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E:\Valuation and Schedule\"/>
    </mc:Choice>
  </mc:AlternateContent>
  <xr:revisionPtr revIDLastSave="0" documentId="13_ncr:1_{6995E60A-3F6D-4F8E-82BD-56606BAC34BF}" xr6:coauthVersionLast="46" xr6:coauthVersionMax="46" xr10:uidLastSave="{00000000-0000-0000-0000-000000000000}"/>
  <bookViews>
    <workbookView xWindow="-120" yWindow="-120" windowWidth="20730" windowHeight="11160" tabRatio="929" activeTab="2" xr2:uid="{00000000-000D-0000-FFFF-FFFF00000000}"/>
  </bookViews>
  <sheets>
    <sheet name="Sectors Indices - Watchlist" sheetId="1" r:id="rId1"/>
    <sheet name="Performance" sheetId="21" r:id="rId2"/>
    <sheet name="Sector_Rotation" sheetId="19" r:id="rId3"/>
    <sheet name="NIFTY_50" sheetId="16" r:id="rId4"/>
    <sheet name="NIFTY_BANK" sheetId="18" r:id="rId5"/>
    <sheet name="NIFTY_IT" sheetId="17" r:id="rId6"/>
    <sheet name="NIFTY_PHARMA" sheetId="11" r:id="rId7"/>
    <sheet name="NIFTY_FMCG" sheetId="12" r:id="rId8"/>
    <sheet name="NIFTY_METAL" sheetId="13" r:id="rId9"/>
    <sheet name="NIFTY_ENERGY" sheetId="14" r:id="rId10"/>
    <sheet name="NIFTY_AUTO" sheetId="15" r:id="rId11"/>
    <sheet name="EBBETF0430" sheetId="22" r:id="rId12"/>
  </sheets>
  <definedNames>
    <definedName name="_xlnm._FilterDatabase" localSheetId="2" hidden="1">Sector_Rotation!$A$2:$BE$1080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805" i="19" l="1"/>
  <c r="AC806" i="19"/>
  <c r="AC807" i="19"/>
  <c r="AC808" i="19"/>
  <c r="AC809" i="19"/>
  <c r="AC810" i="19"/>
  <c r="AC811" i="19"/>
  <c r="AC812" i="19"/>
  <c r="AC813" i="19"/>
  <c r="AC814" i="19"/>
  <c r="AC815" i="19"/>
  <c r="AC816" i="19"/>
  <c r="AC817" i="19"/>
  <c r="AC818" i="19"/>
  <c r="AC819" i="19"/>
  <c r="AC820" i="19"/>
  <c r="AC821" i="19"/>
  <c r="AC822" i="19"/>
  <c r="AC823" i="19"/>
  <c r="AC824" i="19"/>
  <c r="AC825" i="19"/>
  <c r="AC826" i="19"/>
  <c r="AC827" i="19"/>
  <c r="AC828" i="19"/>
  <c r="AC829" i="19"/>
  <c r="AC830" i="19"/>
  <c r="AC831" i="19"/>
  <c r="AC832" i="19"/>
  <c r="AC833" i="19"/>
  <c r="AC834" i="19"/>
  <c r="AC835" i="19"/>
  <c r="AC836" i="19"/>
  <c r="AC837" i="19"/>
  <c r="AC838" i="19"/>
  <c r="AC839" i="19"/>
  <c r="AC840" i="19"/>
  <c r="AC841" i="19"/>
  <c r="AC842" i="19"/>
  <c r="AC843" i="19"/>
  <c r="AC844" i="19"/>
  <c r="AC845" i="19"/>
  <c r="AC846" i="19"/>
  <c r="AC847" i="19"/>
  <c r="AC848" i="19"/>
  <c r="AC849" i="19"/>
  <c r="AC850" i="19"/>
  <c r="AC851" i="19"/>
  <c r="AC852" i="19"/>
  <c r="AC853" i="19"/>
  <c r="AC854" i="19"/>
  <c r="AC855" i="19"/>
  <c r="AC856" i="19"/>
  <c r="AC857" i="19"/>
  <c r="AC858" i="19"/>
  <c r="AC859" i="19"/>
  <c r="AC860" i="19"/>
  <c r="AC861" i="19"/>
  <c r="AC862" i="19"/>
  <c r="AC863" i="19"/>
  <c r="AC864" i="19"/>
  <c r="AC865" i="19"/>
  <c r="AC866" i="19"/>
  <c r="AC867" i="19"/>
  <c r="AC868" i="19"/>
  <c r="AC869" i="19"/>
  <c r="AC870" i="19"/>
  <c r="AC871" i="19"/>
  <c r="AC872" i="19"/>
  <c r="AC873" i="19"/>
  <c r="AC874" i="19"/>
  <c r="AC875" i="19"/>
  <c r="AC876" i="19"/>
  <c r="AC877" i="19"/>
  <c r="AC878" i="19"/>
  <c r="AC879" i="19"/>
  <c r="AC880" i="19"/>
  <c r="AC881" i="19"/>
  <c r="AC882" i="19"/>
  <c r="AC883" i="19"/>
  <c r="AC884" i="19"/>
  <c r="AC885" i="19"/>
  <c r="AC886" i="19"/>
  <c r="AC887" i="19"/>
  <c r="AC888" i="19"/>
  <c r="AC889" i="19"/>
  <c r="AC890" i="19"/>
  <c r="AC891" i="19"/>
  <c r="AC892" i="19"/>
  <c r="AC893" i="19"/>
  <c r="AC894" i="19"/>
  <c r="AC895" i="19"/>
  <c r="AC896" i="19"/>
  <c r="AC897" i="19"/>
  <c r="AC898" i="19"/>
  <c r="AC899" i="19"/>
  <c r="AC900" i="19"/>
  <c r="AC901" i="19"/>
  <c r="AC902" i="19"/>
  <c r="AC903" i="19"/>
  <c r="AC904" i="19"/>
  <c r="AC905" i="19"/>
  <c r="AC906" i="19"/>
  <c r="AC907" i="19"/>
  <c r="AC908" i="19"/>
  <c r="AC909" i="19"/>
  <c r="AC910" i="19"/>
  <c r="AC911" i="19"/>
  <c r="AC912" i="19"/>
  <c r="AC913" i="19"/>
  <c r="AC914" i="19"/>
  <c r="AC915" i="19"/>
  <c r="AC916" i="19"/>
  <c r="AC917" i="19"/>
  <c r="AC918" i="19"/>
  <c r="AC919" i="19"/>
  <c r="AC920" i="19"/>
  <c r="AC921" i="19"/>
  <c r="AC922" i="19"/>
  <c r="AC923" i="19"/>
  <c r="AC924" i="19"/>
  <c r="AC925" i="19"/>
  <c r="AC926" i="19"/>
  <c r="AC927" i="19"/>
  <c r="AC928" i="19"/>
  <c r="AC929" i="19"/>
  <c r="AC930" i="19"/>
  <c r="AC931" i="19"/>
  <c r="AC932" i="19"/>
  <c r="AC933" i="19"/>
  <c r="AC934" i="19"/>
  <c r="AC935" i="19"/>
  <c r="AC936" i="19"/>
  <c r="AC937" i="19"/>
  <c r="AC938" i="19"/>
  <c r="AC939" i="19"/>
  <c r="AC940" i="19"/>
  <c r="AC941" i="19"/>
  <c r="AC942" i="19"/>
  <c r="AC943" i="19"/>
  <c r="AC944" i="19"/>
  <c r="AC945" i="19"/>
  <c r="AC946" i="19"/>
  <c r="AC947" i="19"/>
  <c r="AC948" i="19"/>
  <c r="AC949" i="19"/>
  <c r="AC950" i="19"/>
  <c r="AC951" i="19"/>
  <c r="AC952" i="19"/>
  <c r="AC953" i="19"/>
  <c r="AC954" i="19"/>
  <c r="AC955" i="19"/>
  <c r="AC956" i="19"/>
  <c r="AC957" i="19"/>
  <c r="AC958" i="19"/>
  <c r="AC959" i="19"/>
  <c r="AC960" i="19"/>
  <c r="AC961" i="19"/>
  <c r="AC962" i="19"/>
  <c r="AC963" i="19"/>
  <c r="AC964" i="19"/>
  <c r="AC965" i="19"/>
  <c r="AC966" i="19"/>
  <c r="AC967" i="19"/>
  <c r="AC968" i="19"/>
  <c r="AC969" i="19"/>
  <c r="AC970" i="19"/>
  <c r="AC971" i="19"/>
  <c r="AC972" i="19"/>
  <c r="AC973" i="19"/>
  <c r="AC974" i="19"/>
  <c r="AC975" i="19"/>
  <c r="AC976" i="19"/>
  <c r="AC977" i="19"/>
  <c r="AC978" i="19"/>
  <c r="AC979" i="19"/>
  <c r="AC980" i="19"/>
  <c r="AC981" i="19"/>
  <c r="AC982" i="19"/>
  <c r="AC983" i="19"/>
  <c r="AC984" i="19"/>
  <c r="AC985" i="19"/>
  <c r="AC986" i="19"/>
  <c r="AC987" i="19"/>
  <c r="AC988" i="19"/>
  <c r="AC989" i="19"/>
  <c r="AC990" i="19"/>
  <c r="AC991" i="19"/>
  <c r="AC992" i="19"/>
  <c r="AC993" i="19"/>
  <c r="AC994" i="19"/>
  <c r="AC995" i="19"/>
  <c r="AC996" i="19"/>
  <c r="AC997" i="19"/>
  <c r="AC998" i="19"/>
  <c r="AC999" i="19"/>
  <c r="AC1000" i="19"/>
  <c r="AC1001" i="19"/>
  <c r="AC1002" i="19"/>
  <c r="AC1003" i="19"/>
  <c r="AC1004" i="19"/>
  <c r="AC1005" i="19"/>
  <c r="AC1006" i="19"/>
  <c r="AC1007" i="19"/>
  <c r="AC1008" i="19"/>
  <c r="AC1009" i="19"/>
  <c r="AC1010" i="19"/>
  <c r="AC1011" i="19"/>
  <c r="AC1012" i="19"/>
  <c r="AC1013" i="19"/>
  <c r="AC1014" i="19"/>
  <c r="AC1015" i="19"/>
  <c r="AC1016" i="19"/>
  <c r="AC1017" i="19"/>
  <c r="AC1018" i="19"/>
  <c r="AC1019" i="19"/>
  <c r="AC1020" i="19"/>
  <c r="AC1021" i="19"/>
  <c r="AC1022" i="19"/>
  <c r="AC1023" i="19"/>
  <c r="AC1024" i="19"/>
  <c r="AC1025" i="19"/>
  <c r="AC1026" i="19"/>
  <c r="AC1027" i="19"/>
  <c r="AC1028" i="19"/>
  <c r="AC1029" i="19"/>
  <c r="AC1030" i="19"/>
  <c r="AC1031" i="19"/>
  <c r="AC1032" i="19"/>
  <c r="AC1033" i="19"/>
  <c r="AC1034" i="19"/>
  <c r="AC1035" i="19"/>
  <c r="AC1036" i="19"/>
  <c r="AC1037" i="19"/>
  <c r="AC1038" i="19"/>
  <c r="AC1039" i="19"/>
  <c r="AC1040" i="19"/>
  <c r="AC1041" i="19"/>
  <c r="AC1042" i="19"/>
  <c r="AC1043" i="19"/>
  <c r="AC1044" i="19"/>
  <c r="AC1045" i="19"/>
  <c r="AC1046" i="19"/>
  <c r="AC1047" i="19"/>
  <c r="AC1048" i="19"/>
  <c r="AC1049" i="19"/>
  <c r="AC1050" i="19"/>
  <c r="AC1051" i="19"/>
  <c r="AC1052" i="19"/>
  <c r="AC1053" i="19"/>
  <c r="AC1054" i="19"/>
  <c r="AC1055" i="19"/>
  <c r="AC1056" i="19"/>
  <c r="AC1057" i="19"/>
  <c r="AC1058" i="19"/>
  <c r="AC1059" i="19"/>
  <c r="AC1060" i="19"/>
  <c r="AC1061" i="19"/>
  <c r="AC1062" i="19"/>
  <c r="AC1063" i="19"/>
  <c r="AC1064" i="19"/>
  <c r="AC1065" i="19"/>
  <c r="AC1066" i="19"/>
  <c r="AC1067" i="19"/>
  <c r="AC1068" i="19"/>
  <c r="AC1069" i="19"/>
  <c r="AC1070" i="19"/>
  <c r="AC1071" i="19"/>
  <c r="AC1072" i="19"/>
  <c r="AC1073" i="19"/>
  <c r="AC1074" i="19"/>
  <c r="AC1075" i="19"/>
  <c r="AC1076" i="19"/>
  <c r="AC1077" i="19"/>
  <c r="AC1078" i="19"/>
  <c r="AC1079" i="19"/>
  <c r="AC1080" i="19"/>
  <c r="AC804" i="19"/>
  <c r="AV65" i="19"/>
  <c r="AW65" i="19"/>
  <c r="AX65" i="19"/>
  <c r="AY65" i="19"/>
  <c r="AZ65" i="19"/>
  <c r="BA65" i="19"/>
  <c r="BB65" i="19"/>
  <c r="BC65" i="19"/>
  <c r="BD65" i="19"/>
  <c r="AV66" i="19"/>
  <c r="AW66" i="19"/>
  <c r="AX66" i="19"/>
  <c r="AY66" i="19"/>
  <c r="AZ66" i="19"/>
  <c r="BA66" i="19"/>
  <c r="BB66" i="19"/>
  <c r="BC66" i="19"/>
  <c r="BD66" i="19"/>
  <c r="AV67" i="19"/>
  <c r="AW67" i="19"/>
  <c r="AX67" i="19"/>
  <c r="AY67" i="19"/>
  <c r="AZ67" i="19"/>
  <c r="BA67" i="19"/>
  <c r="BB67" i="19"/>
  <c r="BC67" i="19"/>
  <c r="BD67" i="19"/>
  <c r="AV68" i="19"/>
  <c r="AW68" i="19"/>
  <c r="AX68" i="19"/>
  <c r="AY68" i="19"/>
  <c r="AZ68" i="19"/>
  <c r="BA68" i="19"/>
  <c r="BB68" i="19"/>
  <c r="BC68" i="19"/>
  <c r="BD68" i="19"/>
  <c r="AV69" i="19"/>
  <c r="AW69" i="19"/>
  <c r="AX69" i="19"/>
  <c r="AY69" i="19"/>
  <c r="AZ69" i="19"/>
  <c r="BA69" i="19"/>
  <c r="BB69" i="19"/>
  <c r="BC69" i="19"/>
  <c r="BD69" i="19"/>
  <c r="AV70" i="19"/>
  <c r="AW70" i="19"/>
  <c r="AX70" i="19"/>
  <c r="AY70" i="19"/>
  <c r="AZ70" i="19"/>
  <c r="BA70" i="19"/>
  <c r="BB70" i="19"/>
  <c r="BC70" i="19"/>
  <c r="BD70" i="19"/>
  <c r="AV71" i="19"/>
  <c r="AW71" i="19"/>
  <c r="AX71" i="19"/>
  <c r="AY71" i="19"/>
  <c r="AZ71" i="19"/>
  <c r="BA71" i="19"/>
  <c r="BB71" i="19"/>
  <c r="BC71" i="19"/>
  <c r="BD71" i="19"/>
  <c r="AV72" i="19"/>
  <c r="AW72" i="19"/>
  <c r="AX72" i="19"/>
  <c r="AY72" i="19"/>
  <c r="AZ72" i="19"/>
  <c r="BA72" i="19"/>
  <c r="BB72" i="19"/>
  <c r="BC72" i="19"/>
  <c r="BD72" i="19"/>
  <c r="AV73" i="19"/>
  <c r="AW73" i="19"/>
  <c r="AX73" i="19"/>
  <c r="AY73" i="19"/>
  <c r="AZ73" i="19"/>
  <c r="BA73" i="19"/>
  <c r="BB73" i="19"/>
  <c r="BC73" i="19"/>
  <c r="BD73" i="19"/>
  <c r="AV74" i="19"/>
  <c r="AW74" i="19"/>
  <c r="AX74" i="19"/>
  <c r="AY74" i="19"/>
  <c r="AZ74" i="19"/>
  <c r="BA74" i="19"/>
  <c r="BB74" i="19"/>
  <c r="BC74" i="19"/>
  <c r="BD74" i="19"/>
  <c r="AV75" i="19"/>
  <c r="AW75" i="19"/>
  <c r="AX75" i="19"/>
  <c r="AY75" i="19"/>
  <c r="AZ75" i="19"/>
  <c r="BA75" i="19"/>
  <c r="BB75" i="19"/>
  <c r="BC75" i="19"/>
  <c r="BD75" i="19"/>
  <c r="AV76" i="19"/>
  <c r="AW76" i="19"/>
  <c r="AX76" i="19"/>
  <c r="AY76" i="19"/>
  <c r="AZ76" i="19"/>
  <c r="BA76" i="19"/>
  <c r="BB76" i="19"/>
  <c r="BC76" i="19"/>
  <c r="BD76" i="19"/>
  <c r="AV77" i="19"/>
  <c r="AW77" i="19"/>
  <c r="AX77" i="19"/>
  <c r="AY77" i="19"/>
  <c r="AZ77" i="19"/>
  <c r="BA77" i="19"/>
  <c r="BB77" i="19"/>
  <c r="BC77" i="19"/>
  <c r="BD77" i="19"/>
  <c r="AV78" i="19"/>
  <c r="AW78" i="19"/>
  <c r="AX78" i="19"/>
  <c r="AY78" i="19"/>
  <c r="AZ78" i="19"/>
  <c r="BA78" i="19"/>
  <c r="BB78" i="19"/>
  <c r="BC78" i="19"/>
  <c r="BD78" i="19"/>
  <c r="AV79" i="19"/>
  <c r="AW79" i="19"/>
  <c r="AX79" i="19"/>
  <c r="AY79" i="19"/>
  <c r="AZ79" i="19"/>
  <c r="BA79" i="19"/>
  <c r="BB79" i="19"/>
  <c r="BC79" i="19"/>
  <c r="BD79" i="19"/>
  <c r="AV80" i="19"/>
  <c r="AW80" i="19"/>
  <c r="AX80" i="19"/>
  <c r="AY80" i="19"/>
  <c r="AZ80" i="19"/>
  <c r="BA80" i="19"/>
  <c r="BB80" i="19"/>
  <c r="BC80" i="19"/>
  <c r="BD80" i="19"/>
  <c r="AV81" i="19"/>
  <c r="AW81" i="19"/>
  <c r="AX81" i="19"/>
  <c r="AY81" i="19"/>
  <c r="AZ81" i="19"/>
  <c r="BA81" i="19"/>
  <c r="BB81" i="19"/>
  <c r="BC81" i="19"/>
  <c r="BD81" i="19"/>
  <c r="AV82" i="19"/>
  <c r="AW82" i="19"/>
  <c r="AX82" i="19"/>
  <c r="AY82" i="19"/>
  <c r="AZ82" i="19"/>
  <c r="BA82" i="19"/>
  <c r="BB82" i="19"/>
  <c r="BC82" i="19"/>
  <c r="BD82" i="19"/>
  <c r="AV83" i="19"/>
  <c r="AW83" i="19"/>
  <c r="AX83" i="19"/>
  <c r="AY83" i="19"/>
  <c r="AZ83" i="19"/>
  <c r="BA83" i="19"/>
  <c r="BB83" i="19"/>
  <c r="BC83" i="19"/>
  <c r="BD83" i="19"/>
  <c r="AV84" i="19"/>
  <c r="AW84" i="19"/>
  <c r="AX84" i="19"/>
  <c r="AY84" i="19"/>
  <c r="AZ84" i="19"/>
  <c r="BA84" i="19"/>
  <c r="BB84" i="19"/>
  <c r="BC84" i="19"/>
  <c r="BD84" i="19"/>
  <c r="AV85" i="19"/>
  <c r="AW85" i="19"/>
  <c r="AX85" i="19"/>
  <c r="AY85" i="19"/>
  <c r="AZ85" i="19"/>
  <c r="BA85" i="19"/>
  <c r="BB85" i="19"/>
  <c r="BC85" i="19"/>
  <c r="BD85" i="19"/>
  <c r="AV86" i="19"/>
  <c r="AW86" i="19"/>
  <c r="AX86" i="19"/>
  <c r="AY86" i="19"/>
  <c r="AZ86" i="19"/>
  <c r="BA86" i="19"/>
  <c r="BB86" i="19"/>
  <c r="BC86" i="19"/>
  <c r="BD86" i="19"/>
  <c r="AV87" i="19"/>
  <c r="AW87" i="19"/>
  <c r="AX87" i="19"/>
  <c r="AY87" i="19"/>
  <c r="AZ87" i="19"/>
  <c r="BA87" i="19"/>
  <c r="BB87" i="19"/>
  <c r="BC87" i="19"/>
  <c r="BD87" i="19"/>
  <c r="AV88" i="19"/>
  <c r="AW88" i="19"/>
  <c r="AX88" i="19"/>
  <c r="AY88" i="19"/>
  <c r="AZ88" i="19"/>
  <c r="BA88" i="19"/>
  <c r="BB88" i="19"/>
  <c r="BC88" i="19"/>
  <c r="BD88" i="19"/>
  <c r="AV89" i="19"/>
  <c r="AW89" i="19"/>
  <c r="AX89" i="19"/>
  <c r="AY89" i="19"/>
  <c r="AZ89" i="19"/>
  <c r="BA89" i="19"/>
  <c r="BB89" i="19"/>
  <c r="BC89" i="19"/>
  <c r="BD89" i="19"/>
  <c r="AV90" i="19"/>
  <c r="AW90" i="19"/>
  <c r="AX90" i="19"/>
  <c r="AY90" i="19"/>
  <c r="AZ90" i="19"/>
  <c r="BA90" i="19"/>
  <c r="BB90" i="19"/>
  <c r="BC90" i="19"/>
  <c r="BD90" i="19"/>
  <c r="AV91" i="19"/>
  <c r="AW91" i="19"/>
  <c r="AX91" i="19"/>
  <c r="AY91" i="19"/>
  <c r="AZ91" i="19"/>
  <c r="BA91" i="19"/>
  <c r="BB91" i="19"/>
  <c r="BC91" i="19"/>
  <c r="BD91" i="19"/>
  <c r="AV92" i="19"/>
  <c r="AW92" i="19"/>
  <c r="AX92" i="19"/>
  <c r="AY92" i="19"/>
  <c r="AZ92" i="19"/>
  <c r="BA92" i="19"/>
  <c r="BB92" i="19"/>
  <c r="BC92" i="19"/>
  <c r="BD92" i="19"/>
  <c r="AV93" i="19"/>
  <c r="AW93" i="19"/>
  <c r="AX93" i="19"/>
  <c r="AY93" i="19"/>
  <c r="AZ93" i="19"/>
  <c r="BA93" i="19"/>
  <c r="BB93" i="19"/>
  <c r="BC93" i="19"/>
  <c r="BD93" i="19"/>
  <c r="AV94" i="19"/>
  <c r="AW94" i="19"/>
  <c r="AX94" i="19"/>
  <c r="AY94" i="19"/>
  <c r="AZ94" i="19"/>
  <c r="BA94" i="19"/>
  <c r="BB94" i="19"/>
  <c r="BC94" i="19"/>
  <c r="BD94" i="19"/>
  <c r="AV95" i="19"/>
  <c r="AW95" i="19"/>
  <c r="AX95" i="19"/>
  <c r="AY95" i="19"/>
  <c r="AZ95" i="19"/>
  <c r="BA95" i="19"/>
  <c r="BB95" i="19"/>
  <c r="BC95" i="19"/>
  <c r="BD95" i="19"/>
  <c r="AV96" i="19"/>
  <c r="AW96" i="19"/>
  <c r="AX96" i="19"/>
  <c r="AY96" i="19"/>
  <c r="AZ96" i="19"/>
  <c r="BA96" i="19"/>
  <c r="BB96" i="19"/>
  <c r="BC96" i="19"/>
  <c r="BD96" i="19"/>
  <c r="AV97" i="19"/>
  <c r="AW97" i="19"/>
  <c r="AX97" i="19"/>
  <c r="AY97" i="19"/>
  <c r="AZ97" i="19"/>
  <c r="BA97" i="19"/>
  <c r="BB97" i="19"/>
  <c r="BC97" i="19"/>
  <c r="BD97" i="19"/>
  <c r="AV98" i="19"/>
  <c r="AW98" i="19"/>
  <c r="AX98" i="19"/>
  <c r="AY98" i="19"/>
  <c r="AZ98" i="19"/>
  <c r="BA98" i="19"/>
  <c r="BB98" i="19"/>
  <c r="BC98" i="19"/>
  <c r="BD98" i="19"/>
  <c r="AV99" i="19"/>
  <c r="AW99" i="19"/>
  <c r="AX99" i="19"/>
  <c r="AY99" i="19"/>
  <c r="AZ99" i="19"/>
  <c r="BA99" i="19"/>
  <c r="BB99" i="19"/>
  <c r="BC99" i="19"/>
  <c r="BD99" i="19"/>
  <c r="AV100" i="19"/>
  <c r="AW100" i="19"/>
  <c r="AX100" i="19"/>
  <c r="AY100" i="19"/>
  <c r="AZ100" i="19"/>
  <c r="BA100" i="19"/>
  <c r="BB100" i="19"/>
  <c r="BC100" i="19"/>
  <c r="BD100" i="19"/>
  <c r="AV101" i="19"/>
  <c r="AW101" i="19"/>
  <c r="AX101" i="19"/>
  <c r="AY101" i="19"/>
  <c r="AZ101" i="19"/>
  <c r="BA101" i="19"/>
  <c r="BB101" i="19"/>
  <c r="BC101" i="19"/>
  <c r="BD101" i="19"/>
  <c r="AV102" i="19"/>
  <c r="AW102" i="19"/>
  <c r="AX102" i="19"/>
  <c r="AY102" i="19"/>
  <c r="AZ102" i="19"/>
  <c r="BA102" i="19"/>
  <c r="BB102" i="19"/>
  <c r="BC102" i="19"/>
  <c r="BD102" i="19"/>
  <c r="AV103" i="19"/>
  <c r="AW103" i="19"/>
  <c r="AX103" i="19"/>
  <c r="AY103" i="19"/>
  <c r="AZ103" i="19"/>
  <c r="BA103" i="19"/>
  <c r="BB103" i="19"/>
  <c r="BC103" i="19"/>
  <c r="BD103" i="19"/>
  <c r="AV104" i="19"/>
  <c r="AW104" i="19"/>
  <c r="AX104" i="19"/>
  <c r="AY104" i="19"/>
  <c r="AZ104" i="19"/>
  <c r="BA104" i="19"/>
  <c r="BB104" i="19"/>
  <c r="BC104" i="19"/>
  <c r="BD104" i="19"/>
  <c r="AV105" i="19"/>
  <c r="AW105" i="19"/>
  <c r="AX105" i="19"/>
  <c r="AY105" i="19"/>
  <c r="AZ105" i="19"/>
  <c r="BA105" i="19"/>
  <c r="BB105" i="19"/>
  <c r="BC105" i="19"/>
  <c r="BD105" i="19"/>
  <c r="AV106" i="19"/>
  <c r="AW106" i="19"/>
  <c r="AX106" i="19"/>
  <c r="AY106" i="19"/>
  <c r="AZ106" i="19"/>
  <c r="BA106" i="19"/>
  <c r="BB106" i="19"/>
  <c r="BC106" i="19"/>
  <c r="BD106" i="19"/>
  <c r="AV107" i="19"/>
  <c r="AW107" i="19"/>
  <c r="AX107" i="19"/>
  <c r="AY107" i="19"/>
  <c r="AZ107" i="19"/>
  <c r="BA107" i="19"/>
  <c r="BB107" i="19"/>
  <c r="BC107" i="19"/>
  <c r="BD107" i="19"/>
  <c r="AV108" i="19"/>
  <c r="AW108" i="19"/>
  <c r="AX108" i="19"/>
  <c r="AY108" i="19"/>
  <c r="AZ108" i="19"/>
  <c r="BA108" i="19"/>
  <c r="BB108" i="19"/>
  <c r="BC108" i="19"/>
  <c r="BD108" i="19"/>
  <c r="AV109" i="19"/>
  <c r="AW109" i="19"/>
  <c r="AX109" i="19"/>
  <c r="AY109" i="19"/>
  <c r="AZ109" i="19"/>
  <c r="BA109" i="19"/>
  <c r="BB109" i="19"/>
  <c r="BC109" i="19"/>
  <c r="BD109" i="19"/>
  <c r="AV110" i="19"/>
  <c r="AW110" i="19"/>
  <c r="AX110" i="19"/>
  <c r="AY110" i="19"/>
  <c r="AZ110" i="19"/>
  <c r="BA110" i="19"/>
  <c r="BB110" i="19"/>
  <c r="BC110" i="19"/>
  <c r="BD110" i="19"/>
  <c r="AV111" i="19"/>
  <c r="AW111" i="19"/>
  <c r="AX111" i="19"/>
  <c r="AY111" i="19"/>
  <c r="AZ111" i="19"/>
  <c r="BA111" i="19"/>
  <c r="BB111" i="19"/>
  <c r="BC111" i="19"/>
  <c r="BD111" i="19"/>
  <c r="AV112" i="19"/>
  <c r="AW112" i="19"/>
  <c r="AX112" i="19"/>
  <c r="AY112" i="19"/>
  <c r="AZ112" i="19"/>
  <c r="BA112" i="19"/>
  <c r="BB112" i="19"/>
  <c r="BC112" i="19"/>
  <c r="BD112" i="19"/>
  <c r="AV113" i="19"/>
  <c r="AW113" i="19"/>
  <c r="AX113" i="19"/>
  <c r="AY113" i="19"/>
  <c r="AZ113" i="19"/>
  <c r="BA113" i="19"/>
  <c r="BB113" i="19"/>
  <c r="BC113" i="19"/>
  <c r="BD113" i="19"/>
  <c r="AV114" i="19"/>
  <c r="AW114" i="19"/>
  <c r="AX114" i="19"/>
  <c r="AY114" i="19"/>
  <c r="AZ114" i="19"/>
  <c r="BA114" i="19"/>
  <c r="BB114" i="19"/>
  <c r="BC114" i="19"/>
  <c r="BD114" i="19"/>
  <c r="AV115" i="19"/>
  <c r="AW115" i="19"/>
  <c r="AX115" i="19"/>
  <c r="AY115" i="19"/>
  <c r="AZ115" i="19"/>
  <c r="BA115" i="19"/>
  <c r="BB115" i="19"/>
  <c r="BC115" i="19"/>
  <c r="BD115" i="19"/>
  <c r="AV116" i="19"/>
  <c r="AW116" i="19"/>
  <c r="AX116" i="19"/>
  <c r="AY116" i="19"/>
  <c r="AZ116" i="19"/>
  <c r="BA116" i="19"/>
  <c r="BB116" i="19"/>
  <c r="BC116" i="19"/>
  <c r="BD116" i="19"/>
  <c r="AV117" i="19"/>
  <c r="AW117" i="19"/>
  <c r="AX117" i="19"/>
  <c r="AY117" i="19"/>
  <c r="AZ117" i="19"/>
  <c r="BA117" i="19"/>
  <c r="BB117" i="19"/>
  <c r="BC117" i="19"/>
  <c r="BD117" i="19"/>
  <c r="AV118" i="19"/>
  <c r="AW118" i="19"/>
  <c r="AX118" i="19"/>
  <c r="AY118" i="19"/>
  <c r="AZ118" i="19"/>
  <c r="BA118" i="19"/>
  <c r="BB118" i="19"/>
  <c r="BC118" i="19"/>
  <c r="BD118" i="19"/>
  <c r="AV119" i="19"/>
  <c r="AW119" i="19"/>
  <c r="AX119" i="19"/>
  <c r="AY119" i="19"/>
  <c r="AZ119" i="19"/>
  <c r="BA119" i="19"/>
  <c r="BB119" i="19"/>
  <c r="BC119" i="19"/>
  <c r="BD119" i="19"/>
  <c r="AV120" i="19"/>
  <c r="AW120" i="19"/>
  <c r="AX120" i="19"/>
  <c r="AY120" i="19"/>
  <c r="AZ120" i="19"/>
  <c r="BA120" i="19"/>
  <c r="BB120" i="19"/>
  <c r="BC120" i="19"/>
  <c r="BD120" i="19"/>
  <c r="AV121" i="19"/>
  <c r="AW121" i="19"/>
  <c r="AX121" i="19"/>
  <c r="AY121" i="19"/>
  <c r="AZ121" i="19"/>
  <c r="BA121" i="19"/>
  <c r="BB121" i="19"/>
  <c r="BC121" i="19"/>
  <c r="BD121" i="19"/>
  <c r="AV122" i="19"/>
  <c r="AW122" i="19"/>
  <c r="AX122" i="19"/>
  <c r="AY122" i="19"/>
  <c r="AZ122" i="19"/>
  <c r="BA122" i="19"/>
  <c r="BB122" i="19"/>
  <c r="BC122" i="19"/>
  <c r="BD122" i="19"/>
  <c r="AV123" i="19"/>
  <c r="AW123" i="19"/>
  <c r="AX123" i="19"/>
  <c r="AY123" i="19"/>
  <c r="AZ123" i="19"/>
  <c r="BA123" i="19"/>
  <c r="BB123" i="19"/>
  <c r="BC123" i="19"/>
  <c r="BD123" i="19"/>
  <c r="AV124" i="19"/>
  <c r="AW124" i="19"/>
  <c r="AX124" i="19"/>
  <c r="AY124" i="19"/>
  <c r="AZ124" i="19"/>
  <c r="BA124" i="19"/>
  <c r="BB124" i="19"/>
  <c r="BC124" i="19"/>
  <c r="BD124" i="19"/>
  <c r="AV125" i="19"/>
  <c r="AW125" i="19"/>
  <c r="AX125" i="19"/>
  <c r="AY125" i="19"/>
  <c r="AZ125" i="19"/>
  <c r="BA125" i="19"/>
  <c r="BB125" i="19"/>
  <c r="BC125" i="19"/>
  <c r="BD125" i="19"/>
  <c r="AV126" i="19"/>
  <c r="AW126" i="19"/>
  <c r="AX126" i="19"/>
  <c r="AY126" i="19"/>
  <c r="AZ126" i="19"/>
  <c r="BA126" i="19"/>
  <c r="BB126" i="19"/>
  <c r="BC126" i="19"/>
  <c r="BD126" i="19"/>
  <c r="AV127" i="19"/>
  <c r="AW127" i="19"/>
  <c r="AX127" i="19"/>
  <c r="AY127" i="19"/>
  <c r="AZ127" i="19"/>
  <c r="BA127" i="19"/>
  <c r="BB127" i="19"/>
  <c r="BC127" i="19"/>
  <c r="BD127" i="19"/>
  <c r="AV128" i="19"/>
  <c r="AW128" i="19"/>
  <c r="AX128" i="19"/>
  <c r="AY128" i="19"/>
  <c r="AZ128" i="19"/>
  <c r="BA128" i="19"/>
  <c r="BB128" i="19"/>
  <c r="BC128" i="19"/>
  <c r="BD128" i="19"/>
  <c r="AV129" i="19"/>
  <c r="AW129" i="19"/>
  <c r="AX129" i="19"/>
  <c r="AY129" i="19"/>
  <c r="AZ129" i="19"/>
  <c r="BA129" i="19"/>
  <c r="BB129" i="19"/>
  <c r="BC129" i="19"/>
  <c r="BD129" i="19"/>
  <c r="AV130" i="19"/>
  <c r="AW130" i="19"/>
  <c r="AX130" i="19"/>
  <c r="AY130" i="19"/>
  <c r="AZ130" i="19"/>
  <c r="BA130" i="19"/>
  <c r="BB130" i="19"/>
  <c r="BC130" i="19"/>
  <c r="BD130" i="19"/>
  <c r="AV131" i="19"/>
  <c r="AW131" i="19"/>
  <c r="AX131" i="19"/>
  <c r="AY131" i="19"/>
  <c r="AZ131" i="19"/>
  <c r="BA131" i="19"/>
  <c r="BB131" i="19"/>
  <c r="BC131" i="19"/>
  <c r="BD131" i="19"/>
  <c r="AV132" i="19"/>
  <c r="AW132" i="19"/>
  <c r="AX132" i="19"/>
  <c r="AY132" i="19"/>
  <c r="AZ132" i="19"/>
  <c r="BA132" i="19"/>
  <c r="BB132" i="19"/>
  <c r="BC132" i="19"/>
  <c r="BD132" i="19"/>
  <c r="AV133" i="19"/>
  <c r="AW133" i="19"/>
  <c r="AX133" i="19"/>
  <c r="AY133" i="19"/>
  <c r="AZ133" i="19"/>
  <c r="BA133" i="19"/>
  <c r="BB133" i="19"/>
  <c r="BC133" i="19"/>
  <c r="BD133" i="19"/>
  <c r="AV134" i="19"/>
  <c r="AW134" i="19"/>
  <c r="AX134" i="19"/>
  <c r="AY134" i="19"/>
  <c r="AZ134" i="19"/>
  <c r="BA134" i="19"/>
  <c r="BB134" i="19"/>
  <c r="BC134" i="19"/>
  <c r="BD134" i="19"/>
  <c r="AV135" i="19"/>
  <c r="AW135" i="19"/>
  <c r="AX135" i="19"/>
  <c r="AY135" i="19"/>
  <c r="AZ135" i="19"/>
  <c r="BA135" i="19"/>
  <c r="BB135" i="19"/>
  <c r="BC135" i="19"/>
  <c r="BD135" i="19"/>
  <c r="AV136" i="19"/>
  <c r="AW136" i="19"/>
  <c r="AX136" i="19"/>
  <c r="AY136" i="19"/>
  <c r="AZ136" i="19"/>
  <c r="BA136" i="19"/>
  <c r="BB136" i="19"/>
  <c r="BC136" i="19"/>
  <c r="BD136" i="19"/>
  <c r="AV137" i="19"/>
  <c r="AW137" i="19"/>
  <c r="AX137" i="19"/>
  <c r="AY137" i="19"/>
  <c r="AZ137" i="19"/>
  <c r="BA137" i="19"/>
  <c r="BB137" i="19"/>
  <c r="BC137" i="19"/>
  <c r="BD137" i="19"/>
  <c r="AV138" i="19"/>
  <c r="AW138" i="19"/>
  <c r="AX138" i="19"/>
  <c r="AY138" i="19"/>
  <c r="AZ138" i="19"/>
  <c r="BA138" i="19"/>
  <c r="BB138" i="19"/>
  <c r="BC138" i="19"/>
  <c r="BD138" i="19"/>
  <c r="AV139" i="19"/>
  <c r="AW139" i="19"/>
  <c r="AX139" i="19"/>
  <c r="AY139" i="19"/>
  <c r="AZ139" i="19"/>
  <c r="BA139" i="19"/>
  <c r="BB139" i="19"/>
  <c r="BC139" i="19"/>
  <c r="BD139" i="19"/>
  <c r="AV140" i="19"/>
  <c r="AW140" i="19"/>
  <c r="AX140" i="19"/>
  <c r="AY140" i="19"/>
  <c r="AZ140" i="19"/>
  <c r="BA140" i="19"/>
  <c r="BB140" i="19"/>
  <c r="BC140" i="19"/>
  <c r="BD140" i="19"/>
  <c r="AV141" i="19"/>
  <c r="AW141" i="19"/>
  <c r="AX141" i="19"/>
  <c r="AY141" i="19"/>
  <c r="AZ141" i="19"/>
  <c r="BA141" i="19"/>
  <c r="BB141" i="19"/>
  <c r="BC141" i="19"/>
  <c r="BD141" i="19"/>
  <c r="AV142" i="19"/>
  <c r="AW142" i="19"/>
  <c r="AX142" i="19"/>
  <c r="AY142" i="19"/>
  <c r="AZ142" i="19"/>
  <c r="BA142" i="19"/>
  <c r="BB142" i="19"/>
  <c r="BC142" i="19"/>
  <c r="BD142" i="19"/>
  <c r="AV143" i="19"/>
  <c r="AW143" i="19"/>
  <c r="AX143" i="19"/>
  <c r="AY143" i="19"/>
  <c r="AZ143" i="19"/>
  <c r="BA143" i="19"/>
  <c r="BB143" i="19"/>
  <c r="BC143" i="19"/>
  <c r="BD143" i="19"/>
  <c r="AV144" i="19"/>
  <c r="AW144" i="19"/>
  <c r="AX144" i="19"/>
  <c r="AY144" i="19"/>
  <c r="AZ144" i="19"/>
  <c r="BA144" i="19"/>
  <c r="BB144" i="19"/>
  <c r="BC144" i="19"/>
  <c r="BD144" i="19"/>
  <c r="AV145" i="19"/>
  <c r="AW145" i="19"/>
  <c r="AX145" i="19"/>
  <c r="AY145" i="19"/>
  <c r="AZ145" i="19"/>
  <c r="BA145" i="19"/>
  <c r="BB145" i="19"/>
  <c r="BC145" i="19"/>
  <c r="BD145" i="19"/>
  <c r="AV146" i="19"/>
  <c r="AW146" i="19"/>
  <c r="AX146" i="19"/>
  <c r="AY146" i="19"/>
  <c r="AZ146" i="19"/>
  <c r="BA146" i="19"/>
  <c r="BB146" i="19"/>
  <c r="BC146" i="19"/>
  <c r="BD146" i="19"/>
  <c r="AV147" i="19"/>
  <c r="AW147" i="19"/>
  <c r="AX147" i="19"/>
  <c r="AY147" i="19"/>
  <c r="AZ147" i="19"/>
  <c r="BA147" i="19"/>
  <c r="BB147" i="19"/>
  <c r="BC147" i="19"/>
  <c r="BD147" i="19"/>
  <c r="AV148" i="19"/>
  <c r="AW148" i="19"/>
  <c r="AX148" i="19"/>
  <c r="AY148" i="19"/>
  <c r="AZ148" i="19"/>
  <c r="BA148" i="19"/>
  <c r="BB148" i="19"/>
  <c r="BC148" i="19"/>
  <c r="BD148" i="19"/>
  <c r="AV149" i="19"/>
  <c r="AW149" i="19"/>
  <c r="AX149" i="19"/>
  <c r="AY149" i="19"/>
  <c r="AZ149" i="19"/>
  <c r="BA149" i="19"/>
  <c r="BB149" i="19"/>
  <c r="BC149" i="19"/>
  <c r="BD149" i="19"/>
  <c r="AV150" i="19"/>
  <c r="AW150" i="19"/>
  <c r="AX150" i="19"/>
  <c r="AY150" i="19"/>
  <c r="AZ150" i="19"/>
  <c r="BA150" i="19"/>
  <c r="BB150" i="19"/>
  <c r="BC150" i="19"/>
  <c r="BD150" i="19"/>
  <c r="AV151" i="19"/>
  <c r="AW151" i="19"/>
  <c r="AX151" i="19"/>
  <c r="AY151" i="19"/>
  <c r="AZ151" i="19"/>
  <c r="BA151" i="19"/>
  <c r="BB151" i="19"/>
  <c r="BC151" i="19"/>
  <c r="BD151" i="19"/>
  <c r="AV152" i="19"/>
  <c r="AW152" i="19"/>
  <c r="AX152" i="19"/>
  <c r="AY152" i="19"/>
  <c r="AZ152" i="19"/>
  <c r="BA152" i="19"/>
  <c r="BB152" i="19"/>
  <c r="BC152" i="19"/>
  <c r="BD152" i="19"/>
  <c r="AV153" i="19"/>
  <c r="AW153" i="19"/>
  <c r="AX153" i="19"/>
  <c r="AY153" i="19"/>
  <c r="AZ153" i="19"/>
  <c r="BA153" i="19"/>
  <c r="BB153" i="19"/>
  <c r="BC153" i="19"/>
  <c r="BD153" i="19"/>
  <c r="AV154" i="19"/>
  <c r="AW154" i="19"/>
  <c r="AX154" i="19"/>
  <c r="AY154" i="19"/>
  <c r="AZ154" i="19"/>
  <c r="BA154" i="19"/>
  <c r="BB154" i="19"/>
  <c r="BC154" i="19"/>
  <c r="BD154" i="19"/>
  <c r="AV155" i="19"/>
  <c r="AW155" i="19"/>
  <c r="AX155" i="19"/>
  <c r="AY155" i="19"/>
  <c r="AZ155" i="19"/>
  <c r="BA155" i="19"/>
  <c r="BB155" i="19"/>
  <c r="BC155" i="19"/>
  <c r="BD155" i="19"/>
  <c r="AV156" i="19"/>
  <c r="AW156" i="19"/>
  <c r="AX156" i="19"/>
  <c r="AY156" i="19"/>
  <c r="AZ156" i="19"/>
  <c r="BA156" i="19"/>
  <c r="BB156" i="19"/>
  <c r="BC156" i="19"/>
  <c r="BD156" i="19"/>
  <c r="AV157" i="19"/>
  <c r="AW157" i="19"/>
  <c r="AX157" i="19"/>
  <c r="AY157" i="19"/>
  <c r="AZ157" i="19"/>
  <c r="BA157" i="19"/>
  <c r="BB157" i="19"/>
  <c r="BC157" i="19"/>
  <c r="BD157" i="19"/>
  <c r="AV158" i="19"/>
  <c r="AW158" i="19"/>
  <c r="AX158" i="19"/>
  <c r="AY158" i="19"/>
  <c r="AZ158" i="19"/>
  <c r="BA158" i="19"/>
  <c r="BB158" i="19"/>
  <c r="BC158" i="19"/>
  <c r="BD158" i="19"/>
  <c r="AV159" i="19"/>
  <c r="AW159" i="19"/>
  <c r="AX159" i="19"/>
  <c r="AY159" i="19"/>
  <c r="AZ159" i="19"/>
  <c r="BA159" i="19"/>
  <c r="BB159" i="19"/>
  <c r="BC159" i="19"/>
  <c r="BD159" i="19"/>
  <c r="AV160" i="19"/>
  <c r="AW160" i="19"/>
  <c r="AX160" i="19"/>
  <c r="AY160" i="19"/>
  <c r="AZ160" i="19"/>
  <c r="BA160" i="19"/>
  <c r="BB160" i="19"/>
  <c r="BC160" i="19"/>
  <c r="BD160" i="19"/>
  <c r="AV161" i="19"/>
  <c r="AW161" i="19"/>
  <c r="AX161" i="19"/>
  <c r="AY161" i="19"/>
  <c r="AZ161" i="19"/>
  <c r="BA161" i="19"/>
  <c r="BB161" i="19"/>
  <c r="BC161" i="19"/>
  <c r="BD161" i="19"/>
  <c r="AV162" i="19"/>
  <c r="AW162" i="19"/>
  <c r="AX162" i="19"/>
  <c r="AY162" i="19"/>
  <c r="AZ162" i="19"/>
  <c r="BA162" i="19"/>
  <c r="BB162" i="19"/>
  <c r="BC162" i="19"/>
  <c r="BD162" i="19"/>
  <c r="AV163" i="19"/>
  <c r="AW163" i="19"/>
  <c r="AX163" i="19"/>
  <c r="AY163" i="19"/>
  <c r="AZ163" i="19"/>
  <c r="BA163" i="19"/>
  <c r="BB163" i="19"/>
  <c r="BC163" i="19"/>
  <c r="BD163" i="19"/>
  <c r="AV164" i="19"/>
  <c r="AW164" i="19"/>
  <c r="AX164" i="19"/>
  <c r="AY164" i="19"/>
  <c r="AZ164" i="19"/>
  <c r="BA164" i="19"/>
  <c r="BB164" i="19"/>
  <c r="BC164" i="19"/>
  <c r="BD164" i="19"/>
  <c r="AV165" i="19"/>
  <c r="AW165" i="19"/>
  <c r="AX165" i="19"/>
  <c r="AY165" i="19"/>
  <c r="AZ165" i="19"/>
  <c r="BA165" i="19"/>
  <c r="BB165" i="19"/>
  <c r="BC165" i="19"/>
  <c r="BD165" i="19"/>
  <c r="AV166" i="19"/>
  <c r="AW166" i="19"/>
  <c r="AX166" i="19"/>
  <c r="AY166" i="19"/>
  <c r="AZ166" i="19"/>
  <c r="BA166" i="19"/>
  <c r="BB166" i="19"/>
  <c r="BC166" i="19"/>
  <c r="BD166" i="19"/>
  <c r="AV167" i="19"/>
  <c r="AW167" i="19"/>
  <c r="AX167" i="19"/>
  <c r="AY167" i="19"/>
  <c r="AZ167" i="19"/>
  <c r="BA167" i="19"/>
  <c r="BB167" i="19"/>
  <c r="BC167" i="19"/>
  <c r="BD167" i="19"/>
  <c r="AV168" i="19"/>
  <c r="AW168" i="19"/>
  <c r="AX168" i="19"/>
  <c r="AY168" i="19"/>
  <c r="AZ168" i="19"/>
  <c r="BA168" i="19"/>
  <c r="BB168" i="19"/>
  <c r="BC168" i="19"/>
  <c r="BD168" i="19"/>
  <c r="AV169" i="19"/>
  <c r="AW169" i="19"/>
  <c r="AX169" i="19"/>
  <c r="AY169" i="19"/>
  <c r="AZ169" i="19"/>
  <c r="BA169" i="19"/>
  <c r="BB169" i="19"/>
  <c r="BC169" i="19"/>
  <c r="BD169" i="19"/>
  <c r="AV170" i="19"/>
  <c r="AW170" i="19"/>
  <c r="AX170" i="19"/>
  <c r="AY170" i="19"/>
  <c r="AZ170" i="19"/>
  <c r="BA170" i="19"/>
  <c r="BB170" i="19"/>
  <c r="BC170" i="19"/>
  <c r="BD170" i="19"/>
  <c r="AV171" i="19"/>
  <c r="AW171" i="19"/>
  <c r="AX171" i="19"/>
  <c r="AY171" i="19"/>
  <c r="AZ171" i="19"/>
  <c r="BA171" i="19"/>
  <c r="BB171" i="19"/>
  <c r="BC171" i="19"/>
  <c r="BD171" i="19"/>
  <c r="AV172" i="19"/>
  <c r="AW172" i="19"/>
  <c r="AX172" i="19"/>
  <c r="AY172" i="19"/>
  <c r="AZ172" i="19"/>
  <c r="BA172" i="19"/>
  <c r="BB172" i="19"/>
  <c r="BC172" i="19"/>
  <c r="BD172" i="19"/>
  <c r="AV173" i="19"/>
  <c r="AW173" i="19"/>
  <c r="AX173" i="19"/>
  <c r="AY173" i="19"/>
  <c r="AZ173" i="19"/>
  <c r="BA173" i="19"/>
  <c r="BB173" i="19"/>
  <c r="BC173" i="19"/>
  <c r="BD173" i="19"/>
  <c r="AV174" i="19"/>
  <c r="AW174" i="19"/>
  <c r="AX174" i="19"/>
  <c r="AY174" i="19"/>
  <c r="AZ174" i="19"/>
  <c r="BA174" i="19"/>
  <c r="BB174" i="19"/>
  <c r="BC174" i="19"/>
  <c r="BD174" i="19"/>
  <c r="AV175" i="19"/>
  <c r="AW175" i="19"/>
  <c r="AX175" i="19"/>
  <c r="AY175" i="19"/>
  <c r="AZ175" i="19"/>
  <c r="BA175" i="19"/>
  <c r="BB175" i="19"/>
  <c r="BC175" i="19"/>
  <c r="BD175" i="19"/>
  <c r="AV176" i="19"/>
  <c r="AW176" i="19"/>
  <c r="AX176" i="19"/>
  <c r="AY176" i="19"/>
  <c r="AZ176" i="19"/>
  <c r="BA176" i="19"/>
  <c r="BB176" i="19"/>
  <c r="BC176" i="19"/>
  <c r="BD176" i="19"/>
  <c r="AV177" i="19"/>
  <c r="AW177" i="19"/>
  <c r="AX177" i="19"/>
  <c r="AY177" i="19"/>
  <c r="AZ177" i="19"/>
  <c r="BA177" i="19"/>
  <c r="BB177" i="19"/>
  <c r="BC177" i="19"/>
  <c r="BD177" i="19"/>
  <c r="AV178" i="19"/>
  <c r="AW178" i="19"/>
  <c r="AX178" i="19"/>
  <c r="AY178" i="19"/>
  <c r="AZ178" i="19"/>
  <c r="BA178" i="19"/>
  <c r="BB178" i="19"/>
  <c r="BC178" i="19"/>
  <c r="BD178" i="19"/>
  <c r="AV179" i="19"/>
  <c r="AW179" i="19"/>
  <c r="AX179" i="19"/>
  <c r="AY179" i="19"/>
  <c r="AZ179" i="19"/>
  <c r="BA179" i="19"/>
  <c r="BB179" i="19"/>
  <c r="BC179" i="19"/>
  <c r="BD179" i="19"/>
  <c r="AV180" i="19"/>
  <c r="AW180" i="19"/>
  <c r="AX180" i="19"/>
  <c r="AY180" i="19"/>
  <c r="AZ180" i="19"/>
  <c r="BA180" i="19"/>
  <c r="BB180" i="19"/>
  <c r="BC180" i="19"/>
  <c r="BD180" i="19"/>
  <c r="AV181" i="19"/>
  <c r="AW181" i="19"/>
  <c r="AX181" i="19"/>
  <c r="AY181" i="19"/>
  <c r="AZ181" i="19"/>
  <c r="BA181" i="19"/>
  <c r="BB181" i="19"/>
  <c r="BC181" i="19"/>
  <c r="BD181" i="19"/>
  <c r="AV182" i="19"/>
  <c r="AW182" i="19"/>
  <c r="AX182" i="19"/>
  <c r="AY182" i="19"/>
  <c r="AZ182" i="19"/>
  <c r="BA182" i="19"/>
  <c r="BB182" i="19"/>
  <c r="BC182" i="19"/>
  <c r="BD182" i="19"/>
  <c r="AV183" i="19"/>
  <c r="AW183" i="19"/>
  <c r="AX183" i="19"/>
  <c r="AY183" i="19"/>
  <c r="AZ183" i="19"/>
  <c r="BA183" i="19"/>
  <c r="BB183" i="19"/>
  <c r="BC183" i="19"/>
  <c r="BD183" i="19"/>
  <c r="AV184" i="19"/>
  <c r="AW184" i="19"/>
  <c r="AX184" i="19"/>
  <c r="AY184" i="19"/>
  <c r="AZ184" i="19"/>
  <c r="BA184" i="19"/>
  <c r="BB184" i="19"/>
  <c r="BC184" i="19"/>
  <c r="BD184" i="19"/>
  <c r="AV185" i="19"/>
  <c r="AW185" i="19"/>
  <c r="AX185" i="19"/>
  <c r="AY185" i="19"/>
  <c r="AZ185" i="19"/>
  <c r="BA185" i="19"/>
  <c r="BB185" i="19"/>
  <c r="BC185" i="19"/>
  <c r="BD185" i="19"/>
  <c r="AV186" i="19"/>
  <c r="AW186" i="19"/>
  <c r="AX186" i="19"/>
  <c r="AY186" i="19"/>
  <c r="AZ186" i="19"/>
  <c r="BA186" i="19"/>
  <c r="BB186" i="19"/>
  <c r="BC186" i="19"/>
  <c r="BD186" i="19"/>
  <c r="AV187" i="19"/>
  <c r="AW187" i="19"/>
  <c r="AX187" i="19"/>
  <c r="AY187" i="19"/>
  <c r="AZ187" i="19"/>
  <c r="BA187" i="19"/>
  <c r="BB187" i="19"/>
  <c r="BC187" i="19"/>
  <c r="BD187" i="19"/>
  <c r="AV188" i="19"/>
  <c r="AW188" i="19"/>
  <c r="AX188" i="19"/>
  <c r="AY188" i="19"/>
  <c r="AZ188" i="19"/>
  <c r="BA188" i="19"/>
  <c r="BB188" i="19"/>
  <c r="BC188" i="19"/>
  <c r="BD188" i="19"/>
  <c r="AV189" i="19"/>
  <c r="AW189" i="19"/>
  <c r="AX189" i="19"/>
  <c r="AY189" i="19"/>
  <c r="AZ189" i="19"/>
  <c r="BA189" i="19"/>
  <c r="BB189" i="19"/>
  <c r="BC189" i="19"/>
  <c r="BD189" i="19"/>
  <c r="AV190" i="19"/>
  <c r="AW190" i="19"/>
  <c r="AX190" i="19"/>
  <c r="AY190" i="19"/>
  <c r="AZ190" i="19"/>
  <c r="BA190" i="19"/>
  <c r="BB190" i="19"/>
  <c r="BC190" i="19"/>
  <c r="BD190" i="19"/>
  <c r="AV191" i="19"/>
  <c r="AW191" i="19"/>
  <c r="AX191" i="19"/>
  <c r="AY191" i="19"/>
  <c r="AZ191" i="19"/>
  <c r="BA191" i="19"/>
  <c r="BB191" i="19"/>
  <c r="BC191" i="19"/>
  <c r="BD191" i="19"/>
  <c r="AV192" i="19"/>
  <c r="AW192" i="19"/>
  <c r="AX192" i="19"/>
  <c r="AY192" i="19"/>
  <c r="AZ192" i="19"/>
  <c r="BA192" i="19"/>
  <c r="BB192" i="19"/>
  <c r="BC192" i="19"/>
  <c r="BD192" i="19"/>
  <c r="AV193" i="19"/>
  <c r="AW193" i="19"/>
  <c r="AX193" i="19"/>
  <c r="AY193" i="19"/>
  <c r="AZ193" i="19"/>
  <c r="BA193" i="19"/>
  <c r="BB193" i="19"/>
  <c r="BC193" i="19"/>
  <c r="BD193" i="19"/>
  <c r="AV194" i="19"/>
  <c r="AW194" i="19"/>
  <c r="AX194" i="19"/>
  <c r="AY194" i="19"/>
  <c r="AZ194" i="19"/>
  <c r="BA194" i="19"/>
  <c r="BB194" i="19"/>
  <c r="BC194" i="19"/>
  <c r="BD194" i="19"/>
  <c r="AV195" i="19"/>
  <c r="AW195" i="19"/>
  <c r="AX195" i="19"/>
  <c r="AY195" i="19"/>
  <c r="AZ195" i="19"/>
  <c r="BA195" i="19"/>
  <c r="BB195" i="19"/>
  <c r="BC195" i="19"/>
  <c r="BD195" i="19"/>
  <c r="AV196" i="19"/>
  <c r="AW196" i="19"/>
  <c r="AX196" i="19"/>
  <c r="AY196" i="19"/>
  <c r="AZ196" i="19"/>
  <c r="BA196" i="19"/>
  <c r="BB196" i="19"/>
  <c r="BC196" i="19"/>
  <c r="BD196" i="19"/>
  <c r="AV197" i="19"/>
  <c r="AW197" i="19"/>
  <c r="AX197" i="19"/>
  <c r="AY197" i="19"/>
  <c r="AZ197" i="19"/>
  <c r="BA197" i="19"/>
  <c r="BB197" i="19"/>
  <c r="BC197" i="19"/>
  <c r="BD197" i="19"/>
  <c r="AV198" i="19"/>
  <c r="AW198" i="19"/>
  <c r="AX198" i="19"/>
  <c r="AY198" i="19"/>
  <c r="AZ198" i="19"/>
  <c r="BA198" i="19"/>
  <c r="BB198" i="19"/>
  <c r="BC198" i="19"/>
  <c r="BD198" i="19"/>
  <c r="AV199" i="19"/>
  <c r="AW199" i="19"/>
  <c r="AX199" i="19"/>
  <c r="AY199" i="19"/>
  <c r="AZ199" i="19"/>
  <c r="BA199" i="19"/>
  <c r="BB199" i="19"/>
  <c r="BC199" i="19"/>
  <c r="BD199" i="19"/>
  <c r="AV200" i="19"/>
  <c r="AW200" i="19"/>
  <c r="AX200" i="19"/>
  <c r="AY200" i="19"/>
  <c r="AZ200" i="19"/>
  <c r="BA200" i="19"/>
  <c r="BB200" i="19"/>
  <c r="BC200" i="19"/>
  <c r="BD200" i="19"/>
  <c r="AV201" i="19"/>
  <c r="AW201" i="19"/>
  <c r="AX201" i="19"/>
  <c r="AY201" i="19"/>
  <c r="AZ201" i="19"/>
  <c r="BA201" i="19"/>
  <c r="BB201" i="19"/>
  <c r="BC201" i="19"/>
  <c r="BD201" i="19"/>
  <c r="AV202" i="19"/>
  <c r="AW202" i="19"/>
  <c r="AX202" i="19"/>
  <c r="AY202" i="19"/>
  <c r="AZ202" i="19"/>
  <c r="BA202" i="19"/>
  <c r="BB202" i="19"/>
  <c r="BC202" i="19"/>
  <c r="BD202" i="19"/>
  <c r="AV203" i="19"/>
  <c r="AW203" i="19"/>
  <c r="AX203" i="19"/>
  <c r="AY203" i="19"/>
  <c r="AZ203" i="19"/>
  <c r="BA203" i="19"/>
  <c r="BB203" i="19"/>
  <c r="BC203" i="19"/>
  <c r="BD203" i="19"/>
  <c r="AV204" i="19"/>
  <c r="AW204" i="19"/>
  <c r="AX204" i="19"/>
  <c r="AY204" i="19"/>
  <c r="AZ204" i="19"/>
  <c r="BA204" i="19"/>
  <c r="BB204" i="19"/>
  <c r="BC204" i="19"/>
  <c r="BD204" i="19"/>
  <c r="AV205" i="19"/>
  <c r="AW205" i="19"/>
  <c r="AX205" i="19"/>
  <c r="AY205" i="19"/>
  <c r="AZ205" i="19"/>
  <c r="BA205" i="19"/>
  <c r="BB205" i="19"/>
  <c r="BC205" i="19"/>
  <c r="BD205" i="19"/>
  <c r="AV206" i="19"/>
  <c r="AW206" i="19"/>
  <c r="AX206" i="19"/>
  <c r="AY206" i="19"/>
  <c r="AZ206" i="19"/>
  <c r="BA206" i="19"/>
  <c r="BB206" i="19"/>
  <c r="BC206" i="19"/>
  <c r="BD206" i="19"/>
  <c r="AV207" i="19"/>
  <c r="AW207" i="19"/>
  <c r="AX207" i="19"/>
  <c r="AY207" i="19"/>
  <c r="AZ207" i="19"/>
  <c r="BA207" i="19"/>
  <c r="BB207" i="19"/>
  <c r="BC207" i="19"/>
  <c r="BD207" i="19"/>
  <c r="AV208" i="19"/>
  <c r="AW208" i="19"/>
  <c r="AX208" i="19"/>
  <c r="AY208" i="19"/>
  <c r="AZ208" i="19"/>
  <c r="BA208" i="19"/>
  <c r="BB208" i="19"/>
  <c r="BC208" i="19"/>
  <c r="BD208" i="19"/>
  <c r="AV209" i="19"/>
  <c r="AW209" i="19"/>
  <c r="AX209" i="19"/>
  <c r="AY209" i="19"/>
  <c r="AZ209" i="19"/>
  <c r="BA209" i="19"/>
  <c r="BB209" i="19"/>
  <c r="BC209" i="19"/>
  <c r="BD209" i="19"/>
  <c r="AV210" i="19"/>
  <c r="AW210" i="19"/>
  <c r="AX210" i="19"/>
  <c r="AY210" i="19"/>
  <c r="AZ210" i="19"/>
  <c r="BA210" i="19"/>
  <c r="BB210" i="19"/>
  <c r="BC210" i="19"/>
  <c r="BD210" i="19"/>
  <c r="AV211" i="19"/>
  <c r="AW211" i="19"/>
  <c r="AX211" i="19"/>
  <c r="AY211" i="19"/>
  <c r="AZ211" i="19"/>
  <c r="BA211" i="19"/>
  <c r="BB211" i="19"/>
  <c r="BC211" i="19"/>
  <c r="BD211" i="19"/>
  <c r="AV212" i="19"/>
  <c r="AW212" i="19"/>
  <c r="AX212" i="19"/>
  <c r="AY212" i="19"/>
  <c r="AZ212" i="19"/>
  <c r="BA212" i="19"/>
  <c r="BB212" i="19"/>
  <c r="BC212" i="19"/>
  <c r="BD212" i="19"/>
  <c r="AV213" i="19"/>
  <c r="AW213" i="19"/>
  <c r="AX213" i="19"/>
  <c r="AY213" i="19"/>
  <c r="AZ213" i="19"/>
  <c r="BA213" i="19"/>
  <c r="BB213" i="19"/>
  <c r="BC213" i="19"/>
  <c r="BD213" i="19"/>
  <c r="AV214" i="19"/>
  <c r="AW214" i="19"/>
  <c r="AX214" i="19"/>
  <c r="AY214" i="19"/>
  <c r="AZ214" i="19"/>
  <c r="BA214" i="19"/>
  <c r="BB214" i="19"/>
  <c r="BC214" i="19"/>
  <c r="BD214" i="19"/>
  <c r="AV215" i="19"/>
  <c r="AW215" i="19"/>
  <c r="AX215" i="19"/>
  <c r="AY215" i="19"/>
  <c r="AZ215" i="19"/>
  <c r="BA215" i="19"/>
  <c r="BB215" i="19"/>
  <c r="BC215" i="19"/>
  <c r="BD215" i="19"/>
  <c r="AV216" i="19"/>
  <c r="AW216" i="19"/>
  <c r="AX216" i="19"/>
  <c r="AY216" i="19"/>
  <c r="AZ216" i="19"/>
  <c r="BA216" i="19"/>
  <c r="BB216" i="19"/>
  <c r="BC216" i="19"/>
  <c r="BD216" i="19"/>
  <c r="AV217" i="19"/>
  <c r="AW217" i="19"/>
  <c r="AX217" i="19"/>
  <c r="AY217" i="19"/>
  <c r="AZ217" i="19"/>
  <c r="BA217" i="19"/>
  <c r="BB217" i="19"/>
  <c r="BC217" i="19"/>
  <c r="BD217" i="19"/>
  <c r="AV218" i="19"/>
  <c r="AW218" i="19"/>
  <c r="AX218" i="19"/>
  <c r="AY218" i="19"/>
  <c r="AZ218" i="19"/>
  <c r="BA218" i="19"/>
  <c r="BB218" i="19"/>
  <c r="BC218" i="19"/>
  <c r="BD218" i="19"/>
  <c r="AV219" i="19"/>
  <c r="AW219" i="19"/>
  <c r="AX219" i="19"/>
  <c r="AY219" i="19"/>
  <c r="AZ219" i="19"/>
  <c r="BA219" i="19"/>
  <c r="BB219" i="19"/>
  <c r="BC219" i="19"/>
  <c r="BD219" i="19"/>
  <c r="AV220" i="19"/>
  <c r="AW220" i="19"/>
  <c r="AX220" i="19"/>
  <c r="AY220" i="19"/>
  <c r="AZ220" i="19"/>
  <c r="BA220" i="19"/>
  <c r="BB220" i="19"/>
  <c r="BC220" i="19"/>
  <c r="BD220" i="19"/>
  <c r="AV221" i="19"/>
  <c r="AW221" i="19"/>
  <c r="AX221" i="19"/>
  <c r="AY221" i="19"/>
  <c r="AZ221" i="19"/>
  <c r="BA221" i="19"/>
  <c r="BB221" i="19"/>
  <c r="BC221" i="19"/>
  <c r="BD221" i="19"/>
  <c r="AV222" i="19"/>
  <c r="AW222" i="19"/>
  <c r="AX222" i="19"/>
  <c r="AY222" i="19"/>
  <c r="AZ222" i="19"/>
  <c r="BA222" i="19"/>
  <c r="BB222" i="19"/>
  <c r="BC222" i="19"/>
  <c r="BD222" i="19"/>
  <c r="AV223" i="19"/>
  <c r="AW223" i="19"/>
  <c r="AX223" i="19"/>
  <c r="AY223" i="19"/>
  <c r="AZ223" i="19"/>
  <c r="BA223" i="19"/>
  <c r="BB223" i="19"/>
  <c r="BC223" i="19"/>
  <c r="BD223" i="19"/>
  <c r="AV224" i="19"/>
  <c r="AW224" i="19"/>
  <c r="AX224" i="19"/>
  <c r="AY224" i="19"/>
  <c r="AZ224" i="19"/>
  <c r="BA224" i="19"/>
  <c r="BB224" i="19"/>
  <c r="BC224" i="19"/>
  <c r="BD224" i="19"/>
  <c r="AV225" i="19"/>
  <c r="AW225" i="19"/>
  <c r="AX225" i="19"/>
  <c r="AY225" i="19"/>
  <c r="AZ225" i="19"/>
  <c r="BA225" i="19"/>
  <c r="BB225" i="19"/>
  <c r="BC225" i="19"/>
  <c r="BD225" i="19"/>
  <c r="AV226" i="19"/>
  <c r="AW226" i="19"/>
  <c r="AX226" i="19"/>
  <c r="AY226" i="19"/>
  <c r="AZ226" i="19"/>
  <c r="BA226" i="19"/>
  <c r="BB226" i="19"/>
  <c r="BC226" i="19"/>
  <c r="BD226" i="19"/>
  <c r="AV227" i="19"/>
  <c r="AW227" i="19"/>
  <c r="AX227" i="19"/>
  <c r="AY227" i="19"/>
  <c r="AZ227" i="19"/>
  <c r="BA227" i="19"/>
  <c r="BB227" i="19"/>
  <c r="BC227" i="19"/>
  <c r="BD227" i="19"/>
  <c r="AV228" i="19"/>
  <c r="AW228" i="19"/>
  <c r="AX228" i="19"/>
  <c r="AY228" i="19"/>
  <c r="AZ228" i="19"/>
  <c r="BA228" i="19"/>
  <c r="BB228" i="19"/>
  <c r="BC228" i="19"/>
  <c r="BD228" i="19"/>
  <c r="AV229" i="19"/>
  <c r="AW229" i="19"/>
  <c r="AX229" i="19"/>
  <c r="AY229" i="19"/>
  <c r="AZ229" i="19"/>
  <c r="BA229" i="19"/>
  <c r="BB229" i="19"/>
  <c r="BC229" i="19"/>
  <c r="BD229" i="19"/>
  <c r="AV230" i="19"/>
  <c r="AW230" i="19"/>
  <c r="AX230" i="19"/>
  <c r="AY230" i="19"/>
  <c r="AZ230" i="19"/>
  <c r="BA230" i="19"/>
  <c r="BB230" i="19"/>
  <c r="BC230" i="19"/>
  <c r="BD230" i="19"/>
  <c r="AV231" i="19"/>
  <c r="AW231" i="19"/>
  <c r="AX231" i="19"/>
  <c r="AY231" i="19"/>
  <c r="AZ231" i="19"/>
  <c r="BA231" i="19"/>
  <c r="BB231" i="19"/>
  <c r="BC231" i="19"/>
  <c r="BD231" i="19"/>
  <c r="AV232" i="19"/>
  <c r="AW232" i="19"/>
  <c r="AX232" i="19"/>
  <c r="AY232" i="19"/>
  <c r="AZ232" i="19"/>
  <c r="BA232" i="19"/>
  <c r="BB232" i="19"/>
  <c r="BC232" i="19"/>
  <c r="BD232" i="19"/>
  <c r="AV233" i="19"/>
  <c r="AW233" i="19"/>
  <c r="AX233" i="19"/>
  <c r="AY233" i="19"/>
  <c r="AZ233" i="19"/>
  <c r="BA233" i="19"/>
  <c r="BB233" i="19"/>
  <c r="BC233" i="19"/>
  <c r="BD233" i="19"/>
  <c r="AV234" i="19"/>
  <c r="AW234" i="19"/>
  <c r="AX234" i="19"/>
  <c r="AY234" i="19"/>
  <c r="AZ234" i="19"/>
  <c r="BA234" i="19"/>
  <c r="BB234" i="19"/>
  <c r="BC234" i="19"/>
  <c r="BD234" i="19"/>
  <c r="AV235" i="19"/>
  <c r="AW235" i="19"/>
  <c r="AX235" i="19"/>
  <c r="AY235" i="19"/>
  <c r="AZ235" i="19"/>
  <c r="BA235" i="19"/>
  <c r="BB235" i="19"/>
  <c r="BC235" i="19"/>
  <c r="BD235" i="19"/>
  <c r="AV236" i="19"/>
  <c r="AW236" i="19"/>
  <c r="AX236" i="19"/>
  <c r="AY236" i="19"/>
  <c r="AZ236" i="19"/>
  <c r="BA236" i="19"/>
  <c r="BB236" i="19"/>
  <c r="BC236" i="19"/>
  <c r="BD236" i="19"/>
  <c r="AV237" i="19"/>
  <c r="AW237" i="19"/>
  <c r="AX237" i="19"/>
  <c r="AY237" i="19"/>
  <c r="AZ237" i="19"/>
  <c r="BA237" i="19"/>
  <c r="BB237" i="19"/>
  <c r="BC237" i="19"/>
  <c r="BD237" i="19"/>
  <c r="AV238" i="19"/>
  <c r="AW238" i="19"/>
  <c r="AX238" i="19"/>
  <c r="AY238" i="19"/>
  <c r="AZ238" i="19"/>
  <c r="BA238" i="19"/>
  <c r="BB238" i="19"/>
  <c r="BC238" i="19"/>
  <c r="BD238" i="19"/>
  <c r="AV239" i="19"/>
  <c r="AW239" i="19"/>
  <c r="AX239" i="19"/>
  <c r="AY239" i="19"/>
  <c r="AZ239" i="19"/>
  <c r="BA239" i="19"/>
  <c r="BB239" i="19"/>
  <c r="BC239" i="19"/>
  <c r="BD239" i="19"/>
  <c r="AV240" i="19"/>
  <c r="AW240" i="19"/>
  <c r="AX240" i="19"/>
  <c r="AY240" i="19"/>
  <c r="AZ240" i="19"/>
  <c r="BA240" i="19"/>
  <c r="BB240" i="19"/>
  <c r="BC240" i="19"/>
  <c r="BD240" i="19"/>
  <c r="AV241" i="19"/>
  <c r="AW241" i="19"/>
  <c r="AX241" i="19"/>
  <c r="AY241" i="19"/>
  <c r="AZ241" i="19"/>
  <c r="BA241" i="19"/>
  <c r="BB241" i="19"/>
  <c r="BC241" i="19"/>
  <c r="BD241" i="19"/>
  <c r="AV242" i="19"/>
  <c r="AW242" i="19"/>
  <c r="AX242" i="19"/>
  <c r="AY242" i="19"/>
  <c r="AZ242" i="19"/>
  <c r="BA242" i="19"/>
  <c r="BB242" i="19"/>
  <c r="BC242" i="19"/>
  <c r="BD242" i="19"/>
  <c r="AV243" i="19"/>
  <c r="AW243" i="19"/>
  <c r="AX243" i="19"/>
  <c r="AY243" i="19"/>
  <c r="AZ243" i="19"/>
  <c r="BA243" i="19"/>
  <c r="BB243" i="19"/>
  <c r="BC243" i="19"/>
  <c r="BD243" i="19"/>
  <c r="AV244" i="19"/>
  <c r="AW244" i="19"/>
  <c r="AX244" i="19"/>
  <c r="AY244" i="19"/>
  <c r="AZ244" i="19"/>
  <c r="BA244" i="19"/>
  <c r="BB244" i="19"/>
  <c r="BC244" i="19"/>
  <c r="BD244" i="19"/>
  <c r="AV245" i="19"/>
  <c r="AW245" i="19"/>
  <c r="AX245" i="19"/>
  <c r="AY245" i="19"/>
  <c r="AZ245" i="19"/>
  <c r="BA245" i="19"/>
  <c r="BB245" i="19"/>
  <c r="BC245" i="19"/>
  <c r="BD245" i="19"/>
  <c r="AV246" i="19"/>
  <c r="AW246" i="19"/>
  <c r="AX246" i="19"/>
  <c r="AY246" i="19"/>
  <c r="AZ246" i="19"/>
  <c r="BA246" i="19"/>
  <c r="BB246" i="19"/>
  <c r="BC246" i="19"/>
  <c r="BD246" i="19"/>
  <c r="AV247" i="19"/>
  <c r="AW247" i="19"/>
  <c r="AX247" i="19"/>
  <c r="AY247" i="19"/>
  <c r="AZ247" i="19"/>
  <c r="BA247" i="19"/>
  <c r="BB247" i="19"/>
  <c r="BC247" i="19"/>
  <c r="BD247" i="19"/>
  <c r="AV248" i="19"/>
  <c r="AW248" i="19"/>
  <c r="AX248" i="19"/>
  <c r="AY248" i="19"/>
  <c r="AZ248" i="19"/>
  <c r="BA248" i="19"/>
  <c r="BB248" i="19"/>
  <c r="BC248" i="19"/>
  <c r="BD248" i="19"/>
  <c r="AV249" i="19"/>
  <c r="AW249" i="19"/>
  <c r="AX249" i="19"/>
  <c r="AY249" i="19"/>
  <c r="AZ249" i="19"/>
  <c r="BA249" i="19"/>
  <c r="BB249" i="19"/>
  <c r="BC249" i="19"/>
  <c r="BD249" i="19"/>
  <c r="AV250" i="19"/>
  <c r="AW250" i="19"/>
  <c r="AX250" i="19"/>
  <c r="AY250" i="19"/>
  <c r="AZ250" i="19"/>
  <c r="BA250" i="19"/>
  <c r="BB250" i="19"/>
  <c r="BC250" i="19"/>
  <c r="BD250" i="19"/>
  <c r="AV251" i="19"/>
  <c r="AW251" i="19"/>
  <c r="AX251" i="19"/>
  <c r="AY251" i="19"/>
  <c r="AZ251" i="19"/>
  <c r="BA251" i="19"/>
  <c r="BB251" i="19"/>
  <c r="BC251" i="19"/>
  <c r="BD251" i="19"/>
  <c r="AV252" i="19"/>
  <c r="AW252" i="19"/>
  <c r="AX252" i="19"/>
  <c r="AY252" i="19"/>
  <c r="AZ252" i="19"/>
  <c r="BA252" i="19"/>
  <c r="BB252" i="19"/>
  <c r="BC252" i="19"/>
  <c r="BD252" i="19"/>
  <c r="AV253" i="19"/>
  <c r="AW253" i="19"/>
  <c r="AX253" i="19"/>
  <c r="AY253" i="19"/>
  <c r="AZ253" i="19"/>
  <c r="BA253" i="19"/>
  <c r="BB253" i="19"/>
  <c r="BC253" i="19"/>
  <c r="BD253" i="19"/>
  <c r="AV254" i="19"/>
  <c r="AW254" i="19"/>
  <c r="AX254" i="19"/>
  <c r="AY254" i="19"/>
  <c r="AZ254" i="19"/>
  <c r="BA254" i="19"/>
  <c r="BB254" i="19"/>
  <c r="BC254" i="19"/>
  <c r="BD254" i="19"/>
  <c r="AV255" i="19"/>
  <c r="AW255" i="19"/>
  <c r="AX255" i="19"/>
  <c r="AY255" i="19"/>
  <c r="AZ255" i="19"/>
  <c r="BA255" i="19"/>
  <c r="BB255" i="19"/>
  <c r="BC255" i="19"/>
  <c r="BD255" i="19"/>
  <c r="AV256" i="19"/>
  <c r="AW256" i="19"/>
  <c r="AX256" i="19"/>
  <c r="AY256" i="19"/>
  <c r="AZ256" i="19"/>
  <c r="BA256" i="19"/>
  <c r="BB256" i="19"/>
  <c r="BC256" i="19"/>
  <c r="BD256" i="19"/>
  <c r="AV257" i="19"/>
  <c r="AW257" i="19"/>
  <c r="AX257" i="19"/>
  <c r="AY257" i="19"/>
  <c r="AZ257" i="19"/>
  <c r="BA257" i="19"/>
  <c r="BB257" i="19"/>
  <c r="BC257" i="19"/>
  <c r="BD257" i="19"/>
  <c r="AV258" i="19"/>
  <c r="AW258" i="19"/>
  <c r="AX258" i="19"/>
  <c r="AY258" i="19"/>
  <c r="AZ258" i="19"/>
  <c r="BA258" i="19"/>
  <c r="BB258" i="19"/>
  <c r="BC258" i="19"/>
  <c r="BD258" i="19"/>
  <c r="AV259" i="19"/>
  <c r="AW259" i="19"/>
  <c r="AX259" i="19"/>
  <c r="AY259" i="19"/>
  <c r="AZ259" i="19"/>
  <c r="BA259" i="19"/>
  <c r="BB259" i="19"/>
  <c r="BC259" i="19"/>
  <c r="BD259" i="19"/>
  <c r="AV260" i="19"/>
  <c r="AW260" i="19"/>
  <c r="AX260" i="19"/>
  <c r="AY260" i="19"/>
  <c r="AZ260" i="19"/>
  <c r="BA260" i="19"/>
  <c r="BB260" i="19"/>
  <c r="BC260" i="19"/>
  <c r="BD260" i="19"/>
  <c r="AV261" i="19"/>
  <c r="AW261" i="19"/>
  <c r="AX261" i="19"/>
  <c r="AY261" i="19"/>
  <c r="AZ261" i="19"/>
  <c r="BA261" i="19"/>
  <c r="BB261" i="19"/>
  <c r="BC261" i="19"/>
  <c r="BD261" i="19"/>
  <c r="AV262" i="19"/>
  <c r="AW262" i="19"/>
  <c r="AX262" i="19"/>
  <c r="AY262" i="19"/>
  <c r="AZ262" i="19"/>
  <c r="BA262" i="19"/>
  <c r="BB262" i="19"/>
  <c r="BC262" i="19"/>
  <c r="BD262" i="19"/>
  <c r="AV263" i="19"/>
  <c r="AW263" i="19"/>
  <c r="AX263" i="19"/>
  <c r="AY263" i="19"/>
  <c r="AZ263" i="19"/>
  <c r="BA263" i="19"/>
  <c r="BB263" i="19"/>
  <c r="BC263" i="19"/>
  <c r="BD263" i="19"/>
  <c r="AV264" i="19"/>
  <c r="AW264" i="19"/>
  <c r="AX264" i="19"/>
  <c r="AY264" i="19"/>
  <c r="AZ264" i="19"/>
  <c r="BA264" i="19"/>
  <c r="BB264" i="19"/>
  <c r="BC264" i="19"/>
  <c r="BD264" i="19"/>
  <c r="AV265" i="19"/>
  <c r="AW265" i="19"/>
  <c r="AX265" i="19"/>
  <c r="AY265" i="19"/>
  <c r="AZ265" i="19"/>
  <c r="BA265" i="19"/>
  <c r="BB265" i="19"/>
  <c r="BC265" i="19"/>
  <c r="BD265" i="19"/>
  <c r="AV266" i="19"/>
  <c r="AW266" i="19"/>
  <c r="AX266" i="19"/>
  <c r="AY266" i="19"/>
  <c r="AZ266" i="19"/>
  <c r="BA266" i="19"/>
  <c r="BB266" i="19"/>
  <c r="BC266" i="19"/>
  <c r="BD266" i="19"/>
  <c r="AV267" i="19"/>
  <c r="AW267" i="19"/>
  <c r="AX267" i="19"/>
  <c r="AY267" i="19"/>
  <c r="AZ267" i="19"/>
  <c r="BA267" i="19"/>
  <c r="BB267" i="19"/>
  <c r="BC267" i="19"/>
  <c r="BD267" i="19"/>
  <c r="AV268" i="19"/>
  <c r="AW268" i="19"/>
  <c r="AX268" i="19"/>
  <c r="AY268" i="19"/>
  <c r="AZ268" i="19"/>
  <c r="BA268" i="19"/>
  <c r="BB268" i="19"/>
  <c r="BC268" i="19"/>
  <c r="BD268" i="19"/>
  <c r="AV269" i="19"/>
  <c r="AW269" i="19"/>
  <c r="AX269" i="19"/>
  <c r="AY269" i="19"/>
  <c r="AZ269" i="19"/>
  <c r="BA269" i="19"/>
  <c r="BB269" i="19"/>
  <c r="BC269" i="19"/>
  <c r="BD269" i="19"/>
  <c r="AV270" i="19"/>
  <c r="AW270" i="19"/>
  <c r="AX270" i="19"/>
  <c r="AY270" i="19"/>
  <c r="AZ270" i="19"/>
  <c r="BA270" i="19"/>
  <c r="BB270" i="19"/>
  <c r="BC270" i="19"/>
  <c r="BD270" i="19"/>
  <c r="AV271" i="19"/>
  <c r="AW271" i="19"/>
  <c r="AX271" i="19"/>
  <c r="AY271" i="19"/>
  <c r="AZ271" i="19"/>
  <c r="BA271" i="19"/>
  <c r="BB271" i="19"/>
  <c r="BC271" i="19"/>
  <c r="BD271" i="19"/>
  <c r="AV272" i="19"/>
  <c r="AW272" i="19"/>
  <c r="AX272" i="19"/>
  <c r="AY272" i="19"/>
  <c r="AZ272" i="19"/>
  <c r="BA272" i="19"/>
  <c r="BB272" i="19"/>
  <c r="BC272" i="19"/>
  <c r="BD272" i="19"/>
  <c r="AV273" i="19"/>
  <c r="AW273" i="19"/>
  <c r="AX273" i="19"/>
  <c r="AY273" i="19"/>
  <c r="AZ273" i="19"/>
  <c r="BA273" i="19"/>
  <c r="BB273" i="19"/>
  <c r="BC273" i="19"/>
  <c r="BD273" i="19"/>
  <c r="AV274" i="19"/>
  <c r="AW274" i="19"/>
  <c r="AX274" i="19"/>
  <c r="AY274" i="19"/>
  <c r="AZ274" i="19"/>
  <c r="BA274" i="19"/>
  <c r="BB274" i="19"/>
  <c r="BC274" i="19"/>
  <c r="BD274" i="19"/>
  <c r="AV275" i="19"/>
  <c r="AW275" i="19"/>
  <c r="AX275" i="19"/>
  <c r="AY275" i="19"/>
  <c r="AZ275" i="19"/>
  <c r="BA275" i="19"/>
  <c r="BB275" i="19"/>
  <c r="BC275" i="19"/>
  <c r="BD275" i="19"/>
  <c r="AV276" i="19"/>
  <c r="AW276" i="19"/>
  <c r="AX276" i="19"/>
  <c r="AY276" i="19"/>
  <c r="AZ276" i="19"/>
  <c r="BA276" i="19"/>
  <c r="BB276" i="19"/>
  <c r="BC276" i="19"/>
  <c r="BD276" i="19"/>
  <c r="AV277" i="19"/>
  <c r="AW277" i="19"/>
  <c r="AX277" i="19"/>
  <c r="AY277" i="19"/>
  <c r="AZ277" i="19"/>
  <c r="BA277" i="19"/>
  <c r="BB277" i="19"/>
  <c r="BC277" i="19"/>
  <c r="BD277" i="19"/>
  <c r="AV278" i="19"/>
  <c r="AW278" i="19"/>
  <c r="AX278" i="19"/>
  <c r="AY278" i="19"/>
  <c r="AZ278" i="19"/>
  <c r="BA278" i="19"/>
  <c r="BB278" i="19"/>
  <c r="BC278" i="19"/>
  <c r="BD278" i="19"/>
  <c r="AV279" i="19"/>
  <c r="AW279" i="19"/>
  <c r="AX279" i="19"/>
  <c r="AY279" i="19"/>
  <c r="AZ279" i="19"/>
  <c r="BA279" i="19"/>
  <c r="BB279" i="19"/>
  <c r="BC279" i="19"/>
  <c r="BD279" i="19"/>
  <c r="AV280" i="19"/>
  <c r="AW280" i="19"/>
  <c r="AX280" i="19"/>
  <c r="AY280" i="19"/>
  <c r="AZ280" i="19"/>
  <c r="BA280" i="19"/>
  <c r="BB280" i="19"/>
  <c r="BC280" i="19"/>
  <c r="BD280" i="19"/>
  <c r="AV281" i="19"/>
  <c r="AW281" i="19"/>
  <c r="AX281" i="19"/>
  <c r="AY281" i="19"/>
  <c r="AZ281" i="19"/>
  <c r="BA281" i="19"/>
  <c r="BB281" i="19"/>
  <c r="BC281" i="19"/>
  <c r="BD281" i="19"/>
  <c r="AV282" i="19"/>
  <c r="AW282" i="19"/>
  <c r="AX282" i="19"/>
  <c r="AY282" i="19"/>
  <c r="AZ282" i="19"/>
  <c r="BA282" i="19"/>
  <c r="BB282" i="19"/>
  <c r="BC282" i="19"/>
  <c r="BD282" i="19"/>
  <c r="AV283" i="19"/>
  <c r="AW283" i="19"/>
  <c r="AX283" i="19"/>
  <c r="AY283" i="19"/>
  <c r="AZ283" i="19"/>
  <c r="BA283" i="19"/>
  <c r="BB283" i="19"/>
  <c r="BC283" i="19"/>
  <c r="BD283" i="19"/>
  <c r="AV284" i="19"/>
  <c r="AW284" i="19"/>
  <c r="AX284" i="19"/>
  <c r="AY284" i="19"/>
  <c r="AZ284" i="19"/>
  <c r="BA284" i="19"/>
  <c r="BB284" i="19"/>
  <c r="BC284" i="19"/>
  <c r="BD284" i="19"/>
  <c r="AV285" i="19"/>
  <c r="AW285" i="19"/>
  <c r="AX285" i="19"/>
  <c r="AY285" i="19"/>
  <c r="AZ285" i="19"/>
  <c r="BA285" i="19"/>
  <c r="BB285" i="19"/>
  <c r="BC285" i="19"/>
  <c r="BD285" i="19"/>
  <c r="AV286" i="19"/>
  <c r="AW286" i="19"/>
  <c r="AX286" i="19"/>
  <c r="AY286" i="19"/>
  <c r="AZ286" i="19"/>
  <c r="BA286" i="19"/>
  <c r="BB286" i="19"/>
  <c r="BC286" i="19"/>
  <c r="BD286" i="19"/>
  <c r="AV287" i="19"/>
  <c r="AW287" i="19"/>
  <c r="AX287" i="19"/>
  <c r="AY287" i="19"/>
  <c r="AZ287" i="19"/>
  <c r="BA287" i="19"/>
  <c r="BB287" i="19"/>
  <c r="BC287" i="19"/>
  <c r="BD287" i="19"/>
  <c r="AV288" i="19"/>
  <c r="AW288" i="19"/>
  <c r="AX288" i="19"/>
  <c r="AY288" i="19"/>
  <c r="AZ288" i="19"/>
  <c r="BA288" i="19"/>
  <c r="BB288" i="19"/>
  <c r="BC288" i="19"/>
  <c r="BD288" i="19"/>
  <c r="AV289" i="19"/>
  <c r="AW289" i="19"/>
  <c r="AX289" i="19"/>
  <c r="AY289" i="19"/>
  <c r="AZ289" i="19"/>
  <c r="BA289" i="19"/>
  <c r="BB289" i="19"/>
  <c r="BC289" i="19"/>
  <c r="BD289" i="19"/>
  <c r="AV290" i="19"/>
  <c r="AW290" i="19"/>
  <c r="AX290" i="19"/>
  <c r="AY290" i="19"/>
  <c r="AZ290" i="19"/>
  <c r="BA290" i="19"/>
  <c r="BB290" i="19"/>
  <c r="BC290" i="19"/>
  <c r="BD290" i="19"/>
  <c r="AV291" i="19"/>
  <c r="AW291" i="19"/>
  <c r="AX291" i="19"/>
  <c r="AY291" i="19"/>
  <c r="AZ291" i="19"/>
  <c r="BA291" i="19"/>
  <c r="BB291" i="19"/>
  <c r="BC291" i="19"/>
  <c r="BD291" i="19"/>
  <c r="AV292" i="19"/>
  <c r="AW292" i="19"/>
  <c r="AX292" i="19"/>
  <c r="AY292" i="19"/>
  <c r="AZ292" i="19"/>
  <c r="BA292" i="19"/>
  <c r="BB292" i="19"/>
  <c r="BC292" i="19"/>
  <c r="BD292" i="19"/>
  <c r="AV293" i="19"/>
  <c r="AW293" i="19"/>
  <c r="AX293" i="19"/>
  <c r="AY293" i="19"/>
  <c r="AZ293" i="19"/>
  <c r="BA293" i="19"/>
  <c r="BB293" i="19"/>
  <c r="BC293" i="19"/>
  <c r="BD293" i="19"/>
  <c r="AV294" i="19"/>
  <c r="AW294" i="19"/>
  <c r="AX294" i="19"/>
  <c r="AY294" i="19"/>
  <c r="AZ294" i="19"/>
  <c r="BA294" i="19"/>
  <c r="BB294" i="19"/>
  <c r="BC294" i="19"/>
  <c r="BD294" i="19"/>
  <c r="AV295" i="19"/>
  <c r="AW295" i="19"/>
  <c r="AX295" i="19"/>
  <c r="AY295" i="19"/>
  <c r="AZ295" i="19"/>
  <c r="BA295" i="19"/>
  <c r="BB295" i="19"/>
  <c r="BC295" i="19"/>
  <c r="BD295" i="19"/>
  <c r="AV296" i="19"/>
  <c r="AW296" i="19"/>
  <c r="AX296" i="19"/>
  <c r="AY296" i="19"/>
  <c r="AZ296" i="19"/>
  <c r="BA296" i="19"/>
  <c r="BB296" i="19"/>
  <c r="BC296" i="19"/>
  <c r="BD296" i="19"/>
  <c r="AV297" i="19"/>
  <c r="AW297" i="19"/>
  <c r="AX297" i="19"/>
  <c r="AY297" i="19"/>
  <c r="AZ297" i="19"/>
  <c r="BA297" i="19"/>
  <c r="BB297" i="19"/>
  <c r="BC297" i="19"/>
  <c r="BD297" i="19"/>
  <c r="AV298" i="19"/>
  <c r="AW298" i="19"/>
  <c r="AX298" i="19"/>
  <c r="AY298" i="19"/>
  <c r="AZ298" i="19"/>
  <c r="BA298" i="19"/>
  <c r="BB298" i="19"/>
  <c r="BC298" i="19"/>
  <c r="BD298" i="19"/>
  <c r="AV299" i="19"/>
  <c r="AW299" i="19"/>
  <c r="AX299" i="19"/>
  <c r="AY299" i="19"/>
  <c r="AZ299" i="19"/>
  <c r="BA299" i="19"/>
  <c r="BB299" i="19"/>
  <c r="BC299" i="19"/>
  <c r="BD299" i="19"/>
  <c r="AV300" i="19"/>
  <c r="AW300" i="19"/>
  <c r="AX300" i="19"/>
  <c r="AY300" i="19"/>
  <c r="AZ300" i="19"/>
  <c r="BA300" i="19"/>
  <c r="BB300" i="19"/>
  <c r="BC300" i="19"/>
  <c r="BD300" i="19"/>
  <c r="AV301" i="19"/>
  <c r="AW301" i="19"/>
  <c r="AX301" i="19"/>
  <c r="AY301" i="19"/>
  <c r="AZ301" i="19"/>
  <c r="BA301" i="19"/>
  <c r="BB301" i="19"/>
  <c r="BC301" i="19"/>
  <c r="BD301" i="19"/>
  <c r="AV302" i="19"/>
  <c r="AW302" i="19"/>
  <c r="AX302" i="19"/>
  <c r="AY302" i="19"/>
  <c r="AZ302" i="19"/>
  <c r="BA302" i="19"/>
  <c r="BB302" i="19"/>
  <c r="BC302" i="19"/>
  <c r="BD302" i="19"/>
  <c r="AV303" i="19"/>
  <c r="AW303" i="19"/>
  <c r="AX303" i="19"/>
  <c r="AY303" i="19"/>
  <c r="AZ303" i="19"/>
  <c r="BA303" i="19"/>
  <c r="BB303" i="19"/>
  <c r="BC303" i="19"/>
  <c r="BD303" i="19"/>
  <c r="AV304" i="19"/>
  <c r="AW304" i="19"/>
  <c r="AX304" i="19"/>
  <c r="AY304" i="19"/>
  <c r="AZ304" i="19"/>
  <c r="BA304" i="19"/>
  <c r="BB304" i="19"/>
  <c r="BC304" i="19"/>
  <c r="BD304" i="19"/>
  <c r="AV305" i="19"/>
  <c r="AW305" i="19"/>
  <c r="AX305" i="19"/>
  <c r="AY305" i="19"/>
  <c r="AZ305" i="19"/>
  <c r="BA305" i="19"/>
  <c r="BB305" i="19"/>
  <c r="BC305" i="19"/>
  <c r="BD305" i="19"/>
  <c r="AV306" i="19"/>
  <c r="AW306" i="19"/>
  <c r="AX306" i="19"/>
  <c r="AY306" i="19"/>
  <c r="AZ306" i="19"/>
  <c r="BA306" i="19"/>
  <c r="BB306" i="19"/>
  <c r="BC306" i="19"/>
  <c r="BD306" i="19"/>
  <c r="AV307" i="19"/>
  <c r="AW307" i="19"/>
  <c r="AX307" i="19"/>
  <c r="AY307" i="19"/>
  <c r="AZ307" i="19"/>
  <c r="BA307" i="19"/>
  <c r="BB307" i="19"/>
  <c r="BC307" i="19"/>
  <c r="BD307" i="19"/>
  <c r="AV308" i="19"/>
  <c r="AW308" i="19"/>
  <c r="AX308" i="19"/>
  <c r="AY308" i="19"/>
  <c r="AZ308" i="19"/>
  <c r="BA308" i="19"/>
  <c r="BB308" i="19"/>
  <c r="BC308" i="19"/>
  <c r="BD308" i="19"/>
  <c r="AV309" i="19"/>
  <c r="AW309" i="19"/>
  <c r="AX309" i="19"/>
  <c r="AY309" i="19"/>
  <c r="AZ309" i="19"/>
  <c r="BA309" i="19"/>
  <c r="BB309" i="19"/>
  <c r="BC309" i="19"/>
  <c r="BD309" i="19"/>
  <c r="AV310" i="19"/>
  <c r="AW310" i="19"/>
  <c r="AX310" i="19"/>
  <c r="AY310" i="19"/>
  <c r="AZ310" i="19"/>
  <c r="BA310" i="19"/>
  <c r="BB310" i="19"/>
  <c r="BC310" i="19"/>
  <c r="BD310" i="19"/>
  <c r="AV311" i="19"/>
  <c r="AW311" i="19"/>
  <c r="AX311" i="19"/>
  <c r="AY311" i="19"/>
  <c r="AZ311" i="19"/>
  <c r="BA311" i="19"/>
  <c r="BB311" i="19"/>
  <c r="BC311" i="19"/>
  <c r="BD311" i="19"/>
  <c r="AV312" i="19"/>
  <c r="AW312" i="19"/>
  <c r="AX312" i="19"/>
  <c r="AY312" i="19"/>
  <c r="AZ312" i="19"/>
  <c r="BA312" i="19"/>
  <c r="BB312" i="19"/>
  <c r="BC312" i="19"/>
  <c r="BD312" i="19"/>
  <c r="AV313" i="19"/>
  <c r="AW313" i="19"/>
  <c r="AX313" i="19"/>
  <c r="AY313" i="19"/>
  <c r="AZ313" i="19"/>
  <c r="BA313" i="19"/>
  <c r="BB313" i="19"/>
  <c r="BC313" i="19"/>
  <c r="BD313" i="19"/>
  <c r="AV314" i="19"/>
  <c r="AW314" i="19"/>
  <c r="AX314" i="19"/>
  <c r="AY314" i="19"/>
  <c r="AZ314" i="19"/>
  <c r="BA314" i="19"/>
  <c r="BB314" i="19"/>
  <c r="BC314" i="19"/>
  <c r="BD314" i="19"/>
  <c r="AV315" i="19"/>
  <c r="AW315" i="19"/>
  <c r="AX315" i="19"/>
  <c r="AY315" i="19"/>
  <c r="AZ315" i="19"/>
  <c r="BA315" i="19"/>
  <c r="BB315" i="19"/>
  <c r="BC315" i="19"/>
  <c r="BD315" i="19"/>
  <c r="AV316" i="19"/>
  <c r="AW316" i="19"/>
  <c r="AX316" i="19"/>
  <c r="AY316" i="19"/>
  <c r="AZ316" i="19"/>
  <c r="BA316" i="19"/>
  <c r="BB316" i="19"/>
  <c r="BC316" i="19"/>
  <c r="BD316" i="19"/>
  <c r="AV317" i="19"/>
  <c r="AW317" i="19"/>
  <c r="AX317" i="19"/>
  <c r="AY317" i="19"/>
  <c r="AZ317" i="19"/>
  <c r="BA317" i="19"/>
  <c r="BB317" i="19"/>
  <c r="BC317" i="19"/>
  <c r="BD317" i="19"/>
  <c r="AV318" i="19"/>
  <c r="AW318" i="19"/>
  <c r="AX318" i="19"/>
  <c r="AY318" i="19"/>
  <c r="AZ318" i="19"/>
  <c r="BA318" i="19"/>
  <c r="BB318" i="19"/>
  <c r="BC318" i="19"/>
  <c r="BD318" i="19"/>
  <c r="AV319" i="19"/>
  <c r="AW319" i="19"/>
  <c r="AX319" i="19"/>
  <c r="AY319" i="19"/>
  <c r="AZ319" i="19"/>
  <c r="BA319" i="19"/>
  <c r="BB319" i="19"/>
  <c r="BC319" i="19"/>
  <c r="BD319" i="19"/>
  <c r="AV320" i="19"/>
  <c r="AW320" i="19"/>
  <c r="AX320" i="19"/>
  <c r="AY320" i="19"/>
  <c r="AZ320" i="19"/>
  <c r="BA320" i="19"/>
  <c r="BB320" i="19"/>
  <c r="BC320" i="19"/>
  <c r="BD320" i="19"/>
  <c r="AV321" i="19"/>
  <c r="AW321" i="19"/>
  <c r="AX321" i="19"/>
  <c r="AY321" i="19"/>
  <c r="AZ321" i="19"/>
  <c r="BA321" i="19"/>
  <c r="BB321" i="19"/>
  <c r="BC321" i="19"/>
  <c r="BD321" i="19"/>
  <c r="AV322" i="19"/>
  <c r="AW322" i="19"/>
  <c r="AX322" i="19"/>
  <c r="AY322" i="19"/>
  <c r="AZ322" i="19"/>
  <c r="BA322" i="19"/>
  <c r="BB322" i="19"/>
  <c r="BC322" i="19"/>
  <c r="BD322" i="19"/>
  <c r="AV323" i="19"/>
  <c r="AW323" i="19"/>
  <c r="AX323" i="19"/>
  <c r="AY323" i="19"/>
  <c r="AZ323" i="19"/>
  <c r="BA323" i="19"/>
  <c r="BB323" i="19"/>
  <c r="BC323" i="19"/>
  <c r="BD323" i="19"/>
  <c r="AV324" i="19"/>
  <c r="AW324" i="19"/>
  <c r="AX324" i="19"/>
  <c r="AY324" i="19"/>
  <c r="AZ324" i="19"/>
  <c r="BA324" i="19"/>
  <c r="BB324" i="19"/>
  <c r="BC324" i="19"/>
  <c r="BD324" i="19"/>
  <c r="AV325" i="19"/>
  <c r="AW325" i="19"/>
  <c r="AX325" i="19"/>
  <c r="AY325" i="19"/>
  <c r="AZ325" i="19"/>
  <c r="BA325" i="19"/>
  <c r="BB325" i="19"/>
  <c r="BC325" i="19"/>
  <c r="BD325" i="19"/>
  <c r="AV326" i="19"/>
  <c r="AW326" i="19"/>
  <c r="AX326" i="19"/>
  <c r="AY326" i="19"/>
  <c r="AZ326" i="19"/>
  <c r="BA326" i="19"/>
  <c r="BB326" i="19"/>
  <c r="BC326" i="19"/>
  <c r="BD326" i="19"/>
  <c r="AV327" i="19"/>
  <c r="AW327" i="19"/>
  <c r="AX327" i="19"/>
  <c r="AY327" i="19"/>
  <c r="AZ327" i="19"/>
  <c r="BA327" i="19"/>
  <c r="BB327" i="19"/>
  <c r="BC327" i="19"/>
  <c r="BD327" i="19"/>
  <c r="AV328" i="19"/>
  <c r="AW328" i="19"/>
  <c r="AX328" i="19"/>
  <c r="AY328" i="19"/>
  <c r="AZ328" i="19"/>
  <c r="BA328" i="19"/>
  <c r="BB328" i="19"/>
  <c r="BC328" i="19"/>
  <c r="BD328" i="19"/>
  <c r="AV329" i="19"/>
  <c r="AW329" i="19"/>
  <c r="AX329" i="19"/>
  <c r="AY329" i="19"/>
  <c r="AZ329" i="19"/>
  <c r="BA329" i="19"/>
  <c r="BB329" i="19"/>
  <c r="BC329" i="19"/>
  <c r="BD329" i="19"/>
  <c r="AV330" i="19"/>
  <c r="AW330" i="19"/>
  <c r="AX330" i="19"/>
  <c r="AY330" i="19"/>
  <c r="AZ330" i="19"/>
  <c r="BA330" i="19"/>
  <c r="BB330" i="19"/>
  <c r="BC330" i="19"/>
  <c r="BD330" i="19"/>
  <c r="AV331" i="19"/>
  <c r="AW331" i="19"/>
  <c r="AX331" i="19"/>
  <c r="AY331" i="19"/>
  <c r="AZ331" i="19"/>
  <c r="BA331" i="19"/>
  <c r="BB331" i="19"/>
  <c r="BC331" i="19"/>
  <c r="BD331" i="19"/>
  <c r="AV332" i="19"/>
  <c r="AW332" i="19"/>
  <c r="AX332" i="19"/>
  <c r="AY332" i="19"/>
  <c r="AZ332" i="19"/>
  <c r="BA332" i="19"/>
  <c r="BB332" i="19"/>
  <c r="BC332" i="19"/>
  <c r="BD332" i="19"/>
  <c r="AV333" i="19"/>
  <c r="AW333" i="19"/>
  <c r="AX333" i="19"/>
  <c r="AY333" i="19"/>
  <c r="AZ333" i="19"/>
  <c r="BA333" i="19"/>
  <c r="BB333" i="19"/>
  <c r="BC333" i="19"/>
  <c r="BD333" i="19"/>
  <c r="AV334" i="19"/>
  <c r="AW334" i="19"/>
  <c r="AX334" i="19"/>
  <c r="AY334" i="19"/>
  <c r="AZ334" i="19"/>
  <c r="BA334" i="19"/>
  <c r="BB334" i="19"/>
  <c r="BC334" i="19"/>
  <c r="BD334" i="19"/>
  <c r="AV335" i="19"/>
  <c r="AW335" i="19"/>
  <c r="AX335" i="19"/>
  <c r="AY335" i="19"/>
  <c r="AZ335" i="19"/>
  <c r="BA335" i="19"/>
  <c r="BB335" i="19"/>
  <c r="BC335" i="19"/>
  <c r="BD335" i="19"/>
  <c r="AV336" i="19"/>
  <c r="AW336" i="19"/>
  <c r="AX336" i="19"/>
  <c r="AY336" i="19"/>
  <c r="AZ336" i="19"/>
  <c r="BA336" i="19"/>
  <c r="BB336" i="19"/>
  <c r="BC336" i="19"/>
  <c r="BD336" i="19"/>
  <c r="AV337" i="19"/>
  <c r="AW337" i="19"/>
  <c r="AX337" i="19"/>
  <c r="AY337" i="19"/>
  <c r="AZ337" i="19"/>
  <c r="BA337" i="19"/>
  <c r="BB337" i="19"/>
  <c r="BC337" i="19"/>
  <c r="BD337" i="19"/>
  <c r="AV338" i="19"/>
  <c r="AW338" i="19"/>
  <c r="AX338" i="19"/>
  <c r="AY338" i="19"/>
  <c r="AZ338" i="19"/>
  <c r="BA338" i="19"/>
  <c r="BB338" i="19"/>
  <c r="BC338" i="19"/>
  <c r="BD338" i="19"/>
  <c r="AV339" i="19"/>
  <c r="AW339" i="19"/>
  <c r="AX339" i="19"/>
  <c r="AY339" i="19"/>
  <c r="AZ339" i="19"/>
  <c r="BA339" i="19"/>
  <c r="BB339" i="19"/>
  <c r="BC339" i="19"/>
  <c r="BD339" i="19"/>
  <c r="AV340" i="19"/>
  <c r="AW340" i="19"/>
  <c r="AX340" i="19"/>
  <c r="AY340" i="19"/>
  <c r="AZ340" i="19"/>
  <c r="BA340" i="19"/>
  <c r="BB340" i="19"/>
  <c r="BC340" i="19"/>
  <c r="BD340" i="19"/>
  <c r="AV341" i="19"/>
  <c r="AW341" i="19"/>
  <c r="AX341" i="19"/>
  <c r="AY341" i="19"/>
  <c r="AZ341" i="19"/>
  <c r="BA341" i="19"/>
  <c r="BB341" i="19"/>
  <c r="BC341" i="19"/>
  <c r="BD341" i="19"/>
  <c r="AV342" i="19"/>
  <c r="AW342" i="19"/>
  <c r="AX342" i="19"/>
  <c r="AY342" i="19"/>
  <c r="AZ342" i="19"/>
  <c r="BA342" i="19"/>
  <c r="BB342" i="19"/>
  <c r="BC342" i="19"/>
  <c r="BD342" i="19"/>
  <c r="AV343" i="19"/>
  <c r="AW343" i="19"/>
  <c r="AX343" i="19"/>
  <c r="AY343" i="19"/>
  <c r="AZ343" i="19"/>
  <c r="BA343" i="19"/>
  <c r="BB343" i="19"/>
  <c r="BC343" i="19"/>
  <c r="BD343" i="19"/>
  <c r="AV344" i="19"/>
  <c r="AW344" i="19"/>
  <c r="AX344" i="19"/>
  <c r="AY344" i="19"/>
  <c r="AZ344" i="19"/>
  <c r="BA344" i="19"/>
  <c r="BB344" i="19"/>
  <c r="BC344" i="19"/>
  <c r="BD344" i="19"/>
  <c r="AV345" i="19"/>
  <c r="AW345" i="19"/>
  <c r="AX345" i="19"/>
  <c r="AY345" i="19"/>
  <c r="AZ345" i="19"/>
  <c r="BA345" i="19"/>
  <c r="BB345" i="19"/>
  <c r="BC345" i="19"/>
  <c r="BD345" i="19"/>
  <c r="AV346" i="19"/>
  <c r="AW346" i="19"/>
  <c r="AX346" i="19"/>
  <c r="AY346" i="19"/>
  <c r="AZ346" i="19"/>
  <c r="BA346" i="19"/>
  <c r="BB346" i="19"/>
  <c r="BC346" i="19"/>
  <c r="BD346" i="19"/>
  <c r="AV347" i="19"/>
  <c r="AW347" i="19"/>
  <c r="AX347" i="19"/>
  <c r="AY347" i="19"/>
  <c r="AZ347" i="19"/>
  <c r="BA347" i="19"/>
  <c r="BB347" i="19"/>
  <c r="BC347" i="19"/>
  <c r="BD347" i="19"/>
  <c r="AV348" i="19"/>
  <c r="AW348" i="19"/>
  <c r="AX348" i="19"/>
  <c r="AY348" i="19"/>
  <c r="AZ348" i="19"/>
  <c r="BA348" i="19"/>
  <c r="BB348" i="19"/>
  <c r="BC348" i="19"/>
  <c r="BD348" i="19"/>
  <c r="AV349" i="19"/>
  <c r="AW349" i="19"/>
  <c r="AX349" i="19"/>
  <c r="AY349" i="19"/>
  <c r="AZ349" i="19"/>
  <c r="BA349" i="19"/>
  <c r="BB349" i="19"/>
  <c r="BC349" i="19"/>
  <c r="BD349" i="19"/>
  <c r="AV350" i="19"/>
  <c r="AW350" i="19"/>
  <c r="AX350" i="19"/>
  <c r="AY350" i="19"/>
  <c r="AZ350" i="19"/>
  <c r="BA350" i="19"/>
  <c r="BB350" i="19"/>
  <c r="BC350" i="19"/>
  <c r="BD350" i="19"/>
  <c r="AV351" i="19"/>
  <c r="AW351" i="19"/>
  <c r="AX351" i="19"/>
  <c r="AY351" i="19"/>
  <c r="AZ351" i="19"/>
  <c r="BA351" i="19"/>
  <c r="BB351" i="19"/>
  <c r="BC351" i="19"/>
  <c r="BD351" i="19"/>
  <c r="AV352" i="19"/>
  <c r="AW352" i="19"/>
  <c r="AX352" i="19"/>
  <c r="AY352" i="19"/>
  <c r="AZ352" i="19"/>
  <c r="BA352" i="19"/>
  <c r="BB352" i="19"/>
  <c r="BC352" i="19"/>
  <c r="BD352" i="19"/>
  <c r="AV353" i="19"/>
  <c r="AW353" i="19"/>
  <c r="AX353" i="19"/>
  <c r="AY353" i="19"/>
  <c r="AZ353" i="19"/>
  <c r="BA353" i="19"/>
  <c r="BB353" i="19"/>
  <c r="BC353" i="19"/>
  <c r="BD353" i="19"/>
  <c r="AV354" i="19"/>
  <c r="AW354" i="19"/>
  <c r="AX354" i="19"/>
  <c r="AY354" i="19"/>
  <c r="AZ354" i="19"/>
  <c r="BA354" i="19"/>
  <c r="BB354" i="19"/>
  <c r="BC354" i="19"/>
  <c r="BD354" i="19"/>
  <c r="AV355" i="19"/>
  <c r="AW355" i="19"/>
  <c r="AX355" i="19"/>
  <c r="AY355" i="19"/>
  <c r="AZ355" i="19"/>
  <c r="BA355" i="19"/>
  <c r="BB355" i="19"/>
  <c r="BC355" i="19"/>
  <c r="BD355" i="19"/>
  <c r="AV356" i="19"/>
  <c r="AW356" i="19"/>
  <c r="AX356" i="19"/>
  <c r="AY356" i="19"/>
  <c r="AZ356" i="19"/>
  <c r="BA356" i="19"/>
  <c r="BB356" i="19"/>
  <c r="BC356" i="19"/>
  <c r="BD356" i="19"/>
  <c r="AV357" i="19"/>
  <c r="AW357" i="19"/>
  <c r="AX357" i="19"/>
  <c r="AY357" i="19"/>
  <c r="AZ357" i="19"/>
  <c r="BA357" i="19"/>
  <c r="BB357" i="19"/>
  <c r="BC357" i="19"/>
  <c r="BD357" i="19"/>
  <c r="AV358" i="19"/>
  <c r="AW358" i="19"/>
  <c r="AX358" i="19"/>
  <c r="AY358" i="19"/>
  <c r="AZ358" i="19"/>
  <c r="BA358" i="19"/>
  <c r="BB358" i="19"/>
  <c r="BC358" i="19"/>
  <c r="BD358" i="19"/>
  <c r="AV359" i="19"/>
  <c r="AW359" i="19"/>
  <c r="AX359" i="19"/>
  <c r="AY359" i="19"/>
  <c r="AZ359" i="19"/>
  <c r="BA359" i="19"/>
  <c r="BB359" i="19"/>
  <c r="BC359" i="19"/>
  <c r="BD359" i="19"/>
  <c r="AV360" i="19"/>
  <c r="AW360" i="19"/>
  <c r="AX360" i="19"/>
  <c r="AY360" i="19"/>
  <c r="AZ360" i="19"/>
  <c r="BA360" i="19"/>
  <c r="BB360" i="19"/>
  <c r="BC360" i="19"/>
  <c r="BD360" i="19"/>
  <c r="AV361" i="19"/>
  <c r="AW361" i="19"/>
  <c r="AX361" i="19"/>
  <c r="AY361" i="19"/>
  <c r="AZ361" i="19"/>
  <c r="BA361" i="19"/>
  <c r="BB361" i="19"/>
  <c r="BC361" i="19"/>
  <c r="BD361" i="19"/>
  <c r="AV362" i="19"/>
  <c r="AW362" i="19"/>
  <c r="AX362" i="19"/>
  <c r="AY362" i="19"/>
  <c r="AZ362" i="19"/>
  <c r="BA362" i="19"/>
  <c r="BB362" i="19"/>
  <c r="BC362" i="19"/>
  <c r="BD362" i="19"/>
  <c r="AV363" i="19"/>
  <c r="AW363" i="19"/>
  <c r="AX363" i="19"/>
  <c r="AY363" i="19"/>
  <c r="AZ363" i="19"/>
  <c r="BA363" i="19"/>
  <c r="BB363" i="19"/>
  <c r="BC363" i="19"/>
  <c r="BD363" i="19"/>
  <c r="AV364" i="19"/>
  <c r="AW364" i="19"/>
  <c r="AX364" i="19"/>
  <c r="AY364" i="19"/>
  <c r="AZ364" i="19"/>
  <c r="BA364" i="19"/>
  <c r="BB364" i="19"/>
  <c r="BC364" i="19"/>
  <c r="BD364" i="19"/>
  <c r="AV365" i="19"/>
  <c r="AW365" i="19"/>
  <c r="AX365" i="19"/>
  <c r="AY365" i="19"/>
  <c r="AZ365" i="19"/>
  <c r="BA365" i="19"/>
  <c r="BB365" i="19"/>
  <c r="BC365" i="19"/>
  <c r="BD365" i="19"/>
  <c r="AV366" i="19"/>
  <c r="AW366" i="19"/>
  <c r="AX366" i="19"/>
  <c r="AY366" i="19"/>
  <c r="AZ366" i="19"/>
  <c r="BA366" i="19"/>
  <c r="BB366" i="19"/>
  <c r="BC366" i="19"/>
  <c r="BD366" i="19"/>
  <c r="AV367" i="19"/>
  <c r="AW367" i="19"/>
  <c r="AX367" i="19"/>
  <c r="AY367" i="19"/>
  <c r="AZ367" i="19"/>
  <c r="BA367" i="19"/>
  <c r="BB367" i="19"/>
  <c r="BC367" i="19"/>
  <c r="BD367" i="19"/>
  <c r="AV368" i="19"/>
  <c r="AW368" i="19"/>
  <c r="AX368" i="19"/>
  <c r="AY368" i="19"/>
  <c r="AZ368" i="19"/>
  <c r="BA368" i="19"/>
  <c r="BB368" i="19"/>
  <c r="BC368" i="19"/>
  <c r="BD368" i="19"/>
  <c r="AV369" i="19"/>
  <c r="AW369" i="19"/>
  <c r="AX369" i="19"/>
  <c r="AY369" i="19"/>
  <c r="AZ369" i="19"/>
  <c r="BA369" i="19"/>
  <c r="BB369" i="19"/>
  <c r="BC369" i="19"/>
  <c r="BD369" i="19"/>
  <c r="AV370" i="19"/>
  <c r="AW370" i="19"/>
  <c r="AX370" i="19"/>
  <c r="AY370" i="19"/>
  <c r="AZ370" i="19"/>
  <c r="BA370" i="19"/>
  <c r="BB370" i="19"/>
  <c r="BC370" i="19"/>
  <c r="BD370" i="19"/>
  <c r="AV371" i="19"/>
  <c r="AW371" i="19"/>
  <c r="AX371" i="19"/>
  <c r="AY371" i="19"/>
  <c r="AZ371" i="19"/>
  <c r="BA371" i="19"/>
  <c r="BB371" i="19"/>
  <c r="BC371" i="19"/>
  <c r="BD371" i="19"/>
  <c r="AV372" i="19"/>
  <c r="AW372" i="19"/>
  <c r="AX372" i="19"/>
  <c r="AY372" i="19"/>
  <c r="AZ372" i="19"/>
  <c r="BA372" i="19"/>
  <c r="BB372" i="19"/>
  <c r="BC372" i="19"/>
  <c r="BD372" i="19"/>
  <c r="AV373" i="19"/>
  <c r="AW373" i="19"/>
  <c r="AX373" i="19"/>
  <c r="AY373" i="19"/>
  <c r="AZ373" i="19"/>
  <c r="BA373" i="19"/>
  <c r="BB373" i="19"/>
  <c r="BC373" i="19"/>
  <c r="BD373" i="19"/>
  <c r="AV374" i="19"/>
  <c r="AW374" i="19"/>
  <c r="AX374" i="19"/>
  <c r="AY374" i="19"/>
  <c r="AZ374" i="19"/>
  <c r="BA374" i="19"/>
  <c r="BB374" i="19"/>
  <c r="BC374" i="19"/>
  <c r="BD374" i="19"/>
  <c r="AV375" i="19"/>
  <c r="AW375" i="19"/>
  <c r="AX375" i="19"/>
  <c r="AY375" i="19"/>
  <c r="AZ375" i="19"/>
  <c r="BA375" i="19"/>
  <c r="BB375" i="19"/>
  <c r="BC375" i="19"/>
  <c r="BD375" i="19"/>
  <c r="AV376" i="19"/>
  <c r="AW376" i="19"/>
  <c r="AX376" i="19"/>
  <c r="AY376" i="19"/>
  <c r="AZ376" i="19"/>
  <c r="BA376" i="19"/>
  <c r="BB376" i="19"/>
  <c r="BC376" i="19"/>
  <c r="BD376" i="19"/>
  <c r="AV377" i="19"/>
  <c r="AW377" i="19"/>
  <c r="AX377" i="19"/>
  <c r="AY377" i="19"/>
  <c r="AZ377" i="19"/>
  <c r="BA377" i="19"/>
  <c r="BB377" i="19"/>
  <c r="BC377" i="19"/>
  <c r="BD377" i="19"/>
  <c r="AV378" i="19"/>
  <c r="AW378" i="19"/>
  <c r="AX378" i="19"/>
  <c r="AY378" i="19"/>
  <c r="AZ378" i="19"/>
  <c r="BA378" i="19"/>
  <c r="BB378" i="19"/>
  <c r="BC378" i="19"/>
  <c r="BD378" i="19"/>
  <c r="AV379" i="19"/>
  <c r="AW379" i="19"/>
  <c r="AX379" i="19"/>
  <c r="AY379" i="19"/>
  <c r="AZ379" i="19"/>
  <c r="BA379" i="19"/>
  <c r="BB379" i="19"/>
  <c r="BC379" i="19"/>
  <c r="BD379" i="19"/>
  <c r="AV380" i="19"/>
  <c r="AW380" i="19"/>
  <c r="AX380" i="19"/>
  <c r="AY380" i="19"/>
  <c r="AZ380" i="19"/>
  <c r="BA380" i="19"/>
  <c r="BB380" i="19"/>
  <c r="BC380" i="19"/>
  <c r="BD380" i="19"/>
  <c r="AV381" i="19"/>
  <c r="AW381" i="19"/>
  <c r="AX381" i="19"/>
  <c r="AY381" i="19"/>
  <c r="AZ381" i="19"/>
  <c r="BA381" i="19"/>
  <c r="BB381" i="19"/>
  <c r="BC381" i="19"/>
  <c r="BD381" i="19"/>
  <c r="AV382" i="19"/>
  <c r="AW382" i="19"/>
  <c r="AX382" i="19"/>
  <c r="AY382" i="19"/>
  <c r="AZ382" i="19"/>
  <c r="BA382" i="19"/>
  <c r="BB382" i="19"/>
  <c r="BC382" i="19"/>
  <c r="BD382" i="19"/>
  <c r="AV383" i="19"/>
  <c r="AW383" i="19"/>
  <c r="AX383" i="19"/>
  <c r="AY383" i="19"/>
  <c r="AZ383" i="19"/>
  <c r="BA383" i="19"/>
  <c r="BB383" i="19"/>
  <c r="BC383" i="19"/>
  <c r="BD383" i="19"/>
  <c r="AV384" i="19"/>
  <c r="AW384" i="19"/>
  <c r="AX384" i="19"/>
  <c r="AY384" i="19"/>
  <c r="AZ384" i="19"/>
  <c r="BA384" i="19"/>
  <c r="BB384" i="19"/>
  <c r="BC384" i="19"/>
  <c r="BD384" i="19"/>
  <c r="AV385" i="19"/>
  <c r="AW385" i="19"/>
  <c r="AX385" i="19"/>
  <c r="AY385" i="19"/>
  <c r="AZ385" i="19"/>
  <c r="BA385" i="19"/>
  <c r="BB385" i="19"/>
  <c r="BC385" i="19"/>
  <c r="BD385" i="19"/>
  <c r="AV386" i="19"/>
  <c r="AW386" i="19"/>
  <c r="AX386" i="19"/>
  <c r="AY386" i="19"/>
  <c r="AZ386" i="19"/>
  <c r="BA386" i="19"/>
  <c r="BB386" i="19"/>
  <c r="BC386" i="19"/>
  <c r="BD386" i="19"/>
  <c r="AV387" i="19"/>
  <c r="AW387" i="19"/>
  <c r="AX387" i="19"/>
  <c r="AY387" i="19"/>
  <c r="AZ387" i="19"/>
  <c r="BA387" i="19"/>
  <c r="BB387" i="19"/>
  <c r="BC387" i="19"/>
  <c r="BD387" i="19"/>
  <c r="AV388" i="19"/>
  <c r="AW388" i="19"/>
  <c r="AX388" i="19"/>
  <c r="AY388" i="19"/>
  <c r="AZ388" i="19"/>
  <c r="BA388" i="19"/>
  <c r="BB388" i="19"/>
  <c r="BC388" i="19"/>
  <c r="BD388" i="19"/>
  <c r="AV389" i="19"/>
  <c r="AW389" i="19"/>
  <c r="AX389" i="19"/>
  <c r="AY389" i="19"/>
  <c r="AZ389" i="19"/>
  <c r="BA389" i="19"/>
  <c r="BB389" i="19"/>
  <c r="BC389" i="19"/>
  <c r="BD389" i="19"/>
  <c r="AV390" i="19"/>
  <c r="AW390" i="19"/>
  <c r="AX390" i="19"/>
  <c r="AY390" i="19"/>
  <c r="AZ390" i="19"/>
  <c r="BA390" i="19"/>
  <c r="BB390" i="19"/>
  <c r="BC390" i="19"/>
  <c r="BD390" i="19"/>
  <c r="AV391" i="19"/>
  <c r="AW391" i="19"/>
  <c r="AX391" i="19"/>
  <c r="AY391" i="19"/>
  <c r="AZ391" i="19"/>
  <c r="BA391" i="19"/>
  <c r="BB391" i="19"/>
  <c r="BC391" i="19"/>
  <c r="BD391" i="19"/>
  <c r="AV392" i="19"/>
  <c r="AW392" i="19"/>
  <c r="AX392" i="19"/>
  <c r="AY392" i="19"/>
  <c r="AZ392" i="19"/>
  <c r="BA392" i="19"/>
  <c r="BB392" i="19"/>
  <c r="BC392" i="19"/>
  <c r="BD392" i="19"/>
  <c r="AV393" i="19"/>
  <c r="AW393" i="19"/>
  <c r="AX393" i="19"/>
  <c r="AY393" i="19"/>
  <c r="AZ393" i="19"/>
  <c r="BA393" i="19"/>
  <c r="BB393" i="19"/>
  <c r="BC393" i="19"/>
  <c r="BD393" i="19"/>
  <c r="AV394" i="19"/>
  <c r="AW394" i="19"/>
  <c r="AX394" i="19"/>
  <c r="AY394" i="19"/>
  <c r="AZ394" i="19"/>
  <c r="BA394" i="19"/>
  <c r="BB394" i="19"/>
  <c r="BC394" i="19"/>
  <c r="BD394" i="19"/>
  <c r="AV395" i="19"/>
  <c r="AW395" i="19"/>
  <c r="AX395" i="19"/>
  <c r="AY395" i="19"/>
  <c r="AZ395" i="19"/>
  <c r="BA395" i="19"/>
  <c r="BB395" i="19"/>
  <c r="BC395" i="19"/>
  <c r="BD395" i="19"/>
  <c r="AV396" i="19"/>
  <c r="AW396" i="19"/>
  <c r="AX396" i="19"/>
  <c r="AY396" i="19"/>
  <c r="AZ396" i="19"/>
  <c r="BA396" i="19"/>
  <c r="BB396" i="19"/>
  <c r="BC396" i="19"/>
  <c r="BD396" i="19"/>
  <c r="AV397" i="19"/>
  <c r="AW397" i="19"/>
  <c r="AX397" i="19"/>
  <c r="AY397" i="19"/>
  <c r="AZ397" i="19"/>
  <c r="BA397" i="19"/>
  <c r="BB397" i="19"/>
  <c r="BC397" i="19"/>
  <c r="BD397" i="19"/>
  <c r="AV398" i="19"/>
  <c r="AW398" i="19"/>
  <c r="AX398" i="19"/>
  <c r="AY398" i="19"/>
  <c r="AZ398" i="19"/>
  <c r="BA398" i="19"/>
  <c r="BB398" i="19"/>
  <c r="BC398" i="19"/>
  <c r="BD398" i="19"/>
  <c r="AV399" i="19"/>
  <c r="AW399" i="19"/>
  <c r="AX399" i="19"/>
  <c r="AY399" i="19"/>
  <c r="AZ399" i="19"/>
  <c r="BA399" i="19"/>
  <c r="BB399" i="19"/>
  <c r="BC399" i="19"/>
  <c r="BD399" i="19"/>
  <c r="AV400" i="19"/>
  <c r="AW400" i="19"/>
  <c r="AX400" i="19"/>
  <c r="AY400" i="19"/>
  <c r="AZ400" i="19"/>
  <c r="BA400" i="19"/>
  <c r="BB400" i="19"/>
  <c r="BC400" i="19"/>
  <c r="BD400" i="19"/>
  <c r="AV401" i="19"/>
  <c r="AW401" i="19"/>
  <c r="AX401" i="19"/>
  <c r="AY401" i="19"/>
  <c r="AZ401" i="19"/>
  <c r="BA401" i="19"/>
  <c r="BB401" i="19"/>
  <c r="BC401" i="19"/>
  <c r="BD401" i="19"/>
  <c r="AV402" i="19"/>
  <c r="AW402" i="19"/>
  <c r="AX402" i="19"/>
  <c r="AY402" i="19"/>
  <c r="AZ402" i="19"/>
  <c r="BA402" i="19"/>
  <c r="BB402" i="19"/>
  <c r="BC402" i="19"/>
  <c r="BD402" i="19"/>
  <c r="AV403" i="19"/>
  <c r="AW403" i="19"/>
  <c r="AX403" i="19"/>
  <c r="AY403" i="19"/>
  <c r="AZ403" i="19"/>
  <c r="BA403" i="19"/>
  <c r="BB403" i="19"/>
  <c r="BC403" i="19"/>
  <c r="BD403" i="19"/>
  <c r="AV404" i="19"/>
  <c r="AW404" i="19"/>
  <c r="AX404" i="19"/>
  <c r="AY404" i="19"/>
  <c r="AZ404" i="19"/>
  <c r="BA404" i="19"/>
  <c r="BB404" i="19"/>
  <c r="BC404" i="19"/>
  <c r="BD404" i="19"/>
  <c r="AV405" i="19"/>
  <c r="AW405" i="19"/>
  <c r="AX405" i="19"/>
  <c r="AY405" i="19"/>
  <c r="AZ405" i="19"/>
  <c r="BA405" i="19"/>
  <c r="BB405" i="19"/>
  <c r="BC405" i="19"/>
  <c r="BD405" i="19"/>
  <c r="AV406" i="19"/>
  <c r="AW406" i="19"/>
  <c r="AX406" i="19"/>
  <c r="AY406" i="19"/>
  <c r="AZ406" i="19"/>
  <c r="BA406" i="19"/>
  <c r="BB406" i="19"/>
  <c r="BC406" i="19"/>
  <c r="BD406" i="19"/>
  <c r="AV407" i="19"/>
  <c r="AW407" i="19"/>
  <c r="AX407" i="19"/>
  <c r="AY407" i="19"/>
  <c r="AZ407" i="19"/>
  <c r="BA407" i="19"/>
  <c r="BB407" i="19"/>
  <c r="BC407" i="19"/>
  <c r="BD407" i="19"/>
  <c r="AV408" i="19"/>
  <c r="AW408" i="19"/>
  <c r="AX408" i="19"/>
  <c r="AY408" i="19"/>
  <c r="AZ408" i="19"/>
  <c r="BA408" i="19"/>
  <c r="BB408" i="19"/>
  <c r="BC408" i="19"/>
  <c r="BD408" i="19"/>
  <c r="AV409" i="19"/>
  <c r="AW409" i="19"/>
  <c r="AX409" i="19"/>
  <c r="AY409" i="19"/>
  <c r="AZ409" i="19"/>
  <c r="BA409" i="19"/>
  <c r="BB409" i="19"/>
  <c r="BC409" i="19"/>
  <c r="BD409" i="19"/>
  <c r="AV410" i="19"/>
  <c r="AW410" i="19"/>
  <c r="AX410" i="19"/>
  <c r="AY410" i="19"/>
  <c r="AZ410" i="19"/>
  <c r="BA410" i="19"/>
  <c r="BB410" i="19"/>
  <c r="BC410" i="19"/>
  <c r="BD410" i="19"/>
  <c r="AV411" i="19"/>
  <c r="AW411" i="19"/>
  <c r="AX411" i="19"/>
  <c r="AY411" i="19"/>
  <c r="AZ411" i="19"/>
  <c r="BA411" i="19"/>
  <c r="BB411" i="19"/>
  <c r="BC411" i="19"/>
  <c r="BD411" i="19"/>
  <c r="AV412" i="19"/>
  <c r="AW412" i="19"/>
  <c r="AX412" i="19"/>
  <c r="AY412" i="19"/>
  <c r="AZ412" i="19"/>
  <c r="BA412" i="19"/>
  <c r="BB412" i="19"/>
  <c r="BC412" i="19"/>
  <c r="BD412" i="19"/>
  <c r="AV413" i="19"/>
  <c r="AW413" i="19"/>
  <c r="AX413" i="19"/>
  <c r="AY413" i="19"/>
  <c r="AZ413" i="19"/>
  <c r="BA413" i="19"/>
  <c r="BB413" i="19"/>
  <c r="BC413" i="19"/>
  <c r="BD413" i="19"/>
  <c r="AV414" i="19"/>
  <c r="AW414" i="19"/>
  <c r="AX414" i="19"/>
  <c r="AY414" i="19"/>
  <c r="AZ414" i="19"/>
  <c r="BA414" i="19"/>
  <c r="BB414" i="19"/>
  <c r="BC414" i="19"/>
  <c r="BD414" i="19"/>
  <c r="AV415" i="19"/>
  <c r="AW415" i="19"/>
  <c r="AX415" i="19"/>
  <c r="AY415" i="19"/>
  <c r="AZ415" i="19"/>
  <c r="BA415" i="19"/>
  <c r="BB415" i="19"/>
  <c r="BC415" i="19"/>
  <c r="BD415" i="19"/>
  <c r="AV416" i="19"/>
  <c r="AW416" i="19"/>
  <c r="AX416" i="19"/>
  <c r="AY416" i="19"/>
  <c r="AZ416" i="19"/>
  <c r="BA416" i="19"/>
  <c r="BB416" i="19"/>
  <c r="BC416" i="19"/>
  <c r="BD416" i="19"/>
  <c r="AV417" i="19"/>
  <c r="AW417" i="19"/>
  <c r="AX417" i="19"/>
  <c r="AY417" i="19"/>
  <c r="AZ417" i="19"/>
  <c r="BA417" i="19"/>
  <c r="BB417" i="19"/>
  <c r="BC417" i="19"/>
  <c r="BD417" i="19"/>
  <c r="AV418" i="19"/>
  <c r="AW418" i="19"/>
  <c r="AX418" i="19"/>
  <c r="AY418" i="19"/>
  <c r="AZ418" i="19"/>
  <c r="BA418" i="19"/>
  <c r="BB418" i="19"/>
  <c r="BC418" i="19"/>
  <c r="BD418" i="19"/>
  <c r="AV419" i="19"/>
  <c r="AW419" i="19"/>
  <c r="AX419" i="19"/>
  <c r="AY419" i="19"/>
  <c r="AZ419" i="19"/>
  <c r="BA419" i="19"/>
  <c r="BB419" i="19"/>
  <c r="BC419" i="19"/>
  <c r="BD419" i="19"/>
  <c r="AV420" i="19"/>
  <c r="AW420" i="19"/>
  <c r="AX420" i="19"/>
  <c r="AY420" i="19"/>
  <c r="AZ420" i="19"/>
  <c r="BA420" i="19"/>
  <c r="BB420" i="19"/>
  <c r="BC420" i="19"/>
  <c r="BD420" i="19"/>
  <c r="AV421" i="19"/>
  <c r="AW421" i="19"/>
  <c r="AX421" i="19"/>
  <c r="AY421" i="19"/>
  <c r="AZ421" i="19"/>
  <c r="BA421" i="19"/>
  <c r="BB421" i="19"/>
  <c r="BC421" i="19"/>
  <c r="BD421" i="19"/>
  <c r="AV422" i="19"/>
  <c r="AW422" i="19"/>
  <c r="AX422" i="19"/>
  <c r="AY422" i="19"/>
  <c r="AZ422" i="19"/>
  <c r="BA422" i="19"/>
  <c r="BB422" i="19"/>
  <c r="BC422" i="19"/>
  <c r="BD422" i="19"/>
  <c r="AV423" i="19"/>
  <c r="AW423" i="19"/>
  <c r="AX423" i="19"/>
  <c r="AY423" i="19"/>
  <c r="AZ423" i="19"/>
  <c r="BA423" i="19"/>
  <c r="BB423" i="19"/>
  <c r="BC423" i="19"/>
  <c r="BD423" i="19"/>
  <c r="AV424" i="19"/>
  <c r="AW424" i="19"/>
  <c r="AX424" i="19"/>
  <c r="AY424" i="19"/>
  <c r="AZ424" i="19"/>
  <c r="BA424" i="19"/>
  <c r="BB424" i="19"/>
  <c r="BC424" i="19"/>
  <c r="BD424" i="19"/>
  <c r="AV425" i="19"/>
  <c r="AW425" i="19"/>
  <c r="AX425" i="19"/>
  <c r="AY425" i="19"/>
  <c r="AZ425" i="19"/>
  <c r="BA425" i="19"/>
  <c r="BB425" i="19"/>
  <c r="BC425" i="19"/>
  <c r="BD425" i="19"/>
  <c r="AV426" i="19"/>
  <c r="AW426" i="19"/>
  <c r="AX426" i="19"/>
  <c r="AY426" i="19"/>
  <c r="AZ426" i="19"/>
  <c r="BA426" i="19"/>
  <c r="BB426" i="19"/>
  <c r="BC426" i="19"/>
  <c r="BD426" i="19"/>
  <c r="AV427" i="19"/>
  <c r="AW427" i="19"/>
  <c r="AX427" i="19"/>
  <c r="AY427" i="19"/>
  <c r="AZ427" i="19"/>
  <c r="BA427" i="19"/>
  <c r="BB427" i="19"/>
  <c r="BC427" i="19"/>
  <c r="BD427" i="19"/>
  <c r="AV428" i="19"/>
  <c r="AW428" i="19"/>
  <c r="AX428" i="19"/>
  <c r="AY428" i="19"/>
  <c r="AZ428" i="19"/>
  <c r="BA428" i="19"/>
  <c r="BB428" i="19"/>
  <c r="BC428" i="19"/>
  <c r="BD428" i="19"/>
  <c r="AV429" i="19"/>
  <c r="AW429" i="19"/>
  <c r="AX429" i="19"/>
  <c r="AY429" i="19"/>
  <c r="AZ429" i="19"/>
  <c r="BA429" i="19"/>
  <c r="BB429" i="19"/>
  <c r="BC429" i="19"/>
  <c r="BD429" i="19"/>
  <c r="AV430" i="19"/>
  <c r="AW430" i="19"/>
  <c r="AX430" i="19"/>
  <c r="AY430" i="19"/>
  <c r="AZ430" i="19"/>
  <c r="BA430" i="19"/>
  <c r="BB430" i="19"/>
  <c r="BC430" i="19"/>
  <c r="BD430" i="19"/>
  <c r="AV431" i="19"/>
  <c r="AW431" i="19"/>
  <c r="AX431" i="19"/>
  <c r="AY431" i="19"/>
  <c r="AZ431" i="19"/>
  <c r="BA431" i="19"/>
  <c r="BB431" i="19"/>
  <c r="BC431" i="19"/>
  <c r="BD431" i="19"/>
  <c r="AV432" i="19"/>
  <c r="AW432" i="19"/>
  <c r="AX432" i="19"/>
  <c r="AY432" i="19"/>
  <c r="AZ432" i="19"/>
  <c r="BA432" i="19"/>
  <c r="BB432" i="19"/>
  <c r="BC432" i="19"/>
  <c r="BD432" i="19"/>
  <c r="AV433" i="19"/>
  <c r="AW433" i="19"/>
  <c r="AX433" i="19"/>
  <c r="AY433" i="19"/>
  <c r="AZ433" i="19"/>
  <c r="BA433" i="19"/>
  <c r="BB433" i="19"/>
  <c r="BC433" i="19"/>
  <c r="BD433" i="19"/>
  <c r="AV434" i="19"/>
  <c r="AW434" i="19"/>
  <c r="AX434" i="19"/>
  <c r="AY434" i="19"/>
  <c r="AZ434" i="19"/>
  <c r="BA434" i="19"/>
  <c r="BB434" i="19"/>
  <c r="BC434" i="19"/>
  <c r="BD434" i="19"/>
  <c r="AV435" i="19"/>
  <c r="AW435" i="19"/>
  <c r="AX435" i="19"/>
  <c r="AY435" i="19"/>
  <c r="AZ435" i="19"/>
  <c r="BA435" i="19"/>
  <c r="BB435" i="19"/>
  <c r="BC435" i="19"/>
  <c r="BD435" i="19"/>
  <c r="AV436" i="19"/>
  <c r="AW436" i="19"/>
  <c r="AX436" i="19"/>
  <c r="AY436" i="19"/>
  <c r="AZ436" i="19"/>
  <c r="BA436" i="19"/>
  <c r="BB436" i="19"/>
  <c r="BC436" i="19"/>
  <c r="BD436" i="19"/>
  <c r="AV437" i="19"/>
  <c r="AW437" i="19"/>
  <c r="AX437" i="19"/>
  <c r="AY437" i="19"/>
  <c r="AZ437" i="19"/>
  <c r="BA437" i="19"/>
  <c r="BB437" i="19"/>
  <c r="BC437" i="19"/>
  <c r="BD437" i="19"/>
  <c r="AV438" i="19"/>
  <c r="AW438" i="19"/>
  <c r="AX438" i="19"/>
  <c r="AY438" i="19"/>
  <c r="AZ438" i="19"/>
  <c r="BA438" i="19"/>
  <c r="BB438" i="19"/>
  <c r="BC438" i="19"/>
  <c r="BD438" i="19"/>
  <c r="AV439" i="19"/>
  <c r="AW439" i="19"/>
  <c r="AX439" i="19"/>
  <c r="AY439" i="19"/>
  <c r="AZ439" i="19"/>
  <c r="BA439" i="19"/>
  <c r="BB439" i="19"/>
  <c r="BC439" i="19"/>
  <c r="BD439" i="19"/>
  <c r="AV440" i="19"/>
  <c r="AW440" i="19"/>
  <c r="AX440" i="19"/>
  <c r="AY440" i="19"/>
  <c r="AZ440" i="19"/>
  <c r="BA440" i="19"/>
  <c r="BB440" i="19"/>
  <c r="BC440" i="19"/>
  <c r="BD440" i="19"/>
  <c r="AV441" i="19"/>
  <c r="AW441" i="19"/>
  <c r="AX441" i="19"/>
  <c r="AY441" i="19"/>
  <c r="AZ441" i="19"/>
  <c r="BA441" i="19"/>
  <c r="BB441" i="19"/>
  <c r="BC441" i="19"/>
  <c r="BD441" i="19"/>
  <c r="AV442" i="19"/>
  <c r="AW442" i="19"/>
  <c r="AX442" i="19"/>
  <c r="AY442" i="19"/>
  <c r="AZ442" i="19"/>
  <c r="BA442" i="19"/>
  <c r="BB442" i="19"/>
  <c r="BC442" i="19"/>
  <c r="BD442" i="19"/>
  <c r="AV443" i="19"/>
  <c r="AW443" i="19"/>
  <c r="AX443" i="19"/>
  <c r="AY443" i="19"/>
  <c r="AZ443" i="19"/>
  <c r="BA443" i="19"/>
  <c r="BB443" i="19"/>
  <c r="BC443" i="19"/>
  <c r="BD443" i="19"/>
  <c r="AV444" i="19"/>
  <c r="AW444" i="19"/>
  <c r="AX444" i="19"/>
  <c r="AY444" i="19"/>
  <c r="AZ444" i="19"/>
  <c r="BA444" i="19"/>
  <c r="BB444" i="19"/>
  <c r="BC444" i="19"/>
  <c r="BD444" i="19"/>
  <c r="AV445" i="19"/>
  <c r="AW445" i="19"/>
  <c r="AX445" i="19"/>
  <c r="AY445" i="19"/>
  <c r="AZ445" i="19"/>
  <c r="BA445" i="19"/>
  <c r="BB445" i="19"/>
  <c r="BC445" i="19"/>
  <c r="BD445" i="19"/>
  <c r="AV446" i="19"/>
  <c r="AW446" i="19"/>
  <c r="AX446" i="19"/>
  <c r="AY446" i="19"/>
  <c r="AZ446" i="19"/>
  <c r="BA446" i="19"/>
  <c r="BB446" i="19"/>
  <c r="BC446" i="19"/>
  <c r="BD446" i="19"/>
  <c r="AV447" i="19"/>
  <c r="AW447" i="19"/>
  <c r="AX447" i="19"/>
  <c r="AY447" i="19"/>
  <c r="AZ447" i="19"/>
  <c r="BA447" i="19"/>
  <c r="BB447" i="19"/>
  <c r="BC447" i="19"/>
  <c r="BD447" i="19"/>
  <c r="AV448" i="19"/>
  <c r="AW448" i="19"/>
  <c r="AX448" i="19"/>
  <c r="AY448" i="19"/>
  <c r="AZ448" i="19"/>
  <c r="BA448" i="19"/>
  <c r="BB448" i="19"/>
  <c r="BC448" i="19"/>
  <c r="BD448" i="19"/>
  <c r="AV449" i="19"/>
  <c r="AW449" i="19"/>
  <c r="AX449" i="19"/>
  <c r="AY449" i="19"/>
  <c r="AZ449" i="19"/>
  <c r="BA449" i="19"/>
  <c r="BB449" i="19"/>
  <c r="BC449" i="19"/>
  <c r="BD449" i="19"/>
  <c r="AV450" i="19"/>
  <c r="AW450" i="19"/>
  <c r="AX450" i="19"/>
  <c r="AY450" i="19"/>
  <c r="AZ450" i="19"/>
  <c r="BA450" i="19"/>
  <c r="BB450" i="19"/>
  <c r="BC450" i="19"/>
  <c r="BD450" i="19"/>
  <c r="AV451" i="19"/>
  <c r="AW451" i="19"/>
  <c r="AX451" i="19"/>
  <c r="AY451" i="19"/>
  <c r="AZ451" i="19"/>
  <c r="BA451" i="19"/>
  <c r="BB451" i="19"/>
  <c r="BC451" i="19"/>
  <c r="BD451" i="19"/>
  <c r="AV452" i="19"/>
  <c r="AW452" i="19"/>
  <c r="AX452" i="19"/>
  <c r="AY452" i="19"/>
  <c r="AZ452" i="19"/>
  <c r="BA452" i="19"/>
  <c r="BB452" i="19"/>
  <c r="BC452" i="19"/>
  <c r="BD452" i="19"/>
  <c r="AV453" i="19"/>
  <c r="AW453" i="19"/>
  <c r="AX453" i="19"/>
  <c r="AY453" i="19"/>
  <c r="AZ453" i="19"/>
  <c r="BA453" i="19"/>
  <c r="BB453" i="19"/>
  <c r="BC453" i="19"/>
  <c r="BD453" i="19"/>
  <c r="AV454" i="19"/>
  <c r="AW454" i="19"/>
  <c r="AX454" i="19"/>
  <c r="AY454" i="19"/>
  <c r="AZ454" i="19"/>
  <c r="BA454" i="19"/>
  <c r="BB454" i="19"/>
  <c r="BC454" i="19"/>
  <c r="BD454" i="19"/>
  <c r="AV455" i="19"/>
  <c r="AW455" i="19"/>
  <c r="AX455" i="19"/>
  <c r="AY455" i="19"/>
  <c r="AZ455" i="19"/>
  <c r="BA455" i="19"/>
  <c r="BB455" i="19"/>
  <c r="BC455" i="19"/>
  <c r="BD455" i="19"/>
  <c r="AV456" i="19"/>
  <c r="AW456" i="19"/>
  <c r="AX456" i="19"/>
  <c r="AY456" i="19"/>
  <c r="AZ456" i="19"/>
  <c r="BA456" i="19"/>
  <c r="BB456" i="19"/>
  <c r="BC456" i="19"/>
  <c r="BD456" i="19"/>
  <c r="AV457" i="19"/>
  <c r="AW457" i="19"/>
  <c r="AX457" i="19"/>
  <c r="AY457" i="19"/>
  <c r="AZ457" i="19"/>
  <c r="BA457" i="19"/>
  <c r="BB457" i="19"/>
  <c r="BC457" i="19"/>
  <c r="BD457" i="19"/>
  <c r="AV458" i="19"/>
  <c r="AW458" i="19"/>
  <c r="AX458" i="19"/>
  <c r="AY458" i="19"/>
  <c r="AZ458" i="19"/>
  <c r="BA458" i="19"/>
  <c r="BB458" i="19"/>
  <c r="BC458" i="19"/>
  <c r="BD458" i="19"/>
  <c r="AV459" i="19"/>
  <c r="AW459" i="19"/>
  <c r="AX459" i="19"/>
  <c r="AY459" i="19"/>
  <c r="AZ459" i="19"/>
  <c r="BA459" i="19"/>
  <c r="BB459" i="19"/>
  <c r="BC459" i="19"/>
  <c r="BD459" i="19"/>
  <c r="AV460" i="19"/>
  <c r="AW460" i="19"/>
  <c r="AX460" i="19"/>
  <c r="AY460" i="19"/>
  <c r="AZ460" i="19"/>
  <c r="BA460" i="19"/>
  <c r="BB460" i="19"/>
  <c r="BC460" i="19"/>
  <c r="BD460" i="19"/>
  <c r="AV461" i="19"/>
  <c r="AW461" i="19"/>
  <c r="AX461" i="19"/>
  <c r="AY461" i="19"/>
  <c r="AZ461" i="19"/>
  <c r="BA461" i="19"/>
  <c r="BB461" i="19"/>
  <c r="BC461" i="19"/>
  <c r="BD461" i="19"/>
  <c r="AV462" i="19"/>
  <c r="AW462" i="19"/>
  <c r="AX462" i="19"/>
  <c r="AY462" i="19"/>
  <c r="AZ462" i="19"/>
  <c r="BA462" i="19"/>
  <c r="BB462" i="19"/>
  <c r="BC462" i="19"/>
  <c r="BD462" i="19"/>
  <c r="AV463" i="19"/>
  <c r="AW463" i="19"/>
  <c r="AX463" i="19"/>
  <c r="AY463" i="19"/>
  <c r="AZ463" i="19"/>
  <c r="BA463" i="19"/>
  <c r="BB463" i="19"/>
  <c r="BC463" i="19"/>
  <c r="BD463" i="19"/>
  <c r="AV464" i="19"/>
  <c r="AW464" i="19"/>
  <c r="AX464" i="19"/>
  <c r="AY464" i="19"/>
  <c r="AZ464" i="19"/>
  <c r="BA464" i="19"/>
  <c r="BB464" i="19"/>
  <c r="BC464" i="19"/>
  <c r="BD464" i="19"/>
  <c r="AV465" i="19"/>
  <c r="AW465" i="19"/>
  <c r="AX465" i="19"/>
  <c r="AY465" i="19"/>
  <c r="AZ465" i="19"/>
  <c r="BA465" i="19"/>
  <c r="BB465" i="19"/>
  <c r="BC465" i="19"/>
  <c r="BD465" i="19"/>
  <c r="AV466" i="19"/>
  <c r="AW466" i="19"/>
  <c r="AX466" i="19"/>
  <c r="AY466" i="19"/>
  <c r="AZ466" i="19"/>
  <c r="BA466" i="19"/>
  <c r="BB466" i="19"/>
  <c r="BC466" i="19"/>
  <c r="BD466" i="19"/>
  <c r="AV467" i="19"/>
  <c r="AW467" i="19"/>
  <c r="AX467" i="19"/>
  <c r="AY467" i="19"/>
  <c r="AZ467" i="19"/>
  <c r="BA467" i="19"/>
  <c r="BB467" i="19"/>
  <c r="BC467" i="19"/>
  <c r="BD467" i="19"/>
  <c r="AV468" i="19"/>
  <c r="AW468" i="19"/>
  <c r="AX468" i="19"/>
  <c r="AY468" i="19"/>
  <c r="AZ468" i="19"/>
  <c r="BA468" i="19"/>
  <c r="BB468" i="19"/>
  <c r="BC468" i="19"/>
  <c r="BD468" i="19"/>
  <c r="AV469" i="19"/>
  <c r="AW469" i="19"/>
  <c r="AX469" i="19"/>
  <c r="AY469" i="19"/>
  <c r="AZ469" i="19"/>
  <c r="BA469" i="19"/>
  <c r="BB469" i="19"/>
  <c r="BC469" i="19"/>
  <c r="BD469" i="19"/>
  <c r="AV470" i="19"/>
  <c r="AW470" i="19"/>
  <c r="AX470" i="19"/>
  <c r="AY470" i="19"/>
  <c r="AZ470" i="19"/>
  <c r="BA470" i="19"/>
  <c r="BB470" i="19"/>
  <c r="BC470" i="19"/>
  <c r="BD470" i="19"/>
  <c r="AV471" i="19"/>
  <c r="AW471" i="19"/>
  <c r="AX471" i="19"/>
  <c r="AY471" i="19"/>
  <c r="AZ471" i="19"/>
  <c r="BA471" i="19"/>
  <c r="BB471" i="19"/>
  <c r="BC471" i="19"/>
  <c r="BD471" i="19"/>
  <c r="AV472" i="19"/>
  <c r="AW472" i="19"/>
  <c r="AX472" i="19"/>
  <c r="AY472" i="19"/>
  <c r="AZ472" i="19"/>
  <c r="BA472" i="19"/>
  <c r="BB472" i="19"/>
  <c r="BC472" i="19"/>
  <c r="BD472" i="19"/>
  <c r="AV473" i="19"/>
  <c r="AW473" i="19"/>
  <c r="AX473" i="19"/>
  <c r="AY473" i="19"/>
  <c r="AZ473" i="19"/>
  <c r="BA473" i="19"/>
  <c r="BB473" i="19"/>
  <c r="BC473" i="19"/>
  <c r="BD473" i="19"/>
  <c r="AV474" i="19"/>
  <c r="AW474" i="19"/>
  <c r="AX474" i="19"/>
  <c r="AY474" i="19"/>
  <c r="AZ474" i="19"/>
  <c r="BA474" i="19"/>
  <c r="BB474" i="19"/>
  <c r="BC474" i="19"/>
  <c r="BD474" i="19"/>
  <c r="AV475" i="19"/>
  <c r="AW475" i="19"/>
  <c r="AX475" i="19"/>
  <c r="AY475" i="19"/>
  <c r="AZ475" i="19"/>
  <c r="BA475" i="19"/>
  <c r="BB475" i="19"/>
  <c r="BC475" i="19"/>
  <c r="BD475" i="19"/>
  <c r="AV476" i="19"/>
  <c r="AW476" i="19"/>
  <c r="AX476" i="19"/>
  <c r="AY476" i="19"/>
  <c r="AZ476" i="19"/>
  <c r="BA476" i="19"/>
  <c r="BB476" i="19"/>
  <c r="BC476" i="19"/>
  <c r="BD476" i="19"/>
  <c r="AV477" i="19"/>
  <c r="AW477" i="19"/>
  <c r="AX477" i="19"/>
  <c r="AY477" i="19"/>
  <c r="AZ477" i="19"/>
  <c r="BA477" i="19"/>
  <c r="BB477" i="19"/>
  <c r="BC477" i="19"/>
  <c r="BD477" i="19"/>
  <c r="AV478" i="19"/>
  <c r="AW478" i="19"/>
  <c r="AX478" i="19"/>
  <c r="AY478" i="19"/>
  <c r="AZ478" i="19"/>
  <c r="BA478" i="19"/>
  <c r="BB478" i="19"/>
  <c r="BC478" i="19"/>
  <c r="BD478" i="19"/>
  <c r="AV479" i="19"/>
  <c r="AW479" i="19"/>
  <c r="AX479" i="19"/>
  <c r="AY479" i="19"/>
  <c r="AZ479" i="19"/>
  <c r="BA479" i="19"/>
  <c r="BB479" i="19"/>
  <c r="BC479" i="19"/>
  <c r="BD479" i="19"/>
  <c r="AV480" i="19"/>
  <c r="AW480" i="19"/>
  <c r="AX480" i="19"/>
  <c r="AY480" i="19"/>
  <c r="AZ480" i="19"/>
  <c r="BA480" i="19"/>
  <c r="BB480" i="19"/>
  <c r="BC480" i="19"/>
  <c r="BD480" i="19"/>
  <c r="AV481" i="19"/>
  <c r="AW481" i="19"/>
  <c r="AX481" i="19"/>
  <c r="AY481" i="19"/>
  <c r="AZ481" i="19"/>
  <c r="BA481" i="19"/>
  <c r="BB481" i="19"/>
  <c r="BC481" i="19"/>
  <c r="BD481" i="19"/>
  <c r="AV482" i="19"/>
  <c r="AW482" i="19"/>
  <c r="AX482" i="19"/>
  <c r="AY482" i="19"/>
  <c r="AZ482" i="19"/>
  <c r="BA482" i="19"/>
  <c r="BB482" i="19"/>
  <c r="BC482" i="19"/>
  <c r="BD482" i="19"/>
  <c r="AV483" i="19"/>
  <c r="AW483" i="19"/>
  <c r="AX483" i="19"/>
  <c r="AY483" i="19"/>
  <c r="AZ483" i="19"/>
  <c r="BA483" i="19"/>
  <c r="BB483" i="19"/>
  <c r="BC483" i="19"/>
  <c r="BD483" i="19"/>
  <c r="AV484" i="19"/>
  <c r="AW484" i="19"/>
  <c r="AX484" i="19"/>
  <c r="AY484" i="19"/>
  <c r="AZ484" i="19"/>
  <c r="BA484" i="19"/>
  <c r="BB484" i="19"/>
  <c r="BC484" i="19"/>
  <c r="BD484" i="19"/>
  <c r="AV485" i="19"/>
  <c r="AW485" i="19"/>
  <c r="AX485" i="19"/>
  <c r="AY485" i="19"/>
  <c r="AZ485" i="19"/>
  <c r="BA485" i="19"/>
  <c r="BB485" i="19"/>
  <c r="BC485" i="19"/>
  <c r="BD485" i="19"/>
  <c r="AV486" i="19"/>
  <c r="AW486" i="19"/>
  <c r="AX486" i="19"/>
  <c r="AY486" i="19"/>
  <c r="AZ486" i="19"/>
  <c r="BA486" i="19"/>
  <c r="BB486" i="19"/>
  <c r="BC486" i="19"/>
  <c r="BD486" i="19"/>
  <c r="AV487" i="19"/>
  <c r="AW487" i="19"/>
  <c r="AX487" i="19"/>
  <c r="AY487" i="19"/>
  <c r="AZ487" i="19"/>
  <c r="BA487" i="19"/>
  <c r="BB487" i="19"/>
  <c r="BC487" i="19"/>
  <c r="BD487" i="19"/>
  <c r="AV488" i="19"/>
  <c r="AW488" i="19"/>
  <c r="AX488" i="19"/>
  <c r="AY488" i="19"/>
  <c r="AZ488" i="19"/>
  <c r="BA488" i="19"/>
  <c r="BB488" i="19"/>
  <c r="BC488" i="19"/>
  <c r="BD488" i="19"/>
  <c r="AV489" i="19"/>
  <c r="AW489" i="19"/>
  <c r="AX489" i="19"/>
  <c r="AY489" i="19"/>
  <c r="AZ489" i="19"/>
  <c r="BA489" i="19"/>
  <c r="BB489" i="19"/>
  <c r="BC489" i="19"/>
  <c r="BD489" i="19"/>
  <c r="AV490" i="19"/>
  <c r="AW490" i="19"/>
  <c r="AX490" i="19"/>
  <c r="AY490" i="19"/>
  <c r="AZ490" i="19"/>
  <c r="BA490" i="19"/>
  <c r="BB490" i="19"/>
  <c r="BC490" i="19"/>
  <c r="BD490" i="19"/>
  <c r="AV491" i="19"/>
  <c r="AW491" i="19"/>
  <c r="AX491" i="19"/>
  <c r="AY491" i="19"/>
  <c r="AZ491" i="19"/>
  <c r="BA491" i="19"/>
  <c r="BB491" i="19"/>
  <c r="BC491" i="19"/>
  <c r="BD491" i="19"/>
  <c r="AV492" i="19"/>
  <c r="AW492" i="19"/>
  <c r="AX492" i="19"/>
  <c r="AY492" i="19"/>
  <c r="AZ492" i="19"/>
  <c r="BA492" i="19"/>
  <c r="BB492" i="19"/>
  <c r="BC492" i="19"/>
  <c r="BD492" i="19"/>
  <c r="AV493" i="19"/>
  <c r="AW493" i="19"/>
  <c r="AX493" i="19"/>
  <c r="AY493" i="19"/>
  <c r="AZ493" i="19"/>
  <c r="BA493" i="19"/>
  <c r="BB493" i="19"/>
  <c r="BC493" i="19"/>
  <c r="BD493" i="19"/>
  <c r="AV494" i="19"/>
  <c r="AW494" i="19"/>
  <c r="AX494" i="19"/>
  <c r="AY494" i="19"/>
  <c r="AZ494" i="19"/>
  <c r="BA494" i="19"/>
  <c r="BB494" i="19"/>
  <c r="BC494" i="19"/>
  <c r="BD494" i="19"/>
  <c r="AV495" i="19"/>
  <c r="AW495" i="19"/>
  <c r="AX495" i="19"/>
  <c r="AY495" i="19"/>
  <c r="AZ495" i="19"/>
  <c r="BA495" i="19"/>
  <c r="BB495" i="19"/>
  <c r="BC495" i="19"/>
  <c r="BD495" i="19"/>
  <c r="AV496" i="19"/>
  <c r="AW496" i="19"/>
  <c r="AX496" i="19"/>
  <c r="AY496" i="19"/>
  <c r="AZ496" i="19"/>
  <c r="BA496" i="19"/>
  <c r="BB496" i="19"/>
  <c r="BC496" i="19"/>
  <c r="BD496" i="19"/>
  <c r="AV497" i="19"/>
  <c r="AW497" i="19"/>
  <c r="AX497" i="19"/>
  <c r="AY497" i="19"/>
  <c r="AZ497" i="19"/>
  <c r="BA497" i="19"/>
  <c r="BB497" i="19"/>
  <c r="BC497" i="19"/>
  <c r="BD497" i="19"/>
  <c r="AV498" i="19"/>
  <c r="AW498" i="19"/>
  <c r="AX498" i="19"/>
  <c r="AY498" i="19"/>
  <c r="AZ498" i="19"/>
  <c r="BA498" i="19"/>
  <c r="BB498" i="19"/>
  <c r="BC498" i="19"/>
  <c r="BD498" i="19"/>
  <c r="AV499" i="19"/>
  <c r="AW499" i="19"/>
  <c r="AX499" i="19"/>
  <c r="AY499" i="19"/>
  <c r="AZ499" i="19"/>
  <c r="BA499" i="19"/>
  <c r="BB499" i="19"/>
  <c r="BC499" i="19"/>
  <c r="BD499" i="19"/>
  <c r="AV500" i="19"/>
  <c r="AW500" i="19"/>
  <c r="AX500" i="19"/>
  <c r="AY500" i="19"/>
  <c r="AZ500" i="19"/>
  <c r="BA500" i="19"/>
  <c r="BB500" i="19"/>
  <c r="BC500" i="19"/>
  <c r="BD500" i="19"/>
  <c r="AV501" i="19"/>
  <c r="AW501" i="19"/>
  <c r="AX501" i="19"/>
  <c r="AY501" i="19"/>
  <c r="AZ501" i="19"/>
  <c r="BA501" i="19"/>
  <c r="BB501" i="19"/>
  <c r="BC501" i="19"/>
  <c r="BD501" i="19"/>
  <c r="AV502" i="19"/>
  <c r="AW502" i="19"/>
  <c r="AX502" i="19"/>
  <c r="AY502" i="19"/>
  <c r="AZ502" i="19"/>
  <c r="BA502" i="19"/>
  <c r="BB502" i="19"/>
  <c r="BC502" i="19"/>
  <c r="BD502" i="19"/>
  <c r="AV503" i="19"/>
  <c r="AW503" i="19"/>
  <c r="AX503" i="19"/>
  <c r="AY503" i="19"/>
  <c r="AZ503" i="19"/>
  <c r="BA503" i="19"/>
  <c r="BB503" i="19"/>
  <c r="BC503" i="19"/>
  <c r="BD503" i="19"/>
  <c r="AV504" i="19"/>
  <c r="AW504" i="19"/>
  <c r="AX504" i="19"/>
  <c r="AY504" i="19"/>
  <c r="AZ504" i="19"/>
  <c r="BA504" i="19"/>
  <c r="BB504" i="19"/>
  <c r="BC504" i="19"/>
  <c r="BD504" i="19"/>
  <c r="AV505" i="19"/>
  <c r="AW505" i="19"/>
  <c r="AX505" i="19"/>
  <c r="AY505" i="19"/>
  <c r="AZ505" i="19"/>
  <c r="BA505" i="19"/>
  <c r="BB505" i="19"/>
  <c r="BC505" i="19"/>
  <c r="BD505" i="19"/>
  <c r="AV506" i="19"/>
  <c r="AW506" i="19"/>
  <c r="AX506" i="19"/>
  <c r="AY506" i="19"/>
  <c r="AZ506" i="19"/>
  <c r="BA506" i="19"/>
  <c r="BB506" i="19"/>
  <c r="BC506" i="19"/>
  <c r="BD506" i="19"/>
  <c r="AV507" i="19"/>
  <c r="AW507" i="19"/>
  <c r="AX507" i="19"/>
  <c r="AY507" i="19"/>
  <c r="AZ507" i="19"/>
  <c r="BA507" i="19"/>
  <c r="BB507" i="19"/>
  <c r="BC507" i="19"/>
  <c r="BD507" i="19"/>
  <c r="AV508" i="19"/>
  <c r="AW508" i="19"/>
  <c r="AX508" i="19"/>
  <c r="AY508" i="19"/>
  <c r="AZ508" i="19"/>
  <c r="BA508" i="19"/>
  <c r="BB508" i="19"/>
  <c r="BC508" i="19"/>
  <c r="BD508" i="19"/>
  <c r="AV509" i="19"/>
  <c r="AW509" i="19"/>
  <c r="AX509" i="19"/>
  <c r="AY509" i="19"/>
  <c r="AZ509" i="19"/>
  <c r="BA509" i="19"/>
  <c r="BB509" i="19"/>
  <c r="BC509" i="19"/>
  <c r="BD509" i="19"/>
  <c r="AV510" i="19"/>
  <c r="AW510" i="19"/>
  <c r="AX510" i="19"/>
  <c r="AY510" i="19"/>
  <c r="AZ510" i="19"/>
  <c r="BA510" i="19"/>
  <c r="BB510" i="19"/>
  <c r="BC510" i="19"/>
  <c r="BD510" i="19"/>
  <c r="AV511" i="19"/>
  <c r="AW511" i="19"/>
  <c r="AX511" i="19"/>
  <c r="AY511" i="19"/>
  <c r="AZ511" i="19"/>
  <c r="BA511" i="19"/>
  <c r="BB511" i="19"/>
  <c r="BC511" i="19"/>
  <c r="BD511" i="19"/>
  <c r="AV512" i="19"/>
  <c r="AW512" i="19"/>
  <c r="AX512" i="19"/>
  <c r="AY512" i="19"/>
  <c r="AZ512" i="19"/>
  <c r="BA512" i="19"/>
  <c r="BB512" i="19"/>
  <c r="BC512" i="19"/>
  <c r="BD512" i="19"/>
  <c r="AV513" i="19"/>
  <c r="AW513" i="19"/>
  <c r="AX513" i="19"/>
  <c r="AY513" i="19"/>
  <c r="AZ513" i="19"/>
  <c r="BA513" i="19"/>
  <c r="BB513" i="19"/>
  <c r="BC513" i="19"/>
  <c r="BD513" i="19"/>
  <c r="AV514" i="19"/>
  <c r="AW514" i="19"/>
  <c r="AX514" i="19"/>
  <c r="AY514" i="19"/>
  <c r="AZ514" i="19"/>
  <c r="BA514" i="19"/>
  <c r="BB514" i="19"/>
  <c r="BC514" i="19"/>
  <c r="BD514" i="19"/>
  <c r="AV515" i="19"/>
  <c r="AW515" i="19"/>
  <c r="AX515" i="19"/>
  <c r="AY515" i="19"/>
  <c r="AZ515" i="19"/>
  <c r="BA515" i="19"/>
  <c r="BB515" i="19"/>
  <c r="BC515" i="19"/>
  <c r="BD515" i="19"/>
  <c r="AV516" i="19"/>
  <c r="AW516" i="19"/>
  <c r="AX516" i="19"/>
  <c r="AY516" i="19"/>
  <c r="AZ516" i="19"/>
  <c r="BA516" i="19"/>
  <c r="BB516" i="19"/>
  <c r="BC516" i="19"/>
  <c r="BD516" i="19"/>
  <c r="AV517" i="19"/>
  <c r="AW517" i="19"/>
  <c r="AX517" i="19"/>
  <c r="AY517" i="19"/>
  <c r="AZ517" i="19"/>
  <c r="BA517" i="19"/>
  <c r="BB517" i="19"/>
  <c r="BC517" i="19"/>
  <c r="BD517" i="19"/>
  <c r="AV518" i="19"/>
  <c r="AW518" i="19"/>
  <c r="AX518" i="19"/>
  <c r="AY518" i="19"/>
  <c r="AZ518" i="19"/>
  <c r="BA518" i="19"/>
  <c r="BB518" i="19"/>
  <c r="BC518" i="19"/>
  <c r="BD518" i="19"/>
  <c r="AV519" i="19"/>
  <c r="AW519" i="19"/>
  <c r="AX519" i="19"/>
  <c r="AY519" i="19"/>
  <c r="AZ519" i="19"/>
  <c r="BA519" i="19"/>
  <c r="BB519" i="19"/>
  <c r="BC519" i="19"/>
  <c r="BD519" i="19"/>
  <c r="AV520" i="19"/>
  <c r="AW520" i="19"/>
  <c r="AX520" i="19"/>
  <c r="AY520" i="19"/>
  <c r="AZ520" i="19"/>
  <c r="BA520" i="19"/>
  <c r="BB520" i="19"/>
  <c r="BC520" i="19"/>
  <c r="BD520" i="19"/>
  <c r="AV521" i="19"/>
  <c r="AW521" i="19"/>
  <c r="AX521" i="19"/>
  <c r="AY521" i="19"/>
  <c r="AZ521" i="19"/>
  <c r="BA521" i="19"/>
  <c r="BB521" i="19"/>
  <c r="BC521" i="19"/>
  <c r="BD521" i="19"/>
  <c r="AV522" i="19"/>
  <c r="AW522" i="19"/>
  <c r="AX522" i="19"/>
  <c r="AY522" i="19"/>
  <c r="AZ522" i="19"/>
  <c r="BA522" i="19"/>
  <c r="BB522" i="19"/>
  <c r="BC522" i="19"/>
  <c r="BD522" i="19"/>
  <c r="AV523" i="19"/>
  <c r="AW523" i="19"/>
  <c r="AX523" i="19"/>
  <c r="AY523" i="19"/>
  <c r="AZ523" i="19"/>
  <c r="BA523" i="19"/>
  <c r="BB523" i="19"/>
  <c r="BC523" i="19"/>
  <c r="BD523" i="19"/>
  <c r="AV524" i="19"/>
  <c r="AW524" i="19"/>
  <c r="AX524" i="19"/>
  <c r="AY524" i="19"/>
  <c r="AZ524" i="19"/>
  <c r="BA524" i="19"/>
  <c r="BB524" i="19"/>
  <c r="BC524" i="19"/>
  <c r="BD524" i="19"/>
  <c r="AV525" i="19"/>
  <c r="AW525" i="19"/>
  <c r="AX525" i="19"/>
  <c r="AY525" i="19"/>
  <c r="AZ525" i="19"/>
  <c r="BA525" i="19"/>
  <c r="BB525" i="19"/>
  <c r="BC525" i="19"/>
  <c r="BD525" i="19"/>
  <c r="AV526" i="19"/>
  <c r="AW526" i="19"/>
  <c r="AX526" i="19"/>
  <c r="AY526" i="19"/>
  <c r="AZ526" i="19"/>
  <c r="BA526" i="19"/>
  <c r="BB526" i="19"/>
  <c r="BC526" i="19"/>
  <c r="BD526" i="19"/>
  <c r="AV527" i="19"/>
  <c r="AW527" i="19"/>
  <c r="AX527" i="19"/>
  <c r="AY527" i="19"/>
  <c r="AZ527" i="19"/>
  <c r="BA527" i="19"/>
  <c r="BB527" i="19"/>
  <c r="BC527" i="19"/>
  <c r="BD527" i="19"/>
  <c r="AV528" i="19"/>
  <c r="AW528" i="19"/>
  <c r="AX528" i="19"/>
  <c r="AY528" i="19"/>
  <c r="AZ528" i="19"/>
  <c r="BA528" i="19"/>
  <c r="BB528" i="19"/>
  <c r="BC528" i="19"/>
  <c r="BD528" i="19"/>
  <c r="AV529" i="19"/>
  <c r="AW529" i="19"/>
  <c r="AX529" i="19"/>
  <c r="AY529" i="19"/>
  <c r="AZ529" i="19"/>
  <c r="BA529" i="19"/>
  <c r="BB529" i="19"/>
  <c r="BC529" i="19"/>
  <c r="BD529" i="19"/>
  <c r="AV530" i="19"/>
  <c r="AW530" i="19"/>
  <c r="AX530" i="19"/>
  <c r="AY530" i="19"/>
  <c r="AZ530" i="19"/>
  <c r="BA530" i="19"/>
  <c r="BB530" i="19"/>
  <c r="BC530" i="19"/>
  <c r="BD530" i="19"/>
  <c r="AV531" i="19"/>
  <c r="AW531" i="19"/>
  <c r="AX531" i="19"/>
  <c r="AY531" i="19"/>
  <c r="AZ531" i="19"/>
  <c r="BA531" i="19"/>
  <c r="BB531" i="19"/>
  <c r="BC531" i="19"/>
  <c r="BD531" i="19"/>
  <c r="AV532" i="19"/>
  <c r="AW532" i="19"/>
  <c r="AX532" i="19"/>
  <c r="AY532" i="19"/>
  <c r="AZ532" i="19"/>
  <c r="BA532" i="19"/>
  <c r="BB532" i="19"/>
  <c r="BC532" i="19"/>
  <c r="BD532" i="19"/>
  <c r="AV533" i="19"/>
  <c r="AW533" i="19"/>
  <c r="AX533" i="19"/>
  <c r="AY533" i="19"/>
  <c r="AZ533" i="19"/>
  <c r="BA533" i="19"/>
  <c r="BB533" i="19"/>
  <c r="BC533" i="19"/>
  <c r="BD533" i="19"/>
  <c r="AV534" i="19"/>
  <c r="AW534" i="19"/>
  <c r="AX534" i="19"/>
  <c r="AY534" i="19"/>
  <c r="AZ534" i="19"/>
  <c r="BA534" i="19"/>
  <c r="BB534" i="19"/>
  <c r="BC534" i="19"/>
  <c r="BD534" i="19"/>
  <c r="AV535" i="19"/>
  <c r="AW535" i="19"/>
  <c r="AX535" i="19"/>
  <c r="AY535" i="19"/>
  <c r="AZ535" i="19"/>
  <c r="BA535" i="19"/>
  <c r="BB535" i="19"/>
  <c r="BC535" i="19"/>
  <c r="BD535" i="19"/>
  <c r="AV536" i="19"/>
  <c r="AW536" i="19"/>
  <c r="AX536" i="19"/>
  <c r="AY536" i="19"/>
  <c r="AZ536" i="19"/>
  <c r="BA536" i="19"/>
  <c r="BB536" i="19"/>
  <c r="BC536" i="19"/>
  <c r="BD536" i="19"/>
  <c r="AV537" i="19"/>
  <c r="AW537" i="19"/>
  <c r="AX537" i="19"/>
  <c r="AY537" i="19"/>
  <c r="AZ537" i="19"/>
  <c r="BA537" i="19"/>
  <c r="BB537" i="19"/>
  <c r="BC537" i="19"/>
  <c r="BD537" i="19"/>
  <c r="AV538" i="19"/>
  <c r="AW538" i="19"/>
  <c r="AX538" i="19"/>
  <c r="AY538" i="19"/>
  <c r="AZ538" i="19"/>
  <c r="BA538" i="19"/>
  <c r="BB538" i="19"/>
  <c r="BC538" i="19"/>
  <c r="BD538" i="19"/>
  <c r="AV539" i="19"/>
  <c r="AW539" i="19"/>
  <c r="AX539" i="19"/>
  <c r="AY539" i="19"/>
  <c r="AZ539" i="19"/>
  <c r="BA539" i="19"/>
  <c r="BB539" i="19"/>
  <c r="BC539" i="19"/>
  <c r="BD539" i="19"/>
  <c r="AV540" i="19"/>
  <c r="AW540" i="19"/>
  <c r="AX540" i="19"/>
  <c r="AY540" i="19"/>
  <c r="AZ540" i="19"/>
  <c r="BA540" i="19"/>
  <c r="BB540" i="19"/>
  <c r="BC540" i="19"/>
  <c r="BD540" i="19"/>
  <c r="AV541" i="19"/>
  <c r="AW541" i="19"/>
  <c r="AX541" i="19"/>
  <c r="AY541" i="19"/>
  <c r="AZ541" i="19"/>
  <c r="BA541" i="19"/>
  <c r="BB541" i="19"/>
  <c r="BC541" i="19"/>
  <c r="BD541" i="19"/>
  <c r="AV542" i="19"/>
  <c r="AW542" i="19"/>
  <c r="AX542" i="19"/>
  <c r="AY542" i="19"/>
  <c r="AZ542" i="19"/>
  <c r="BA542" i="19"/>
  <c r="BB542" i="19"/>
  <c r="BC542" i="19"/>
  <c r="BD542" i="19"/>
  <c r="AV543" i="19"/>
  <c r="AW543" i="19"/>
  <c r="AX543" i="19"/>
  <c r="AY543" i="19"/>
  <c r="AZ543" i="19"/>
  <c r="BA543" i="19"/>
  <c r="BB543" i="19"/>
  <c r="BC543" i="19"/>
  <c r="BD543" i="19"/>
  <c r="AV544" i="19"/>
  <c r="AW544" i="19"/>
  <c r="AX544" i="19"/>
  <c r="AY544" i="19"/>
  <c r="AZ544" i="19"/>
  <c r="BA544" i="19"/>
  <c r="BB544" i="19"/>
  <c r="BC544" i="19"/>
  <c r="BD544" i="19"/>
  <c r="AV545" i="19"/>
  <c r="AW545" i="19"/>
  <c r="AX545" i="19"/>
  <c r="AY545" i="19"/>
  <c r="AZ545" i="19"/>
  <c r="BA545" i="19"/>
  <c r="BB545" i="19"/>
  <c r="BC545" i="19"/>
  <c r="BD545" i="19"/>
  <c r="AV546" i="19"/>
  <c r="AW546" i="19"/>
  <c r="AX546" i="19"/>
  <c r="AY546" i="19"/>
  <c r="AZ546" i="19"/>
  <c r="BA546" i="19"/>
  <c r="BB546" i="19"/>
  <c r="BC546" i="19"/>
  <c r="BD546" i="19"/>
  <c r="AV547" i="19"/>
  <c r="AW547" i="19"/>
  <c r="AX547" i="19"/>
  <c r="AY547" i="19"/>
  <c r="AZ547" i="19"/>
  <c r="BA547" i="19"/>
  <c r="BB547" i="19"/>
  <c r="BC547" i="19"/>
  <c r="BD547" i="19"/>
  <c r="AV548" i="19"/>
  <c r="AW548" i="19"/>
  <c r="AX548" i="19"/>
  <c r="AY548" i="19"/>
  <c r="AZ548" i="19"/>
  <c r="BA548" i="19"/>
  <c r="BB548" i="19"/>
  <c r="BC548" i="19"/>
  <c r="BD548" i="19"/>
  <c r="AV549" i="19"/>
  <c r="AW549" i="19"/>
  <c r="AX549" i="19"/>
  <c r="AY549" i="19"/>
  <c r="AZ549" i="19"/>
  <c r="BA549" i="19"/>
  <c r="BB549" i="19"/>
  <c r="BC549" i="19"/>
  <c r="BD549" i="19"/>
  <c r="AV550" i="19"/>
  <c r="AW550" i="19"/>
  <c r="AX550" i="19"/>
  <c r="AY550" i="19"/>
  <c r="AZ550" i="19"/>
  <c r="BA550" i="19"/>
  <c r="BB550" i="19"/>
  <c r="BC550" i="19"/>
  <c r="BD550" i="19"/>
  <c r="AV551" i="19"/>
  <c r="AW551" i="19"/>
  <c r="AX551" i="19"/>
  <c r="AY551" i="19"/>
  <c r="AZ551" i="19"/>
  <c r="BA551" i="19"/>
  <c r="BB551" i="19"/>
  <c r="BC551" i="19"/>
  <c r="BD551" i="19"/>
  <c r="AV552" i="19"/>
  <c r="AW552" i="19"/>
  <c r="AX552" i="19"/>
  <c r="AY552" i="19"/>
  <c r="AZ552" i="19"/>
  <c r="BA552" i="19"/>
  <c r="BB552" i="19"/>
  <c r="BC552" i="19"/>
  <c r="BD552" i="19"/>
  <c r="AV553" i="19"/>
  <c r="AW553" i="19"/>
  <c r="AX553" i="19"/>
  <c r="AY553" i="19"/>
  <c r="AZ553" i="19"/>
  <c r="BA553" i="19"/>
  <c r="BB553" i="19"/>
  <c r="BC553" i="19"/>
  <c r="BD553" i="19"/>
  <c r="AV554" i="19"/>
  <c r="AW554" i="19"/>
  <c r="AX554" i="19"/>
  <c r="AY554" i="19"/>
  <c r="AZ554" i="19"/>
  <c r="BA554" i="19"/>
  <c r="BB554" i="19"/>
  <c r="BC554" i="19"/>
  <c r="BD554" i="19"/>
  <c r="AV555" i="19"/>
  <c r="AW555" i="19"/>
  <c r="AX555" i="19"/>
  <c r="AY555" i="19"/>
  <c r="AZ555" i="19"/>
  <c r="BA555" i="19"/>
  <c r="BB555" i="19"/>
  <c r="BC555" i="19"/>
  <c r="BD555" i="19"/>
  <c r="AV556" i="19"/>
  <c r="AW556" i="19"/>
  <c r="AX556" i="19"/>
  <c r="AY556" i="19"/>
  <c r="AZ556" i="19"/>
  <c r="BA556" i="19"/>
  <c r="BB556" i="19"/>
  <c r="BC556" i="19"/>
  <c r="BD556" i="19"/>
  <c r="AV557" i="19"/>
  <c r="AW557" i="19"/>
  <c r="AX557" i="19"/>
  <c r="AY557" i="19"/>
  <c r="AZ557" i="19"/>
  <c r="BA557" i="19"/>
  <c r="BB557" i="19"/>
  <c r="BC557" i="19"/>
  <c r="BD557" i="19"/>
  <c r="AV558" i="19"/>
  <c r="AW558" i="19"/>
  <c r="AX558" i="19"/>
  <c r="AY558" i="19"/>
  <c r="AZ558" i="19"/>
  <c r="BA558" i="19"/>
  <c r="BB558" i="19"/>
  <c r="BC558" i="19"/>
  <c r="BD558" i="19"/>
  <c r="AV559" i="19"/>
  <c r="AW559" i="19"/>
  <c r="AX559" i="19"/>
  <c r="AY559" i="19"/>
  <c r="AZ559" i="19"/>
  <c r="BA559" i="19"/>
  <c r="BB559" i="19"/>
  <c r="BC559" i="19"/>
  <c r="BD559" i="19"/>
  <c r="AV560" i="19"/>
  <c r="AW560" i="19"/>
  <c r="AX560" i="19"/>
  <c r="AY560" i="19"/>
  <c r="AZ560" i="19"/>
  <c r="BA560" i="19"/>
  <c r="BB560" i="19"/>
  <c r="BC560" i="19"/>
  <c r="BD560" i="19"/>
  <c r="AV561" i="19"/>
  <c r="AW561" i="19"/>
  <c r="AX561" i="19"/>
  <c r="AY561" i="19"/>
  <c r="AZ561" i="19"/>
  <c r="BA561" i="19"/>
  <c r="BB561" i="19"/>
  <c r="BC561" i="19"/>
  <c r="BD561" i="19"/>
  <c r="AV562" i="19"/>
  <c r="AW562" i="19"/>
  <c r="AX562" i="19"/>
  <c r="AY562" i="19"/>
  <c r="AZ562" i="19"/>
  <c r="BA562" i="19"/>
  <c r="BB562" i="19"/>
  <c r="BC562" i="19"/>
  <c r="BD562" i="19"/>
  <c r="AV563" i="19"/>
  <c r="AW563" i="19"/>
  <c r="AX563" i="19"/>
  <c r="AY563" i="19"/>
  <c r="AZ563" i="19"/>
  <c r="BA563" i="19"/>
  <c r="BB563" i="19"/>
  <c r="BC563" i="19"/>
  <c r="BD563" i="19"/>
  <c r="AV564" i="19"/>
  <c r="AW564" i="19"/>
  <c r="AX564" i="19"/>
  <c r="AY564" i="19"/>
  <c r="AZ564" i="19"/>
  <c r="BA564" i="19"/>
  <c r="BB564" i="19"/>
  <c r="BC564" i="19"/>
  <c r="BD564" i="19"/>
  <c r="AV565" i="19"/>
  <c r="AW565" i="19"/>
  <c r="AX565" i="19"/>
  <c r="AY565" i="19"/>
  <c r="AZ565" i="19"/>
  <c r="BA565" i="19"/>
  <c r="BB565" i="19"/>
  <c r="BC565" i="19"/>
  <c r="BD565" i="19"/>
  <c r="AV566" i="19"/>
  <c r="AW566" i="19"/>
  <c r="AX566" i="19"/>
  <c r="AY566" i="19"/>
  <c r="AZ566" i="19"/>
  <c r="BA566" i="19"/>
  <c r="BB566" i="19"/>
  <c r="BC566" i="19"/>
  <c r="BD566" i="19"/>
  <c r="AV567" i="19"/>
  <c r="AW567" i="19"/>
  <c r="AX567" i="19"/>
  <c r="AY567" i="19"/>
  <c r="AZ567" i="19"/>
  <c r="BA567" i="19"/>
  <c r="BB567" i="19"/>
  <c r="BC567" i="19"/>
  <c r="BD567" i="19"/>
  <c r="AV568" i="19"/>
  <c r="AW568" i="19"/>
  <c r="AX568" i="19"/>
  <c r="AY568" i="19"/>
  <c r="AZ568" i="19"/>
  <c r="BA568" i="19"/>
  <c r="BB568" i="19"/>
  <c r="BC568" i="19"/>
  <c r="BD568" i="19"/>
  <c r="AV569" i="19"/>
  <c r="AW569" i="19"/>
  <c r="AX569" i="19"/>
  <c r="AY569" i="19"/>
  <c r="AZ569" i="19"/>
  <c r="BA569" i="19"/>
  <c r="BB569" i="19"/>
  <c r="BC569" i="19"/>
  <c r="BD569" i="19"/>
  <c r="AV570" i="19"/>
  <c r="AW570" i="19"/>
  <c r="AX570" i="19"/>
  <c r="AY570" i="19"/>
  <c r="AZ570" i="19"/>
  <c r="BA570" i="19"/>
  <c r="BB570" i="19"/>
  <c r="BC570" i="19"/>
  <c r="BD570" i="19"/>
  <c r="AV571" i="19"/>
  <c r="AW571" i="19"/>
  <c r="AX571" i="19"/>
  <c r="AY571" i="19"/>
  <c r="AZ571" i="19"/>
  <c r="BA571" i="19"/>
  <c r="BB571" i="19"/>
  <c r="BC571" i="19"/>
  <c r="BD571" i="19"/>
  <c r="AV572" i="19"/>
  <c r="AW572" i="19"/>
  <c r="AX572" i="19"/>
  <c r="AY572" i="19"/>
  <c r="AZ572" i="19"/>
  <c r="BA572" i="19"/>
  <c r="BB572" i="19"/>
  <c r="BC572" i="19"/>
  <c r="BD572" i="19"/>
  <c r="AV573" i="19"/>
  <c r="AW573" i="19"/>
  <c r="AX573" i="19"/>
  <c r="AY573" i="19"/>
  <c r="AZ573" i="19"/>
  <c r="BA573" i="19"/>
  <c r="BB573" i="19"/>
  <c r="BC573" i="19"/>
  <c r="BD573" i="19"/>
  <c r="AV574" i="19"/>
  <c r="AW574" i="19"/>
  <c r="AX574" i="19"/>
  <c r="AY574" i="19"/>
  <c r="AZ574" i="19"/>
  <c r="BA574" i="19"/>
  <c r="BB574" i="19"/>
  <c r="BC574" i="19"/>
  <c r="BD574" i="19"/>
  <c r="AV575" i="19"/>
  <c r="AW575" i="19"/>
  <c r="AX575" i="19"/>
  <c r="AY575" i="19"/>
  <c r="AZ575" i="19"/>
  <c r="BA575" i="19"/>
  <c r="BB575" i="19"/>
  <c r="BC575" i="19"/>
  <c r="BD575" i="19"/>
  <c r="AV576" i="19"/>
  <c r="AW576" i="19"/>
  <c r="AX576" i="19"/>
  <c r="AY576" i="19"/>
  <c r="AZ576" i="19"/>
  <c r="BA576" i="19"/>
  <c r="BB576" i="19"/>
  <c r="BC576" i="19"/>
  <c r="BD576" i="19"/>
  <c r="AV577" i="19"/>
  <c r="AW577" i="19"/>
  <c r="AX577" i="19"/>
  <c r="AY577" i="19"/>
  <c r="AZ577" i="19"/>
  <c r="BA577" i="19"/>
  <c r="BB577" i="19"/>
  <c r="BC577" i="19"/>
  <c r="BD577" i="19"/>
  <c r="AV578" i="19"/>
  <c r="AW578" i="19"/>
  <c r="AX578" i="19"/>
  <c r="AY578" i="19"/>
  <c r="AZ578" i="19"/>
  <c r="BA578" i="19"/>
  <c r="BB578" i="19"/>
  <c r="BC578" i="19"/>
  <c r="BD578" i="19"/>
  <c r="AV579" i="19"/>
  <c r="AW579" i="19"/>
  <c r="AX579" i="19"/>
  <c r="AY579" i="19"/>
  <c r="AZ579" i="19"/>
  <c r="BA579" i="19"/>
  <c r="BB579" i="19"/>
  <c r="BC579" i="19"/>
  <c r="BD579" i="19"/>
  <c r="AV580" i="19"/>
  <c r="AW580" i="19"/>
  <c r="AX580" i="19"/>
  <c r="AY580" i="19"/>
  <c r="AZ580" i="19"/>
  <c r="BA580" i="19"/>
  <c r="BB580" i="19"/>
  <c r="BC580" i="19"/>
  <c r="BD580" i="19"/>
  <c r="AV581" i="19"/>
  <c r="AW581" i="19"/>
  <c r="AX581" i="19"/>
  <c r="AY581" i="19"/>
  <c r="AZ581" i="19"/>
  <c r="BA581" i="19"/>
  <c r="BB581" i="19"/>
  <c r="BC581" i="19"/>
  <c r="BD581" i="19"/>
  <c r="AV582" i="19"/>
  <c r="AW582" i="19"/>
  <c r="AX582" i="19"/>
  <c r="AY582" i="19"/>
  <c r="AZ582" i="19"/>
  <c r="BA582" i="19"/>
  <c r="BB582" i="19"/>
  <c r="BC582" i="19"/>
  <c r="BD582" i="19"/>
  <c r="AV583" i="19"/>
  <c r="AW583" i="19"/>
  <c r="AX583" i="19"/>
  <c r="AY583" i="19"/>
  <c r="AZ583" i="19"/>
  <c r="BA583" i="19"/>
  <c r="BB583" i="19"/>
  <c r="BC583" i="19"/>
  <c r="BD583" i="19"/>
  <c r="AV584" i="19"/>
  <c r="AW584" i="19"/>
  <c r="AX584" i="19"/>
  <c r="AY584" i="19"/>
  <c r="AZ584" i="19"/>
  <c r="BA584" i="19"/>
  <c r="BB584" i="19"/>
  <c r="BC584" i="19"/>
  <c r="BD584" i="19"/>
  <c r="AV585" i="19"/>
  <c r="AW585" i="19"/>
  <c r="AX585" i="19"/>
  <c r="AY585" i="19"/>
  <c r="AZ585" i="19"/>
  <c r="BA585" i="19"/>
  <c r="BB585" i="19"/>
  <c r="BC585" i="19"/>
  <c r="BD585" i="19"/>
  <c r="AV586" i="19"/>
  <c r="AW586" i="19"/>
  <c r="AX586" i="19"/>
  <c r="AY586" i="19"/>
  <c r="AZ586" i="19"/>
  <c r="BA586" i="19"/>
  <c r="BB586" i="19"/>
  <c r="BC586" i="19"/>
  <c r="BD586" i="19"/>
  <c r="AV587" i="19"/>
  <c r="AW587" i="19"/>
  <c r="AX587" i="19"/>
  <c r="AY587" i="19"/>
  <c r="AZ587" i="19"/>
  <c r="BA587" i="19"/>
  <c r="BB587" i="19"/>
  <c r="BC587" i="19"/>
  <c r="BD587" i="19"/>
  <c r="AV588" i="19"/>
  <c r="AW588" i="19"/>
  <c r="AX588" i="19"/>
  <c r="AY588" i="19"/>
  <c r="AZ588" i="19"/>
  <c r="BA588" i="19"/>
  <c r="BB588" i="19"/>
  <c r="BC588" i="19"/>
  <c r="BD588" i="19"/>
  <c r="AV589" i="19"/>
  <c r="AW589" i="19"/>
  <c r="AX589" i="19"/>
  <c r="AY589" i="19"/>
  <c r="AZ589" i="19"/>
  <c r="BA589" i="19"/>
  <c r="BB589" i="19"/>
  <c r="BC589" i="19"/>
  <c r="BD589" i="19"/>
  <c r="AV590" i="19"/>
  <c r="AW590" i="19"/>
  <c r="AX590" i="19"/>
  <c r="AY590" i="19"/>
  <c r="AZ590" i="19"/>
  <c r="BA590" i="19"/>
  <c r="BB590" i="19"/>
  <c r="BC590" i="19"/>
  <c r="BD590" i="19"/>
  <c r="AV591" i="19"/>
  <c r="AW591" i="19"/>
  <c r="AX591" i="19"/>
  <c r="AY591" i="19"/>
  <c r="AZ591" i="19"/>
  <c r="BA591" i="19"/>
  <c r="BB591" i="19"/>
  <c r="BC591" i="19"/>
  <c r="BD591" i="19"/>
  <c r="AV592" i="19"/>
  <c r="AW592" i="19"/>
  <c r="AX592" i="19"/>
  <c r="AY592" i="19"/>
  <c r="AZ592" i="19"/>
  <c r="BA592" i="19"/>
  <c r="BB592" i="19"/>
  <c r="BC592" i="19"/>
  <c r="BD592" i="19"/>
  <c r="AV593" i="19"/>
  <c r="AW593" i="19"/>
  <c r="AX593" i="19"/>
  <c r="AY593" i="19"/>
  <c r="AZ593" i="19"/>
  <c r="BA593" i="19"/>
  <c r="BB593" i="19"/>
  <c r="BC593" i="19"/>
  <c r="BD593" i="19"/>
  <c r="AV594" i="19"/>
  <c r="AW594" i="19"/>
  <c r="AX594" i="19"/>
  <c r="AY594" i="19"/>
  <c r="AZ594" i="19"/>
  <c r="BA594" i="19"/>
  <c r="BB594" i="19"/>
  <c r="BC594" i="19"/>
  <c r="BD594" i="19"/>
  <c r="AV595" i="19"/>
  <c r="AW595" i="19"/>
  <c r="AX595" i="19"/>
  <c r="AY595" i="19"/>
  <c r="AZ595" i="19"/>
  <c r="BA595" i="19"/>
  <c r="BB595" i="19"/>
  <c r="BC595" i="19"/>
  <c r="BD595" i="19"/>
  <c r="AV596" i="19"/>
  <c r="AW596" i="19"/>
  <c r="AX596" i="19"/>
  <c r="AY596" i="19"/>
  <c r="AZ596" i="19"/>
  <c r="BA596" i="19"/>
  <c r="BB596" i="19"/>
  <c r="BC596" i="19"/>
  <c r="BD596" i="19"/>
  <c r="AV597" i="19"/>
  <c r="AW597" i="19"/>
  <c r="AX597" i="19"/>
  <c r="AY597" i="19"/>
  <c r="AZ597" i="19"/>
  <c r="BA597" i="19"/>
  <c r="BB597" i="19"/>
  <c r="BC597" i="19"/>
  <c r="BD597" i="19"/>
  <c r="AV598" i="19"/>
  <c r="AW598" i="19"/>
  <c r="AX598" i="19"/>
  <c r="AY598" i="19"/>
  <c r="AZ598" i="19"/>
  <c r="BA598" i="19"/>
  <c r="BB598" i="19"/>
  <c r="BC598" i="19"/>
  <c r="BD598" i="19"/>
  <c r="AV599" i="19"/>
  <c r="AW599" i="19"/>
  <c r="AX599" i="19"/>
  <c r="AY599" i="19"/>
  <c r="AZ599" i="19"/>
  <c r="BA599" i="19"/>
  <c r="BB599" i="19"/>
  <c r="BC599" i="19"/>
  <c r="BD599" i="19"/>
  <c r="AV600" i="19"/>
  <c r="AW600" i="19"/>
  <c r="AX600" i="19"/>
  <c r="AY600" i="19"/>
  <c r="AZ600" i="19"/>
  <c r="BA600" i="19"/>
  <c r="BB600" i="19"/>
  <c r="BC600" i="19"/>
  <c r="BD600" i="19"/>
  <c r="AV601" i="19"/>
  <c r="AW601" i="19"/>
  <c r="AX601" i="19"/>
  <c r="AY601" i="19"/>
  <c r="AZ601" i="19"/>
  <c r="BA601" i="19"/>
  <c r="BB601" i="19"/>
  <c r="BC601" i="19"/>
  <c r="BD601" i="19"/>
  <c r="AV602" i="19"/>
  <c r="AW602" i="19"/>
  <c r="AX602" i="19"/>
  <c r="AY602" i="19"/>
  <c r="AZ602" i="19"/>
  <c r="BA602" i="19"/>
  <c r="BB602" i="19"/>
  <c r="BC602" i="19"/>
  <c r="BD602" i="19"/>
  <c r="AV603" i="19"/>
  <c r="AW603" i="19"/>
  <c r="AX603" i="19"/>
  <c r="AY603" i="19"/>
  <c r="AZ603" i="19"/>
  <c r="BA603" i="19"/>
  <c r="BB603" i="19"/>
  <c r="BC603" i="19"/>
  <c r="BD603" i="19"/>
  <c r="AV604" i="19"/>
  <c r="AW604" i="19"/>
  <c r="AX604" i="19"/>
  <c r="AY604" i="19"/>
  <c r="AZ604" i="19"/>
  <c r="BA604" i="19"/>
  <c r="BB604" i="19"/>
  <c r="BC604" i="19"/>
  <c r="BD604" i="19"/>
  <c r="AV605" i="19"/>
  <c r="AW605" i="19"/>
  <c r="AX605" i="19"/>
  <c r="AY605" i="19"/>
  <c r="AZ605" i="19"/>
  <c r="BA605" i="19"/>
  <c r="BB605" i="19"/>
  <c r="BC605" i="19"/>
  <c r="BD605" i="19"/>
  <c r="AV606" i="19"/>
  <c r="AW606" i="19"/>
  <c r="AX606" i="19"/>
  <c r="AY606" i="19"/>
  <c r="AZ606" i="19"/>
  <c r="BA606" i="19"/>
  <c r="BB606" i="19"/>
  <c r="BC606" i="19"/>
  <c r="BD606" i="19"/>
  <c r="AV607" i="19"/>
  <c r="AW607" i="19"/>
  <c r="AX607" i="19"/>
  <c r="AY607" i="19"/>
  <c r="AZ607" i="19"/>
  <c r="BA607" i="19"/>
  <c r="BB607" i="19"/>
  <c r="BC607" i="19"/>
  <c r="BD607" i="19"/>
  <c r="AV608" i="19"/>
  <c r="AW608" i="19"/>
  <c r="AX608" i="19"/>
  <c r="AY608" i="19"/>
  <c r="AZ608" i="19"/>
  <c r="BA608" i="19"/>
  <c r="BB608" i="19"/>
  <c r="BC608" i="19"/>
  <c r="BD608" i="19"/>
  <c r="AV609" i="19"/>
  <c r="AW609" i="19"/>
  <c r="AX609" i="19"/>
  <c r="AY609" i="19"/>
  <c r="AZ609" i="19"/>
  <c r="BA609" i="19"/>
  <c r="BB609" i="19"/>
  <c r="BC609" i="19"/>
  <c r="BD609" i="19"/>
  <c r="AV610" i="19"/>
  <c r="AW610" i="19"/>
  <c r="AX610" i="19"/>
  <c r="AY610" i="19"/>
  <c r="AZ610" i="19"/>
  <c r="BA610" i="19"/>
  <c r="BB610" i="19"/>
  <c r="BC610" i="19"/>
  <c r="BD610" i="19"/>
  <c r="AV611" i="19"/>
  <c r="AW611" i="19"/>
  <c r="AX611" i="19"/>
  <c r="AY611" i="19"/>
  <c r="AZ611" i="19"/>
  <c r="BA611" i="19"/>
  <c r="BB611" i="19"/>
  <c r="BC611" i="19"/>
  <c r="BD611" i="19"/>
  <c r="AV612" i="19"/>
  <c r="AW612" i="19"/>
  <c r="AX612" i="19"/>
  <c r="AY612" i="19"/>
  <c r="AZ612" i="19"/>
  <c r="BA612" i="19"/>
  <c r="BB612" i="19"/>
  <c r="BC612" i="19"/>
  <c r="BD612" i="19"/>
  <c r="AV613" i="19"/>
  <c r="AW613" i="19"/>
  <c r="AX613" i="19"/>
  <c r="AY613" i="19"/>
  <c r="AZ613" i="19"/>
  <c r="BA613" i="19"/>
  <c r="BB613" i="19"/>
  <c r="BC613" i="19"/>
  <c r="BD613" i="19"/>
  <c r="AV614" i="19"/>
  <c r="AW614" i="19"/>
  <c r="AX614" i="19"/>
  <c r="AY614" i="19"/>
  <c r="AZ614" i="19"/>
  <c r="BA614" i="19"/>
  <c r="BB614" i="19"/>
  <c r="BC614" i="19"/>
  <c r="BD614" i="19"/>
  <c r="AV615" i="19"/>
  <c r="AW615" i="19"/>
  <c r="AX615" i="19"/>
  <c r="AY615" i="19"/>
  <c r="AZ615" i="19"/>
  <c r="BA615" i="19"/>
  <c r="BB615" i="19"/>
  <c r="BC615" i="19"/>
  <c r="BD615" i="19"/>
  <c r="AV616" i="19"/>
  <c r="AW616" i="19"/>
  <c r="AX616" i="19"/>
  <c r="AY616" i="19"/>
  <c r="AZ616" i="19"/>
  <c r="BA616" i="19"/>
  <c r="BB616" i="19"/>
  <c r="BC616" i="19"/>
  <c r="BD616" i="19"/>
  <c r="AV617" i="19"/>
  <c r="AW617" i="19"/>
  <c r="AX617" i="19"/>
  <c r="AY617" i="19"/>
  <c r="AZ617" i="19"/>
  <c r="BA617" i="19"/>
  <c r="BB617" i="19"/>
  <c r="BC617" i="19"/>
  <c r="BD617" i="19"/>
  <c r="AV618" i="19"/>
  <c r="AW618" i="19"/>
  <c r="AX618" i="19"/>
  <c r="AY618" i="19"/>
  <c r="AZ618" i="19"/>
  <c r="BA618" i="19"/>
  <c r="BB618" i="19"/>
  <c r="BC618" i="19"/>
  <c r="BD618" i="19"/>
  <c r="AV619" i="19"/>
  <c r="AW619" i="19"/>
  <c r="AX619" i="19"/>
  <c r="AY619" i="19"/>
  <c r="AZ619" i="19"/>
  <c r="BA619" i="19"/>
  <c r="BB619" i="19"/>
  <c r="BC619" i="19"/>
  <c r="BD619" i="19"/>
  <c r="AV620" i="19"/>
  <c r="AW620" i="19"/>
  <c r="AX620" i="19"/>
  <c r="AY620" i="19"/>
  <c r="AZ620" i="19"/>
  <c r="BA620" i="19"/>
  <c r="BB620" i="19"/>
  <c r="BC620" i="19"/>
  <c r="BD620" i="19"/>
  <c r="AV621" i="19"/>
  <c r="AW621" i="19"/>
  <c r="AX621" i="19"/>
  <c r="AY621" i="19"/>
  <c r="AZ621" i="19"/>
  <c r="BA621" i="19"/>
  <c r="BB621" i="19"/>
  <c r="BC621" i="19"/>
  <c r="BD621" i="19"/>
  <c r="AV622" i="19"/>
  <c r="AW622" i="19"/>
  <c r="AX622" i="19"/>
  <c r="AY622" i="19"/>
  <c r="AZ622" i="19"/>
  <c r="BA622" i="19"/>
  <c r="BB622" i="19"/>
  <c r="BC622" i="19"/>
  <c r="BD622" i="19"/>
  <c r="AV623" i="19"/>
  <c r="AW623" i="19"/>
  <c r="AX623" i="19"/>
  <c r="AY623" i="19"/>
  <c r="AZ623" i="19"/>
  <c r="BA623" i="19"/>
  <c r="BB623" i="19"/>
  <c r="BC623" i="19"/>
  <c r="BD623" i="19"/>
  <c r="AV624" i="19"/>
  <c r="AW624" i="19"/>
  <c r="AX624" i="19"/>
  <c r="AY624" i="19"/>
  <c r="AZ624" i="19"/>
  <c r="BA624" i="19"/>
  <c r="BB624" i="19"/>
  <c r="BC624" i="19"/>
  <c r="BD624" i="19"/>
  <c r="AV625" i="19"/>
  <c r="AW625" i="19"/>
  <c r="AX625" i="19"/>
  <c r="AY625" i="19"/>
  <c r="AZ625" i="19"/>
  <c r="BA625" i="19"/>
  <c r="BB625" i="19"/>
  <c r="BC625" i="19"/>
  <c r="BD625" i="19"/>
  <c r="AV626" i="19"/>
  <c r="AW626" i="19"/>
  <c r="AX626" i="19"/>
  <c r="AY626" i="19"/>
  <c r="AZ626" i="19"/>
  <c r="BA626" i="19"/>
  <c r="BB626" i="19"/>
  <c r="BC626" i="19"/>
  <c r="BD626" i="19"/>
  <c r="AV627" i="19"/>
  <c r="AW627" i="19"/>
  <c r="AX627" i="19"/>
  <c r="AY627" i="19"/>
  <c r="AZ627" i="19"/>
  <c r="BA627" i="19"/>
  <c r="BB627" i="19"/>
  <c r="BC627" i="19"/>
  <c r="BD627" i="19"/>
  <c r="AV628" i="19"/>
  <c r="AW628" i="19"/>
  <c r="AX628" i="19"/>
  <c r="AY628" i="19"/>
  <c r="AZ628" i="19"/>
  <c r="BA628" i="19"/>
  <c r="BB628" i="19"/>
  <c r="BC628" i="19"/>
  <c r="BD628" i="19"/>
  <c r="AV629" i="19"/>
  <c r="AW629" i="19"/>
  <c r="AX629" i="19"/>
  <c r="AY629" i="19"/>
  <c r="AZ629" i="19"/>
  <c r="BA629" i="19"/>
  <c r="BB629" i="19"/>
  <c r="BC629" i="19"/>
  <c r="BD629" i="19"/>
  <c r="AV630" i="19"/>
  <c r="AW630" i="19"/>
  <c r="AX630" i="19"/>
  <c r="AY630" i="19"/>
  <c r="AZ630" i="19"/>
  <c r="BA630" i="19"/>
  <c r="BB630" i="19"/>
  <c r="BC630" i="19"/>
  <c r="BD630" i="19"/>
  <c r="AV631" i="19"/>
  <c r="AW631" i="19"/>
  <c r="AX631" i="19"/>
  <c r="AY631" i="19"/>
  <c r="AZ631" i="19"/>
  <c r="BA631" i="19"/>
  <c r="BB631" i="19"/>
  <c r="BC631" i="19"/>
  <c r="BD631" i="19"/>
  <c r="AV632" i="19"/>
  <c r="AW632" i="19"/>
  <c r="AX632" i="19"/>
  <c r="AY632" i="19"/>
  <c r="AZ632" i="19"/>
  <c r="BA632" i="19"/>
  <c r="BB632" i="19"/>
  <c r="BC632" i="19"/>
  <c r="BD632" i="19"/>
  <c r="AV633" i="19"/>
  <c r="AW633" i="19"/>
  <c r="AX633" i="19"/>
  <c r="AY633" i="19"/>
  <c r="AZ633" i="19"/>
  <c r="BA633" i="19"/>
  <c r="BB633" i="19"/>
  <c r="BC633" i="19"/>
  <c r="BD633" i="19"/>
  <c r="AV634" i="19"/>
  <c r="AW634" i="19"/>
  <c r="AX634" i="19"/>
  <c r="AY634" i="19"/>
  <c r="AZ634" i="19"/>
  <c r="BA634" i="19"/>
  <c r="BB634" i="19"/>
  <c r="BC634" i="19"/>
  <c r="BD634" i="19"/>
  <c r="AV635" i="19"/>
  <c r="AW635" i="19"/>
  <c r="AX635" i="19"/>
  <c r="AY635" i="19"/>
  <c r="AZ635" i="19"/>
  <c r="BA635" i="19"/>
  <c r="BB635" i="19"/>
  <c r="BC635" i="19"/>
  <c r="BD635" i="19"/>
  <c r="AV636" i="19"/>
  <c r="AW636" i="19"/>
  <c r="AX636" i="19"/>
  <c r="AY636" i="19"/>
  <c r="AZ636" i="19"/>
  <c r="BA636" i="19"/>
  <c r="BB636" i="19"/>
  <c r="BC636" i="19"/>
  <c r="BD636" i="19"/>
  <c r="AV637" i="19"/>
  <c r="AW637" i="19"/>
  <c r="AX637" i="19"/>
  <c r="AY637" i="19"/>
  <c r="AZ637" i="19"/>
  <c r="BA637" i="19"/>
  <c r="BB637" i="19"/>
  <c r="BC637" i="19"/>
  <c r="BD637" i="19"/>
  <c r="AV638" i="19"/>
  <c r="AW638" i="19"/>
  <c r="AX638" i="19"/>
  <c r="AY638" i="19"/>
  <c r="AZ638" i="19"/>
  <c r="BA638" i="19"/>
  <c r="BB638" i="19"/>
  <c r="BC638" i="19"/>
  <c r="BD638" i="19"/>
  <c r="AV639" i="19"/>
  <c r="AW639" i="19"/>
  <c r="AX639" i="19"/>
  <c r="AY639" i="19"/>
  <c r="AZ639" i="19"/>
  <c r="BA639" i="19"/>
  <c r="BB639" i="19"/>
  <c r="BC639" i="19"/>
  <c r="BD639" i="19"/>
  <c r="AV640" i="19"/>
  <c r="AW640" i="19"/>
  <c r="AX640" i="19"/>
  <c r="AY640" i="19"/>
  <c r="AZ640" i="19"/>
  <c r="BA640" i="19"/>
  <c r="BB640" i="19"/>
  <c r="BC640" i="19"/>
  <c r="BD640" i="19"/>
  <c r="AV641" i="19"/>
  <c r="AW641" i="19"/>
  <c r="AX641" i="19"/>
  <c r="AY641" i="19"/>
  <c r="AZ641" i="19"/>
  <c r="BA641" i="19"/>
  <c r="BB641" i="19"/>
  <c r="BC641" i="19"/>
  <c r="BD641" i="19"/>
  <c r="AV642" i="19"/>
  <c r="AW642" i="19"/>
  <c r="AX642" i="19"/>
  <c r="AY642" i="19"/>
  <c r="AZ642" i="19"/>
  <c r="BA642" i="19"/>
  <c r="BB642" i="19"/>
  <c r="BC642" i="19"/>
  <c r="BD642" i="19"/>
  <c r="AV643" i="19"/>
  <c r="AW643" i="19"/>
  <c r="AX643" i="19"/>
  <c r="AY643" i="19"/>
  <c r="AZ643" i="19"/>
  <c r="BA643" i="19"/>
  <c r="BB643" i="19"/>
  <c r="BC643" i="19"/>
  <c r="BD643" i="19"/>
  <c r="AV644" i="19"/>
  <c r="AW644" i="19"/>
  <c r="AX644" i="19"/>
  <c r="AY644" i="19"/>
  <c r="AZ644" i="19"/>
  <c r="BA644" i="19"/>
  <c r="BB644" i="19"/>
  <c r="BC644" i="19"/>
  <c r="BD644" i="19"/>
  <c r="AV645" i="19"/>
  <c r="AW645" i="19"/>
  <c r="AX645" i="19"/>
  <c r="AY645" i="19"/>
  <c r="AZ645" i="19"/>
  <c r="BA645" i="19"/>
  <c r="BB645" i="19"/>
  <c r="BC645" i="19"/>
  <c r="BD645" i="19"/>
  <c r="AV646" i="19"/>
  <c r="AW646" i="19"/>
  <c r="AX646" i="19"/>
  <c r="AY646" i="19"/>
  <c r="AZ646" i="19"/>
  <c r="BA646" i="19"/>
  <c r="BB646" i="19"/>
  <c r="BC646" i="19"/>
  <c r="BD646" i="19"/>
  <c r="AV647" i="19"/>
  <c r="AW647" i="19"/>
  <c r="AX647" i="19"/>
  <c r="AY647" i="19"/>
  <c r="AZ647" i="19"/>
  <c r="BA647" i="19"/>
  <c r="BB647" i="19"/>
  <c r="BC647" i="19"/>
  <c r="BD647" i="19"/>
  <c r="AV648" i="19"/>
  <c r="AW648" i="19"/>
  <c r="AX648" i="19"/>
  <c r="AY648" i="19"/>
  <c r="AZ648" i="19"/>
  <c r="BA648" i="19"/>
  <c r="BB648" i="19"/>
  <c r="BC648" i="19"/>
  <c r="BD648" i="19"/>
  <c r="AV649" i="19"/>
  <c r="AW649" i="19"/>
  <c r="AX649" i="19"/>
  <c r="AY649" i="19"/>
  <c r="AZ649" i="19"/>
  <c r="BA649" i="19"/>
  <c r="BB649" i="19"/>
  <c r="BC649" i="19"/>
  <c r="BD649" i="19"/>
  <c r="AV650" i="19"/>
  <c r="AW650" i="19"/>
  <c r="AX650" i="19"/>
  <c r="AY650" i="19"/>
  <c r="AZ650" i="19"/>
  <c r="BA650" i="19"/>
  <c r="BB650" i="19"/>
  <c r="BC650" i="19"/>
  <c r="BD650" i="19"/>
  <c r="AV651" i="19"/>
  <c r="AW651" i="19"/>
  <c r="AX651" i="19"/>
  <c r="AY651" i="19"/>
  <c r="AZ651" i="19"/>
  <c r="BA651" i="19"/>
  <c r="BB651" i="19"/>
  <c r="BC651" i="19"/>
  <c r="BD651" i="19"/>
  <c r="AV652" i="19"/>
  <c r="AW652" i="19"/>
  <c r="AX652" i="19"/>
  <c r="AY652" i="19"/>
  <c r="AZ652" i="19"/>
  <c r="BA652" i="19"/>
  <c r="BB652" i="19"/>
  <c r="BC652" i="19"/>
  <c r="BD652" i="19"/>
  <c r="AV653" i="19"/>
  <c r="AW653" i="19"/>
  <c r="AX653" i="19"/>
  <c r="AY653" i="19"/>
  <c r="AZ653" i="19"/>
  <c r="BA653" i="19"/>
  <c r="BB653" i="19"/>
  <c r="BC653" i="19"/>
  <c r="BD653" i="19"/>
  <c r="AV654" i="19"/>
  <c r="AW654" i="19"/>
  <c r="AX654" i="19"/>
  <c r="AY654" i="19"/>
  <c r="AZ654" i="19"/>
  <c r="BA654" i="19"/>
  <c r="BB654" i="19"/>
  <c r="BC654" i="19"/>
  <c r="BD654" i="19"/>
  <c r="AV655" i="19"/>
  <c r="AW655" i="19"/>
  <c r="AX655" i="19"/>
  <c r="AY655" i="19"/>
  <c r="AZ655" i="19"/>
  <c r="BA655" i="19"/>
  <c r="BB655" i="19"/>
  <c r="BC655" i="19"/>
  <c r="BD655" i="19"/>
  <c r="AV656" i="19"/>
  <c r="AW656" i="19"/>
  <c r="AX656" i="19"/>
  <c r="AY656" i="19"/>
  <c r="AZ656" i="19"/>
  <c r="BA656" i="19"/>
  <c r="BB656" i="19"/>
  <c r="BC656" i="19"/>
  <c r="BD656" i="19"/>
  <c r="AV657" i="19"/>
  <c r="AW657" i="19"/>
  <c r="AX657" i="19"/>
  <c r="AY657" i="19"/>
  <c r="AZ657" i="19"/>
  <c r="BA657" i="19"/>
  <c r="BB657" i="19"/>
  <c r="BC657" i="19"/>
  <c r="BD657" i="19"/>
  <c r="AV658" i="19"/>
  <c r="AW658" i="19"/>
  <c r="AX658" i="19"/>
  <c r="AY658" i="19"/>
  <c r="AZ658" i="19"/>
  <c r="BA658" i="19"/>
  <c r="BB658" i="19"/>
  <c r="BC658" i="19"/>
  <c r="BD658" i="19"/>
  <c r="AV659" i="19"/>
  <c r="AW659" i="19"/>
  <c r="AX659" i="19"/>
  <c r="AY659" i="19"/>
  <c r="AZ659" i="19"/>
  <c r="BA659" i="19"/>
  <c r="BB659" i="19"/>
  <c r="BC659" i="19"/>
  <c r="BD659" i="19"/>
  <c r="AV660" i="19"/>
  <c r="AW660" i="19"/>
  <c r="AX660" i="19"/>
  <c r="AY660" i="19"/>
  <c r="AZ660" i="19"/>
  <c r="BA660" i="19"/>
  <c r="BB660" i="19"/>
  <c r="BC660" i="19"/>
  <c r="BD660" i="19"/>
  <c r="AV661" i="19"/>
  <c r="AW661" i="19"/>
  <c r="AX661" i="19"/>
  <c r="AY661" i="19"/>
  <c r="AZ661" i="19"/>
  <c r="BA661" i="19"/>
  <c r="BB661" i="19"/>
  <c r="BC661" i="19"/>
  <c r="BD661" i="19"/>
  <c r="AV662" i="19"/>
  <c r="AW662" i="19"/>
  <c r="AX662" i="19"/>
  <c r="AY662" i="19"/>
  <c r="AZ662" i="19"/>
  <c r="BA662" i="19"/>
  <c r="BB662" i="19"/>
  <c r="BC662" i="19"/>
  <c r="BD662" i="19"/>
  <c r="AV663" i="19"/>
  <c r="AW663" i="19"/>
  <c r="AX663" i="19"/>
  <c r="AY663" i="19"/>
  <c r="AZ663" i="19"/>
  <c r="BA663" i="19"/>
  <c r="BB663" i="19"/>
  <c r="BC663" i="19"/>
  <c r="BD663" i="19"/>
  <c r="AV664" i="19"/>
  <c r="AW664" i="19"/>
  <c r="AX664" i="19"/>
  <c r="AY664" i="19"/>
  <c r="AZ664" i="19"/>
  <c r="BA664" i="19"/>
  <c r="BB664" i="19"/>
  <c r="BC664" i="19"/>
  <c r="BD664" i="19"/>
  <c r="AV665" i="19"/>
  <c r="AW665" i="19"/>
  <c r="AX665" i="19"/>
  <c r="AY665" i="19"/>
  <c r="AZ665" i="19"/>
  <c r="BA665" i="19"/>
  <c r="BB665" i="19"/>
  <c r="BC665" i="19"/>
  <c r="BD665" i="19"/>
  <c r="AV666" i="19"/>
  <c r="AW666" i="19"/>
  <c r="AX666" i="19"/>
  <c r="AY666" i="19"/>
  <c r="AZ666" i="19"/>
  <c r="BA666" i="19"/>
  <c r="BB666" i="19"/>
  <c r="BC666" i="19"/>
  <c r="BD666" i="19"/>
  <c r="AV667" i="19"/>
  <c r="AW667" i="19"/>
  <c r="AX667" i="19"/>
  <c r="AY667" i="19"/>
  <c r="AZ667" i="19"/>
  <c r="BA667" i="19"/>
  <c r="BB667" i="19"/>
  <c r="BC667" i="19"/>
  <c r="BD667" i="19"/>
  <c r="AV668" i="19"/>
  <c r="AW668" i="19"/>
  <c r="AX668" i="19"/>
  <c r="AY668" i="19"/>
  <c r="AZ668" i="19"/>
  <c r="BA668" i="19"/>
  <c r="BB668" i="19"/>
  <c r="BC668" i="19"/>
  <c r="BD668" i="19"/>
  <c r="AV669" i="19"/>
  <c r="AW669" i="19"/>
  <c r="AX669" i="19"/>
  <c r="AY669" i="19"/>
  <c r="AZ669" i="19"/>
  <c r="BA669" i="19"/>
  <c r="BB669" i="19"/>
  <c r="BC669" i="19"/>
  <c r="BD669" i="19"/>
  <c r="AV670" i="19"/>
  <c r="AW670" i="19"/>
  <c r="AX670" i="19"/>
  <c r="AY670" i="19"/>
  <c r="AZ670" i="19"/>
  <c r="BA670" i="19"/>
  <c r="BB670" i="19"/>
  <c r="BC670" i="19"/>
  <c r="BD670" i="19"/>
  <c r="AV671" i="19"/>
  <c r="AW671" i="19"/>
  <c r="AX671" i="19"/>
  <c r="AY671" i="19"/>
  <c r="AZ671" i="19"/>
  <c r="BA671" i="19"/>
  <c r="BB671" i="19"/>
  <c r="BC671" i="19"/>
  <c r="BD671" i="19"/>
  <c r="AV672" i="19"/>
  <c r="AW672" i="19"/>
  <c r="AX672" i="19"/>
  <c r="AY672" i="19"/>
  <c r="AZ672" i="19"/>
  <c r="BA672" i="19"/>
  <c r="BB672" i="19"/>
  <c r="BC672" i="19"/>
  <c r="BD672" i="19"/>
  <c r="AV673" i="19"/>
  <c r="AW673" i="19"/>
  <c r="AX673" i="19"/>
  <c r="AY673" i="19"/>
  <c r="AZ673" i="19"/>
  <c r="BA673" i="19"/>
  <c r="BB673" i="19"/>
  <c r="BC673" i="19"/>
  <c r="BD673" i="19"/>
  <c r="AV674" i="19"/>
  <c r="AW674" i="19"/>
  <c r="AX674" i="19"/>
  <c r="AY674" i="19"/>
  <c r="AZ674" i="19"/>
  <c r="BA674" i="19"/>
  <c r="BB674" i="19"/>
  <c r="BC674" i="19"/>
  <c r="BD674" i="19"/>
  <c r="AV675" i="19"/>
  <c r="AW675" i="19"/>
  <c r="AX675" i="19"/>
  <c r="AY675" i="19"/>
  <c r="AZ675" i="19"/>
  <c r="BA675" i="19"/>
  <c r="BB675" i="19"/>
  <c r="BC675" i="19"/>
  <c r="BD675" i="19"/>
  <c r="AV676" i="19"/>
  <c r="AW676" i="19"/>
  <c r="AX676" i="19"/>
  <c r="AY676" i="19"/>
  <c r="AZ676" i="19"/>
  <c r="BA676" i="19"/>
  <c r="BB676" i="19"/>
  <c r="BC676" i="19"/>
  <c r="BD676" i="19"/>
  <c r="AV677" i="19"/>
  <c r="AW677" i="19"/>
  <c r="AX677" i="19"/>
  <c r="AY677" i="19"/>
  <c r="AZ677" i="19"/>
  <c r="BA677" i="19"/>
  <c r="BB677" i="19"/>
  <c r="BC677" i="19"/>
  <c r="BD677" i="19"/>
  <c r="AV678" i="19"/>
  <c r="AW678" i="19"/>
  <c r="AX678" i="19"/>
  <c r="AY678" i="19"/>
  <c r="AZ678" i="19"/>
  <c r="BA678" i="19"/>
  <c r="BB678" i="19"/>
  <c r="BC678" i="19"/>
  <c r="BD678" i="19"/>
  <c r="AV679" i="19"/>
  <c r="AW679" i="19"/>
  <c r="AX679" i="19"/>
  <c r="AY679" i="19"/>
  <c r="AZ679" i="19"/>
  <c r="BA679" i="19"/>
  <c r="BB679" i="19"/>
  <c r="BC679" i="19"/>
  <c r="BD679" i="19"/>
  <c r="AV680" i="19"/>
  <c r="AW680" i="19"/>
  <c r="AX680" i="19"/>
  <c r="AY680" i="19"/>
  <c r="AZ680" i="19"/>
  <c r="BA680" i="19"/>
  <c r="BB680" i="19"/>
  <c r="BC680" i="19"/>
  <c r="BD680" i="19"/>
  <c r="AV681" i="19"/>
  <c r="AW681" i="19"/>
  <c r="AX681" i="19"/>
  <c r="AY681" i="19"/>
  <c r="AZ681" i="19"/>
  <c r="BA681" i="19"/>
  <c r="BB681" i="19"/>
  <c r="BC681" i="19"/>
  <c r="BD681" i="19"/>
  <c r="AV682" i="19"/>
  <c r="AW682" i="19"/>
  <c r="AX682" i="19"/>
  <c r="AY682" i="19"/>
  <c r="AZ682" i="19"/>
  <c r="BA682" i="19"/>
  <c r="BB682" i="19"/>
  <c r="BC682" i="19"/>
  <c r="BD682" i="19"/>
  <c r="AV683" i="19"/>
  <c r="AW683" i="19"/>
  <c r="AX683" i="19"/>
  <c r="AY683" i="19"/>
  <c r="AZ683" i="19"/>
  <c r="BA683" i="19"/>
  <c r="BB683" i="19"/>
  <c r="BC683" i="19"/>
  <c r="BD683" i="19"/>
  <c r="AV684" i="19"/>
  <c r="AW684" i="19"/>
  <c r="AX684" i="19"/>
  <c r="AY684" i="19"/>
  <c r="AZ684" i="19"/>
  <c r="BA684" i="19"/>
  <c r="BB684" i="19"/>
  <c r="BC684" i="19"/>
  <c r="BD684" i="19"/>
  <c r="AV685" i="19"/>
  <c r="AW685" i="19"/>
  <c r="AX685" i="19"/>
  <c r="AY685" i="19"/>
  <c r="AZ685" i="19"/>
  <c r="BA685" i="19"/>
  <c r="BB685" i="19"/>
  <c r="BC685" i="19"/>
  <c r="BD685" i="19"/>
  <c r="AV686" i="19"/>
  <c r="AW686" i="19"/>
  <c r="AX686" i="19"/>
  <c r="AY686" i="19"/>
  <c r="AZ686" i="19"/>
  <c r="BA686" i="19"/>
  <c r="BB686" i="19"/>
  <c r="BC686" i="19"/>
  <c r="BD686" i="19"/>
  <c r="AV687" i="19"/>
  <c r="AW687" i="19"/>
  <c r="AX687" i="19"/>
  <c r="AY687" i="19"/>
  <c r="AZ687" i="19"/>
  <c r="BA687" i="19"/>
  <c r="BB687" i="19"/>
  <c r="BC687" i="19"/>
  <c r="BD687" i="19"/>
  <c r="AV688" i="19"/>
  <c r="AW688" i="19"/>
  <c r="AX688" i="19"/>
  <c r="AY688" i="19"/>
  <c r="AZ688" i="19"/>
  <c r="BA688" i="19"/>
  <c r="BB688" i="19"/>
  <c r="BC688" i="19"/>
  <c r="BD688" i="19"/>
  <c r="AV689" i="19"/>
  <c r="AW689" i="19"/>
  <c r="AX689" i="19"/>
  <c r="AY689" i="19"/>
  <c r="AZ689" i="19"/>
  <c r="BA689" i="19"/>
  <c r="BB689" i="19"/>
  <c r="BC689" i="19"/>
  <c r="BD689" i="19"/>
  <c r="AV690" i="19"/>
  <c r="AW690" i="19"/>
  <c r="AX690" i="19"/>
  <c r="AY690" i="19"/>
  <c r="AZ690" i="19"/>
  <c r="BA690" i="19"/>
  <c r="BB690" i="19"/>
  <c r="BC690" i="19"/>
  <c r="BD690" i="19"/>
  <c r="AV691" i="19"/>
  <c r="AW691" i="19"/>
  <c r="AX691" i="19"/>
  <c r="AY691" i="19"/>
  <c r="AZ691" i="19"/>
  <c r="BA691" i="19"/>
  <c r="BB691" i="19"/>
  <c r="BC691" i="19"/>
  <c r="BD691" i="19"/>
  <c r="AV692" i="19"/>
  <c r="AW692" i="19"/>
  <c r="AX692" i="19"/>
  <c r="AY692" i="19"/>
  <c r="AZ692" i="19"/>
  <c r="BA692" i="19"/>
  <c r="BB692" i="19"/>
  <c r="BC692" i="19"/>
  <c r="BD692" i="19"/>
  <c r="AV693" i="19"/>
  <c r="AW693" i="19"/>
  <c r="AX693" i="19"/>
  <c r="AY693" i="19"/>
  <c r="AZ693" i="19"/>
  <c r="BA693" i="19"/>
  <c r="BB693" i="19"/>
  <c r="BC693" i="19"/>
  <c r="BD693" i="19"/>
  <c r="AV694" i="19"/>
  <c r="AW694" i="19"/>
  <c r="AX694" i="19"/>
  <c r="AY694" i="19"/>
  <c r="AZ694" i="19"/>
  <c r="BA694" i="19"/>
  <c r="BB694" i="19"/>
  <c r="BC694" i="19"/>
  <c r="BD694" i="19"/>
  <c r="AV695" i="19"/>
  <c r="AW695" i="19"/>
  <c r="AX695" i="19"/>
  <c r="AY695" i="19"/>
  <c r="AZ695" i="19"/>
  <c r="BA695" i="19"/>
  <c r="BB695" i="19"/>
  <c r="BC695" i="19"/>
  <c r="BD695" i="19"/>
  <c r="AV696" i="19"/>
  <c r="AW696" i="19"/>
  <c r="AX696" i="19"/>
  <c r="AY696" i="19"/>
  <c r="AZ696" i="19"/>
  <c r="BA696" i="19"/>
  <c r="BB696" i="19"/>
  <c r="BC696" i="19"/>
  <c r="BD696" i="19"/>
  <c r="AV697" i="19"/>
  <c r="AW697" i="19"/>
  <c r="AX697" i="19"/>
  <c r="AY697" i="19"/>
  <c r="AZ697" i="19"/>
  <c r="BA697" i="19"/>
  <c r="BB697" i="19"/>
  <c r="BC697" i="19"/>
  <c r="BD697" i="19"/>
  <c r="AV698" i="19"/>
  <c r="AW698" i="19"/>
  <c r="AX698" i="19"/>
  <c r="AY698" i="19"/>
  <c r="AZ698" i="19"/>
  <c r="BA698" i="19"/>
  <c r="BB698" i="19"/>
  <c r="BC698" i="19"/>
  <c r="BD698" i="19"/>
  <c r="AV699" i="19"/>
  <c r="AW699" i="19"/>
  <c r="AX699" i="19"/>
  <c r="AY699" i="19"/>
  <c r="AZ699" i="19"/>
  <c r="BA699" i="19"/>
  <c r="BB699" i="19"/>
  <c r="BC699" i="19"/>
  <c r="BD699" i="19"/>
  <c r="AV700" i="19"/>
  <c r="AW700" i="19"/>
  <c r="AX700" i="19"/>
  <c r="AY700" i="19"/>
  <c r="AZ700" i="19"/>
  <c r="BA700" i="19"/>
  <c r="BB700" i="19"/>
  <c r="BC700" i="19"/>
  <c r="BD700" i="19"/>
  <c r="AV701" i="19"/>
  <c r="AW701" i="19"/>
  <c r="AX701" i="19"/>
  <c r="AY701" i="19"/>
  <c r="AZ701" i="19"/>
  <c r="BA701" i="19"/>
  <c r="BB701" i="19"/>
  <c r="BC701" i="19"/>
  <c r="BD701" i="19"/>
  <c r="AV702" i="19"/>
  <c r="AW702" i="19"/>
  <c r="AX702" i="19"/>
  <c r="AY702" i="19"/>
  <c r="AZ702" i="19"/>
  <c r="BA702" i="19"/>
  <c r="BB702" i="19"/>
  <c r="BC702" i="19"/>
  <c r="BD702" i="19"/>
  <c r="AV703" i="19"/>
  <c r="AW703" i="19"/>
  <c r="AX703" i="19"/>
  <c r="AY703" i="19"/>
  <c r="AZ703" i="19"/>
  <c r="BA703" i="19"/>
  <c r="BB703" i="19"/>
  <c r="BC703" i="19"/>
  <c r="BD703" i="19"/>
  <c r="AV704" i="19"/>
  <c r="AW704" i="19"/>
  <c r="AX704" i="19"/>
  <c r="AY704" i="19"/>
  <c r="AZ704" i="19"/>
  <c r="BA704" i="19"/>
  <c r="BB704" i="19"/>
  <c r="BC704" i="19"/>
  <c r="BD704" i="19"/>
  <c r="AV705" i="19"/>
  <c r="AW705" i="19"/>
  <c r="AX705" i="19"/>
  <c r="AY705" i="19"/>
  <c r="AZ705" i="19"/>
  <c r="BA705" i="19"/>
  <c r="BB705" i="19"/>
  <c r="BC705" i="19"/>
  <c r="BD705" i="19"/>
  <c r="AV706" i="19"/>
  <c r="AW706" i="19"/>
  <c r="AX706" i="19"/>
  <c r="AY706" i="19"/>
  <c r="AZ706" i="19"/>
  <c r="BA706" i="19"/>
  <c r="BB706" i="19"/>
  <c r="BC706" i="19"/>
  <c r="BD706" i="19"/>
  <c r="AV707" i="19"/>
  <c r="AW707" i="19"/>
  <c r="AX707" i="19"/>
  <c r="AY707" i="19"/>
  <c r="AZ707" i="19"/>
  <c r="BA707" i="19"/>
  <c r="BB707" i="19"/>
  <c r="BC707" i="19"/>
  <c r="BD707" i="19"/>
  <c r="AV708" i="19"/>
  <c r="AW708" i="19"/>
  <c r="AX708" i="19"/>
  <c r="AY708" i="19"/>
  <c r="AZ708" i="19"/>
  <c r="BA708" i="19"/>
  <c r="BB708" i="19"/>
  <c r="BC708" i="19"/>
  <c r="BD708" i="19"/>
  <c r="AV709" i="19"/>
  <c r="AW709" i="19"/>
  <c r="AX709" i="19"/>
  <c r="AY709" i="19"/>
  <c r="AZ709" i="19"/>
  <c r="BA709" i="19"/>
  <c r="BB709" i="19"/>
  <c r="BC709" i="19"/>
  <c r="BD709" i="19"/>
  <c r="AV710" i="19"/>
  <c r="AW710" i="19"/>
  <c r="AX710" i="19"/>
  <c r="AY710" i="19"/>
  <c r="AZ710" i="19"/>
  <c r="BA710" i="19"/>
  <c r="BB710" i="19"/>
  <c r="BC710" i="19"/>
  <c r="BD710" i="19"/>
  <c r="AV711" i="19"/>
  <c r="AW711" i="19"/>
  <c r="AX711" i="19"/>
  <c r="AY711" i="19"/>
  <c r="AZ711" i="19"/>
  <c r="BA711" i="19"/>
  <c r="BB711" i="19"/>
  <c r="BC711" i="19"/>
  <c r="BD711" i="19"/>
  <c r="AV712" i="19"/>
  <c r="AW712" i="19"/>
  <c r="AX712" i="19"/>
  <c r="AY712" i="19"/>
  <c r="AZ712" i="19"/>
  <c r="BA712" i="19"/>
  <c r="BB712" i="19"/>
  <c r="BC712" i="19"/>
  <c r="BD712" i="19"/>
  <c r="AV713" i="19"/>
  <c r="AW713" i="19"/>
  <c r="AX713" i="19"/>
  <c r="AY713" i="19"/>
  <c r="AZ713" i="19"/>
  <c r="BA713" i="19"/>
  <c r="BB713" i="19"/>
  <c r="BC713" i="19"/>
  <c r="BD713" i="19"/>
  <c r="AV714" i="19"/>
  <c r="AW714" i="19"/>
  <c r="AX714" i="19"/>
  <c r="AY714" i="19"/>
  <c r="AZ714" i="19"/>
  <c r="BA714" i="19"/>
  <c r="BB714" i="19"/>
  <c r="BC714" i="19"/>
  <c r="BD714" i="19"/>
  <c r="AV715" i="19"/>
  <c r="AW715" i="19"/>
  <c r="AX715" i="19"/>
  <c r="AY715" i="19"/>
  <c r="AZ715" i="19"/>
  <c r="BA715" i="19"/>
  <c r="BB715" i="19"/>
  <c r="BC715" i="19"/>
  <c r="BD715" i="19"/>
  <c r="AV716" i="19"/>
  <c r="AW716" i="19"/>
  <c r="AX716" i="19"/>
  <c r="AY716" i="19"/>
  <c r="AZ716" i="19"/>
  <c r="BA716" i="19"/>
  <c r="BB716" i="19"/>
  <c r="BC716" i="19"/>
  <c r="BD716" i="19"/>
  <c r="AV717" i="19"/>
  <c r="AW717" i="19"/>
  <c r="AX717" i="19"/>
  <c r="AY717" i="19"/>
  <c r="AZ717" i="19"/>
  <c r="BA717" i="19"/>
  <c r="BB717" i="19"/>
  <c r="BC717" i="19"/>
  <c r="BD717" i="19"/>
  <c r="AV718" i="19"/>
  <c r="AW718" i="19"/>
  <c r="AX718" i="19"/>
  <c r="AY718" i="19"/>
  <c r="AZ718" i="19"/>
  <c r="BA718" i="19"/>
  <c r="BB718" i="19"/>
  <c r="BC718" i="19"/>
  <c r="BD718" i="19"/>
  <c r="AV719" i="19"/>
  <c r="AW719" i="19"/>
  <c r="AX719" i="19"/>
  <c r="AY719" i="19"/>
  <c r="AZ719" i="19"/>
  <c r="BA719" i="19"/>
  <c r="BB719" i="19"/>
  <c r="BC719" i="19"/>
  <c r="BD719" i="19"/>
  <c r="AV720" i="19"/>
  <c r="AW720" i="19"/>
  <c r="AX720" i="19"/>
  <c r="AY720" i="19"/>
  <c r="AZ720" i="19"/>
  <c r="BA720" i="19"/>
  <c r="BB720" i="19"/>
  <c r="BC720" i="19"/>
  <c r="BD720" i="19"/>
  <c r="AV721" i="19"/>
  <c r="AW721" i="19"/>
  <c r="AX721" i="19"/>
  <c r="AY721" i="19"/>
  <c r="AZ721" i="19"/>
  <c r="BA721" i="19"/>
  <c r="BB721" i="19"/>
  <c r="BC721" i="19"/>
  <c r="BD721" i="19"/>
  <c r="AV722" i="19"/>
  <c r="AW722" i="19"/>
  <c r="AX722" i="19"/>
  <c r="AY722" i="19"/>
  <c r="AZ722" i="19"/>
  <c r="BA722" i="19"/>
  <c r="BB722" i="19"/>
  <c r="BC722" i="19"/>
  <c r="BD722" i="19"/>
  <c r="AV723" i="19"/>
  <c r="AW723" i="19"/>
  <c r="AX723" i="19"/>
  <c r="AY723" i="19"/>
  <c r="AZ723" i="19"/>
  <c r="BA723" i="19"/>
  <c r="BB723" i="19"/>
  <c r="BC723" i="19"/>
  <c r="BD723" i="19"/>
  <c r="AV724" i="19"/>
  <c r="AW724" i="19"/>
  <c r="AX724" i="19"/>
  <c r="AY724" i="19"/>
  <c r="AZ724" i="19"/>
  <c r="BA724" i="19"/>
  <c r="BB724" i="19"/>
  <c r="BC724" i="19"/>
  <c r="BD724" i="19"/>
  <c r="AV725" i="19"/>
  <c r="AW725" i="19"/>
  <c r="AX725" i="19"/>
  <c r="AY725" i="19"/>
  <c r="AZ725" i="19"/>
  <c r="BA725" i="19"/>
  <c r="BB725" i="19"/>
  <c r="BC725" i="19"/>
  <c r="BD725" i="19"/>
  <c r="AV726" i="19"/>
  <c r="AW726" i="19"/>
  <c r="AX726" i="19"/>
  <c r="AY726" i="19"/>
  <c r="AZ726" i="19"/>
  <c r="BA726" i="19"/>
  <c r="BB726" i="19"/>
  <c r="BC726" i="19"/>
  <c r="BD726" i="19"/>
  <c r="AV727" i="19"/>
  <c r="AW727" i="19"/>
  <c r="AX727" i="19"/>
  <c r="AY727" i="19"/>
  <c r="AZ727" i="19"/>
  <c r="BA727" i="19"/>
  <c r="BB727" i="19"/>
  <c r="BC727" i="19"/>
  <c r="BD727" i="19"/>
  <c r="AV728" i="19"/>
  <c r="AW728" i="19"/>
  <c r="AX728" i="19"/>
  <c r="AY728" i="19"/>
  <c r="AZ728" i="19"/>
  <c r="BA728" i="19"/>
  <c r="BB728" i="19"/>
  <c r="BC728" i="19"/>
  <c r="BD728" i="19"/>
  <c r="AV729" i="19"/>
  <c r="AW729" i="19"/>
  <c r="AX729" i="19"/>
  <c r="AY729" i="19"/>
  <c r="AZ729" i="19"/>
  <c r="BA729" i="19"/>
  <c r="BB729" i="19"/>
  <c r="BC729" i="19"/>
  <c r="BD729" i="19"/>
  <c r="AV730" i="19"/>
  <c r="AW730" i="19"/>
  <c r="AX730" i="19"/>
  <c r="AY730" i="19"/>
  <c r="AZ730" i="19"/>
  <c r="BA730" i="19"/>
  <c r="BB730" i="19"/>
  <c r="BC730" i="19"/>
  <c r="BD730" i="19"/>
  <c r="AV731" i="19"/>
  <c r="AW731" i="19"/>
  <c r="AX731" i="19"/>
  <c r="AY731" i="19"/>
  <c r="AZ731" i="19"/>
  <c r="BA731" i="19"/>
  <c r="BB731" i="19"/>
  <c r="BC731" i="19"/>
  <c r="BD731" i="19"/>
  <c r="AV732" i="19"/>
  <c r="AW732" i="19"/>
  <c r="AX732" i="19"/>
  <c r="AY732" i="19"/>
  <c r="AZ732" i="19"/>
  <c r="BA732" i="19"/>
  <c r="BB732" i="19"/>
  <c r="BC732" i="19"/>
  <c r="BD732" i="19"/>
  <c r="AV733" i="19"/>
  <c r="AW733" i="19"/>
  <c r="AX733" i="19"/>
  <c r="AY733" i="19"/>
  <c r="AZ733" i="19"/>
  <c r="BA733" i="19"/>
  <c r="BB733" i="19"/>
  <c r="BC733" i="19"/>
  <c r="BD733" i="19"/>
  <c r="AV734" i="19"/>
  <c r="AW734" i="19"/>
  <c r="AX734" i="19"/>
  <c r="AY734" i="19"/>
  <c r="AZ734" i="19"/>
  <c r="BA734" i="19"/>
  <c r="BB734" i="19"/>
  <c r="BC734" i="19"/>
  <c r="BD734" i="19"/>
  <c r="AV735" i="19"/>
  <c r="AW735" i="19"/>
  <c r="AX735" i="19"/>
  <c r="AY735" i="19"/>
  <c r="AZ735" i="19"/>
  <c r="BA735" i="19"/>
  <c r="BB735" i="19"/>
  <c r="BC735" i="19"/>
  <c r="BD735" i="19"/>
  <c r="AV736" i="19"/>
  <c r="AW736" i="19"/>
  <c r="AX736" i="19"/>
  <c r="AY736" i="19"/>
  <c r="AZ736" i="19"/>
  <c r="BA736" i="19"/>
  <c r="BB736" i="19"/>
  <c r="BC736" i="19"/>
  <c r="BD736" i="19"/>
  <c r="AV737" i="19"/>
  <c r="AW737" i="19"/>
  <c r="AX737" i="19"/>
  <c r="AY737" i="19"/>
  <c r="AZ737" i="19"/>
  <c r="BA737" i="19"/>
  <c r="BB737" i="19"/>
  <c r="BC737" i="19"/>
  <c r="BD737" i="19"/>
  <c r="AV738" i="19"/>
  <c r="AW738" i="19"/>
  <c r="AX738" i="19"/>
  <c r="AY738" i="19"/>
  <c r="AZ738" i="19"/>
  <c r="BA738" i="19"/>
  <c r="BB738" i="19"/>
  <c r="BC738" i="19"/>
  <c r="BD738" i="19"/>
  <c r="AV739" i="19"/>
  <c r="AW739" i="19"/>
  <c r="AX739" i="19"/>
  <c r="AY739" i="19"/>
  <c r="AZ739" i="19"/>
  <c r="BA739" i="19"/>
  <c r="BB739" i="19"/>
  <c r="BC739" i="19"/>
  <c r="BD739" i="19"/>
  <c r="AV740" i="19"/>
  <c r="AW740" i="19"/>
  <c r="AX740" i="19"/>
  <c r="AY740" i="19"/>
  <c r="AZ740" i="19"/>
  <c r="BA740" i="19"/>
  <c r="BB740" i="19"/>
  <c r="BC740" i="19"/>
  <c r="BD740" i="19"/>
  <c r="AV741" i="19"/>
  <c r="AW741" i="19"/>
  <c r="AX741" i="19"/>
  <c r="AY741" i="19"/>
  <c r="AZ741" i="19"/>
  <c r="BA741" i="19"/>
  <c r="BB741" i="19"/>
  <c r="BC741" i="19"/>
  <c r="BD741" i="19"/>
  <c r="AV742" i="19"/>
  <c r="AW742" i="19"/>
  <c r="AX742" i="19"/>
  <c r="AY742" i="19"/>
  <c r="AZ742" i="19"/>
  <c r="BA742" i="19"/>
  <c r="BB742" i="19"/>
  <c r="BC742" i="19"/>
  <c r="BD742" i="19"/>
  <c r="AV743" i="19"/>
  <c r="AW743" i="19"/>
  <c r="AX743" i="19"/>
  <c r="AY743" i="19"/>
  <c r="AZ743" i="19"/>
  <c r="BA743" i="19"/>
  <c r="BB743" i="19"/>
  <c r="BC743" i="19"/>
  <c r="BD743" i="19"/>
  <c r="AV744" i="19"/>
  <c r="AW744" i="19"/>
  <c r="AX744" i="19"/>
  <c r="AY744" i="19"/>
  <c r="AZ744" i="19"/>
  <c r="BA744" i="19"/>
  <c r="BB744" i="19"/>
  <c r="BC744" i="19"/>
  <c r="BD744" i="19"/>
  <c r="AV745" i="19"/>
  <c r="AW745" i="19"/>
  <c r="AX745" i="19"/>
  <c r="AY745" i="19"/>
  <c r="AZ745" i="19"/>
  <c r="BA745" i="19"/>
  <c r="BB745" i="19"/>
  <c r="BC745" i="19"/>
  <c r="BD745" i="19"/>
  <c r="AV746" i="19"/>
  <c r="AW746" i="19"/>
  <c r="AX746" i="19"/>
  <c r="AY746" i="19"/>
  <c r="AZ746" i="19"/>
  <c r="BA746" i="19"/>
  <c r="BB746" i="19"/>
  <c r="BC746" i="19"/>
  <c r="BD746" i="19"/>
  <c r="AV747" i="19"/>
  <c r="AW747" i="19"/>
  <c r="AX747" i="19"/>
  <c r="AY747" i="19"/>
  <c r="AZ747" i="19"/>
  <c r="BA747" i="19"/>
  <c r="BB747" i="19"/>
  <c r="BC747" i="19"/>
  <c r="BD747" i="19"/>
  <c r="AV748" i="19"/>
  <c r="AW748" i="19"/>
  <c r="AX748" i="19"/>
  <c r="AY748" i="19"/>
  <c r="AZ748" i="19"/>
  <c r="BA748" i="19"/>
  <c r="BB748" i="19"/>
  <c r="BC748" i="19"/>
  <c r="BD748" i="19"/>
  <c r="AV749" i="19"/>
  <c r="AW749" i="19"/>
  <c r="AX749" i="19"/>
  <c r="AY749" i="19"/>
  <c r="AZ749" i="19"/>
  <c r="BA749" i="19"/>
  <c r="BB749" i="19"/>
  <c r="BC749" i="19"/>
  <c r="BD749" i="19"/>
  <c r="AV750" i="19"/>
  <c r="AW750" i="19"/>
  <c r="AX750" i="19"/>
  <c r="AY750" i="19"/>
  <c r="AZ750" i="19"/>
  <c r="BA750" i="19"/>
  <c r="BB750" i="19"/>
  <c r="BC750" i="19"/>
  <c r="BD750" i="19"/>
  <c r="AV751" i="19"/>
  <c r="AW751" i="19"/>
  <c r="AX751" i="19"/>
  <c r="AY751" i="19"/>
  <c r="AZ751" i="19"/>
  <c r="BA751" i="19"/>
  <c r="BB751" i="19"/>
  <c r="BC751" i="19"/>
  <c r="BD751" i="19"/>
  <c r="AV752" i="19"/>
  <c r="AW752" i="19"/>
  <c r="AX752" i="19"/>
  <c r="AY752" i="19"/>
  <c r="AZ752" i="19"/>
  <c r="BA752" i="19"/>
  <c r="BB752" i="19"/>
  <c r="BC752" i="19"/>
  <c r="BD752" i="19"/>
  <c r="AV753" i="19"/>
  <c r="AW753" i="19"/>
  <c r="AX753" i="19"/>
  <c r="AY753" i="19"/>
  <c r="AZ753" i="19"/>
  <c r="BA753" i="19"/>
  <c r="BB753" i="19"/>
  <c r="BC753" i="19"/>
  <c r="BD753" i="19"/>
  <c r="AV754" i="19"/>
  <c r="AW754" i="19"/>
  <c r="AX754" i="19"/>
  <c r="AY754" i="19"/>
  <c r="AZ754" i="19"/>
  <c r="BA754" i="19"/>
  <c r="BB754" i="19"/>
  <c r="BC754" i="19"/>
  <c r="BD754" i="19"/>
  <c r="AV755" i="19"/>
  <c r="AW755" i="19"/>
  <c r="AX755" i="19"/>
  <c r="AY755" i="19"/>
  <c r="AZ755" i="19"/>
  <c r="BA755" i="19"/>
  <c r="BB755" i="19"/>
  <c r="BC755" i="19"/>
  <c r="BD755" i="19"/>
  <c r="AV756" i="19"/>
  <c r="AW756" i="19"/>
  <c r="AX756" i="19"/>
  <c r="AY756" i="19"/>
  <c r="AZ756" i="19"/>
  <c r="BA756" i="19"/>
  <c r="BB756" i="19"/>
  <c r="BC756" i="19"/>
  <c r="BD756" i="19"/>
  <c r="AV757" i="19"/>
  <c r="AW757" i="19"/>
  <c r="AX757" i="19"/>
  <c r="AY757" i="19"/>
  <c r="AZ757" i="19"/>
  <c r="BA757" i="19"/>
  <c r="BB757" i="19"/>
  <c r="BC757" i="19"/>
  <c r="BD757" i="19"/>
  <c r="AV758" i="19"/>
  <c r="AW758" i="19"/>
  <c r="AX758" i="19"/>
  <c r="AY758" i="19"/>
  <c r="AZ758" i="19"/>
  <c r="BA758" i="19"/>
  <c r="BB758" i="19"/>
  <c r="BC758" i="19"/>
  <c r="BD758" i="19"/>
  <c r="AV759" i="19"/>
  <c r="AW759" i="19"/>
  <c r="AX759" i="19"/>
  <c r="AY759" i="19"/>
  <c r="AZ759" i="19"/>
  <c r="BA759" i="19"/>
  <c r="BB759" i="19"/>
  <c r="BC759" i="19"/>
  <c r="BD759" i="19"/>
  <c r="AV760" i="19"/>
  <c r="AW760" i="19"/>
  <c r="AX760" i="19"/>
  <c r="AY760" i="19"/>
  <c r="AZ760" i="19"/>
  <c r="BA760" i="19"/>
  <c r="BB760" i="19"/>
  <c r="BC760" i="19"/>
  <c r="BD760" i="19"/>
  <c r="AV761" i="19"/>
  <c r="AW761" i="19"/>
  <c r="AX761" i="19"/>
  <c r="AY761" i="19"/>
  <c r="AZ761" i="19"/>
  <c r="BA761" i="19"/>
  <c r="BB761" i="19"/>
  <c r="BC761" i="19"/>
  <c r="BD761" i="19"/>
  <c r="AV762" i="19"/>
  <c r="AW762" i="19"/>
  <c r="AX762" i="19"/>
  <c r="AY762" i="19"/>
  <c r="AZ762" i="19"/>
  <c r="BA762" i="19"/>
  <c r="BB762" i="19"/>
  <c r="BC762" i="19"/>
  <c r="BD762" i="19"/>
  <c r="AV763" i="19"/>
  <c r="AW763" i="19"/>
  <c r="AX763" i="19"/>
  <c r="AY763" i="19"/>
  <c r="AZ763" i="19"/>
  <c r="BA763" i="19"/>
  <c r="BB763" i="19"/>
  <c r="BC763" i="19"/>
  <c r="BD763" i="19"/>
  <c r="AV764" i="19"/>
  <c r="AW764" i="19"/>
  <c r="AX764" i="19"/>
  <c r="AY764" i="19"/>
  <c r="AZ764" i="19"/>
  <c r="BA764" i="19"/>
  <c r="BB764" i="19"/>
  <c r="BC764" i="19"/>
  <c r="BD764" i="19"/>
  <c r="AV765" i="19"/>
  <c r="AW765" i="19"/>
  <c r="AX765" i="19"/>
  <c r="AY765" i="19"/>
  <c r="AZ765" i="19"/>
  <c r="BA765" i="19"/>
  <c r="BB765" i="19"/>
  <c r="BC765" i="19"/>
  <c r="BD765" i="19"/>
  <c r="AV766" i="19"/>
  <c r="AW766" i="19"/>
  <c r="AX766" i="19"/>
  <c r="AY766" i="19"/>
  <c r="AZ766" i="19"/>
  <c r="BA766" i="19"/>
  <c r="BB766" i="19"/>
  <c r="BC766" i="19"/>
  <c r="BD766" i="19"/>
  <c r="AV767" i="19"/>
  <c r="AW767" i="19"/>
  <c r="AX767" i="19"/>
  <c r="AY767" i="19"/>
  <c r="AZ767" i="19"/>
  <c r="BA767" i="19"/>
  <c r="BB767" i="19"/>
  <c r="BC767" i="19"/>
  <c r="BD767" i="19"/>
  <c r="AV768" i="19"/>
  <c r="AW768" i="19"/>
  <c r="AX768" i="19"/>
  <c r="AY768" i="19"/>
  <c r="AZ768" i="19"/>
  <c r="BA768" i="19"/>
  <c r="BB768" i="19"/>
  <c r="BC768" i="19"/>
  <c r="BD768" i="19"/>
  <c r="AV769" i="19"/>
  <c r="AW769" i="19"/>
  <c r="AX769" i="19"/>
  <c r="AY769" i="19"/>
  <c r="AZ769" i="19"/>
  <c r="BA769" i="19"/>
  <c r="BB769" i="19"/>
  <c r="BC769" i="19"/>
  <c r="BD769" i="19"/>
  <c r="AV770" i="19"/>
  <c r="AW770" i="19"/>
  <c r="AX770" i="19"/>
  <c r="AY770" i="19"/>
  <c r="AZ770" i="19"/>
  <c r="BA770" i="19"/>
  <c r="BB770" i="19"/>
  <c r="BC770" i="19"/>
  <c r="BD770" i="19"/>
  <c r="AV771" i="19"/>
  <c r="AW771" i="19"/>
  <c r="AX771" i="19"/>
  <c r="AY771" i="19"/>
  <c r="AZ771" i="19"/>
  <c r="BA771" i="19"/>
  <c r="BB771" i="19"/>
  <c r="BC771" i="19"/>
  <c r="BD771" i="19"/>
  <c r="AV772" i="19"/>
  <c r="AW772" i="19"/>
  <c r="AX772" i="19"/>
  <c r="AY772" i="19"/>
  <c r="AZ772" i="19"/>
  <c r="BA772" i="19"/>
  <c r="BB772" i="19"/>
  <c r="BC772" i="19"/>
  <c r="BD772" i="19"/>
  <c r="AV773" i="19"/>
  <c r="AW773" i="19"/>
  <c r="AX773" i="19"/>
  <c r="AY773" i="19"/>
  <c r="AZ773" i="19"/>
  <c r="BA773" i="19"/>
  <c r="BB773" i="19"/>
  <c r="BC773" i="19"/>
  <c r="BD773" i="19"/>
  <c r="AV774" i="19"/>
  <c r="AW774" i="19"/>
  <c r="AX774" i="19"/>
  <c r="AY774" i="19"/>
  <c r="AZ774" i="19"/>
  <c r="BA774" i="19"/>
  <c r="BB774" i="19"/>
  <c r="BC774" i="19"/>
  <c r="BD774" i="19"/>
  <c r="AV775" i="19"/>
  <c r="AW775" i="19"/>
  <c r="AX775" i="19"/>
  <c r="AY775" i="19"/>
  <c r="AZ775" i="19"/>
  <c r="BA775" i="19"/>
  <c r="BB775" i="19"/>
  <c r="BC775" i="19"/>
  <c r="BD775" i="19"/>
  <c r="AV776" i="19"/>
  <c r="AW776" i="19"/>
  <c r="AX776" i="19"/>
  <c r="AY776" i="19"/>
  <c r="AZ776" i="19"/>
  <c r="BA776" i="19"/>
  <c r="BB776" i="19"/>
  <c r="BC776" i="19"/>
  <c r="BD776" i="19"/>
  <c r="AV777" i="19"/>
  <c r="AW777" i="19"/>
  <c r="AX777" i="19"/>
  <c r="AY777" i="19"/>
  <c r="AZ777" i="19"/>
  <c r="BA777" i="19"/>
  <c r="BB777" i="19"/>
  <c r="BC777" i="19"/>
  <c r="BD777" i="19"/>
  <c r="AV778" i="19"/>
  <c r="AW778" i="19"/>
  <c r="AX778" i="19"/>
  <c r="AY778" i="19"/>
  <c r="AZ778" i="19"/>
  <c r="BA778" i="19"/>
  <c r="BB778" i="19"/>
  <c r="BC778" i="19"/>
  <c r="BD778" i="19"/>
  <c r="AV779" i="19"/>
  <c r="AW779" i="19"/>
  <c r="AX779" i="19"/>
  <c r="AY779" i="19"/>
  <c r="AZ779" i="19"/>
  <c r="BA779" i="19"/>
  <c r="BB779" i="19"/>
  <c r="BC779" i="19"/>
  <c r="BD779" i="19"/>
  <c r="AV780" i="19"/>
  <c r="AW780" i="19"/>
  <c r="AX780" i="19"/>
  <c r="AY780" i="19"/>
  <c r="AZ780" i="19"/>
  <c r="BA780" i="19"/>
  <c r="BB780" i="19"/>
  <c r="BC780" i="19"/>
  <c r="BD780" i="19"/>
  <c r="AV781" i="19"/>
  <c r="AW781" i="19"/>
  <c r="AX781" i="19"/>
  <c r="AY781" i="19"/>
  <c r="AZ781" i="19"/>
  <c r="BA781" i="19"/>
  <c r="BB781" i="19"/>
  <c r="BC781" i="19"/>
  <c r="BD781" i="19"/>
  <c r="AV782" i="19"/>
  <c r="AW782" i="19"/>
  <c r="AX782" i="19"/>
  <c r="AY782" i="19"/>
  <c r="AZ782" i="19"/>
  <c r="BA782" i="19"/>
  <c r="BB782" i="19"/>
  <c r="BC782" i="19"/>
  <c r="BD782" i="19"/>
  <c r="AV783" i="19"/>
  <c r="AW783" i="19"/>
  <c r="AX783" i="19"/>
  <c r="AY783" i="19"/>
  <c r="AZ783" i="19"/>
  <c r="BA783" i="19"/>
  <c r="BB783" i="19"/>
  <c r="BC783" i="19"/>
  <c r="BD783" i="19"/>
  <c r="AV784" i="19"/>
  <c r="AW784" i="19"/>
  <c r="AX784" i="19"/>
  <c r="AY784" i="19"/>
  <c r="AZ784" i="19"/>
  <c r="BA784" i="19"/>
  <c r="BB784" i="19"/>
  <c r="BC784" i="19"/>
  <c r="BD784" i="19"/>
  <c r="AV785" i="19"/>
  <c r="AW785" i="19"/>
  <c r="AX785" i="19"/>
  <c r="AY785" i="19"/>
  <c r="AZ785" i="19"/>
  <c r="BA785" i="19"/>
  <c r="BB785" i="19"/>
  <c r="BC785" i="19"/>
  <c r="BD785" i="19"/>
  <c r="AV786" i="19"/>
  <c r="AW786" i="19"/>
  <c r="AX786" i="19"/>
  <c r="AY786" i="19"/>
  <c r="AZ786" i="19"/>
  <c r="BA786" i="19"/>
  <c r="BB786" i="19"/>
  <c r="BC786" i="19"/>
  <c r="BD786" i="19"/>
  <c r="AV787" i="19"/>
  <c r="AW787" i="19"/>
  <c r="AX787" i="19"/>
  <c r="AY787" i="19"/>
  <c r="AZ787" i="19"/>
  <c r="BA787" i="19"/>
  <c r="BB787" i="19"/>
  <c r="BC787" i="19"/>
  <c r="BD787" i="19"/>
  <c r="AV788" i="19"/>
  <c r="AW788" i="19"/>
  <c r="AX788" i="19"/>
  <c r="AY788" i="19"/>
  <c r="AZ788" i="19"/>
  <c r="BA788" i="19"/>
  <c r="BB788" i="19"/>
  <c r="BC788" i="19"/>
  <c r="BD788" i="19"/>
  <c r="AV789" i="19"/>
  <c r="AW789" i="19"/>
  <c r="AX789" i="19"/>
  <c r="AY789" i="19"/>
  <c r="AZ789" i="19"/>
  <c r="BA789" i="19"/>
  <c r="BB789" i="19"/>
  <c r="BC789" i="19"/>
  <c r="BD789" i="19"/>
  <c r="AV790" i="19"/>
  <c r="AW790" i="19"/>
  <c r="AX790" i="19"/>
  <c r="AY790" i="19"/>
  <c r="AZ790" i="19"/>
  <c r="BA790" i="19"/>
  <c r="BB790" i="19"/>
  <c r="BC790" i="19"/>
  <c r="BD790" i="19"/>
  <c r="AV791" i="19"/>
  <c r="AW791" i="19"/>
  <c r="AX791" i="19"/>
  <c r="AY791" i="19"/>
  <c r="AZ791" i="19"/>
  <c r="BA791" i="19"/>
  <c r="BB791" i="19"/>
  <c r="BC791" i="19"/>
  <c r="BD791" i="19"/>
  <c r="AV792" i="19"/>
  <c r="AW792" i="19"/>
  <c r="AX792" i="19"/>
  <c r="AY792" i="19"/>
  <c r="AZ792" i="19"/>
  <c r="BA792" i="19"/>
  <c r="BB792" i="19"/>
  <c r="BC792" i="19"/>
  <c r="BD792" i="19"/>
  <c r="AV793" i="19"/>
  <c r="AW793" i="19"/>
  <c r="AX793" i="19"/>
  <c r="AY793" i="19"/>
  <c r="AZ793" i="19"/>
  <c r="BA793" i="19"/>
  <c r="BB793" i="19"/>
  <c r="BC793" i="19"/>
  <c r="BD793" i="19"/>
  <c r="AV794" i="19"/>
  <c r="AW794" i="19"/>
  <c r="AX794" i="19"/>
  <c r="AY794" i="19"/>
  <c r="AZ794" i="19"/>
  <c r="BA794" i="19"/>
  <c r="BB794" i="19"/>
  <c r="BC794" i="19"/>
  <c r="BD794" i="19"/>
  <c r="AV795" i="19"/>
  <c r="AW795" i="19"/>
  <c r="AX795" i="19"/>
  <c r="AY795" i="19"/>
  <c r="AZ795" i="19"/>
  <c r="BA795" i="19"/>
  <c r="BB795" i="19"/>
  <c r="BC795" i="19"/>
  <c r="BD795" i="19"/>
  <c r="AV796" i="19"/>
  <c r="AW796" i="19"/>
  <c r="AX796" i="19"/>
  <c r="AY796" i="19"/>
  <c r="AZ796" i="19"/>
  <c r="BA796" i="19"/>
  <c r="BB796" i="19"/>
  <c r="BC796" i="19"/>
  <c r="BD796" i="19"/>
  <c r="AV797" i="19"/>
  <c r="AW797" i="19"/>
  <c r="AX797" i="19"/>
  <c r="AY797" i="19"/>
  <c r="AZ797" i="19"/>
  <c r="BA797" i="19"/>
  <c r="BB797" i="19"/>
  <c r="BC797" i="19"/>
  <c r="BD797" i="19"/>
  <c r="AV798" i="19"/>
  <c r="AW798" i="19"/>
  <c r="AX798" i="19"/>
  <c r="AY798" i="19"/>
  <c r="AZ798" i="19"/>
  <c r="BA798" i="19"/>
  <c r="BB798" i="19"/>
  <c r="BC798" i="19"/>
  <c r="BD798" i="19"/>
  <c r="AV799" i="19"/>
  <c r="AW799" i="19"/>
  <c r="AX799" i="19"/>
  <c r="AY799" i="19"/>
  <c r="AZ799" i="19"/>
  <c r="BA799" i="19"/>
  <c r="BB799" i="19"/>
  <c r="BC799" i="19"/>
  <c r="BD799" i="19"/>
  <c r="AV800" i="19"/>
  <c r="AW800" i="19"/>
  <c r="AX800" i="19"/>
  <c r="AY800" i="19"/>
  <c r="AZ800" i="19"/>
  <c r="BA800" i="19"/>
  <c r="BB800" i="19"/>
  <c r="BC800" i="19"/>
  <c r="BD800" i="19"/>
  <c r="AV801" i="19"/>
  <c r="AW801" i="19"/>
  <c r="AX801" i="19"/>
  <c r="AY801" i="19"/>
  <c r="AZ801" i="19"/>
  <c r="BA801" i="19"/>
  <c r="BB801" i="19"/>
  <c r="BC801" i="19"/>
  <c r="BD801" i="19"/>
  <c r="AV802" i="19"/>
  <c r="AW802" i="19"/>
  <c r="AX802" i="19"/>
  <c r="AY802" i="19"/>
  <c r="AZ802" i="19"/>
  <c r="BA802" i="19"/>
  <c r="BB802" i="19"/>
  <c r="BC802" i="19"/>
  <c r="BD802" i="19"/>
  <c r="AV803" i="19"/>
  <c r="AW803" i="19"/>
  <c r="AX803" i="19"/>
  <c r="AY803" i="19"/>
  <c r="AZ803" i="19"/>
  <c r="BA803" i="19"/>
  <c r="BB803" i="19"/>
  <c r="BC803" i="19"/>
  <c r="BD803" i="19"/>
  <c r="AV804" i="19"/>
  <c r="AW804" i="19"/>
  <c r="AX804" i="19"/>
  <c r="AY804" i="19"/>
  <c r="AZ804" i="19"/>
  <c r="BA804" i="19"/>
  <c r="BB804" i="19"/>
  <c r="BC804" i="19"/>
  <c r="BD804" i="19"/>
  <c r="AV805" i="19"/>
  <c r="AW805" i="19"/>
  <c r="AX805" i="19"/>
  <c r="AY805" i="19"/>
  <c r="AZ805" i="19"/>
  <c r="BA805" i="19"/>
  <c r="BB805" i="19"/>
  <c r="BC805" i="19"/>
  <c r="BD805" i="19"/>
  <c r="AV806" i="19"/>
  <c r="AW806" i="19"/>
  <c r="AX806" i="19"/>
  <c r="AY806" i="19"/>
  <c r="AZ806" i="19"/>
  <c r="BA806" i="19"/>
  <c r="BB806" i="19"/>
  <c r="BC806" i="19"/>
  <c r="BD806" i="19"/>
  <c r="AV807" i="19"/>
  <c r="AW807" i="19"/>
  <c r="AX807" i="19"/>
  <c r="AY807" i="19"/>
  <c r="AZ807" i="19"/>
  <c r="BA807" i="19"/>
  <c r="BB807" i="19"/>
  <c r="BC807" i="19"/>
  <c r="BD807" i="19"/>
  <c r="AV808" i="19"/>
  <c r="AW808" i="19"/>
  <c r="AX808" i="19"/>
  <c r="AY808" i="19"/>
  <c r="AZ808" i="19"/>
  <c r="BA808" i="19"/>
  <c r="BB808" i="19"/>
  <c r="BC808" i="19"/>
  <c r="BD808" i="19"/>
  <c r="AV809" i="19"/>
  <c r="AW809" i="19"/>
  <c r="AX809" i="19"/>
  <c r="AY809" i="19"/>
  <c r="AZ809" i="19"/>
  <c r="BA809" i="19"/>
  <c r="BB809" i="19"/>
  <c r="BC809" i="19"/>
  <c r="BD809" i="19"/>
  <c r="AV810" i="19"/>
  <c r="AW810" i="19"/>
  <c r="AX810" i="19"/>
  <c r="AY810" i="19"/>
  <c r="AZ810" i="19"/>
  <c r="BA810" i="19"/>
  <c r="BB810" i="19"/>
  <c r="BC810" i="19"/>
  <c r="BD810" i="19"/>
  <c r="AV811" i="19"/>
  <c r="AW811" i="19"/>
  <c r="AX811" i="19"/>
  <c r="AY811" i="19"/>
  <c r="AZ811" i="19"/>
  <c r="BA811" i="19"/>
  <c r="BB811" i="19"/>
  <c r="BC811" i="19"/>
  <c r="BD811" i="19"/>
  <c r="AV812" i="19"/>
  <c r="AW812" i="19"/>
  <c r="AX812" i="19"/>
  <c r="AY812" i="19"/>
  <c r="AZ812" i="19"/>
  <c r="BA812" i="19"/>
  <c r="BB812" i="19"/>
  <c r="BC812" i="19"/>
  <c r="BD812" i="19"/>
  <c r="AV813" i="19"/>
  <c r="AW813" i="19"/>
  <c r="AX813" i="19"/>
  <c r="AY813" i="19"/>
  <c r="AZ813" i="19"/>
  <c r="BA813" i="19"/>
  <c r="BB813" i="19"/>
  <c r="BC813" i="19"/>
  <c r="BD813" i="19"/>
  <c r="AV814" i="19"/>
  <c r="AW814" i="19"/>
  <c r="AX814" i="19"/>
  <c r="AY814" i="19"/>
  <c r="AZ814" i="19"/>
  <c r="BA814" i="19"/>
  <c r="BB814" i="19"/>
  <c r="BC814" i="19"/>
  <c r="BD814" i="19"/>
  <c r="AV815" i="19"/>
  <c r="AW815" i="19"/>
  <c r="AX815" i="19"/>
  <c r="AY815" i="19"/>
  <c r="AZ815" i="19"/>
  <c r="BA815" i="19"/>
  <c r="BB815" i="19"/>
  <c r="BC815" i="19"/>
  <c r="BD815" i="19"/>
  <c r="AV816" i="19"/>
  <c r="AW816" i="19"/>
  <c r="AX816" i="19"/>
  <c r="AY816" i="19"/>
  <c r="AZ816" i="19"/>
  <c r="BA816" i="19"/>
  <c r="BB816" i="19"/>
  <c r="BC816" i="19"/>
  <c r="BD816" i="19"/>
  <c r="AV817" i="19"/>
  <c r="AW817" i="19"/>
  <c r="AX817" i="19"/>
  <c r="AY817" i="19"/>
  <c r="AZ817" i="19"/>
  <c r="BA817" i="19"/>
  <c r="BB817" i="19"/>
  <c r="BC817" i="19"/>
  <c r="BD817" i="19"/>
  <c r="AV818" i="19"/>
  <c r="AW818" i="19"/>
  <c r="AX818" i="19"/>
  <c r="AY818" i="19"/>
  <c r="AZ818" i="19"/>
  <c r="BA818" i="19"/>
  <c r="BB818" i="19"/>
  <c r="BC818" i="19"/>
  <c r="BD818" i="19"/>
  <c r="AV819" i="19"/>
  <c r="AW819" i="19"/>
  <c r="AX819" i="19"/>
  <c r="AY819" i="19"/>
  <c r="AZ819" i="19"/>
  <c r="BA819" i="19"/>
  <c r="BB819" i="19"/>
  <c r="BC819" i="19"/>
  <c r="BD819" i="19"/>
  <c r="AV820" i="19"/>
  <c r="AW820" i="19"/>
  <c r="AX820" i="19"/>
  <c r="AY820" i="19"/>
  <c r="AZ820" i="19"/>
  <c r="BA820" i="19"/>
  <c r="BB820" i="19"/>
  <c r="BC820" i="19"/>
  <c r="BD820" i="19"/>
  <c r="AV821" i="19"/>
  <c r="AW821" i="19"/>
  <c r="AX821" i="19"/>
  <c r="AY821" i="19"/>
  <c r="AZ821" i="19"/>
  <c r="BA821" i="19"/>
  <c r="BB821" i="19"/>
  <c r="BC821" i="19"/>
  <c r="BD821" i="19"/>
  <c r="AV822" i="19"/>
  <c r="AW822" i="19"/>
  <c r="AX822" i="19"/>
  <c r="AY822" i="19"/>
  <c r="AZ822" i="19"/>
  <c r="BA822" i="19"/>
  <c r="BB822" i="19"/>
  <c r="BC822" i="19"/>
  <c r="BD822" i="19"/>
  <c r="AV823" i="19"/>
  <c r="AW823" i="19"/>
  <c r="AX823" i="19"/>
  <c r="AY823" i="19"/>
  <c r="AZ823" i="19"/>
  <c r="BA823" i="19"/>
  <c r="BB823" i="19"/>
  <c r="BC823" i="19"/>
  <c r="BD823" i="19"/>
  <c r="AV824" i="19"/>
  <c r="AW824" i="19"/>
  <c r="AX824" i="19"/>
  <c r="AY824" i="19"/>
  <c r="AZ824" i="19"/>
  <c r="BA824" i="19"/>
  <c r="BB824" i="19"/>
  <c r="BC824" i="19"/>
  <c r="BD824" i="19"/>
  <c r="AV825" i="19"/>
  <c r="AW825" i="19"/>
  <c r="AX825" i="19"/>
  <c r="AY825" i="19"/>
  <c r="AZ825" i="19"/>
  <c r="BA825" i="19"/>
  <c r="BB825" i="19"/>
  <c r="BC825" i="19"/>
  <c r="BD825" i="19"/>
  <c r="AV826" i="19"/>
  <c r="AW826" i="19"/>
  <c r="AX826" i="19"/>
  <c r="AY826" i="19"/>
  <c r="AZ826" i="19"/>
  <c r="BA826" i="19"/>
  <c r="BB826" i="19"/>
  <c r="BC826" i="19"/>
  <c r="BD826" i="19"/>
  <c r="AV827" i="19"/>
  <c r="AW827" i="19"/>
  <c r="AX827" i="19"/>
  <c r="AY827" i="19"/>
  <c r="AZ827" i="19"/>
  <c r="BA827" i="19"/>
  <c r="BB827" i="19"/>
  <c r="BC827" i="19"/>
  <c r="BD827" i="19"/>
  <c r="AV828" i="19"/>
  <c r="AW828" i="19"/>
  <c r="AX828" i="19"/>
  <c r="AY828" i="19"/>
  <c r="AZ828" i="19"/>
  <c r="BA828" i="19"/>
  <c r="BB828" i="19"/>
  <c r="BC828" i="19"/>
  <c r="BD828" i="19"/>
  <c r="AV829" i="19"/>
  <c r="AW829" i="19"/>
  <c r="AX829" i="19"/>
  <c r="AY829" i="19"/>
  <c r="AZ829" i="19"/>
  <c r="BA829" i="19"/>
  <c r="BB829" i="19"/>
  <c r="BC829" i="19"/>
  <c r="BD829" i="19"/>
  <c r="AV830" i="19"/>
  <c r="AW830" i="19"/>
  <c r="AX830" i="19"/>
  <c r="AY830" i="19"/>
  <c r="AZ830" i="19"/>
  <c r="BA830" i="19"/>
  <c r="BB830" i="19"/>
  <c r="BC830" i="19"/>
  <c r="BD830" i="19"/>
  <c r="AV831" i="19"/>
  <c r="AW831" i="19"/>
  <c r="AX831" i="19"/>
  <c r="AY831" i="19"/>
  <c r="AZ831" i="19"/>
  <c r="BA831" i="19"/>
  <c r="BB831" i="19"/>
  <c r="BC831" i="19"/>
  <c r="BD831" i="19"/>
  <c r="AV832" i="19"/>
  <c r="AW832" i="19"/>
  <c r="AX832" i="19"/>
  <c r="AY832" i="19"/>
  <c r="AZ832" i="19"/>
  <c r="BA832" i="19"/>
  <c r="BB832" i="19"/>
  <c r="BC832" i="19"/>
  <c r="BD832" i="19"/>
  <c r="AV833" i="19"/>
  <c r="AW833" i="19"/>
  <c r="AX833" i="19"/>
  <c r="AY833" i="19"/>
  <c r="AZ833" i="19"/>
  <c r="BA833" i="19"/>
  <c r="BB833" i="19"/>
  <c r="BC833" i="19"/>
  <c r="BD833" i="19"/>
  <c r="AV834" i="19"/>
  <c r="AW834" i="19"/>
  <c r="AX834" i="19"/>
  <c r="AY834" i="19"/>
  <c r="AZ834" i="19"/>
  <c r="BA834" i="19"/>
  <c r="BB834" i="19"/>
  <c r="BC834" i="19"/>
  <c r="BD834" i="19"/>
  <c r="AV835" i="19"/>
  <c r="AW835" i="19"/>
  <c r="AX835" i="19"/>
  <c r="AY835" i="19"/>
  <c r="AZ835" i="19"/>
  <c r="BA835" i="19"/>
  <c r="BB835" i="19"/>
  <c r="BC835" i="19"/>
  <c r="BD835" i="19"/>
  <c r="AV836" i="19"/>
  <c r="AW836" i="19"/>
  <c r="AX836" i="19"/>
  <c r="AY836" i="19"/>
  <c r="AZ836" i="19"/>
  <c r="BA836" i="19"/>
  <c r="BB836" i="19"/>
  <c r="BC836" i="19"/>
  <c r="BD836" i="19"/>
  <c r="AV837" i="19"/>
  <c r="AW837" i="19"/>
  <c r="AX837" i="19"/>
  <c r="AY837" i="19"/>
  <c r="AZ837" i="19"/>
  <c r="BA837" i="19"/>
  <c r="BB837" i="19"/>
  <c r="BC837" i="19"/>
  <c r="BD837" i="19"/>
  <c r="AV838" i="19"/>
  <c r="AW838" i="19"/>
  <c r="AX838" i="19"/>
  <c r="AY838" i="19"/>
  <c r="AZ838" i="19"/>
  <c r="BA838" i="19"/>
  <c r="BB838" i="19"/>
  <c r="BC838" i="19"/>
  <c r="BD838" i="19"/>
  <c r="AV839" i="19"/>
  <c r="AW839" i="19"/>
  <c r="AX839" i="19"/>
  <c r="AY839" i="19"/>
  <c r="AZ839" i="19"/>
  <c r="BA839" i="19"/>
  <c r="BB839" i="19"/>
  <c r="BC839" i="19"/>
  <c r="BD839" i="19"/>
  <c r="AV840" i="19"/>
  <c r="AW840" i="19"/>
  <c r="AX840" i="19"/>
  <c r="AY840" i="19"/>
  <c r="AZ840" i="19"/>
  <c r="BA840" i="19"/>
  <c r="BB840" i="19"/>
  <c r="BC840" i="19"/>
  <c r="BD840" i="19"/>
  <c r="AV841" i="19"/>
  <c r="AW841" i="19"/>
  <c r="AX841" i="19"/>
  <c r="AY841" i="19"/>
  <c r="AZ841" i="19"/>
  <c r="BA841" i="19"/>
  <c r="BB841" i="19"/>
  <c r="BC841" i="19"/>
  <c r="BD841" i="19"/>
  <c r="AV842" i="19"/>
  <c r="AW842" i="19"/>
  <c r="AX842" i="19"/>
  <c r="AY842" i="19"/>
  <c r="AZ842" i="19"/>
  <c r="BA842" i="19"/>
  <c r="BB842" i="19"/>
  <c r="BC842" i="19"/>
  <c r="BD842" i="19"/>
  <c r="AV843" i="19"/>
  <c r="AW843" i="19"/>
  <c r="AX843" i="19"/>
  <c r="AY843" i="19"/>
  <c r="AZ843" i="19"/>
  <c r="BA843" i="19"/>
  <c r="BB843" i="19"/>
  <c r="BC843" i="19"/>
  <c r="BD843" i="19"/>
  <c r="AV844" i="19"/>
  <c r="AW844" i="19"/>
  <c r="AX844" i="19"/>
  <c r="AY844" i="19"/>
  <c r="AZ844" i="19"/>
  <c r="BA844" i="19"/>
  <c r="BB844" i="19"/>
  <c r="BC844" i="19"/>
  <c r="BD844" i="19"/>
  <c r="AV845" i="19"/>
  <c r="AW845" i="19"/>
  <c r="AX845" i="19"/>
  <c r="AY845" i="19"/>
  <c r="AZ845" i="19"/>
  <c r="BA845" i="19"/>
  <c r="BB845" i="19"/>
  <c r="BC845" i="19"/>
  <c r="BD845" i="19"/>
  <c r="AV846" i="19"/>
  <c r="AW846" i="19"/>
  <c r="AX846" i="19"/>
  <c r="AY846" i="19"/>
  <c r="AZ846" i="19"/>
  <c r="BA846" i="19"/>
  <c r="BB846" i="19"/>
  <c r="BC846" i="19"/>
  <c r="BD846" i="19"/>
  <c r="AV847" i="19"/>
  <c r="AW847" i="19"/>
  <c r="AX847" i="19"/>
  <c r="AY847" i="19"/>
  <c r="AZ847" i="19"/>
  <c r="BA847" i="19"/>
  <c r="BB847" i="19"/>
  <c r="BC847" i="19"/>
  <c r="BD847" i="19"/>
  <c r="AV848" i="19"/>
  <c r="AW848" i="19"/>
  <c r="AX848" i="19"/>
  <c r="AY848" i="19"/>
  <c r="AZ848" i="19"/>
  <c r="BA848" i="19"/>
  <c r="BB848" i="19"/>
  <c r="BC848" i="19"/>
  <c r="BD848" i="19"/>
  <c r="AV849" i="19"/>
  <c r="AW849" i="19"/>
  <c r="AX849" i="19"/>
  <c r="AY849" i="19"/>
  <c r="AZ849" i="19"/>
  <c r="BA849" i="19"/>
  <c r="BB849" i="19"/>
  <c r="BC849" i="19"/>
  <c r="BD849" i="19"/>
  <c r="AV850" i="19"/>
  <c r="AW850" i="19"/>
  <c r="AX850" i="19"/>
  <c r="AY850" i="19"/>
  <c r="AZ850" i="19"/>
  <c r="BA850" i="19"/>
  <c r="BB850" i="19"/>
  <c r="BC850" i="19"/>
  <c r="BD850" i="19"/>
  <c r="AV851" i="19"/>
  <c r="AW851" i="19"/>
  <c r="AX851" i="19"/>
  <c r="AY851" i="19"/>
  <c r="AZ851" i="19"/>
  <c r="BA851" i="19"/>
  <c r="BB851" i="19"/>
  <c r="BC851" i="19"/>
  <c r="BD851" i="19"/>
  <c r="AV852" i="19"/>
  <c r="AW852" i="19"/>
  <c r="AX852" i="19"/>
  <c r="AY852" i="19"/>
  <c r="AZ852" i="19"/>
  <c r="BA852" i="19"/>
  <c r="BB852" i="19"/>
  <c r="BC852" i="19"/>
  <c r="BD852" i="19"/>
  <c r="AV853" i="19"/>
  <c r="AW853" i="19"/>
  <c r="AX853" i="19"/>
  <c r="AY853" i="19"/>
  <c r="AZ853" i="19"/>
  <c r="BA853" i="19"/>
  <c r="BB853" i="19"/>
  <c r="BC853" i="19"/>
  <c r="BD853" i="19"/>
  <c r="AV854" i="19"/>
  <c r="AW854" i="19"/>
  <c r="AX854" i="19"/>
  <c r="AY854" i="19"/>
  <c r="AZ854" i="19"/>
  <c r="BA854" i="19"/>
  <c r="BB854" i="19"/>
  <c r="BC854" i="19"/>
  <c r="BD854" i="19"/>
  <c r="AV855" i="19"/>
  <c r="AW855" i="19"/>
  <c r="AX855" i="19"/>
  <c r="AY855" i="19"/>
  <c r="AZ855" i="19"/>
  <c r="BA855" i="19"/>
  <c r="BB855" i="19"/>
  <c r="BC855" i="19"/>
  <c r="BD855" i="19"/>
  <c r="AV856" i="19"/>
  <c r="AW856" i="19"/>
  <c r="AX856" i="19"/>
  <c r="AY856" i="19"/>
  <c r="AZ856" i="19"/>
  <c r="BA856" i="19"/>
  <c r="BB856" i="19"/>
  <c r="BC856" i="19"/>
  <c r="BD856" i="19"/>
  <c r="AV857" i="19"/>
  <c r="AW857" i="19"/>
  <c r="AX857" i="19"/>
  <c r="AY857" i="19"/>
  <c r="AZ857" i="19"/>
  <c r="BA857" i="19"/>
  <c r="BB857" i="19"/>
  <c r="BC857" i="19"/>
  <c r="BD857" i="19"/>
  <c r="AV858" i="19"/>
  <c r="AW858" i="19"/>
  <c r="AX858" i="19"/>
  <c r="AY858" i="19"/>
  <c r="AZ858" i="19"/>
  <c r="BA858" i="19"/>
  <c r="BB858" i="19"/>
  <c r="BC858" i="19"/>
  <c r="BD858" i="19"/>
  <c r="AV859" i="19"/>
  <c r="AW859" i="19"/>
  <c r="AX859" i="19"/>
  <c r="AY859" i="19"/>
  <c r="AZ859" i="19"/>
  <c r="BA859" i="19"/>
  <c r="BB859" i="19"/>
  <c r="BC859" i="19"/>
  <c r="BD859" i="19"/>
  <c r="AV860" i="19"/>
  <c r="AW860" i="19"/>
  <c r="AX860" i="19"/>
  <c r="AY860" i="19"/>
  <c r="AZ860" i="19"/>
  <c r="BA860" i="19"/>
  <c r="BB860" i="19"/>
  <c r="BC860" i="19"/>
  <c r="BD860" i="19"/>
  <c r="AV861" i="19"/>
  <c r="AW861" i="19"/>
  <c r="AX861" i="19"/>
  <c r="AY861" i="19"/>
  <c r="AZ861" i="19"/>
  <c r="BA861" i="19"/>
  <c r="BB861" i="19"/>
  <c r="BC861" i="19"/>
  <c r="BD861" i="19"/>
  <c r="AV862" i="19"/>
  <c r="AW862" i="19"/>
  <c r="AX862" i="19"/>
  <c r="AY862" i="19"/>
  <c r="AZ862" i="19"/>
  <c r="BA862" i="19"/>
  <c r="BB862" i="19"/>
  <c r="BC862" i="19"/>
  <c r="BD862" i="19"/>
  <c r="AV863" i="19"/>
  <c r="AW863" i="19"/>
  <c r="AX863" i="19"/>
  <c r="AY863" i="19"/>
  <c r="AZ863" i="19"/>
  <c r="BA863" i="19"/>
  <c r="BB863" i="19"/>
  <c r="BC863" i="19"/>
  <c r="BD863" i="19"/>
  <c r="AV864" i="19"/>
  <c r="AW864" i="19"/>
  <c r="AX864" i="19"/>
  <c r="AY864" i="19"/>
  <c r="AZ864" i="19"/>
  <c r="BA864" i="19"/>
  <c r="BB864" i="19"/>
  <c r="BC864" i="19"/>
  <c r="BD864" i="19"/>
  <c r="AV865" i="19"/>
  <c r="AW865" i="19"/>
  <c r="AX865" i="19"/>
  <c r="AY865" i="19"/>
  <c r="AZ865" i="19"/>
  <c r="BA865" i="19"/>
  <c r="BB865" i="19"/>
  <c r="BC865" i="19"/>
  <c r="BD865" i="19"/>
  <c r="AV866" i="19"/>
  <c r="AW866" i="19"/>
  <c r="AX866" i="19"/>
  <c r="AY866" i="19"/>
  <c r="AZ866" i="19"/>
  <c r="BA866" i="19"/>
  <c r="BB866" i="19"/>
  <c r="BC866" i="19"/>
  <c r="BD866" i="19"/>
  <c r="AV867" i="19"/>
  <c r="AW867" i="19"/>
  <c r="AX867" i="19"/>
  <c r="AY867" i="19"/>
  <c r="AZ867" i="19"/>
  <c r="BA867" i="19"/>
  <c r="BB867" i="19"/>
  <c r="BC867" i="19"/>
  <c r="BD867" i="19"/>
  <c r="AV868" i="19"/>
  <c r="AW868" i="19"/>
  <c r="AX868" i="19"/>
  <c r="AY868" i="19"/>
  <c r="AZ868" i="19"/>
  <c r="BA868" i="19"/>
  <c r="BB868" i="19"/>
  <c r="BC868" i="19"/>
  <c r="BD868" i="19"/>
  <c r="AV869" i="19"/>
  <c r="AW869" i="19"/>
  <c r="AX869" i="19"/>
  <c r="AY869" i="19"/>
  <c r="AZ869" i="19"/>
  <c r="BA869" i="19"/>
  <c r="BB869" i="19"/>
  <c r="BC869" i="19"/>
  <c r="BD869" i="19"/>
  <c r="AV870" i="19"/>
  <c r="AW870" i="19"/>
  <c r="AX870" i="19"/>
  <c r="AY870" i="19"/>
  <c r="AZ870" i="19"/>
  <c r="BA870" i="19"/>
  <c r="BB870" i="19"/>
  <c r="BC870" i="19"/>
  <c r="BD870" i="19"/>
  <c r="AV871" i="19"/>
  <c r="AW871" i="19"/>
  <c r="AX871" i="19"/>
  <c r="AY871" i="19"/>
  <c r="AZ871" i="19"/>
  <c r="BA871" i="19"/>
  <c r="BB871" i="19"/>
  <c r="BC871" i="19"/>
  <c r="BD871" i="19"/>
  <c r="AV872" i="19"/>
  <c r="AW872" i="19"/>
  <c r="AX872" i="19"/>
  <c r="AY872" i="19"/>
  <c r="AZ872" i="19"/>
  <c r="BA872" i="19"/>
  <c r="BB872" i="19"/>
  <c r="BC872" i="19"/>
  <c r="BD872" i="19"/>
  <c r="AV873" i="19"/>
  <c r="AW873" i="19"/>
  <c r="AX873" i="19"/>
  <c r="AY873" i="19"/>
  <c r="AZ873" i="19"/>
  <c r="BA873" i="19"/>
  <c r="BB873" i="19"/>
  <c r="BC873" i="19"/>
  <c r="BD873" i="19"/>
  <c r="AV874" i="19"/>
  <c r="AW874" i="19"/>
  <c r="AX874" i="19"/>
  <c r="AY874" i="19"/>
  <c r="AZ874" i="19"/>
  <c r="BA874" i="19"/>
  <c r="BB874" i="19"/>
  <c r="BC874" i="19"/>
  <c r="BD874" i="19"/>
  <c r="AV875" i="19"/>
  <c r="AW875" i="19"/>
  <c r="AX875" i="19"/>
  <c r="AY875" i="19"/>
  <c r="AZ875" i="19"/>
  <c r="BA875" i="19"/>
  <c r="BB875" i="19"/>
  <c r="BC875" i="19"/>
  <c r="BD875" i="19"/>
  <c r="AV876" i="19"/>
  <c r="AW876" i="19"/>
  <c r="AX876" i="19"/>
  <c r="AY876" i="19"/>
  <c r="AZ876" i="19"/>
  <c r="BA876" i="19"/>
  <c r="BB876" i="19"/>
  <c r="BC876" i="19"/>
  <c r="BD876" i="19"/>
  <c r="AV877" i="19"/>
  <c r="AW877" i="19"/>
  <c r="AX877" i="19"/>
  <c r="AY877" i="19"/>
  <c r="AZ877" i="19"/>
  <c r="BA877" i="19"/>
  <c r="BB877" i="19"/>
  <c r="BC877" i="19"/>
  <c r="BD877" i="19"/>
  <c r="AV878" i="19"/>
  <c r="AW878" i="19"/>
  <c r="AX878" i="19"/>
  <c r="AY878" i="19"/>
  <c r="AZ878" i="19"/>
  <c r="BA878" i="19"/>
  <c r="BB878" i="19"/>
  <c r="BC878" i="19"/>
  <c r="BD878" i="19"/>
  <c r="AV879" i="19"/>
  <c r="AW879" i="19"/>
  <c r="AX879" i="19"/>
  <c r="AY879" i="19"/>
  <c r="AZ879" i="19"/>
  <c r="BA879" i="19"/>
  <c r="BB879" i="19"/>
  <c r="BC879" i="19"/>
  <c r="BD879" i="19"/>
  <c r="AV880" i="19"/>
  <c r="AW880" i="19"/>
  <c r="AX880" i="19"/>
  <c r="AY880" i="19"/>
  <c r="AZ880" i="19"/>
  <c r="BA880" i="19"/>
  <c r="BB880" i="19"/>
  <c r="BC880" i="19"/>
  <c r="BD880" i="19"/>
  <c r="AV881" i="19"/>
  <c r="AW881" i="19"/>
  <c r="AX881" i="19"/>
  <c r="AY881" i="19"/>
  <c r="AZ881" i="19"/>
  <c r="BA881" i="19"/>
  <c r="BB881" i="19"/>
  <c r="BC881" i="19"/>
  <c r="BD881" i="19"/>
  <c r="AV882" i="19"/>
  <c r="AW882" i="19"/>
  <c r="AX882" i="19"/>
  <c r="AY882" i="19"/>
  <c r="AZ882" i="19"/>
  <c r="BA882" i="19"/>
  <c r="BB882" i="19"/>
  <c r="BC882" i="19"/>
  <c r="BD882" i="19"/>
  <c r="AV883" i="19"/>
  <c r="AW883" i="19"/>
  <c r="AX883" i="19"/>
  <c r="AY883" i="19"/>
  <c r="AZ883" i="19"/>
  <c r="BA883" i="19"/>
  <c r="BB883" i="19"/>
  <c r="BC883" i="19"/>
  <c r="BD883" i="19"/>
  <c r="AV884" i="19"/>
  <c r="AW884" i="19"/>
  <c r="AX884" i="19"/>
  <c r="AY884" i="19"/>
  <c r="AZ884" i="19"/>
  <c r="BA884" i="19"/>
  <c r="BB884" i="19"/>
  <c r="BC884" i="19"/>
  <c r="BD884" i="19"/>
  <c r="AV885" i="19"/>
  <c r="AW885" i="19"/>
  <c r="AX885" i="19"/>
  <c r="AY885" i="19"/>
  <c r="AZ885" i="19"/>
  <c r="BA885" i="19"/>
  <c r="BB885" i="19"/>
  <c r="BC885" i="19"/>
  <c r="BD885" i="19"/>
  <c r="AV886" i="19"/>
  <c r="AW886" i="19"/>
  <c r="AX886" i="19"/>
  <c r="AY886" i="19"/>
  <c r="AZ886" i="19"/>
  <c r="BA886" i="19"/>
  <c r="BB886" i="19"/>
  <c r="BC886" i="19"/>
  <c r="BD886" i="19"/>
  <c r="AV887" i="19"/>
  <c r="AW887" i="19"/>
  <c r="AX887" i="19"/>
  <c r="AY887" i="19"/>
  <c r="AZ887" i="19"/>
  <c r="BA887" i="19"/>
  <c r="BB887" i="19"/>
  <c r="BC887" i="19"/>
  <c r="BD887" i="19"/>
  <c r="AV888" i="19"/>
  <c r="AW888" i="19"/>
  <c r="AX888" i="19"/>
  <c r="AY888" i="19"/>
  <c r="AZ888" i="19"/>
  <c r="BA888" i="19"/>
  <c r="BB888" i="19"/>
  <c r="BC888" i="19"/>
  <c r="BD888" i="19"/>
  <c r="AV889" i="19"/>
  <c r="AW889" i="19"/>
  <c r="AX889" i="19"/>
  <c r="AY889" i="19"/>
  <c r="AZ889" i="19"/>
  <c r="BA889" i="19"/>
  <c r="BB889" i="19"/>
  <c r="BC889" i="19"/>
  <c r="BD889" i="19"/>
  <c r="AV890" i="19"/>
  <c r="AW890" i="19"/>
  <c r="AX890" i="19"/>
  <c r="AY890" i="19"/>
  <c r="AZ890" i="19"/>
  <c r="BA890" i="19"/>
  <c r="BB890" i="19"/>
  <c r="BC890" i="19"/>
  <c r="BD890" i="19"/>
  <c r="AV891" i="19"/>
  <c r="AW891" i="19"/>
  <c r="AX891" i="19"/>
  <c r="AY891" i="19"/>
  <c r="AZ891" i="19"/>
  <c r="BA891" i="19"/>
  <c r="BB891" i="19"/>
  <c r="BC891" i="19"/>
  <c r="BD891" i="19"/>
  <c r="AV892" i="19"/>
  <c r="AW892" i="19"/>
  <c r="AX892" i="19"/>
  <c r="AY892" i="19"/>
  <c r="AZ892" i="19"/>
  <c r="BA892" i="19"/>
  <c r="BB892" i="19"/>
  <c r="BC892" i="19"/>
  <c r="BD892" i="19"/>
  <c r="AV893" i="19"/>
  <c r="AW893" i="19"/>
  <c r="AX893" i="19"/>
  <c r="AY893" i="19"/>
  <c r="AZ893" i="19"/>
  <c r="BA893" i="19"/>
  <c r="BB893" i="19"/>
  <c r="BC893" i="19"/>
  <c r="BD893" i="19"/>
  <c r="AV894" i="19"/>
  <c r="AW894" i="19"/>
  <c r="AX894" i="19"/>
  <c r="AY894" i="19"/>
  <c r="AZ894" i="19"/>
  <c r="BA894" i="19"/>
  <c r="BB894" i="19"/>
  <c r="BC894" i="19"/>
  <c r="BD894" i="19"/>
  <c r="AV895" i="19"/>
  <c r="AW895" i="19"/>
  <c r="AX895" i="19"/>
  <c r="AY895" i="19"/>
  <c r="AZ895" i="19"/>
  <c r="BA895" i="19"/>
  <c r="BB895" i="19"/>
  <c r="BC895" i="19"/>
  <c r="BD895" i="19"/>
  <c r="AV896" i="19"/>
  <c r="AW896" i="19"/>
  <c r="AX896" i="19"/>
  <c r="AY896" i="19"/>
  <c r="AZ896" i="19"/>
  <c r="BA896" i="19"/>
  <c r="BB896" i="19"/>
  <c r="BC896" i="19"/>
  <c r="BD896" i="19"/>
  <c r="AV897" i="19"/>
  <c r="AW897" i="19"/>
  <c r="AX897" i="19"/>
  <c r="AY897" i="19"/>
  <c r="AZ897" i="19"/>
  <c r="BA897" i="19"/>
  <c r="BB897" i="19"/>
  <c r="BC897" i="19"/>
  <c r="BD897" i="19"/>
  <c r="AV898" i="19"/>
  <c r="AW898" i="19"/>
  <c r="AX898" i="19"/>
  <c r="AY898" i="19"/>
  <c r="AZ898" i="19"/>
  <c r="BA898" i="19"/>
  <c r="BB898" i="19"/>
  <c r="BC898" i="19"/>
  <c r="BD898" i="19"/>
  <c r="AV899" i="19"/>
  <c r="AW899" i="19"/>
  <c r="AX899" i="19"/>
  <c r="AY899" i="19"/>
  <c r="AZ899" i="19"/>
  <c r="BA899" i="19"/>
  <c r="BB899" i="19"/>
  <c r="BC899" i="19"/>
  <c r="BD899" i="19"/>
  <c r="AV900" i="19"/>
  <c r="AW900" i="19"/>
  <c r="AX900" i="19"/>
  <c r="AY900" i="19"/>
  <c r="AZ900" i="19"/>
  <c r="BA900" i="19"/>
  <c r="BB900" i="19"/>
  <c r="BC900" i="19"/>
  <c r="BD900" i="19"/>
  <c r="AV901" i="19"/>
  <c r="AW901" i="19"/>
  <c r="AX901" i="19"/>
  <c r="AY901" i="19"/>
  <c r="AZ901" i="19"/>
  <c r="BA901" i="19"/>
  <c r="BB901" i="19"/>
  <c r="BC901" i="19"/>
  <c r="BD901" i="19"/>
  <c r="AV902" i="19"/>
  <c r="AW902" i="19"/>
  <c r="AX902" i="19"/>
  <c r="AY902" i="19"/>
  <c r="AZ902" i="19"/>
  <c r="BA902" i="19"/>
  <c r="BB902" i="19"/>
  <c r="BC902" i="19"/>
  <c r="BD902" i="19"/>
  <c r="AV903" i="19"/>
  <c r="AW903" i="19"/>
  <c r="AX903" i="19"/>
  <c r="AY903" i="19"/>
  <c r="AZ903" i="19"/>
  <c r="BA903" i="19"/>
  <c r="BB903" i="19"/>
  <c r="BC903" i="19"/>
  <c r="BD903" i="19"/>
  <c r="AV904" i="19"/>
  <c r="AW904" i="19"/>
  <c r="AX904" i="19"/>
  <c r="AY904" i="19"/>
  <c r="AZ904" i="19"/>
  <c r="BA904" i="19"/>
  <c r="BB904" i="19"/>
  <c r="BC904" i="19"/>
  <c r="BD904" i="19"/>
  <c r="AV905" i="19"/>
  <c r="AW905" i="19"/>
  <c r="AX905" i="19"/>
  <c r="AY905" i="19"/>
  <c r="AZ905" i="19"/>
  <c r="BA905" i="19"/>
  <c r="BB905" i="19"/>
  <c r="BC905" i="19"/>
  <c r="BD905" i="19"/>
  <c r="AV906" i="19"/>
  <c r="AW906" i="19"/>
  <c r="AX906" i="19"/>
  <c r="AY906" i="19"/>
  <c r="AZ906" i="19"/>
  <c r="BA906" i="19"/>
  <c r="BB906" i="19"/>
  <c r="BC906" i="19"/>
  <c r="BD906" i="19"/>
  <c r="AV907" i="19"/>
  <c r="AW907" i="19"/>
  <c r="AX907" i="19"/>
  <c r="AY907" i="19"/>
  <c r="AZ907" i="19"/>
  <c r="BA907" i="19"/>
  <c r="BB907" i="19"/>
  <c r="BC907" i="19"/>
  <c r="BD907" i="19"/>
  <c r="AV908" i="19"/>
  <c r="AW908" i="19"/>
  <c r="AX908" i="19"/>
  <c r="AY908" i="19"/>
  <c r="AZ908" i="19"/>
  <c r="BA908" i="19"/>
  <c r="BB908" i="19"/>
  <c r="BC908" i="19"/>
  <c r="BD908" i="19"/>
  <c r="AV909" i="19"/>
  <c r="AW909" i="19"/>
  <c r="AX909" i="19"/>
  <c r="AY909" i="19"/>
  <c r="AZ909" i="19"/>
  <c r="BA909" i="19"/>
  <c r="BB909" i="19"/>
  <c r="BC909" i="19"/>
  <c r="BD909" i="19"/>
  <c r="AV910" i="19"/>
  <c r="AW910" i="19"/>
  <c r="AX910" i="19"/>
  <c r="AY910" i="19"/>
  <c r="AZ910" i="19"/>
  <c r="BA910" i="19"/>
  <c r="BB910" i="19"/>
  <c r="BC910" i="19"/>
  <c r="BD910" i="19"/>
  <c r="AV911" i="19"/>
  <c r="AW911" i="19"/>
  <c r="AX911" i="19"/>
  <c r="AY911" i="19"/>
  <c r="AZ911" i="19"/>
  <c r="BA911" i="19"/>
  <c r="BB911" i="19"/>
  <c r="BC911" i="19"/>
  <c r="BD911" i="19"/>
  <c r="AV912" i="19"/>
  <c r="AW912" i="19"/>
  <c r="AX912" i="19"/>
  <c r="AY912" i="19"/>
  <c r="AZ912" i="19"/>
  <c r="BA912" i="19"/>
  <c r="BB912" i="19"/>
  <c r="BC912" i="19"/>
  <c r="BD912" i="19"/>
  <c r="AV913" i="19"/>
  <c r="AW913" i="19"/>
  <c r="AX913" i="19"/>
  <c r="AY913" i="19"/>
  <c r="AZ913" i="19"/>
  <c r="BA913" i="19"/>
  <c r="BB913" i="19"/>
  <c r="BC913" i="19"/>
  <c r="BD913" i="19"/>
  <c r="AV914" i="19"/>
  <c r="AW914" i="19"/>
  <c r="AX914" i="19"/>
  <c r="AY914" i="19"/>
  <c r="AZ914" i="19"/>
  <c r="BA914" i="19"/>
  <c r="BB914" i="19"/>
  <c r="BC914" i="19"/>
  <c r="BD914" i="19"/>
  <c r="AV915" i="19"/>
  <c r="AW915" i="19"/>
  <c r="AX915" i="19"/>
  <c r="AY915" i="19"/>
  <c r="AZ915" i="19"/>
  <c r="BA915" i="19"/>
  <c r="BB915" i="19"/>
  <c r="BC915" i="19"/>
  <c r="BD915" i="19"/>
  <c r="AV916" i="19"/>
  <c r="AW916" i="19"/>
  <c r="AX916" i="19"/>
  <c r="AY916" i="19"/>
  <c r="AZ916" i="19"/>
  <c r="BA916" i="19"/>
  <c r="BB916" i="19"/>
  <c r="BC916" i="19"/>
  <c r="BD916" i="19"/>
  <c r="AV917" i="19"/>
  <c r="AW917" i="19"/>
  <c r="AX917" i="19"/>
  <c r="AY917" i="19"/>
  <c r="AZ917" i="19"/>
  <c r="BA917" i="19"/>
  <c r="BB917" i="19"/>
  <c r="BC917" i="19"/>
  <c r="BD917" i="19"/>
  <c r="AV918" i="19"/>
  <c r="AW918" i="19"/>
  <c r="AX918" i="19"/>
  <c r="AY918" i="19"/>
  <c r="AZ918" i="19"/>
  <c r="BA918" i="19"/>
  <c r="BB918" i="19"/>
  <c r="BC918" i="19"/>
  <c r="BD918" i="19"/>
  <c r="AV919" i="19"/>
  <c r="AW919" i="19"/>
  <c r="AX919" i="19"/>
  <c r="AY919" i="19"/>
  <c r="AZ919" i="19"/>
  <c r="BA919" i="19"/>
  <c r="BB919" i="19"/>
  <c r="BC919" i="19"/>
  <c r="BD919" i="19"/>
  <c r="AV920" i="19"/>
  <c r="AW920" i="19"/>
  <c r="AX920" i="19"/>
  <c r="AY920" i="19"/>
  <c r="AZ920" i="19"/>
  <c r="BA920" i="19"/>
  <c r="BB920" i="19"/>
  <c r="BC920" i="19"/>
  <c r="BD920" i="19"/>
  <c r="AV921" i="19"/>
  <c r="AW921" i="19"/>
  <c r="AX921" i="19"/>
  <c r="AY921" i="19"/>
  <c r="AZ921" i="19"/>
  <c r="BA921" i="19"/>
  <c r="BB921" i="19"/>
  <c r="BC921" i="19"/>
  <c r="BD921" i="19"/>
  <c r="AV922" i="19"/>
  <c r="AW922" i="19"/>
  <c r="AX922" i="19"/>
  <c r="AY922" i="19"/>
  <c r="AZ922" i="19"/>
  <c r="BA922" i="19"/>
  <c r="BB922" i="19"/>
  <c r="BC922" i="19"/>
  <c r="BD922" i="19"/>
  <c r="AV923" i="19"/>
  <c r="AW923" i="19"/>
  <c r="AX923" i="19"/>
  <c r="AY923" i="19"/>
  <c r="AZ923" i="19"/>
  <c r="BA923" i="19"/>
  <c r="BB923" i="19"/>
  <c r="BC923" i="19"/>
  <c r="BD923" i="19"/>
  <c r="AV924" i="19"/>
  <c r="AW924" i="19"/>
  <c r="AX924" i="19"/>
  <c r="AY924" i="19"/>
  <c r="AZ924" i="19"/>
  <c r="BA924" i="19"/>
  <c r="BB924" i="19"/>
  <c r="BC924" i="19"/>
  <c r="BD924" i="19"/>
  <c r="AV925" i="19"/>
  <c r="AW925" i="19"/>
  <c r="AX925" i="19"/>
  <c r="AY925" i="19"/>
  <c r="AZ925" i="19"/>
  <c r="BA925" i="19"/>
  <c r="BB925" i="19"/>
  <c r="BC925" i="19"/>
  <c r="BD925" i="19"/>
  <c r="AV926" i="19"/>
  <c r="AW926" i="19"/>
  <c r="AX926" i="19"/>
  <c r="AY926" i="19"/>
  <c r="AZ926" i="19"/>
  <c r="BA926" i="19"/>
  <c r="BB926" i="19"/>
  <c r="BC926" i="19"/>
  <c r="BD926" i="19"/>
  <c r="AV927" i="19"/>
  <c r="AW927" i="19"/>
  <c r="AX927" i="19"/>
  <c r="AY927" i="19"/>
  <c r="AZ927" i="19"/>
  <c r="BA927" i="19"/>
  <c r="BB927" i="19"/>
  <c r="BC927" i="19"/>
  <c r="BD927" i="19"/>
  <c r="AV928" i="19"/>
  <c r="AW928" i="19"/>
  <c r="AX928" i="19"/>
  <c r="AY928" i="19"/>
  <c r="AZ928" i="19"/>
  <c r="BA928" i="19"/>
  <c r="BB928" i="19"/>
  <c r="BC928" i="19"/>
  <c r="BD928" i="19"/>
  <c r="AV929" i="19"/>
  <c r="AW929" i="19"/>
  <c r="AX929" i="19"/>
  <c r="AY929" i="19"/>
  <c r="AZ929" i="19"/>
  <c r="BA929" i="19"/>
  <c r="BB929" i="19"/>
  <c r="BC929" i="19"/>
  <c r="BD929" i="19"/>
  <c r="AV930" i="19"/>
  <c r="AW930" i="19"/>
  <c r="AX930" i="19"/>
  <c r="AY930" i="19"/>
  <c r="AZ930" i="19"/>
  <c r="BA930" i="19"/>
  <c r="BB930" i="19"/>
  <c r="BC930" i="19"/>
  <c r="BD930" i="19"/>
  <c r="AV931" i="19"/>
  <c r="AW931" i="19"/>
  <c r="AX931" i="19"/>
  <c r="AY931" i="19"/>
  <c r="AZ931" i="19"/>
  <c r="BA931" i="19"/>
  <c r="BB931" i="19"/>
  <c r="BC931" i="19"/>
  <c r="BD931" i="19"/>
  <c r="AV932" i="19"/>
  <c r="AW932" i="19"/>
  <c r="AX932" i="19"/>
  <c r="AY932" i="19"/>
  <c r="AZ932" i="19"/>
  <c r="BA932" i="19"/>
  <c r="BB932" i="19"/>
  <c r="BC932" i="19"/>
  <c r="BD932" i="19"/>
  <c r="AV933" i="19"/>
  <c r="AW933" i="19"/>
  <c r="AX933" i="19"/>
  <c r="AY933" i="19"/>
  <c r="AZ933" i="19"/>
  <c r="BA933" i="19"/>
  <c r="BB933" i="19"/>
  <c r="BC933" i="19"/>
  <c r="BD933" i="19"/>
  <c r="AV934" i="19"/>
  <c r="AW934" i="19"/>
  <c r="AX934" i="19"/>
  <c r="AY934" i="19"/>
  <c r="AZ934" i="19"/>
  <c r="BA934" i="19"/>
  <c r="BB934" i="19"/>
  <c r="BC934" i="19"/>
  <c r="BD934" i="19"/>
  <c r="AV935" i="19"/>
  <c r="AW935" i="19"/>
  <c r="AX935" i="19"/>
  <c r="AY935" i="19"/>
  <c r="AZ935" i="19"/>
  <c r="BA935" i="19"/>
  <c r="BB935" i="19"/>
  <c r="BC935" i="19"/>
  <c r="BD935" i="19"/>
  <c r="AV936" i="19"/>
  <c r="AW936" i="19"/>
  <c r="AX936" i="19"/>
  <c r="AY936" i="19"/>
  <c r="AZ936" i="19"/>
  <c r="BA936" i="19"/>
  <c r="BB936" i="19"/>
  <c r="BC936" i="19"/>
  <c r="BD936" i="19"/>
  <c r="AV937" i="19"/>
  <c r="AW937" i="19"/>
  <c r="AX937" i="19"/>
  <c r="AY937" i="19"/>
  <c r="AZ937" i="19"/>
  <c r="BA937" i="19"/>
  <c r="BB937" i="19"/>
  <c r="BC937" i="19"/>
  <c r="BD937" i="19"/>
  <c r="AV938" i="19"/>
  <c r="AW938" i="19"/>
  <c r="AX938" i="19"/>
  <c r="AY938" i="19"/>
  <c r="AZ938" i="19"/>
  <c r="BA938" i="19"/>
  <c r="BB938" i="19"/>
  <c r="BC938" i="19"/>
  <c r="BD938" i="19"/>
  <c r="AV939" i="19"/>
  <c r="AW939" i="19"/>
  <c r="AX939" i="19"/>
  <c r="AY939" i="19"/>
  <c r="AZ939" i="19"/>
  <c r="BA939" i="19"/>
  <c r="BB939" i="19"/>
  <c r="BC939" i="19"/>
  <c r="BD939" i="19"/>
  <c r="AV940" i="19"/>
  <c r="AW940" i="19"/>
  <c r="AX940" i="19"/>
  <c r="AY940" i="19"/>
  <c r="AZ940" i="19"/>
  <c r="BA940" i="19"/>
  <c r="BB940" i="19"/>
  <c r="BC940" i="19"/>
  <c r="BD940" i="19"/>
  <c r="AV941" i="19"/>
  <c r="AW941" i="19"/>
  <c r="AX941" i="19"/>
  <c r="AY941" i="19"/>
  <c r="AZ941" i="19"/>
  <c r="BA941" i="19"/>
  <c r="BB941" i="19"/>
  <c r="BC941" i="19"/>
  <c r="BD941" i="19"/>
  <c r="AV942" i="19"/>
  <c r="AW942" i="19"/>
  <c r="AX942" i="19"/>
  <c r="AY942" i="19"/>
  <c r="AZ942" i="19"/>
  <c r="BA942" i="19"/>
  <c r="BB942" i="19"/>
  <c r="BC942" i="19"/>
  <c r="BD942" i="19"/>
  <c r="AV943" i="19"/>
  <c r="AW943" i="19"/>
  <c r="AX943" i="19"/>
  <c r="AY943" i="19"/>
  <c r="AZ943" i="19"/>
  <c r="BA943" i="19"/>
  <c r="BB943" i="19"/>
  <c r="BC943" i="19"/>
  <c r="BD943" i="19"/>
  <c r="AV944" i="19"/>
  <c r="AW944" i="19"/>
  <c r="AX944" i="19"/>
  <c r="AY944" i="19"/>
  <c r="AZ944" i="19"/>
  <c r="BA944" i="19"/>
  <c r="BB944" i="19"/>
  <c r="BC944" i="19"/>
  <c r="BD944" i="19"/>
  <c r="AV945" i="19"/>
  <c r="AW945" i="19"/>
  <c r="AX945" i="19"/>
  <c r="AY945" i="19"/>
  <c r="AZ945" i="19"/>
  <c r="BA945" i="19"/>
  <c r="BB945" i="19"/>
  <c r="BC945" i="19"/>
  <c r="BD945" i="19"/>
  <c r="AV946" i="19"/>
  <c r="AW946" i="19"/>
  <c r="AX946" i="19"/>
  <c r="AY946" i="19"/>
  <c r="AZ946" i="19"/>
  <c r="BA946" i="19"/>
  <c r="BB946" i="19"/>
  <c r="BC946" i="19"/>
  <c r="BD946" i="19"/>
  <c r="AV947" i="19"/>
  <c r="AW947" i="19"/>
  <c r="AX947" i="19"/>
  <c r="AY947" i="19"/>
  <c r="AZ947" i="19"/>
  <c r="BA947" i="19"/>
  <c r="BB947" i="19"/>
  <c r="BC947" i="19"/>
  <c r="BD947" i="19"/>
  <c r="AV948" i="19"/>
  <c r="AW948" i="19"/>
  <c r="AX948" i="19"/>
  <c r="AY948" i="19"/>
  <c r="AZ948" i="19"/>
  <c r="BA948" i="19"/>
  <c r="BB948" i="19"/>
  <c r="BC948" i="19"/>
  <c r="BD948" i="19"/>
  <c r="AV949" i="19"/>
  <c r="AW949" i="19"/>
  <c r="AX949" i="19"/>
  <c r="AY949" i="19"/>
  <c r="AZ949" i="19"/>
  <c r="BA949" i="19"/>
  <c r="BB949" i="19"/>
  <c r="BC949" i="19"/>
  <c r="BD949" i="19"/>
  <c r="AV950" i="19"/>
  <c r="AW950" i="19"/>
  <c r="AX950" i="19"/>
  <c r="AY950" i="19"/>
  <c r="AZ950" i="19"/>
  <c r="BA950" i="19"/>
  <c r="BB950" i="19"/>
  <c r="BC950" i="19"/>
  <c r="BD950" i="19"/>
  <c r="AV951" i="19"/>
  <c r="AW951" i="19"/>
  <c r="AX951" i="19"/>
  <c r="AY951" i="19"/>
  <c r="AZ951" i="19"/>
  <c r="BA951" i="19"/>
  <c r="BB951" i="19"/>
  <c r="BC951" i="19"/>
  <c r="BD951" i="19"/>
  <c r="AV952" i="19"/>
  <c r="AW952" i="19"/>
  <c r="AX952" i="19"/>
  <c r="AY952" i="19"/>
  <c r="AZ952" i="19"/>
  <c r="BA952" i="19"/>
  <c r="BB952" i="19"/>
  <c r="BC952" i="19"/>
  <c r="BD952" i="19"/>
  <c r="AV953" i="19"/>
  <c r="AW953" i="19"/>
  <c r="AX953" i="19"/>
  <c r="AY953" i="19"/>
  <c r="AZ953" i="19"/>
  <c r="BA953" i="19"/>
  <c r="BB953" i="19"/>
  <c r="BC953" i="19"/>
  <c r="BD953" i="19"/>
  <c r="AV954" i="19"/>
  <c r="AW954" i="19"/>
  <c r="AX954" i="19"/>
  <c r="AY954" i="19"/>
  <c r="AZ954" i="19"/>
  <c r="BA954" i="19"/>
  <c r="BB954" i="19"/>
  <c r="BC954" i="19"/>
  <c r="BD954" i="19"/>
  <c r="AV955" i="19"/>
  <c r="AW955" i="19"/>
  <c r="AX955" i="19"/>
  <c r="AY955" i="19"/>
  <c r="AZ955" i="19"/>
  <c r="BA955" i="19"/>
  <c r="BB955" i="19"/>
  <c r="BC955" i="19"/>
  <c r="BD955" i="19"/>
  <c r="AV956" i="19"/>
  <c r="AW956" i="19"/>
  <c r="AX956" i="19"/>
  <c r="AY956" i="19"/>
  <c r="AZ956" i="19"/>
  <c r="BA956" i="19"/>
  <c r="BB956" i="19"/>
  <c r="BC956" i="19"/>
  <c r="BD956" i="19"/>
  <c r="AV957" i="19"/>
  <c r="AW957" i="19"/>
  <c r="AX957" i="19"/>
  <c r="AY957" i="19"/>
  <c r="AZ957" i="19"/>
  <c r="BA957" i="19"/>
  <c r="BB957" i="19"/>
  <c r="BC957" i="19"/>
  <c r="BD957" i="19"/>
  <c r="AV958" i="19"/>
  <c r="AW958" i="19"/>
  <c r="AX958" i="19"/>
  <c r="AY958" i="19"/>
  <c r="AZ958" i="19"/>
  <c r="BA958" i="19"/>
  <c r="BB958" i="19"/>
  <c r="BC958" i="19"/>
  <c r="BD958" i="19"/>
  <c r="AV959" i="19"/>
  <c r="AW959" i="19"/>
  <c r="AX959" i="19"/>
  <c r="AY959" i="19"/>
  <c r="AZ959" i="19"/>
  <c r="BA959" i="19"/>
  <c r="BB959" i="19"/>
  <c r="BC959" i="19"/>
  <c r="BD959" i="19"/>
  <c r="AV960" i="19"/>
  <c r="AW960" i="19"/>
  <c r="AX960" i="19"/>
  <c r="AY960" i="19"/>
  <c r="AZ960" i="19"/>
  <c r="BA960" i="19"/>
  <c r="BB960" i="19"/>
  <c r="BC960" i="19"/>
  <c r="BD960" i="19"/>
  <c r="AV961" i="19"/>
  <c r="AW961" i="19"/>
  <c r="AX961" i="19"/>
  <c r="AY961" i="19"/>
  <c r="AZ961" i="19"/>
  <c r="BA961" i="19"/>
  <c r="BB961" i="19"/>
  <c r="BC961" i="19"/>
  <c r="BD961" i="19"/>
  <c r="AV962" i="19"/>
  <c r="AW962" i="19"/>
  <c r="AX962" i="19"/>
  <c r="AY962" i="19"/>
  <c r="AZ962" i="19"/>
  <c r="BA962" i="19"/>
  <c r="BB962" i="19"/>
  <c r="BC962" i="19"/>
  <c r="BD962" i="19"/>
  <c r="AV963" i="19"/>
  <c r="AW963" i="19"/>
  <c r="AX963" i="19"/>
  <c r="AY963" i="19"/>
  <c r="AZ963" i="19"/>
  <c r="BA963" i="19"/>
  <c r="BB963" i="19"/>
  <c r="BC963" i="19"/>
  <c r="BD963" i="19"/>
  <c r="AV964" i="19"/>
  <c r="AW964" i="19"/>
  <c r="AX964" i="19"/>
  <c r="AY964" i="19"/>
  <c r="AZ964" i="19"/>
  <c r="BA964" i="19"/>
  <c r="BB964" i="19"/>
  <c r="BC964" i="19"/>
  <c r="BD964" i="19"/>
  <c r="AV965" i="19"/>
  <c r="AW965" i="19"/>
  <c r="AX965" i="19"/>
  <c r="AY965" i="19"/>
  <c r="AZ965" i="19"/>
  <c r="BA965" i="19"/>
  <c r="BB965" i="19"/>
  <c r="BC965" i="19"/>
  <c r="BD965" i="19"/>
  <c r="AV966" i="19"/>
  <c r="AW966" i="19"/>
  <c r="AX966" i="19"/>
  <c r="AY966" i="19"/>
  <c r="AZ966" i="19"/>
  <c r="BA966" i="19"/>
  <c r="BB966" i="19"/>
  <c r="BC966" i="19"/>
  <c r="BD966" i="19"/>
  <c r="AV967" i="19"/>
  <c r="AW967" i="19"/>
  <c r="AX967" i="19"/>
  <c r="AY967" i="19"/>
  <c r="AZ967" i="19"/>
  <c r="BA967" i="19"/>
  <c r="BB967" i="19"/>
  <c r="BC967" i="19"/>
  <c r="BD967" i="19"/>
  <c r="AV968" i="19"/>
  <c r="AW968" i="19"/>
  <c r="AX968" i="19"/>
  <c r="AY968" i="19"/>
  <c r="AZ968" i="19"/>
  <c r="BA968" i="19"/>
  <c r="BB968" i="19"/>
  <c r="BC968" i="19"/>
  <c r="BD968" i="19"/>
  <c r="AV969" i="19"/>
  <c r="AW969" i="19"/>
  <c r="AX969" i="19"/>
  <c r="AY969" i="19"/>
  <c r="AZ969" i="19"/>
  <c r="BA969" i="19"/>
  <c r="BB969" i="19"/>
  <c r="BC969" i="19"/>
  <c r="BD969" i="19"/>
  <c r="AV970" i="19"/>
  <c r="AW970" i="19"/>
  <c r="AX970" i="19"/>
  <c r="AY970" i="19"/>
  <c r="AZ970" i="19"/>
  <c r="BA970" i="19"/>
  <c r="BB970" i="19"/>
  <c r="BC970" i="19"/>
  <c r="BD970" i="19"/>
  <c r="AV971" i="19"/>
  <c r="AW971" i="19"/>
  <c r="AX971" i="19"/>
  <c r="AY971" i="19"/>
  <c r="AZ971" i="19"/>
  <c r="BA971" i="19"/>
  <c r="BB971" i="19"/>
  <c r="BC971" i="19"/>
  <c r="BD971" i="19"/>
  <c r="AV972" i="19"/>
  <c r="AW972" i="19"/>
  <c r="AX972" i="19"/>
  <c r="AY972" i="19"/>
  <c r="AZ972" i="19"/>
  <c r="BA972" i="19"/>
  <c r="BB972" i="19"/>
  <c r="BC972" i="19"/>
  <c r="BD972" i="19"/>
  <c r="AV973" i="19"/>
  <c r="AW973" i="19"/>
  <c r="AX973" i="19"/>
  <c r="AY973" i="19"/>
  <c r="AZ973" i="19"/>
  <c r="BA973" i="19"/>
  <c r="BB973" i="19"/>
  <c r="BC973" i="19"/>
  <c r="BD973" i="19"/>
  <c r="AV974" i="19"/>
  <c r="AW974" i="19"/>
  <c r="AX974" i="19"/>
  <c r="AY974" i="19"/>
  <c r="AZ974" i="19"/>
  <c r="BA974" i="19"/>
  <c r="BB974" i="19"/>
  <c r="BC974" i="19"/>
  <c r="BD974" i="19"/>
  <c r="AV975" i="19"/>
  <c r="AW975" i="19"/>
  <c r="AX975" i="19"/>
  <c r="AY975" i="19"/>
  <c r="AZ975" i="19"/>
  <c r="BA975" i="19"/>
  <c r="BB975" i="19"/>
  <c r="BC975" i="19"/>
  <c r="BD975" i="19"/>
  <c r="AV976" i="19"/>
  <c r="AW976" i="19"/>
  <c r="AX976" i="19"/>
  <c r="AY976" i="19"/>
  <c r="AZ976" i="19"/>
  <c r="BA976" i="19"/>
  <c r="BB976" i="19"/>
  <c r="BC976" i="19"/>
  <c r="BD976" i="19"/>
  <c r="AV977" i="19"/>
  <c r="AW977" i="19"/>
  <c r="AX977" i="19"/>
  <c r="AY977" i="19"/>
  <c r="AZ977" i="19"/>
  <c r="BA977" i="19"/>
  <c r="BB977" i="19"/>
  <c r="BC977" i="19"/>
  <c r="BD977" i="19"/>
  <c r="AV978" i="19"/>
  <c r="AW978" i="19"/>
  <c r="AX978" i="19"/>
  <c r="AY978" i="19"/>
  <c r="AZ978" i="19"/>
  <c r="BA978" i="19"/>
  <c r="BB978" i="19"/>
  <c r="BC978" i="19"/>
  <c r="BD978" i="19"/>
  <c r="AV979" i="19"/>
  <c r="AW979" i="19"/>
  <c r="AX979" i="19"/>
  <c r="AY979" i="19"/>
  <c r="AZ979" i="19"/>
  <c r="BA979" i="19"/>
  <c r="BB979" i="19"/>
  <c r="BC979" i="19"/>
  <c r="BD979" i="19"/>
  <c r="AV980" i="19"/>
  <c r="AW980" i="19"/>
  <c r="AX980" i="19"/>
  <c r="AY980" i="19"/>
  <c r="AZ980" i="19"/>
  <c r="BA980" i="19"/>
  <c r="BB980" i="19"/>
  <c r="BC980" i="19"/>
  <c r="BD980" i="19"/>
  <c r="AV981" i="19"/>
  <c r="AW981" i="19"/>
  <c r="AX981" i="19"/>
  <c r="AY981" i="19"/>
  <c r="AZ981" i="19"/>
  <c r="BA981" i="19"/>
  <c r="BB981" i="19"/>
  <c r="BC981" i="19"/>
  <c r="BD981" i="19"/>
  <c r="AV982" i="19"/>
  <c r="AW982" i="19"/>
  <c r="AX982" i="19"/>
  <c r="AY982" i="19"/>
  <c r="AZ982" i="19"/>
  <c r="BA982" i="19"/>
  <c r="BB982" i="19"/>
  <c r="BC982" i="19"/>
  <c r="BD982" i="19"/>
  <c r="AV983" i="19"/>
  <c r="AW983" i="19"/>
  <c r="AX983" i="19"/>
  <c r="AY983" i="19"/>
  <c r="AZ983" i="19"/>
  <c r="BA983" i="19"/>
  <c r="BB983" i="19"/>
  <c r="BC983" i="19"/>
  <c r="BD983" i="19"/>
  <c r="AV984" i="19"/>
  <c r="AW984" i="19"/>
  <c r="AX984" i="19"/>
  <c r="AY984" i="19"/>
  <c r="AZ984" i="19"/>
  <c r="BA984" i="19"/>
  <c r="BB984" i="19"/>
  <c r="BC984" i="19"/>
  <c r="BD984" i="19"/>
  <c r="AV985" i="19"/>
  <c r="AW985" i="19"/>
  <c r="AX985" i="19"/>
  <c r="AY985" i="19"/>
  <c r="AZ985" i="19"/>
  <c r="BA985" i="19"/>
  <c r="BB985" i="19"/>
  <c r="BC985" i="19"/>
  <c r="BD985" i="19"/>
  <c r="AV986" i="19"/>
  <c r="AW986" i="19"/>
  <c r="AX986" i="19"/>
  <c r="AY986" i="19"/>
  <c r="AZ986" i="19"/>
  <c r="BA986" i="19"/>
  <c r="BB986" i="19"/>
  <c r="BC986" i="19"/>
  <c r="BD986" i="19"/>
  <c r="AV987" i="19"/>
  <c r="AW987" i="19"/>
  <c r="AX987" i="19"/>
  <c r="AY987" i="19"/>
  <c r="AZ987" i="19"/>
  <c r="BA987" i="19"/>
  <c r="BB987" i="19"/>
  <c r="BC987" i="19"/>
  <c r="BD987" i="19"/>
  <c r="AV988" i="19"/>
  <c r="AW988" i="19"/>
  <c r="AX988" i="19"/>
  <c r="AY988" i="19"/>
  <c r="AZ988" i="19"/>
  <c r="BA988" i="19"/>
  <c r="BB988" i="19"/>
  <c r="BC988" i="19"/>
  <c r="BD988" i="19"/>
  <c r="AV989" i="19"/>
  <c r="AW989" i="19"/>
  <c r="AX989" i="19"/>
  <c r="AY989" i="19"/>
  <c r="AZ989" i="19"/>
  <c r="BA989" i="19"/>
  <c r="BB989" i="19"/>
  <c r="BC989" i="19"/>
  <c r="BD989" i="19"/>
  <c r="AV990" i="19"/>
  <c r="AW990" i="19"/>
  <c r="AX990" i="19"/>
  <c r="AY990" i="19"/>
  <c r="AZ990" i="19"/>
  <c r="BA990" i="19"/>
  <c r="BB990" i="19"/>
  <c r="BC990" i="19"/>
  <c r="BD990" i="19"/>
  <c r="AV991" i="19"/>
  <c r="AW991" i="19"/>
  <c r="AX991" i="19"/>
  <c r="AY991" i="19"/>
  <c r="AZ991" i="19"/>
  <c r="BA991" i="19"/>
  <c r="BB991" i="19"/>
  <c r="BC991" i="19"/>
  <c r="BD991" i="19"/>
  <c r="AV992" i="19"/>
  <c r="AW992" i="19"/>
  <c r="AX992" i="19"/>
  <c r="AY992" i="19"/>
  <c r="AZ992" i="19"/>
  <c r="BA992" i="19"/>
  <c r="BB992" i="19"/>
  <c r="BC992" i="19"/>
  <c r="BD992" i="19"/>
  <c r="AV993" i="19"/>
  <c r="AW993" i="19"/>
  <c r="AX993" i="19"/>
  <c r="AY993" i="19"/>
  <c r="AZ993" i="19"/>
  <c r="BA993" i="19"/>
  <c r="BB993" i="19"/>
  <c r="BC993" i="19"/>
  <c r="BD993" i="19"/>
  <c r="AV994" i="19"/>
  <c r="AW994" i="19"/>
  <c r="AX994" i="19"/>
  <c r="AY994" i="19"/>
  <c r="AZ994" i="19"/>
  <c r="BA994" i="19"/>
  <c r="BB994" i="19"/>
  <c r="BC994" i="19"/>
  <c r="BD994" i="19"/>
  <c r="AV995" i="19"/>
  <c r="AW995" i="19"/>
  <c r="AX995" i="19"/>
  <c r="AY995" i="19"/>
  <c r="AZ995" i="19"/>
  <c r="BA995" i="19"/>
  <c r="BB995" i="19"/>
  <c r="BC995" i="19"/>
  <c r="BD995" i="19"/>
  <c r="AV996" i="19"/>
  <c r="AW996" i="19"/>
  <c r="AX996" i="19"/>
  <c r="AY996" i="19"/>
  <c r="AZ996" i="19"/>
  <c r="BA996" i="19"/>
  <c r="BB996" i="19"/>
  <c r="BC996" i="19"/>
  <c r="BD996" i="19"/>
  <c r="AV997" i="19"/>
  <c r="AW997" i="19"/>
  <c r="AX997" i="19"/>
  <c r="AY997" i="19"/>
  <c r="AZ997" i="19"/>
  <c r="BA997" i="19"/>
  <c r="BB997" i="19"/>
  <c r="BC997" i="19"/>
  <c r="BD997" i="19"/>
  <c r="AV998" i="19"/>
  <c r="AW998" i="19"/>
  <c r="AX998" i="19"/>
  <c r="AY998" i="19"/>
  <c r="AZ998" i="19"/>
  <c r="BA998" i="19"/>
  <c r="BB998" i="19"/>
  <c r="BC998" i="19"/>
  <c r="BD998" i="19"/>
  <c r="AV999" i="19"/>
  <c r="AW999" i="19"/>
  <c r="AX999" i="19"/>
  <c r="AY999" i="19"/>
  <c r="AZ999" i="19"/>
  <c r="BA999" i="19"/>
  <c r="BB999" i="19"/>
  <c r="BC999" i="19"/>
  <c r="BD999" i="19"/>
  <c r="AV1000" i="19"/>
  <c r="AW1000" i="19"/>
  <c r="AX1000" i="19"/>
  <c r="AY1000" i="19"/>
  <c r="AZ1000" i="19"/>
  <c r="BA1000" i="19"/>
  <c r="BB1000" i="19"/>
  <c r="BC1000" i="19"/>
  <c r="BD1000" i="19"/>
  <c r="AV1001" i="19"/>
  <c r="AW1001" i="19"/>
  <c r="AX1001" i="19"/>
  <c r="AY1001" i="19"/>
  <c r="AZ1001" i="19"/>
  <c r="BA1001" i="19"/>
  <c r="BB1001" i="19"/>
  <c r="BC1001" i="19"/>
  <c r="BD1001" i="19"/>
  <c r="AV1002" i="19"/>
  <c r="AW1002" i="19"/>
  <c r="AX1002" i="19"/>
  <c r="AY1002" i="19"/>
  <c r="AZ1002" i="19"/>
  <c r="BA1002" i="19"/>
  <c r="BB1002" i="19"/>
  <c r="BC1002" i="19"/>
  <c r="BD1002" i="19"/>
  <c r="AV1003" i="19"/>
  <c r="AW1003" i="19"/>
  <c r="AX1003" i="19"/>
  <c r="AY1003" i="19"/>
  <c r="AZ1003" i="19"/>
  <c r="BA1003" i="19"/>
  <c r="BB1003" i="19"/>
  <c r="BC1003" i="19"/>
  <c r="BD1003" i="19"/>
  <c r="AV1004" i="19"/>
  <c r="AW1004" i="19"/>
  <c r="AX1004" i="19"/>
  <c r="AY1004" i="19"/>
  <c r="AZ1004" i="19"/>
  <c r="BA1004" i="19"/>
  <c r="BB1004" i="19"/>
  <c r="BC1004" i="19"/>
  <c r="BD1004" i="19"/>
  <c r="AV1005" i="19"/>
  <c r="AW1005" i="19"/>
  <c r="AX1005" i="19"/>
  <c r="AY1005" i="19"/>
  <c r="AZ1005" i="19"/>
  <c r="BA1005" i="19"/>
  <c r="BB1005" i="19"/>
  <c r="BC1005" i="19"/>
  <c r="BD1005" i="19"/>
  <c r="AV1006" i="19"/>
  <c r="AW1006" i="19"/>
  <c r="AX1006" i="19"/>
  <c r="AY1006" i="19"/>
  <c r="AZ1006" i="19"/>
  <c r="BA1006" i="19"/>
  <c r="BB1006" i="19"/>
  <c r="BC1006" i="19"/>
  <c r="BD1006" i="19"/>
  <c r="AV1007" i="19"/>
  <c r="AW1007" i="19"/>
  <c r="AX1007" i="19"/>
  <c r="AY1007" i="19"/>
  <c r="AZ1007" i="19"/>
  <c r="BA1007" i="19"/>
  <c r="BB1007" i="19"/>
  <c r="BC1007" i="19"/>
  <c r="BD1007" i="19"/>
  <c r="AV1008" i="19"/>
  <c r="AW1008" i="19"/>
  <c r="AX1008" i="19"/>
  <c r="AY1008" i="19"/>
  <c r="AZ1008" i="19"/>
  <c r="BA1008" i="19"/>
  <c r="BB1008" i="19"/>
  <c r="BC1008" i="19"/>
  <c r="BD1008" i="19"/>
  <c r="AV1009" i="19"/>
  <c r="AW1009" i="19"/>
  <c r="AX1009" i="19"/>
  <c r="AY1009" i="19"/>
  <c r="AZ1009" i="19"/>
  <c r="BA1009" i="19"/>
  <c r="BB1009" i="19"/>
  <c r="BC1009" i="19"/>
  <c r="BD1009" i="19"/>
  <c r="AV1010" i="19"/>
  <c r="AW1010" i="19"/>
  <c r="AX1010" i="19"/>
  <c r="AY1010" i="19"/>
  <c r="AZ1010" i="19"/>
  <c r="BA1010" i="19"/>
  <c r="BB1010" i="19"/>
  <c r="BC1010" i="19"/>
  <c r="BD1010" i="19"/>
  <c r="AV1011" i="19"/>
  <c r="AW1011" i="19"/>
  <c r="AX1011" i="19"/>
  <c r="AY1011" i="19"/>
  <c r="AZ1011" i="19"/>
  <c r="BA1011" i="19"/>
  <c r="BB1011" i="19"/>
  <c r="BC1011" i="19"/>
  <c r="BD1011" i="19"/>
  <c r="AV1012" i="19"/>
  <c r="AW1012" i="19"/>
  <c r="AX1012" i="19"/>
  <c r="AY1012" i="19"/>
  <c r="AZ1012" i="19"/>
  <c r="BA1012" i="19"/>
  <c r="BB1012" i="19"/>
  <c r="BC1012" i="19"/>
  <c r="BD1012" i="19"/>
  <c r="AV1013" i="19"/>
  <c r="AW1013" i="19"/>
  <c r="AX1013" i="19"/>
  <c r="AY1013" i="19"/>
  <c r="AZ1013" i="19"/>
  <c r="BA1013" i="19"/>
  <c r="BB1013" i="19"/>
  <c r="BC1013" i="19"/>
  <c r="BD1013" i="19"/>
  <c r="AV1014" i="19"/>
  <c r="AW1014" i="19"/>
  <c r="AX1014" i="19"/>
  <c r="AY1014" i="19"/>
  <c r="AZ1014" i="19"/>
  <c r="BA1014" i="19"/>
  <c r="BB1014" i="19"/>
  <c r="BC1014" i="19"/>
  <c r="BD1014" i="19"/>
  <c r="AV1015" i="19"/>
  <c r="AW1015" i="19"/>
  <c r="AX1015" i="19"/>
  <c r="AY1015" i="19"/>
  <c r="AZ1015" i="19"/>
  <c r="BA1015" i="19"/>
  <c r="BB1015" i="19"/>
  <c r="BC1015" i="19"/>
  <c r="BD1015" i="19"/>
  <c r="AV1016" i="19"/>
  <c r="AW1016" i="19"/>
  <c r="AX1016" i="19"/>
  <c r="AY1016" i="19"/>
  <c r="AZ1016" i="19"/>
  <c r="BA1016" i="19"/>
  <c r="BB1016" i="19"/>
  <c r="BC1016" i="19"/>
  <c r="BD1016" i="19"/>
  <c r="AV1017" i="19"/>
  <c r="AW1017" i="19"/>
  <c r="AX1017" i="19"/>
  <c r="AY1017" i="19"/>
  <c r="AZ1017" i="19"/>
  <c r="BA1017" i="19"/>
  <c r="BB1017" i="19"/>
  <c r="BC1017" i="19"/>
  <c r="BD1017" i="19"/>
  <c r="AV1018" i="19"/>
  <c r="AW1018" i="19"/>
  <c r="AX1018" i="19"/>
  <c r="AY1018" i="19"/>
  <c r="AZ1018" i="19"/>
  <c r="BA1018" i="19"/>
  <c r="BB1018" i="19"/>
  <c r="BC1018" i="19"/>
  <c r="BD1018" i="19"/>
  <c r="AV1019" i="19"/>
  <c r="AW1019" i="19"/>
  <c r="AX1019" i="19"/>
  <c r="AY1019" i="19"/>
  <c r="AZ1019" i="19"/>
  <c r="BA1019" i="19"/>
  <c r="BB1019" i="19"/>
  <c r="BC1019" i="19"/>
  <c r="BD1019" i="19"/>
  <c r="AV1020" i="19"/>
  <c r="AW1020" i="19"/>
  <c r="AX1020" i="19"/>
  <c r="AY1020" i="19"/>
  <c r="AZ1020" i="19"/>
  <c r="BA1020" i="19"/>
  <c r="BB1020" i="19"/>
  <c r="BC1020" i="19"/>
  <c r="BD1020" i="19"/>
  <c r="AV1021" i="19"/>
  <c r="AW1021" i="19"/>
  <c r="AX1021" i="19"/>
  <c r="AY1021" i="19"/>
  <c r="AZ1021" i="19"/>
  <c r="BA1021" i="19"/>
  <c r="BB1021" i="19"/>
  <c r="BC1021" i="19"/>
  <c r="BD1021" i="19"/>
  <c r="AV1022" i="19"/>
  <c r="AW1022" i="19"/>
  <c r="AX1022" i="19"/>
  <c r="AY1022" i="19"/>
  <c r="AZ1022" i="19"/>
  <c r="BA1022" i="19"/>
  <c r="BB1022" i="19"/>
  <c r="BC1022" i="19"/>
  <c r="BD1022" i="19"/>
  <c r="AV1023" i="19"/>
  <c r="AW1023" i="19"/>
  <c r="AX1023" i="19"/>
  <c r="AY1023" i="19"/>
  <c r="AZ1023" i="19"/>
  <c r="BA1023" i="19"/>
  <c r="BB1023" i="19"/>
  <c r="BC1023" i="19"/>
  <c r="BD1023" i="19"/>
  <c r="AV1024" i="19"/>
  <c r="AW1024" i="19"/>
  <c r="AX1024" i="19"/>
  <c r="AY1024" i="19"/>
  <c r="AZ1024" i="19"/>
  <c r="BA1024" i="19"/>
  <c r="BB1024" i="19"/>
  <c r="BC1024" i="19"/>
  <c r="BD1024" i="19"/>
  <c r="AV1025" i="19"/>
  <c r="AW1025" i="19"/>
  <c r="AX1025" i="19"/>
  <c r="AY1025" i="19"/>
  <c r="AZ1025" i="19"/>
  <c r="BA1025" i="19"/>
  <c r="BB1025" i="19"/>
  <c r="BC1025" i="19"/>
  <c r="BD1025" i="19"/>
  <c r="AV1026" i="19"/>
  <c r="AW1026" i="19"/>
  <c r="AX1026" i="19"/>
  <c r="AY1026" i="19"/>
  <c r="AZ1026" i="19"/>
  <c r="BA1026" i="19"/>
  <c r="BB1026" i="19"/>
  <c r="BC1026" i="19"/>
  <c r="BD1026" i="19"/>
  <c r="AV1027" i="19"/>
  <c r="AW1027" i="19"/>
  <c r="AX1027" i="19"/>
  <c r="AY1027" i="19"/>
  <c r="AZ1027" i="19"/>
  <c r="BA1027" i="19"/>
  <c r="BB1027" i="19"/>
  <c r="BC1027" i="19"/>
  <c r="BD1027" i="19"/>
  <c r="AV1028" i="19"/>
  <c r="AW1028" i="19"/>
  <c r="AX1028" i="19"/>
  <c r="AY1028" i="19"/>
  <c r="AZ1028" i="19"/>
  <c r="BA1028" i="19"/>
  <c r="BB1028" i="19"/>
  <c r="BC1028" i="19"/>
  <c r="BD1028" i="19"/>
  <c r="AV1029" i="19"/>
  <c r="AW1029" i="19"/>
  <c r="AX1029" i="19"/>
  <c r="AY1029" i="19"/>
  <c r="AZ1029" i="19"/>
  <c r="BA1029" i="19"/>
  <c r="BB1029" i="19"/>
  <c r="BC1029" i="19"/>
  <c r="BD1029" i="19"/>
  <c r="AV1030" i="19"/>
  <c r="AW1030" i="19"/>
  <c r="AX1030" i="19"/>
  <c r="AY1030" i="19"/>
  <c r="AZ1030" i="19"/>
  <c r="BA1030" i="19"/>
  <c r="BB1030" i="19"/>
  <c r="BC1030" i="19"/>
  <c r="BD1030" i="19"/>
  <c r="AV1031" i="19"/>
  <c r="AW1031" i="19"/>
  <c r="AX1031" i="19"/>
  <c r="AY1031" i="19"/>
  <c r="AZ1031" i="19"/>
  <c r="BA1031" i="19"/>
  <c r="BB1031" i="19"/>
  <c r="BC1031" i="19"/>
  <c r="BD1031" i="19"/>
  <c r="AV1032" i="19"/>
  <c r="AW1032" i="19"/>
  <c r="AX1032" i="19"/>
  <c r="AY1032" i="19"/>
  <c r="AZ1032" i="19"/>
  <c r="BA1032" i="19"/>
  <c r="BB1032" i="19"/>
  <c r="BC1032" i="19"/>
  <c r="BD1032" i="19"/>
  <c r="AV1033" i="19"/>
  <c r="AW1033" i="19"/>
  <c r="AX1033" i="19"/>
  <c r="AY1033" i="19"/>
  <c r="AZ1033" i="19"/>
  <c r="BA1033" i="19"/>
  <c r="BB1033" i="19"/>
  <c r="BC1033" i="19"/>
  <c r="BD1033" i="19"/>
  <c r="AV1034" i="19"/>
  <c r="AW1034" i="19"/>
  <c r="AX1034" i="19"/>
  <c r="AY1034" i="19"/>
  <c r="AZ1034" i="19"/>
  <c r="BA1034" i="19"/>
  <c r="BB1034" i="19"/>
  <c r="BC1034" i="19"/>
  <c r="BD1034" i="19"/>
  <c r="AV1035" i="19"/>
  <c r="AW1035" i="19"/>
  <c r="AX1035" i="19"/>
  <c r="AY1035" i="19"/>
  <c r="AZ1035" i="19"/>
  <c r="BA1035" i="19"/>
  <c r="BB1035" i="19"/>
  <c r="BC1035" i="19"/>
  <c r="BD1035" i="19"/>
  <c r="AV1036" i="19"/>
  <c r="AW1036" i="19"/>
  <c r="AX1036" i="19"/>
  <c r="AY1036" i="19"/>
  <c r="AZ1036" i="19"/>
  <c r="BA1036" i="19"/>
  <c r="BB1036" i="19"/>
  <c r="BC1036" i="19"/>
  <c r="BD1036" i="19"/>
  <c r="AV1037" i="19"/>
  <c r="AW1037" i="19"/>
  <c r="AX1037" i="19"/>
  <c r="AY1037" i="19"/>
  <c r="AZ1037" i="19"/>
  <c r="BA1037" i="19"/>
  <c r="BB1037" i="19"/>
  <c r="BC1037" i="19"/>
  <c r="BD1037" i="19"/>
  <c r="AV1038" i="19"/>
  <c r="AW1038" i="19"/>
  <c r="AX1038" i="19"/>
  <c r="AY1038" i="19"/>
  <c r="AZ1038" i="19"/>
  <c r="BA1038" i="19"/>
  <c r="BB1038" i="19"/>
  <c r="BC1038" i="19"/>
  <c r="BD1038" i="19"/>
  <c r="AV1039" i="19"/>
  <c r="AW1039" i="19"/>
  <c r="AX1039" i="19"/>
  <c r="AY1039" i="19"/>
  <c r="AZ1039" i="19"/>
  <c r="BA1039" i="19"/>
  <c r="BB1039" i="19"/>
  <c r="BC1039" i="19"/>
  <c r="BD1039" i="19"/>
  <c r="AV1040" i="19"/>
  <c r="AW1040" i="19"/>
  <c r="AX1040" i="19"/>
  <c r="AY1040" i="19"/>
  <c r="AZ1040" i="19"/>
  <c r="BA1040" i="19"/>
  <c r="BB1040" i="19"/>
  <c r="BC1040" i="19"/>
  <c r="BD1040" i="19"/>
  <c r="AV1041" i="19"/>
  <c r="AW1041" i="19"/>
  <c r="AX1041" i="19"/>
  <c r="AY1041" i="19"/>
  <c r="AZ1041" i="19"/>
  <c r="BA1041" i="19"/>
  <c r="BB1041" i="19"/>
  <c r="BC1041" i="19"/>
  <c r="BD1041" i="19"/>
  <c r="AV1042" i="19"/>
  <c r="AW1042" i="19"/>
  <c r="AX1042" i="19"/>
  <c r="AY1042" i="19"/>
  <c r="AZ1042" i="19"/>
  <c r="BA1042" i="19"/>
  <c r="BB1042" i="19"/>
  <c r="BC1042" i="19"/>
  <c r="BD1042" i="19"/>
  <c r="AV1043" i="19"/>
  <c r="AW1043" i="19"/>
  <c r="AX1043" i="19"/>
  <c r="AY1043" i="19"/>
  <c r="AZ1043" i="19"/>
  <c r="BA1043" i="19"/>
  <c r="BB1043" i="19"/>
  <c r="BC1043" i="19"/>
  <c r="BD1043" i="19"/>
  <c r="AV1044" i="19"/>
  <c r="AW1044" i="19"/>
  <c r="AX1044" i="19"/>
  <c r="AY1044" i="19"/>
  <c r="AZ1044" i="19"/>
  <c r="BA1044" i="19"/>
  <c r="BB1044" i="19"/>
  <c r="BC1044" i="19"/>
  <c r="BD1044" i="19"/>
  <c r="AV1045" i="19"/>
  <c r="AW1045" i="19"/>
  <c r="AX1045" i="19"/>
  <c r="AY1045" i="19"/>
  <c r="AZ1045" i="19"/>
  <c r="BA1045" i="19"/>
  <c r="BB1045" i="19"/>
  <c r="BC1045" i="19"/>
  <c r="BD1045" i="19"/>
  <c r="AV1046" i="19"/>
  <c r="AW1046" i="19"/>
  <c r="AX1046" i="19"/>
  <c r="AY1046" i="19"/>
  <c r="AZ1046" i="19"/>
  <c r="BA1046" i="19"/>
  <c r="BB1046" i="19"/>
  <c r="BC1046" i="19"/>
  <c r="BD1046" i="19"/>
  <c r="AV1047" i="19"/>
  <c r="AW1047" i="19"/>
  <c r="AX1047" i="19"/>
  <c r="AY1047" i="19"/>
  <c r="AZ1047" i="19"/>
  <c r="BA1047" i="19"/>
  <c r="BB1047" i="19"/>
  <c r="BC1047" i="19"/>
  <c r="BD1047" i="19"/>
  <c r="AV1048" i="19"/>
  <c r="AW1048" i="19"/>
  <c r="AX1048" i="19"/>
  <c r="AY1048" i="19"/>
  <c r="AZ1048" i="19"/>
  <c r="BA1048" i="19"/>
  <c r="BB1048" i="19"/>
  <c r="BC1048" i="19"/>
  <c r="BD1048" i="19"/>
  <c r="AV1049" i="19"/>
  <c r="AW1049" i="19"/>
  <c r="AX1049" i="19"/>
  <c r="AY1049" i="19"/>
  <c r="AZ1049" i="19"/>
  <c r="BA1049" i="19"/>
  <c r="BB1049" i="19"/>
  <c r="BC1049" i="19"/>
  <c r="BD1049" i="19"/>
  <c r="AV1050" i="19"/>
  <c r="AW1050" i="19"/>
  <c r="AX1050" i="19"/>
  <c r="AY1050" i="19"/>
  <c r="AZ1050" i="19"/>
  <c r="BA1050" i="19"/>
  <c r="BB1050" i="19"/>
  <c r="BC1050" i="19"/>
  <c r="BD1050" i="19"/>
  <c r="AV1051" i="19"/>
  <c r="AW1051" i="19"/>
  <c r="AX1051" i="19"/>
  <c r="AY1051" i="19"/>
  <c r="AZ1051" i="19"/>
  <c r="BA1051" i="19"/>
  <c r="BB1051" i="19"/>
  <c r="BC1051" i="19"/>
  <c r="BD1051" i="19"/>
  <c r="AV1052" i="19"/>
  <c r="AW1052" i="19"/>
  <c r="AX1052" i="19"/>
  <c r="AY1052" i="19"/>
  <c r="AZ1052" i="19"/>
  <c r="BA1052" i="19"/>
  <c r="BB1052" i="19"/>
  <c r="BC1052" i="19"/>
  <c r="BD1052" i="19"/>
  <c r="AV1053" i="19"/>
  <c r="AW1053" i="19"/>
  <c r="AX1053" i="19"/>
  <c r="AY1053" i="19"/>
  <c r="AZ1053" i="19"/>
  <c r="BA1053" i="19"/>
  <c r="BB1053" i="19"/>
  <c r="BC1053" i="19"/>
  <c r="BD1053" i="19"/>
  <c r="AV1054" i="19"/>
  <c r="AW1054" i="19"/>
  <c r="AX1054" i="19"/>
  <c r="AY1054" i="19"/>
  <c r="AZ1054" i="19"/>
  <c r="BA1054" i="19"/>
  <c r="BB1054" i="19"/>
  <c r="BC1054" i="19"/>
  <c r="BD1054" i="19"/>
  <c r="AV1055" i="19"/>
  <c r="AW1055" i="19"/>
  <c r="AX1055" i="19"/>
  <c r="AY1055" i="19"/>
  <c r="AZ1055" i="19"/>
  <c r="BA1055" i="19"/>
  <c r="BB1055" i="19"/>
  <c r="BC1055" i="19"/>
  <c r="BD1055" i="19"/>
  <c r="AV1056" i="19"/>
  <c r="AW1056" i="19"/>
  <c r="AX1056" i="19"/>
  <c r="AY1056" i="19"/>
  <c r="AZ1056" i="19"/>
  <c r="BA1056" i="19"/>
  <c r="BB1056" i="19"/>
  <c r="BC1056" i="19"/>
  <c r="BD1056" i="19"/>
  <c r="AV1057" i="19"/>
  <c r="AW1057" i="19"/>
  <c r="AX1057" i="19"/>
  <c r="AY1057" i="19"/>
  <c r="AZ1057" i="19"/>
  <c r="BA1057" i="19"/>
  <c r="BB1057" i="19"/>
  <c r="BC1057" i="19"/>
  <c r="BD1057" i="19"/>
  <c r="AV1058" i="19"/>
  <c r="AW1058" i="19"/>
  <c r="AX1058" i="19"/>
  <c r="AY1058" i="19"/>
  <c r="AZ1058" i="19"/>
  <c r="BA1058" i="19"/>
  <c r="BB1058" i="19"/>
  <c r="BC1058" i="19"/>
  <c r="BD1058" i="19"/>
  <c r="AV1059" i="19"/>
  <c r="AW1059" i="19"/>
  <c r="AX1059" i="19"/>
  <c r="AY1059" i="19"/>
  <c r="AZ1059" i="19"/>
  <c r="BA1059" i="19"/>
  <c r="BB1059" i="19"/>
  <c r="BC1059" i="19"/>
  <c r="BD1059" i="19"/>
  <c r="AV1060" i="19"/>
  <c r="AW1060" i="19"/>
  <c r="AX1060" i="19"/>
  <c r="AY1060" i="19"/>
  <c r="AZ1060" i="19"/>
  <c r="BA1060" i="19"/>
  <c r="BB1060" i="19"/>
  <c r="BC1060" i="19"/>
  <c r="BD1060" i="19"/>
  <c r="AV1061" i="19"/>
  <c r="AW1061" i="19"/>
  <c r="AX1061" i="19"/>
  <c r="AY1061" i="19"/>
  <c r="AZ1061" i="19"/>
  <c r="BA1061" i="19"/>
  <c r="BB1061" i="19"/>
  <c r="BC1061" i="19"/>
  <c r="BD1061" i="19"/>
  <c r="AV1062" i="19"/>
  <c r="AW1062" i="19"/>
  <c r="AX1062" i="19"/>
  <c r="AY1062" i="19"/>
  <c r="AZ1062" i="19"/>
  <c r="BA1062" i="19"/>
  <c r="BB1062" i="19"/>
  <c r="BC1062" i="19"/>
  <c r="BD1062" i="19"/>
  <c r="AV1063" i="19"/>
  <c r="AW1063" i="19"/>
  <c r="AX1063" i="19"/>
  <c r="AY1063" i="19"/>
  <c r="AZ1063" i="19"/>
  <c r="BA1063" i="19"/>
  <c r="BB1063" i="19"/>
  <c r="BC1063" i="19"/>
  <c r="BD1063" i="19"/>
  <c r="AV1064" i="19"/>
  <c r="AW1064" i="19"/>
  <c r="AX1064" i="19"/>
  <c r="AY1064" i="19"/>
  <c r="AZ1064" i="19"/>
  <c r="BA1064" i="19"/>
  <c r="BB1064" i="19"/>
  <c r="BC1064" i="19"/>
  <c r="BD1064" i="19"/>
  <c r="AV1065" i="19"/>
  <c r="AW1065" i="19"/>
  <c r="AX1065" i="19"/>
  <c r="AY1065" i="19"/>
  <c r="AZ1065" i="19"/>
  <c r="BA1065" i="19"/>
  <c r="BB1065" i="19"/>
  <c r="BC1065" i="19"/>
  <c r="BD1065" i="19"/>
  <c r="AV1066" i="19"/>
  <c r="AW1066" i="19"/>
  <c r="AX1066" i="19"/>
  <c r="AY1066" i="19"/>
  <c r="AZ1066" i="19"/>
  <c r="BA1066" i="19"/>
  <c r="BB1066" i="19"/>
  <c r="BC1066" i="19"/>
  <c r="BD1066" i="19"/>
  <c r="AV1067" i="19"/>
  <c r="AW1067" i="19"/>
  <c r="AX1067" i="19"/>
  <c r="AY1067" i="19"/>
  <c r="AZ1067" i="19"/>
  <c r="BA1067" i="19"/>
  <c r="BB1067" i="19"/>
  <c r="BC1067" i="19"/>
  <c r="BD1067" i="19"/>
  <c r="AV1068" i="19"/>
  <c r="AW1068" i="19"/>
  <c r="AX1068" i="19"/>
  <c r="AY1068" i="19"/>
  <c r="AZ1068" i="19"/>
  <c r="BA1068" i="19"/>
  <c r="BB1068" i="19"/>
  <c r="BC1068" i="19"/>
  <c r="BD1068" i="19"/>
  <c r="AV1069" i="19"/>
  <c r="AW1069" i="19"/>
  <c r="AX1069" i="19"/>
  <c r="AY1069" i="19"/>
  <c r="AZ1069" i="19"/>
  <c r="BA1069" i="19"/>
  <c r="BB1069" i="19"/>
  <c r="BC1069" i="19"/>
  <c r="BD1069" i="19"/>
  <c r="AV1070" i="19"/>
  <c r="AW1070" i="19"/>
  <c r="AX1070" i="19"/>
  <c r="AY1070" i="19"/>
  <c r="AZ1070" i="19"/>
  <c r="BA1070" i="19"/>
  <c r="BB1070" i="19"/>
  <c r="BC1070" i="19"/>
  <c r="BD1070" i="19"/>
  <c r="AV1071" i="19"/>
  <c r="AW1071" i="19"/>
  <c r="AX1071" i="19"/>
  <c r="AY1071" i="19"/>
  <c r="AZ1071" i="19"/>
  <c r="BA1071" i="19"/>
  <c r="BB1071" i="19"/>
  <c r="BC1071" i="19"/>
  <c r="BD1071" i="19"/>
  <c r="AV1072" i="19"/>
  <c r="AW1072" i="19"/>
  <c r="AX1072" i="19"/>
  <c r="AY1072" i="19"/>
  <c r="AZ1072" i="19"/>
  <c r="BA1072" i="19"/>
  <c r="BB1072" i="19"/>
  <c r="BC1072" i="19"/>
  <c r="BD1072" i="19"/>
  <c r="AV1073" i="19"/>
  <c r="AW1073" i="19"/>
  <c r="AX1073" i="19"/>
  <c r="AY1073" i="19"/>
  <c r="AZ1073" i="19"/>
  <c r="BA1073" i="19"/>
  <c r="BB1073" i="19"/>
  <c r="BC1073" i="19"/>
  <c r="BD1073" i="19"/>
  <c r="AV1074" i="19"/>
  <c r="AW1074" i="19"/>
  <c r="AX1074" i="19"/>
  <c r="AY1074" i="19"/>
  <c r="AZ1074" i="19"/>
  <c r="BA1074" i="19"/>
  <c r="BB1074" i="19"/>
  <c r="BC1074" i="19"/>
  <c r="BD1074" i="19"/>
  <c r="AV1075" i="19"/>
  <c r="AW1075" i="19"/>
  <c r="AX1075" i="19"/>
  <c r="AY1075" i="19"/>
  <c r="AZ1075" i="19"/>
  <c r="BA1075" i="19"/>
  <c r="BB1075" i="19"/>
  <c r="BC1075" i="19"/>
  <c r="BD1075" i="19"/>
  <c r="AV1076" i="19"/>
  <c r="AW1076" i="19"/>
  <c r="AX1076" i="19"/>
  <c r="AY1076" i="19"/>
  <c r="AZ1076" i="19"/>
  <c r="BA1076" i="19"/>
  <c r="BB1076" i="19"/>
  <c r="BC1076" i="19"/>
  <c r="BD1076" i="19"/>
  <c r="AV1077" i="19"/>
  <c r="AW1077" i="19"/>
  <c r="AX1077" i="19"/>
  <c r="AY1077" i="19"/>
  <c r="AZ1077" i="19"/>
  <c r="BA1077" i="19"/>
  <c r="BB1077" i="19"/>
  <c r="BC1077" i="19"/>
  <c r="BD1077" i="19"/>
  <c r="AV1078" i="19"/>
  <c r="AW1078" i="19"/>
  <c r="AX1078" i="19"/>
  <c r="AY1078" i="19"/>
  <c r="AZ1078" i="19"/>
  <c r="BA1078" i="19"/>
  <c r="BB1078" i="19"/>
  <c r="BC1078" i="19"/>
  <c r="BD1078" i="19"/>
  <c r="AV1079" i="19"/>
  <c r="AW1079" i="19"/>
  <c r="AX1079" i="19"/>
  <c r="AY1079" i="19"/>
  <c r="AZ1079" i="19"/>
  <c r="BA1079" i="19"/>
  <c r="BB1079" i="19"/>
  <c r="BC1079" i="19"/>
  <c r="BD1079" i="19"/>
  <c r="AV1080" i="19"/>
  <c r="AW1080" i="19"/>
  <c r="AX1080" i="19"/>
  <c r="AY1080" i="19"/>
  <c r="AZ1080" i="19"/>
  <c r="BA1080" i="19"/>
  <c r="BB1080" i="19"/>
  <c r="BC1080" i="19"/>
  <c r="BD1080" i="19"/>
  <c r="AW64" i="19"/>
  <c r="AX64" i="19"/>
  <c r="AY64" i="19"/>
  <c r="F64" i="19" s="1"/>
  <c r="AZ64" i="19"/>
  <c r="G64" i="19" s="1"/>
  <c r="BA64" i="19"/>
  <c r="BB64" i="19"/>
  <c r="BC64" i="19"/>
  <c r="J64" i="19" s="1"/>
  <c r="BD64" i="19"/>
  <c r="K64" i="19" s="1"/>
  <c r="AV64" i="19"/>
  <c r="AL996" i="19"/>
  <c r="AL997" i="19"/>
  <c r="AL998" i="19"/>
  <c r="AL999" i="19"/>
  <c r="AL1000" i="19"/>
  <c r="AL1001" i="19"/>
  <c r="AL1002" i="19"/>
  <c r="AL1003" i="19"/>
  <c r="AL1004" i="19"/>
  <c r="AL1005" i="19"/>
  <c r="AL1006" i="19"/>
  <c r="AL1007" i="19"/>
  <c r="AU1007" i="19" s="1"/>
  <c r="AL1008" i="19"/>
  <c r="AL1009" i="19"/>
  <c r="AL1010" i="19"/>
  <c r="AL1011" i="19"/>
  <c r="AL1012" i="19"/>
  <c r="AL1013" i="19"/>
  <c r="AL1014" i="19"/>
  <c r="AL1015" i="19"/>
  <c r="AL1016" i="19"/>
  <c r="AL1017" i="19"/>
  <c r="AL1018" i="19"/>
  <c r="AL1019" i="19"/>
  <c r="AL1020" i="19"/>
  <c r="AL1021" i="19"/>
  <c r="AL1022" i="19"/>
  <c r="AL1023" i="19"/>
  <c r="AL1024" i="19"/>
  <c r="AL1025" i="19"/>
  <c r="AL1026" i="19"/>
  <c r="AL1027" i="19"/>
  <c r="AL1028" i="19"/>
  <c r="AL1029" i="19"/>
  <c r="AL1030" i="19"/>
  <c r="AL1031" i="19"/>
  <c r="AL1032" i="19"/>
  <c r="AL1033" i="19"/>
  <c r="AL1034" i="19"/>
  <c r="AL1035" i="19"/>
  <c r="AL1036" i="19"/>
  <c r="AL1037" i="19"/>
  <c r="AL1038" i="19"/>
  <c r="AL1039" i="19"/>
  <c r="AL1040" i="19"/>
  <c r="AL1041" i="19"/>
  <c r="AL1042" i="19"/>
  <c r="AL1043" i="19"/>
  <c r="AL1044" i="19"/>
  <c r="AL1045" i="19"/>
  <c r="AL1046" i="19"/>
  <c r="AL1047" i="19"/>
  <c r="AL1048" i="19"/>
  <c r="AL1049" i="19"/>
  <c r="AL1050" i="19"/>
  <c r="AL1051" i="19"/>
  <c r="AL1052" i="19"/>
  <c r="AL1053" i="19"/>
  <c r="AL1054" i="19"/>
  <c r="AL1055" i="19"/>
  <c r="AL1056" i="19"/>
  <c r="AL1057" i="19"/>
  <c r="AL1058" i="19"/>
  <c r="AL1059" i="19"/>
  <c r="AL1060" i="19"/>
  <c r="AL1061" i="19"/>
  <c r="AL1062" i="19"/>
  <c r="AL1063" i="19"/>
  <c r="AL1064" i="19"/>
  <c r="AL1065" i="19"/>
  <c r="AL1066" i="19"/>
  <c r="AL1067" i="19"/>
  <c r="AL1068" i="19"/>
  <c r="AL1069" i="19"/>
  <c r="AL1070" i="19"/>
  <c r="AL1071" i="19"/>
  <c r="AL1072" i="19"/>
  <c r="AL1073" i="19"/>
  <c r="AL1074" i="19"/>
  <c r="AL1075" i="19"/>
  <c r="AL1076" i="19"/>
  <c r="AL1077" i="19"/>
  <c r="AL1078" i="19"/>
  <c r="AL1079" i="19"/>
  <c r="AL1080" i="19"/>
  <c r="AL995" i="19"/>
  <c r="T995" i="19"/>
  <c r="T996" i="19"/>
  <c r="T997" i="19"/>
  <c r="T998" i="19"/>
  <c r="T999" i="19"/>
  <c r="T1000" i="19"/>
  <c r="T1001" i="19"/>
  <c r="T1002" i="19"/>
  <c r="T1003" i="19"/>
  <c r="T1004" i="19"/>
  <c r="T1005" i="19"/>
  <c r="T1006" i="19"/>
  <c r="T1007" i="19"/>
  <c r="T1008" i="19"/>
  <c r="T1009" i="19"/>
  <c r="T1010" i="19"/>
  <c r="T1011" i="19"/>
  <c r="T1012" i="19"/>
  <c r="T1013" i="19"/>
  <c r="T1014" i="19"/>
  <c r="T1015" i="19"/>
  <c r="T1016" i="19"/>
  <c r="T1017" i="19"/>
  <c r="T1018" i="19"/>
  <c r="T1019" i="19"/>
  <c r="T1020" i="19"/>
  <c r="T1021" i="19"/>
  <c r="T1022" i="19"/>
  <c r="T1023" i="19"/>
  <c r="T1024" i="19"/>
  <c r="T1025" i="19"/>
  <c r="T1026" i="19"/>
  <c r="T1027" i="19"/>
  <c r="T1028" i="19"/>
  <c r="T1029" i="19"/>
  <c r="T1030" i="19"/>
  <c r="T1031" i="19"/>
  <c r="T1032" i="19"/>
  <c r="T1033" i="19"/>
  <c r="T1034" i="19"/>
  <c r="T1035" i="19"/>
  <c r="T1036" i="19"/>
  <c r="T1037" i="19"/>
  <c r="T1038" i="19"/>
  <c r="T1039" i="19"/>
  <c r="T1040" i="19"/>
  <c r="T1041" i="19"/>
  <c r="T1042" i="19"/>
  <c r="T1043" i="19"/>
  <c r="T1044" i="19"/>
  <c r="T1045" i="19"/>
  <c r="T1046" i="19"/>
  <c r="T1047" i="19"/>
  <c r="T1048" i="19"/>
  <c r="T1049" i="19"/>
  <c r="T1050" i="19"/>
  <c r="T1051" i="19"/>
  <c r="T1053" i="19"/>
  <c r="T1054" i="19"/>
  <c r="T1055" i="19"/>
  <c r="T1056" i="19"/>
  <c r="T1057" i="19"/>
  <c r="T1058" i="19"/>
  <c r="T1059" i="19"/>
  <c r="T1060" i="19"/>
  <c r="T1061" i="19"/>
  <c r="T1062" i="19"/>
  <c r="T1063" i="19"/>
  <c r="T1064" i="19"/>
  <c r="T1065" i="19"/>
  <c r="T1066" i="19"/>
  <c r="T1067" i="19"/>
  <c r="T1068" i="19"/>
  <c r="T1069" i="19"/>
  <c r="T1070" i="19"/>
  <c r="T1071" i="19"/>
  <c r="T1072" i="19"/>
  <c r="T1073" i="19"/>
  <c r="T1074" i="19"/>
  <c r="T1075" i="19"/>
  <c r="T1076" i="19"/>
  <c r="T1077" i="19"/>
  <c r="T1078" i="19"/>
  <c r="T1079" i="19"/>
  <c r="T1080" i="19"/>
  <c r="T1052" i="19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64" i="22"/>
  <c r="A3" i="22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2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" i="22"/>
  <c r="AU995" i="19"/>
  <c r="AU996" i="19"/>
  <c r="AU997" i="19"/>
  <c r="AU998" i="19"/>
  <c r="AU999" i="19"/>
  <c r="AU1000" i="19"/>
  <c r="AU1001" i="19"/>
  <c r="AU1002" i="19"/>
  <c r="AU1003" i="19"/>
  <c r="AU1004" i="19"/>
  <c r="AU1005" i="19"/>
  <c r="AU1006" i="19"/>
  <c r="AU1008" i="19"/>
  <c r="AU1009" i="19"/>
  <c r="AU1010" i="19"/>
  <c r="AU1011" i="19"/>
  <c r="AU1012" i="19"/>
  <c r="AU1013" i="19"/>
  <c r="AU1014" i="19"/>
  <c r="AU1015" i="19"/>
  <c r="AU1016" i="19"/>
  <c r="AU1017" i="19"/>
  <c r="AU1018" i="19"/>
  <c r="AU1019" i="19"/>
  <c r="AU1020" i="19"/>
  <c r="AU1021" i="19"/>
  <c r="AU1022" i="19"/>
  <c r="AU1023" i="19"/>
  <c r="AU1024" i="19"/>
  <c r="AU1025" i="19"/>
  <c r="AU1026" i="19"/>
  <c r="AU1027" i="19"/>
  <c r="AU1028" i="19"/>
  <c r="AU1029" i="19"/>
  <c r="AU1030" i="19"/>
  <c r="AU1031" i="19"/>
  <c r="AU1032" i="19"/>
  <c r="AU1033" i="19"/>
  <c r="AU1034" i="19"/>
  <c r="AU1035" i="19"/>
  <c r="AU1036" i="19"/>
  <c r="AU1037" i="19"/>
  <c r="AU1038" i="19"/>
  <c r="AU1039" i="19"/>
  <c r="AU1040" i="19"/>
  <c r="AU1041" i="19"/>
  <c r="AU1042" i="19"/>
  <c r="AU1043" i="19"/>
  <c r="AU1044" i="19"/>
  <c r="AU1045" i="19"/>
  <c r="AU1046" i="19"/>
  <c r="AU1047" i="19"/>
  <c r="AU1048" i="19"/>
  <c r="AU1049" i="19"/>
  <c r="AU1050" i="19"/>
  <c r="AU1051" i="19"/>
  <c r="AU1052" i="19"/>
  <c r="AU1053" i="19"/>
  <c r="AU1054" i="19"/>
  <c r="AU1055" i="19"/>
  <c r="AU1056" i="19"/>
  <c r="AU1057" i="19"/>
  <c r="AU1058" i="19"/>
  <c r="AU1059" i="19"/>
  <c r="AU1060" i="19"/>
  <c r="AU1061" i="19"/>
  <c r="AU1062" i="19"/>
  <c r="AU1063" i="19"/>
  <c r="AU1064" i="19"/>
  <c r="AU1065" i="19"/>
  <c r="AU1066" i="19"/>
  <c r="AU1067" i="19"/>
  <c r="AU1068" i="19"/>
  <c r="AU1069" i="19"/>
  <c r="AU1070" i="19"/>
  <c r="AU1071" i="19"/>
  <c r="AU1072" i="19"/>
  <c r="AU1073" i="19"/>
  <c r="AU1074" i="19"/>
  <c r="AU1075" i="19"/>
  <c r="AU1076" i="19"/>
  <c r="AU1077" i="19"/>
  <c r="AU1078" i="19"/>
  <c r="AU1079" i="19"/>
  <c r="AU1080" i="19"/>
  <c r="D64" i="19"/>
  <c r="E64" i="19"/>
  <c r="H64" i="19"/>
  <c r="I64" i="19"/>
  <c r="C64" i="19"/>
  <c r="D4" i="19"/>
  <c r="E4" i="19"/>
  <c r="F4" i="19"/>
  <c r="G4" i="19"/>
  <c r="H4" i="19"/>
  <c r="I4" i="19"/>
  <c r="J4" i="19"/>
  <c r="K4" i="19"/>
  <c r="C4" i="19"/>
  <c r="C5" i="19" s="1"/>
  <c r="BD1" i="19"/>
  <c r="AC1" i="19"/>
  <c r="AL2" i="19"/>
  <c r="AU2" i="19" s="1"/>
  <c r="BD2" i="19" s="1"/>
  <c r="T2" i="19"/>
  <c r="AC2" i="19" s="1"/>
  <c r="U65" i="19"/>
  <c r="V65" i="19"/>
  <c r="W65" i="19"/>
  <c r="X65" i="19"/>
  <c r="Y65" i="19"/>
  <c r="Z65" i="19"/>
  <c r="AA65" i="19"/>
  <c r="AB65" i="19"/>
  <c r="U66" i="19"/>
  <c r="V66" i="19"/>
  <c r="W66" i="19"/>
  <c r="X66" i="19"/>
  <c r="Y66" i="19"/>
  <c r="Z66" i="19"/>
  <c r="AA66" i="19"/>
  <c r="AB66" i="19"/>
  <c r="U67" i="19"/>
  <c r="V67" i="19"/>
  <c r="W67" i="19"/>
  <c r="X67" i="19"/>
  <c r="Y67" i="19"/>
  <c r="Z67" i="19"/>
  <c r="AA67" i="19"/>
  <c r="AB67" i="19"/>
  <c r="U68" i="19"/>
  <c r="V68" i="19"/>
  <c r="W68" i="19"/>
  <c r="X68" i="19"/>
  <c r="Y68" i="19"/>
  <c r="Z68" i="19"/>
  <c r="AA68" i="19"/>
  <c r="AB68" i="19"/>
  <c r="U69" i="19"/>
  <c r="V69" i="19"/>
  <c r="W69" i="19"/>
  <c r="X69" i="19"/>
  <c r="Y69" i="19"/>
  <c r="Z69" i="19"/>
  <c r="AA69" i="19"/>
  <c r="AB69" i="19"/>
  <c r="U70" i="19"/>
  <c r="V70" i="19"/>
  <c r="W70" i="19"/>
  <c r="X70" i="19"/>
  <c r="Y70" i="19"/>
  <c r="Z70" i="19"/>
  <c r="AA70" i="19"/>
  <c r="AB70" i="19"/>
  <c r="U71" i="19"/>
  <c r="V71" i="19"/>
  <c r="W71" i="19"/>
  <c r="X71" i="19"/>
  <c r="Y71" i="19"/>
  <c r="Z71" i="19"/>
  <c r="AA71" i="19"/>
  <c r="AB71" i="19"/>
  <c r="U72" i="19"/>
  <c r="V72" i="19"/>
  <c r="W72" i="19"/>
  <c r="X72" i="19"/>
  <c r="Y72" i="19"/>
  <c r="Z72" i="19"/>
  <c r="AA72" i="19"/>
  <c r="AB72" i="19"/>
  <c r="U73" i="19"/>
  <c r="V73" i="19"/>
  <c r="W73" i="19"/>
  <c r="X73" i="19"/>
  <c r="Y73" i="19"/>
  <c r="Z73" i="19"/>
  <c r="AA73" i="19"/>
  <c r="AB73" i="19"/>
  <c r="U74" i="19"/>
  <c r="V74" i="19"/>
  <c r="W74" i="19"/>
  <c r="X74" i="19"/>
  <c r="Y74" i="19"/>
  <c r="Z74" i="19"/>
  <c r="AA74" i="19"/>
  <c r="AB74" i="19"/>
  <c r="U75" i="19"/>
  <c r="V75" i="19"/>
  <c r="W75" i="19"/>
  <c r="X75" i="19"/>
  <c r="Y75" i="19"/>
  <c r="Z75" i="19"/>
  <c r="AA75" i="19"/>
  <c r="AB75" i="19"/>
  <c r="U76" i="19"/>
  <c r="V76" i="19"/>
  <c r="W76" i="19"/>
  <c r="X76" i="19"/>
  <c r="Y76" i="19"/>
  <c r="Z76" i="19"/>
  <c r="AA76" i="19"/>
  <c r="AB76" i="19"/>
  <c r="U77" i="19"/>
  <c r="V77" i="19"/>
  <c r="W77" i="19"/>
  <c r="X77" i="19"/>
  <c r="Y77" i="19"/>
  <c r="Z77" i="19"/>
  <c r="AA77" i="19"/>
  <c r="AB77" i="19"/>
  <c r="U78" i="19"/>
  <c r="V78" i="19"/>
  <c r="W78" i="19"/>
  <c r="X78" i="19"/>
  <c r="Y78" i="19"/>
  <c r="Z78" i="19"/>
  <c r="AA78" i="19"/>
  <c r="AB78" i="19"/>
  <c r="U79" i="19"/>
  <c r="V79" i="19"/>
  <c r="W79" i="19"/>
  <c r="X79" i="19"/>
  <c r="Y79" i="19"/>
  <c r="Z79" i="19"/>
  <c r="AA79" i="19"/>
  <c r="AB79" i="19"/>
  <c r="U80" i="19"/>
  <c r="V80" i="19"/>
  <c r="W80" i="19"/>
  <c r="X80" i="19"/>
  <c r="Y80" i="19"/>
  <c r="Z80" i="19"/>
  <c r="AA80" i="19"/>
  <c r="AB80" i="19"/>
  <c r="U81" i="19"/>
  <c r="V81" i="19"/>
  <c r="W81" i="19"/>
  <c r="X81" i="19"/>
  <c r="Y81" i="19"/>
  <c r="Z81" i="19"/>
  <c r="AA81" i="19"/>
  <c r="AB81" i="19"/>
  <c r="U82" i="19"/>
  <c r="V82" i="19"/>
  <c r="W82" i="19"/>
  <c r="X82" i="19"/>
  <c r="Y82" i="19"/>
  <c r="Z82" i="19"/>
  <c r="AA82" i="19"/>
  <c r="AB82" i="19"/>
  <c r="U83" i="19"/>
  <c r="V83" i="19"/>
  <c r="W83" i="19"/>
  <c r="X83" i="19"/>
  <c r="Y83" i="19"/>
  <c r="Z83" i="19"/>
  <c r="AA83" i="19"/>
  <c r="AB83" i="19"/>
  <c r="U84" i="19"/>
  <c r="V84" i="19"/>
  <c r="W84" i="19"/>
  <c r="X84" i="19"/>
  <c r="Y84" i="19"/>
  <c r="Z84" i="19"/>
  <c r="AA84" i="19"/>
  <c r="AB84" i="19"/>
  <c r="U85" i="19"/>
  <c r="V85" i="19"/>
  <c r="W85" i="19"/>
  <c r="X85" i="19"/>
  <c r="Y85" i="19"/>
  <c r="Z85" i="19"/>
  <c r="AA85" i="19"/>
  <c r="AB85" i="19"/>
  <c r="U86" i="19"/>
  <c r="V86" i="19"/>
  <c r="W86" i="19"/>
  <c r="X86" i="19"/>
  <c r="Y86" i="19"/>
  <c r="Z86" i="19"/>
  <c r="AA86" i="19"/>
  <c r="AB86" i="19"/>
  <c r="U87" i="19"/>
  <c r="V87" i="19"/>
  <c r="W87" i="19"/>
  <c r="X87" i="19"/>
  <c r="Y87" i="19"/>
  <c r="Z87" i="19"/>
  <c r="AA87" i="19"/>
  <c r="AB87" i="19"/>
  <c r="U88" i="19"/>
  <c r="V88" i="19"/>
  <c r="W88" i="19"/>
  <c r="X88" i="19"/>
  <c r="Y88" i="19"/>
  <c r="Z88" i="19"/>
  <c r="AA88" i="19"/>
  <c r="AB88" i="19"/>
  <c r="U89" i="19"/>
  <c r="V89" i="19"/>
  <c r="W89" i="19"/>
  <c r="X89" i="19"/>
  <c r="Y89" i="19"/>
  <c r="Z89" i="19"/>
  <c r="AA89" i="19"/>
  <c r="AB89" i="19"/>
  <c r="U90" i="19"/>
  <c r="V90" i="19"/>
  <c r="W90" i="19"/>
  <c r="X90" i="19"/>
  <c r="Y90" i="19"/>
  <c r="Z90" i="19"/>
  <c r="AA90" i="19"/>
  <c r="AB90" i="19"/>
  <c r="U91" i="19"/>
  <c r="V91" i="19"/>
  <c r="W91" i="19"/>
  <c r="X91" i="19"/>
  <c r="Y91" i="19"/>
  <c r="Z91" i="19"/>
  <c r="AA91" i="19"/>
  <c r="AB91" i="19"/>
  <c r="U92" i="19"/>
  <c r="V92" i="19"/>
  <c r="W92" i="19"/>
  <c r="X92" i="19"/>
  <c r="Y92" i="19"/>
  <c r="Z92" i="19"/>
  <c r="AA92" i="19"/>
  <c r="AB92" i="19"/>
  <c r="U93" i="19"/>
  <c r="V93" i="19"/>
  <c r="W93" i="19"/>
  <c r="X93" i="19"/>
  <c r="Y93" i="19"/>
  <c r="Z93" i="19"/>
  <c r="AA93" i="19"/>
  <c r="AB93" i="19"/>
  <c r="U94" i="19"/>
  <c r="V94" i="19"/>
  <c r="W94" i="19"/>
  <c r="X94" i="19"/>
  <c r="Y94" i="19"/>
  <c r="Z94" i="19"/>
  <c r="AA94" i="19"/>
  <c r="AB94" i="19"/>
  <c r="U95" i="19"/>
  <c r="V95" i="19"/>
  <c r="W95" i="19"/>
  <c r="X95" i="19"/>
  <c r="Y95" i="19"/>
  <c r="Z95" i="19"/>
  <c r="AA95" i="19"/>
  <c r="AB95" i="19"/>
  <c r="U96" i="19"/>
  <c r="V96" i="19"/>
  <c r="W96" i="19"/>
  <c r="X96" i="19"/>
  <c r="Y96" i="19"/>
  <c r="Z96" i="19"/>
  <c r="AA96" i="19"/>
  <c r="AB96" i="19"/>
  <c r="U97" i="19"/>
  <c r="V97" i="19"/>
  <c r="W97" i="19"/>
  <c r="X97" i="19"/>
  <c r="Y97" i="19"/>
  <c r="Z97" i="19"/>
  <c r="AA97" i="19"/>
  <c r="AB97" i="19"/>
  <c r="U98" i="19"/>
  <c r="V98" i="19"/>
  <c r="W98" i="19"/>
  <c r="X98" i="19"/>
  <c r="Y98" i="19"/>
  <c r="Z98" i="19"/>
  <c r="AA98" i="19"/>
  <c r="AB98" i="19"/>
  <c r="U99" i="19"/>
  <c r="V99" i="19"/>
  <c r="W99" i="19"/>
  <c r="X99" i="19"/>
  <c r="Y99" i="19"/>
  <c r="Z99" i="19"/>
  <c r="AA99" i="19"/>
  <c r="AB99" i="19"/>
  <c r="U100" i="19"/>
  <c r="V100" i="19"/>
  <c r="W100" i="19"/>
  <c r="X100" i="19"/>
  <c r="Y100" i="19"/>
  <c r="Z100" i="19"/>
  <c r="AA100" i="19"/>
  <c r="AB100" i="19"/>
  <c r="U101" i="19"/>
  <c r="V101" i="19"/>
  <c r="W101" i="19"/>
  <c r="X101" i="19"/>
  <c r="Y101" i="19"/>
  <c r="Z101" i="19"/>
  <c r="AA101" i="19"/>
  <c r="AB101" i="19"/>
  <c r="U102" i="19"/>
  <c r="V102" i="19"/>
  <c r="W102" i="19"/>
  <c r="X102" i="19"/>
  <c r="Y102" i="19"/>
  <c r="Z102" i="19"/>
  <c r="AA102" i="19"/>
  <c r="AB102" i="19"/>
  <c r="U103" i="19"/>
  <c r="V103" i="19"/>
  <c r="W103" i="19"/>
  <c r="X103" i="19"/>
  <c r="Y103" i="19"/>
  <c r="Z103" i="19"/>
  <c r="AA103" i="19"/>
  <c r="AB103" i="19"/>
  <c r="U104" i="19"/>
  <c r="V104" i="19"/>
  <c r="W104" i="19"/>
  <c r="X104" i="19"/>
  <c r="Y104" i="19"/>
  <c r="Z104" i="19"/>
  <c r="AA104" i="19"/>
  <c r="AB104" i="19"/>
  <c r="U105" i="19"/>
  <c r="V105" i="19"/>
  <c r="W105" i="19"/>
  <c r="X105" i="19"/>
  <c r="Y105" i="19"/>
  <c r="Z105" i="19"/>
  <c r="AA105" i="19"/>
  <c r="AB105" i="19"/>
  <c r="U106" i="19"/>
  <c r="V106" i="19"/>
  <c r="W106" i="19"/>
  <c r="X106" i="19"/>
  <c r="Y106" i="19"/>
  <c r="Z106" i="19"/>
  <c r="AA106" i="19"/>
  <c r="AB106" i="19"/>
  <c r="U107" i="19"/>
  <c r="V107" i="19"/>
  <c r="W107" i="19"/>
  <c r="X107" i="19"/>
  <c r="Y107" i="19"/>
  <c r="Z107" i="19"/>
  <c r="AA107" i="19"/>
  <c r="AB107" i="19"/>
  <c r="U108" i="19"/>
  <c r="V108" i="19"/>
  <c r="W108" i="19"/>
  <c r="X108" i="19"/>
  <c r="Y108" i="19"/>
  <c r="Z108" i="19"/>
  <c r="AA108" i="19"/>
  <c r="AB108" i="19"/>
  <c r="U109" i="19"/>
  <c r="V109" i="19"/>
  <c r="W109" i="19"/>
  <c r="X109" i="19"/>
  <c r="Y109" i="19"/>
  <c r="Z109" i="19"/>
  <c r="AA109" i="19"/>
  <c r="AB109" i="19"/>
  <c r="U110" i="19"/>
  <c r="V110" i="19"/>
  <c r="W110" i="19"/>
  <c r="X110" i="19"/>
  <c r="Y110" i="19"/>
  <c r="Z110" i="19"/>
  <c r="AA110" i="19"/>
  <c r="AB110" i="19"/>
  <c r="U111" i="19"/>
  <c r="V111" i="19"/>
  <c r="W111" i="19"/>
  <c r="X111" i="19"/>
  <c r="Y111" i="19"/>
  <c r="Z111" i="19"/>
  <c r="AA111" i="19"/>
  <c r="AB111" i="19"/>
  <c r="U112" i="19"/>
  <c r="V112" i="19"/>
  <c r="W112" i="19"/>
  <c r="X112" i="19"/>
  <c r="Y112" i="19"/>
  <c r="Z112" i="19"/>
  <c r="AA112" i="19"/>
  <c r="AB112" i="19"/>
  <c r="U113" i="19"/>
  <c r="V113" i="19"/>
  <c r="W113" i="19"/>
  <c r="X113" i="19"/>
  <c r="Y113" i="19"/>
  <c r="Z113" i="19"/>
  <c r="AA113" i="19"/>
  <c r="AB113" i="19"/>
  <c r="U114" i="19"/>
  <c r="V114" i="19"/>
  <c r="W114" i="19"/>
  <c r="X114" i="19"/>
  <c r="Y114" i="19"/>
  <c r="Z114" i="19"/>
  <c r="AA114" i="19"/>
  <c r="AB114" i="19"/>
  <c r="U115" i="19"/>
  <c r="V115" i="19"/>
  <c r="W115" i="19"/>
  <c r="X115" i="19"/>
  <c r="Y115" i="19"/>
  <c r="Z115" i="19"/>
  <c r="AA115" i="19"/>
  <c r="AB115" i="19"/>
  <c r="U116" i="19"/>
  <c r="V116" i="19"/>
  <c r="W116" i="19"/>
  <c r="X116" i="19"/>
  <c r="Y116" i="19"/>
  <c r="Z116" i="19"/>
  <c r="AA116" i="19"/>
  <c r="AB116" i="19"/>
  <c r="U117" i="19"/>
  <c r="V117" i="19"/>
  <c r="W117" i="19"/>
  <c r="X117" i="19"/>
  <c r="Y117" i="19"/>
  <c r="Z117" i="19"/>
  <c r="AA117" i="19"/>
  <c r="AB117" i="19"/>
  <c r="U118" i="19"/>
  <c r="V118" i="19"/>
  <c r="W118" i="19"/>
  <c r="X118" i="19"/>
  <c r="Y118" i="19"/>
  <c r="Z118" i="19"/>
  <c r="AA118" i="19"/>
  <c r="AB118" i="19"/>
  <c r="U119" i="19"/>
  <c r="V119" i="19"/>
  <c r="W119" i="19"/>
  <c r="X119" i="19"/>
  <c r="Y119" i="19"/>
  <c r="Z119" i="19"/>
  <c r="AA119" i="19"/>
  <c r="AB119" i="19"/>
  <c r="U120" i="19"/>
  <c r="V120" i="19"/>
  <c r="W120" i="19"/>
  <c r="X120" i="19"/>
  <c r="Y120" i="19"/>
  <c r="Z120" i="19"/>
  <c r="AA120" i="19"/>
  <c r="AB120" i="19"/>
  <c r="U121" i="19"/>
  <c r="V121" i="19"/>
  <c r="W121" i="19"/>
  <c r="X121" i="19"/>
  <c r="Y121" i="19"/>
  <c r="Z121" i="19"/>
  <c r="AA121" i="19"/>
  <c r="AB121" i="19"/>
  <c r="U122" i="19"/>
  <c r="V122" i="19"/>
  <c r="W122" i="19"/>
  <c r="X122" i="19"/>
  <c r="Y122" i="19"/>
  <c r="Z122" i="19"/>
  <c r="AA122" i="19"/>
  <c r="AB122" i="19"/>
  <c r="U123" i="19"/>
  <c r="V123" i="19"/>
  <c r="W123" i="19"/>
  <c r="X123" i="19"/>
  <c r="Y123" i="19"/>
  <c r="Z123" i="19"/>
  <c r="AA123" i="19"/>
  <c r="AB123" i="19"/>
  <c r="U124" i="19"/>
  <c r="V124" i="19"/>
  <c r="W124" i="19"/>
  <c r="X124" i="19"/>
  <c r="Y124" i="19"/>
  <c r="Z124" i="19"/>
  <c r="AA124" i="19"/>
  <c r="AB124" i="19"/>
  <c r="U125" i="19"/>
  <c r="V125" i="19"/>
  <c r="W125" i="19"/>
  <c r="X125" i="19"/>
  <c r="Y125" i="19"/>
  <c r="Z125" i="19"/>
  <c r="AA125" i="19"/>
  <c r="AB125" i="19"/>
  <c r="U126" i="19"/>
  <c r="V126" i="19"/>
  <c r="W126" i="19"/>
  <c r="X126" i="19"/>
  <c r="Y126" i="19"/>
  <c r="Z126" i="19"/>
  <c r="AA126" i="19"/>
  <c r="AB126" i="19"/>
  <c r="U127" i="19"/>
  <c r="V127" i="19"/>
  <c r="W127" i="19"/>
  <c r="X127" i="19"/>
  <c r="Y127" i="19"/>
  <c r="Z127" i="19"/>
  <c r="AA127" i="19"/>
  <c r="AB127" i="19"/>
  <c r="U128" i="19"/>
  <c r="V128" i="19"/>
  <c r="W128" i="19"/>
  <c r="X128" i="19"/>
  <c r="Y128" i="19"/>
  <c r="Z128" i="19"/>
  <c r="AA128" i="19"/>
  <c r="AB128" i="19"/>
  <c r="U129" i="19"/>
  <c r="V129" i="19"/>
  <c r="W129" i="19"/>
  <c r="X129" i="19"/>
  <c r="Y129" i="19"/>
  <c r="Z129" i="19"/>
  <c r="AA129" i="19"/>
  <c r="AB129" i="19"/>
  <c r="U130" i="19"/>
  <c r="V130" i="19"/>
  <c r="W130" i="19"/>
  <c r="X130" i="19"/>
  <c r="Y130" i="19"/>
  <c r="Z130" i="19"/>
  <c r="AA130" i="19"/>
  <c r="AB130" i="19"/>
  <c r="U131" i="19"/>
  <c r="V131" i="19"/>
  <c r="W131" i="19"/>
  <c r="X131" i="19"/>
  <c r="Y131" i="19"/>
  <c r="Z131" i="19"/>
  <c r="AA131" i="19"/>
  <c r="AB131" i="19"/>
  <c r="U132" i="19"/>
  <c r="V132" i="19"/>
  <c r="W132" i="19"/>
  <c r="X132" i="19"/>
  <c r="Y132" i="19"/>
  <c r="Z132" i="19"/>
  <c r="AA132" i="19"/>
  <c r="AB132" i="19"/>
  <c r="U133" i="19"/>
  <c r="V133" i="19"/>
  <c r="W133" i="19"/>
  <c r="X133" i="19"/>
  <c r="Y133" i="19"/>
  <c r="Z133" i="19"/>
  <c r="AA133" i="19"/>
  <c r="AB133" i="19"/>
  <c r="U134" i="19"/>
  <c r="V134" i="19"/>
  <c r="W134" i="19"/>
  <c r="X134" i="19"/>
  <c r="Y134" i="19"/>
  <c r="Z134" i="19"/>
  <c r="AA134" i="19"/>
  <c r="AB134" i="19"/>
  <c r="U135" i="19"/>
  <c r="V135" i="19"/>
  <c r="W135" i="19"/>
  <c r="X135" i="19"/>
  <c r="Y135" i="19"/>
  <c r="Z135" i="19"/>
  <c r="AA135" i="19"/>
  <c r="AB135" i="19"/>
  <c r="U136" i="19"/>
  <c r="V136" i="19"/>
  <c r="W136" i="19"/>
  <c r="X136" i="19"/>
  <c r="Y136" i="19"/>
  <c r="Z136" i="19"/>
  <c r="AA136" i="19"/>
  <c r="AB136" i="19"/>
  <c r="U137" i="19"/>
  <c r="V137" i="19"/>
  <c r="W137" i="19"/>
  <c r="X137" i="19"/>
  <c r="Y137" i="19"/>
  <c r="Z137" i="19"/>
  <c r="AA137" i="19"/>
  <c r="AB137" i="19"/>
  <c r="U138" i="19"/>
  <c r="V138" i="19"/>
  <c r="W138" i="19"/>
  <c r="X138" i="19"/>
  <c r="Y138" i="19"/>
  <c r="Z138" i="19"/>
  <c r="AA138" i="19"/>
  <c r="AB138" i="19"/>
  <c r="U139" i="19"/>
  <c r="V139" i="19"/>
  <c r="W139" i="19"/>
  <c r="X139" i="19"/>
  <c r="Y139" i="19"/>
  <c r="Z139" i="19"/>
  <c r="AA139" i="19"/>
  <c r="AB139" i="19"/>
  <c r="U140" i="19"/>
  <c r="V140" i="19"/>
  <c r="W140" i="19"/>
  <c r="X140" i="19"/>
  <c r="Y140" i="19"/>
  <c r="Z140" i="19"/>
  <c r="AA140" i="19"/>
  <c r="AB140" i="19"/>
  <c r="U141" i="19"/>
  <c r="V141" i="19"/>
  <c r="W141" i="19"/>
  <c r="X141" i="19"/>
  <c r="Y141" i="19"/>
  <c r="Z141" i="19"/>
  <c r="AA141" i="19"/>
  <c r="AB141" i="19"/>
  <c r="U142" i="19"/>
  <c r="V142" i="19"/>
  <c r="W142" i="19"/>
  <c r="X142" i="19"/>
  <c r="Y142" i="19"/>
  <c r="Z142" i="19"/>
  <c r="AA142" i="19"/>
  <c r="AB142" i="19"/>
  <c r="U143" i="19"/>
  <c r="V143" i="19"/>
  <c r="W143" i="19"/>
  <c r="X143" i="19"/>
  <c r="Y143" i="19"/>
  <c r="Z143" i="19"/>
  <c r="AA143" i="19"/>
  <c r="AB143" i="19"/>
  <c r="U144" i="19"/>
  <c r="V144" i="19"/>
  <c r="W144" i="19"/>
  <c r="X144" i="19"/>
  <c r="Y144" i="19"/>
  <c r="Z144" i="19"/>
  <c r="AA144" i="19"/>
  <c r="AB144" i="19"/>
  <c r="U145" i="19"/>
  <c r="V145" i="19"/>
  <c r="W145" i="19"/>
  <c r="X145" i="19"/>
  <c r="Y145" i="19"/>
  <c r="Z145" i="19"/>
  <c r="AA145" i="19"/>
  <c r="AB145" i="19"/>
  <c r="U146" i="19"/>
  <c r="V146" i="19"/>
  <c r="W146" i="19"/>
  <c r="X146" i="19"/>
  <c r="Y146" i="19"/>
  <c r="Z146" i="19"/>
  <c r="AA146" i="19"/>
  <c r="AB146" i="19"/>
  <c r="U147" i="19"/>
  <c r="V147" i="19"/>
  <c r="W147" i="19"/>
  <c r="X147" i="19"/>
  <c r="Y147" i="19"/>
  <c r="Z147" i="19"/>
  <c r="AA147" i="19"/>
  <c r="AB147" i="19"/>
  <c r="U148" i="19"/>
  <c r="V148" i="19"/>
  <c r="W148" i="19"/>
  <c r="X148" i="19"/>
  <c r="Y148" i="19"/>
  <c r="Z148" i="19"/>
  <c r="AA148" i="19"/>
  <c r="AB148" i="19"/>
  <c r="U149" i="19"/>
  <c r="V149" i="19"/>
  <c r="W149" i="19"/>
  <c r="X149" i="19"/>
  <c r="Y149" i="19"/>
  <c r="Z149" i="19"/>
  <c r="AA149" i="19"/>
  <c r="AB149" i="19"/>
  <c r="U150" i="19"/>
  <c r="V150" i="19"/>
  <c r="W150" i="19"/>
  <c r="X150" i="19"/>
  <c r="Y150" i="19"/>
  <c r="Z150" i="19"/>
  <c r="AA150" i="19"/>
  <c r="AB150" i="19"/>
  <c r="U151" i="19"/>
  <c r="V151" i="19"/>
  <c r="W151" i="19"/>
  <c r="X151" i="19"/>
  <c r="Y151" i="19"/>
  <c r="Z151" i="19"/>
  <c r="AA151" i="19"/>
  <c r="AB151" i="19"/>
  <c r="U152" i="19"/>
  <c r="V152" i="19"/>
  <c r="W152" i="19"/>
  <c r="X152" i="19"/>
  <c r="Y152" i="19"/>
  <c r="Z152" i="19"/>
  <c r="AA152" i="19"/>
  <c r="AB152" i="19"/>
  <c r="U153" i="19"/>
  <c r="V153" i="19"/>
  <c r="W153" i="19"/>
  <c r="X153" i="19"/>
  <c r="Y153" i="19"/>
  <c r="Z153" i="19"/>
  <c r="AA153" i="19"/>
  <c r="AB153" i="19"/>
  <c r="U154" i="19"/>
  <c r="V154" i="19"/>
  <c r="W154" i="19"/>
  <c r="X154" i="19"/>
  <c r="Y154" i="19"/>
  <c r="Z154" i="19"/>
  <c r="AA154" i="19"/>
  <c r="AB154" i="19"/>
  <c r="U155" i="19"/>
  <c r="V155" i="19"/>
  <c r="W155" i="19"/>
  <c r="X155" i="19"/>
  <c r="Y155" i="19"/>
  <c r="Z155" i="19"/>
  <c r="AA155" i="19"/>
  <c r="AB155" i="19"/>
  <c r="U156" i="19"/>
  <c r="V156" i="19"/>
  <c r="W156" i="19"/>
  <c r="X156" i="19"/>
  <c r="Y156" i="19"/>
  <c r="Z156" i="19"/>
  <c r="AA156" i="19"/>
  <c r="AB156" i="19"/>
  <c r="U157" i="19"/>
  <c r="V157" i="19"/>
  <c r="W157" i="19"/>
  <c r="X157" i="19"/>
  <c r="Y157" i="19"/>
  <c r="Z157" i="19"/>
  <c r="AA157" i="19"/>
  <c r="AB157" i="19"/>
  <c r="U158" i="19"/>
  <c r="V158" i="19"/>
  <c r="W158" i="19"/>
  <c r="X158" i="19"/>
  <c r="Y158" i="19"/>
  <c r="Z158" i="19"/>
  <c r="AA158" i="19"/>
  <c r="AB158" i="19"/>
  <c r="U159" i="19"/>
  <c r="V159" i="19"/>
  <c r="W159" i="19"/>
  <c r="X159" i="19"/>
  <c r="Y159" i="19"/>
  <c r="Z159" i="19"/>
  <c r="AA159" i="19"/>
  <c r="AB159" i="19"/>
  <c r="U160" i="19"/>
  <c r="V160" i="19"/>
  <c r="W160" i="19"/>
  <c r="X160" i="19"/>
  <c r="Y160" i="19"/>
  <c r="Z160" i="19"/>
  <c r="AA160" i="19"/>
  <c r="AB160" i="19"/>
  <c r="U161" i="19"/>
  <c r="V161" i="19"/>
  <c r="W161" i="19"/>
  <c r="X161" i="19"/>
  <c r="Y161" i="19"/>
  <c r="Z161" i="19"/>
  <c r="AA161" i="19"/>
  <c r="AB161" i="19"/>
  <c r="U162" i="19"/>
  <c r="V162" i="19"/>
  <c r="W162" i="19"/>
  <c r="X162" i="19"/>
  <c r="Y162" i="19"/>
  <c r="Z162" i="19"/>
  <c r="AA162" i="19"/>
  <c r="AB162" i="19"/>
  <c r="U163" i="19"/>
  <c r="V163" i="19"/>
  <c r="W163" i="19"/>
  <c r="X163" i="19"/>
  <c r="Y163" i="19"/>
  <c r="Z163" i="19"/>
  <c r="AA163" i="19"/>
  <c r="AB163" i="19"/>
  <c r="U164" i="19"/>
  <c r="V164" i="19"/>
  <c r="W164" i="19"/>
  <c r="X164" i="19"/>
  <c r="Y164" i="19"/>
  <c r="Z164" i="19"/>
  <c r="AA164" i="19"/>
  <c r="AB164" i="19"/>
  <c r="U165" i="19"/>
  <c r="V165" i="19"/>
  <c r="W165" i="19"/>
  <c r="X165" i="19"/>
  <c r="Y165" i="19"/>
  <c r="Z165" i="19"/>
  <c r="AA165" i="19"/>
  <c r="AB165" i="19"/>
  <c r="U166" i="19"/>
  <c r="V166" i="19"/>
  <c r="W166" i="19"/>
  <c r="X166" i="19"/>
  <c r="Y166" i="19"/>
  <c r="Z166" i="19"/>
  <c r="AA166" i="19"/>
  <c r="AB166" i="19"/>
  <c r="U167" i="19"/>
  <c r="V167" i="19"/>
  <c r="W167" i="19"/>
  <c r="X167" i="19"/>
  <c r="Y167" i="19"/>
  <c r="Z167" i="19"/>
  <c r="AA167" i="19"/>
  <c r="AB167" i="19"/>
  <c r="U168" i="19"/>
  <c r="V168" i="19"/>
  <c r="W168" i="19"/>
  <c r="X168" i="19"/>
  <c r="Y168" i="19"/>
  <c r="Z168" i="19"/>
  <c r="AA168" i="19"/>
  <c r="AB168" i="19"/>
  <c r="U169" i="19"/>
  <c r="V169" i="19"/>
  <c r="W169" i="19"/>
  <c r="X169" i="19"/>
  <c r="Y169" i="19"/>
  <c r="Z169" i="19"/>
  <c r="AA169" i="19"/>
  <c r="AB169" i="19"/>
  <c r="U170" i="19"/>
  <c r="V170" i="19"/>
  <c r="W170" i="19"/>
  <c r="X170" i="19"/>
  <c r="Y170" i="19"/>
  <c r="Z170" i="19"/>
  <c r="AA170" i="19"/>
  <c r="AB170" i="19"/>
  <c r="U171" i="19"/>
  <c r="V171" i="19"/>
  <c r="W171" i="19"/>
  <c r="X171" i="19"/>
  <c r="Y171" i="19"/>
  <c r="Z171" i="19"/>
  <c r="AA171" i="19"/>
  <c r="AB171" i="19"/>
  <c r="U172" i="19"/>
  <c r="V172" i="19"/>
  <c r="W172" i="19"/>
  <c r="X172" i="19"/>
  <c r="Y172" i="19"/>
  <c r="Z172" i="19"/>
  <c r="AA172" i="19"/>
  <c r="AB172" i="19"/>
  <c r="U173" i="19"/>
  <c r="V173" i="19"/>
  <c r="W173" i="19"/>
  <c r="X173" i="19"/>
  <c r="Y173" i="19"/>
  <c r="Z173" i="19"/>
  <c r="AA173" i="19"/>
  <c r="AB173" i="19"/>
  <c r="U174" i="19"/>
  <c r="V174" i="19"/>
  <c r="W174" i="19"/>
  <c r="X174" i="19"/>
  <c r="Y174" i="19"/>
  <c r="Z174" i="19"/>
  <c r="AA174" i="19"/>
  <c r="AB174" i="19"/>
  <c r="U175" i="19"/>
  <c r="V175" i="19"/>
  <c r="W175" i="19"/>
  <c r="X175" i="19"/>
  <c r="Y175" i="19"/>
  <c r="Z175" i="19"/>
  <c r="AA175" i="19"/>
  <c r="AB175" i="19"/>
  <c r="U176" i="19"/>
  <c r="V176" i="19"/>
  <c r="W176" i="19"/>
  <c r="X176" i="19"/>
  <c r="Y176" i="19"/>
  <c r="Z176" i="19"/>
  <c r="AA176" i="19"/>
  <c r="AB176" i="19"/>
  <c r="U177" i="19"/>
  <c r="V177" i="19"/>
  <c r="W177" i="19"/>
  <c r="X177" i="19"/>
  <c r="Y177" i="19"/>
  <c r="Z177" i="19"/>
  <c r="AA177" i="19"/>
  <c r="AB177" i="19"/>
  <c r="U178" i="19"/>
  <c r="V178" i="19"/>
  <c r="W178" i="19"/>
  <c r="X178" i="19"/>
  <c r="Y178" i="19"/>
  <c r="Z178" i="19"/>
  <c r="AA178" i="19"/>
  <c r="AB178" i="19"/>
  <c r="U179" i="19"/>
  <c r="V179" i="19"/>
  <c r="W179" i="19"/>
  <c r="X179" i="19"/>
  <c r="Y179" i="19"/>
  <c r="Z179" i="19"/>
  <c r="AA179" i="19"/>
  <c r="AB179" i="19"/>
  <c r="U180" i="19"/>
  <c r="V180" i="19"/>
  <c r="W180" i="19"/>
  <c r="X180" i="19"/>
  <c r="Y180" i="19"/>
  <c r="Z180" i="19"/>
  <c r="AA180" i="19"/>
  <c r="AB180" i="19"/>
  <c r="U181" i="19"/>
  <c r="V181" i="19"/>
  <c r="W181" i="19"/>
  <c r="X181" i="19"/>
  <c r="Y181" i="19"/>
  <c r="Z181" i="19"/>
  <c r="AA181" i="19"/>
  <c r="AB181" i="19"/>
  <c r="U182" i="19"/>
  <c r="V182" i="19"/>
  <c r="W182" i="19"/>
  <c r="X182" i="19"/>
  <c r="Y182" i="19"/>
  <c r="Z182" i="19"/>
  <c r="AA182" i="19"/>
  <c r="AB182" i="19"/>
  <c r="U183" i="19"/>
  <c r="V183" i="19"/>
  <c r="W183" i="19"/>
  <c r="X183" i="19"/>
  <c r="Y183" i="19"/>
  <c r="Z183" i="19"/>
  <c r="AA183" i="19"/>
  <c r="AB183" i="19"/>
  <c r="U184" i="19"/>
  <c r="V184" i="19"/>
  <c r="W184" i="19"/>
  <c r="X184" i="19"/>
  <c r="Y184" i="19"/>
  <c r="Z184" i="19"/>
  <c r="AA184" i="19"/>
  <c r="AB184" i="19"/>
  <c r="U185" i="19"/>
  <c r="V185" i="19"/>
  <c r="W185" i="19"/>
  <c r="X185" i="19"/>
  <c r="Y185" i="19"/>
  <c r="Z185" i="19"/>
  <c r="AA185" i="19"/>
  <c r="AB185" i="19"/>
  <c r="U186" i="19"/>
  <c r="V186" i="19"/>
  <c r="W186" i="19"/>
  <c r="X186" i="19"/>
  <c r="Y186" i="19"/>
  <c r="Z186" i="19"/>
  <c r="AA186" i="19"/>
  <c r="AB186" i="19"/>
  <c r="U187" i="19"/>
  <c r="V187" i="19"/>
  <c r="W187" i="19"/>
  <c r="X187" i="19"/>
  <c r="Y187" i="19"/>
  <c r="Z187" i="19"/>
  <c r="AA187" i="19"/>
  <c r="AB187" i="19"/>
  <c r="U188" i="19"/>
  <c r="V188" i="19"/>
  <c r="W188" i="19"/>
  <c r="X188" i="19"/>
  <c r="Y188" i="19"/>
  <c r="Z188" i="19"/>
  <c r="AA188" i="19"/>
  <c r="AB188" i="19"/>
  <c r="U189" i="19"/>
  <c r="V189" i="19"/>
  <c r="W189" i="19"/>
  <c r="X189" i="19"/>
  <c r="Y189" i="19"/>
  <c r="Z189" i="19"/>
  <c r="AA189" i="19"/>
  <c r="AB189" i="19"/>
  <c r="U190" i="19"/>
  <c r="V190" i="19"/>
  <c r="W190" i="19"/>
  <c r="X190" i="19"/>
  <c r="Y190" i="19"/>
  <c r="Z190" i="19"/>
  <c r="AA190" i="19"/>
  <c r="AB190" i="19"/>
  <c r="U191" i="19"/>
  <c r="V191" i="19"/>
  <c r="W191" i="19"/>
  <c r="X191" i="19"/>
  <c r="Y191" i="19"/>
  <c r="Z191" i="19"/>
  <c r="AA191" i="19"/>
  <c r="AB191" i="19"/>
  <c r="U192" i="19"/>
  <c r="V192" i="19"/>
  <c r="W192" i="19"/>
  <c r="X192" i="19"/>
  <c r="Y192" i="19"/>
  <c r="Z192" i="19"/>
  <c r="AA192" i="19"/>
  <c r="AB192" i="19"/>
  <c r="U193" i="19"/>
  <c r="V193" i="19"/>
  <c r="W193" i="19"/>
  <c r="X193" i="19"/>
  <c r="Y193" i="19"/>
  <c r="Z193" i="19"/>
  <c r="AA193" i="19"/>
  <c r="AB193" i="19"/>
  <c r="U194" i="19"/>
  <c r="V194" i="19"/>
  <c r="W194" i="19"/>
  <c r="X194" i="19"/>
  <c r="Y194" i="19"/>
  <c r="Z194" i="19"/>
  <c r="AA194" i="19"/>
  <c r="AB194" i="19"/>
  <c r="U195" i="19"/>
  <c r="V195" i="19"/>
  <c r="W195" i="19"/>
  <c r="X195" i="19"/>
  <c r="Y195" i="19"/>
  <c r="Z195" i="19"/>
  <c r="AA195" i="19"/>
  <c r="AB195" i="19"/>
  <c r="U196" i="19"/>
  <c r="V196" i="19"/>
  <c r="W196" i="19"/>
  <c r="X196" i="19"/>
  <c r="Y196" i="19"/>
  <c r="Z196" i="19"/>
  <c r="AA196" i="19"/>
  <c r="AB196" i="19"/>
  <c r="U197" i="19"/>
  <c r="V197" i="19"/>
  <c r="W197" i="19"/>
  <c r="X197" i="19"/>
  <c r="Y197" i="19"/>
  <c r="Z197" i="19"/>
  <c r="AA197" i="19"/>
  <c r="AB197" i="19"/>
  <c r="U198" i="19"/>
  <c r="V198" i="19"/>
  <c r="W198" i="19"/>
  <c r="X198" i="19"/>
  <c r="Y198" i="19"/>
  <c r="Z198" i="19"/>
  <c r="AA198" i="19"/>
  <c r="AB198" i="19"/>
  <c r="U199" i="19"/>
  <c r="V199" i="19"/>
  <c r="W199" i="19"/>
  <c r="X199" i="19"/>
  <c r="Y199" i="19"/>
  <c r="Z199" i="19"/>
  <c r="AA199" i="19"/>
  <c r="AB199" i="19"/>
  <c r="U200" i="19"/>
  <c r="V200" i="19"/>
  <c r="W200" i="19"/>
  <c r="X200" i="19"/>
  <c r="Y200" i="19"/>
  <c r="Z200" i="19"/>
  <c r="AA200" i="19"/>
  <c r="AB200" i="19"/>
  <c r="U201" i="19"/>
  <c r="V201" i="19"/>
  <c r="W201" i="19"/>
  <c r="X201" i="19"/>
  <c r="Y201" i="19"/>
  <c r="Z201" i="19"/>
  <c r="AA201" i="19"/>
  <c r="AB201" i="19"/>
  <c r="U202" i="19"/>
  <c r="V202" i="19"/>
  <c r="W202" i="19"/>
  <c r="X202" i="19"/>
  <c r="Y202" i="19"/>
  <c r="Z202" i="19"/>
  <c r="AA202" i="19"/>
  <c r="AB202" i="19"/>
  <c r="U203" i="19"/>
  <c r="V203" i="19"/>
  <c r="W203" i="19"/>
  <c r="X203" i="19"/>
  <c r="Y203" i="19"/>
  <c r="Z203" i="19"/>
  <c r="AA203" i="19"/>
  <c r="AB203" i="19"/>
  <c r="U204" i="19"/>
  <c r="V204" i="19"/>
  <c r="W204" i="19"/>
  <c r="X204" i="19"/>
  <c r="Y204" i="19"/>
  <c r="Z204" i="19"/>
  <c r="AA204" i="19"/>
  <c r="AB204" i="19"/>
  <c r="U205" i="19"/>
  <c r="V205" i="19"/>
  <c r="W205" i="19"/>
  <c r="X205" i="19"/>
  <c r="Y205" i="19"/>
  <c r="Z205" i="19"/>
  <c r="AA205" i="19"/>
  <c r="AB205" i="19"/>
  <c r="U206" i="19"/>
  <c r="V206" i="19"/>
  <c r="W206" i="19"/>
  <c r="X206" i="19"/>
  <c r="Y206" i="19"/>
  <c r="Z206" i="19"/>
  <c r="AA206" i="19"/>
  <c r="AB206" i="19"/>
  <c r="U207" i="19"/>
  <c r="V207" i="19"/>
  <c r="W207" i="19"/>
  <c r="X207" i="19"/>
  <c r="Y207" i="19"/>
  <c r="Z207" i="19"/>
  <c r="AA207" i="19"/>
  <c r="AB207" i="19"/>
  <c r="U208" i="19"/>
  <c r="V208" i="19"/>
  <c r="W208" i="19"/>
  <c r="X208" i="19"/>
  <c r="Y208" i="19"/>
  <c r="Z208" i="19"/>
  <c r="AA208" i="19"/>
  <c r="AB208" i="19"/>
  <c r="U209" i="19"/>
  <c r="V209" i="19"/>
  <c r="W209" i="19"/>
  <c r="X209" i="19"/>
  <c r="Y209" i="19"/>
  <c r="Z209" i="19"/>
  <c r="AA209" i="19"/>
  <c r="AB209" i="19"/>
  <c r="U210" i="19"/>
  <c r="V210" i="19"/>
  <c r="W210" i="19"/>
  <c r="X210" i="19"/>
  <c r="Y210" i="19"/>
  <c r="Z210" i="19"/>
  <c r="AA210" i="19"/>
  <c r="AB210" i="19"/>
  <c r="U211" i="19"/>
  <c r="V211" i="19"/>
  <c r="W211" i="19"/>
  <c r="X211" i="19"/>
  <c r="Y211" i="19"/>
  <c r="Z211" i="19"/>
  <c r="AA211" i="19"/>
  <c r="AB211" i="19"/>
  <c r="U212" i="19"/>
  <c r="V212" i="19"/>
  <c r="W212" i="19"/>
  <c r="X212" i="19"/>
  <c r="Y212" i="19"/>
  <c r="Z212" i="19"/>
  <c r="AA212" i="19"/>
  <c r="AB212" i="19"/>
  <c r="U213" i="19"/>
  <c r="V213" i="19"/>
  <c r="W213" i="19"/>
  <c r="X213" i="19"/>
  <c r="Y213" i="19"/>
  <c r="Z213" i="19"/>
  <c r="AA213" i="19"/>
  <c r="AB213" i="19"/>
  <c r="U214" i="19"/>
  <c r="V214" i="19"/>
  <c r="W214" i="19"/>
  <c r="X214" i="19"/>
  <c r="Y214" i="19"/>
  <c r="Z214" i="19"/>
  <c r="AA214" i="19"/>
  <c r="AB214" i="19"/>
  <c r="U215" i="19"/>
  <c r="V215" i="19"/>
  <c r="W215" i="19"/>
  <c r="X215" i="19"/>
  <c r="Y215" i="19"/>
  <c r="Z215" i="19"/>
  <c r="AA215" i="19"/>
  <c r="AB215" i="19"/>
  <c r="U216" i="19"/>
  <c r="V216" i="19"/>
  <c r="W216" i="19"/>
  <c r="X216" i="19"/>
  <c r="Y216" i="19"/>
  <c r="Z216" i="19"/>
  <c r="AA216" i="19"/>
  <c r="AB216" i="19"/>
  <c r="U217" i="19"/>
  <c r="V217" i="19"/>
  <c r="W217" i="19"/>
  <c r="X217" i="19"/>
  <c r="Y217" i="19"/>
  <c r="Z217" i="19"/>
  <c r="AA217" i="19"/>
  <c r="AB217" i="19"/>
  <c r="U218" i="19"/>
  <c r="V218" i="19"/>
  <c r="W218" i="19"/>
  <c r="X218" i="19"/>
  <c r="Y218" i="19"/>
  <c r="Z218" i="19"/>
  <c r="AA218" i="19"/>
  <c r="AB218" i="19"/>
  <c r="U219" i="19"/>
  <c r="V219" i="19"/>
  <c r="W219" i="19"/>
  <c r="X219" i="19"/>
  <c r="Y219" i="19"/>
  <c r="Z219" i="19"/>
  <c r="AA219" i="19"/>
  <c r="AB219" i="19"/>
  <c r="U220" i="19"/>
  <c r="V220" i="19"/>
  <c r="W220" i="19"/>
  <c r="X220" i="19"/>
  <c r="Y220" i="19"/>
  <c r="Z220" i="19"/>
  <c r="AA220" i="19"/>
  <c r="AB220" i="19"/>
  <c r="U221" i="19"/>
  <c r="V221" i="19"/>
  <c r="W221" i="19"/>
  <c r="X221" i="19"/>
  <c r="Y221" i="19"/>
  <c r="Z221" i="19"/>
  <c r="AA221" i="19"/>
  <c r="AB221" i="19"/>
  <c r="U222" i="19"/>
  <c r="V222" i="19"/>
  <c r="W222" i="19"/>
  <c r="X222" i="19"/>
  <c r="Y222" i="19"/>
  <c r="Z222" i="19"/>
  <c r="AA222" i="19"/>
  <c r="AB222" i="19"/>
  <c r="U223" i="19"/>
  <c r="V223" i="19"/>
  <c r="W223" i="19"/>
  <c r="X223" i="19"/>
  <c r="Y223" i="19"/>
  <c r="Z223" i="19"/>
  <c r="AA223" i="19"/>
  <c r="AB223" i="19"/>
  <c r="U224" i="19"/>
  <c r="V224" i="19"/>
  <c r="W224" i="19"/>
  <c r="X224" i="19"/>
  <c r="Y224" i="19"/>
  <c r="Z224" i="19"/>
  <c r="AA224" i="19"/>
  <c r="AB224" i="19"/>
  <c r="U225" i="19"/>
  <c r="V225" i="19"/>
  <c r="W225" i="19"/>
  <c r="X225" i="19"/>
  <c r="Y225" i="19"/>
  <c r="Z225" i="19"/>
  <c r="AA225" i="19"/>
  <c r="AB225" i="19"/>
  <c r="U226" i="19"/>
  <c r="V226" i="19"/>
  <c r="W226" i="19"/>
  <c r="X226" i="19"/>
  <c r="Y226" i="19"/>
  <c r="Z226" i="19"/>
  <c r="AA226" i="19"/>
  <c r="AB226" i="19"/>
  <c r="U227" i="19"/>
  <c r="V227" i="19"/>
  <c r="W227" i="19"/>
  <c r="X227" i="19"/>
  <c r="Y227" i="19"/>
  <c r="Z227" i="19"/>
  <c r="AA227" i="19"/>
  <c r="AB227" i="19"/>
  <c r="U228" i="19"/>
  <c r="V228" i="19"/>
  <c r="W228" i="19"/>
  <c r="X228" i="19"/>
  <c r="Y228" i="19"/>
  <c r="Z228" i="19"/>
  <c r="AA228" i="19"/>
  <c r="AB228" i="19"/>
  <c r="U229" i="19"/>
  <c r="V229" i="19"/>
  <c r="W229" i="19"/>
  <c r="X229" i="19"/>
  <c r="Y229" i="19"/>
  <c r="Z229" i="19"/>
  <c r="AA229" i="19"/>
  <c r="AB229" i="19"/>
  <c r="U230" i="19"/>
  <c r="V230" i="19"/>
  <c r="W230" i="19"/>
  <c r="X230" i="19"/>
  <c r="Y230" i="19"/>
  <c r="Z230" i="19"/>
  <c r="AA230" i="19"/>
  <c r="AB230" i="19"/>
  <c r="U231" i="19"/>
  <c r="V231" i="19"/>
  <c r="W231" i="19"/>
  <c r="X231" i="19"/>
  <c r="Y231" i="19"/>
  <c r="Z231" i="19"/>
  <c r="AA231" i="19"/>
  <c r="AB231" i="19"/>
  <c r="U232" i="19"/>
  <c r="V232" i="19"/>
  <c r="W232" i="19"/>
  <c r="X232" i="19"/>
  <c r="Y232" i="19"/>
  <c r="Z232" i="19"/>
  <c r="AA232" i="19"/>
  <c r="AB232" i="19"/>
  <c r="U233" i="19"/>
  <c r="V233" i="19"/>
  <c r="W233" i="19"/>
  <c r="X233" i="19"/>
  <c r="Y233" i="19"/>
  <c r="Z233" i="19"/>
  <c r="AA233" i="19"/>
  <c r="AB233" i="19"/>
  <c r="U234" i="19"/>
  <c r="V234" i="19"/>
  <c r="W234" i="19"/>
  <c r="X234" i="19"/>
  <c r="Y234" i="19"/>
  <c r="Z234" i="19"/>
  <c r="AA234" i="19"/>
  <c r="AB234" i="19"/>
  <c r="U235" i="19"/>
  <c r="V235" i="19"/>
  <c r="W235" i="19"/>
  <c r="X235" i="19"/>
  <c r="Y235" i="19"/>
  <c r="Z235" i="19"/>
  <c r="AA235" i="19"/>
  <c r="AB235" i="19"/>
  <c r="U236" i="19"/>
  <c r="V236" i="19"/>
  <c r="W236" i="19"/>
  <c r="X236" i="19"/>
  <c r="Y236" i="19"/>
  <c r="Z236" i="19"/>
  <c r="AA236" i="19"/>
  <c r="AB236" i="19"/>
  <c r="U237" i="19"/>
  <c r="V237" i="19"/>
  <c r="W237" i="19"/>
  <c r="X237" i="19"/>
  <c r="Y237" i="19"/>
  <c r="Z237" i="19"/>
  <c r="AA237" i="19"/>
  <c r="AB237" i="19"/>
  <c r="U238" i="19"/>
  <c r="V238" i="19"/>
  <c r="W238" i="19"/>
  <c r="X238" i="19"/>
  <c r="Y238" i="19"/>
  <c r="Z238" i="19"/>
  <c r="AA238" i="19"/>
  <c r="AB238" i="19"/>
  <c r="U239" i="19"/>
  <c r="V239" i="19"/>
  <c r="W239" i="19"/>
  <c r="X239" i="19"/>
  <c r="Y239" i="19"/>
  <c r="Z239" i="19"/>
  <c r="AA239" i="19"/>
  <c r="AB239" i="19"/>
  <c r="U240" i="19"/>
  <c r="V240" i="19"/>
  <c r="W240" i="19"/>
  <c r="X240" i="19"/>
  <c r="Y240" i="19"/>
  <c r="Z240" i="19"/>
  <c r="AA240" i="19"/>
  <c r="AB240" i="19"/>
  <c r="U241" i="19"/>
  <c r="V241" i="19"/>
  <c r="W241" i="19"/>
  <c r="X241" i="19"/>
  <c r="Y241" i="19"/>
  <c r="Z241" i="19"/>
  <c r="AA241" i="19"/>
  <c r="AB241" i="19"/>
  <c r="U242" i="19"/>
  <c r="V242" i="19"/>
  <c r="W242" i="19"/>
  <c r="X242" i="19"/>
  <c r="Y242" i="19"/>
  <c r="Z242" i="19"/>
  <c r="AA242" i="19"/>
  <c r="AB242" i="19"/>
  <c r="U243" i="19"/>
  <c r="V243" i="19"/>
  <c r="W243" i="19"/>
  <c r="X243" i="19"/>
  <c r="Y243" i="19"/>
  <c r="Z243" i="19"/>
  <c r="AA243" i="19"/>
  <c r="AB243" i="19"/>
  <c r="U244" i="19"/>
  <c r="V244" i="19"/>
  <c r="W244" i="19"/>
  <c r="X244" i="19"/>
  <c r="Y244" i="19"/>
  <c r="Z244" i="19"/>
  <c r="AA244" i="19"/>
  <c r="AB244" i="19"/>
  <c r="U245" i="19"/>
  <c r="V245" i="19"/>
  <c r="W245" i="19"/>
  <c r="X245" i="19"/>
  <c r="Y245" i="19"/>
  <c r="Z245" i="19"/>
  <c r="AA245" i="19"/>
  <c r="AB245" i="19"/>
  <c r="U246" i="19"/>
  <c r="V246" i="19"/>
  <c r="W246" i="19"/>
  <c r="X246" i="19"/>
  <c r="Y246" i="19"/>
  <c r="Z246" i="19"/>
  <c r="AA246" i="19"/>
  <c r="AB246" i="19"/>
  <c r="U247" i="19"/>
  <c r="V247" i="19"/>
  <c r="W247" i="19"/>
  <c r="X247" i="19"/>
  <c r="Y247" i="19"/>
  <c r="Z247" i="19"/>
  <c r="AA247" i="19"/>
  <c r="AB247" i="19"/>
  <c r="U248" i="19"/>
  <c r="V248" i="19"/>
  <c r="W248" i="19"/>
  <c r="X248" i="19"/>
  <c r="Y248" i="19"/>
  <c r="Z248" i="19"/>
  <c r="AA248" i="19"/>
  <c r="AB248" i="19"/>
  <c r="U249" i="19"/>
  <c r="V249" i="19"/>
  <c r="W249" i="19"/>
  <c r="X249" i="19"/>
  <c r="Y249" i="19"/>
  <c r="Z249" i="19"/>
  <c r="AA249" i="19"/>
  <c r="AB249" i="19"/>
  <c r="U250" i="19"/>
  <c r="V250" i="19"/>
  <c r="W250" i="19"/>
  <c r="X250" i="19"/>
  <c r="Y250" i="19"/>
  <c r="Z250" i="19"/>
  <c r="AA250" i="19"/>
  <c r="AB250" i="19"/>
  <c r="U251" i="19"/>
  <c r="V251" i="19"/>
  <c r="W251" i="19"/>
  <c r="X251" i="19"/>
  <c r="Y251" i="19"/>
  <c r="Z251" i="19"/>
  <c r="AA251" i="19"/>
  <c r="AB251" i="19"/>
  <c r="U252" i="19"/>
  <c r="V252" i="19"/>
  <c r="W252" i="19"/>
  <c r="X252" i="19"/>
  <c r="Y252" i="19"/>
  <c r="Z252" i="19"/>
  <c r="AA252" i="19"/>
  <c r="AB252" i="19"/>
  <c r="U253" i="19"/>
  <c r="V253" i="19"/>
  <c r="W253" i="19"/>
  <c r="X253" i="19"/>
  <c r="Y253" i="19"/>
  <c r="Z253" i="19"/>
  <c r="AA253" i="19"/>
  <c r="AB253" i="19"/>
  <c r="U254" i="19"/>
  <c r="V254" i="19"/>
  <c r="W254" i="19"/>
  <c r="X254" i="19"/>
  <c r="Y254" i="19"/>
  <c r="Z254" i="19"/>
  <c r="AA254" i="19"/>
  <c r="AB254" i="19"/>
  <c r="U255" i="19"/>
  <c r="V255" i="19"/>
  <c r="W255" i="19"/>
  <c r="X255" i="19"/>
  <c r="Y255" i="19"/>
  <c r="Z255" i="19"/>
  <c r="AA255" i="19"/>
  <c r="AB255" i="19"/>
  <c r="U256" i="19"/>
  <c r="V256" i="19"/>
  <c r="W256" i="19"/>
  <c r="X256" i="19"/>
  <c r="Y256" i="19"/>
  <c r="Z256" i="19"/>
  <c r="AA256" i="19"/>
  <c r="AB256" i="19"/>
  <c r="U257" i="19"/>
  <c r="V257" i="19"/>
  <c r="W257" i="19"/>
  <c r="X257" i="19"/>
  <c r="Y257" i="19"/>
  <c r="Z257" i="19"/>
  <c r="AA257" i="19"/>
  <c r="AB257" i="19"/>
  <c r="U258" i="19"/>
  <c r="V258" i="19"/>
  <c r="W258" i="19"/>
  <c r="X258" i="19"/>
  <c r="Y258" i="19"/>
  <c r="Z258" i="19"/>
  <c r="AA258" i="19"/>
  <c r="AB258" i="19"/>
  <c r="U259" i="19"/>
  <c r="V259" i="19"/>
  <c r="W259" i="19"/>
  <c r="X259" i="19"/>
  <c r="Y259" i="19"/>
  <c r="Z259" i="19"/>
  <c r="AA259" i="19"/>
  <c r="AB259" i="19"/>
  <c r="U260" i="19"/>
  <c r="V260" i="19"/>
  <c r="W260" i="19"/>
  <c r="X260" i="19"/>
  <c r="Y260" i="19"/>
  <c r="Z260" i="19"/>
  <c r="AA260" i="19"/>
  <c r="AB260" i="19"/>
  <c r="U261" i="19"/>
  <c r="V261" i="19"/>
  <c r="W261" i="19"/>
  <c r="X261" i="19"/>
  <c r="Y261" i="19"/>
  <c r="Z261" i="19"/>
  <c r="AA261" i="19"/>
  <c r="AB261" i="19"/>
  <c r="U262" i="19"/>
  <c r="V262" i="19"/>
  <c r="W262" i="19"/>
  <c r="X262" i="19"/>
  <c r="Y262" i="19"/>
  <c r="Z262" i="19"/>
  <c r="AA262" i="19"/>
  <c r="AB262" i="19"/>
  <c r="U263" i="19"/>
  <c r="V263" i="19"/>
  <c r="W263" i="19"/>
  <c r="X263" i="19"/>
  <c r="Y263" i="19"/>
  <c r="Z263" i="19"/>
  <c r="AA263" i="19"/>
  <c r="AB263" i="19"/>
  <c r="U264" i="19"/>
  <c r="V264" i="19"/>
  <c r="W264" i="19"/>
  <c r="X264" i="19"/>
  <c r="Y264" i="19"/>
  <c r="Z264" i="19"/>
  <c r="AA264" i="19"/>
  <c r="AB264" i="19"/>
  <c r="U265" i="19"/>
  <c r="V265" i="19"/>
  <c r="W265" i="19"/>
  <c r="X265" i="19"/>
  <c r="Y265" i="19"/>
  <c r="Z265" i="19"/>
  <c r="AA265" i="19"/>
  <c r="AB265" i="19"/>
  <c r="U266" i="19"/>
  <c r="V266" i="19"/>
  <c r="W266" i="19"/>
  <c r="X266" i="19"/>
  <c r="Y266" i="19"/>
  <c r="Z266" i="19"/>
  <c r="AA266" i="19"/>
  <c r="AB266" i="19"/>
  <c r="U267" i="19"/>
  <c r="V267" i="19"/>
  <c r="W267" i="19"/>
  <c r="X267" i="19"/>
  <c r="Y267" i="19"/>
  <c r="Z267" i="19"/>
  <c r="AA267" i="19"/>
  <c r="AB267" i="19"/>
  <c r="U268" i="19"/>
  <c r="V268" i="19"/>
  <c r="W268" i="19"/>
  <c r="X268" i="19"/>
  <c r="Y268" i="19"/>
  <c r="Z268" i="19"/>
  <c r="AA268" i="19"/>
  <c r="AB268" i="19"/>
  <c r="U269" i="19"/>
  <c r="V269" i="19"/>
  <c r="W269" i="19"/>
  <c r="X269" i="19"/>
  <c r="Y269" i="19"/>
  <c r="Z269" i="19"/>
  <c r="AA269" i="19"/>
  <c r="AB269" i="19"/>
  <c r="U270" i="19"/>
  <c r="V270" i="19"/>
  <c r="W270" i="19"/>
  <c r="X270" i="19"/>
  <c r="Y270" i="19"/>
  <c r="Z270" i="19"/>
  <c r="AA270" i="19"/>
  <c r="AB270" i="19"/>
  <c r="U271" i="19"/>
  <c r="V271" i="19"/>
  <c r="W271" i="19"/>
  <c r="X271" i="19"/>
  <c r="Y271" i="19"/>
  <c r="Z271" i="19"/>
  <c r="AA271" i="19"/>
  <c r="AB271" i="19"/>
  <c r="U272" i="19"/>
  <c r="V272" i="19"/>
  <c r="W272" i="19"/>
  <c r="X272" i="19"/>
  <c r="Y272" i="19"/>
  <c r="Z272" i="19"/>
  <c r="AA272" i="19"/>
  <c r="AB272" i="19"/>
  <c r="U273" i="19"/>
  <c r="V273" i="19"/>
  <c r="W273" i="19"/>
  <c r="X273" i="19"/>
  <c r="Y273" i="19"/>
  <c r="Z273" i="19"/>
  <c r="AA273" i="19"/>
  <c r="AB273" i="19"/>
  <c r="U274" i="19"/>
  <c r="V274" i="19"/>
  <c r="W274" i="19"/>
  <c r="X274" i="19"/>
  <c r="Y274" i="19"/>
  <c r="Z274" i="19"/>
  <c r="AA274" i="19"/>
  <c r="AB274" i="19"/>
  <c r="U275" i="19"/>
  <c r="V275" i="19"/>
  <c r="W275" i="19"/>
  <c r="X275" i="19"/>
  <c r="Y275" i="19"/>
  <c r="Z275" i="19"/>
  <c r="AA275" i="19"/>
  <c r="AB275" i="19"/>
  <c r="U276" i="19"/>
  <c r="V276" i="19"/>
  <c r="W276" i="19"/>
  <c r="X276" i="19"/>
  <c r="Y276" i="19"/>
  <c r="Z276" i="19"/>
  <c r="AA276" i="19"/>
  <c r="AB276" i="19"/>
  <c r="U277" i="19"/>
  <c r="V277" i="19"/>
  <c r="W277" i="19"/>
  <c r="X277" i="19"/>
  <c r="Y277" i="19"/>
  <c r="Z277" i="19"/>
  <c r="AA277" i="19"/>
  <c r="AB277" i="19"/>
  <c r="U278" i="19"/>
  <c r="V278" i="19"/>
  <c r="W278" i="19"/>
  <c r="X278" i="19"/>
  <c r="Y278" i="19"/>
  <c r="Z278" i="19"/>
  <c r="AA278" i="19"/>
  <c r="AB278" i="19"/>
  <c r="U279" i="19"/>
  <c r="V279" i="19"/>
  <c r="W279" i="19"/>
  <c r="X279" i="19"/>
  <c r="Y279" i="19"/>
  <c r="Z279" i="19"/>
  <c r="AA279" i="19"/>
  <c r="AB279" i="19"/>
  <c r="U280" i="19"/>
  <c r="V280" i="19"/>
  <c r="W280" i="19"/>
  <c r="X280" i="19"/>
  <c r="Y280" i="19"/>
  <c r="Z280" i="19"/>
  <c r="AA280" i="19"/>
  <c r="AB280" i="19"/>
  <c r="U281" i="19"/>
  <c r="V281" i="19"/>
  <c r="W281" i="19"/>
  <c r="X281" i="19"/>
  <c r="Y281" i="19"/>
  <c r="Z281" i="19"/>
  <c r="AA281" i="19"/>
  <c r="AB281" i="19"/>
  <c r="U282" i="19"/>
  <c r="V282" i="19"/>
  <c r="W282" i="19"/>
  <c r="X282" i="19"/>
  <c r="Y282" i="19"/>
  <c r="Z282" i="19"/>
  <c r="AA282" i="19"/>
  <c r="AB282" i="19"/>
  <c r="U283" i="19"/>
  <c r="V283" i="19"/>
  <c r="W283" i="19"/>
  <c r="X283" i="19"/>
  <c r="Y283" i="19"/>
  <c r="Z283" i="19"/>
  <c r="AA283" i="19"/>
  <c r="AB283" i="19"/>
  <c r="U284" i="19"/>
  <c r="V284" i="19"/>
  <c r="W284" i="19"/>
  <c r="X284" i="19"/>
  <c r="Y284" i="19"/>
  <c r="Z284" i="19"/>
  <c r="AA284" i="19"/>
  <c r="AB284" i="19"/>
  <c r="U285" i="19"/>
  <c r="V285" i="19"/>
  <c r="W285" i="19"/>
  <c r="X285" i="19"/>
  <c r="Y285" i="19"/>
  <c r="Z285" i="19"/>
  <c r="AA285" i="19"/>
  <c r="AB285" i="19"/>
  <c r="U286" i="19"/>
  <c r="V286" i="19"/>
  <c r="W286" i="19"/>
  <c r="X286" i="19"/>
  <c r="Y286" i="19"/>
  <c r="Z286" i="19"/>
  <c r="AA286" i="19"/>
  <c r="AB286" i="19"/>
  <c r="U287" i="19"/>
  <c r="V287" i="19"/>
  <c r="W287" i="19"/>
  <c r="X287" i="19"/>
  <c r="Y287" i="19"/>
  <c r="Z287" i="19"/>
  <c r="AA287" i="19"/>
  <c r="AB287" i="19"/>
  <c r="U288" i="19"/>
  <c r="V288" i="19"/>
  <c r="W288" i="19"/>
  <c r="X288" i="19"/>
  <c r="Y288" i="19"/>
  <c r="Z288" i="19"/>
  <c r="AA288" i="19"/>
  <c r="AB288" i="19"/>
  <c r="U289" i="19"/>
  <c r="V289" i="19"/>
  <c r="W289" i="19"/>
  <c r="X289" i="19"/>
  <c r="Y289" i="19"/>
  <c r="Z289" i="19"/>
  <c r="AA289" i="19"/>
  <c r="AB289" i="19"/>
  <c r="U290" i="19"/>
  <c r="V290" i="19"/>
  <c r="W290" i="19"/>
  <c r="X290" i="19"/>
  <c r="Y290" i="19"/>
  <c r="Z290" i="19"/>
  <c r="AA290" i="19"/>
  <c r="AB290" i="19"/>
  <c r="U291" i="19"/>
  <c r="V291" i="19"/>
  <c r="W291" i="19"/>
  <c r="X291" i="19"/>
  <c r="Y291" i="19"/>
  <c r="Z291" i="19"/>
  <c r="AA291" i="19"/>
  <c r="AB291" i="19"/>
  <c r="U292" i="19"/>
  <c r="V292" i="19"/>
  <c r="W292" i="19"/>
  <c r="X292" i="19"/>
  <c r="Y292" i="19"/>
  <c r="Z292" i="19"/>
  <c r="AA292" i="19"/>
  <c r="AB292" i="19"/>
  <c r="U293" i="19"/>
  <c r="V293" i="19"/>
  <c r="W293" i="19"/>
  <c r="X293" i="19"/>
  <c r="Y293" i="19"/>
  <c r="Z293" i="19"/>
  <c r="AA293" i="19"/>
  <c r="AB293" i="19"/>
  <c r="U294" i="19"/>
  <c r="V294" i="19"/>
  <c r="W294" i="19"/>
  <c r="X294" i="19"/>
  <c r="Y294" i="19"/>
  <c r="Z294" i="19"/>
  <c r="AA294" i="19"/>
  <c r="AB294" i="19"/>
  <c r="U295" i="19"/>
  <c r="V295" i="19"/>
  <c r="W295" i="19"/>
  <c r="X295" i="19"/>
  <c r="Y295" i="19"/>
  <c r="Z295" i="19"/>
  <c r="AA295" i="19"/>
  <c r="AB295" i="19"/>
  <c r="U296" i="19"/>
  <c r="V296" i="19"/>
  <c r="W296" i="19"/>
  <c r="X296" i="19"/>
  <c r="Y296" i="19"/>
  <c r="Z296" i="19"/>
  <c r="AA296" i="19"/>
  <c r="AB296" i="19"/>
  <c r="U297" i="19"/>
  <c r="V297" i="19"/>
  <c r="W297" i="19"/>
  <c r="X297" i="19"/>
  <c r="Y297" i="19"/>
  <c r="Z297" i="19"/>
  <c r="AA297" i="19"/>
  <c r="AB297" i="19"/>
  <c r="U298" i="19"/>
  <c r="V298" i="19"/>
  <c r="W298" i="19"/>
  <c r="X298" i="19"/>
  <c r="Y298" i="19"/>
  <c r="Z298" i="19"/>
  <c r="AA298" i="19"/>
  <c r="AB298" i="19"/>
  <c r="U299" i="19"/>
  <c r="V299" i="19"/>
  <c r="W299" i="19"/>
  <c r="X299" i="19"/>
  <c r="Y299" i="19"/>
  <c r="Z299" i="19"/>
  <c r="AA299" i="19"/>
  <c r="AB299" i="19"/>
  <c r="U300" i="19"/>
  <c r="V300" i="19"/>
  <c r="W300" i="19"/>
  <c r="X300" i="19"/>
  <c r="Y300" i="19"/>
  <c r="Z300" i="19"/>
  <c r="AA300" i="19"/>
  <c r="AB300" i="19"/>
  <c r="U301" i="19"/>
  <c r="V301" i="19"/>
  <c r="W301" i="19"/>
  <c r="X301" i="19"/>
  <c r="Y301" i="19"/>
  <c r="Z301" i="19"/>
  <c r="AA301" i="19"/>
  <c r="AB301" i="19"/>
  <c r="U302" i="19"/>
  <c r="V302" i="19"/>
  <c r="W302" i="19"/>
  <c r="X302" i="19"/>
  <c r="Y302" i="19"/>
  <c r="Z302" i="19"/>
  <c r="AA302" i="19"/>
  <c r="AB302" i="19"/>
  <c r="U303" i="19"/>
  <c r="V303" i="19"/>
  <c r="W303" i="19"/>
  <c r="X303" i="19"/>
  <c r="Y303" i="19"/>
  <c r="Z303" i="19"/>
  <c r="AA303" i="19"/>
  <c r="AB303" i="19"/>
  <c r="U304" i="19"/>
  <c r="V304" i="19"/>
  <c r="W304" i="19"/>
  <c r="X304" i="19"/>
  <c r="Y304" i="19"/>
  <c r="Z304" i="19"/>
  <c r="AA304" i="19"/>
  <c r="AB304" i="19"/>
  <c r="U305" i="19"/>
  <c r="V305" i="19"/>
  <c r="W305" i="19"/>
  <c r="X305" i="19"/>
  <c r="Y305" i="19"/>
  <c r="Z305" i="19"/>
  <c r="AA305" i="19"/>
  <c r="AB305" i="19"/>
  <c r="U306" i="19"/>
  <c r="V306" i="19"/>
  <c r="W306" i="19"/>
  <c r="X306" i="19"/>
  <c r="Y306" i="19"/>
  <c r="Z306" i="19"/>
  <c r="AA306" i="19"/>
  <c r="AB306" i="19"/>
  <c r="U307" i="19"/>
  <c r="V307" i="19"/>
  <c r="W307" i="19"/>
  <c r="X307" i="19"/>
  <c r="Y307" i="19"/>
  <c r="Z307" i="19"/>
  <c r="AA307" i="19"/>
  <c r="AB307" i="19"/>
  <c r="U308" i="19"/>
  <c r="V308" i="19"/>
  <c r="W308" i="19"/>
  <c r="X308" i="19"/>
  <c r="Y308" i="19"/>
  <c r="Z308" i="19"/>
  <c r="AA308" i="19"/>
  <c r="AB308" i="19"/>
  <c r="U309" i="19"/>
  <c r="V309" i="19"/>
  <c r="W309" i="19"/>
  <c r="X309" i="19"/>
  <c r="Y309" i="19"/>
  <c r="Z309" i="19"/>
  <c r="AA309" i="19"/>
  <c r="AB309" i="19"/>
  <c r="U310" i="19"/>
  <c r="V310" i="19"/>
  <c r="W310" i="19"/>
  <c r="X310" i="19"/>
  <c r="Y310" i="19"/>
  <c r="Z310" i="19"/>
  <c r="AA310" i="19"/>
  <c r="AB310" i="19"/>
  <c r="U311" i="19"/>
  <c r="V311" i="19"/>
  <c r="W311" i="19"/>
  <c r="X311" i="19"/>
  <c r="Y311" i="19"/>
  <c r="Z311" i="19"/>
  <c r="AA311" i="19"/>
  <c r="AB311" i="19"/>
  <c r="U312" i="19"/>
  <c r="V312" i="19"/>
  <c r="W312" i="19"/>
  <c r="X312" i="19"/>
  <c r="Y312" i="19"/>
  <c r="Z312" i="19"/>
  <c r="AA312" i="19"/>
  <c r="AB312" i="19"/>
  <c r="U313" i="19"/>
  <c r="V313" i="19"/>
  <c r="W313" i="19"/>
  <c r="X313" i="19"/>
  <c r="Y313" i="19"/>
  <c r="Z313" i="19"/>
  <c r="AA313" i="19"/>
  <c r="AB313" i="19"/>
  <c r="U314" i="19"/>
  <c r="V314" i="19"/>
  <c r="W314" i="19"/>
  <c r="X314" i="19"/>
  <c r="Y314" i="19"/>
  <c r="Z314" i="19"/>
  <c r="AA314" i="19"/>
  <c r="AB314" i="19"/>
  <c r="U315" i="19"/>
  <c r="V315" i="19"/>
  <c r="W315" i="19"/>
  <c r="X315" i="19"/>
  <c r="Y315" i="19"/>
  <c r="Z315" i="19"/>
  <c r="AA315" i="19"/>
  <c r="AB315" i="19"/>
  <c r="U316" i="19"/>
  <c r="V316" i="19"/>
  <c r="W316" i="19"/>
  <c r="X316" i="19"/>
  <c r="Y316" i="19"/>
  <c r="Z316" i="19"/>
  <c r="AA316" i="19"/>
  <c r="AB316" i="19"/>
  <c r="U317" i="19"/>
  <c r="V317" i="19"/>
  <c r="W317" i="19"/>
  <c r="X317" i="19"/>
  <c r="Y317" i="19"/>
  <c r="Z317" i="19"/>
  <c r="AA317" i="19"/>
  <c r="AB317" i="19"/>
  <c r="U318" i="19"/>
  <c r="V318" i="19"/>
  <c r="W318" i="19"/>
  <c r="X318" i="19"/>
  <c r="Y318" i="19"/>
  <c r="Z318" i="19"/>
  <c r="AA318" i="19"/>
  <c r="AB318" i="19"/>
  <c r="U319" i="19"/>
  <c r="V319" i="19"/>
  <c r="W319" i="19"/>
  <c r="X319" i="19"/>
  <c r="Y319" i="19"/>
  <c r="Z319" i="19"/>
  <c r="AA319" i="19"/>
  <c r="AB319" i="19"/>
  <c r="U320" i="19"/>
  <c r="V320" i="19"/>
  <c r="W320" i="19"/>
  <c r="X320" i="19"/>
  <c r="Y320" i="19"/>
  <c r="Z320" i="19"/>
  <c r="AA320" i="19"/>
  <c r="AB320" i="19"/>
  <c r="U321" i="19"/>
  <c r="V321" i="19"/>
  <c r="W321" i="19"/>
  <c r="X321" i="19"/>
  <c r="Y321" i="19"/>
  <c r="Z321" i="19"/>
  <c r="AA321" i="19"/>
  <c r="AB321" i="19"/>
  <c r="U322" i="19"/>
  <c r="V322" i="19"/>
  <c r="W322" i="19"/>
  <c r="X322" i="19"/>
  <c r="Y322" i="19"/>
  <c r="Z322" i="19"/>
  <c r="AA322" i="19"/>
  <c r="AB322" i="19"/>
  <c r="U323" i="19"/>
  <c r="V323" i="19"/>
  <c r="W323" i="19"/>
  <c r="X323" i="19"/>
  <c r="Y323" i="19"/>
  <c r="Z323" i="19"/>
  <c r="AA323" i="19"/>
  <c r="AB323" i="19"/>
  <c r="U324" i="19"/>
  <c r="V324" i="19"/>
  <c r="W324" i="19"/>
  <c r="X324" i="19"/>
  <c r="Y324" i="19"/>
  <c r="Z324" i="19"/>
  <c r="AA324" i="19"/>
  <c r="AB324" i="19"/>
  <c r="U325" i="19"/>
  <c r="V325" i="19"/>
  <c r="W325" i="19"/>
  <c r="X325" i="19"/>
  <c r="Y325" i="19"/>
  <c r="Z325" i="19"/>
  <c r="AA325" i="19"/>
  <c r="AB325" i="19"/>
  <c r="U326" i="19"/>
  <c r="V326" i="19"/>
  <c r="W326" i="19"/>
  <c r="X326" i="19"/>
  <c r="Y326" i="19"/>
  <c r="Z326" i="19"/>
  <c r="AA326" i="19"/>
  <c r="AB326" i="19"/>
  <c r="U327" i="19"/>
  <c r="V327" i="19"/>
  <c r="W327" i="19"/>
  <c r="X327" i="19"/>
  <c r="Y327" i="19"/>
  <c r="Z327" i="19"/>
  <c r="AA327" i="19"/>
  <c r="AB327" i="19"/>
  <c r="U328" i="19"/>
  <c r="V328" i="19"/>
  <c r="W328" i="19"/>
  <c r="X328" i="19"/>
  <c r="Y328" i="19"/>
  <c r="Z328" i="19"/>
  <c r="AA328" i="19"/>
  <c r="AB328" i="19"/>
  <c r="U329" i="19"/>
  <c r="V329" i="19"/>
  <c r="W329" i="19"/>
  <c r="X329" i="19"/>
  <c r="Y329" i="19"/>
  <c r="Z329" i="19"/>
  <c r="AA329" i="19"/>
  <c r="AB329" i="19"/>
  <c r="U330" i="19"/>
  <c r="V330" i="19"/>
  <c r="W330" i="19"/>
  <c r="X330" i="19"/>
  <c r="Y330" i="19"/>
  <c r="Z330" i="19"/>
  <c r="AA330" i="19"/>
  <c r="AB330" i="19"/>
  <c r="U331" i="19"/>
  <c r="V331" i="19"/>
  <c r="W331" i="19"/>
  <c r="X331" i="19"/>
  <c r="Y331" i="19"/>
  <c r="Z331" i="19"/>
  <c r="AA331" i="19"/>
  <c r="AB331" i="19"/>
  <c r="U332" i="19"/>
  <c r="V332" i="19"/>
  <c r="W332" i="19"/>
  <c r="X332" i="19"/>
  <c r="Y332" i="19"/>
  <c r="Z332" i="19"/>
  <c r="AA332" i="19"/>
  <c r="AB332" i="19"/>
  <c r="U333" i="19"/>
  <c r="V333" i="19"/>
  <c r="W333" i="19"/>
  <c r="X333" i="19"/>
  <c r="Y333" i="19"/>
  <c r="Z333" i="19"/>
  <c r="AA333" i="19"/>
  <c r="AB333" i="19"/>
  <c r="U334" i="19"/>
  <c r="V334" i="19"/>
  <c r="W334" i="19"/>
  <c r="X334" i="19"/>
  <c r="Y334" i="19"/>
  <c r="Z334" i="19"/>
  <c r="AA334" i="19"/>
  <c r="AB334" i="19"/>
  <c r="U335" i="19"/>
  <c r="V335" i="19"/>
  <c r="W335" i="19"/>
  <c r="X335" i="19"/>
  <c r="Y335" i="19"/>
  <c r="Z335" i="19"/>
  <c r="AA335" i="19"/>
  <c r="AB335" i="19"/>
  <c r="U336" i="19"/>
  <c r="V336" i="19"/>
  <c r="W336" i="19"/>
  <c r="X336" i="19"/>
  <c r="Y336" i="19"/>
  <c r="Z336" i="19"/>
  <c r="AA336" i="19"/>
  <c r="AB336" i="19"/>
  <c r="U337" i="19"/>
  <c r="V337" i="19"/>
  <c r="W337" i="19"/>
  <c r="X337" i="19"/>
  <c r="Y337" i="19"/>
  <c r="Z337" i="19"/>
  <c r="AA337" i="19"/>
  <c r="AB337" i="19"/>
  <c r="U338" i="19"/>
  <c r="V338" i="19"/>
  <c r="W338" i="19"/>
  <c r="X338" i="19"/>
  <c r="Y338" i="19"/>
  <c r="Z338" i="19"/>
  <c r="AA338" i="19"/>
  <c r="AB338" i="19"/>
  <c r="U339" i="19"/>
  <c r="V339" i="19"/>
  <c r="W339" i="19"/>
  <c r="X339" i="19"/>
  <c r="Y339" i="19"/>
  <c r="Z339" i="19"/>
  <c r="AA339" i="19"/>
  <c r="AB339" i="19"/>
  <c r="U340" i="19"/>
  <c r="V340" i="19"/>
  <c r="W340" i="19"/>
  <c r="X340" i="19"/>
  <c r="Y340" i="19"/>
  <c r="Z340" i="19"/>
  <c r="AA340" i="19"/>
  <c r="AB340" i="19"/>
  <c r="U341" i="19"/>
  <c r="V341" i="19"/>
  <c r="W341" i="19"/>
  <c r="X341" i="19"/>
  <c r="Y341" i="19"/>
  <c r="Z341" i="19"/>
  <c r="AA341" i="19"/>
  <c r="AB341" i="19"/>
  <c r="U342" i="19"/>
  <c r="V342" i="19"/>
  <c r="W342" i="19"/>
  <c r="X342" i="19"/>
  <c r="Y342" i="19"/>
  <c r="Z342" i="19"/>
  <c r="AA342" i="19"/>
  <c r="AB342" i="19"/>
  <c r="U343" i="19"/>
  <c r="V343" i="19"/>
  <c r="W343" i="19"/>
  <c r="X343" i="19"/>
  <c r="Y343" i="19"/>
  <c r="Z343" i="19"/>
  <c r="AA343" i="19"/>
  <c r="AB343" i="19"/>
  <c r="U344" i="19"/>
  <c r="V344" i="19"/>
  <c r="W344" i="19"/>
  <c r="X344" i="19"/>
  <c r="Y344" i="19"/>
  <c r="Z344" i="19"/>
  <c r="AA344" i="19"/>
  <c r="AB344" i="19"/>
  <c r="U345" i="19"/>
  <c r="V345" i="19"/>
  <c r="W345" i="19"/>
  <c r="X345" i="19"/>
  <c r="Y345" i="19"/>
  <c r="Z345" i="19"/>
  <c r="AA345" i="19"/>
  <c r="AB345" i="19"/>
  <c r="U346" i="19"/>
  <c r="V346" i="19"/>
  <c r="W346" i="19"/>
  <c r="X346" i="19"/>
  <c r="Y346" i="19"/>
  <c r="Z346" i="19"/>
  <c r="AA346" i="19"/>
  <c r="AB346" i="19"/>
  <c r="U347" i="19"/>
  <c r="V347" i="19"/>
  <c r="W347" i="19"/>
  <c r="X347" i="19"/>
  <c r="Y347" i="19"/>
  <c r="Z347" i="19"/>
  <c r="AA347" i="19"/>
  <c r="AB347" i="19"/>
  <c r="U348" i="19"/>
  <c r="V348" i="19"/>
  <c r="W348" i="19"/>
  <c r="X348" i="19"/>
  <c r="Y348" i="19"/>
  <c r="Z348" i="19"/>
  <c r="AA348" i="19"/>
  <c r="AB348" i="19"/>
  <c r="U349" i="19"/>
  <c r="V349" i="19"/>
  <c r="W349" i="19"/>
  <c r="X349" i="19"/>
  <c r="Y349" i="19"/>
  <c r="Z349" i="19"/>
  <c r="AA349" i="19"/>
  <c r="AB349" i="19"/>
  <c r="U350" i="19"/>
  <c r="V350" i="19"/>
  <c r="W350" i="19"/>
  <c r="X350" i="19"/>
  <c r="Y350" i="19"/>
  <c r="Z350" i="19"/>
  <c r="AA350" i="19"/>
  <c r="AB350" i="19"/>
  <c r="U351" i="19"/>
  <c r="V351" i="19"/>
  <c r="W351" i="19"/>
  <c r="X351" i="19"/>
  <c r="Y351" i="19"/>
  <c r="Z351" i="19"/>
  <c r="AA351" i="19"/>
  <c r="AB351" i="19"/>
  <c r="U352" i="19"/>
  <c r="V352" i="19"/>
  <c r="W352" i="19"/>
  <c r="X352" i="19"/>
  <c r="Y352" i="19"/>
  <c r="Z352" i="19"/>
  <c r="AA352" i="19"/>
  <c r="AB352" i="19"/>
  <c r="U353" i="19"/>
  <c r="V353" i="19"/>
  <c r="W353" i="19"/>
  <c r="X353" i="19"/>
  <c r="Y353" i="19"/>
  <c r="Z353" i="19"/>
  <c r="AA353" i="19"/>
  <c r="AB353" i="19"/>
  <c r="U354" i="19"/>
  <c r="V354" i="19"/>
  <c r="W354" i="19"/>
  <c r="X354" i="19"/>
  <c r="Y354" i="19"/>
  <c r="Z354" i="19"/>
  <c r="AA354" i="19"/>
  <c r="AB354" i="19"/>
  <c r="U355" i="19"/>
  <c r="V355" i="19"/>
  <c r="W355" i="19"/>
  <c r="X355" i="19"/>
  <c r="Y355" i="19"/>
  <c r="Z355" i="19"/>
  <c r="AA355" i="19"/>
  <c r="AB355" i="19"/>
  <c r="U356" i="19"/>
  <c r="V356" i="19"/>
  <c r="W356" i="19"/>
  <c r="X356" i="19"/>
  <c r="Y356" i="19"/>
  <c r="Z356" i="19"/>
  <c r="AA356" i="19"/>
  <c r="AB356" i="19"/>
  <c r="U357" i="19"/>
  <c r="V357" i="19"/>
  <c r="W357" i="19"/>
  <c r="X357" i="19"/>
  <c r="Y357" i="19"/>
  <c r="Z357" i="19"/>
  <c r="AA357" i="19"/>
  <c r="AB357" i="19"/>
  <c r="U358" i="19"/>
  <c r="V358" i="19"/>
  <c r="W358" i="19"/>
  <c r="X358" i="19"/>
  <c r="Y358" i="19"/>
  <c r="Z358" i="19"/>
  <c r="AA358" i="19"/>
  <c r="AB358" i="19"/>
  <c r="U359" i="19"/>
  <c r="V359" i="19"/>
  <c r="W359" i="19"/>
  <c r="X359" i="19"/>
  <c r="Y359" i="19"/>
  <c r="Z359" i="19"/>
  <c r="AA359" i="19"/>
  <c r="AB359" i="19"/>
  <c r="U360" i="19"/>
  <c r="V360" i="19"/>
  <c r="W360" i="19"/>
  <c r="X360" i="19"/>
  <c r="Y360" i="19"/>
  <c r="Z360" i="19"/>
  <c r="AA360" i="19"/>
  <c r="AB360" i="19"/>
  <c r="U361" i="19"/>
  <c r="V361" i="19"/>
  <c r="W361" i="19"/>
  <c r="X361" i="19"/>
  <c r="Y361" i="19"/>
  <c r="Z361" i="19"/>
  <c r="AA361" i="19"/>
  <c r="AB361" i="19"/>
  <c r="U362" i="19"/>
  <c r="V362" i="19"/>
  <c r="W362" i="19"/>
  <c r="X362" i="19"/>
  <c r="Y362" i="19"/>
  <c r="Z362" i="19"/>
  <c r="AA362" i="19"/>
  <c r="AB362" i="19"/>
  <c r="U363" i="19"/>
  <c r="V363" i="19"/>
  <c r="W363" i="19"/>
  <c r="X363" i="19"/>
  <c r="Y363" i="19"/>
  <c r="Z363" i="19"/>
  <c r="AA363" i="19"/>
  <c r="AB363" i="19"/>
  <c r="U364" i="19"/>
  <c r="V364" i="19"/>
  <c r="W364" i="19"/>
  <c r="X364" i="19"/>
  <c r="Y364" i="19"/>
  <c r="Z364" i="19"/>
  <c r="AA364" i="19"/>
  <c r="AB364" i="19"/>
  <c r="U365" i="19"/>
  <c r="V365" i="19"/>
  <c r="W365" i="19"/>
  <c r="X365" i="19"/>
  <c r="Y365" i="19"/>
  <c r="Z365" i="19"/>
  <c r="AA365" i="19"/>
  <c r="AB365" i="19"/>
  <c r="U366" i="19"/>
  <c r="V366" i="19"/>
  <c r="W366" i="19"/>
  <c r="X366" i="19"/>
  <c r="Y366" i="19"/>
  <c r="Z366" i="19"/>
  <c r="AA366" i="19"/>
  <c r="AB366" i="19"/>
  <c r="U367" i="19"/>
  <c r="V367" i="19"/>
  <c r="W367" i="19"/>
  <c r="X367" i="19"/>
  <c r="Y367" i="19"/>
  <c r="Z367" i="19"/>
  <c r="AA367" i="19"/>
  <c r="AB367" i="19"/>
  <c r="U368" i="19"/>
  <c r="V368" i="19"/>
  <c r="W368" i="19"/>
  <c r="X368" i="19"/>
  <c r="Y368" i="19"/>
  <c r="Z368" i="19"/>
  <c r="AA368" i="19"/>
  <c r="AB368" i="19"/>
  <c r="U369" i="19"/>
  <c r="V369" i="19"/>
  <c r="W369" i="19"/>
  <c r="X369" i="19"/>
  <c r="Y369" i="19"/>
  <c r="Z369" i="19"/>
  <c r="AA369" i="19"/>
  <c r="AB369" i="19"/>
  <c r="U370" i="19"/>
  <c r="V370" i="19"/>
  <c r="W370" i="19"/>
  <c r="X370" i="19"/>
  <c r="Y370" i="19"/>
  <c r="Z370" i="19"/>
  <c r="AA370" i="19"/>
  <c r="AB370" i="19"/>
  <c r="U371" i="19"/>
  <c r="V371" i="19"/>
  <c r="W371" i="19"/>
  <c r="X371" i="19"/>
  <c r="Y371" i="19"/>
  <c r="Z371" i="19"/>
  <c r="AA371" i="19"/>
  <c r="AB371" i="19"/>
  <c r="U372" i="19"/>
  <c r="V372" i="19"/>
  <c r="W372" i="19"/>
  <c r="X372" i="19"/>
  <c r="Y372" i="19"/>
  <c r="Z372" i="19"/>
  <c r="AA372" i="19"/>
  <c r="AB372" i="19"/>
  <c r="U373" i="19"/>
  <c r="V373" i="19"/>
  <c r="W373" i="19"/>
  <c r="X373" i="19"/>
  <c r="Y373" i="19"/>
  <c r="Z373" i="19"/>
  <c r="AA373" i="19"/>
  <c r="AB373" i="19"/>
  <c r="U374" i="19"/>
  <c r="V374" i="19"/>
  <c r="W374" i="19"/>
  <c r="X374" i="19"/>
  <c r="Y374" i="19"/>
  <c r="Z374" i="19"/>
  <c r="AA374" i="19"/>
  <c r="AB374" i="19"/>
  <c r="U375" i="19"/>
  <c r="V375" i="19"/>
  <c r="W375" i="19"/>
  <c r="X375" i="19"/>
  <c r="Y375" i="19"/>
  <c r="Z375" i="19"/>
  <c r="AA375" i="19"/>
  <c r="AB375" i="19"/>
  <c r="U376" i="19"/>
  <c r="V376" i="19"/>
  <c r="W376" i="19"/>
  <c r="X376" i="19"/>
  <c r="Y376" i="19"/>
  <c r="Z376" i="19"/>
  <c r="AA376" i="19"/>
  <c r="AB376" i="19"/>
  <c r="U377" i="19"/>
  <c r="V377" i="19"/>
  <c r="W377" i="19"/>
  <c r="X377" i="19"/>
  <c r="Y377" i="19"/>
  <c r="Z377" i="19"/>
  <c r="AA377" i="19"/>
  <c r="AB377" i="19"/>
  <c r="U378" i="19"/>
  <c r="V378" i="19"/>
  <c r="W378" i="19"/>
  <c r="X378" i="19"/>
  <c r="Y378" i="19"/>
  <c r="Z378" i="19"/>
  <c r="AA378" i="19"/>
  <c r="AB378" i="19"/>
  <c r="U379" i="19"/>
  <c r="V379" i="19"/>
  <c r="W379" i="19"/>
  <c r="X379" i="19"/>
  <c r="Y379" i="19"/>
  <c r="Z379" i="19"/>
  <c r="AA379" i="19"/>
  <c r="AB379" i="19"/>
  <c r="U380" i="19"/>
  <c r="V380" i="19"/>
  <c r="W380" i="19"/>
  <c r="X380" i="19"/>
  <c r="Y380" i="19"/>
  <c r="Z380" i="19"/>
  <c r="AA380" i="19"/>
  <c r="AB380" i="19"/>
  <c r="U381" i="19"/>
  <c r="V381" i="19"/>
  <c r="W381" i="19"/>
  <c r="X381" i="19"/>
  <c r="Y381" i="19"/>
  <c r="Z381" i="19"/>
  <c r="AA381" i="19"/>
  <c r="AB381" i="19"/>
  <c r="U382" i="19"/>
  <c r="V382" i="19"/>
  <c r="W382" i="19"/>
  <c r="X382" i="19"/>
  <c r="Y382" i="19"/>
  <c r="Z382" i="19"/>
  <c r="AA382" i="19"/>
  <c r="AB382" i="19"/>
  <c r="U383" i="19"/>
  <c r="V383" i="19"/>
  <c r="W383" i="19"/>
  <c r="X383" i="19"/>
  <c r="Y383" i="19"/>
  <c r="Z383" i="19"/>
  <c r="AA383" i="19"/>
  <c r="AB383" i="19"/>
  <c r="U384" i="19"/>
  <c r="V384" i="19"/>
  <c r="W384" i="19"/>
  <c r="X384" i="19"/>
  <c r="Y384" i="19"/>
  <c r="Z384" i="19"/>
  <c r="AA384" i="19"/>
  <c r="AB384" i="19"/>
  <c r="U385" i="19"/>
  <c r="V385" i="19"/>
  <c r="W385" i="19"/>
  <c r="X385" i="19"/>
  <c r="Y385" i="19"/>
  <c r="Z385" i="19"/>
  <c r="AA385" i="19"/>
  <c r="AB385" i="19"/>
  <c r="U386" i="19"/>
  <c r="V386" i="19"/>
  <c r="W386" i="19"/>
  <c r="X386" i="19"/>
  <c r="Y386" i="19"/>
  <c r="Z386" i="19"/>
  <c r="AA386" i="19"/>
  <c r="AB386" i="19"/>
  <c r="U387" i="19"/>
  <c r="V387" i="19"/>
  <c r="W387" i="19"/>
  <c r="X387" i="19"/>
  <c r="Y387" i="19"/>
  <c r="Z387" i="19"/>
  <c r="AA387" i="19"/>
  <c r="AB387" i="19"/>
  <c r="U388" i="19"/>
  <c r="V388" i="19"/>
  <c r="W388" i="19"/>
  <c r="X388" i="19"/>
  <c r="Y388" i="19"/>
  <c r="Z388" i="19"/>
  <c r="AA388" i="19"/>
  <c r="AB388" i="19"/>
  <c r="U389" i="19"/>
  <c r="V389" i="19"/>
  <c r="W389" i="19"/>
  <c r="X389" i="19"/>
  <c r="Y389" i="19"/>
  <c r="Z389" i="19"/>
  <c r="AA389" i="19"/>
  <c r="AB389" i="19"/>
  <c r="U390" i="19"/>
  <c r="V390" i="19"/>
  <c r="W390" i="19"/>
  <c r="X390" i="19"/>
  <c r="Y390" i="19"/>
  <c r="Z390" i="19"/>
  <c r="AA390" i="19"/>
  <c r="AB390" i="19"/>
  <c r="U391" i="19"/>
  <c r="V391" i="19"/>
  <c r="W391" i="19"/>
  <c r="X391" i="19"/>
  <c r="Y391" i="19"/>
  <c r="Z391" i="19"/>
  <c r="AA391" i="19"/>
  <c r="AB391" i="19"/>
  <c r="U392" i="19"/>
  <c r="V392" i="19"/>
  <c r="W392" i="19"/>
  <c r="X392" i="19"/>
  <c r="Y392" i="19"/>
  <c r="Z392" i="19"/>
  <c r="AA392" i="19"/>
  <c r="AB392" i="19"/>
  <c r="U393" i="19"/>
  <c r="V393" i="19"/>
  <c r="W393" i="19"/>
  <c r="X393" i="19"/>
  <c r="Y393" i="19"/>
  <c r="Z393" i="19"/>
  <c r="AA393" i="19"/>
  <c r="AB393" i="19"/>
  <c r="U394" i="19"/>
  <c r="V394" i="19"/>
  <c r="W394" i="19"/>
  <c r="X394" i="19"/>
  <c r="Y394" i="19"/>
  <c r="Z394" i="19"/>
  <c r="AA394" i="19"/>
  <c r="AB394" i="19"/>
  <c r="U395" i="19"/>
  <c r="V395" i="19"/>
  <c r="W395" i="19"/>
  <c r="X395" i="19"/>
  <c r="Y395" i="19"/>
  <c r="Z395" i="19"/>
  <c r="AA395" i="19"/>
  <c r="AB395" i="19"/>
  <c r="U396" i="19"/>
  <c r="V396" i="19"/>
  <c r="W396" i="19"/>
  <c r="X396" i="19"/>
  <c r="Y396" i="19"/>
  <c r="Z396" i="19"/>
  <c r="AA396" i="19"/>
  <c r="AB396" i="19"/>
  <c r="U397" i="19"/>
  <c r="V397" i="19"/>
  <c r="W397" i="19"/>
  <c r="X397" i="19"/>
  <c r="Y397" i="19"/>
  <c r="Z397" i="19"/>
  <c r="AA397" i="19"/>
  <c r="AB397" i="19"/>
  <c r="U398" i="19"/>
  <c r="V398" i="19"/>
  <c r="W398" i="19"/>
  <c r="X398" i="19"/>
  <c r="Y398" i="19"/>
  <c r="Z398" i="19"/>
  <c r="AA398" i="19"/>
  <c r="AB398" i="19"/>
  <c r="U399" i="19"/>
  <c r="V399" i="19"/>
  <c r="W399" i="19"/>
  <c r="X399" i="19"/>
  <c r="Y399" i="19"/>
  <c r="Z399" i="19"/>
  <c r="AA399" i="19"/>
  <c r="AB399" i="19"/>
  <c r="U400" i="19"/>
  <c r="V400" i="19"/>
  <c r="W400" i="19"/>
  <c r="X400" i="19"/>
  <c r="Y400" i="19"/>
  <c r="Z400" i="19"/>
  <c r="AA400" i="19"/>
  <c r="AB400" i="19"/>
  <c r="U401" i="19"/>
  <c r="V401" i="19"/>
  <c r="W401" i="19"/>
  <c r="X401" i="19"/>
  <c r="Y401" i="19"/>
  <c r="Z401" i="19"/>
  <c r="AA401" i="19"/>
  <c r="AB401" i="19"/>
  <c r="U402" i="19"/>
  <c r="V402" i="19"/>
  <c r="W402" i="19"/>
  <c r="X402" i="19"/>
  <c r="Y402" i="19"/>
  <c r="Z402" i="19"/>
  <c r="AA402" i="19"/>
  <c r="AB402" i="19"/>
  <c r="U403" i="19"/>
  <c r="V403" i="19"/>
  <c r="W403" i="19"/>
  <c r="X403" i="19"/>
  <c r="Y403" i="19"/>
  <c r="Z403" i="19"/>
  <c r="AA403" i="19"/>
  <c r="AB403" i="19"/>
  <c r="U404" i="19"/>
  <c r="V404" i="19"/>
  <c r="W404" i="19"/>
  <c r="X404" i="19"/>
  <c r="Y404" i="19"/>
  <c r="Z404" i="19"/>
  <c r="AA404" i="19"/>
  <c r="AB404" i="19"/>
  <c r="U405" i="19"/>
  <c r="V405" i="19"/>
  <c r="W405" i="19"/>
  <c r="X405" i="19"/>
  <c r="Y405" i="19"/>
  <c r="Z405" i="19"/>
  <c r="AA405" i="19"/>
  <c r="AB405" i="19"/>
  <c r="U406" i="19"/>
  <c r="V406" i="19"/>
  <c r="W406" i="19"/>
  <c r="X406" i="19"/>
  <c r="Y406" i="19"/>
  <c r="Z406" i="19"/>
  <c r="AA406" i="19"/>
  <c r="AB406" i="19"/>
  <c r="U407" i="19"/>
  <c r="V407" i="19"/>
  <c r="W407" i="19"/>
  <c r="X407" i="19"/>
  <c r="Y407" i="19"/>
  <c r="Z407" i="19"/>
  <c r="AA407" i="19"/>
  <c r="AB407" i="19"/>
  <c r="U408" i="19"/>
  <c r="V408" i="19"/>
  <c r="W408" i="19"/>
  <c r="X408" i="19"/>
  <c r="Y408" i="19"/>
  <c r="Z408" i="19"/>
  <c r="AA408" i="19"/>
  <c r="AB408" i="19"/>
  <c r="U409" i="19"/>
  <c r="V409" i="19"/>
  <c r="W409" i="19"/>
  <c r="X409" i="19"/>
  <c r="Y409" i="19"/>
  <c r="Z409" i="19"/>
  <c r="AA409" i="19"/>
  <c r="AB409" i="19"/>
  <c r="U410" i="19"/>
  <c r="V410" i="19"/>
  <c r="W410" i="19"/>
  <c r="X410" i="19"/>
  <c r="Y410" i="19"/>
  <c r="Z410" i="19"/>
  <c r="AA410" i="19"/>
  <c r="AB410" i="19"/>
  <c r="U411" i="19"/>
  <c r="V411" i="19"/>
  <c r="W411" i="19"/>
  <c r="X411" i="19"/>
  <c r="Y411" i="19"/>
  <c r="Z411" i="19"/>
  <c r="AA411" i="19"/>
  <c r="AB411" i="19"/>
  <c r="U412" i="19"/>
  <c r="V412" i="19"/>
  <c r="W412" i="19"/>
  <c r="X412" i="19"/>
  <c r="Y412" i="19"/>
  <c r="Z412" i="19"/>
  <c r="AA412" i="19"/>
  <c r="AB412" i="19"/>
  <c r="U413" i="19"/>
  <c r="V413" i="19"/>
  <c r="W413" i="19"/>
  <c r="X413" i="19"/>
  <c r="Y413" i="19"/>
  <c r="Z413" i="19"/>
  <c r="AA413" i="19"/>
  <c r="AB413" i="19"/>
  <c r="U414" i="19"/>
  <c r="V414" i="19"/>
  <c r="W414" i="19"/>
  <c r="X414" i="19"/>
  <c r="Y414" i="19"/>
  <c r="Z414" i="19"/>
  <c r="AA414" i="19"/>
  <c r="AB414" i="19"/>
  <c r="U415" i="19"/>
  <c r="V415" i="19"/>
  <c r="W415" i="19"/>
  <c r="X415" i="19"/>
  <c r="Y415" i="19"/>
  <c r="Z415" i="19"/>
  <c r="AA415" i="19"/>
  <c r="AB415" i="19"/>
  <c r="U416" i="19"/>
  <c r="V416" i="19"/>
  <c r="W416" i="19"/>
  <c r="X416" i="19"/>
  <c r="Y416" i="19"/>
  <c r="Z416" i="19"/>
  <c r="AA416" i="19"/>
  <c r="AB416" i="19"/>
  <c r="U417" i="19"/>
  <c r="V417" i="19"/>
  <c r="W417" i="19"/>
  <c r="X417" i="19"/>
  <c r="Y417" i="19"/>
  <c r="Z417" i="19"/>
  <c r="AA417" i="19"/>
  <c r="AB417" i="19"/>
  <c r="U418" i="19"/>
  <c r="V418" i="19"/>
  <c r="W418" i="19"/>
  <c r="X418" i="19"/>
  <c r="Y418" i="19"/>
  <c r="Z418" i="19"/>
  <c r="AA418" i="19"/>
  <c r="AB418" i="19"/>
  <c r="U419" i="19"/>
  <c r="V419" i="19"/>
  <c r="W419" i="19"/>
  <c r="X419" i="19"/>
  <c r="Y419" i="19"/>
  <c r="Z419" i="19"/>
  <c r="AA419" i="19"/>
  <c r="AB419" i="19"/>
  <c r="U420" i="19"/>
  <c r="V420" i="19"/>
  <c r="W420" i="19"/>
  <c r="X420" i="19"/>
  <c r="Y420" i="19"/>
  <c r="Z420" i="19"/>
  <c r="AA420" i="19"/>
  <c r="AB420" i="19"/>
  <c r="U421" i="19"/>
  <c r="V421" i="19"/>
  <c r="W421" i="19"/>
  <c r="X421" i="19"/>
  <c r="Y421" i="19"/>
  <c r="Z421" i="19"/>
  <c r="AA421" i="19"/>
  <c r="AB421" i="19"/>
  <c r="U422" i="19"/>
  <c r="V422" i="19"/>
  <c r="W422" i="19"/>
  <c r="X422" i="19"/>
  <c r="Y422" i="19"/>
  <c r="Z422" i="19"/>
  <c r="AA422" i="19"/>
  <c r="AB422" i="19"/>
  <c r="U423" i="19"/>
  <c r="V423" i="19"/>
  <c r="W423" i="19"/>
  <c r="X423" i="19"/>
  <c r="Y423" i="19"/>
  <c r="Z423" i="19"/>
  <c r="AA423" i="19"/>
  <c r="AB423" i="19"/>
  <c r="U424" i="19"/>
  <c r="V424" i="19"/>
  <c r="W424" i="19"/>
  <c r="X424" i="19"/>
  <c r="Y424" i="19"/>
  <c r="Z424" i="19"/>
  <c r="AA424" i="19"/>
  <c r="AB424" i="19"/>
  <c r="U425" i="19"/>
  <c r="V425" i="19"/>
  <c r="W425" i="19"/>
  <c r="X425" i="19"/>
  <c r="Y425" i="19"/>
  <c r="Z425" i="19"/>
  <c r="AA425" i="19"/>
  <c r="AB425" i="19"/>
  <c r="U426" i="19"/>
  <c r="V426" i="19"/>
  <c r="W426" i="19"/>
  <c r="X426" i="19"/>
  <c r="Y426" i="19"/>
  <c r="Z426" i="19"/>
  <c r="AA426" i="19"/>
  <c r="AB426" i="19"/>
  <c r="U427" i="19"/>
  <c r="V427" i="19"/>
  <c r="W427" i="19"/>
  <c r="X427" i="19"/>
  <c r="Y427" i="19"/>
  <c r="Z427" i="19"/>
  <c r="AA427" i="19"/>
  <c r="AB427" i="19"/>
  <c r="U428" i="19"/>
  <c r="V428" i="19"/>
  <c r="W428" i="19"/>
  <c r="X428" i="19"/>
  <c r="Y428" i="19"/>
  <c r="Z428" i="19"/>
  <c r="AA428" i="19"/>
  <c r="AB428" i="19"/>
  <c r="U429" i="19"/>
  <c r="V429" i="19"/>
  <c r="W429" i="19"/>
  <c r="X429" i="19"/>
  <c r="Y429" i="19"/>
  <c r="Z429" i="19"/>
  <c r="AA429" i="19"/>
  <c r="AB429" i="19"/>
  <c r="U430" i="19"/>
  <c r="V430" i="19"/>
  <c r="W430" i="19"/>
  <c r="X430" i="19"/>
  <c r="Y430" i="19"/>
  <c r="Z430" i="19"/>
  <c r="AA430" i="19"/>
  <c r="AB430" i="19"/>
  <c r="U431" i="19"/>
  <c r="V431" i="19"/>
  <c r="W431" i="19"/>
  <c r="X431" i="19"/>
  <c r="Y431" i="19"/>
  <c r="Z431" i="19"/>
  <c r="AA431" i="19"/>
  <c r="AB431" i="19"/>
  <c r="U432" i="19"/>
  <c r="V432" i="19"/>
  <c r="W432" i="19"/>
  <c r="X432" i="19"/>
  <c r="Y432" i="19"/>
  <c r="Z432" i="19"/>
  <c r="AA432" i="19"/>
  <c r="AB432" i="19"/>
  <c r="U433" i="19"/>
  <c r="V433" i="19"/>
  <c r="W433" i="19"/>
  <c r="X433" i="19"/>
  <c r="Y433" i="19"/>
  <c r="Z433" i="19"/>
  <c r="AA433" i="19"/>
  <c r="AB433" i="19"/>
  <c r="U434" i="19"/>
  <c r="V434" i="19"/>
  <c r="W434" i="19"/>
  <c r="X434" i="19"/>
  <c r="Y434" i="19"/>
  <c r="Z434" i="19"/>
  <c r="AA434" i="19"/>
  <c r="AB434" i="19"/>
  <c r="U435" i="19"/>
  <c r="V435" i="19"/>
  <c r="W435" i="19"/>
  <c r="X435" i="19"/>
  <c r="Y435" i="19"/>
  <c r="Z435" i="19"/>
  <c r="AA435" i="19"/>
  <c r="AB435" i="19"/>
  <c r="U436" i="19"/>
  <c r="V436" i="19"/>
  <c r="W436" i="19"/>
  <c r="X436" i="19"/>
  <c r="Y436" i="19"/>
  <c r="Z436" i="19"/>
  <c r="AA436" i="19"/>
  <c r="AB436" i="19"/>
  <c r="U437" i="19"/>
  <c r="V437" i="19"/>
  <c r="W437" i="19"/>
  <c r="X437" i="19"/>
  <c r="Y437" i="19"/>
  <c r="Z437" i="19"/>
  <c r="AA437" i="19"/>
  <c r="AB437" i="19"/>
  <c r="U438" i="19"/>
  <c r="V438" i="19"/>
  <c r="W438" i="19"/>
  <c r="X438" i="19"/>
  <c r="Y438" i="19"/>
  <c r="Z438" i="19"/>
  <c r="AA438" i="19"/>
  <c r="AB438" i="19"/>
  <c r="U439" i="19"/>
  <c r="V439" i="19"/>
  <c r="W439" i="19"/>
  <c r="X439" i="19"/>
  <c r="Y439" i="19"/>
  <c r="Z439" i="19"/>
  <c r="AA439" i="19"/>
  <c r="AB439" i="19"/>
  <c r="U440" i="19"/>
  <c r="V440" i="19"/>
  <c r="W440" i="19"/>
  <c r="X440" i="19"/>
  <c r="Y440" i="19"/>
  <c r="Z440" i="19"/>
  <c r="AA440" i="19"/>
  <c r="AB440" i="19"/>
  <c r="U441" i="19"/>
  <c r="V441" i="19"/>
  <c r="W441" i="19"/>
  <c r="X441" i="19"/>
  <c r="Y441" i="19"/>
  <c r="Z441" i="19"/>
  <c r="AA441" i="19"/>
  <c r="AB441" i="19"/>
  <c r="U442" i="19"/>
  <c r="V442" i="19"/>
  <c r="W442" i="19"/>
  <c r="X442" i="19"/>
  <c r="Y442" i="19"/>
  <c r="Z442" i="19"/>
  <c r="AA442" i="19"/>
  <c r="AB442" i="19"/>
  <c r="U443" i="19"/>
  <c r="V443" i="19"/>
  <c r="W443" i="19"/>
  <c r="X443" i="19"/>
  <c r="Y443" i="19"/>
  <c r="Z443" i="19"/>
  <c r="AA443" i="19"/>
  <c r="AB443" i="19"/>
  <c r="U444" i="19"/>
  <c r="V444" i="19"/>
  <c r="W444" i="19"/>
  <c r="X444" i="19"/>
  <c r="Y444" i="19"/>
  <c r="Z444" i="19"/>
  <c r="AA444" i="19"/>
  <c r="AB444" i="19"/>
  <c r="U445" i="19"/>
  <c r="V445" i="19"/>
  <c r="W445" i="19"/>
  <c r="X445" i="19"/>
  <c r="Y445" i="19"/>
  <c r="Z445" i="19"/>
  <c r="AA445" i="19"/>
  <c r="AB445" i="19"/>
  <c r="U446" i="19"/>
  <c r="V446" i="19"/>
  <c r="W446" i="19"/>
  <c r="X446" i="19"/>
  <c r="Y446" i="19"/>
  <c r="Z446" i="19"/>
  <c r="AA446" i="19"/>
  <c r="AB446" i="19"/>
  <c r="U447" i="19"/>
  <c r="V447" i="19"/>
  <c r="W447" i="19"/>
  <c r="X447" i="19"/>
  <c r="Y447" i="19"/>
  <c r="Z447" i="19"/>
  <c r="AA447" i="19"/>
  <c r="AB447" i="19"/>
  <c r="U448" i="19"/>
  <c r="V448" i="19"/>
  <c r="W448" i="19"/>
  <c r="X448" i="19"/>
  <c r="Y448" i="19"/>
  <c r="Z448" i="19"/>
  <c r="AA448" i="19"/>
  <c r="AB448" i="19"/>
  <c r="U449" i="19"/>
  <c r="V449" i="19"/>
  <c r="W449" i="19"/>
  <c r="X449" i="19"/>
  <c r="Y449" i="19"/>
  <c r="Z449" i="19"/>
  <c r="AA449" i="19"/>
  <c r="AB449" i="19"/>
  <c r="U450" i="19"/>
  <c r="V450" i="19"/>
  <c r="W450" i="19"/>
  <c r="X450" i="19"/>
  <c r="Y450" i="19"/>
  <c r="Z450" i="19"/>
  <c r="AA450" i="19"/>
  <c r="AB450" i="19"/>
  <c r="U451" i="19"/>
  <c r="V451" i="19"/>
  <c r="W451" i="19"/>
  <c r="X451" i="19"/>
  <c r="Y451" i="19"/>
  <c r="Z451" i="19"/>
  <c r="AA451" i="19"/>
  <c r="AB451" i="19"/>
  <c r="U452" i="19"/>
  <c r="V452" i="19"/>
  <c r="W452" i="19"/>
  <c r="X452" i="19"/>
  <c r="Y452" i="19"/>
  <c r="Z452" i="19"/>
  <c r="AA452" i="19"/>
  <c r="AB452" i="19"/>
  <c r="U453" i="19"/>
  <c r="V453" i="19"/>
  <c r="W453" i="19"/>
  <c r="X453" i="19"/>
  <c r="Y453" i="19"/>
  <c r="Z453" i="19"/>
  <c r="AA453" i="19"/>
  <c r="AB453" i="19"/>
  <c r="U454" i="19"/>
  <c r="V454" i="19"/>
  <c r="W454" i="19"/>
  <c r="X454" i="19"/>
  <c r="Y454" i="19"/>
  <c r="Z454" i="19"/>
  <c r="AA454" i="19"/>
  <c r="AB454" i="19"/>
  <c r="U455" i="19"/>
  <c r="V455" i="19"/>
  <c r="W455" i="19"/>
  <c r="X455" i="19"/>
  <c r="Y455" i="19"/>
  <c r="Z455" i="19"/>
  <c r="AA455" i="19"/>
  <c r="AB455" i="19"/>
  <c r="U456" i="19"/>
  <c r="V456" i="19"/>
  <c r="W456" i="19"/>
  <c r="X456" i="19"/>
  <c r="Y456" i="19"/>
  <c r="Z456" i="19"/>
  <c r="AA456" i="19"/>
  <c r="AB456" i="19"/>
  <c r="U457" i="19"/>
  <c r="V457" i="19"/>
  <c r="W457" i="19"/>
  <c r="X457" i="19"/>
  <c r="Y457" i="19"/>
  <c r="Z457" i="19"/>
  <c r="AA457" i="19"/>
  <c r="AB457" i="19"/>
  <c r="U458" i="19"/>
  <c r="V458" i="19"/>
  <c r="W458" i="19"/>
  <c r="X458" i="19"/>
  <c r="Y458" i="19"/>
  <c r="Z458" i="19"/>
  <c r="AA458" i="19"/>
  <c r="AB458" i="19"/>
  <c r="U459" i="19"/>
  <c r="V459" i="19"/>
  <c r="W459" i="19"/>
  <c r="X459" i="19"/>
  <c r="Y459" i="19"/>
  <c r="Z459" i="19"/>
  <c r="AA459" i="19"/>
  <c r="AB459" i="19"/>
  <c r="U460" i="19"/>
  <c r="V460" i="19"/>
  <c r="W460" i="19"/>
  <c r="X460" i="19"/>
  <c r="Y460" i="19"/>
  <c r="Z460" i="19"/>
  <c r="AA460" i="19"/>
  <c r="AB460" i="19"/>
  <c r="U461" i="19"/>
  <c r="V461" i="19"/>
  <c r="W461" i="19"/>
  <c r="X461" i="19"/>
  <c r="Y461" i="19"/>
  <c r="Z461" i="19"/>
  <c r="AA461" i="19"/>
  <c r="AB461" i="19"/>
  <c r="U462" i="19"/>
  <c r="V462" i="19"/>
  <c r="W462" i="19"/>
  <c r="X462" i="19"/>
  <c r="Y462" i="19"/>
  <c r="Z462" i="19"/>
  <c r="AA462" i="19"/>
  <c r="AB462" i="19"/>
  <c r="U463" i="19"/>
  <c r="V463" i="19"/>
  <c r="W463" i="19"/>
  <c r="X463" i="19"/>
  <c r="Y463" i="19"/>
  <c r="Z463" i="19"/>
  <c r="AA463" i="19"/>
  <c r="AB463" i="19"/>
  <c r="U464" i="19"/>
  <c r="V464" i="19"/>
  <c r="W464" i="19"/>
  <c r="X464" i="19"/>
  <c r="Y464" i="19"/>
  <c r="Z464" i="19"/>
  <c r="AA464" i="19"/>
  <c r="AB464" i="19"/>
  <c r="U465" i="19"/>
  <c r="V465" i="19"/>
  <c r="W465" i="19"/>
  <c r="X465" i="19"/>
  <c r="Y465" i="19"/>
  <c r="Z465" i="19"/>
  <c r="AA465" i="19"/>
  <c r="AB465" i="19"/>
  <c r="U466" i="19"/>
  <c r="V466" i="19"/>
  <c r="W466" i="19"/>
  <c r="X466" i="19"/>
  <c r="Y466" i="19"/>
  <c r="Z466" i="19"/>
  <c r="AA466" i="19"/>
  <c r="AB466" i="19"/>
  <c r="U467" i="19"/>
  <c r="V467" i="19"/>
  <c r="W467" i="19"/>
  <c r="X467" i="19"/>
  <c r="Y467" i="19"/>
  <c r="Z467" i="19"/>
  <c r="AA467" i="19"/>
  <c r="AB467" i="19"/>
  <c r="U468" i="19"/>
  <c r="V468" i="19"/>
  <c r="W468" i="19"/>
  <c r="X468" i="19"/>
  <c r="Y468" i="19"/>
  <c r="Z468" i="19"/>
  <c r="AA468" i="19"/>
  <c r="AB468" i="19"/>
  <c r="U469" i="19"/>
  <c r="V469" i="19"/>
  <c r="W469" i="19"/>
  <c r="X469" i="19"/>
  <c r="Y469" i="19"/>
  <c r="Z469" i="19"/>
  <c r="AA469" i="19"/>
  <c r="AB469" i="19"/>
  <c r="U470" i="19"/>
  <c r="V470" i="19"/>
  <c r="W470" i="19"/>
  <c r="X470" i="19"/>
  <c r="Y470" i="19"/>
  <c r="Z470" i="19"/>
  <c r="AA470" i="19"/>
  <c r="AB470" i="19"/>
  <c r="U471" i="19"/>
  <c r="V471" i="19"/>
  <c r="W471" i="19"/>
  <c r="X471" i="19"/>
  <c r="Y471" i="19"/>
  <c r="Z471" i="19"/>
  <c r="AA471" i="19"/>
  <c r="AB471" i="19"/>
  <c r="U472" i="19"/>
  <c r="V472" i="19"/>
  <c r="W472" i="19"/>
  <c r="X472" i="19"/>
  <c r="Y472" i="19"/>
  <c r="Z472" i="19"/>
  <c r="AA472" i="19"/>
  <c r="AB472" i="19"/>
  <c r="U473" i="19"/>
  <c r="V473" i="19"/>
  <c r="W473" i="19"/>
  <c r="X473" i="19"/>
  <c r="Y473" i="19"/>
  <c r="Z473" i="19"/>
  <c r="AA473" i="19"/>
  <c r="AB473" i="19"/>
  <c r="U474" i="19"/>
  <c r="V474" i="19"/>
  <c r="W474" i="19"/>
  <c r="X474" i="19"/>
  <c r="Y474" i="19"/>
  <c r="Z474" i="19"/>
  <c r="AA474" i="19"/>
  <c r="AB474" i="19"/>
  <c r="U475" i="19"/>
  <c r="V475" i="19"/>
  <c r="W475" i="19"/>
  <c r="X475" i="19"/>
  <c r="Y475" i="19"/>
  <c r="Z475" i="19"/>
  <c r="AA475" i="19"/>
  <c r="AB475" i="19"/>
  <c r="U476" i="19"/>
  <c r="V476" i="19"/>
  <c r="W476" i="19"/>
  <c r="X476" i="19"/>
  <c r="Y476" i="19"/>
  <c r="Z476" i="19"/>
  <c r="AA476" i="19"/>
  <c r="AB476" i="19"/>
  <c r="U477" i="19"/>
  <c r="V477" i="19"/>
  <c r="W477" i="19"/>
  <c r="X477" i="19"/>
  <c r="Y477" i="19"/>
  <c r="Z477" i="19"/>
  <c r="AA477" i="19"/>
  <c r="AB477" i="19"/>
  <c r="U478" i="19"/>
  <c r="V478" i="19"/>
  <c r="W478" i="19"/>
  <c r="X478" i="19"/>
  <c r="Y478" i="19"/>
  <c r="Z478" i="19"/>
  <c r="AA478" i="19"/>
  <c r="AB478" i="19"/>
  <c r="U479" i="19"/>
  <c r="V479" i="19"/>
  <c r="W479" i="19"/>
  <c r="X479" i="19"/>
  <c r="Y479" i="19"/>
  <c r="Z479" i="19"/>
  <c r="AA479" i="19"/>
  <c r="AB479" i="19"/>
  <c r="U480" i="19"/>
  <c r="V480" i="19"/>
  <c r="W480" i="19"/>
  <c r="X480" i="19"/>
  <c r="Y480" i="19"/>
  <c r="Z480" i="19"/>
  <c r="AA480" i="19"/>
  <c r="AB480" i="19"/>
  <c r="U481" i="19"/>
  <c r="V481" i="19"/>
  <c r="W481" i="19"/>
  <c r="X481" i="19"/>
  <c r="Y481" i="19"/>
  <c r="Z481" i="19"/>
  <c r="AA481" i="19"/>
  <c r="AB481" i="19"/>
  <c r="U482" i="19"/>
  <c r="V482" i="19"/>
  <c r="W482" i="19"/>
  <c r="X482" i="19"/>
  <c r="Y482" i="19"/>
  <c r="Z482" i="19"/>
  <c r="AA482" i="19"/>
  <c r="AB482" i="19"/>
  <c r="U483" i="19"/>
  <c r="V483" i="19"/>
  <c r="W483" i="19"/>
  <c r="X483" i="19"/>
  <c r="Y483" i="19"/>
  <c r="Z483" i="19"/>
  <c r="AA483" i="19"/>
  <c r="AB483" i="19"/>
  <c r="U484" i="19"/>
  <c r="V484" i="19"/>
  <c r="W484" i="19"/>
  <c r="X484" i="19"/>
  <c r="Y484" i="19"/>
  <c r="Z484" i="19"/>
  <c r="AA484" i="19"/>
  <c r="AB484" i="19"/>
  <c r="U485" i="19"/>
  <c r="V485" i="19"/>
  <c r="W485" i="19"/>
  <c r="X485" i="19"/>
  <c r="Y485" i="19"/>
  <c r="Z485" i="19"/>
  <c r="AA485" i="19"/>
  <c r="AB485" i="19"/>
  <c r="U486" i="19"/>
  <c r="V486" i="19"/>
  <c r="W486" i="19"/>
  <c r="X486" i="19"/>
  <c r="Y486" i="19"/>
  <c r="Z486" i="19"/>
  <c r="AA486" i="19"/>
  <c r="AB486" i="19"/>
  <c r="U487" i="19"/>
  <c r="V487" i="19"/>
  <c r="W487" i="19"/>
  <c r="X487" i="19"/>
  <c r="Y487" i="19"/>
  <c r="Z487" i="19"/>
  <c r="AA487" i="19"/>
  <c r="AB487" i="19"/>
  <c r="U488" i="19"/>
  <c r="V488" i="19"/>
  <c r="W488" i="19"/>
  <c r="X488" i="19"/>
  <c r="Y488" i="19"/>
  <c r="Z488" i="19"/>
  <c r="AA488" i="19"/>
  <c r="AB488" i="19"/>
  <c r="U489" i="19"/>
  <c r="V489" i="19"/>
  <c r="W489" i="19"/>
  <c r="X489" i="19"/>
  <c r="Y489" i="19"/>
  <c r="Z489" i="19"/>
  <c r="AA489" i="19"/>
  <c r="AB489" i="19"/>
  <c r="U490" i="19"/>
  <c r="V490" i="19"/>
  <c r="W490" i="19"/>
  <c r="X490" i="19"/>
  <c r="Y490" i="19"/>
  <c r="Z490" i="19"/>
  <c r="AA490" i="19"/>
  <c r="AB490" i="19"/>
  <c r="U491" i="19"/>
  <c r="V491" i="19"/>
  <c r="W491" i="19"/>
  <c r="X491" i="19"/>
  <c r="Y491" i="19"/>
  <c r="Z491" i="19"/>
  <c r="AA491" i="19"/>
  <c r="AB491" i="19"/>
  <c r="U492" i="19"/>
  <c r="V492" i="19"/>
  <c r="W492" i="19"/>
  <c r="X492" i="19"/>
  <c r="Y492" i="19"/>
  <c r="Z492" i="19"/>
  <c r="AA492" i="19"/>
  <c r="AB492" i="19"/>
  <c r="U493" i="19"/>
  <c r="V493" i="19"/>
  <c r="W493" i="19"/>
  <c r="X493" i="19"/>
  <c r="Y493" i="19"/>
  <c r="Z493" i="19"/>
  <c r="AA493" i="19"/>
  <c r="AB493" i="19"/>
  <c r="U494" i="19"/>
  <c r="V494" i="19"/>
  <c r="W494" i="19"/>
  <c r="X494" i="19"/>
  <c r="Y494" i="19"/>
  <c r="Z494" i="19"/>
  <c r="AA494" i="19"/>
  <c r="AB494" i="19"/>
  <c r="U495" i="19"/>
  <c r="V495" i="19"/>
  <c r="W495" i="19"/>
  <c r="X495" i="19"/>
  <c r="Y495" i="19"/>
  <c r="Z495" i="19"/>
  <c r="AA495" i="19"/>
  <c r="AB495" i="19"/>
  <c r="U496" i="19"/>
  <c r="V496" i="19"/>
  <c r="W496" i="19"/>
  <c r="X496" i="19"/>
  <c r="Y496" i="19"/>
  <c r="Z496" i="19"/>
  <c r="AA496" i="19"/>
  <c r="AB496" i="19"/>
  <c r="U497" i="19"/>
  <c r="V497" i="19"/>
  <c r="W497" i="19"/>
  <c r="X497" i="19"/>
  <c r="Y497" i="19"/>
  <c r="Z497" i="19"/>
  <c r="AA497" i="19"/>
  <c r="AB497" i="19"/>
  <c r="U498" i="19"/>
  <c r="V498" i="19"/>
  <c r="W498" i="19"/>
  <c r="X498" i="19"/>
  <c r="Y498" i="19"/>
  <c r="Z498" i="19"/>
  <c r="AA498" i="19"/>
  <c r="AB498" i="19"/>
  <c r="U499" i="19"/>
  <c r="V499" i="19"/>
  <c r="W499" i="19"/>
  <c r="X499" i="19"/>
  <c r="Y499" i="19"/>
  <c r="Z499" i="19"/>
  <c r="AA499" i="19"/>
  <c r="AB499" i="19"/>
  <c r="U500" i="19"/>
  <c r="V500" i="19"/>
  <c r="W500" i="19"/>
  <c r="X500" i="19"/>
  <c r="Y500" i="19"/>
  <c r="Z500" i="19"/>
  <c r="AA500" i="19"/>
  <c r="AB500" i="19"/>
  <c r="U501" i="19"/>
  <c r="V501" i="19"/>
  <c r="W501" i="19"/>
  <c r="X501" i="19"/>
  <c r="Y501" i="19"/>
  <c r="Z501" i="19"/>
  <c r="AA501" i="19"/>
  <c r="AB501" i="19"/>
  <c r="U502" i="19"/>
  <c r="V502" i="19"/>
  <c r="W502" i="19"/>
  <c r="X502" i="19"/>
  <c r="Y502" i="19"/>
  <c r="Z502" i="19"/>
  <c r="AA502" i="19"/>
  <c r="AB502" i="19"/>
  <c r="U503" i="19"/>
  <c r="V503" i="19"/>
  <c r="W503" i="19"/>
  <c r="X503" i="19"/>
  <c r="Y503" i="19"/>
  <c r="Z503" i="19"/>
  <c r="AA503" i="19"/>
  <c r="AB503" i="19"/>
  <c r="U504" i="19"/>
  <c r="V504" i="19"/>
  <c r="W504" i="19"/>
  <c r="X504" i="19"/>
  <c r="Y504" i="19"/>
  <c r="Z504" i="19"/>
  <c r="AA504" i="19"/>
  <c r="AB504" i="19"/>
  <c r="U505" i="19"/>
  <c r="V505" i="19"/>
  <c r="W505" i="19"/>
  <c r="X505" i="19"/>
  <c r="Y505" i="19"/>
  <c r="Z505" i="19"/>
  <c r="AA505" i="19"/>
  <c r="AB505" i="19"/>
  <c r="U506" i="19"/>
  <c r="V506" i="19"/>
  <c r="W506" i="19"/>
  <c r="X506" i="19"/>
  <c r="Y506" i="19"/>
  <c r="Z506" i="19"/>
  <c r="AA506" i="19"/>
  <c r="AB506" i="19"/>
  <c r="U507" i="19"/>
  <c r="V507" i="19"/>
  <c r="W507" i="19"/>
  <c r="X507" i="19"/>
  <c r="Y507" i="19"/>
  <c r="Z507" i="19"/>
  <c r="AA507" i="19"/>
  <c r="AB507" i="19"/>
  <c r="U508" i="19"/>
  <c r="V508" i="19"/>
  <c r="W508" i="19"/>
  <c r="X508" i="19"/>
  <c r="Y508" i="19"/>
  <c r="Z508" i="19"/>
  <c r="AA508" i="19"/>
  <c r="AB508" i="19"/>
  <c r="U509" i="19"/>
  <c r="V509" i="19"/>
  <c r="W509" i="19"/>
  <c r="X509" i="19"/>
  <c r="Y509" i="19"/>
  <c r="Z509" i="19"/>
  <c r="AA509" i="19"/>
  <c r="AB509" i="19"/>
  <c r="U510" i="19"/>
  <c r="V510" i="19"/>
  <c r="W510" i="19"/>
  <c r="X510" i="19"/>
  <c r="Y510" i="19"/>
  <c r="Z510" i="19"/>
  <c r="AA510" i="19"/>
  <c r="AB510" i="19"/>
  <c r="U511" i="19"/>
  <c r="V511" i="19"/>
  <c r="W511" i="19"/>
  <c r="X511" i="19"/>
  <c r="Y511" i="19"/>
  <c r="Z511" i="19"/>
  <c r="AA511" i="19"/>
  <c r="AB511" i="19"/>
  <c r="U512" i="19"/>
  <c r="V512" i="19"/>
  <c r="W512" i="19"/>
  <c r="X512" i="19"/>
  <c r="Y512" i="19"/>
  <c r="Z512" i="19"/>
  <c r="AA512" i="19"/>
  <c r="AB512" i="19"/>
  <c r="U513" i="19"/>
  <c r="V513" i="19"/>
  <c r="W513" i="19"/>
  <c r="X513" i="19"/>
  <c r="Y513" i="19"/>
  <c r="Z513" i="19"/>
  <c r="AA513" i="19"/>
  <c r="AB513" i="19"/>
  <c r="U514" i="19"/>
  <c r="V514" i="19"/>
  <c r="W514" i="19"/>
  <c r="X514" i="19"/>
  <c r="Y514" i="19"/>
  <c r="Z514" i="19"/>
  <c r="AA514" i="19"/>
  <c r="AB514" i="19"/>
  <c r="U515" i="19"/>
  <c r="V515" i="19"/>
  <c r="W515" i="19"/>
  <c r="X515" i="19"/>
  <c r="Y515" i="19"/>
  <c r="Z515" i="19"/>
  <c r="AA515" i="19"/>
  <c r="AB515" i="19"/>
  <c r="U516" i="19"/>
  <c r="V516" i="19"/>
  <c r="W516" i="19"/>
  <c r="X516" i="19"/>
  <c r="Y516" i="19"/>
  <c r="Z516" i="19"/>
  <c r="AA516" i="19"/>
  <c r="AB516" i="19"/>
  <c r="U517" i="19"/>
  <c r="V517" i="19"/>
  <c r="W517" i="19"/>
  <c r="X517" i="19"/>
  <c r="Y517" i="19"/>
  <c r="Z517" i="19"/>
  <c r="AA517" i="19"/>
  <c r="AB517" i="19"/>
  <c r="U518" i="19"/>
  <c r="V518" i="19"/>
  <c r="W518" i="19"/>
  <c r="X518" i="19"/>
  <c r="Y518" i="19"/>
  <c r="Z518" i="19"/>
  <c r="AA518" i="19"/>
  <c r="AB518" i="19"/>
  <c r="U519" i="19"/>
  <c r="V519" i="19"/>
  <c r="W519" i="19"/>
  <c r="X519" i="19"/>
  <c r="Y519" i="19"/>
  <c r="Z519" i="19"/>
  <c r="AA519" i="19"/>
  <c r="AB519" i="19"/>
  <c r="U520" i="19"/>
  <c r="V520" i="19"/>
  <c r="W520" i="19"/>
  <c r="X520" i="19"/>
  <c r="Y520" i="19"/>
  <c r="Z520" i="19"/>
  <c r="AA520" i="19"/>
  <c r="AB520" i="19"/>
  <c r="U521" i="19"/>
  <c r="V521" i="19"/>
  <c r="W521" i="19"/>
  <c r="X521" i="19"/>
  <c r="Y521" i="19"/>
  <c r="Z521" i="19"/>
  <c r="AA521" i="19"/>
  <c r="AB521" i="19"/>
  <c r="U522" i="19"/>
  <c r="V522" i="19"/>
  <c r="W522" i="19"/>
  <c r="X522" i="19"/>
  <c r="Y522" i="19"/>
  <c r="Z522" i="19"/>
  <c r="AA522" i="19"/>
  <c r="AB522" i="19"/>
  <c r="U523" i="19"/>
  <c r="V523" i="19"/>
  <c r="W523" i="19"/>
  <c r="X523" i="19"/>
  <c r="Y523" i="19"/>
  <c r="Z523" i="19"/>
  <c r="AA523" i="19"/>
  <c r="AB523" i="19"/>
  <c r="U524" i="19"/>
  <c r="V524" i="19"/>
  <c r="W524" i="19"/>
  <c r="X524" i="19"/>
  <c r="Y524" i="19"/>
  <c r="Z524" i="19"/>
  <c r="AA524" i="19"/>
  <c r="AB524" i="19"/>
  <c r="U525" i="19"/>
  <c r="V525" i="19"/>
  <c r="W525" i="19"/>
  <c r="X525" i="19"/>
  <c r="Y525" i="19"/>
  <c r="Z525" i="19"/>
  <c r="AA525" i="19"/>
  <c r="AB525" i="19"/>
  <c r="U526" i="19"/>
  <c r="V526" i="19"/>
  <c r="W526" i="19"/>
  <c r="X526" i="19"/>
  <c r="Y526" i="19"/>
  <c r="Z526" i="19"/>
  <c r="AA526" i="19"/>
  <c r="AB526" i="19"/>
  <c r="U527" i="19"/>
  <c r="V527" i="19"/>
  <c r="W527" i="19"/>
  <c r="X527" i="19"/>
  <c r="Y527" i="19"/>
  <c r="Z527" i="19"/>
  <c r="AA527" i="19"/>
  <c r="AB527" i="19"/>
  <c r="U528" i="19"/>
  <c r="V528" i="19"/>
  <c r="W528" i="19"/>
  <c r="X528" i="19"/>
  <c r="Y528" i="19"/>
  <c r="Z528" i="19"/>
  <c r="AA528" i="19"/>
  <c r="AB528" i="19"/>
  <c r="U529" i="19"/>
  <c r="V529" i="19"/>
  <c r="W529" i="19"/>
  <c r="X529" i="19"/>
  <c r="Y529" i="19"/>
  <c r="Z529" i="19"/>
  <c r="AA529" i="19"/>
  <c r="AB529" i="19"/>
  <c r="U530" i="19"/>
  <c r="V530" i="19"/>
  <c r="W530" i="19"/>
  <c r="X530" i="19"/>
  <c r="Y530" i="19"/>
  <c r="Z530" i="19"/>
  <c r="AA530" i="19"/>
  <c r="AB530" i="19"/>
  <c r="U531" i="19"/>
  <c r="V531" i="19"/>
  <c r="W531" i="19"/>
  <c r="X531" i="19"/>
  <c r="Y531" i="19"/>
  <c r="Z531" i="19"/>
  <c r="AA531" i="19"/>
  <c r="AB531" i="19"/>
  <c r="U532" i="19"/>
  <c r="V532" i="19"/>
  <c r="W532" i="19"/>
  <c r="X532" i="19"/>
  <c r="Y532" i="19"/>
  <c r="Z532" i="19"/>
  <c r="AA532" i="19"/>
  <c r="AB532" i="19"/>
  <c r="U533" i="19"/>
  <c r="V533" i="19"/>
  <c r="W533" i="19"/>
  <c r="X533" i="19"/>
  <c r="Y533" i="19"/>
  <c r="Z533" i="19"/>
  <c r="AA533" i="19"/>
  <c r="AB533" i="19"/>
  <c r="U534" i="19"/>
  <c r="V534" i="19"/>
  <c r="W534" i="19"/>
  <c r="X534" i="19"/>
  <c r="Y534" i="19"/>
  <c r="Z534" i="19"/>
  <c r="AA534" i="19"/>
  <c r="AB534" i="19"/>
  <c r="U535" i="19"/>
  <c r="V535" i="19"/>
  <c r="W535" i="19"/>
  <c r="X535" i="19"/>
  <c r="Y535" i="19"/>
  <c r="Z535" i="19"/>
  <c r="AA535" i="19"/>
  <c r="AB535" i="19"/>
  <c r="U536" i="19"/>
  <c r="V536" i="19"/>
  <c r="W536" i="19"/>
  <c r="X536" i="19"/>
  <c r="Y536" i="19"/>
  <c r="Z536" i="19"/>
  <c r="AA536" i="19"/>
  <c r="AB536" i="19"/>
  <c r="U537" i="19"/>
  <c r="V537" i="19"/>
  <c r="W537" i="19"/>
  <c r="X537" i="19"/>
  <c r="Y537" i="19"/>
  <c r="Z537" i="19"/>
  <c r="AA537" i="19"/>
  <c r="AB537" i="19"/>
  <c r="U538" i="19"/>
  <c r="V538" i="19"/>
  <c r="W538" i="19"/>
  <c r="X538" i="19"/>
  <c r="Y538" i="19"/>
  <c r="Z538" i="19"/>
  <c r="AA538" i="19"/>
  <c r="AB538" i="19"/>
  <c r="U539" i="19"/>
  <c r="V539" i="19"/>
  <c r="W539" i="19"/>
  <c r="X539" i="19"/>
  <c r="Y539" i="19"/>
  <c r="Z539" i="19"/>
  <c r="AA539" i="19"/>
  <c r="AB539" i="19"/>
  <c r="U540" i="19"/>
  <c r="V540" i="19"/>
  <c r="W540" i="19"/>
  <c r="X540" i="19"/>
  <c r="Y540" i="19"/>
  <c r="Z540" i="19"/>
  <c r="AA540" i="19"/>
  <c r="AB540" i="19"/>
  <c r="U541" i="19"/>
  <c r="V541" i="19"/>
  <c r="W541" i="19"/>
  <c r="X541" i="19"/>
  <c r="Y541" i="19"/>
  <c r="Z541" i="19"/>
  <c r="AA541" i="19"/>
  <c r="AB541" i="19"/>
  <c r="U542" i="19"/>
  <c r="V542" i="19"/>
  <c r="W542" i="19"/>
  <c r="X542" i="19"/>
  <c r="Y542" i="19"/>
  <c r="Z542" i="19"/>
  <c r="AA542" i="19"/>
  <c r="AB542" i="19"/>
  <c r="U543" i="19"/>
  <c r="V543" i="19"/>
  <c r="W543" i="19"/>
  <c r="X543" i="19"/>
  <c r="Y543" i="19"/>
  <c r="Z543" i="19"/>
  <c r="AA543" i="19"/>
  <c r="AB543" i="19"/>
  <c r="U544" i="19"/>
  <c r="V544" i="19"/>
  <c r="W544" i="19"/>
  <c r="X544" i="19"/>
  <c r="Y544" i="19"/>
  <c r="Z544" i="19"/>
  <c r="AA544" i="19"/>
  <c r="AB544" i="19"/>
  <c r="U545" i="19"/>
  <c r="V545" i="19"/>
  <c r="W545" i="19"/>
  <c r="X545" i="19"/>
  <c r="Y545" i="19"/>
  <c r="Z545" i="19"/>
  <c r="AA545" i="19"/>
  <c r="AB545" i="19"/>
  <c r="U546" i="19"/>
  <c r="V546" i="19"/>
  <c r="W546" i="19"/>
  <c r="X546" i="19"/>
  <c r="Y546" i="19"/>
  <c r="Z546" i="19"/>
  <c r="AA546" i="19"/>
  <c r="AB546" i="19"/>
  <c r="U547" i="19"/>
  <c r="V547" i="19"/>
  <c r="W547" i="19"/>
  <c r="X547" i="19"/>
  <c r="Y547" i="19"/>
  <c r="Z547" i="19"/>
  <c r="AA547" i="19"/>
  <c r="AB547" i="19"/>
  <c r="U548" i="19"/>
  <c r="V548" i="19"/>
  <c r="W548" i="19"/>
  <c r="X548" i="19"/>
  <c r="Y548" i="19"/>
  <c r="Z548" i="19"/>
  <c r="AA548" i="19"/>
  <c r="AB548" i="19"/>
  <c r="U549" i="19"/>
  <c r="V549" i="19"/>
  <c r="W549" i="19"/>
  <c r="X549" i="19"/>
  <c r="Y549" i="19"/>
  <c r="Z549" i="19"/>
  <c r="AA549" i="19"/>
  <c r="AB549" i="19"/>
  <c r="U550" i="19"/>
  <c r="V550" i="19"/>
  <c r="W550" i="19"/>
  <c r="X550" i="19"/>
  <c r="Y550" i="19"/>
  <c r="Z550" i="19"/>
  <c r="AA550" i="19"/>
  <c r="AB550" i="19"/>
  <c r="U551" i="19"/>
  <c r="V551" i="19"/>
  <c r="W551" i="19"/>
  <c r="X551" i="19"/>
  <c r="Y551" i="19"/>
  <c r="Z551" i="19"/>
  <c r="AA551" i="19"/>
  <c r="AB551" i="19"/>
  <c r="U552" i="19"/>
  <c r="V552" i="19"/>
  <c r="W552" i="19"/>
  <c r="X552" i="19"/>
  <c r="Y552" i="19"/>
  <c r="Z552" i="19"/>
  <c r="AA552" i="19"/>
  <c r="AB552" i="19"/>
  <c r="U553" i="19"/>
  <c r="V553" i="19"/>
  <c r="W553" i="19"/>
  <c r="X553" i="19"/>
  <c r="Y553" i="19"/>
  <c r="Z553" i="19"/>
  <c r="AA553" i="19"/>
  <c r="AB553" i="19"/>
  <c r="U554" i="19"/>
  <c r="V554" i="19"/>
  <c r="W554" i="19"/>
  <c r="X554" i="19"/>
  <c r="Y554" i="19"/>
  <c r="Z554" i="19"/>
  <c r="AA554" i="19"/>
  <c r="AB554" i="19"/>
  <c r="U555" i="19"/>
  <c r="V555" i="19"/>
  <c r="W555" i="19"/>
  <c r="X555" i="19"/>
  <c r="Y555" i="19"/>
  <c r="Z555" i="19"/>
  <c r="AA555" i="19"/>
  <c r="AB555" i="19"/>
  <c r="U556" i="19"/>
  <c r="V556" i="19"/>
  <c r="W556" i="19"/>
  <c r="X556" i="19"/>
  <c r="Y556" i="19"/>
  <c r="Z556" i="19"/>
  <c r="AA556" i="19"/>
  <c r="AB556" i="19"/>
  <c r="U557" i="19"/>
  <c r="V557" i="19"/>
  <c r="W557" i="19"/>
  <c r="X557" i="19"/>
  <c r="Y557" i="19"/>
  <c r="Z557" i="19"/>
  <c r="AA557" i="19"/>
  <c r="AB557" i="19"/>
  <c r="U558" i="19"/>
  <c r="V558" i="19"/>
  <c r="W558" i="19"/>
  <c r="X558" i="19"/>
  <c r="Y558" i="19"/>
  <c r="Z558" i="19"/>
  <c r="AA558" i="19"/>
  <c r="AB558" i="19"/>
  <c r="U559" i="19"/>
  <c r="V559" i="19"/>
  <c r="W559" i="19"/>
  <c r="X559" i="19"/>
  <c r="Y559" i="19"/>
  <c r="Z559" i="19"/>
  <c r="AA559" i="19"/>
  <c r="AB559" i="19"/>
  <c r="U560" i="19"/>
  <c r="V560" i="19"/>
  <c r="W560" i="19"/>
  <c r="X560" i="19"/>
  <c r="Y560" i="19"/>
  <c r="Z560" i="19"/>
  <c r="AA560" i="19"/>
  <c r="AB560" i="19"/>
  <c r="U561" i="19"/>
  <c r="V561" i="19"/>
  <c r="W561" i="19"/>
  <c r="X561" i="19"/>
  <c r="Y561" i="19"/>
  <c r="Z561" i="19"/>
  <c r="AA561" i="19"/>
  <c r="AB561" i="19"/>
  <c r="U562" i="19"/>
  <c r="V562" i="19"/>
  <c r="W562" i="19"/>
  <c r="X562" i="19"/>
  <c r="Y562" i="19"/>
  <c r="Z562" i="19"/>
  <c r="AA562" i="19"/>
  <c r="AB562" i="19"/>
  <c r="U563" i="19"/>
  <c r="V563" i="19"/>
  <c r="W563" i="19"/>
  <c r="X563" i="19"/>
  <c r="Y563" i="19"/>
  <c r="Z563" i="19"/>
  <c r="AA563" i="19"/>
  <c r="AB563" i="19"/>
  <c r="U564" i="19"/>
  <c r="V564" i="19"/>
  <c r="W564" i="19"/>
  <c r="X564" i="19"/>
  <c r="Y564" i="19"/>
  <c r="Z564" i="19"/>
  <c r="AA564" i="19"/>
  <c r="AB564" i="19"/>
  <c r="U565" i="19"/>
  <c r="V565" i="19"/>
  <c r="W565" i="19"/>
  <c r="X565" i="19"/>
  <c r="Y565" i="19"/>
  <c r="Z565" i="19"/>
  <c r="AA565" i="19"/>
  <c r="AB565" i="19"/>
  <c r="U566" i="19"/>
  <c r="V566" i="19"/>
  <c r="W566" i="19"/>
  <c r="X566" i="19"/>
  <c r="Y566" i="19"/>
  <c r="Z566" i="19"/>
  <c r="AA566" i="19"/>
  <c r="AB566" i="19"/>
  <c r="U567" i="19"/>
  <c r="V567" i="19"/>
  <c r="W567" i="19"/>
  <c r="X567" i="19"/>
  <c r="Y567" i="19"/>
  <c r="Z567" i="19"/>
  <c r="AA567" i="19"/>
  <c r="AB567" i="19"/>
  <c r="U568" i="19"/>
  <c r="V568" i="19"/>
  <c r="W568" i="19"/>
  <c r="X568" i="19"/>
  <c r="Y568" i="19"/>
  <c r="Z568" i="19"/>
  <c r="AA568" i="19"/>
  <c r="AB568" i="19"/>
  <c r="U569" i="19"/>
  <c r="V569" i="19"/>
  <c r="W569" i="19"/>
  <c r="X569" i="19"/>
  <c r="Y569" i="19"/>
  <c r="Z569" i="19"/>
  <c r="AA569" i="19"/>
  <c r="AB569" i="19"/>
  <c r="U570" i="19"/>
  <c r="V570" i="19"/>
  <c r="W570" i="19"/>
  <c r="X570" i="19"/>
  <c r="Y570" i="19"/>
  <c r="Z570" i="19"/>
  <c r="AA570" i="19"/>
  <c r="AB570" i="19"/>
  <c r="U571" i="19"/>
  <c r="V571" i="19"/>
  <c r="W571" i="19"/>
  <c r="X571" i="19"/>
  <c r="Y571" i="19"/>
  <c r="Z571" i="19"/>
  <c r="AA571" i="19"/>
  <c r="AB571" i="19"/>
  <c r="U572" i="19"/>
  <c r="V572" i="19"/>
  <c r="W572" i="19"/>
  <c r="X572" i="19"/>
  <c r="Y572" i="19"/>
  <c r="Z572" i="19"/>
  <c r="AA572" i="19"/>
  <c r="AB572" i="19"/>
  <c r="U573" i="19"/>
  <c r="V573" i="19"/>
  <c r="W573" i="19"/>
  <c r="X573" i="19"/>
  <c r="Y573" i="19"/>
  <c r="Z573" i="19"/>
  <c r="AA573" i="19"/>
  <c r="AB573" i="19"/>
  <c r="U574" i="19"/>
  <c r="V574" i="19"/>
  <c r="W574" i="19"/>
  <c r="X574" i="19"/>
  <c r="Y574" i="19"/>
  <c r="Z574" i="19"/>
  <c r="AA574" i="19"/>
  <c r="AB574" i="19"/>
  <c r="U575" i="19"/>
  <c r="V575" i="19"/>
  <c r="W575" i="19"/>
  <c r="X575" i="19"/>
  <c r="Y575" i="19"/>
  <c r="Z575" i="19"/>
  <c r="AA575" i="19"/>
  <c r="AB575" i="19"/>
  <c r="U576" i="19"/>
  <c r="V576" i="19"/>
  <c r="W576" i="19"/>
  <c r="X576" i="19"/>
  <c r="Y576" i="19"/>
  <c r="Z576" i="19"/>
  <c r="AA576" i="19"/>
  <c r="AB576" i="19"/>
  <c r="U577" i="19"/>
  <c r="V577" i="19"/>
  <c r="W577" i="19"/>
  <c r="X577" i="19"/>
  <c r="Y577" i="19"/>
  <c r="Z577" i="19"/>
  <c r="AA577" i="19"/>
  <c r="AB577" i="19"/>
  <c r="U578" i="19"/>
  <c r="V578" i="19"/>
  <c r="W578" i="19"/>
  <c r="X578" i="19"/>
  <c r="Y578" i="19"/>
  <c r="Z578" i="19"/>
  <c r="AA578" i="19"/>
  <c r="AB578" i="19"/>
  <c r="U579" i="19"/>
  <c r="V579" i="19"/>
  <c r="W579" i="19"/>
  <c r="X579" i="19"/>
  <c r="Y579" i="19"/>
  <c r="Z579" i="19"/>
  <c r="AA579" i="19"/>
  <c r="AB579" i="19"/>
  <c r="U580" i="19"/>
  <c r="V580" i="19"/>
  <c r="W580" i="19"/>
  <c r="X580" i="19"/>
  <c r="Y580" i="19"/>
  <c r="Z580" i="19"/>
  <c r="AA580" i="19"/>
  <c r="AB580" i="19"/>
  <c r="U581" i="19"/>
  <c r="V581" i="19"/>
  <c r="W581" i="19"/>
  <c r="X581" i="19"/>
  <c r="Y581" i="19"/>
  <c r="Z581" i="19"/>
  <c r="AA581" i="19"/>
  <c r="AB581" i="19"/>
  <c r="U582" i="19"/>
  <c r="V582" i="19"/>
  <c r="W582" i="19"/>
  <c r="X582" i="19"/>
  <c r="Y582" i="19"/>
  <c r="Z582" i="19"/>
  <c r="AA582" i="19"/>
  <c r="AB582" i="19"/>
  <c r="U583" i="19"/>
  <c r="V583" i="19"/>
  <c r="W583" i="19"/>
  <c r="X583" i="19"/>
  <c r="Y583" i="19"/>
  <c r="Z583" i="19"/>
  <c r="AA583" i="19"/>
  <c r="AB583" i="19"/>
  <c r="U584" i="19"/>
  <c r="V584" i="19"/>
  <c r="W584" i="19"/>
  <c r="X584" i="19"/>
  <c r="Y584" i="19"/>
  <c r="Z584" i="19"/>
  <c r="AA584" i="19"/>
  <c r="AB584" i="19"/>
  <c r="U585" i="19"/>
  <c r="V585" i="19"/>
  <c r="W585" i="19"/>
  <c r="X585" i="19"/>
  <c r="Y585" i="19"/>
  <c r="Z585" i="19"/>
  <c r="AA585" i="19"/>
  <c r="AB585" i="19"/>
  <c r="U586" i="19"/>
  <c r="V586" i="19"/>
  <c r="W586" i="19"/>
  <c r="X586" i="19"/>
  <c r="Y586" i="19"/>
  <c r="Z586" i="19"/>
  <c r="AA586" i="19"/>
  <c r="AB586" i="19"/>
  <c r="U587" i="19"/>
  <c r="V587" i="19"/>
  <c r="W587" i="19"/>
  <c r="X587" i="19"/>
  <c r="Y587" i="19"/>
  <c r="Z587" i="19"/>
  <c r="AA587" i="19"/>
  <c r="AB587" i="19"/>
  <c r="U588" i="19"/>
  <c r="V588" i="19"/>
  <c r="W588" i="19"/>
  <c r="X588" i="19"/>
  <c r="Y588" i="19"/>
  <c r="Z588" i="19"/>
  <c r="AA588" i="19"/>
  <c r="AB588" i="19"/>
  <c r="U589" i="19"/>
  <c r="V589" i="19"/>
  <c r="W589" i="19"/>
  <c r="X589" i="19"/>
  <c r="Y589" i="19"/>
  <c r="Z589" i="19"/>
  <c r="AA589" i="19"/>
  <c r="AB589" i="19"/>
  <c r="U590" i="19"/>
  <c r="V590" i="19"/>
  <c r="W590" i="19"/>
  <c r="X590" i="19"/>
  <c r="Y590" i="19"/>
  <c r="Z590" i="19"/>
  <c r="AA590" i="19"/>
  <c r="AB590" i="19"/>
  <c r="U591" i="19"/>
  <c r="V591" i="19"/>
  <c r="W591" i="19"/>
  <c r="X591" i="19"/>
  <c r="Y591" i="19"/>
  <c r="Z591" i="19"/>
  <c r="AA591" i="19"/>
  <c r="AB591" i="19"/>
  <c r="U592" i="19"/>
  <c r="V592" i="19"/>
  <c r="W592" i="19"/>
  <c r="X592" i="19"/>
  <c r="Y592" i="19"/>
  <c r="Z592" i="19"/>
  <c r="AA592" i="19"/>
  <c r="AB592" i="19"/>
  <c r="U593" i="19"/>
  <c r="V593" i="19"/>
  <c r="W593" i="19"/>
  <c r="X593" i="19"/>
  <c r="Y593" i="19"/>
  <c r="Z593" i="19"/>
  <c r="AA593" i="19"/>
  <c r="AB593" i="19"/>
  <c r="U594" i="19"/>
  <c r="V594" i="19"/>
  <c r="W594" i="19"/>
  <c r="X594" i="19"/>
  <c r="Y594" i="19"/>
  <c r="Z594" i="19"/>
  <c r="AA594" i="19"/>
  <c r="AB594" i="19"/>
  <c r="U595" i="19"/>
  <c r="V595" i="19"/>
  <c r="W595" i="19"/>
  <c r="X595" i="19"/>
  <c r="Y595" i="19"/>
  <c r="Z595" i="19"/>
  <c r="AA595" i="19"/>
  <c r="AB595" i="19"/>
  <c r="U596" i="19"/>
  <c r="V596" i="19"/>
  <c r="W596" i="19"/>
  <c r="X596" i="19"/>
  <c r="Y596" i="19"/>
  <c r="Z596" i="19"/>
  <c r="AA596" i="19"/>
  <c r="AB596" i="19"/>
  <c r="U597" i="19"/>
  <c r="V597" i="19"/>
  <c r="W597" i="19"/>
  <c r="X597" i="19"/>
  <c r="Y597" i="19"/>
  <c r="Z597" i="19"/>
  <c r="AA597" i="19"/>
  <c r="AB597" i="19"/>
  <c r="U598" i="19"/>
  <c r="V598" i="19"/>
  <c r="W598" i="19"/>
  <c r="X598" i="19"/>
  <c r="Y598" i="19"/>
  <c r="Z598" i="19"/>
  <c r="AA598" i="19"/>
  <c r="AB598" i="19"/>
  <c r="U599" i="19"/>
  <c r="V599" i="19"/>
  <c r="W599" i="19"/>
  <c r="X599" i="19"/>
  <c r="Y599" i="19"/>
  <c r="Z599" i="19"/>
  <c r="AA599" i="19"/>
  <c r="AB599" i="19"/>
  <c r="U600" i="19"/>
  <c r="V600" i="19"/>
  <c r="W600" i="19"/>
  <c r="X600" i="19"/>
  <c r="Y600" i="19"/>
  <c r="Z600" i="19"/>
  <c r="AA600" i="19"/>
  <c r="AB600" i="19"/>
  <c r="U601" i="19"/>
  <c r="V601" i="19"/>
  <c r="W601" i="19"/>
  <c r="X601" i="19"/>
  <c r="Y601" i="19"/>
  <c r="Z601" i="19"/>
  <c r="AA601" i="19"/>
  <c r="AB601" i="19"/>
  <c r="U602" i="19"/>
  <c r="V602" i="19"/>
  <c r="W602" i="19"/>
  <c r="X602" i="19"/>
  <c r="Y602" i="19"/>
  <c r="Z602" i="19"/>
  <c r="AA602" i="19"/>
  <c r="AB602" i="19"/>
  <c r="U603" i="19"/>
  <c r="V603" i="19"/>
  <c r="W603" i="19"/>
  <c r="X603" i="19"/>
  <c r="Y603" i="19"/>
  <c r="Z603" i="19"/>
  <c r="AA603" i="19"/>
  <c r="AB603" i="19"/>
  <c r="U604" i="19"/>
  <c r="V604" i="19"/>
  <c r="W604" i="19"/>
  <c r="X604" i="19"/>
  <c r="Y604" i="19"/>
  <c r="Z604" i="19"/>
  <c r="AA604" i="19"/>
  <c r="AB604" i="19"/>
  <c r="U605" i="19"/>
  <c r="V605" i="19"/>
  <c r="W605" i="19"/>
  <c r="X605" i="19"/>
  <c r="Y605" i="19"/>
  <c r="Z605" i="19"/>
  <c r="AA605" i="19"/>
  <c r="AB605" i="19"/>
  <c r="U606" i="19"/>
  <c r="V606" i="19"/>
  <c r="W606" i="19"/>
  <c r="X606" i="19"/>
  <c r="Y606" i="19"/>
  <c r="Z606" i="19"/>
  <c r="AA606" i="19"/>
  <c r="AB606" i="19"/>
  <c r="U607" i="19"/>
  <c r="V607" i="19"/>
  <c r="W607" i="19"/>
  <c r="X607" i="19"/>
  <c r="Y607" i="19"/>
  <c r="Z607" i="19"/>
  <c r="AA607" i="19"/>
  <c r="AB607" i="19"/>
  <c r="U608" i="19"/>
  <c r="V608" i="19"/>
  <c r="W608" i="19"/>
  <c r="X608" i="19"/>
  <c r="Y608" i="19"/>
  <c r="Z608" i="19"/>
  <c r="AA608" i="19"/>
  <c r="AB608" i="19"/>
  <c r="U609" i="19"/>
  <c r="V609" i="19"/>
  <c r="W609" i="19"/>
  <c r="X609" i="19"/>
  <c r="Y609" i="19"/>
  <c r="Z609" i="19"/>
  <c r="AA609" i="19"/>
  <c r="AB609" i="19"/>
  <c r="U610" i="19"/>
  <c r="V610" i="19"/>
  <c r="W610" i="19"/>
  <c r="X610" i="19"/>
  <c r="Y610" i="19"/>
  <c r="Z610" i="19"/>
  <c r="AA610" i="19"/>
  <c r="AB610" i="19"/>
  <c r="U611" i="19"/>
  <c r="V611" i="19"/>
  <c r="W611" i="19"/>
  <c r="X611" i="19"/>
  <c r="Y611" i="19"/>
  <c r="Z611" i="19"/>
  <c r="AA611" i="19"/>
  <c r="AB611" i="19"/>
  <c r="U612" i="19"/>
  <c r="V612" i="19"/>
  <c r="W612" i="19"/>
  <c r="X612" i="19"/>
  <c r="Y612" i="19"/>
  <c r="Z612" i="19"/>
  <c r="AA612" i="19"/>
  <c r="AB612" i="19"/>
  <c r="U613" i="19"/>
  <c r="V613" i="19"/>
  <c r="W613" i="19"/>
  <c r="X613" i="19"/>
  <c r="Y613" i="19"/>
  <c r="Z613" i="19"/>
  <c r="AA613" i="19"/>
  <c r="AB613" i="19"/>
  <c r="U614" i="19"/>
  <c r="V614" i="19"/>
  <c r="W614" i="19"/>
  <c r="X614" i="19"/>
  <c r="Y614" i="19"/>
  <c r="Z614" i="19"/>
  <c r="AA614" i="19"/>
  <c r="AB614" i="19"/>
  <c r="U615" i="19"/>
  <c r="V615" i="19"/>
  <c r="W615" i="19"/>
  <c r="X615" i="19"/>
  <c r="Y615" i="19"/>
  <c r="Z615" i="19"/>
  <c r="AA615" i="19"/>
  <c r="AB615" i="19"/>
  <c r="U616" i="19"/>
  <c r="V616" i="19"/>
  <c r="W616" i="19"/>
  <c r="X616" i="19"/>
  <c r="Y616" i="19"/>
  <c r="Z616" i="19"/>
  <c r="AA616" i="19"/>
  <c r="AB616" i="19"/>
  <c r="U617" i="19"/>
  <c r="V617" i="19"/>
  <c r="W617" i="19"/>
  <c r="X617" i="19"/>
  <c r="Y617" i="19"/>
  <c r="Z617" i="19"/>
  <c r="AA617" i="19"/>
  <c r="AB617" i="19"/>
  <c r="U618" i="19"/>
  <c r="V618" i="19"/>
  <c r="W618" i="19"/>
  <c r="X618" i="19"/>
  <c r="Y618" i="19"/>
  <c r="Z618" i="19"/>
  <c r="AA618" i="19"/>
  <c r="AB618" i="19"/>
  <c r="U619" i="19"/>
  <c r="V619" i="19"/>
  <c r="W619" i="19"/>
  <c r="X619" i="19"/>
  <c r="Y619" i="19"/>
  <c r="Z619" i="19"/>
  <c r="AA619" i="19"/>
  <c r="AB619" i="19"/>
  <c r="U620" i="19"/>
  <c r="V620" i="19"/>
  <c r="W620" i="19"/>
  <c r="X620" i="19"/>
  <c r="Y620" i="19"/>
  <c r="Z620" i="19"/>
  <c r="AA620" i="19"/>
  <c r="AB620" i="19"/>
  <c r="U621" i="19"/>
  <c r="V621" i="19"/>
  <c r="W621" i="19"/>
  <c r="X621" i="19"/>
  <c r="Y621" i="19"/>
  <c r="Z621" i="19"/>
  <c r="AA621" i="19"/>
  <c r="AB621" i="19"/>
  <c r="U622" i="19"/>
  <c r="V622" i="19"/>
  <c r="W622" i="19"/>
  <c r="X622" i="19"/>
  <c r="Y622" i="19"/>
  <c r="Z622" i="19"/>
  <c r="AA622" i="19"/>
  <c r="AB622" i="19"/>
  <c r="U623" i="19"/>
  <c r="V623" i="19"/>
  <c r="W623" i="19"/>
  <c r="X623" i="19"/>
  <c r="Y623" i="19"/>
  <c r="Z623" i="19"/>
  <c r="AA623" i="19"/>
  <c r="AB623" i="19"/>
  <c r="U624" i="19"/>
  <c r="V624" i="19"/>
  <c r="W624" i="19"/>
  <c r="X624" i="19"/>
  <c r="Y624" i="19"/>
  <c r="Z624" i="19"/>
  <c r="AA624" i="19"/>
  <c r="AB624" i="19"/>
  <c r="U625" i="19"/>
  <c r="V625" i="19"/>
  <c r="W625" i="19"/>
  <c r="X625" i="19"/>
  <c r="Y625" i="19"/>
  <c r="Z625" i="19"/>
  <c r="AA625" i="19"/>
  <c r="AB625" i="19"/>
  <c r="U626" i="19"/>
  <c r="V626" i="19"/>
  <c r="W626" i="19"/>
  <c r="X626" i="19"/>
  <c r="Y626" i="19"/>
  <c r="Z626" i="19"/>
  <c r="AA626" i="19"/>
  <c r="AB626" i="19"/>
  <c r="U627" i="19"/>
  <c r="V627" i="19"/>
  <c r="W627" i="19"/>
  <c r="X627" i="19"/>
  <c r="Y627" i="19"/>
  <c r="Z627" i="19"/>
  <c r="AA627" i="19"/>
  <c r="AB627" i="19"/>
  <c r="U628" i="19"/>
  <c r="V628" i="19"/>
  <c r="W628" i="19"/>
  <c r="X628" i="19"/>
  <c r="Y628" i="19"/>
  <c r="Z628" i="19"/>
  <c r="AA628" i="19"/>
  <c r="AB628" i="19"/>
  <c r="U629" i="19"/>
  <c r="V629" i="19"/>
  <c r="W629" i="19"/>
  <c r="X629" i="19"/>
  <c r="Y629" i="19"/>
  <c r="Z629" i="19"/>
  <c r="AA629" i="19"/>
  <c r="AB629" i="19"/>
  <c r="U630" i="19"/>
  <c r="V630" i="19"/>
  <c r="W630" i="19"/>
  <c r="X630" i="19"/>
  <c r="Y630" i="19"/>
  <c r="Z630" i="19"/>
  <c r="AA630" i="19"/>
  <c r="AB630" i="19"/>
  <c r="U631" i="19"/>
  <c r="V631" i="19"/>
  <c r="W631" i="19"/>
  <c r="X631" i="19"/>
  <c r="Y631" i="19"/>
  <c r="Z631" i="19"/>
  <c r="AA631" i="19"/>
  <c r="AB631" i="19"/>
  <c r="U632" i="19"/>
  <c r="V632" i="19"/>
  <c r="W632" i="19"/>
  <c r="X632" i="19"/>
  <c r="Y632" i="19"/>
  <c r="Z632" i="19"/>
  <c r="AA632" i="19"/>
  <c r="AB632" i="19"/>
  <c r="U633" i="19"/>
  <c r="V633" i="19"/>
  <c r="W633" i="19"/>
  <c r="X633" i="19"/>
  <c r="Y633" i="19"/>
  <c r="Z633" i="19"/>
  <c r="AA633" i="19"/>
  <c r="AB633" i="19"/>
  <c r="U634" i="19"/>
  <c r="V634" i="19"/>
  <c r="W634" i="19"/>
  <c r="X634" i="19"/>
  <c r="Y634" i="19"/>
  <c r="Z634" i="19"/>
  <c r="AA634" i="19"/>
  <c r="AB634" i="19"/>
  <c r="U635" i="19"/>
  <c r="V635" i="19"/>
  <c r="W635" i="19"/>
  <c r="X635" i="19"/>
  <c r="Y635" i="19"/>
  <c r="Z635" i="19"/>
  <c r="AA635" i="19"/>
  <c r="AB635" i="19"/>
  <c r="U636" i="19"/>
  <c r="V636" i="19"/>
  <c r="W636" i="19"/>
  <c r="X636" i="19"/>
  <c r="Y636" i="19"/>
  <c r="Z636" i="19"/>
  <c r="AA636" i="19"/>
  <c r="AB636" i="19"/>
  <c r="U637" i="19"/>
  <c r="V637" i="19"/>
  <c r="W637" i="19"/>
  <c r="X637" i="19"/>
  <c r="Y637" i="19"/>
  <c r="Z637" i="19"/>
  <c r="AA637" i="19"/>
  <c r="AB637" i="19"/>
  <c r="U638" i="19"/>
  <c r="V638" i="19"/>
  <c r="W638" i="19"/>
  <c r="X638" i="19"/>
  <c r="Y638" i="19"/>
  <c r="Z638" i="19"/>
  <c r="AA638" i="19"/>
  <c r="AB638" i="19"/>
  <c r="U639" i="19"/>
  <c r="V639" i="19"/>
  <c r="W639" i="19"/>
  <c r="X639" i="19"/>
  <c r="Y639" i="19"/>
  <c r="Z639" i="19"/>
  <c r="AA639" i="19"/>
  <c r="AB639" i="19"/>
  <c r="U640" i="19"/>
  <c r="V640" i="19"/>
  <c r="W640" i="19"/>
  <c r="X640" i="19"/>
  <c r="Y640" i="19"/>
  <c r="Z640" i="19"/>
  <c r="AA640" i="19"/>
  <c r="AB640" i="19"/>
  <c r="U641" i="19"/>
  <c r="V641" i="19"/>
  <c r="W641" i="19"/>
  <c r="X641" i="19"/>
  <c r="Y641" i="19"/>
  <c r="Z641" i="19"/>
  <c r="AA641" i="19"/>
  <c r="AB641" i="19"/>
  <c r="U642" i="19"/>
  <c r="V642" i="19"/>
  <c r="W642" i="19"/>
  <c r="X642" i="19"/>
  <c r="Y642" i="19"/>
  <c r="Z642" i="19"/>
  <c r="AA642" i="19"/>
  <c r="AB642" i="19"/>
  <c r="U643" i="19"/>
  <c r="V643" i="19"/>
  <c r="W643" i="19"/>
  <c r="X643" i="19"/>
  <c r="Y643" i="19"/>
  <c r="Z643" i="19"/>
  <c r="AA643" i="19"/>
  <c r="AB643" i="19"/>
  <c r="U644" i="19"/>
  <c r="V644" i="19"/>
  <c r="W644" i="19"/>
  <c r="X644" i="19"/>
  <c r="Y644" i="19"/>
  <c r="Z644" i="19"/>
  <c r="AA644" i="19"/>
  <c r="AB644" i="19"/>
  <c r="U645" i="19"/>
  <c r="V645" i="19"/>
  <c r="W645" i="19"/>
  <c r="X645" i="19"/>
  <c r="Y645" i="19"/>
  <c r="Z645" i="19"/>
  <c r="AA645" i="19"/>
  <c r="AB645" i="19"/>
  <c r="U646" i="19"/>
  <c r="V646" i="19"/>
  <c r="W646" i="19"/>
  <c r="X646" i="19"/>
  <c r="Y646" i="19"/>
  <c r="Z646" i="19"/>
  <c r="AA646" i="19"/>
  <c r="AB646" i="19"/>
  <c r="U647" i="19"/>
  <c r="V647" i="19"/>
  <c r="W647" i="19"/>
  <c r="X647" i="19"/>
  <c r="Y647" i="19"/>
  <c r="Z647" i="19"/>
  <c r="AA647" i="19"/>
  <c r="AB647" i="19"/>
  <c r="U648" i="19"/>
  <c r="V648" i="19"/>
  <c r="W648" i="19"/>
  <c r="X648" i="19"/>
  <c r="Y648" i="19"/>
  <c r="Z648" i="19"/>
  <c r="AA648" i="19"/>
  <c r="AB648" i="19"/>
  <c r="U649" i="19"/>
  <c r="V649" i="19"/>
  <c r="W649" i="19"/>
  <c r="X649" i="19"/>
  <c r="Y649" i="19"/>
  <c r="Z649" i="19"/>
  <c r="AA649" i="19"/>
  <c r="AB649" i="19"/>
  <c r="U650" i="19"/>
  <c r="V650" i="19"/>
  <c r="W650" i="19"/>
  <c r="X650" i="19"/>
  <c r="Y650" i="19"/>
  <c r="Z650" i="19"/>
  <c r="AA650" i="19"/>
  <c r="AB650" i="19"/>
  <c r="U651" i="19"/>
  <c r="V651" i="19"/>
  <c r="W651" i="19"/>
  <c r="X651" i="19"/>
  <c r="Y651" i="19"/>
  <c r="Z651" i="19"/>
  <c r="AA651" i="19"/>
  <c r="AB651" i="19"/>
  <c r="U652" i="19"/>
  <c r="V652" i="19"/>
  <c r="W652" i="19"/>
  <c r="X652" i="19"/>
  <c r="Y652" i="19"/>
  <c r="Z652" i="19"/>
  <c r="AA652" i="19"/>
  <c r="AB652" i="19"/>
  <c r="U653" i="19"/>
  <c r="V653" i="19"/>
  <c r="W653" i="19"/>
  <c r="X653" i="19"/>
  <c r="Y653" i="19"/>
  <c r="Z653" i="19"/>
  <c r="AA653" i="19"/>
  <c r="AB653" i="19"/>
  <c r="U654" i="19"/>
  <c r="V654" i="19"/>
  <c r="W654" i="19"/>
  <c r="X654" i="19"/>
  <c r="Y654" i="19"/>
  <c r="Z654" i="19"/>
  <c r="AA654" i="19"/>
  <c r="AB654" i="19"/>
  <c r="U655" i="19"/>
  <c r="V655" i="19"/>
  <c r="W655" i="19"/>
  <c r="X655" i="19"/>
  <c r="Y655" i="19"/>
  <c r="Z655" i="19"/>
  <c r="AA655" i="19"/>
  <c r="AB655" i="19"/>
  <c r="U656" i="19"/>
  <c r="V656" i="19"/>
  <c r="W656" i="19"/>
  <c r="X656" i="19"/>
  <c r="Y656" i="19"/>
  <c r="Z656" i="19"/>
  <c r="AA656" i="19"/>
  <c r="AB656" i="19"/>
  <c r="U657" i="19"/>
  <c r="V657" i="19"/>
  <c r="W657" i="19"/>
  <c r="X657" i="19"/>
  <c r="Y657" i="19"/>
  <c r="Z657" i="19"/>
  <c r="AA657" i="19"/>
  <c r="AB657" i="19"/>
  <c r="U658" i="19"/>
  <c r="V658" i="19"/>
  <c r="W658" i="19"/>
  <c r="X658" i="19"/>
  <c r="Y658" i="19"/>
  <c r="Z658" i="19"/>
  <c r="AA658" i="19"/>
  <c r="AB658" i="19"/>
  <c r="U659" i="19"/>
  <c r="V659" i="19"/>
  <c r="W659" i="19"/>
  <c r="X659" i="19"/>
  <c r="Y659" i="19"/>
  <c r="Z659" i="19"/>
  <c r="AA659" i="19"/>
  <c r="AB659" i="19"/>
  <c r="U660" i="19"/>
  <c r="V660" i="19"/>
  <c r="W660" i="19"/>
  <c r="X660" i="19"/>
  <c r="Y660" i="19"/>
  <c r="Z660" i="19"/>
  <c r="AA660" i="19"/>
  <c r="AB660" i="19"/>
  <c r="U661" i="19"/>
  <c r="V661" i="19"/>
  <c r="W661" i="19"/>
  <c r="X661" i="19"/>
  <c r="Y661" i="19"/>
  <c r="Z661" i="19"/>
  <c r="AA661" i="19"/>
  <c r="AB661" i="19"/>
  <c r="U662" i="19"/>
  <c r="V662" i="19"/>
  <c r="W662" i="19"/>
  <c r="X662" i="19"/>
  <c r="Y662" i="19"/>
  <c r="Z662" i="19"/>
  <c r="AA662" i="19"/>
  <c r="AB662" i="19"/>
  <c r="U663" i="19"/>
  <c r="V663" i="19"/>
  <c r="W663" i="19"/>
  <c r="X663" i="19"/>
  <c r="Y663" i="19"/>
  <c r="Z663" i="19"/>
  <c r="AA663" i="19"/>
  <c r="AB663" i="19"/>
  <c r="U664" i="19"/>
  <c r="V664" i="19"/>
  <c r="W664" i="19"/>
  <c r="X664" i="19"/>
  <c r="Y664" i="19"/>
  <c r="Z664" i="19"/>
  <c r="AA664" i="19"/>
  <c r="AB664" i="19"/>
  <c r="U665" i="19"/>
  <c r="V665" i="19"/>
  <c r="W665" i="19"/>
  <c r="X665" i="19"/>
  <c r="Y665" i="19"/>
  <c r="Z665" i="19"/>
  <c r="AA665" i="19"/>
  <c r="AB665" i="19"/>
  <c r="U666" i="19"/>
  <c r="V666" i="19"/>
  <c r="W666" i="19"/>
  <c r="X666" i="19"/>
  <c r="Y666" i="19"/>
  <c r="Z666" i="19"/>
  <c r="AA666" i="19"/>
  <c r="AB666" i="19"/>
  <c r="U667" i="19"/>
  <c r="V667" i="19"/>
  <c r="W667" i="19"/>
  <c r="X667" i="19"/>
  <c r="Y667" i="19"/>
  <c r="Z667" i="19"/>
  <c r="AA667" i="19"/>
  <c r="AB667" i="19"/>
  <c r="U668" i="19"/>
  <c r="V668" i="19"/>
  <c r="W668" i="19"/>
  <c r="X668" i="19"/>
  <c r="Y668" i="19"/>
  <c r="Z668" i="19"/>
  <c r="AA668" i="19"/>
  <c r="AB668" i="19"/>
  <c r="U669" i="19"/>
  <c r="V669" i="19"/>
  <c r="W669" i="19"/>
  <c r="X669" i="19"/>
  <c r="Y669" i="19"/>
  <c r="Z669" i="19"/>
  <c r="AA669" i="19"/>
  <c r="AB669" i="19"/>
  <c r="U670" i="19"/>
  <c r="V670" i="19"/>
  <c r="W670" i="19"/>
  <c r="X670" i="19"/>
  <c r="Y670" i="19"/>
  <c r="Z670" i="19"/>
  <c r="AA670" i="19"/>
  <c r="AB670" i="19"/>
  <c r="U671" i="19"/>
  <c r="V671" i="19"/>
  <c r="W671" i="19"/>
  <c r="X671" i="19"/>
  <c r="Y671" i="19"/>
  <c r="Z671" i="19"/>
  <c r="AA671" i="19"/>
  <c r="AB671" i="19"/>
  <c r="U672" i="19"/>
  <c r="V672" i="19"/>
  <c r="W672" i="19"/>
  <c r="X672" i="19"/>
  <c r="Y672" i="19"/>
  <c r="Z672" i="19"/>
  <c r="AA672" i="19"/>
  <c r="AB672" i="19"/>
  <c r="U673" i="19"/>
  <c r="V673" i="19"/>
  <c r="W673" i="19"/>
  <c r="X673" i="19"/>
  <c r="Y673" i="19"/>
  <c r="Z673" i="19"/>
  <c r="AA673" i="19"/>
  <c r="AB673" i="19"/>
  <c r="U674" i="19"/>
  <c r="V674" i="19"/>
  <c r="W674" i="19"/>
  <c r="X674" i="19"/>
  <c r="Y674" i="19"/>
  <c r="Z674" i="19"/>
  <c r="AA674" i="19"/>
  <c r="AB674" i="19"/>
  <c r="U675" i="19"/>
  <c r="V675" i="19"/>
  <c r="W675" i="19"/>
  <c r="X675" i="19"/>
  <c r="Y675" i="19"/>
  <c r="Z675" i="19"/>
  <c r="AA675" i="19"/>
  <c r="AB675" i="19"/>
  <c r="U676" i="19"/>
  <c r="V676" i="19"/>
  <c r="W676" i="19"/>
  <c r="X676" i="19"/>
  <c r="Y676" i="19"/>
  <c r="Z676" i="19"/>
  <c r="AA676" i="19"/>
  <c r="AB676" i="19"/>
  <c r="U677" i="19"/>
  <c r="V677" i="19"/>
  <c r="W677" i="19"/>
  <c r="X677" i="19"/>
  <c r="Y677" i="19"/>
  <c r="Z677" i="19"/>
  <c r="AA677" i="19"/>
  <c r="AB677" i="19"/>
  <c r="U678" i="19"/>
  <c r="V678" i="19"/>
  <c r="W678" i="19"/>
  <c r="X678" i="19"/>
  <c r="Y678" i="19"/>
  <c r="Z678" i="19"/>
  <c r="AA678" i="19"/>
  <c r="AB678" i="19"/>
  <c r="U679" i="19"/>
  <c r="V679" i="19"/>
  <c r="W679" i="19"/>
  <c r="X679" i="19"/>
  <c r="Y679" i="19"/>
  <c r="Z679" i="19"/>
  <c r="AA679" i="19"/>
  <c r="AB679" i="19"/>
  <c r="U680" i="19"/>
  <c r="V680" i="19"/>
  <c r="W680" i="19"/>
  <c r="X680" i="19"/>
  <c r="Y680" i="19"/>
  <c r="Z680" i="19"/>
  <c r="AA680" i="19"/>
  <c r="AB680" i="19"/>
  <c r="U681" i="19"/>
  <c r="V681" i="19"/>
  <c r="W681" i="19"/>
  <c r="X681" i="19"/>
  <c r="Y681" i="19"/>
  <c r="Z681" i="19"/>
  <c r="AA681" i="19"/>
  <c r="AB681" i="19"/>
  <c r="U682" i="19"/>
  <c r="V682" i="19"/>
  <c r="W682" i="19"/>
  <c r="X682" i="19"/>
  <c r="Y682" i="19"/>
  <c r="Z682" i="19"/>
  <c r="AA682" i="19"/>
  <c r="AB682" i="19"/>
  <c r="U683" i="19"/>
  <c r="V683" i="19"/>
  <c r="W683" i="19"/>
  <c r="X683" i="19"/>
  <c r="Y683" i="19"/>
  <c r="Z683" i="19"/>
  <c r="AA683" i="19"/>
  <c r="AB683" i="19"/>
  <c r="U684" i="19"/>
  <c r="V684" i="19"/>
  <c r="W684" i="19"/>
  <c r="X684" i="19"/>
  <c r="Y684" i="19"/>
  <c r="Z684" i="19"/>
  <c r="AA684" i="19"/>
  <c r="AB684" i="19"/>
  <c r="U685" i="19"/>
  <c r="V685" i="19"/>
  <c r="W685" i="19"/>
  <c r="X685" i="19"/>
  <c r="Y685" i="19"/>
  <c r="Z685" i="19"/>
  <c r="AA685" i="19"/>
  <c r="AB685" i="19"/>
  <c r="U686" i="19"/>
  <c r="V686" i="19"/>
  <c r="W686" i="19"/>
  <c r="X686" i="19"/>
  <c r="Y686" i="19"/>
  <c r="Z686" i="19"/>
  <c r="AA686" i="19"/>
  <c r="AB686" i="19"/>
  <c r="U687" i="19"/>
  <c r="V687" i="19"/>
  <c r="W687" i="19"/>
  <c r="X687" i="19"/>
  <c r="Y687" i="19"/>
  <c r="Z687" i="19"/>
  <c r="AA687" i="19"/>
  <c r="AB687" i="19"/>
  <c r="U688" i="19"/>
  <c r="V688" i="19"/>
  <c r="W688" i="19"/>
  <c r="X688" i="19"/>
  <c r="Y688" i="19"/>
  <c r="Z688" i="19"/>
  <c r="AA688" i="19"/>
  <c r="AB688" i="19"/>
  <c r="U689" i="19"/>
  <c r="V689" i="19"/>
  <c r="W689" i="19"/>
  <c r="X689" i="19"/>
  <c r="Y689" i="19"/>
  <c r="Z689" i="19"/>
  <c r="AA689" i="19"/>
  <c r="AB689" i="19"/>
  <c r="U690" i="19"/>
  <c r="V690" i="19"/>
  <c r="W690" i="19"/>
  <c r="X690" i="19"/>
  <c r="Y690" i="19"/>
  <c r="Z690" i="19"/>
  <c r="AA690" i="19"/>
  <c r="AB690" i="19"/>
  <c r="U691" i="19"/>
  <c r="V691" i="19"/>
  <c r="W691" i="19"/>
  <c r="X691" i="19"/>
  <c r="Y691" i="19"/>
  <c r="Z691" i="19"/>
  <c r="AA691" i="19"/>
  <c r="AB691" i="19"/>
  <c r="U692" i="19"/>
  <c r="V692" i="19"/>
  <c r="W692" i="19"/>
  <c r="X692" i="19"/>
  <c r="Y692" i="19"/>
  <c r="Z692" i="19"/>
  <c r="AA692" i="19"/>
  <c r="AB692" i="19"/>
  <c r="U693" i="19"/>
  <c r="V693" i="19"/>
  <c r="W693" i="19"/>
  <c r="X693" i="19"/>
  <c r="Y693" i="19"/>
  <c r="Z693" i="19"/>
  <c r="AA693" i="19"/>
  <c r="AB693" i="19"/>
  <c r="U694" i="19"/>
  <c r="V694" i="19"/>
  <c r="W694" i="19"/>
  <c r="X694" i="19"/>
  <c r="Y694" i="19"/>
  <c r="Z694" i="19"/>
  <c r="AA694" i="19"/>
  <c r="AB694" i="19"/>
  <c r="U695" i="19"/>
  <c r="V695" i="19"/>
  <c r="W695" i="19"/>
  <c r="X695" i="19"/>
  <c r="Y695" i="19"/>
  <c r="Z695" i="19"/>
  <c r="AA695" i="19"/>
  <c r="AB695" i="19"/>
  <c r="U696" i="19"/>
  <c r="V696" i="19"/>
  <c r="W696" i="19"/>
  <c r="X696" i="19"/>
  <c r="Y696" i="19"/>
  <c r="Z696" i="19"/>
  <c r="AA696" i="19"/>
  <c r="AB696" i="19"/>
  <c r="U697" i="19"/>
  <c r="V697" i="19"/>
  <c r="W697" i="19"/>
  <c r="X697" i="19"/>
  <c r="Y697" i="19"/>
  <c r="Z697" i="19"/>
  <c r="AA697" i="19"/>
  <c r="AB697" i="19"/>
  <c r="U698" i="19"/>
  <c r="V698" i="19"/>
  <c r="W698" i="19"/>
  <c r="X698" i="19"/>
  <c r="Y698" i="19"/>
  <c r="Z698" i="19"/>
  <c r="AA698" i="19"/>
  <c r="AB698" i="19"/>
  <c r="U699" i="19"/>
  <c r="V699" i="19"/>
  <c r="W699" i="19"/>
  <c r="X699" i="19"/>
  <c r="Y699" i="19"/>
  <c r="Z699" i="19"/>
  <c r="AA699" i="19"/>
  <c r="AB699" i="19"/>
  <c r="U700" i="19"/>
  <c r="V700" i="19"/>
  <c r="W700" i="19"/>
  <c r="X700" i="19"/>
  <c r="Y700" i="19"/>
  <c r="Z700" i="19"/>
  <c r="AA700" i="19"/>
  <c r="AB700" i="19"/>
  <c r="U701" i="19"/>
  <c r="V701" i="19"/>
  <c r="W701" i="19"/>
  <c r="X701" i="19"/>
  <c r="Y701" i="19"/>
  <c r="Z701" i="19"/>
  <c r="AA701" i="19"/>
  <c r="AB701" i="19"/>
  <c r="U702" i="19"/>
  <c r="V702" i="19"/>
  <c r="W702" i="19"/>
  <c r="X702" i="19"/>
  <c r="Y702" i="19"/>
  <c r="Z702" i="19"/>
  <c r="AA702" i="19"/>
  <c r="AB702" i="19"/>
  <c r="U703" i="19"/>
  <c r="V703" i="19"/>
  <c r="W703" i="19"/>
  <c r="X703" i="19"/>
  <c r="Y703" i="19"/>
  <c r="Z703" i="19"/>
  <c r="AA703" i="19"/>
  <c r="AB703" i="19"/>
  <c r="U704" i="19"/>
  <c r="V704" i="19"/>
  <c r="W704" i="19"/>
  <c r="X704" i="19"/>
  <c r="Y704" i="19"/>
  <c r="Z704" i="19"/>
  <c r="AA704" i="19"/>
  <c r="AB704" i="19"/>
  <c r="U705" i="19"/>
  <c r="V705" i="19"/>
  <c r="W705" i="19"/>
  <c r="X705" i="19"/>
  <c r="Y705" i="19"/>
  <c r="Z705" i="19"/>
  <c r="AA705" i="19"/>
  <c r="AB705" i="19"/>
  <c r="U706" i="19"/>
  <c r="V706" i="19"/>
  <c r="W706" i="19"/>
  <c r="X706" i="19"/>
  <c r="Y706" i="19"/>
  <c r="Z706" i="19"/>
  <c r="AA706" i="19"/>
  <c r="AB706" i="19"/>
  <c r="U707" i="19"/>
  <c r="V707" i="19"/>
  <c r="W707" i="19"/>
  <c r="X707" i="19"/>
  <c r="Y707" i="19"/>
  <c r="Z707" i="19"/>
  <c r="AA707" i="19"/>
  <c r="AB707" i="19"/>
  <c r="U708" i="19"/>
  <c r="V708" i="19"/>
  <c r="W708" i="19"/>
  <c r="X708" i="19"/>
  <c r="Y708" i="19"/>
  <c r="Z708" i="19"/>
  <c r="AA708" i="19"/>
  <c r="AB708" i="19"/>
  <c r="U709" i="19"/>
  <c r="V709" i="19"/>
  <c r="W709" i="19"/>
  <c r="X709" i="19"/>
  <c r="Y709" i="19"/>
  <c r="Z709" i="19"/>
  <c r="AA709" i="19"/>
  <c r="AB709" i="19"/>
  <c r="U710" i="19"/>
  <c r="V710" i="19"/>
  <c r="W710" i="19"/>
  <c r="X710" i="19"/>
  <c r="Y710" i="19"/>
  <c r="Z710" i="19"/>
  <c r="AA710" i="19"/>
  <c r="AB710" i="19"/>
  <c r="U711" i="19"/>
  <c r="V711" i="19"/>
  <c r="W711" i="19"/>
  <c r="X711" i="19"/>
  <c r="Y711" i="19"/>
  <c r="Z711" i="19"/>
  <c r="AA711" i="19"/>
  <c r="AB711" i="19"/>
  <c r="U712" i="19"/>
  <c r="V712" i="19"/>
  <c r="W712" i="19"/>
  <c r="X712" i="19"/>
  <c r="Y712" i="19"/>
  <c r="Z712" i="19"/>
  <c r="AA712" i="19"/>
  <c r="AB712" i="19"/>
  <c r="U713" i="19"/>
  <c r="V713" i="19"/>
  <c r="W713" i="19"/>
  <c r="X713" i="19"/>
  <c r="Y713" i="19"/>
  <c r="Z713" i="19"/>
  <c r="AA713" i="19"/>
  <c r="AB713" i="19"/>
  <c r="U714" i="19"/>
  <c r="V714" i="19"/>
  <c r="W714" i="19"/>
  <c r="X714" i="19"/>
  <c r="Y714" i="19"/>
  <c r="Z714" i="19"/>
  <c r="AA714" i="19"/>
  <c r="AB714" i="19"/>
  <c r="U715" i="19"/>
  <c r="V715" i="19"/>
  <c r="W715" i="19"/>
  <c r="X715" i="19"/>
  <c r="Y715" i="19"/>
  <c r="Z715" i="19"/>
  <c r="AA715" i="19"/>
  <c r="AB715" i="19"/>
  <c r="U716" i="19"/>
  <c r="V716" i="19"/>
  <c r="W716" i="19"/>
  <c r="X716" i="19"/>
  <c r="Y716" i="19"/>
  <c r="Z716" i="19"/>
  <c r="AA716" i="19"/>
  <c r="AB716" i="19"/>
  <c r="U717" i="19"/>
  <c r="V717" i="19"/>
  <c r="W717" i="19"/>
  <c r="X717" i="19"/>
  <c r="Y717" i="19"/>
  <c r="Z717" i="19"/>
  <c r="AA717" i="19"/>
  <c r="AB717" i="19"/>
  <c r="U718" i="19"/>
  <c r="V718" i="19"/>
  <c r="W718" i="19"/>
  <c r="X718" i="19"/>
  <c r="Y718" i="19"/>
  <c r="Z718" i="19"/>
  <c r="AA718" i="19"/>
  <c r="AB718" i="19"/>
  <c r="U719" i="19"/>
  <c r="V719" i="19"/>
  <c r="W719" i="19"/>
  <c r="X719" i="19"/>
  <c r="Y719" i="19"/>
  <c r="Z719" i="19"/>
  <c r="AA719" i="19"/>
  <c r="AB719" i="19"/>
  <c r="U720" i="19"/>
  <c r="V720" i="19"/>
  <c r="W720" i="19"/>
  <c r="X720" i="19"/>
  <c r="Y720" i="19"/>
  <c r="Z720" i="19"/>
  <c r="AA720" i="19"/>
  <c r="AB720" i="19"/>
  <c r="U721" i="19"/>
  <c r="V721" i="19"/>
  <c r="W721" i="19"/>
  <c r="X721" i="19"/>
  <c r="Y721" i="19"/>
  <c r="Z721" i="19"/>
  <c r="AA721" i="19"/>
  <c r="AB721" i="19"/>
  <c r="U722" i="19"/>
  <c r="V722" i="19"/>
  <c r="W722" i="19"/>
  <c r="X722" i="19"/>
  <c r="Y722" i="19"/>
  <c r="Z722" i="19"/>
  <c r="AA722" i="19"/>
  <c r="AB722" i="19"/>
  <c r="U723" i="19"/>
  <c r="V723" i="19"/>
  <c r="W723" i="19"/>
  <c r="X723" i="19"/>
  <c r="Y723" i="19"/>
  <c r="Z723" i="19"/>
  <c r="AA723" i="19"/>
  <c r="AB723" i="19"/>
  <c r="U724" i="19"/>
  <c r="V724" i="19"/>
  <c r="W724" i="19"/>
  <c r="X724" i="19"/>
  <c r="Y724" i="19"/>
  <c r="Z724" i="19"/>
  <c r="AA724" i="19"/>
  <c r="AB724" i="19"/>
  <c r="U725" i="19"/>
  <c r="V725" i="19"/>
  <c r="W725" i="19"/>
  <c r="X725" i="19"/>
  <c r="Y725" i="19"/>
  <c r="Z725" i="19"/>
  <c r="AA725" i="19"/>
  <c r="AB725" i="19"/>
  <c r="U726" i="19"/>
  <c r="V726" i="19"/>
  <c r="W726" i="19"/>
  <c r="X726" i="19"/>
  <c r="Y726" i="19"/>
  <c r="Z726" i="19"/>
  <c r="AA726" i="19"/>
  <c r="AB726" i="19"/>
  <c r="U727" i="19"/>
  <c r="V727" i="19"/>
  <c r="W727" i="19"/>
  <c r="X727" i="19"/>
  <c r="Y727" i="19"/>
  <c r="Z727" i="19"/>
  <c r="AA727" i="19"/>
  <c r="AB727" i="19"/>
  <c r="U728" i="19"/>
  <c r="V728" i="19"/>
  <c r="W728" i="19"/>
  <c r="X728" i="19"/>
  <c r="Y728" i="19"/>
  <c r="Z728" i="19"/>
  <c r="AA728" i="19"/>
  <c r="AB728" i="19"/>
  <c r="U729" i="19"/>
  <c r="V729" i="19"/>
  <c r="W729" i="19"/>
  <c r="X729" i="19"/>
  <c r="Y729" i="19"/>
  <c r="Z729" i="19"/>
  <c r="AA729" i="19"/>
  <c r="AB729" i="19"/>
  <c r="U730" i="19"/>
  <c r="V730" i="19"/>
  <c r="W730" i="19"/>
  <c r="X730" i="19"/>
  <c r="Y730" i="19"/>
  <c r="Z730" i="19"/>
  <c r="AA730" i="19"/>
  <c r="AB730" i="19"/>
  <c r="U731" i="19"/>
  <c r="V731" i="19"/>
  <c r="W731" i="19"/>
  <c r="X731" i="19"/>
  <c r="Y731" i="19"/>
  <c r="Z731" i="19"/>
  <c r="AA731" i="19"/>
  <c r="AB731" i="19"/>
  <c r="U732" i="19"/>
  <c r="V732" i="19"/>
  <c r="W732" i="19"/>
  <c r="X732" i="19"/>
  <c r="Y732" i="19"/>
  <c r="Z732" i="19"/>
  <c r="AA732" i="19"/>
  <c r="AB732" i="19"/>
  <c r="U733" i="19"/>
  <c r="V733" i="19"/>
  <c r="W733" i="19"/>
  <c r="X733" i="19"/>
  <c r="Y733" i="19"/>
  <c r="Z733" i="19"/>
  <c r="AA733" i="19"/>
  <c r="AB733" i="19"/>
  <c r="U734" i="19"/>
  <c r="V734" i="19"/>
  <c r="W734" i="19"/>
  <c r="X734" i="19"/>
  <c r="Y734" i="19"/>
  <c r="Z734" i="19"/>
  <c r="AA734" i="19"/>
  <c r="AB734" i="19"/>
  <c r="U735" i="19"/>
  <c r="V735" i="19"/>
  <c r="W735" i="19"/>
  <c r="X735" i="19"/>
  <c r="Y735" i="19"/>
  <c r="Z735" i="19"/>
  <c r="AA735" i="19"/>
  <c r="AB735" i="19"/>
  <c r="U736" i="19"/>
  <c r="V736" i="19"/>
  <c r="W736" i="19"/>
  <c r="X736" i="19"/>
  <c r="Y736" i="19"/>
  <c r="Z736" i="19"/>
  <c r="AA736" i="19"/>
  <c r="AB736" i="19"/>
  <c r="U737" i="19"/>
  <c r="V737" i="19"/>
  <c r="W737" i="19"/>
  <c r="X737" i="19"/>
  <c r="Y737" i="19"/>
  <c r="Z737" i="19"/>
  <c r="AA737" i="19"/>
  <c r="AB737" i="19"/>
  <c r="U738" i="19"/>
  <c r="V738" i="19"/>
  <c r="W738" i="19"/>
  <c r="X738" i="19"/>
  <c r="Y738" i="19"/>
  <c r="Z738" i="19"/>
  <c r="AA738" i="19"/>
  <c r="AB738" i="19"/>
  <c r="U739" i="19"/>
  <c r="V739" i="19"/>
  <c r="W739" i="19"/>
  <c r="X739" i="19"/>
  <c r="Y739" i="19"/>
  <c r="Z739" i="19"/>
  <c r="AA739" i="19"/>
  <c r="AB739" i="19"/>
  <c r="U740" i="19"/>
  <c r="V740" i="19"/>
  <c r="W740" i="19"/>
  <c r="X740" i="19"/>
  <c r="Y740" i="19"/>
  <c r="Z740" i="19"/>
  <c r="AA740" i="19"/>
  <c r="AB740" i="19"/>
  <c r="U741" i="19"/>
  <c r="V741" i="19"/>
  <c r="W741" i="19"/>
  <c r="X741" i="19"/>
  <c r="Y741" i="19"/>
  <c r="Z741" i="19"/>
  <c r="AA741" i="19"/>
  <c r="AB741" i="19"/>
  <c r="U742" i="19"/>
  <c r="V742" i="19"/>
  <c r="W742" i="19"/>
  <c r="X742" i="19"/>
  <c r="Y742" i="19"/>
  <c r="Z742" i="19"/>
  <c r="AA742" i="19"/>
  <c r="AB742" i="19"/>
  <c r="U743" i="19"/>
  <c r="V743" i="19"/>
  <c r="W743" i="19"/>
  <c r="X743" i="19"/>
  <c r="Y743" i="19"/>
  <c r="Z743" i="19"/>
  <c r="AA743" i="19"/>
  <c r="AB743" i="19"/>
  <c r="U744" i="19"/>
  <c r="V744" i="19"/>
  <c r="W744" i="19"/>
  <c r="X744" i="19"/>
  <c r="Y744" i="19"/>
  <c r="Z744" i="19"/>
  <c r="AA744" i="19"/>
  <c r="AB744" i="19"/>
  <c r="U745" i="19"/>
  <c r="V745" i="19"/>
  <c r="W745" i="19"/>
  <c r="X745" i="19"/>
  <c r="Y745" i="19"/>
  <c r="Z745" i="19"/>
  <c r="AA745" i="19"/>
  <c r="AB745" i="19"/>
  <c r="U746" i="19"/>
  <c r="V746" i="19"/>
  <c r="W746" i="19"/>
  <c r="X746" i="19"/>
  <c r="Y746" i="19"/>
  <c r="Z746" i="19"/>
  <c r="AA746" i="19"/>
  <c r="AB746" i="19"/>
  <c r="U747" i="19"/>
  <c r="V747" i="19"/>
  <c r="W747" i="19"/>
  <c r="X747" i="19"/>
  <c r="Y747" i="19"/>
  <c r="Z747" i="19"/>
  <c r="AA747" i="19"/>
  <c r="AB747" i="19"/>
  <c r="U748" i="19"/>
  <c r="V748" i="19"/>
  <c r="W748" i="19"/>
  <c r="X748" i="19"/>
  <c r="Y748" i="19"/>
  <c r="Z748" i="19"/>
  <c r="AA748" i="19"/>
  <c r="AB748" i="19"/>
  <c r="U749" i="19"/>
  <c r="V749" i="19"/>
  <c r="W749" i="19"/>
  <c r="X749" i="19"/>
  <c r="Y749" i="19"/>
  <c r="Z749" i="19"/>
  <c r="AA749" i="19"/>
  <c r="AB749" i="19"/>
  <c r="U750" i="19"/>
  <c r="V750" i="19"/>
  <c r="W750" i="19"/>
  <c r="X750" i="19"/>
  <c r="Y750" i="19"/>
  <c r="Z750" i="19"/>
  <c r="AA750" i="19"/>
  <c r="AB750" i="19"/>
  <c r="U751" i="19"/>
  <c r="V751" i="19"/>
  <c r="W751" i="19"/>
  <c r="X751" i="19"/>
  <c r="Y751" i="19"/>
  <c r="Z751" i="19"/>
  <c r="AA751" i="19"/>
  <c r="AB751" i="19"/>
  <c r="U752" i="19"/>
  <c r="V752" i="19"/>
  <c r="W752" i="19"/>
  <c r="X752" i="19"/>
  <c r="Y752" i="19"/>
  <c r="Z752" i="19"/>
  <c r="AA752" i="19"/>
  <c r="AB752" i="19"/>
  <c r="U753" i="19"/>
  <c r="V753" i="19"/>
  <c r="W753" i="19"/>
  <c r="X753" i="19"/>
  <c r="Y753" i="19"/>
  <c r="Z753" i="19"/>
  <c r="AA753" i="19"/>
  <c r="AB753" i="19"/>
  <c r="U754" i="19"/>
  <c r="V754" i="19"/>
  <c r="W754" i="19"/>
  <c r="X754" i="19"/>
  <c r="Y754" i="19"/>
  <c r="Z754" i="19"/>
  <c r="AA754" i="19"/>
  <c r="AB754" i="19"/>
  <c r="U755" i="19"/>
  <c r="V755" i="19"/>
  <c r="W755" i="19"/>
  <c r="X755" i="19"/>
  <c r="Y755" i="19"/>
  <c r="Z755" i="19"/>
  <c r="AA755" i="19"/>
  <c r="AB755" i="19"/>
  <c r="U756" i="19"/>
  <c r="V756" i="19"/>
  <c r="W756" i="19"/>
  <c r="X756" i="19"/>
  <c r="Y756" i="19"/>
  <c r="Z756" i="19"/>
  <c r="AA756" i="19"/>
  <c r="AB756" i="19"/>
  <c r="U757" i="19"/>
  <c r="V757" i="19"/>
  <c r="W757" i="19"/>
  <c r="X757" i="19"/>
  <c r="Y757" i="19"/>
  <c r="Z757" i="19"/>
  <c r="AA757" i="19"/>
  <c r="AB757" i="19"/>
  <c r="U758" i="19"/>
  <c r="V758" i="19"/>
  <c r="W758" i="19"/>
  <c r="X758" i="19"/>
  <c r="Y758" i="19"/>
  <c r="Z758" i="19"/>
  <c r="AA758" i="19"/>
  <c r="AB758" i="19"/>
  <c r="U759" i="19"/>
  <c r="V759" i="19"/>
  <c r="W759" i="19"/>
  <c r="X759" i="19"/>
  <c r="Y759" i="19"/>
  <c r="Z759" i="19"/>
  <c r="AA759" i="19"/>
  <c r="AB759" i="19"/>
  <c r="U760" i="19"/>
  <c r="V760" i="19"/>
  <c r="W760" i="19"/>
  <c r="X760" i="19"/>
  <c r="Y760" i="19"/>
  <c r="Z760" i="19"/>
  <c r="AA760" i="19"/>
  <c r="AB760" i="19"/>
  <c r="U761" i="19"/>
  <c r="V761" i="19"/>
  <c r="W761" i="19"/>
  <c r="X761" i="19"/>
  <c r="Y761" i="19"/>
  <c r="Z761" i="19"/>
  <c r="AA761" i="19"/>
  <c r="AB761" i="19"/>
  <c r="U762" i="19"/>
  <c r="V762" i="19"/>
  <c r="W762" i="19"/>
  <c r="X762" i="19"/>
  <c r="Y762" i="19"/>
  <c r="Z762" i="19"/>
  <c r="AA762" i="19"/>
  <c r="AB762" i="19"/>
  <c r="U763" i="19"/>
  <c r="V763" i="19"/>
  <c r="W763" i="19"/>
  <c r="X763" i="19"/>
  <c r="Y763" i="19"/>
  <c r="Z763" i="19"/>
  <c r="AA763" i="19"/>
  <c r="AB763" i="19"/>
  <c r="U764" i="19"/>
  <c r="V764" i="19"/>
  <c r="W764" i="19"/>
  <c r="X764" i="19"/>
  <c r="Y764" i="19"/>
  <c r="Z764" i="19"/>
  <c r="AA764" i="19"/>
  <c r="AB764" i="19"/>
  <c r="U765" i="19"/>
  <c r="V765" i="19"/>
  <c r="W765" i="19"/>
  <c r="X765" i="19"/>
  <c r="Y765" i="19"/>
  <c r="Z765" i="19"/>
  <c r="AA765" i="19"/>
  <c r="AB765" i="19"/>
  <c r="U766" i="19"/>
  <c r="V766" i="19"/>
  <c r="W766" i="19"/>
  <c r="X766" i="19"/>
  <c r="Y766" i="19"/>
  <c r="Z766" i="19"/>
  <c r="AA766" i="19"/>
  <c r="AB766" i="19"/>
  <c r="U767" i="19"/>
  <c r="V767" i="19"/>
  <c r="W767" i="19"/>
  <c r="X767" i="19"/>
  <c r="Y767" i="19"/>
  <c r="Z767" i="19"/>
  <c r="AA767" i="19"/>
  <c r="AB767" i="19"/>
  <c r="U768" i="19"/>
  <c r="V768" i="19"/>
  <c r="W768" i="19"/>
  <c r="X768" i="19"/>
  <c r="Y768" i="19"/>
  <c r="Z768" i="19"/>
  <c r="AA768" i="19"/>
  <c r="AB768" i="19"/>
  <c r="U769" i="19"/>
  <c r="V769" i="19"/>
  <c r="W769" i="19"/>
  <c r="X769" i="19"/>
  <c r="Y769" i="19"/>
  <c r="Z769" i="19"/>
  <c r="AA769" i="19"/>
  <c r="AB769" i="19"/>
  <c r="U770" i="19"/>
  <c r="V770" i="19"/>
  <c r="W770" i="19"/>
  <c r="X770" i="19"/>
  <c r="Y770" i="19"/>
  <c r="Z770" i="19"/>
  <c r="AA770" i="19"/>
  <c r="AB770" i="19"/>
  <c r="U771" i="19"/>
  <c r="V771" i="19"/>
  <c r="W771" i="19"/>
  <c r="X771" i="19"/>
  <c r="Y771" i="19"/>
  <c r="Z771" i="19"/>
  <c r="AA771" i="19"/>
  <c r="AB771" i="19"/>
  <c r="U772" i="19"/>
  <c r="V772" i="19"/>
  <c r="W772" i="19"/>
  <c r="X772" i="19"/>
  <c r="Y772" i="19"/>
  <c r="Z772" i="19"/>
  <c r="AA772" i="19"/>
  <c r="AB772" i="19"/>
  <c r="U773" i="19"/>
  <c r="V773" i="19"/>
  <c r="W773" i="19"/>
  <c r="X773" i="19"/>
  <c r="Y773" i="19"/>
  <c r="Z773" i="19"/>
  <c r="AA773" i="19"/>
  <c r="AB773" i="19"/>
  <c r="U774" i="19"/>
  <c r="V774" i="19"/>
  <c r="W774" i="19"/>
  <c r="X774" i="19"/>
  <c r="Y774" i="19"/>
  <c r="Z774" i="19"/>
  <c r="AA774" i="19"/>
  <c r="AB774" i="19"/>
  <c r="U775" i="19"/>
  <c r="V775" i="19"/>
  <c r="W775" i="19"/>
  <c r="X775" i="19"/>
  <c r="Y775" i="19"/>
  <c r="Z775" i="19"/>
  <c r="AA775" i="19"/>
  <c r="AB775" i="19"/>
  <c r="U776" i="19"/>
  <c r="V776" i="19"/>
  <c r="W776" i="19"/>
  <c r="X776" i="19"/>
  <c r="Y776" i="19"/>
  <c r="Z776" i="19"/>
  <c r="AA776" i="19"/>
  <c r="AB776" i="19"/>
  <c r="U777" i="19"/>
  <c r="V777" i="19"/>
  <c r="W777" i="19"/>
  <c r="X777" i="19"/>
  <c r="Y777" i="19"/>
  <c r="Z777" i="19"/>
  <c r="AA777" i="19"/>
  <c r="AB777" i="19"/>
  <c r="U778" i="19"/>
  <c r="V778" i="19"/>
  <c r="W778" i="19"/>
  <c r="X778" i="19"/>
  <c r="Y778" i="19"/>
  <c r="Z778" i="19"/>
  <c r="AA778" i="19"/>
  <c r="AB778" i="19"/>
  <c r="U779" i="19"/>
  <c r="V779" i="19"/>
  <c r="W779" i="19"/>
  <c r="X779" i="19"/>
  <c r="Y779" i="19"/>
  <c r="Z779" i="19"/>
  <c r="AA779" i="19"/>
  <c r="AB779" i="19"/>
  <c r="U780" i="19"/>
  <c r="V780" i="19"/>
  <c r="W780" i="19"/>
  <c r="X780" i="19"/>
  <c r="Y780" i="19"/>
  <c r="Z780" i="19"/>
  <c r="AA780" i="19"/>
  <c r="AB780" i="19"/>
  <c r="U781" i="19"/>
  <c r="V781" i="19"/>
  <c r="W781" i="19"/>
  <c r="X781" i="19"/>
  <c r="Y781" i="19"/>
  <c r="Z781" i="19"/>
  <c r="AA781" i="19"/>
  <c r="AB781" i="19"/>
  <c r="U782" i="19"/>
  <c r="V782" i="19"/>
  <c r="W782" i="19"/>
  <c r="X782" i="19"/>
  <c r="Y782" i="19"/>
  <c r="Z782" i="19"/>
  <c r="AA782" i="19"/>
  <c r="AB782" i="19"/>
  <c r="U783" i="19"/>
  <c r="V783" i="19"/>
  <c r="W783" i="19"/>
  <c r="X783" i="19"/>
  <c r="Y783" i="19"/>
  <c r="Z783" i="19"/>
  <c r="AA783" i="19"/>
  <c r="AB783" i="19"/>
  <c r="U784" i="19"/>
  <c r="V784" i="19"/>
  <c r="W784" i="19"/>
  <c r="X784" i="19"/>
  <c r="Y784" i="19"/>
  <c r="Z784" i="19"/>
  <c r="AA784" i="19"/>
  <c r="AB784" i="19"/>
  <c r="U785" i="19"/>
  <c r="V785" i="19"/>
  <c r="W785" i="19"/>
  <c r="X785" i="19"/>
  <c r="Y785" i="19"/>
  <c r="Z785" i="19"/>
  <c r="AA785" i="19"/>
  <c r="AB785" i="19"/>
  <c r="U786" i="19"/>
  <c r="V786" i="19"/>
  <c r="W786" i="19"/>
  <c r="X786" i="19"/>
  <c r="Y786" i="19"/>
  <c r="Z786" i="19"/>
  <c r="AA786" i="19"/>
  <c r="AB786" i="19"/>
  <c r="U787" i="19"/>
  <c r="V787" i="19"/>
  <c r="W787" i="19"/>
  <c r="X787" i="19"/>
  <c r="Y787" i="19"/>
  <c r="Z787" i="19"/>
  <c r="AA787" i="19"/>
  <c r="AB787" i="19"/>
  <c r="U788" i="19"/>
  <c r="V788" i="19"/>
  <c r="W788" i="19"/>
  <c r="X788" i="19"/>
  <c r="Y788" i="19"/>
  <c r="Z788" i="19"/>
  <c r="AA788" i="19"/>
  <c r="AB788" i="19"/>
  <c r="U789" i="19"/>
  <c r="V789" i="19"/>
  <c r="W789" i="19"/>
  <c r="X789" i="19"/>
  <c r="Y789" i="19"/>
  <c r="Z789" i="19"/>
  <c r="AA789" i="19"/>
  <c r="AB789" i="19"/>
  <c r="U790" i="19"/>
  <c r="V790" i="19"/>
  <c r="W790" i="19"/>
  <c r="X790" i="19"/>
  <c r="Y790" i="19"/>
  <c r="Z790" i="19"/>
  <c r="AA790" i="19"/>
  <c r="AB790" i="19"/>
  <c r="U791" i="19"/>
  <c r="V791" i="19"/>
  <c r="W791" i="19"/>
  <c r="X791" i="19"/>
  <c r="Y791" i="19"/>
  <c r="Z791" i="19"/>
  <c r="AA791" i="19"/>
  <c r="AB791" i="19"/>
  <c r="U792" i="19"/>
  <c r="V792" i="19"/>
  <c r="W792" i="19"/>
  <c r="X792" i="19"/>
  <c r="Y792" i="19"/>
  <c r="Z792" i="19"/>
  <c r="AA792" i="19"/>
  <c r="AB792" i="19"/>
  <c r="U793" i="19"/>
  <c r="V793" i="19"/>
  <c r="W793" i="19"/>
  <c r="X793" i="19"/>
  <c r="Y793" i="19"/>
  <c r="Z793" i="19"/>
  <c r="AA793" i="19"/>
  <c r="AB793" i="19"/>
  <c r="U794" i="19"/>
  <c r="V794" i="19"/>
  <c r="W794" i="19"/>
  <c r="X794" i="19"/>
  <c r="Y794" i="19"/>
  <c r="Z794" i="19"/>
  <c r="AA794" i="19"/>
  <c r="AB794" i="19"/>
  <c r="U795" i="19"/>
  <c r="V795" i="19"/>
  <c r="W795" i="19"/>
  <c r="X795" i="19"/>
  <c r="Y795" i="19"/>
  <c r="Z795" i="19"/>
  <c r="AA795" i="19"/>
  <c r="AB795" i="19"/>
  <c r="U796" i="19"/>
  <c r="V796" i="19"/>
  <c r="W796" i="19"/>
  <c r="X796" i="19"/>
  <c r="Y796" i="19"/>
  <c r="Z796" i="19"/>
  <c r="AA796" i="19"/>
  <c r="AB796" i="19"/>
  <c r="U797" i="19"/>
  <c r="V797" i="19"/>
  <c r="W797" i="19"/>
  <c r="X797" i="19"/>
  <c r="Y797" i="19"/>
  <c r="Z797" i="19"/>
  <c r="AA797" i="19"/>
  <c r="AB797" i="19"/>
  <c r="U798" i="19"/>
  <c r="V798" i="19"/>
  <c r="W798" i="19"/>
  <c r="X798" i="19"/>
  <c r="Y798" i="19"/>
  <c r="Z798" i="19"/>
  <c r="AA798" i="19"/>
  <c r="AB798" i="19"/>
  <c r="U799" i="19"/>
  <c r="V799" i="19"/>
  <c r="W799" i="19"/>
  <c r="X799" i="19"/>
  <c r="Y799" i="19"/>
  <c r="Z799" i="19"/>
  <c r="AA799" i="19"/>
  <c r="AB799" i="19"/>
  <c r="U800" i="19"/>
  <c r="V800" i="19"/>
  <c r="W800" i="19"/>
  <c r="X800" i="19"/>
  <c r="Y800" i="19"/>
  <c r="Z800" i="19"/>
  <c r="AA800" i="19"/>
  <c r="AB800" i="19"/>
  <c r="U801" i="19"/>
  <c r="V801" i="19"/>
  <c r="W801" i="19"/>
  <c r="X801" i="19"/>
  <c r="Y801" i="19"/>
  <c r="Z801" i="19"/>
  <c r="AA801" i="19"/>
  <c r="AB801" i="19"/>
  <c r="U802" i="19"/>
  <c r="V802" i="19"/>
  <c r="W802" i="19"/>
  <c r="X802" i="19"/>
  <c r="Y802" i="19"/>
  <c r="Z802" i="19"/>
  <c r="AA802" i="19"/>
  <c r="AB802" i="19"/>
  <c r="U803" i="19"/>
  <c r="V803" i="19"/>
  <c r="W803" i="19"/>
  <c r="X803" i="19"/>
  <c r="Y803" i="19"/>
  <c r="Z803" i="19"/>
  <c r="AA803" i="19"/>
  <c r="AB803" i="19"/>
  <c r="U804" i="19"/>
  <c r="V804" i="19"/>
  <c r="W804" i="19"/>
  <c r="X804" i="19"/>
  <c r="Y804" i="19"/>
  <c r="Z804" i="19"/>
  <c r="AA804" i="19"/>
  <c r="AB804" i="19"/>
  <c r="U805" i="19"/>
  <c r="V805" i="19"/>
  <c r="W805" i="19"/>
  <c r="X805" i="19"/>
  <c r="Y805" i="19"/>
  <c r="Z805" i="19"/>
  <c r="AA805" i="19"/>
  <c r="AB805" i="19"/>
  <c r="U806" i="19"/>
  <c r="V806" i="19"/>
  <c r="W806" i="19"/>
  <c r="X806" i="19"/>
  <c r="Y806" i="19"/>
  <c r="Z806" i="19"/>
  <c r="AA806" i="19"/>
  <c r="AB806" i="19"/>
  <c r="U807" i="19"/>
  <c r="V807" i="19"/>
  <c r="W807" i="19"/>
  <c r="X807" i="19"/>
  <c r="Y807" i="19"/>
  <c r="Z807" i="19"/>
  <c r="AA807" i="19"/>
  <c r="AB807" i="19"/>
  <c r="U808" i="19"/>
  <c r="V808" i="19"/>
  <c r="W808" i="19"/>
  <c r="X808" i="19"/>
  <c r="Y808" i="19"/>
  <c r="Z808" i="19"/>
  <c r="AA808" i="19"/>
  <c r="AB808" i="19"/>
  <c r="U809" i="19"/>
  <c r="V809" i="19"/>
  <c r="W809" i="19"/>
  <c r="X809" i="19"/>
  <c r="Y809" i="19"/>
  <c r="Z809" i="19"/>
  <c r="AA809" i="19"/>
  <c r="AB809" i="19"/>
  <c r="U810" i="19"/>
  <c r="V810" i="19"/>
  <c r="W810" i="19"/>
  <c r="X810" i="19"/>
  <c r="Y810" i="19"/>
  <c r="Z810" i="19"/>
  <c r="AA810" i="19"/>
  <c r="AB810" i="19"/>
  <c r="U811" i="19"/>
  <c r="V811" i="19"/>
  <c r="W811" i="19"/>
  <c r="X811" i="19"/>
  <c r="Y811" i="19"/>
  <c r="Z811" i="19"/>
  <c r="AA811" i="19"/>
  <c r="AB811" i="19"/>
  <c r="U812" i="19"/>
  <c r="V812" i="19"/>
  <c r="W812" i="19"/>
  <c r="X812" i="19"/>
  <c r="Y812" i="19"/>
  <c r="Z812" i="19"/>
  <c r="AA812" i="19"/>
  <c r="AB812" i="19"/>
  <c r="U813" i="19"/>
  <c r="V813" i="19"/>
  <c r="W813" i="19"/>
  <c r="X813" i="19"/>
  <c r="Y813" i="19"/>
  <c r="Z813" i="19"/>
  <c r="AA813" i="19"/>
  <c r="AB813" i="19"/>
  <c r="U814" i="19"/>
  <c r="V814" i="19"/>
  <c r="W814" i="19"/>
  <c r="X814" i="19"/>
  <c r="Y814" i="19"/>
  <c r="Z814" i="19"/>
  <c r="AA814" i="19"/>
  <c r="AB814" i="19"/>
  <c r="U815" i="19"/>
  <c r="V815" i="19"/>
  <c r="W815" i="19"/>
  <c r="X815" i="19"/>
  <c r="Y815" i="19"/>
  <c r="Z815" i="19"/>
  <c r="AA815" i="19"/>
  <c r="AB815" i="19"/>
  <c r="U816" i="19"/>
  <c r="V816" i="19"/>
  <c r="W816" i="19"/>
  <c r="X816" i="19"/>
  <c r="Y816" i="19"/>
  <c r="Z816" i="19"/>
  <c r="AA816" i="19"/>
  <c r="AB816" i="19"/>
  <c r="U817" i="19"/>
  <c r="V817" i="19"/>
  <c r="W817" i="19"/>
  <c r="X817" i="19"/>
  <c r="Y817" i="19"/>
  <c r="Z817" i="19"/>
  <c r="AA817" i="19"/>
  <c r="AB817" i="19"/>
  <c r="U818" i="19"/>
  <c r="V818" i="19"/>
  <c r="W818" i="19"/>
  <c r="X818" i="19"/>
  <c r="Y818" i="19"/>
  <c r="Z818" i="19"/>
  <c r="AA818" i="19"/>
  <c r="AB818" i="19"/>
  <c r="U819" i="19"/>
  <c r="V819" i="19"/>
  <c r="W819" i="19"/>
  <c r="X819" i="19"/>
  <c r="Y819" i="19"/>
  <c r="Z819" i="19"/>
  <c r="AA819" i="19"/>
  <c r="AB819" i="19"/>
  <c r="U820" i="19"/>
  <c r="V820" i="19"/>
  <c r="W820" i="19"/>
  <c r="X820" i="19"/>
  <c r="Y820" i="19"/>
  <c r="Z820" i="19"/>
  <c r="AA820" i="19"/>
  <c r="AB820" i="19"/>
  <c r="U821" i="19"/>
  <c r="V821" i="19"/>
  <c r="W821" i="19"/>
  <c r="X821" i="19"/>
  <c r="Y821" i="19"/>
  <c r="Z821" i="19"/>
  <c r="AA821" i="19"/>
  <c r="AB821" i="19"/>
  <c r="U822" i="19"/>
  <c r="V822" i="19"/>
  <c r="W822" i="19"/>
  <c r="X822" i="19"/>
  <c r="Y822" i="19"/>
  <c r="Z822" i="19"/>
  <c r="AA822" i="19"/>
  <c r="AB822" i="19"/>
  <c r="U823" i="19"/>
  <c r="V823" i="19"/>
  <c r="W823" i="19"/>
  <c r="X823" i="19"/>
  <c r="Y823" i="19"/>
  <c r="Z823" i="19"/>
  <c r="AA823" i="19"/>
  <c r="AB823" i="19"/>
  <c r="U824" i="19"/>
  <c r="V824" i="19"/>
  <c r="W824" i="19"/>
  <c r="X824" i="19"/>
  <c r="Y824" i="19"/>
  <c r="Z824" i="19"/>
  <c r="AA824" i="19"/>
  <c r="AB824" i="19"/>
  <c r="U825" i="19"/>
  <c r="V825" i="19"/>
  <c r="W825" i="19"/>
  <c r="X825" i="19"/>
  <c r="Y825" i="19"/>
  <c r="Z825" i="19"/>
  <c r="AA825" i="19"/>
  <c r="AB825" i="19"/>
  <c r="U826" i="19"/>
  <c r="V826" i="19"/>
  <c r="W826" i="19"/>
  <c r="X826" i="19"/>
  <c r="Y826" i="19"/>
  <c r="Z826" i="19"/>
  <c r="AA826" i="19"/>
  <c r="AB826" i="19"/>
  <c r="U827" i="19"/>
  <c r="V827" i="19"/>
  <c r="W827" i="19"/>
  <c r="X827" i="19"/>
  <c r="Y827" i="19"/>
  <c r="Z827" i="19"/>
  <c r="AA827" i="19"/>
  <c r="AB827" i="19"/>
  <c r="U828" i="19"/>
  <c r="V828" i="19"/>
  <c r="W828" i="19"/>
  <c r="X828" i="19"/>
  <c r="Y828" i="19"/>
  <c r="Z828" i="19"/>
  <c r="AA828" i="19"/>
  <c r="AB828" i="19"/>
  <c r="U829" i="19"/>
  <c r="V829" i="19"/>
  <c r="W829" i="19"/>
  <c r="X829" i="19"/>
  <c r="Y829" i="19"/>
  <c r="Z829" i="19"/>
  <c r="AA829" i="19"/>
  <c r="AB829" i="19"/>
  <c r="U830" i="19"/>
  <c r="V830" i="19"/>
  <c r="W830" i="19"/>
  <c r="X830" i="19"/>
  <c r="Y830" i="19"/>
  <c r="Z830" i="19"/>
  <c r="AA830" i="19"/>
  <c r="AB830" i="19"/>
  <c r="U831" i="19"/>
  <c r="V831" i="19"/>
  <c r="W831" i="19"/>
  <c r="X831" i="19"/>
  <c r="Y831" i="19"/>
  <c r="Z831" i="19"/>
  <c r="AA831" i="19"/>
  <c r="AB831" i="19"/>
  <c r="U832" i="19"/>
  <c r="V832" i="19"/>
  <c r="W832" i="19"/>
  <c r="X832" i="19"/>
  <c r="Y832" i="19"/>
  <c r="Z832" i="19"/>
  <c r="AA832" i="19"/>
  <c r="AB832" i="19"/>
  <c r="U833" i="19"/>
  <c r="V833" i="19"/>
  <c r="W833" i="19"/>
  <c r="X833" i="19"/>
  <c r="Y833" i="19"/>
  <c r="Z833" i="19"/>
  <c r="AA833" i="19"/>
  <c r="AB833" i="19"/>
  <c r="U834" i="19"/>
  <c r="V834" i="19"/>
  <c r="W834" i="19"/>
  <c r="X834" i="19"/>
  <c r="Y834" i="19"/>
  <c r="Z834" i="19"/>
  <c r="AA834" i="19"/>
  <c r="AB834" i="19"/>
  <c r="U835" i="19"/>
  <c r="V835" i="19"/>
  <c r="W835" i="19"/>
  <c r="X835" i="19"/>
  <c r="Y835" i="19"/>
  <c r="Z835" i="19"/>
  <c r="AA835" i="19"/>
  <c r="AB835" i="19"/>
  <c r="U836" i="19"/>
  <c r="V836" i="19"/>
  <c r="W836" i="19"/>
  <c r="X836" i="19"/>
  <c r="Y836" i="19"/>
  <c r="Z836" i="19"/>
  <c r="AA836" i="19"/>
  <c r="AB836" i="19"/>
  <c r="U837" i="19"/>
  <c r="V837" i="19"/>
  <c r="W837" i="19"/>
  <c r="X837" i="19"/>
  <c r="Y837" i="19"/>
  <c r="Z837" i="19"/>
  <c r="AA837" i="19"/>
  <c r="AB837" i="19"/>
  <c r="U838" i="19"/>
  <c r="V838" i="19"/>
  <c r="W838" i="19"/>
  <c r="X838" i="19"/>
  <c r="Y838" i="19"/>
  <c r="Z838" i="19"/>
  <c r="AA838" i="19"/>
  <c r="AB838" i="19"/>
  <c r="U839" i="19"/>
  <c r="V839" i="19"/>
  <c r="W839" i="19"/>
  <c r="X839" i="19"/>
  <c r="Y839" i="19"/>
  <c r="Z839" i="19"/>
  <c r="AA839" i="19"/>
  <c r="AB839" i="19"/>
  <c r="U840" i="19"/>
  <c r="V840" i="19"/>
  <c r="W840" i="19"/>
  <c r="X840" i="19"/>
  <c r="Y840" i="19"/>
  <c r="Z840" i="19"/>
  <c r="AA840" i="19"/>
  <c r="AB840" i="19"/>
  <c r="U841" i="19"/>
  <c r="V841" i="19"/>
  <c r="W841" i="19"/>
  <c r="X841" i="19"/>
  <c r="Y841" i="19"/>
  <c r="Z841" i="19"/>
  <c r="AA841" i="19"/>
  <c r="AB841" i="19"/>
  <c r="U842" i="19"/>
  <c r="V842" i="19"/>
  <c r="W842" i="19"/>
  <c r="X842" i="19"/>
  <c r="Y842" i="19"/>
  <c r="Z842" i="19"/>
  <c r="AA842" i="19"/>
  <c r="AB842" i="19"/>
  <c r="U843" i="19"/>
  <c r="V843" i="19"/>
  <c r="W843" i="19"/>
  <c r="X843" i="19"/>
  <c r="Y843" i="19"/>
  <c r="Z843" i="19"/>
  <c r="AA843" i="19"/>
  <c r="AB843" i="19"/>
  <c r="U844" i="19"/>
  <c r="V844" i="19"/>
  <c r="W844" i="19"/>
  <c r="X844" i="19"/>
  <c r="Y844" i="19"/>
  <c r="Z844" i="19"/>
  <c r="AA844" i="19"/>
  <c r="AB844" i="19"/>
  <c r="U845" i="19"/>
  <c r="V845" i="19"/>
  <c r="W845" i="19"/>
  <c r="X845" i="19"/>
  <c r="Y845" i="19"/>
  <c r="Z845" i="19"/>
  <c r="AA845" i="19"/>
  <c r="AB845" i="19"/>
  <c r="U846" i="19"/>
  <c r="V846" i="19"/>
  <c r="W846" i="19"/>
  <c r="X846" i="19"/>
  <c r="Y846" i="19"/>
  <c r="Z846" i="19"/>
  <c r="AA846" i="19"/>
  <c r="AB846" i="19"/>
  <c r="U847" i="19"/>
  <c r="V847" i="19"/>
  <c r="W847" i="19"/>
  <c r="X847" i="19"/>
  <c r="Y847" i="19"/>
  <c r="Z847" i="19"/>
  <c r="AA847" i="19"/>
  <c r="AB847" i="19"/>
  <c r="U848" i="19"/>
  <c r="V848" i="19"/>
  <c r="W848" i="19"/>
  <c r="X848" i="19"/>
  <c r="Y848" i="19"/>
  <c r="Z848" i="19"/>
  <c r="AA848" i="19"/>
  <c r="AB848" i="19"/>
  <c r="U849" i="19"/>
  <c r="V849" i="19"/>
  <c r="W849" i="19"/>
  <c r="X849" i="19"/>
  <c r="Y849" i="19"/>
  <c r="Z849" i="19"/>
  <c r="AA849" i="19"/>
  <c r="AB849" i="19"/>
  <c r="U850" i="19"/>
  <c r="V850" i="19"/>
  <c r="W850" i="19"/>
  <c r="X850" i="19"/>
  <c r="Y850" i="19"/>
  <c r="Z850" i="19"/>
  <c r="AA850" i="19"/>
  <c r="AB850" i="19"/>
  <c r="U851" i="19"/>
  <c r="V851" i="19"/>
  <c r="W851" i="19"/>
  <c r="X851" i="19"/>
  <c r="Y851" i="19"/>
  <c r="Z851" i="19"/>
  <c r="AA851" i="19"/>
  <c r="AB851" i="19"/>
  <c r="U852" i="19"/>
  <c r="V852" i="19"/>
  <c r="W852" i="19"/>
  <c r="X852" i="19"/>
  <c r="Y852" i="19"/>
  <c r="Z852" i="19"/>
  <c r="AA852" i="19"/>
  <c r="AB852" i="19"/>
  <c r="U853" i="19"/>
  <c r="V853" i="19"/>
  <c r="W853" i="19"/>
  <c r="X853" i="19"/>
  <c r="Y853" i="19"/>
  <c r="Z853" i="19"/>
  <c r="AA853" i="19"/>
  <c r="AB853" i="19"/>
  <c r="U854" i="19"/>
  <c r="V854" i="19"/>
  <c r="W854" i="19"/>
  <c r="X854" i="19"/>
  <c r="Y854" i="19"/>
  <c r="Z854" i="19"/>
  <c r="AA854" i="19"/>
  <c r="AB854" i="19"/>
  <c r="U855" i="19"/>
  <c r="V855" i="19"/>
  <c r="W855" i="19"/>
  <c r="X855" i="19"/>
  <c r="Y855" i="19"/>
  <c r="Z855" i="19"/>
  <c r="AA855" i="19"/>
  <c r="AB855" i="19"/>
  <c r="U856" i="19"/>
  <c r="V856" i="19"/>
  <c r="W856" i="19"/>
  <c r="X856" i="19"/>
  <c r="Y856" i="19"/>
  <c r="Z856" i="19"/>
  <c r="AA856" i="19"/>
  <c r="AB856" i="19"/>
  <c r="U857" i="19"/>
  <c r="V857" i="19"/>
  <c r="W857" i="19"/>
  <c r="X857" i="19"/>
  <c r="Y857" i="19"/>
  <c r="Z857" i="19"/>
  <c r="AA857" i="19"/>
  <c r="AB857" i="19"/>
  <c r="U858" i="19"/>
  <c r="V858" i="19"/>
  <c r="W858" i="19"/>
  <c r="X858" i="19"/>
  <c r="Y858" i="19"/>
  <c r="Z858" i="19"/>
  <c r="AA858" i="19"/>
  <c r="AB858" i="19"/>
  <c r="U859" i="19"/>
  <c r="V859" i="19"/>
  <c r="W859" i="19"/>
  <c r="X859" i="19"/>
  <c r="Y859" i="19"/>
  <c r="Z859" i="19"/>
  <c r="AA859" i="19"/>
  <c r="AB859" i="19"/>
  <c r="U860" i="19"/>
  <c r="V860" i="19"/>
  <c r="W860" i="19"/>
  <c r="X860" i="19"/>
  <c r="Y860" i="19"/>
  <c r="Z860" i="19"/>
  <c r="AA860" i="19"/>
  <c r="AB860" i="19"/>
  <c r="U861" i="19"/>
  <c r="V861" i="19"/>
  <c r="W861" i="19"/>
  <c r="X861" i="19"/>
  <c r="Y861" i="19"/>
  <c r="Z861" i="19"/>
  <c r="AA861" i="19"/>
  <c r="AB861" i="19"/>
  <c r="U862" i="19"/>
  <c r="V862" i="19"/>
  <c r="W862" i="19"/>
  <c r="X862" i="19"/>
  <c r="Y862" i="19"/>
  <c r="Z862" i="19"/>
  <c r="AA862" i="19"/>
  <c r="AB862" i="19"/>
  <c r="U863" i="19"/>
  <c r="V863" i="19"/>
  <c r="W863" i="19"/>
  <c r="X863" i="19"/>
  <c r="Y863" i="19"/>
  <c r="Z863" i="19"/>
  <c r="AA863" i="19"/>
  <c r="AB863" i="19"/>
  <c r="U864" i="19"/>
  <c r="V864" i="19"/>
  <c r="W864" i="19"/>
  <c r="X864" i="19"/>
  <c r="Y864" i="19"/>
  <c r="Z864" i="19"/>
  <c r="AA864" i="19"/>
  <c r="AB864" i="19"/>
  <c r="U865" i="19"/>
  <c r="V865" i="19"/>
  <c r="W865" i="19"/>
  <c r="X865" i="19"/>
  <c r="Y865" i="19"/>
  <c r="Z865" i="19"/>
  <c r="AA865" i="19"/>
  <c r="AB865" i="19"/>
  <c r="U866" i="19"/>
  <c r="V866" i="19"/>
  <c r="W866" i="19"/>
  <c r="X866" i="19"/>
  <c r="Y866" i="19"/>
  <c r="Z866" i="19"/>
  <c r="AA866" i="19"/>
  <c r="AB866" i="19"/>
  <c r="U867" i="19"/>
  <c r="V867" i="19"/>
  <c r="W867" i="19"/>
  <c r="X867" i="19"/>
  <c r="Y867" i="19"/>
  <c r="Z867" i="19"/>
  <c r="AA867" i="19"/>
  <c r="AB867" i="19"/>
  <c r="U868" i="19"/>
  <c r="V868" i="19"/>
  <c r="W868" i="19"/>
  <c r="X868" i="19"/>
  <c r="Y868" i="19"/>
  <c r="Z868" i="19"/>
  <c r="AA868" i="19"/>
  <c r="AB868" i="19"/>
  <c r="U869" i="19"/>
  <c r="V869" i="19"/>
  <c r="W869" i="19"/>
  <c r="X869" i="19"/>
  <c r="Y869" i="19"/>
  <c r="Z869" i="19"/>
  <c r="AA869" i="19"/>
  <c r="AB869" i="19"/>
  <c r="U870" i="19"/>
  <c r="V870" i="19"/>
  <c r="W870" i="19"/>
  <c r="X870" i="19"/>
  <c r="Y870" i="19"/>
  <c r="Z870" i="19"/>
  <c r="AA870" i="19"/>
  <c r="AB870" i="19"/>
  <c r="U871" i="19"/>
  <c r="V871" i="19"/>
  <c r="W871" i="19"/>
  <c r="X871" i="19"/>
  <c r="Y871" i="19"/>
  <c r="Z871" i="19"/>
  <c r="AA871" i="19"/>
  <c r="AB871" i="19"/>
  <c r="U872" i="19"/>
  <c r="V872" i="19"/>
  <c r="W872" i="19"/>
  <c r="X872" i="19"/>
  <c r="Y872" i="19"/>
  <c r="Z872" i="19"/>
  <c r="AA872" i="19"/>
  <c r="AB872" i="19"/>
  <c r="U873" i="19"/>
  <c r="V873" i="19"/>
  <c r="W873" i="19"/>
  <c r="X873" i="19"/>
  <c r="Y873" i="19"/>
  <c r="Z873" i="19"/>
  <c r="AA873" i="19"/>
  <c r="AB873" i="19"/>
  <c r="U874" i="19"/>
  <c r="V874" i="19"/>
  <c r="W874" i="19"/>
  <c r="X874" i="19"/>
  <c r="Y874" i="19"/>
  <c r="Z874" i="19"/>
  <c r="AA874" i="19"/>
  <c r="AB874" i="19"/>
  <c r="U875" i="19"/>
  <c r="V875" i="19"/>
  <c r="W875" i="19"/>
  <c r="X875" i="19"/>
  <c r="Y875" i="19"/>
  <c r="Z875" i="19"/>
  <c r="AA875" i="19"/>
  <c r="AB875" i="19"/>
  <c r="U876" i="19"/>
  <c r="V876" i="19"/>
  <c r="W876" i="19"/>
  <c r="X876" i="19"/>
  <c r="Y876" i="19"/>
  <c r="Z876" i="19"/>
  <c r="AA876" i="19"/>
  <c r="AB876" i="19"/>
  <c r="U877" i="19"/>
  <c r="V877" i="19"/>
  <c r="W877" i="19"/>
  <c r="X877" i="19"/>
  <c r="Y877" i="19"/>
  <c r="Z877" i="19"/>
  <c r="AA877" i="19"/>
  <c r="AB877" i="19"/>
  <c r="U878" i="19"/>
  <c r="V878" i="19"/>
  <c r="W878" i="19"/>
  <c r="X878" i="19"/>
  <c r="Y878" i="19"/>
  <c r="Z878" i="19"/>
  <c r="AA878" i="19"/>
  <c r="AB878" i="19"/>
  <c r="U879" i="19"/>
  <c r="V879" i="19"/>
  <c r="W879" i="19"/>
  <c r="X879" i="19"/>
  <c r="Y879" i="19"/>
  <c r="Z879" i="19"/>
  <c r="AA879" i="19"/>
  <c r="AB879" i="19"/>
  <c r="U880" i="19"/>
  <c r="V880" i="19"/>
  <c r="W880" i="19"/>
  <c r="X880" i="19"/>
  <c r="Y880" i="19"/>
  <c r="Z880" i="19"/>
  <c r="AA880" i="19"/>
  <c r="AB880" i="19"/>
  <c r="U881" i="19"/>
  <c r="V881" i="19"/>
  <c r="W881" i="19"/>
  <c r="X881" i="19"/>
  <c r="Y881" i="19"/>
  <c r="Z881" i="19"/>
  <c r="AA881" i="19"/>
  <c r="AB881" i="19"/>
  <c r="U882" i="19"/>
  <c r="V882" i="19"/>
  <c r="W882" i="19"/>
  <c r="X882" i="19"/>
  <c r="Y882" i="19"/>
  <c r="Z882" i="19"/>
  <c r="AA882" i="19"/>
  <c r="AB882" i="19"/>
  <c r="U883" i="19"/>
  <c r="V883" i="19"/>
  <c r="W883" i="19"/>
  <c r="X883" i="19"/>
  <c r="Y883" i="19"/>
  <c r="Z883" i="19"/>
  <c r="AA883" i="19"/>
  <c r="AB883" i="19"/>
  <c r="U884" i="19"/>
  <c r="V884" i="19"/>
  <c r="W884" i="19"/>
  <c r="X884" i="19"/>
  <c r="Y884" i="19"/>
  <c r="Z884" i="19"/>
  <c r="AA884" i="19"/>
  <c r="AB884" i="19"/>
  <c r="U885" i="19"/>
  <c r="V885" i="19"/>
  <c r="W885" i="19"/>
  <c r="X885" i="19"/>
  <c r="Y885" i="19"/>
  <c r="Z885" i="19"/>
  <c r="AA885" i="19"/>
  <c r="AB885" i="19"/>
  <c r="U886" i="19"/>
  <c r="V886" i="19"/>
  <c r="W886" i="19"/>
  <c r="X886" i="19"/>
  <c r="Y886" i="19"/>
  <c r="Z886" i="19"/>
  <c r="AA886" i="19"/>
  <c r="AB886" i="19"/>
  <c r="U887" i="19"/>
  <c r="V887" i="19"/>
  <c r="W887" i="19"/>
  <c r="X887" i="19"/>
  <c r="Y887" i="19"/>
  <c r="Z887" i="19"/>
  <c r="AA887" i="19"/>
  <c r="AB887" i="19"/>
  <c r="U888" i="19"/>
  <c r="V888" i="19"/>
  <c r="W888" i="19"/>
  <c r="X888" i="19"/>
  <c r="Y888" i="19"/>
  <c r="Z888" i="19"/>
  <c r="AA888" i="19"/>
  <c r="AB888" i="19"/>
  <c r="U889" i="19"/>
  <c r="V889" i="19"/>
  <c r="W889" i="19"/>
  <c r="X889" i="19"/>
  <c r="Y889" i="19"/>
  <c r="Z889" i="19"/>
  <c r="AA889" i="19"/>
  <c r="AB889" i="19"/>
  <c r="U890" i="19"/>
  <c r="V890" i="19"/>
  <c r="W890" i="19"/>
  <c r="X890" i="19"/>
  <c r="Y890" i="19"/>
  <c r="Z890" i="19"/>
  <c r="AA890" i="19"/>
  <c r="AB890" i="19"/>
  <c r="U891" i="19"/>
  <c r="V891" i="19"/>
  <c r="W891" i="19"/>
  <c r="X891" i="19"/>
  <c r="Y891" i="19"/>
  <c r="Z891" i="19"/>
  <c r="AA891" i="19"/>
  <c r="AB891" i="19"/>
  <c r="U892" i="19"/>
  <c r="V892" i="19"/>
  <c r="W892" i="19"/>
  <c r="X892" i="19"/>
  <c r="Y892" i="19"/>
  <c r="Z892" i="19"/>
  <c r="AA892" i="19"/>
  <c r="AB892" i="19"/>
  <c r="U893" i="19"/>
  <c r="V893" i="19"/>
  <c r="W893" i="19"/>
  <c r="X893" i="19"/>
  <c r="Y893" i="19"/>
  <c r="Z893" i="19"/>
  <c r="AA893" i="19"/>
  <c r="AB893" i="19"/>
  <c r="U894" i="19"/>
  <c r="V894" i="19"/>
  <c r="W894" i="19"/>
  <c r="X894" i="19"/>
  <c r="Y894" i="19"/>
  <c r="Z894" i="19"/>
  <c r="AA894" i="19"/>
  <c r="AB894" i="19"/>
  <c r="U895" i="19"/>
  <c r="V895" i="19"/>
  <c r="W895" i="19"/>
  <c r="X895" i="19"/>
  <c r="Y895" i="19"/>
  <c r="Z895" i="19"/>
  <c r="AA895" i="19"/>
  <c r="AB895" i="19"/>
  <c r="U896" i="19"/>
  <c r="V896" i="19"/>
  <c r="W896" i="19"/>
  <c r="X896" i="19"/>
  <c r="Y896" i="19"/>
  <c r="Z896" i="19"/>
  <c r="AA896" i="19"/>
  <c r="AB896" i="19"/>
  <c r="U897" i="19"/>
  <c r="V897" i="19"/>
  <c r="W897" i="19"/>
  <c r="X897" i="19"/>
  <c r="Y897" i="19"/>
  <c r="Z897" i="19"/>
  <c r="AA897" i="19"/>
  <c r="AB897" i="19"/>
  <c r="U898" i="19"/>
  <c r="V898" i="19"/>
  <c r="W898" i="19"/>
  <c r="X898" i="19"/>
  <c r="Y898" i="19"/>
  <c r="Z898" i="19"/>
  <c r="AA898" i="19"/>
  <c r="AB898" i="19"/>
  <c r="U899" i="19"/>
  <c r="V899" i="19"/>
  <c r="W899" i="19"/>
  <c r="X899" i="19"/>
  <c r="Y899" i="19"/>
  <c r="Z899" i="19"/>
  <c r="AA899" i="19"/>
  <c r="AB899" i="19"/>
  <c r="U900" i="19"/>
  <c r="V900" i="19"/>
  <c r="W900" i="19"/>
  <c r="X900" i="19"/>
  <c r="Y900" i="19"/>
  <c r="Z900" i="19"/>
  <c r="AA900" i="19"/>
  <c r="AB900" i="19"/>
  <c r="U901" i="19"/>
  <c r="V901" i="19"/>
  <c r="W901" i="19"/>
  <c r="X901" i="19"/>
  <c r="Y901" i="19"/>
  <c r="Z901" i="19"/>
  <c r="AA901" i="19"/>
  <c r="AB901" i="19"/>
  <c r="U902" i="19"/>
  <c r="V902" i="19"/>
  <c r="W902" i="19"/>
  <c r="X902" i="19"/>
  <c r="Y902" i="19"/>
  <c r="Z902" i="19"/>
  <c r="AA902" i="19"/>
  <c r="AB902" i="19"/>
  <c r="U903" i="19"/>
  <c r="V903" i="19"/>
  <c r="W903" i="19"/>
  <c r="X903" i="19"/>
  <c r="Y903" i="19"/>
  <c r="Z903" i="19"/>
  <c r="AA903" i="19"/>
  <c r="AB903" i="19"/>
  <c r="U904" i="19"/>
  <c r="V904" i="19"/>
  <c r="W904" i="19"/>
  <c r="X904" i="19"/>
  <c r="Y904" i="19"/>
  <c r="Z904" i="19"/>
  <c r="AA904" i="19"/>
  <c r="AB904" i="19"/>
  <c r="U905" i="19"/>
  <c r="V905" i="19"/>
  <c r="W905" i="19"/>
  <c r="X905" i="19"/>
  <c r="Y905" i="19"/>
  <c r="Z905" i="19"/>
  <c r="AA905" i="19"/>
  <c r="AB905" i="19"/>
  <c r="U906" i="19"/>
  <c r="V906" i="19"/>
  <c r="W906" i="19"/>
  <c r="X906" i="19"/>
  <c r="Y906" i="19"/>
  <c r="Z906" i="19"/>
  <c r="AA906" i="19"/>
  <c r="AB906" i="19"/>
  <c r="U907" i="19"/>
  <c r="V907" i="19"/>
  <c r="W907" i="19"/>
  <c r="X907" i="19"/>
  <c r="Y907" i="19"/>
  <c r="Z907" i="19"/>
  <c r="AA907" i="19"/>
  <c r="AB907" i="19"/>
  <c r="U908" i="19"/>
  <c r="V908" i="19"/>
  <c r="W908" i="19"/>
  <c r="X908" i="19"/>
  <c r="Y908" i="19"/>
  <c r="Z908" i="19"/>
  <c r="AA908" i="19"/>
  <c r="AB908" i="19"/>
  <c r="U909" i="19"/>
  <c r="V909" i="19"/>
  <c r="W909" i="19"/>
  <c r="X909" i="19"/>
  <c r="Y909" i="19"/>
  <c r="Z909" i="19"/>
  <c r="AA909" i="19"/>
  <c r="AB909" i="19"/>
  <c r="U910" i="19"/>
  <c r="V910" i="19"/>
  <c r="W910" i="19"/>
  <c r="X910" i="19"/>
  <c r="Y910" i="19"/>
  <c r="Z910" i="19"/>
  <c r="AA910" i="19"/>
  <c r="AB910" i="19"/>
  <c r="U911" i="19"/>
  <c r="V911" i="19"/>
  <c r="W911" i="19"/>
  <c r="X911" i="19"/>
  <c r="Y911" i="19"/>
  <c r="Z911" i="19"/>
  <c r="AA911" i="19"/>
  <c r="AB911" i="19"/>
  <c r="U912" i="19"/>
  <c r="V912" i="19"/>
  <c r="W912" i="19"/>
  <c r="X912" i="19"/>
  <c r="Y912" i="19"/>
  <c r="Z912" i="19"/>
  <c r="AA912" i="19"/>
  <c r="AB912" i="19"/>
  <c r="U913" i="19"/>
  <c r="V913" i="19"/>
  <c r="W913" i="19"/>
  <c r="X913" i="19"/>
  <c r="Y913" i="19"/>
  <c r="Z913" i="19"/>
  <c r="AA913" i="19"/>
  <c r="AB913" i="19"/>
  <c r="U914" i="19"/>
  <c r="V914" i="19"/>
  <c r="W914" i="19"/>
  <c r="X914" i="19"/>
  <c r="Y914" i="19"/>
  <c r="Z914" i="19"/>
  <c r="AA914" i="19"/>
  <c r="AB914" i="19"/>
  <c r="U915" i="19"/>
  <c r="V915" i="19"/>
  <c r="W915" i="19"/>
  <c r="X915" i="19"/>
  <c r="Y915" i="19"/>
  <c r="Z915" i="19"/>
  <c r="AA915" i="19"/>
  <c r="AB915" i="19"/>
  <c r="U916" i="19"/>
  <c r="V916" i="19"/>
  <c r="W916" i="19"/>
  <c r="X916" i="19"/>
  <c r="Y916" i="19"/>
  <c r="Z916" i="19"/>
  <c r="AA916" i="19"/>
  <c r="AB916" i="19"/>
  <c r="U917" i="19"/>
  <c r="V917" i="19"/>
  <c r="W917" i="19"/>
  <c r="X917" i="19"/>
  <c r="Y917" i="19"/>
  <c r="Z917" i="19"/>
  <c r="AA917" i="19"/>
  <c r="AB917" i="19"/>
  <c r="U918" i="19"/>
  <c r="V918" i="19"/>
  <c r="W918" i="19"/>
  <c r="X918" i="19"/>
  <c r="Y918" i="19"/>
  <c r="Z918" i="19"/>
  <c r="AA918" i="19"/>
  <c r="AB918" i="19"/>
  <c r="U919" i="19"/>
  <c r="V919" i="19"/>
  <c r="W919" i="19"/>
  <c r="X919" i="19"/>
  <c r="Y919" i="19"/>
  <c r="Z919" i="19"/>
  <c r="AA919" i="19"/>
  <c r="AB919" i="19"/>
  <c r="U920" i="19"/>
  <c r="V920" i="19"/>
  <c r="W920" i="19"/>
  <c r="X920" i="19"/>
  <c r="Y920" i="19"/>
  <c r="Z920" i="19"/>
  <c r="AA920" i="19"/>
  <c r="AB920" i="19"/>
  <c r="U921" i="19"/>
  <c r="V921" i="19"/>
  <c r="W921" i="19"/>
  <c r="X921" i="19"/>
  <c r="Y921" i="19"/>
  <c r="Z921" i="19"/>
  <c r="AA921" i="19"/>
  <c r="AB921" i="19"/>
  <c r="U922" i="19"/>
  <c r="V922" i="19"/>
  <c r="W922" i="19"/>
  <c r="X922" i="19"/>
  <c r="Y922" i="19"/>
  <c r="Z922" i="19"/>
  <c r="AA922" i="19"/>
  <c r="AB922" i="19"/>
  <c r="U923" i="19"/>
  <c r="V923" i="19"/>
  <c r="W923" i="19"/>
  <c r="X923" i="19"/>
  <c r="Y923" i="19"/>
  <c r="Z923" i="19"/>
  <c r="AA923" i="19"/>
  <c r="AB923" i="19"/>
  <c r="U924" i="19"/>
  <c r="V924" i="19"/>
  <c r="W924" i="19"/>
  <c r="X924" i="19"/>
  <c r="Y924" i="19"/>
  <c r="Z924" i="19"/>
  <c r="AA924" i="19"/>
  <c r="AB924" i="19"/>
  <c r="U925" i="19"/>
  <c r="V925" i="19"/>
  <c r="W925" i="19"/>
  <c r="X925" i="19"/>
  <c r="Y925" i="19"/>
  <c r="Z925" i="19"/>
  <c r="AA925" i="19"/>
  <c r="AB925" i="19"/>
  <c r="U926" i="19"/>
  <c r="V926" i="19"/>
  <c r="W926" i="19"/>
  <c r="X926" i="19"/>
  <c r="Y926" i="19"/>
  <c r="Z926" i="19"/>
  <c r="AA926" i="19"/>
  <c r="AB926" i="19"/>
  <c r="U927" i="19"/>
  <c r="V927" i="19"/>
  <c r="W927" i="19"/>
  <c r="X927" i="19"/>
  <c r="Y927" i="19"/>
  <c r="Z927" i="19"/>
  <c r="AA927" i="19"/>
  <c r="AB927" i="19"/>
  <c r="U928" i="19"/>
  <c r="V928" i="19"/>
  <c r="W928" i="19"/>
  <c r="X928" i="19"/>
  <c r="Y928" i="19"/>
  <c r="Z928" i="19"/>
  <c r="AA928" i="19"/>
  <c r="AB928" i="19"/>
  <c r="U929" i="19"/>
  <c r="V929" i="19"/>
  <c r="W929" i="19"/>
  <c r="X929" i="19"/>
  <c r="Y929" i="19"/>
  <c r="Z929" i="19"/>
  <c r="AA929" i="19"/>
  <c r="AB929" i="19"/>
  <c r="U930" i="19"/>
  <c r="V930" i="19"/>
  <c r="W930" i="19"/>
  <c r="X930" i="19"/>
  <c r="Y930" i="19"/>
  <c r="Z930" i="19"/>
  <c r="AA930" i="19"/>
  <c r="AB930" i="19"/>
  <c r="U931" i="19"/>
  <c r="V931" i="19"/>
  <c r="W931" i="19"/>
  <c r="X931" i="19"/>
  <c r="Y931" i="19"/>
  <c r="Z931" i="19"/>
  <c r="AA931" i="19"/>
  <c r="AB931" i="19"/>
  <c r="U932" i="19"/>
  <c r="V932" i="19"/>
  <c r="W932" i="19"/>
  <c r="X932" i="19"/>
  <c r="Y932" i="19"/>
  <c r="Z932" i="19"/>
  <c r="AA932" i="19"/>
  <c r="AB932" i="19"/>
  <c r="U933" i="19"/>
  <c r="V933" i="19"/>
  <c r="W933" i="19"/>
  <c r="X933" i="19"/>
  <c r="Y933" i="19"/>
  <c r="Z933" i="19"/>
  <c r="AA933" i="19"/>
  <c r="AB933" i="19"/>
  <c r="U934" i="19"/>
  <c r="V934" i="19"/>
  <c r="W934" i="19"/>
  <c r="X934" i="19"/>
  <c r="Y934" i="19"/>
  <c r="Z934" i="19"/>
  <c r="AA934" i="19"/>
  <c r="AB934" i="19"/>
  <c r="U935" i="19"/>
  <c r="V935" i="19"/>
  <c r="W935" i="19"/>
  <c r="X935" i="19"/>
  <c r="Y935" i="19"/>
  <c r="Z935" i="19"/>
  <c r="AA935" i="19"/>
  <c r="AB935" i="19"/>
  <c r="U936" i="19"/>
  <c r="V936" i="19"/>
  <c r="W936" i="19"/>
  <c r="X936" i="19"/>
  <c r="Y936" i="19"/>
  <c r="Z936" i="19"/>
  <c r="AA936" i="19"/>
  <c r="AB936" i="19"/>
  <c r="U937" i="19"/>
  <c r="V937" i="19"/>
  <c r="W937" i="19"/>
  <c r="X937" i="19"/>
  <c r="Y937" i="19"/>
  <c r="Z937" i="19"/>
  <c r="AA937" i="19"/>
  <c r="AB937" i="19"/>
  <c r="U938" i="19"/>
  <c r="V938" i="19"/>
  <c r="W938" i="19"/>
  <c r="X938" i="19"/>
  <c r="Y938" i="19"/>
  <c r="Z938" i="19"/>
  <c r="AA938" i="19"/>
  <c r="AB938" i="19"/>
  <c r="U939" i="19"/>
  <c r="V939" i="19"/>
  <c r="W939" i="19"/>
  <c r="X939" i="19"/>
  <c r="Y939" i="19"/>
  <c r="Z939" i="19"/>
  <c r="AA939" i="19"/>
  <c r="AB939" i="19"/>
  <c r="U940" i="19"/>
  <c r="V940" i="19"/>
  <c r="W940" i="19"/>
  <c r="X940" i="19"/>
  <c r="Y940" i="19"/>
  <c r="Z940" i="19"/>
  <c r="AA940" i="19"/>
  <c r="AB940" i="19"/>
  <c r="U941" i="19"/>
  <c r="V941" i="19"/>
  <c r="W941" i="19"/>
  <c r="X941" i="19"/>
  <c r="Y941" i="19"/>
  <c r="Z941" i="19"/>
  <c r="AA941" i="19"/>
  <c r="AB941" i="19"/>
  <c r="U942" i="19"/>
  <c r="V942" i="19"/>
  <c r="W942" i="19"/>
  <c r="X942" i="19"/>
  <c r="Y942" i="19"/>
  <c r="Z942" i="19"/>
  <c r="AA942" i="19"/>
  <c r="AB942" i="19"/>
  <c r="U943" i="19"/>
  <c r="V943" i="19"/>
  <c r="W943" i="19"/>
  <c r="X943" i="19"/>
  <c r="Y943" i="19"/>
  <c r="Z943" i="19"/>
  <c r="AA943" i="19"/>
  <c r="AB943" i="19"/>
  <c r="U944" i="19"/>
  <c r="V944" i="19"/>
  <c r="W944" i="19"/>
  <c r="X944" i="19"/>
  <c r="Y944" i="19"/>
  <c r="Z944" i="19"/>
  <c r="AA944" i="19"/>
  <c r="AB944" i="19"/>
  <c r="U945" i="19"/>
  <c r="V945" i="19"/>
  <c r="W945" i="19"/>
  <c r="X945" i="19"/>
  <c r="Y945" i="19"/>
  <c r="Z945" i="19"/>
  <c r="AA945" i="19"/>
  <c r="AB945" i="19"/>
  <c r="U946" i="19"/>
  <c r="V946" i="19"/>
  <c r="W946" i="19"/>
  <c r="X946" i="19"/>
  <c r="Y946" i="19"/>
  <c r="Z946" i="19"/>
  <c r="AA946" i="19"/>
  <c r="AB946" i="19"/>
  <c r="U947" i="19"/>
  <c r="V947" i="19"/>
  <c r="W947" i="19"/>
  <c r="X947" i="19"/>
  <c r="Y947" i="19"/>
  <c r="Z947" i="19"/>
  <c r="AA947" i="19"/>
  <c r="AB947" i="19"/>
  <c r="U948" i="19"/>
  <c r="V948" i="19"/>
  <c r="W948" i="19"/>
  <c r="X948" i="19"/>
  <c r="Y948" i="19"/>
  <c r="Z948" i="19"/>
  <c r="AA948" i="19"/>
  <c r="AB948" i="19"/>
  <c r="U949" i="19"/>
  <c r="V949" i="19"/>
  <c r="W949" i="19"/>
  <c r="X949" i="19"/>
  <c r="Y949" i="19"/>
  <c r="Z949" i="19"/>
  <c r="AA949" i="19"/>
  <c r="AB949" i="19"/>
  <c r="U950" i="19"/>
  <c r="V950" i="19"/>
  <c r="W950" i="19"/>
  <c r="X950" i="19"/>
  <c r="Y950" i="19"/>
  <c r="Z950" i="19"/>
  <c r="AA950" i="19"/>
  <c r="AB950" i="19"/>
  <c r="U951" i="19"/>
  <c r="V951" i="19"/>
  <c r="W951" i="19"/>
  <c r="X951" i="19"/>
  <c r="Y951" i="19"/>
  <c r="Z951" i="19"/>
  <c r="AA951" i="19"/>
  <c r="AB951" i="19"/>
  <c r="U952" i="19"/>
  <c r="V952" i="19"/>
  <c r="W952" i="19"/>
  <c r="X952" i="19"/>
  <c r="Y952" i="19"/>
  <c r="Z952" i="19"/>
  <c r="AA952" i="19"/>
  <c r="AB952" i="19"/>
  <c r="U953" i="19"/>
  <c r="V953" i="19"/>
  <c r="W953" i="19"/>
  <c r="X953" i="19"/>
  <c r="Y953" i="19"/>
  <c r="Z953" i="19"/>
  <c r="AA953" i="19"/>
  <c r="AB953" i="19"/>
  <c r="U954" i="19"/>
  <c r="V954" i="19"/>
  <c r="W954" i="19"/>
  <c r="X954" i="19"/>
  <c r="Y954" i="19"/>
  <c r="Z954" i="19"/>
  <c r="AA954" i="19"/>
  <c r="AB954" i="19"/>
  <c r="U955" i="19"/>
  <c r="V955" i="19"/>
  <c r="W955" i="19"/>
  <c r="X955" i="19"/>
  <c r="Y955" i="19"/>
  <c r="Z955" i="19"/>
  <c r="AA955" i="19"/>
  <c r="AB955" i="19"/>
  <c r="U956" i="19"/>
  <c r="V956" i="19"/>
  <c r="W956" i="19"/>
  <c r="X956" i="19"/>
  <c r="Y956" i="19"/>
  <c r="Z956" i="19"/>
  <c r="AA956" i="19"/>
  <c r="AB956" i="19"/>
  <c r="U957" i="19"/>
  <c r="V957" i="19"/>
  <c r="W957" i="19"/>
  <c r="X957" i="19"/>
  <c r="Y957" i="19"/>
  <c r="Z957" i="19"/>
  <c r="AA957" i="19"/>
  <c r="AB957" i="19"/>
  <c r="U958" i="19"/>
  <c r="V958" i="19"/>
  <c r="W958" i="19"/>
  <c r="X958" i="19"/>
  <c r="Y958" i="19"/>
  <c r="Z958" i="19"/>
  <c r="AA958" i="19"/>
  <c r="AB958" i="19"/>
  <c r="U959" i="19"/>
  <c r="V959" i="19"/>
  <c r="W959" i="19"/>
  <c r="X959" i="19"/>
  <c r="Y959" i="19"/>
  <c r="Z959" i="19"/>
  <c r="AA959" i="19"/>
  <c r="AB959" i="19"/>
  <c r="U960" i="19"/>
  <c r="V960" i="19"/>
  <c r="W960" i="19"/>
  <c r="X960" i="19"/>
  <c r="Y960" i="19"/>
  <c r="Z960" i="19"/>
  <c r="AA960" i="19"/>
  <c r="AB960" i="19"/>
  <c r="U961" i="19"/>
  <c r="V961" i="19"/>
  <c r="W961" i="19"/>
  <c r="X961" i="19"/>
  <c r="Y961" i="19"/>
  <c r="Z961" i="19"/>
  <c r="AA961" i="19"/>
  <c r="AB961" i="19"/>
  <c r="U962" i="19"/>
  <c r="V962" i="19"/>
  <c r="W962" i="19"/>
  <c r="X962" i="19"/>
  <c r="Y962" i="19"/>
  <c r="Z962" i="19"/>
  <c r="AA962" i="19"/>
  <c r="AB962" i="19"/>
  <c r="U963" i="19"/>
  <c r="V963" i="19"/>
  <c r="W963" i="19"/>
  <c r="X963" i="19"/>
  <c r="Y963" i="19"/>
  <c r="Z963" i="19"/>
  <c r="AA963" i="19"/>
  <c r="AB963" i="19"/>
  <c r="U964" i="19"/>
  <c r="V964" i="19"/>
  <c r="W964" i="19"/>
  <c r="X964" i="19"/>
  <c r="Y964" i="19"/>
  <c r="Z964" i="19"/>
  <c r="AA964" i="19"/>
  <c r="AB964" i="19"/>
  <c r="U965" i="19"/>
  <c r="V965" i="19"/>
  <c r="W965" i="19"/>
  <c r="X965" i="19"/>
  <c r="Y965" i="19"/>
  <c r="Z965" i="19"/>
  <c r="AA965" i="19"/>
  <c r="AB965" i="19"/>
  <c r="U966" i="19"/>
  <c r="V966" i="19"/>
  <c r="W966" i="19"/>
  <c r="X966" i="19"/>
  <c r="Y966" i="19"/>
  <c r="Z966" i="19"/>
  <c r="AA966" i="19"/>
  <c r="AB966" i="19"/>
  <c r="U967" i="19"/>
  <c r="V967" i="19"/>
  <c r="W967" i="19"/>
  <c r="X967" i="19"/>
  <c r="Y967" i="19"/>
  <c r="Z967" i="19"/>
  <c r="AA967" i="19"/>
  <c r="AB967" i="19"/>
  <c r="U968" i="19"/>
  <c r="V968" i="19"/>
  <c r="W968" i="19"/>
  <c r="X968" i="19"/>
  <c r="Y968" i="19"/>
  <c r="Z968" i="19"/>
  <c r="AA968" i="19"/>
  <c r="AB968" i="19"/>
  <c r="U969" i="19"/>
  <c r="V969" i="19"/>
  <c r="W969" i="19"/>
  <c r="X969" i="19"/>
  <c r="Y969" i="19"/>
  <c r="Z969" i="19"/>
  <c r="AA969" i="19"/>
  <c r="AB969" i="19"/>
  <c r="U970" i="19"/>
  <c r="V970" i="19"/>
  <c r="W970" i="19"/>
  <c r="X970" i="19"/>
  <c r="Y970" i="19"/>
  <c r="Z970" i="19"/>
  <c r="AA970" i="19"/>
  <c r="AB970" i="19"/>
  <c r="U971" i="19"/>
  <c r="V971" i="19"/>
  <c r="W971" i="19"/>
  <c r="X971" i="19"/>
  <c r="Y971" i="19"/>
  <c r="Z971" i="19"/>
  <c r="AA971" i="19"/>
  <c r="AB971" i="19"/>
  <c r="U972" i="19"/>
  <c r="V972" i="19"/>
  <c r="W972" i="19"/>
  <c r="X972" i="19"/>
  <c r="Y972" i="19"/>
  <c r="Z972" i="19"/>
  <c r="AA972" i="19"/>
  <c r="AB972" i="19"/>
  <c r="U973" i="19"/>
  <c r="V973" i="19"/>
  <c r="W973" i="19"/>
  <c r="X973" i="19"/>
  <c r="Y973" i="19"/>
  <c r="Z973" i="19"/>
  <c r="AA973" i="19"/>
  <c r="AB973" i="19"/>
  <c r="U974" i="19"/>
  <c r="V974" i="19"/>
  <c r="W974" i="19"/>
  <c r="X974" i="19"/>
  <c r="Y974" i="19"/>
  <c r="Z974" i="19"/>
  <c r="AA974" i="19"/>
  <c r="AB974" i="19"/>
  <c r="U975" i="19"/>
  <c r="V975" i="19"/>
  <c r="W975" i="19"/>
  <c r="X975" i="19"/>
  <c r="Y975" i="19"/>
  <c r="Z975" i="19"/>
  <c r="AA975" i="19"/>
  <c r="AB975" i="19"/>
  <c r="U976" i="19"/>
  <c r="V976" i="19"/>
  <c r="W976" i="19"/>
  <c r="X976" i="19"/>
  <c r="Y976" i="19"/>
  <c r="Z976" i="19"/>
  <c r="AA976" i="19"/>
  <c r="AB976" i="19"/>
  <c r="U977" i="19"/>
  <c r="V977" i="19"/>
  <c r="W977" i="19"/>
  <c r="X977" i="19"/>
  <c r="Y977" i="19"/>
  <c r="Z977" i="19"/>
  <c r="AA977" i="19"/>
  <c r="AB977" i="19"/>
  <c r="U978" i="19"/>
  <c r="V978" i="19"/>
  <c r="W978" i="19"/>
  <c r="X978" i="19"/>
  <c r="Y978" i="19"/>
  <c r="Z978" i="19"/>
  <c r="AA978" i="19"/>
  <c r="AB978" i="19"/>
  <c r="U979" i="19"/>
  <c r="V979" i="19"/>
  <c r="W979" i="19"/>
  <c r="X979" i="19"/>
  <c r="Y979" i="19"/>
  <c r="Z979" i="19"/>
  <c r="AA979" i="19"/>
  <c r="AB979" i="19"/>
  <c r="U980" i="19"/>
  <c r="V980" i="19"/>
  <c r="W980" i="19"/>
  <c r="X980" i="19"/>
  <c r="Y980" i="19"/>
  <c r="Z980" i="19"/>
  <c r="AA980" i="19"/>
  <c r="AB980" i="19"/>
  <c r="U981" i="19"/>
  <c r="V981" i="19"/>
  <c r="W981" i="19"/>
  <c r="X981" i="19"/>
  <c r="Y981" i="19"/>
  <c r="Z981" i="19"/>
  <c r="AA981" i="19"/>
  <c r="AB981" i="19"/>
  <c r="U982" i="19"/>
  <c r="V982" i="19"/>
  <c r="W982" i="19"/>
  <c r="X982" i="19"/>
  <c r="Y982" i="19"/>
  <c r="Z982" i="19"/>
  <c r="AA982" i="19"/>
  <c r="AB982" i="19"/>
  <c r="U983" i="19"/>
  <c r="V983" i="19"/>
  <c r="W983" i="19"/>
  <c r="X983" i="19"/>
  <c r="Y983" i="19"/>
  <c r="Z983" i="19"/>
  <c r="AA983" i="19"/>
  <c r="AB983" i="19"/>
  <c r="U984" i="19"/>
  <c r="V984" i="19"/>
  <c r="W984" i="19"/>
  <c r="X984" i="19"/>
  <c r="Y984" i="19"/>
  <c r="Z984" i="19"/>
  <c r="AA984" i="19"/>
  <c r="AB984" i="19"/>
  <c r="U985" i="19"/>
  <c r="V985" i="19"/>
  <c r="W985" i="19"/>
  <c r="X985" i="19"/>
  <c r="Y985" i="19"/>
  <c r="Z985" i="19"/>
  <c r="AA985" i="19"/>
  <c r="AB985" i="19"/>
  <c r="U986" i="19"/>
  <c r="V986" i="19"/>
  <c r="W986" i="19"/>
  <c r="X986" i="19"/>
  <c r="Y986" i="19"/>
  <c r="Z986" i="19"/>
  <c r="AA986" i="19"/>
  <c r="AB986" i="19"/>
  <c r="U987" i="19"/>
  <c r="V987" i="19"/>
  <c r="W987" i="19"/>
  <c r="X987" i="19"/>
  <c r="Y987" i="19"/>
  <c r="Z987" i="19"/>
  <c r="AA987" i="19"/>
  <c r="AB987" i="19"/>
  <c r="U988" i="19"/>
  <c r="V988" i="19"/>
  <c r="W988" i="19"/>
  <c r="X988" i="19"/>
  <c r="Y988" i="19"/>
  <c r="Z988" i="19"/>
  <c r="AA988" i="19"/>
  <c r="AB988" i="19"/>
  <c r="U989" i="19"/>
  <c r="V989" i="19"/>
  <c r="W989" i="19"/>
  <c r="X989" i="19"/>
  <c r="Y989" i="19"/>
  <c r="Z989" i="19"/>
  <c r="AA989" i="19"/>
  <c r="AB989" i="19"/>
  <c r="U990" i="19"/>
  <c r="V990" i="19"/>
  <c r="W990" i="19"/>
  <c r="X990" i="19"/>
  <c r="Y990" i="19"/>
  <c r="Z990" i="19"/>
  <c r="AA990" i="19"/>
  <c r="AB990" i="19"/>
  <c r="U991" i="19"/>
  <c r="V991" i="19"/>
  <c r="W991" i="19"/>
  <c r="X991" i="19"/>
  <c r="Y991" i="19"/>
  <c r="Z991" i="19"/>
  <c r="AA991" i="19"/>
  <c r="AB991" i="19"/>
  <c r="U992" i="19"/>
  <c r="V992" i="19"/>
  <c r="W992" i="19"/>
  <c r="X992" i="19"/>
  <c r="Y992" i="19"/>
  <c r="Z992" i="19"/>
  <c r="AA992" i="19"/>
  <c r="AB992" i="19"/>
  <c r="U993" i="19"/>
  <c r="V993" i="19"/>
  <c r="W993" i="19"/>
  <c r="X993" i="19"/>
  <c r="Y993" i="19"/>
  <c r="Z993" i="19"/>
  <c r="AA993" i="19"/>
  <c r="AB993" i="19"/>
  <c r="U994" i="19"/>
  <c r="V994" i="19"/>
  <c r="W994" i="19"/>
  <c r="X994" i="19"/>
  <c r="Y994" i="19"/>
  <c r="Z994" i="19"/>
  <c r="AA994" i="19"/>
  <c r="AB994" i="19"/>
  <c r="U995" i="19"/>
  <c r="V995" i="19"/>
  <c r="W995" i="19"/>
  <c r="X995" i="19"/>
  <c r="Y995" i="19"/>
  <c r="Z995" i="19"/>
  <c r="AA995" i="19"/>
  <c r="AB995" i="19"/>
  <c r="U996" i="19"/>
  <c r="V996" i="19"/>
  <c r="W996" i="19"/>
  <c r="X996" i="19"/>
  <c r="Y996" i="19"/>
  <c r="Z996" i="19"/>
  <c r="AA996" i="19"/>
  <c r="AB996" i="19"/>
  <c r="U997" i="19"/>
  <c r="V997" i="19"/>
  <c r="W997" i="19"/>
  <c r="X997" i="19"/>
  <c r="Y997" i="19"/>
  <c r="Z997" i="19"/>
  <c r="AA997" i="19"/>
  <c r="AB997" i="19"/>
  <c r="U998" i="19"/>
  <c r="V998" i="19"/>
  <c r="W998" i="19"/>
  <c r="X998" i="19"/>
  <c r="Y998" i="19"/>
  <c r="Z998" i="19"/>
  <c r="AA998" i="19"/>
  <c r="AB998" i="19"/>
  <c r="U999" i="19"/>
  <c r="V999" i="19"/>
  <c r="W999" i="19"/>
  <c r="X999" i="19"/>
  <c r="Y999" i="19"/>
  <c r="Z999" i="19"/>
  <c r="AA999" i="19"/>
  <c r="AB999" i="19"/>
  <c r="U1000" i="19"/>
  <c r="V1000" i="19"/>
  <c r="W1000" i="19"/>
  <c r="X1000" i="19"/>
  <c r="Y1000" i="19"/>
  <c r="Z1000" i="19"/>
  <c r="AA1000" i="19"/>
  <c r="AB1000" i="19"/>
  <c r="U1001" i="19"/>
  <c r="V1001" i="19"/>
  <c r="W1001" i="19"/>
  <c r="X1001" i="19"/>
  <c r="Y1001" i="19"/>
  <c r="Z1001" i="19"/>
  <c r="AA1001" i="19"/>
  <c r="AB1001" i="19"/>
  <c r="U1002" i="19"/>
  <c r="V1002" i="19"/>
  <c r="W1002" i="19"/>
  <c r="X1002" i="19"/>
  <c r="Y1002" i="19"/>
  <c r="Z1002" i="19"/>
  <c r="AA1002" i="19"/>
  <c r="AB1002" i="19"/>
  <c r="U1003" i="19"/>
  <c r="V1003" i="19"/>
  <c r="W1003" i="19"/>
  <c r="X1003" i="19"/>
  <c r="Y1003" i="19"/>
  <c r="Z1003" i="19"/>
  <c r="AA1003" i="19"/>
  <c r="AB1003" i="19"/>
  <c r="U1004" i="19"/>
  <c r="V1004" i="19"/>
  <c r="W1004" i="19"/>
  <c r="X1004" i="19"/>
  <c r="Y1004" i="19"/>
  <c r="Z1004" i="19"/>
  <c r="AA1004" i="19"/>
  <c r="AB1004" i="19"/>
  <c r="U1005" i="19"/>
  <c r="V1005" i="19"/>
  <c r="W1005" i="19"/>
  <c r="X1005" i="19"/>
  <c r="Y1005" i="19"/>
  <c r="Z1005" i="19"/>
  <c r="AA1005" i="19"/>
  <c r="AB1005" i="19"/>
  <c r="U1006" i="19"/>
  <c r="V1006" i="19"/>
  <c r="W1006" i="19"/>
  <c r="X1006" i="19"/>
  <c r="Y1006" i="19"/>
  <c r="Z1006" i="19"/>
  <c r="AA1006" i="19"/>
  <c r="AB1006" i="19"/>
  <c r="U1007" i="19"/>
  <c r="V1007" i="19"/>
  <c r="W1007" i="19"/>
  <c r="X1007" i="19"/>
  <c r="Y1007" i="19"/>
  <c r="Z1007" i="19"/>
  <c r="AA1007" i="19"/>
  <c r="AB1007" i="19"/>
  <c r="U1008" i="19"/>
  <c r="V1008" i="19"/>
  <c r="W1008" i="19"/>
  <c r="X1008" i="19"/>
  <c r="Y1008" i="19"/>
  <c r="Z1008" i="19"/>
  <c r="AA1008" i="19"/>
  <c r="AB1008" i="19"/>
  <c r="U1009" i="19"/>
  <c r="V1009" i="19"/>
  <c r="W1009" i="19"/>
  <c r="X1009" i="19"/>
  <c r="Y1009" i="19"/>
  <c r="Z1009" i="19"/>
  <c r="AA1009" i="19"/>
  <c r="AB1009" i="19"/>
  <c r="U1010" i="19"/>
  <c r="V1010" i="19"/>
  <c r="W1010" i="19"/>
  <c r="X1010" i="19"/>
  <c r="Y1010" i="19"/>
  <c r="Z1010" i="19"/>
  <c r="AA1010" i="19"/>
  <c r="AB1010" i="19"/>
  <c r="U1011" i="19"/>
  <c r="V1011" i="19"/>
  <c r="W1011" i="19"/>
  <c r="X1011" i="19"/>
  <c r="Y1011" i="19"/>
  <c r="Z1011" i="19"/>
  <c r="AA1011" i="19"/>
  <c r="AB1011" i="19"/>
  <c r="U1012" i="19"/>
  <c r="V1012" i="19"/>
  <c r="W1012" i="19"/>
  <c r="X1012" i="19"/>
  <c r="Y1012" i="19"/>
  <c r="Z1012" i="19"/>
  <c r="AA1012" i="19"/>
  <c r="AB1012" i="19"/>
  <c r="U1013" i="19"/>
  <c r="V1013" i="19"/>
  <c r="W1013" i="19"/>
  <c r="X1013" i="19"/>
  <c r="Y1013" i="19"/>
  <c r="Z1013" i="19"/>
  <c r="AA1013" i="19"/>
  <c r="AB1013" i="19"/>
  <c r="U1014" i="19"/>
  <c r="V1014" i="19"/>
  <c r="W1014" i="19"/>
  <c r="X1014" i="19"/>
  <c r="Y1014" i="19"/>
  <c r="Z1014" i="19"/>
  <c r="AA1014" i="19"/>
  <c r="AB1014" i="19"/>
  <c r="U1015" i="19"/>
  <c r="V1015" i="19"/>
  <c r="W1015" i="19"/>
  <c r="X1015" i="19"/>
  <c r="Y1015" i="19"/>
  <c r="Z1015" i="19"/>
  <c r="AA1015" i="19"/>
  <c r="AB1015" i="19"/>
  <c r="U1016" i="19"/>
  <c r="V1016" i="19"/>
  <c r="W1016" i="19"/>
  <c r="X1016" i="19"/>
  <c r="Y1016" i="19"/>
  <c r="Z1016" i="19"/>
  <c r="AA1016" i="19"/>
  <c r="AB1016" i="19"/>
  <c r="U1017" i="19"/>
  <c r="V1017" i="19"/>
  <c r="W1017" i="19"/>
  <c r="X1017" i="19"/>
  <c r="Y1017" i="19"/>
  <c r="Z1017" i="19"/>
  <c r="AA1017" i="19"/>
  <c r="AB1017" i="19"/>
  <c r="U1018" i="19"/>
  <c r="V1018" i="19"/>
  <c r="W1018" i="19"/>
  <c r="X1018" i="19"/>
  <c r="Y1018" i="19"/>
  <c r="Z1018" i="19"/>
  <c r="AA1018" i="19"/>
  <c r="AB1018" i="19"/>
  <c r="U1019" i="19"/>
  <c r="V1019" i="19"/>
  <c r="W1019" i="19"/>
  <c r="X1019" i="19"/>
  <c r="Y1019" i="19"/>
  <c r="Z1019" i="19"/>
  <c r="AA1019" i="19"/>
  <c r="AB1019" i="19"/>
  <c r="U1020" i="19"/>
  <c r="V1020" i="19"/>
  <c r="W1020" i="19"/>
  <c r="X1020" i="19"/>
  <c r="Y1020" i="19"/>
  <c r="Z1020" i="19"/>
  <c r="AA1020" i="19"/>
  <c r="AB1020" i="19"/>
  <c r="U1021" i="19"/>
  <c r="V1021" i="19"/>
  <c r="W1021" i="19"/>
  <c r="X1021" i="19"/>
  <c r="Y1021" i="19"/>
  <c r="Z1021" i="19"/>
  <c r="AA1021" i="19"/>
  <c r="AB1021" i="19"/>
  <c r="U1022" i="19"/>
  <c r="V1022" i="19"/>
  <c r="W1022" i="19"/>
  <c r="X1022" i="19"/>
  <c r="Y1022" i="19"/>
  <c r="Z1022" i="19"/>
  <c r="AA1022" i="19"/>
  <c r="AB1022" i="19"/>
  <c r="U1023" i="19"/>
  <c r="V1023" i="19"/>
  <c r="W1023" i="19"/>
  <c r="X1023" i="19"/>
  <c r="Y1023" i="19"/>
  <c r="Z1023" i="19"/>
  <c r="AA1023" i="19"/>
  <c r="AB1023" i="19"/>
  <c r="U1024" i="19"/>
  <c r="V1024" i="19"/>
  <c r="W1024" i="19"/>
  <c r="X1024" i="19"/>
  <c r="Y1024" i="19"/>
  <c r="Z1024" i="19"/>
  <c r="AA1024" i="19"/>
  <c r="AB1024" i="19"/>
  <c r="U1025" i="19"/>
  <c r="V1025" i="19"/>
  <c r="W1025" i="19"/>
  <c r="X1025" i="19"/>
  <c r="Y1025" i="19"/>
  <c r="Z1025" i="19"/>
  <c r="AA1025" i="19"/>
  <c r="AB1025" i="19"/>
  <c r="U1026" i="19"/>
  <c r="V1026" i="19"/>
  <c r="W1026" i="19"/>
  <c r="X1026" i="19"/>
  <c r="Y1026" i="19"/>
  <c r="Z1026" i="19"/>
  <c r="AA1026" i="19"/>
  <c r="AB1026" i="19"/>
  <c r="U1027" i="19"/>
  <c r="V1027" i="19"/>
  <c r="W1027" i="19"/>
  <c r="X1027" i="19"/>
  <c r="Y1027" i="19"/>
  <c r="Z1027" i="19"/>
  <c r="AA1027" i="19"/>
  <c r="AB1027" i="19"/>
  <c r="U1028" i="19"/>
  <c r="V1028" i="19"/>
  <c r="W1028" i="19"/>
  <c r="X1028" i="19"/>
  <c r="Y1028" i="19"/>
  <c r="Z1028" i="19"/>
  <c r="AA1028" i="19"/>
  <c r="AB1028" i="19"/>
  <c r="U1029" i="19"/>
  <c r="V1029" i="19"/>
  <c r="W1029" i="19"/>
  <c r="X1029" i="19"/>
  <c r="Y1029" i="19"/>
  <c r="Z1029" i="19"/>
  <c r="AA1029" i="19"/>
  <c r="AB1029" i="19"/>
  <c r="U1030" i="19"/>
  <c r="V1030" i="19"/>
  <c r="W1030" i="19"/>
  <c r="X1030" i="19"/>
  <c r="Y1030" i="19"/>
  <c r="Z1030" i="19"/>
  <c r="AA1030" i="19"/>
  <c r="AB1030" i="19"/>
  <c r="U1031" i="19"/>
  <c r="V1031" i="19"/>
  <c r="W1031" i="19"/>
  <c r="X1031" i="19"/>
  <c r="Y1031" i="19"/>
  <c r="Z1031" i="19"/>
  <c r="AA1031" i="19"/>
  <c r="AB1031" i="19"/>
  <c r="U1032" i="19"/>
  <c r="V1032" i="19"/>
  <c r="W1032" i="19"/>
  <c r="X1032" i="19"/>
  <c r="Y1032" i="19"/>
  <c r="Z1032" i="19"/>
  <c r="AA1032" i="19"/>
  <c r="AB1032" i="19"/>
  <c r="U1033" i="19"/>
  <c r="V1033" i="19"/>
  <c r="W1033" i="19"/>
  <c r="X1033" i="19"/>
  <c r="Y1033" i="19"/>
  <c r="Z1033" i="19"/>
  <c r="AA1033" i="19"/>
  <c r="AB1033" i="19"/>
  <c r="U1034" i="19"/>
  <c r="V1034" i="19"/>
  <c r="W1034" i="19"/>
  <c r="X1034" i="19"/>
  <c r="Y1034" i="19"/>
  <c r="Z1034" i="19"/>
  <c r="AA1034" i="19"/>
  <c r="AB1034" i="19"/>
  <c r="U1035" i="19"/>
  <c r="V1035" i="19"/>
  <c r="W1035" i="19"/>
  <c r="X1035" i="19"/>
  <c r="Y1035" i="19"/>
  <c r="Z1035" i="19"/>
  <c r="AA1035" i="19"/>
  <c r="AB1035" i="19"/>
  <c r="U1036" i="19"/>
  <c r="V1036" i="19"/>
  <c r="W1036" i="19"/>
  <c r="X1036" i="19"/>
  <c r="Y1036" i="19"/>
  <c r="Z1036" i="19"/>
  <c r="AA1036" i="19"/>
  <c r="AB1036" i="19"/>
  <c r="U1037" i="19"/>
  <c r="V1037" i="19"/>
  <c r="W1037" i="19"/>
  <c r="X1037" i="19"/>
  <c r="Y1037" i="19"/>
  <c r="Z1037" i="19"/>
  <c r="AA1037" i="19"/>
  <c r="AB1037" i="19"/>
  <c r="U1038" i="19"/>
  <c r="V1038" i="19"/>
  <c r="W1038" i="19"/>
  <c r="X1038" i="19"/>
  <c r="Y1038" i="19"/>
  <c r="Z1038" i="19"/>
  <c r="AA1038" i="19"/>
  <c r="AB1038" i="19"/>
  <c r="U1039" i="19"/>
  <c r="V1039" i="19"/>
  <c r="W1039" i="19"/>
  <c r="X1039" i="19"/>
  <c r="Y1039" i="19"/>
  <c r="Z1039" i="19"/>
  <c r="AA1039" i="19"/>
  <c r="AB1039" i="19"/>
  <c r="U1040" i="19"/>
  <c r="V1040" i="19"/>
  <c r="W1040" i="19"/>
  <c r="X1040" i="19"/>
  <c r="Y1040" i="19"/>
  <c r="Z1040" i="19"/>
  <c r="AA1040" i="19"/>
  <c r="AB1040" i="19"/>
  <c r="U1041" i="19"/>
  <c r="V1041" i="19"/>
  <c r="W1041" i="19"/>
  <c r="X1041" i="19"/>
  <c r="Y1041" i="19"/>
  <c r="Z1041" i="19"/>
  <c r="AA1041" i="19"/>
  <c r="AB1041" i="19"/>
  <c r="U1042" i="19"/>
  <c r="V1042" i="19"/>
  <c r="W1042" i="19"/>
  <c r="X1042" i="19"/>
  <c r="Y1042" i="19"/>
  <c r="Z1042" i="19"/>
  <c r="AA1042" i="19"/>
  <c r="AB1042" i="19"/>
  <c r="U1043" i="19"/>
  <c r="V1043" i="19"/>
  <c r="W1043" i="19"/>
  <c r="X1043" i="19"/>
  <c r="Y1043" i="19"/>
  <c r="Z1043" i="19"/>
  <c r="AA1043" i="19"/>
  <c r="AB1043" i="19"/>
  <c r="U1044" i="19"/>
  <c r="V1044" i="19"/>
  <c r="W1044" i="19"/>
  <c r="X1044" i="19"/>
  <c r="Y1044" i="19"/>
  <c r="Z1044" i="19"/>
  <c r="AA1044" i="19"/>
  <c r="AB1044" i="19"/>
  <c r="U1045" i="19"/>
  <c r="V1045" i="19"/>
  <c r="W1045" i="19"/>
  <c r="X1045" i="19"/>
  <c r="Y1045" i="19"/>
  <c r="Z1045" i="19"/>
  <c r="AA1045" i="19"/>
  <c r="AB1045" i="19"/>
  <c r="U1046" i="19"/>
  <c r="V1046" i="19"/>
  <c r="W1046" i="19"/>
  <c r="X1046" i="19"/>
  <c r="Y1046" i="19"/>
  <c r="Z1046" i="19"/>
  <c r="AA1046" i="19"/>
  <c r="AB1046" i="19"/>
  <c r="U1047" i="19"/>
  <c r="V1047" i="19"/>
  <c r="W1047" i="19"/>
  <c r="X1047" i="19"/>
  <c r="Y1047" i="19"/>
  <c r="Z1047" i="19"/>
  <c r="AA1047" i="19"/>
  <c r="AB1047" i="19"/>
  <c r="U1048" i="19"/>
  <c r="V1048" i="19"/>
  <c r="W1048" i="19"/>
  <c r="X1048" i="19"/>
  <c r="Y1048" i="19"/>
  <c r="Z1048" i="19"/>
  <c r="AA1048" i="19"/>
  <c r="AB1048" i="19"/>
  <c r="U1049" i="19"/>
  <c r="V1049" i="19"/>
  <c r="W1049" i="19"/>
  <c r="X1049" i="19"/>
  <c r="Y1049" i="19"/>
  <c r="Z1049" i="19"/>
  <c r="AA1049" i="19"/>
  <c r="AB1049" i="19"/>
  <c r="U1050" i="19"/>
  <c r="V1050" i="19"/>
  <c r="W1050" i="19"/>
  <c r="X1050" i="19"/>
  <c r="Y1050" i="19"/>
  <c r="Z1050" i="19"/>
  <c r="AA1050" i="19"/>
  <c r="AB1050" i="19"/>
  <c r="U1051" i="19"/>
  <c r="V1051" i="19"/>
  <c r="W1051" i="19"/>
  <c r="X1051" i="19"/>
  <c r="Y1051" i="19"/>
  <c r="Z1051" i="19"/>
  <c r="AA1051" i="19"/>
  <c r="AB1051" i="19"/>
  <c r="U1052" i="19"/>
  <c r="V1052" i="19"/>
  <c r="W1052" i="19"/>
  <c r="X1052" i="19"/>
  <c r="Y1052" i="19"/>
  <c r="Z1052" i="19"/>
  <c r="AA1052" i="19"/>
  <c r="AB1052" i="19"/>
  <c r="U1053" i="19"/>
  <c r="V1053" i="19"/>
  <c r="W1053" i="19"/>
  <c r="X1053" i="19"/>
  <c r="Y1053" i="19"/>
  <c r="Z1053" i="19"/>
  <c r="AA1053" i="19"/>
  <c r="AB1053" i="19"/>
  <c r="U1054" i="19"/>
  <c r="V1054" i="19"/>
  <c r="W1054" i="19"/>
  <c r="X1054" i="19"/>
  <c r="Y1054" i="19"/>
  <c r="Z1054" i="19"/>
  <c r="AA1054" i="19"/>
  <c r="AB1054" i="19"/>
  <c r="U1055" i="19"/>
  <c r="V1055" i="19"/>
  <c r="W1055" i="19"/>
  <c r="X1055" i="19"/>
  <c r="Y1055" i="19"/>
  <c r="Z1055" i="19"/>
  <c r="AA1055" i="19"/>
  <c r="AB1055" i="19"/>
  <c r="U1056" i="19"/>
  <c r="V1056" i="19"/>
  <c r="W1056" i="19"/>
  <c r="X1056" i="19"/>
  <c r="Y1056" i="19"/>
  <c r="Z1056" i="19"/>
  <c r="AA1056" i="19"/>
  <c r="AB1056" i="19"/>
  <c r="U1057" i="19"/>
  <c r="V1057" i="19"/>
  <c r="W1057" i="19"/>
  <c r="X1057" i="19"/>
  <c r="Y1057" i="19"/>
  <c r="Z1057" i="19"/>
  <c r="AA1057" i="19"/>
  <c r="AB1057" i="19"/>
  <c r="U1058" i="19"/>
  <c r="V1058" i="19"/>
  <c r="W1058" i="19"/>
  <c r="X1058" i="19"/>
  <c r="Y1058" i="19"/>
  <c r="Z1058" i="19"/>
  <c r="AA1058" i="19"/>
  <c r="AB1058" i="19"/>
  <c r="U1059" i="19"/>
  <c r="V1059" i="19"/>
  <c r="W1059" i="19"/>
  <c r="X1059" i="19"/>
  <c r="Y1059" i="19"/>
  <c r="Z1059" i="19"/>
  <c r="AA1059" i="19"/>
  <c r="AB1059" i="19"/>
  <c r="U1060" i="19"/>
  <c r="V1060" i="19"/>
  <c r="W1060" i="19"/>
  <c r="X1060" i="19"/>
  <c r="Y1060" i="19"/>
  <c r="Z1060" i="19"/>
  <c r="AA1060" i="19"/>
  <c r="AB1060" i="19"/>
  <c r="U1061" i="19"/>
  <c r="V1061" i="19"/>
  <c r="W1061" i="19"/>
  <c r="X1061" i="19"/>
  <c r="Y1061" i="19"/>
  <c r="Z1061" i="19"/>
  <c r="AA1061" i="19"/>
  <c r="AB1061" i="19"/>
  <c r="U1062" i="19"/>
  <c r="V1062" i="19"/>
  <c r="W1062" i="19"/>
  <c r="X1062" i="19"/>
  <c r="Y1062" i="19"/>
  <c r="Z1062" i="19"/>
  <c r="AA1062" i="19"/>
  <c r="AB1062" i="19"/>
  <c r="U1063" i="19"/>
  <c r="V1063" i="19"/>
  <c r="W1063" i="19"/>
  <c r="X1063" i="19"/>
  <c r="Y1063" i="19"/>
  <c r="Z1063" i="19"/>
  <c r="AA1063" i="19"/>
  <c r="AB1063" i="19"/>
  <c r="U1064" i="19"/>
  <c r="V1064" i="19"/>
  <c r="W1064" i="19"/>
  <c r="X1064" i="19"/>
  <c r="Y1064" i="19"/>
  <c r="Z1064" i="19"/>
  <c r="AA1064" i="19"/>
  <c r="AB1064" i="19"/>
  <c r="U1065" i="19"/>
  <c r="V1065" i="19"/>
  <c r="W1065" i="19"/>
  <c r="X1065" i="19"/>
  <c r="Y1065" i="19"/>
  <c r="Z1065" i="19"/>
  <c r="AA1065" i="19"/>
  <c r="AB1065" i="19"/>
  <c r="U1066" i="19"/>
  <c r="V1066" i="19"/>
  <c r="W1066" i="19"/>
  <c r="X1066" i="19"/>
  <c r="Y1066" i="19"/>
  <c r="Z1066" i="19"/>
  <c r="AA1066" i="19"/>
  <c r="AB1066" i="19"/>
  <c r="U1067" i="19"/>
  <c r="V1067" i="19"/>
  <c r="W1067" i="19"/>
  <c r="X1067" i="19"/>
  <c r="Y1067" i="19"/>
  <c r="Z1067" i="19"/>
  <c r="AA1067" i="19"/>
  <c r="AB1067" i="19"/>
  <c r="U1068" i="19"/>
  <c r="V1068" i="19"/>
  <c r="W1068" i="19"/>
  <c r="X1068" i="19"/>
  <c r="Y1068" i="19"/>
  <c r="Z1068" i="19"/>
  <c r="AA1068" i="19"/>
  <c r="AB1068" i="19"/>
  <c r="U1069" i="19"/>
  <c r="V1069" i="19"/>
  <c r="W1069" i="19"/>
  <c r="X1069" i="19"/>
  <c r="Y1069" i="19"/>
  <c r="Z1069" i="19"/>
  <c r="AA1069" i="19"/>
  <c r="AB1069" i="19"/>
  <c r="U1070" i="19"/>
  <c r="V1070" i="19"/>
  <c r="W1070" i="19"/>
  <c r="X1070" i="19"/>
  <c r="Y1070" i="19"/>
  <c r="Z1070" i="19"/>
  <c r="AA1070" i="19"/>
  <c r="AB1070" i="19"/>
  <c r="U1071" i="19"/>
  <c r="V1071" i="19"/>
  <c r="W1071" i="19"/>
  <c r="X1071" i="19"/>
  <c r="Y1071" i="19"/>
  <c r="Z1071" i="19"/>
  <c r="AA1071" i="19"/>
  <c r="AB1071" i="19"/>
  <c r="U1072" i="19"/>
  <c r="V1072" i="19"/>
  <c r="W1072" i="19"/>
  <c r="X1072" i="19"/>
  <c r="Y1072" i="19"/>
  <c r="Z1072" i="19"/>
  <c r="AA1072" i="19"/>
  <c r="AB1072" i="19"/>
  <c r="U1073" i="19"/>
  <c r="V1073" i="19"/>
  <c r="W1073" i="19"/>
  <c r="X1073" i="19"/>
  <c r="Y1073" i="19"/>
  <c r="Z1073" i="19"/>
  <c r="AA1073" i="19"/>
  <c r="AB1073" i="19"/>
  <c r="U1074" i="19"/>
  <c r="V1074" i="19"/>
  <c r="W1074" i="19"/>
  <c r="X1074" i="19"/>
  <c r="Y1074" i="19"/>
  <c r="Z1074" i="19"/>
  <c r="AA1074" i="19"/>
  <c r="AB1074" i="19"/>
  <c r="U1075" i="19"/>
  <c r="V1075" i="19"/>
  <c r="W1075" i="19"/>
  <c r="X1075" i="19"/>
  <c r="Y1075" i="19"/>
  <c r="Z1075" i="19"/>
  <c r="AA1075" i="19"/>
  <c r="AB1075" i="19"/>
  <c r="U1076" i="19"/>
  <c r="V1076" i="19"/>
  <c r="W1076" i="19"/>
  <c r="X1076" i="19"/>
  <c r="Y1076" i="19"/>
  <c r="Z1076" i="19"/>
  <c r="AA1076" i="19"/>
  <c r="AB1076" i="19"/>
  <c r="U1077" i="19"/>
  <c r="V1077" i="19"/>
  <c r="W1077" i="19"/>
  <c r="X1077" i="19"/>
  <c r="Y1077" i="19"/>
  <c r="Z1077" i="19"/>
  <c r="AA1077" i="19"/>
  <c r="AB1077" i="19"/>
  <c r="U1078" i="19"/>
  <c r="V1078" i="19"/>
  <c r="W1078" i="19"/>
  <c r="X1078" i="19"/>
  <c r="Y1078" i="19"/>
  <c r="Z1078" i="19"/>
  <c r="AA1078" i="19"/>
  <c r="AB1078" i="19"/>
  <c r="U1079" i="19"/>
  <c r="V1079" i="19"/>
  <c r="W1079" i="19"/>
  <c r="X1079" i="19"/>
  <c r="Y1079" i="19"/>
  <c r="Z1079" i="19"/>
  <c r="AA1079" i="19"/>
  <c r="AB1079" i="19"/>
  <c r="U1080" i="19"/>
  <c r="V1080" i="19"/>
  <c r="W1080" i="19"/>
  <c r="X1080" i="19"/>
  <c r="Y1080" i="19"/>
  <c r="Z1080" i="19"/>
  <c r="AA1080" i="19"/>
  <c r="AB1080" i="19"/>
  <c r="AB64" i="19"/>
  <c r="AA64" i="19"/>
  <c r="Z64" i="19"/>
  <c r="Y64" i="19"/>
  <c r="X64" i="19"/>
  <c r="W64" i="19"/>
  <c r="V64" i="19"/>
  <c r="U64" i="19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K392" i="16"/>
  <c r="K393" i="16"/>
  <c r="K394" i="16"/>
  <c r="K395" i="16"/>
  <c r="K396" i="16"/>
  <c r="K397" i="16"/>
  <c r="K398" i="16"/>
  <c r="K399" i="16"/>
  <c r="K400" i="16"/>
  <c r="K401" i="16"/>
  <c r="K402" i="16"/>
  <c r="K403" i="16"/>
  <c r="K404" i="16"/>
  <c r="K405" i="16"/>
  <c r="K406" i="16"/>
  <c r="K407" i="16"/>
  <c r="K408" i="16"/>
  <c r="K409" i="16"/>
  <c r="K410" i="16"/>
  <c r="K411" i="16"/>
  <c r="K412" i="16"/>
  <c r="K413" i="16"/>
  <c r="K414" i="16"/>
  <c r="K415" i="16"/>
  <c r="K416" i="16"/>
  <c r="K417" i="16"/>
  <c r="K418" i="16"/>
  <c r="K419" i="16"/>
  <c r="K420" i="16"/>
  <c r="K421" i="16"/>
  <c r="K422" i="16"/>
  <c r="K423" i="16"/>
  <c r="K424" i="16"/>
  <c r="K425" i="16"/>
  <c r="K426" i="16"/>
  <c r="K427" i="16"/>
  <c r="K428" i="16"/>
  <c r="K429" i="16"/>
  <c r="K430" i="16"/>
  <c r="K431" i="16"/>
  <c r="K432" i="16"/>
  <c r="K433" i="16"/>
  <c r="K434" i="16"/>
  <c r="K435" i="16"/>
  <c r="K436" i="16"/>
  <c r="K437" i="16"/>
  <c r="K438" i="16"/>
  <c r="K439" i="16"/>
  <c r="K440" i="16"/>
  <c r="K441" i="16"/>
  <c r="K442" i="16"/>
  <c r="K443" i="16"/>
  <c r="K444" i="16"/>
  <c r="K445" i="16"/>
  <c r="K446" i="16"/>
  <c r="K447" i="16"/>
  <c r="K448" i="16"/>
  <c r="K449" i="16"/>
  <c r="K450" i="16"/>
  <c r="K451" i="16"/>
  <c r="K452" i="16"/>
  <c r="K453" i="16"/>
  <c r="K454" i="16"/>
  <c r="K455" i="16"/>
  <c r="K456" i="16"/>
  <c r="K457" i="16"/>
  <c r="K458" i="16"/>
  <c r="K459" i="16"/>
  <c r="K460" i="16"/>
  <c r="K461" i="16"/>
  <c r="K462" i="16"/>
  <c r="K463" i="16"/>
  <c r="K464" i="16"/>
  <c r="K465" i="16"/>
  <c r="K466" i="16"/>
  <c r="K467" i="16"/>
  <c r="K468" i="16"/>
  <c r="K469" i="16"/>
  <c r="K470" i="16"/>
  <c r="K471" i="16"/>
  <c r="K472" i="16"/>
  <c r="K473" i="16"/>
  <c r="K474" i="16"/>
  <c r="K475" i="16"/>
  <c r="K476" i="16"/>
  <c r="K477" i="16"/>
  <c r="K478" i="16"/>
  <c r="K479" i="16"/>
  <c r="K480" i="16"/>
  <c r="K481" i="16"/>
  <c r="K482" i="16"/>
  <c r="K483" i="16"/>
  <c r="K484" i="16"/>
  <c r="K485" i="16"/>
  <c r="K486" i="16"/>
  <c r="K487" i="16"/>
  <c r="K488" i="16"/>
  <c r="K489" i="16"/>
  <c r="K490" i="16"/>
  <c r="K491" i="16"/>
  <c r="K492" i="16"/>
  <c r="K493" i="16"/>
  <c r="K494" i="16"/>
  <c r="K495" i="16"/>
  <c r="K496" i="16"/>
  <c r="K497" i="16"/>
  <c r="K498" i="16"/>
  <c r="K499" i="16"/>
  <c r="K500" i="16"/>
  <c r="K501" i="16"/>
  <c r="K502" i="16"/>
  <c r="K503" i="16"/>
  <c r="K504" i="16"/>
  <c r="K505" i="16"/>
  <c r="K506" i="16"/>
  <c r="K507" i="16"/>
  <c r="K508" i="16"/>
  <c r="K509" i="16"/>
  <c r="K510" i="16"/>
  <c r="K511" i="16"/>
  <c r="K512" i="16"/>
  <c r="K513" i="16"/>
  <c r="K514" i="16"/>
  <c r="K515" i="16"/>
  <c r="K516" i="16"/>
  <c r="K517" i="16"/>
  <c r="K518" i="16"/>
  <c r="K519" i="16"/>
  <c r="K520" i="16"/>
  <c r="K521" i="16"/>
  <c r="K522" i="16"/>
  <c r="K523" i="16"/>
  <c r="K524" i="16"/>
  <c r="K525" i="16"/>
  <c r="K526" i="16"/>
  <c r="K527" i="16"/>
  <c r="K528" i="16"/>
  <c r="K529" i="16"/>
  <c r="K530" i="16"/>
  <c r="K531" i="16"/>
  <c r="K532" i="16"/>
  <c r="K533" i="16"/>
  <c r="K534" i="16"/>
  <c r="K535" i="16"/>
  <c r="K536" i="16"/>
  <c r="K537" i="16"/>
  <c r="K538" i="16"/>
  <c r="K539" i="16"/>
  <c r="K540" i="16"/>
  <c r="K541" i="16"/>
  <c r="K542" i="16"/>
  <c r="K543" i="16"/>
  <c r="K544" i="16"/>
  <c r="K545" i="16"/>
  <c r="K546" i="16"/>
  <c r="K547" i="16"/>
  <c r="K548" i="16"/>
  <c r="K549" i="16"/>
  <c r="K550" i="16"/>
  <c r="K551" i="16"/>
  <c r="K552" i="16"/>
  <c r="K553" i="16"/>
  <c r="K554" i="16"/>
  <c r="K555" i="16"/>
  <c r="K556" i="16"/>
  <c r="K557" i="16"/>
  <c r="K558" i="16"/>
  <c r="K559" i="16"/>
  <c r="K560" i="16"/>
  <c r="K561" i="16"/>
  <c r="K562" i="16"/>
  <c r="K563" i="16"/>
  <c r="K564" i="16"/>
  <c r="K565" i="16"/>
  <c r="K566" i="16"/>
  <c r="K567" i="16"/>
  <c r="K568" i="16"/>
  <c r="K569" i="16"/>
  <c r="K570" i="16"/>
  <c r="K571" i="16"/>
  <c r="K572" i="16"/>
  <c r="K573" i="16"/>
  <c r="K574" i="16"/>
  <c r="K575" i="16"/>
  <c r="K576" i="16"/>
  <c r="K577" i="16"/>
  <c r="K578" i="16"/>
  <c r="K579" i="16"/>
  <c r="K580" i="16"/>
  <c r="K581" i="16"/>
  <c r="K582" i="16"/>
  <c r="K583" i="16"/>
  <c r="K584" i="16"/>
  <c r="K585" i="16"/>
  <c r="K586" i="16"/>
  <c r="K587" i="16"/>
  <c r="K588" i="16"/>
  <c r="K589" i="16"/>
  <c r="K590" i="16"/>
  <c r="K591" i="16"/>
  <c r="K592" i="16"/>
  <c r="K593" i="16"/>
  <c r="K594" i="16"/>
  <c r="K595" i="16"/>
  <c r="K596" i="16"/>
  <c r="K597" i="16"/>
  <c r="K598" i="16"/>
  <c r="K599" i="16"/>
  <c r="K600" i="16"/>
  <c r="K601" i="16"/>
  <c r="K602" i="16"/>
  <c r="K603" i="16"/>
  <c r="K604" i="16"/>
  <c r="K605" i="16"/>
  <c r="K606" i="16"/>
  <c r="K607" i="16"/>
  <c r="K608" i="16"/>
  <c r="K609" i="16"/>
  <c r="K610" i="16"/>
  <c r="K611" i="16"/>
  <c r="K612" i="16"/>
  <c r="K613" i="16"/>
  <c r="K614" i="16"/>
  <c r="K615" i="16"/>
  <c r="K616" i="16"/>
  <c r="K617" i="16"/>
  <c r="K618" i="16"/>
  <c r="K619" i="16"/>
  <c r="K620" i="16"/>
  <c r="K621" i="16"/>
  <c r="K622" i="16"/>
  <c r="K623" i="16"/>
  <c r="K624" i="16"/>
  <c r="K625" i="16"/>
  <c r="K626" i="16"/>
  <c r="K627" i="16"/>
  <c r="K628" i="16"/>
  <c r="K629" i="16"/>
  <c r="K630" i="16"/>
  <c r="K631" i="16"/>
  <c r="K632" i="16"/>
  <c r="K633" i="16"/>
  <c r="K634" i="16"/>
  <c r="K635" i="16"/>
  <c r="K636" i="16"/>
  <c r="K637" i="16"/>
  <c r="K638" i="16"/>
  <c r="K639" i="16"/>
  <c r="K640" i="16"/>
  <c r="K641" i="16"/>
  <c r="K642" i="16"/>
  <c r="K643" i="16"/>
  <c r="K644" i="16"/>
  <c r="K645" i="16"/>
  <c r="K646" i="16"/>
  <c r="K647" i="16"/>
  <c r="K648" i="16"/>
  <c r="K649" i="16"/>
  <c r="K650" i="16"/>
  <c r="K651" i="16"/>
  <c r="K652" i="16"/>
  <c r="K653" i="16"/>
  <c r="K654" i="16"/>
  <c r="K655" i="16"/>
  <c r="K656" i="16"/>
  <c r="K657" i="16"/>
  <c r="K658" i="16"/>
  <c r="K659" i="16"/>
  <c r="K660" i="16"/>
  <c r="K661" i="16"/>
  <c r="K662" i="16"/>
  <c r="K663" i="16"/>
  <c r="K664" i="16"/>
  <c r="K665" i="16"/>
  <c r="K666" i="16"/>
  <c r="K667" i="16"/>
  <c r="K668" i="16"/>
  <c r="K669" i="16"/>
  <c r="K670" i="16"/>
  <c r="K671" i="16"/>
  <c r="K672" i="16"/>
  <c r="K673" i="16"/>
  <c r="K674" i="16"/>
  <c r="K675" i="16"/>
  <c r="K676" i="16"/>
  <c r="K677" i="16"/>
  <c r="K678" i="16"/>
  <c r="K679" i="16"/>
  <c r="K680" i="16"/>
  <c r="K681" i="16"/>
  <c r="K682" i="16"/>
  <c r="K683" i="16"/>
  <c r="K684" i="16"/>
  <c r="K685" i="16"/>
  <c r="K686" i="16"/>
  <c r="K687" i="16"/>
  <c r="K688" i="16"/>
  <c r="K689" i="16"/>
  <c r="K690" i="16"/>
  <c r="K691" i="16"/>
  <c r="K692" i="16"/>
  <c r="K693" i="16"/>
  <c r="K694" i="16"/>
  <c r="K695" i="16"/>
  <c r="K696" i="16"/>
  <c r="K697" i="16"/>
  <c r="K698" i="16"/>
  <c r="K699" i="16"/>
  <c r="K700" i="16"/>
  <c r="K701" i="16"/>
  <c r="K702" i="16"/>
  <c r="K703" i="16"/>
  <c r="K704" i="16"/>
  <c r="K705" i="16"/>
  <c r="K706" i="16"/>
  <c r="K707" i="16"/>
  <c r="K708" i="16"/>
  <c r="K709" i="16"/>
  <c r="K710" i="16"/>
  <c r="K711" i="16"/>
  <c r="K712" i="16"/>
  <c r="K713" i="16"/>
  <c r="K714" i="16"/>
  <c r="K715" i="16"/>
  <c r="K716" i="16"/>
  <c r="K717" i="16"/>
  <c r="K718" i="16"/>
  <c r="K719" i="16"/>
  <c r="K720" i="16"/>
  <c r="K721" i="16"/>
  <c r="K722" i="16"/>
  <c r="K723" i="16"/>
  <c r="K724" i="16"/>
  <c r="K725" i="16"/>
  <c r="K726" i="16"/>
  <c r="K727" i="16"/>
  <c r="K728" i="16"/>
  <c r="K729" i="16"/>
  <c r="K730" i="16"/>
  <c r="K731" i="16"/>
  <c r="K732" i="16"/>
  <c r="K733" i="16"/>
  <c r="K734" i="16"/>
  <c r="K735" i="16"/>
  <c r="K736" i="16"/>
  <c r="K737" i="16"/>
  <c r="K738" i="16"/>
  <c r="K739" i="16"/>
  <c r="K740" i="16"/>
  <c r="K741" i="16"/>
  <c r="K742" i="16"/>
  <c r="K743" i="16"/>
  <c r="K744" i="16"/>
  <c r="K745" i="16"/>
  <c r="K746" i="16"/>
  <c r="K747" i="16"/>
  <c r="K748" i="16"/>
  <c r="K749" i="16"/>
  <c r="K750" i="16"/>
  <c r="K751" i="16"/>
  <c r="K752" i="16"/>
  <c r="K753" i="16"/>
  <c r="K754" i="16"/>
  <c r="K755" i="16"/>
  <c r="K756" i="16"/>
  <c r="K757" i="16"/>
  <c r="K758" i="16"/>
  <c r="K759" i="16"/>
  <c r="K760" i="16"/>
  <c r="K761" i="16"/>
  <c r="K762" i="16"/>
  <c r="K763" i="16"/>
  <c r="K764" i="16"/>
  <c r="K765" i="16"/>
  <c r="K766" i="16"/>
  <c r="K767" i="16"/>
  <c r="K768" i="16"/>
  <c r="K769" i="16"/>
  <c r="K770" i="16"/>
  <c r="K771" i="16"/>
  <c r="K772" i="16"/>
  <c r="K773" i="16"/>
  <c r="K774" i="16"/>
  <c r="K775" i="16"/>
  <c r="K776" i="16"/>
  <c r="K777" i="16"/>
  <c r="K778" i="16"/>
  <c r="K779" i="16"/>
  <c r="K780" i="16"/>
  <c r="K781" i="16"/>
  <c r="K782" i="16"/>
  <c r="K783" i="16"/>
  <c r="K784" i="16"/>
  <c r="K785" i="16"/>
  <c r="K786" i="16"/>
  <c r="K787" i="16"/>
  <c r="K788" i="16"/>
  <c r="K789" i="16"/>
  <c r="K790" i="16"/>
  <c r="K791" i="16"/>
  <c r="K792" i="16"/>
  <c r="K793" i="16"/>
  <c r="K794" i="16"/>
  <c r="K795" i="16"/>
  <c r="K796" i="16"/>
  <c r="K797" i="16"/>
  <c r="K798" i="16"/>
  <c r="K799" i="16"/>
  <c r="K800" i="16"/>
  <c r="K801" i="16"/>
  <c r="K802" i="16"/>
  <c r="K803" i="16"/>
  <c r="K804" i="16"/>
  <c r="K805" i="16"/>
  <c r="K806" i="16"/>
  <c r="K807" i="16"/>
  <c r="K808" i="16"/>
  <c r="K809" i="16"/>
  <c r="K810" i="16"/>
  <c r="K811" i="16"/>
  <c r="K812" i="16"/>
  <c r="K813" i="16"/>
  <c r="K814" i="16"/>
  <c r="K815" i="16"/>
  <c r="K816" i="16"/>
  <c r="K817" i="16"/>
  <c r="K818" i="16"/>
  <c r="K819" i="16"/>
  <c r="K820" i="16"/>
  <c r="K821" i="16"/>
  <c r="K822" i="16"/>
  <c r="K823" i="16"/>
  <c r="K824" i="16"/>
  <c r="K825" i="16"/>
  <c r="K826" i="16"/>
  <c r="K827" i="16"/>
  <c r="K828" i="16"/>
  <c r="K829" i="16"/>
  <c r="K830" i="16"/>
  <c r="K831" i="16"/>
  <c r="K832" i="16"/>
  <c r="K833" i="16"/>
  <c r="K834" i="16"/>
  <c r="K835" i="16"/>
  <c r="K836" i="16"/>
  <c r="K837" i="16"/>
  <c r="K838" i="16"/>
  <c r="K839" i="16"/>
  <c r="K840" i="16"/>
  <c r="K841" i="16"/>
  <c r="K842" i="16"/>
  <c r="K843" i="16"/>
  <c r="K844" i="16"/>
  <c r="K845" i="16"/>
  <c r="K846" i="16"/>
  <c r="K847" i="16"/>
  <c r="K848" i="16"/>
  <c r="K849" i="16"/>
  <c r="K850" i="16"/>
  <c r="K851" i="16"/>
  <c r="K852" i="16"/>
  <c r="K853" i="16"/>
  <c r="K854" i="16"/>
  <c r="K855" i="16"/>
  <c r="K856" i="16"/>
  <c r="K857" i="16"/>
  <c r="K858" i="16"/>
  <c r="K859" i="16"/>
  <c r="K860" i="16"/>
  <c r="K861" i="16"/>
  <c r="K862" i="16"/>
  <c r="K863" i="16"/>
  <c r="K864" i="16"/>
  <c r="K865" i="16"/>
  <c r="K866" i="16"/>
  <c r="K867" i="16"/>
  <c r="K868" i="16"/>
  <c r="K869" i="16"/>
  <c r="K870" i="16"/>
  <c r="K871" i="16"/>
  <c r="K872" i="16"/>
  <c r="K873" i="16"/>
  <c r="K874" i="16"/>
  <c r="K875" i="16"/>
  <c r="K876" i="16"/>
  <c r="K877" i="16"/>
  <c r="K878" i="16"/>
  <c r="K879" i="16"/>
  <c r="K880" i="16"/>
  <c r="K881" i="16"/>
  <c r="K882" i="16"/>
  <c r="K883" i="16"/>
  <c r="K884" i="16"/>
  <c r="K885" i="16"/>
  <c r="K886" i="16"/>
  <c r="K887" i="16"/>
  <c r="K888" i="16"/>
  <c r="K889" i="16"/>
  <c r="K890" i="16"/>
  <c r="K891" i="16"/>
  <c r="K892" i="16"/>
  <c r="K893" i="16"/>
  <c r="K894" i="16"/>
  <c r="K895" i="16"/>
  <c r="K896" i="16"/>
  <c r="K897" i="16"/>
  <c r="K898" i="16"/>
  <c r="K899" i="16"/>
  <c r="K900" i="16"/>
  <c r="K901" i="16"/>
  <c r="K902" i="16"/>
  <c r="K903" i="16"/>
  <c r="K904" i="16"/>
  <c r="K905" i="16"/>
  <c r="K906" i="16"/>
  <c r="K907" i="16"/>
  <c r="K908" i="16"/>
  <c r="K909" i="16"/>
  <c r="K910" i="16"/>
  <c r="K911" i="16"/>
  <c r="K912" i="16"/>
  <c r="K913" i="16"/>
  <c r="K914" i="16"/>
  <c r="K915" i="16"/>
  <c r="K916" i="16"/>
  <c r="K917" i="16"/>
  <c r="K918" i="16"/>
  <c r="K919" i="16"/>
  <c r="K920" i="16"/>
  <c r="K921" i="16"/>
  <c r="K922" i="16"/>
  <c r="K923" i="16"/>
  <c r="K924" i="16"/>
  <c r="K925" i="16"/>
  <c r="K926" i="16"/>
  <c r="K927" i="16"/>
  <c r="K928" i="16"/>
  <c r="K929" i="16"/>
  <c r="K930" i="16"/>
  <c r="K931" i="16"/>
  <c r="K932" i="16"/>
  <c r="K933" i="16"/>
  <c r="K934" i="16"/>
  <c r="K935" i="16"/>
  <c r="K936" i="16"/>
  <c r="K937" i="16"/>
  <c r="K938" i="16"/>
  <c r="K939" i="16"/>
  <c r="K940" i="16"/>
  <c r="K941" i="16"/>
  <c r="K942" i="16"/>
  <c r="K943" i="16"/>
  <c r="K944" i="16"/>
  <c r="K945" i="16"/>
  <c r="K946" i="16"/>
  <c r="K947" i="16"/>
  <c r="K948" i="16"/>
  <c r="K949" i="16"/>
  <c r="K950" i="16"/>
  <c r="K951" i="16"/>
  <c r="K952" i="16"/>
  <c r="K953" i="16"/>
  <c r="K954" i="16"/>
  <c r="K955" i="16"/>
  <c r="K956" i="16"/>
  <c r="K957" i="16"/>
  <c r="K958" i="16"/>
  <c r="K959" i="16"/>
  <c r="K960" i="16"/>
  <c r="K961" i="16"/>
  <c r="K962" i="16"/>
  <c r="K963" i="16"/>
  <c r="K964" i="16"/>
  <c r="K965" i="16"/>
  <c r="K966" i="16"/>
  <c r="K967" i="16"/>
  <c r="K968" i="16"/>
  <c r="K969" i="16"/>
  <c r="K970" i="16"/>
  <c r="K971" i="16"/>
  <c r="K972" i="16"/>
  <c r="K973" i="16"/>
  <c r="K974" i="16"/>
  <c r="K975" i="16"/>
  <c r="K976" i="16"/>
  <c r="K977" i="16"/>
  <c r="K978" i="16"/>
  <c r="K979" i="16"/>
  <c r="K980" i="16"/>
  <c r="K981" i="16"/>
  <c r="K982" i="16"/>
  <c r="K983" i="16"/>
  <c r="K984" i="16"/>
  <c r="K985" i="16"/>
  <c r="K986" i="16"/>
  <c r="K987" i="16"/>
  <c r="K988" i="16"/>
  <c r="K989" i="16"/>
  <c r="K990" i="16"/>
  <c r="K991" i="16"/>
  <c r="K992" i="16"/>
  <c r="K993" i="16"/>
  <c r="K994" i="16"/>
  <c r="K995" i="16"/>
  <c r="K996" i="16"/>
  <c r="K997" i="16"/>
  <c r="K998" i="16"/>
  <c r="K999" i="16"/>
  <c r="K1000" i="16"/>
  <c r="K1001" i="16"/>
  <c r="K1002" i="16"/>
  <c r="K1003" i="16"/>
  <c r="K1004" i="16"/>
  <c r="K1005" i="16"/>
  <c r="K1006" i="16"/>
  <c r="K1007" i="16"/>
  <c r="K1008" i="16"/>
  <c r="K1009" i="16"/>
  <c r="K1010" i="16"/>
  <c r="K1011" i="16"/>
  <c r="K1012" i="16"/>
  <c r="K1013" i="16"/>
  <c r="K1014" i="16"/>
  <c r="K1015" i="16"/>
  <c r="K1016" i="16"/>
  <c r="K1017" i="16"/>
  <c r="K1018" i="16"/>
  <c r="K1019" i="16"/>
  <c r="K1020" i="16"/>
  <c r="K1021" i="16"/>
  <c r="K1022" i="16"/>
  <c r="K1023" i="16"/>
  <c r="K1024" i="16"/>
  <c r="K1025" i="16"/>
  <c r="K1026" i="16"/>
  <c r="K1027" i="16"/>
  <c r="K1028" i="16"/>
  <c r="K1029" i="16"/>
  <c r="K1030" i="16"/>
  <c r="K1031" i="16"/>
  <c r="K1032" i="16"/>
  <c r="K1033" i="16"/>
  <c r="K1034" i="16"/>
  <c r="K1035" i="16"/>
  <c r="K1036" i="16"/>
  <c r="K1037" i="16"/>
  <c r="K1038" i="16"/>
  <c r="K1039" i="16"/>
  <c r="K1040" i="16"/>
  <c r="K1041" i="16"/>
  <c r="K1042" i="16"/>
  <c r="K1043" i="16"/>
  <c r="K1044" i="16"/>
  <c r="K1045" i="16"/>
  <c r="K1046" i="16"/>
  <c r="K1047" i="16"/>
  <c r="K1048" i="16"/>
  <c r="K1049" i="16"/>
  <c r="K1050" i="16"/>
  <c r="K1051" i="16"/>
  <c r="K1052" i="16"/>
  <c r="K1053" i="16"/>
  <c r="K1054" i="16"/>
  <c r="K1055" i="16"/>
  <c r="K1056" i="16"/>
  <c r="K1057" i="16"/>
  <c r="K1058" i="16"/>
  <c r="K1059" i="16"/>
  <c r="K1060" i="16"/>
  <c r="K1061" i="16"/>
  <c r="K1062" i="16"/>
  <c r="K1063" i="16"/>
  <c r="K1064" i="16"/>
  <c r="K1065" i="16"/>
  <c r="K1066" i="16"/>
  <c r="K1067" i="16"/>
  <c r="K1068" i="16"/>
  <c r="K1069" i="16"/>
  <c r="K1070" i="16"/>
  <c r="K1071" i="16"/>
  <c r="K1072" i="16"/>
  <c r="K1073" i="16"/>
  <c r="K1074" i="16"/>
  <c r="K1075" i="16"/>
  <c r="K1076" i="16"/>
  <c r="K1077" i="16"/>
  <c r="K1078" i="16"/>
  <c r="K1079" i="16"/>
  <c r="K1080" i="16"/>
  <c r="K1081" i="16"/>
  <c r="K1082" i="16"/>
  <c r="K1083" i="16"/>
  <c r="K1084" i="16"/>
  <c r="K1085" i="16"/>
  <c r="K1086" i="16"/>
  <c r="K1087" i="16"/>
  <c r="K1088" i="16"/>
  <c r="K1089" i="16"/>
  <c r="K1090" i="16"/>
  <c r="K1091" i="16"/>
  <c r="K1092" i="16"/>
  <c r="K1093" i="16"/>
  <c r="K1094" i="16"/>
  <c r="K1095" i="16"/>
  <c r="K1096" i="16"/>
  <c r="K1097" i="16"/>
  <c r="K1098" i="16"/>
  <c r="K1099" i="16"/>
  <c r="K1100" i="16"/>
  <c r="K1101" i="16"/>
  <c r="K1102" i="16"/>
  <c r="K1103" i="16"/>
  <c r="K1104" i="16"/>
  <c r="K1105" i="16"/>
  <c r="K1106" i="16"/>
  <c r="K1107" i="16"/>
  <c r="K1108" i="16"/>
  <c r="K1109" i="16"/>
  <c r="K1110" i="16"/>
  <c r="K1111" i="16"/>
  <c r="K1112" i="16"/>
  <c r="K1113" i="16"/>
  <c r="K1114" i="16"/>
  <c r="K1115" i="16"/>
  <c r="K1116" i="16"/>
  <c r="K1117" i="16"/>
  <c r="K1118" i="16"/>
  <c r="K1119" i="16"/>
  <c r="K1120" i="16"/>
  <c r="K1121" i="16"/>
  <c r="K1122" i="16"/>
  <c r="K1123" i="16"/>
  <c r="K1124" i="16"/>
  <c r="K1125" i="16"/>
  <c r="K1126" i="16"/>
  <c r="K1127" i="16"/>
  <c r="K1128" i="16"/>
  <c r="K1129" i="16"/>
  <c r="K1130" i="16"/>
  <c r="K1131" i="16"/>
  <c r="K1132" i="16"/>
  <c r="K1133" i="16"/>
  <c r="K1134" i="16"/>
  <c r="K1135" i="16"/>
  <c r="K1136" i="16"/>
  <c r="K1137" i="16"/>
  <c r="K1138" i="16"/>
  <c r="K1139" i="16"/>
  <c r="K1140" i="16"/>
  <c r="K1141" i="16"/>
  <c r="K1142" i="16"/>
  <c r="K1143" i="16"/>
  <c r="K1144" i="16"/>
  <c r="K1145" i="16"/>
  <c r="K1146" i="16"/>
  <c r="K1147" i="16"/>
  <c r="K1148" i="16"/>
  <c r="K1149" i="16"/>
  <c r="K1150" i="16"/>
  <c r="K1151" i="16"/>
  <c r="K1152" i="16"/>
  <c r="K1153" i="16"/>
  <c r="K1154" i="16"/>
  <c r="K1155" i="16"/>
  <c r="K1156" i="16"/>
  <c r="K1157" i="16"/>
  <c r="K1158" i="16"/>
  <c r="K1159" i="16"/>
  <c r="K1160" i="16"/>
  <c r="K1161" i="16"/>
  <c r="K1162" i="16"/>
  <c r="K1163" i="16"/>
  <c r="K1164" i="16"/>
  <c r="K1165" i="16"/>
  <c r="K1166" i="16"/>
  <c r="K1167" i="16"/>
  <c r="K1168" i="16"/>
  <c r="K1169" i="16"/>
  <c r="K1170" i="16"/>
  <c r="K1171" i="16"/>
  <c r="K1172" i="16"/>
  <c r="K1173" i="16"/>
  <c r="K1174" i="16"/>
  <c r="K1175" i="16"/>
  <c r="K1176" i="16"/>
  <c r="K1177" i="16"/>
  <c r="K1178" i="16"/>
  <c r="K1179" i="16"/>
  <c r="K1180" i="16"/>
  <c r="K1181" i="16"/>
  <c r="K1182" i="16"/>
  <c r="K1183" i="16"/>
  <c r="K1184" i="16"/>
  <c r="K1185" i="16"/>
  <c r="K1186" i="16"/>
  <c r="K1187" i="16"/>
  <c r="K1188" i="16"/>
  <c r="K1189" i="16"/>
  <c r="K1190" i="16"/>
  <c r="K1191" i="16"/>
  <c r="K1192" i="16"/>
  <c r="K1193" i="16"/>
  <c r="K1194" i="16"/>
  <c r="K1195" i="16"/>
  <c r="K1196" i="16"/>
  <c r="K1197" i="16"/>
  <c r="K1198" i="16"/>
  <c r="K1199" i="16"/>
  <c r="K1200" i="16"/>
  <c r="K1201" i="16"/>
  <c r="K1202" i="16"/>
  <c r="K1203" i="16"/>
  <c r="K1204" i="16"/>
  <c r="K1205" i="16"/>
  <c r="K1206" i="16"/>
  <c r="K1207" i="16"/>
  <c r="K1208" i="16"/>
  <c r="K1209" i="16"/>
  <c r="K1210" i="16"/>
  <c r="K1211" i="16"/>
  <c r="K1212" i="16"/>
  <c r="K1213" i="16"/>
  <c r="K1214" i="16"/>
  <c r="K1215" i="16"/>
  <c r="K1216" i="16"/>
  <c r="K1217" i="16"/>
  <c r="K1218" i="16"/>
  <c r="K1219" i="16"/>
  <c r="K1220" i="16"/>
  <c r="K1221" i="16"/>
  <c r="K1222" i="16"/>
  <c r="K1223" i="16"/>
  <c r="K1224" i="16"/>
  <c r="K1225" i="16"/>
  <c r="K1226" i="16"/>
  <c r="K1227" i="16"/>
  <c r="K1228" i="16"/>
  <c r="K1229" i="16"/>
  <c r="K1230" i="16"/>
  <c r="K1231" i="16"/>
  <c r="K1232" i="16"/>
  <c r="K1233" i="16"/>
  <c r="K1234" i="16"/>
  <c r="K1235" i="16"/>
  <c r="K1236" i="16"/>
  <c r="K1237" i="16"/>
  <c r="K1238" i="16"/>
  <c r="K63" i="16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1033" i="17"/>
  <c r="K1034" i="17"/>
  <c r="K1035" i="17"/>
  <c r="K1036" i="17"/>
  <c r="K1037" i="17"/>
  <c r="K1038" i="17"/>
  <c r="K1039" i="17"/>
  <c r="K1040" i="17"/>
  <c r="K1041" i="17"/>
  <c r="K1042" i="17"/>
  <c r="K1043" i="17"/>
  <c r="K1044" i="17"/>
  <c r="K1045" i="17"/>
  <c r="K1046" i="17"/>
  <c r="K1047" i="17"/>
  <c r="K1048" i="17"/>
  <c r="K1049" i="17"/>
  <c r="K1050" i="17"/>
  <c r="K1051" i="17"/>
  <c r="K1052" i="17"/>
  <c r="K1053" i="17"/>
  <c r="K1054" i="17"/>
  <c r="K1055" i="17"/>
  <c r="K1056" i="17"/>
  <c r="K1057" i="17"/>
  <c r="K1058" i="17"/>
  <c r="K1059" i="17"/>
  <c r="K1060" i="17"/>
  <c r="K1061" i="17"/>
  <c r="K1062" i="17"/>
  <c r="K1063" i="17"/>
  <c r="K1064" i="17"/>
  <c r="K1065" i="17"/>
  <c r="K1066" i="17"/>
  <c r="K1067" i="17"/>
  <c r="K1068" i="17"/>
  <c r="K1069" i="17"/>
  <c r="K1070" i="17"/>
  <c r="K1071" i="17"/>
  <c r="K1072" i="17"/>
  <c r="K1073" i="17"/>
  <c r="K1074" i="17"/>
  <c r="K1075" i="17"/>
  <c r="K1076" i="17"/>
  <c r="K1077" i="17"/>
  <c r="K1078" i="17"/>
  <c r="K1079" i="17"/>
  <c r="K1080" i="17"/>
  <c r="K1081" i="17"/>
  <c r="K1082" i="17"/>
  <c r="K1083" i="17"/>
  <c r="K1084" i="17"/>
  <c r="K1085" i="17"/>
  <c r="K1086" i="17"/>
  <c r="K1087" i="17"/>
  <c r="K1088" i="17"/>
  <c r="K1089" i="17"/>
  <c r="K1090" i="17"/>
  <c r="K1091" i="17"/>
  <c r="K1092" i="17"/>
  <c r="K1093" i="17"/>
  <c r="K1094" i="17"/>
  <c r="K1095" i="17"/>
  <c r="K1096" i="17"/>
  <c r="K1097" i="17"/>
  <c r="K1098" i="17"/>
  <c r="K1099" i="17"/>
  <c r="K1100" i="17"/>
  <c r="K1101" i="17"/>
  <c r="K1102" i="17"/>
  <c r="K1103" i="17"/>
  <c r="K1104" i="17"/>
  <c r="K1105" i="17"/>
  <c r="K1106" i="17"/>
  <c r="K1107" i="17"/>
  <c r="K1108" i="17"/>
  <c r="K1109" i="17"/>
  <c r="K1110" i="17"/>
  <c r="K1111" i="17"/>
  <c r="K1112" i="17"/>
  <c r="K1113" i="17"/>
  <c r="K1114" i="17"/>
  <c r="K1115" i="17"/>
  <c r="K1116" i="17"/>
  <c r="K1117" i="17"/>
  <c r="K1118" i="17"/>
  <c r="K1119" i="17"/>
  <c r="K1120" i="17"/>
  <c r="K1121" i="17"/>
  <c r="K1122" i="17"/>
  <c r="K1123" i="17"/>
  <c r="K1124" i="17"/>
  <c r="K1125" i="17"/>
  <c r="K1126" i="17"/>
  <c r="K1127" i="17"/>
  <c r="K1128" i="17"/>
  <c r="K1129" i="17"/>
  <c r="K1130" i="17"/>
  <c r="K1131" i="17"/>
  <c r="K1132" i="17"/>
  <c r="K1133" i="17"/>
  <c r="K1134" i="17"/>
  <c r="K1135" i="17"/>
  <c r="K1136" i="17"/>
  <c r="K1137" i="17"/>
  <c r="K1138" i="17"/>
  <c r="K1139" i="17"/>
  <c r="K1140" i="17"/>
  <c r="K1141" i="17"/>
  <c r="K1142" i="17"/>
  <c r="K1143" i="17"/>
  <c r="K1144" i="17"/>
  <c r="K1145" i="17"/>
  <c r="K1146" i="17"/>
  <c r="K1147" i="17"/>
  <c r="K1148" i="17"/>
  <c r="K1149" i="17"/>
  <c r="K1150" i="17"/>
  <c r="K1151" i="17"/>
  <c r="K1152" i="17"/>
  <c r="K1153" i="17"/>
  <c r="K1154" i="17"/>
  <c r="K1155" i="17"/>
  <c r="K1156" i="17"/>
  <c r="K1157" i="17"/>
  <c r="K1158" i="17"/>
  <c r="K1159" i="17"/>
  <c r="K1160" i="17"/>
  <c r="K1161" i="17"/>
  <c r="K1162" i="17"/>
  <c r="K1163" i="17"/>
  <c r="K1164" i="17"/>
  <c r="K1165" i="17"/>
  <c r="K1166" i="17"/>
  <c r="K1167" i="17"/>
  <c r="K1168" i="17"/>
  <c r="K1169" i="17"/>
  <c r="K1170" i="17"/>
  <c r="K1171" i="17"/>
  <c r="K1172" i="17"/>
  <c r="K1173" i="17"/>
  <c r="K1174" i="17"/>
  <c r="K1175" i="17"/>
  <c r="K1176" i="17"/>
  <c r="K1177" i="17"/>
  <c r="K1178" i="17"/>
  <c r="K1179" i="17"/>
  <c r="K1180" i="17"/>
  <c r="K1181" i="17"/>
  <c r="K1182" i="17"/>
  <c r="K1183" i="17"/>
  <c r="K1184" i="17"/>
  <c r="K1185" i="17"/>
  <c r="K1186" i="17"/>
  <c r="K1187" i="17"/>
  <c r="K1188" i="17"/>
  <c r="K1189" i="17"/>
  <c r="K1190" i="17"/>
  <c r="K1191" i="17"/>
  <c r="K1192" i="17"/>
  <c r="K1193" i="17"/>
  <c r="K1194" i="17"/>
  <c r="K1195" i="17"/>
  <c r="K1196" i="17"/>
  <c r="K1197" i="17"/>
  <c r="K1198" i="17"/>
  <c r="K1199" i="17"/>
  <c r="K1200" i="17"/>
  <c r="K1201" i="17"/>
  <c r="K1202" i="17"/>
  <c r="K1203" i="17"/>
  <c r="K1204" i="17"/>
  <c r="K1205" i="17"/>
  <c r="K1206" i="17"/>
  <c r="K1207" i="17"/>
  <c r="K1208" i="17"/>
  <c r="K1209" i="17"/>
  <c r="K1210" i="17"/>
  <c r="K1211" i="17"/>
  <c r="K1212" i="17"/>
  <c r="K1213" i="17"/>
  <c r="K1214" i="17"/>
  <c r="K1215" i="17"/>
  <c r="K1216" i="17"/>
  <c r="K1217" i="17"/>
  <c r="K1218" i="17"/>
  <c r="K1219" i="17"/>
  <c r="K1220" i="17"/>
  <c r="K1221" i="17"/>
  <c r="K1222" i="17"/>
  <c r="K1223" i="17"/>
  <c r="K1224" i="17"/>
  <c r="K1225" i="17"/>
  <c r="K1226" i="17"/>
  <c r="K1227" i="17"/>
  <c r="K1228" i="17"/>
  <c r="K1229" i="17"/>
  <c r="K1230" i="17"/>
  <c r="K1231" i="17"/>
  <c r="K1232" i="17"/>
  <c r="K1233" i="17"/>
  <c r="K1234" i="17"/>
  <c r="K1235" i="17"/>
  <c r="K1236" i="17"/>
  <c r="K1237" i="17"/>
  <c r="K1238" i="17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2" i="14"/>
  <c r="K733" i="14"/>
  <c r="K734" i="14"/>
  <c r="K735" i="14"/>
  <c r="K736" i="14"/>
  <c r="K737" i="14"/>
  <c r="K738" i="14"/>
  <c r="K739" i="14"/>
  <c r="K740" i="14"/>
  <c r="K741" i="14"/>
  <c r="K742" i="14"/>
  <c r="K743" i="14"/>
  <c r="K744" i="14"/>
  <c r="K745" i="14"/>
  <c r="K746" i="14"/>
  <c r="K747" i="14"/>
  <c r="K748" i="14"/>
  <c r="K749" i="14"/>
  <c r="K750" i="14"/>
  <c r="K751" i="14"/>
  <c r="K752" i="14"/>
  <c r="K753" i="14"/>
  <c r="K754" i="14"/>
  <c r="K755" i="14"/>
  <c r="K756" i="14"/>
  <c r="K757" i="14"/>
  <c r="K758" i="14"/>
  <c r="K759" i="14"/>
  <c r="K760" i="14"/>
  <c r="K761" i="14"/>
  <c r="K762" i="14"/>
  <c r="K763" i="14"/>
  <c r="K764" i="14"/>
  <c r="K765" i="14"/>
  <c r="K766" i="14"/>
  <c r="K767" i="14"/>
  <c r="K768" i="14"/>
  <c r="K769" i="14"/>
  <c r="K770" i="14"/>
  <c r="K771" i="14"/>
  <c r="K772" i="14"/>
  <c r="K773" i="14"/>
  <c r="K774" i="14"/>
  <c r="K775" i="14"/>
  <c r="K776" i="14"/>
  <c r="K777" i="14"/>
  <c r="K778" i="14"/>
  <c r="K779" i="14"/>
  <c r="K780" i="14"/>
  <c r="K781" i="14"/>
  <c r="K782" i="14"/>
  <c r="K783" i="14"/>
  <c r="K784" i="14"/>
  <c r="K785" i="14"/>
  <c r="K786" i="14"/>
  <c r="K787" i="14"/>
  <c r="K788" i="14"/>
  <c r="K789" i="14"/>
  <c r="K790" i="14"/>
  <c r="K791" i="14"/>
  <c r="K792" i="14"/>
  <c r="K793" i="14"/>
  <c r="K794" i="14"/>
  <c r="K795" i="14"/>
  <c r="K796" i="14"/>
  <c r="K797" i="14"/>
  <c r="K798" i="14"/>
  <c r="K799" i="14"/>
  <c r="K800" i="14"/>
  <c r="K801" i="14"/>
  <c r="K802" i="14"/>
  <c r="K803" i="14"/>
  <c r="K804" i="14"/>
  <c r="K805" i="14"/>
  <c r="K806" i="14"/>
  <c r="K807" i="14"/>
  <c r="K808" i="14"/>
  <c r="K809" i="14"/>
  <c r="K810" i="14"/>
  <c r="K811" i="14"/>
  <c r="K812" i="14"/>
  <c r="K813" i="14"/>
  <c r="K814" i="14"/>
  <c r="K815" i="14"/>
  <c r="K816" i="14"/>
  <c r="K817" i="14"/>
  <c r="K818" i="14"/>
  <c r="K819" i="14"/>
  <c r="K820" i="14"/>
  <c r="K821" i="14"/>
  <c r="K822" i="14"/>
  <c r="K823" i="14"/>
  <c r="K824" i="14"/>
  <c r="K825" i="14"/>
  <c r="K826" i="14"/>
  <c r="K827" i="14"/>
  <c r="K828" i="14"/>
  <c r="K829" i="14"/>
  <c r="K830" i="14"/>
  <c r="K831" i="14"/>
  <c r="K832" i="14"/>
  <c r="K833" i="14"/>
  <c r="K834" i="14"/>
  <c r="K835" i="14"/>
  <c r="K836" i="14"/>
  <c r="K837" i="14"/>
  <c r="K838" i="14"/>
  <c r="K839" i="14"/>
  <c r="K840" i="14"/>
  <c r="K841" i="14"/>
  <c r="K842" i="14"/>
  <c r="K843" i="14"/>
  <c r="K844" i="14"/>
  <c r="K845" i="14"/>
  <c r="K846" i="14"/>
  <c r="K847" i="14"/>
  <c r="K848" i="14"/>
  <c r="K849" i="14"/>
  <c r="K850" i="14"/>
  <c r="K851" i="14"/>
  <c r="K852" i="14"/>
  <c r="K853" i="14"/>
  <c r="K854" i="14"/>
  <c r="K855" i="14"/>
  <c r="K856" i="14"/>
  <c r="K857" i="14"/>
  <c r="K858" i="14"/>
  <c r="K859" i="14"/>
  <c r="K860" i="14"/>
  <c r="K861" i="14"/>
  <c r="K862" i="14"/>
  <c r="K863" i="14"/>
  <c r="K864" i="14"/>
  <c r="K865" i="14"/>
  <c r="K866" i="14"/>
  <c r="K867" i="14"/>
  <c r="K868" i="14"/>
  <c r="K869" i="14"/>
  <c r="K870" i="14"/>
  <c r="K871" i="14"/>
  <c r="K872" i="14"/>
  <c r="K873" i="14"/>
  <c r="K874" i="14"/>
  <c r="K875" i="14"/>
  <c r="K876" i="14"/>
  <c r="K877" i="14"/>
  <c r="K878" i="14"/>
  <c r="K879" i="14"/>
  <c r="K880" i="14"/>
  <c r="K881" i="14"/>
  <c r="K882" i="14"/>
  <c r="K883" i="14"/>
  <c r="K884" i="14"/>
  <c r="K885" i="14"/>
  <c r="K886" i="14"/>
  <c r="K887" i="14"/>
  <c r="K888" i="14"/>
  <c r="K889" i="14"/>
  <c r="K890" i="14"/>
  <c r="K891" i="14"/>
  <c r="K892" i="14"/>
  <c r="K893" i="14"/>
  <c r="K894" i="14"/>
  <c r="K895" i="14"/>
  <c r="K896" i="14"/>
  <c r="K897" i="14"/>
  <c r="K898" i="14"/>
  <c r="K899" i="14"/>
  <c r="K900" i="14"/>
  <c r="K901" i="14"/>
  <c r="K902" i="14"/>
  <c r="K903" i="14"/>
  <c r="K904" i="14"/>
  <c r="K905" i="14"/>
  <c r="K906" i="14"/>
  <c r="K907" i="14"/>
  <c r="K908" i="14"/>
  <c r="K909" i="14"/>
  <c r="K910" i="14"/>
  <c r="K911" i="14"/>
  <c r="K912" i="14"/>
  <c r="K913" i="14"/>
  <c r="K914" i="14"/>
  <c r="K915" i="14"/>
  <c r="K916" i="14"/>
  <c r="K917" i="14"/>
  <c r="K918" i="14"/>
  <c r="K919" i="14"/>
  <c r="K920" i="14"/>
  <c r="K921" i="14"/>
  <c r="K922" i="14"/>
  <c r="K923" i="14"/>
  <c r="K924" i="14"/>
  <c r="K925" i="14"/>
  <c r="K926" i="14"/>
  <c r="K927" i="14"/>
  <c r="K928" i="14"/>
  <c r="K929" i="14"/>
  <c r="K930" i="14"/>
  <c r="K931" i="14"/>
  <c r="K932" i="14"/>
  <c r="K933" i="14"/>
  <c r="K934" i="14"/>
  <c r="K935" i="14"/>
  <c r="K936" i="14"/>
  <c r="K937" i="14"/>
  <c r="K938" i="14"/>
  <c r="K939" i="14"/>
  <c r="K940" i="14"/>
  <c r="K941" i="14"/>
  <c r="K942" i="14"/>
  <c r="K943" i="14"/>
  <c r="K944" i="14"/>
  <c r="K945" i="14"/>
  <c r="K946" i="14"/>
  <c r="K947" i="14"/>
  <c r="K948" i="14"/>
  <c r="K949" i="14"/>
  <c r="K950" i="14"/>
  <c r="K951" i="14"/>
  <c r="K952" i="14"/>
  <c r="K953" i="14"/>
  <c r="K954" i="14"/>
  <c r="K955" i="14"/>
  <c r="K956" i="14"/>
  <c r="K957" i="14"/>
  <c r="K958" i="14"/>
  <c r="K959" i="14"/>
  <c r="K960" i="14"/>
  <c r="K961" i="14"/>
  <c r="K962" i="14"/>
  <c r="K963" i="14"/>
  <c r="K964" i="14"/>
  <c r="K965" i="14"/>
  <c r="K966" i="14"/>
  <c r="K967" i="14"/>
  <c r="K968" i="14"/>
  <c r="K969" i="14"/>
  <c r="K970" i="14"/>
  <c r="K971" i="14"/>
  <c r="K972" i="14"/>
  <c r="K973" i="14"/>
  <c r="K974" i="14"/>
  <c r="K975" i="14"/>
  <c r="K976" i="14"/>
  <c r="K977" i="14"/>
  <c r="K978" i="14"/>
  <c r="K979" i="14"/>
  <c r="K980" i="14"/>
  <c r="K981" i="14"/>
  <c r="K982" i="14"/>
  <c r="K983" i="14"/>
  <c r="K984" i="14"/>
  <c r="K985" i="14"/>
  <c r="K986" i="14"/>
  <c r="K987" i="14"/>
  <c r="K988" i="14"/>
  <c r="K989" i="14"/>
  <c r="K990" i="14"/>
  <c r="K991" i="14"/>
  <c r="K992" i="14"/>
  <c r="K993" i="14"/>
  <c r="K994" i="14"/>
  <c r="K995" i="14"/>
  <c r="K996" i="14"/>
  <c r="K997" i="14"/>
  <c r="K998" i="14"/>
  <c r="K999" i="14"/>
  <c r="K1000" i="14"/>
  <c r="K1001" i="14"/>
  <c r="K1002" i="14"/>
  <c r="K1003" i="14"/>
  <c r="K1004" i="14"/>
  <c r="K1005" i="14"/>
  <c r="K1006" i="14"/>
  <c r="K1007" i="14"/>
  <c r="K1008" i="14"/>
  <c r="K1009" i="14"/>
  <c r="K1010" i="14"/>
  <c r="K1011" i="14"/>
  <c r="K1012" i="14"/>
  <c r="K1013" i="14"/>
  <c r="K1014" i="14"/>
  <c r="K1015" i="14"/>
  <c r="K1016" i="14"/>
  <c r="K1017" i="14"/>
  <c r="K1018" i="14"/>
  <c r="K1019" i="14"/>
  <c r="K1020" i="14"/>
  <c r="K1021" i="14"/>
  <c r="K1022" i="14"/>
  <c r="K1023" i="14"/>
  <c r="K1024" i="14"/>
  <c r="K1025" i="14"/>
  <c r="K1026" i="14"/>
  <c r="K1027" i="14"/>
  <c r="K1028" i="14"/>
  <c r="K1029" i="14"/>
  <c r="K1030" i="14"/>
  <c r="K1031" i="14"/>
  <c r="K1032" i="14"/>
  <c r="K1033" i="14"/>
  <c r="K1034" i="14"/>
  <c r="K1035" i="14"/>
  <c r="K1036" i="14"/>
  <c r="K1037" i="14"/>
  <c r="K1038" i="14"/>
  <c r="K1039" i="14"/>
  <c r="K1040" i="14"/>
  <c r="K1041" i="14"/>
  <c r="K1042" i="14"/>
  <c r="K1043" i="14"/>
  <c r="K1044" i="14"/>
  <c r="K1045" i="14"/>
  <c r="K1046" i="14"/>
  <c r="K1047" i="14"/>
  <c r="K1048" i="14"/>
  <c r="K1049" i="14"/>
  <c r="K1050" i="14"/>
  <c r="K1051" i="14"/>
  <c r="K1052" i="14"/>
  <c r="K1053" i="14"/>
  <c r="K1054" i="14"/>
  <c r="K1055" i="14"/>
  <c r="K1056" i="14"/>
  <c r="K1057" i="14"/>
  <c r="K1058" i="14"/>
  <c r="K1059" i="14"/>
  <c r="K1060" i="14"/>
  <c r="K1061" i="14"/>
  <c r="K1062" i="14"/>
  <c r="K1063" i="14"/>
  <c r="K1064" i="14"/>
  <c r="K1065" i="14"/>
  <c r="K1066" i="14"/>
  <c r="K1067" i="14"/>
  <c r="K1068" i="14"/>
  <c r="K1069" i="14"/>
  <c r="K1070" i="14"/>
  <c r="K1071" i="14"/>
  <c r="K1072" i="14"/>
  <c r="K1073" i="14"/>
  <c r="K1074" i="14"/>
  <c r="K1075" i="14"/>
  <c r="K1076" i="14"/>
  <c r="K1077" i="14"/>
  <c r="K1078" i="14"/>
  <c r="K1079" i="14"/>
  <c r="K1080" i="14"/>
  <c r="K1081" i="14"/>
  <c r="K1082" i="14"/>
  <c r="K1083" i="14"/>
  <c r="K1084" i="14"/>
  <c r="K1085" i="14"/>
  <c r="K1086" i="14"/>
  <c r="K1087" i="14"/>
  <c r="K1088" i="14"/>
  <c r="K1089" i="14"/>
  <c r="K1090" i="14"/>
  <c r="K1091" i="14"/>
  <c r="K1092" i="14"/>
  <c r="K1093" i="14"/>
  <c r="K1094" i="14"/>
  <c r="K1095" i="14"/>
  <c r="K1096" i="14"/>
  <c r="K1097" i="14"/>
  <c r="K1098" i="14"/>
  <c r="K1099" i="14"/>
  <c r="K1100" i="14"/>
  <c r="K1101" i="14"/>
  <c r="K1102" i="14"/>
  <c r="K1103" i="14"/>
  <c r="K1104" i="14"/>
  <c r="K1105" i="14"/>
  <c r="K1106" i="14"/>
  <c r="K1107" i="14"/>
  <c r="K1108" i="14"/>
  <c r="K1109" i="14"/>
  <c r="K1110" i="14"/>
  <c r="K1111" i="14"/>
  <c r="K1112" i="14"/>
  <c r="K1113" i="14"/>
  <c r="K1114" i="14"/>
  <c r="K1115" i="14"/>
  <c r="K1116" i="14"/>
  <c r="K1117" i="14"/>
  <c r="K1118" i="14"/>
  <c r="K1119" i="14"/>
  <c r="K1120" i="14"/>
  <c r="K1121" i="14"/>
  <c r="K1122" i="14"/>
  <c r="K1123" i="14"/>
  <c r="K1124" i="14"/>
  <c r="K1125" i="14"/>
  <c r="K1126" i="14"/>
  <c r="K1127" i="14"/>
  <c r="K1128" i="14"/>
  <c r="K1129" i="14"/>
  <c r="K1130" i="14"/>
  <c r="K1131" i="14"/>
  <c r="K1132" i="14"/>
  <c r="K1133" i="14"/>
  <c r="K1134" i="14"/>
  <c r="K1135" i="14"/>
  <c r="K1136" i="14"/>
  <c r="K1137" i="14"/>
  <c r="K1138" i="14"/>
  <c r="K1139" i="14"/>
  <c r="K1140" i="14"/>
  <c r="K1141" i="14"/>
  <c r="K1142" i="14"/>
  <c r="K1143" i="14"/>
  <c r="K1144" i="14"/>
  <c r="K1145" i="14"/>
  <c r="K1146" i="14"/>
  <c r="K1147" i="14"/>
  <c r="K1148" i="14"/>
  <c r="K1149" i="14"/>
  <c r="K1150" i="14"/>
  <c r="K1151" i="14"/>
  <c r="K1152" i="14"/>
  <c r="K1153" i="14"/>
  <c r="K1154" i="14"/>
  <c r="K1155" i="14"/>
  <c r="K1156" i="14"/>
  <c r="K1157" i="14"/>
  <c r="K1158" i="14"/>
  <c r="K1159" i="14"/>
  <c r="K1160" i="14"/>
  <c r="K1161" i="14"/>
  <c r="K1162" i="14"/>
  <c r="K1163" i="14"/>
  <c r="K1164" i="14"/>
  <c r="K1165" i="14"/>
  <c r="K1166" i="14"/>
  <c r="K1167" i="14"/>
  <c r="K1168" i="14"/>
  <c r="K1169" i="14"/>
  <c r="K1170" i="14"/>
  <c r="K1171" i="14"/>
  <c r="K1172" i="14"/>
  <c r="K1173" i="14"/>
  <c r="K1174" i="14"/>
  <c r="K1175" i="14"/>
  <c r="K1176" i="14"/>
  <c r="K1177" i="14"/>
  <c r="K1178" i="14"/>
  <c r="K1179" i="14"/>
  <c r="K1180" i="14"/>
  <c r="K1181" i="14"/>
  <c r="K1182" i="14"/>
  <c r="K1183" i="14"/>
  <c r="K1184" i="14"/>
  <c r="K1185" i="14"/>
  <c r="K1186" i="14"/>
  <c r="K1187" i="14"/>
  <c r="K1188" i="14"/>
  <c r="K1189" i="14"/>
  <c r="K1190" i="14"/>
  <c r="K1191" i="14"/>
  <c r="K1192" i="14"/>
  <c r="K1193" i="14"/>
  <c r="K1194" i="14"/>
  <c r="K1195" i="14"/>
  <c r="K1196" i="14"/>
  <c r="K1197" i="14"/>
  <c r="K1198" i="14"/>
  <c r="K1199" i="14"/>
  <c r="K1200" i="14"/>
  <c r="K1201" i="14"/>
  <c r="K1202" i="14"/>
  <c r="K1203" i="14"/>
  <c r="K1204" i="14"/>
  <c r="K1205" i="14"/>
  <c r="K1206" i="14"/>
  <c r="K1207" i="14"/>
  <c r="K1208" i="14"/>
  <c r="K1209" i="14"/>
  <c r="K1210" i="14"/>
  <c r="K1211" i="14"/>
  <c r="K1212" i="14"/>
  <c r="K1213" i="14"/>
  <c r="K1214" i="14"/>
  <c r="K1215" i="14"/>
  <c r="K1216" i="14"/>
  <c r="K1217" i="14"/>
  <c r="K1218" i="14"/>
  <c r="K1219" i="14"/>
  <c r="K1220" i="14"/>
  <c r="K1221" i="14"/>
  <c r="K1222" i="14"/>
  <c r="K1223" i="14"/>
  <c r="K1224" i="14"/>
  <c r="K1225" i="14"/>
  <c r="K1226" i="14"/>
  <c r="K1227" i="14"/>
  <c r="K1228" i="14"/>
  <c r="K1229" i="14"/>
  <c r="K1230" i="14"/>
  <c r="K1231" i="14"/>
  <c r="K1232" i="14"/>
  <c r="K1233" i="14"/>
  <c r="K1234" i="14"/>
  <c r="K1235" i="14"/>
  <c r="K1236" i="14"/>
  <c r="K1237" i="14"/>
  <c r="K1238" i="14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63" i="17"/>
  <c r="K63" i="11"/>
  <c r="K63" i="12"/>
  <c r="K63" i="13"/>
  <c r="K63" i="14"/>
  <c r="K63" i="15"/>
  <c r="K63" i="18"/>
  <c r="L5" i="19"/>
  <c r="M5" i="19"/>
  <c r="N5" i="19"/>
  <c r="O5" i="19"/>
  <c r="P5" i="19"/>
  <c r="Q5" i="19"/>
  <c r="R5" i="19"/>
  <c r="S5" i="19"/>
  <c r="L6" i="19"/>
  <c r="M6" i="19"/>
  <c r="N6" i="19"/>
  <c r="O6" i="19"/>
  <c r="P6" i="19"/>
  <c r="Q6" i="19"/>
  <c r="R6" i="19"/>
  <c r="S6" i="19"/>
  <c r="L7" i="19"/>
  <c r="M7" i="19"/>
  <c r="N7" i="19"/>
  <c r="O7" i="19"/>
  <c r="P7" i="19"/>
  <c r="Q7" i="19"/>
  <c r="R7" i="19"/>
  <c r="S7" i="19"/>
  <c r="L8" i="19"/>
  <c r="M8" i="19"/>
  <c r="N8" i="19"/>
  <c r="O8" i="19"/>
  <c r="P8" i="19"/>
  <c r="Q8" i="19"/>
  <c r="R8" i="19"/>
  <c r="S8" i="19"/>
  <c r="L9" i="19"/>
  <c r="M9" i="19"/>
  <c r="N9" i="19"/>
  <c r="O9" i="19"/>
  <c r="P9" i="19"/>
  <c r="Q9" i="19"/>
  <c r="R9" i="19"/>
  <c r="S9" i="19"/>
  <c r="L10" i="19"/>
  <c r="M10" i="19"/>
  <c r="N10" i="19"/>
  <c r="O10" i="19"/>
  <c r="P10" i="19"/>
  <c r="Q10" i="19"/>
  <c r="R10" i="19"/>
  <c r="S10" i="19"/>
  <c r="L11" i="19"/>
  <c r="M11" i="19"/>
  <c r="N11" i="19"/>
  <c r="O11" i="19"/>
  <c r="P11" i="19"/>
  <c r="Q11" i="19"/>
  <c r="R11" i="19"/>
  <c r="S11" i="19"/>
  <c r="L12" i="19"/>
  <c r="M12" i="19"/>
  <c r="N12" i="19"/>
  <c r="O12" i="19"/>
  <c r="P12" i="19"/>
  <c r="Q12" i="19"/>
  <c r="R12" i="19"/>
  <c r="S12" i="19"/>
  <c r="L13" i="19"/>
  <c r="M13" i="19"/>
  <c r="N13" i="19"/>
  <c r="O13" i="19"/>
  <c r="P13" i="19"/>
  <c r="Q13" i="19"/>
  <c r="R13" i="19"/>
  <c r="S13" i="19"/>
  <c r="L14" i="19"/>
  <c r="M14" i="19"/>
  <c r="N14" i="19"/>
  <c r="O14" i="19"/>
  <c r="P14" i="19"/>
  <c r="Q14" i="19"/>
  <c r="R14" i="19"/>
  <c r="S14" i="19"/>
  <c r="L15" i="19"/>
  <c r="M15" i="19"/>
  <c r="N15" i="19"/>
  <c r="O15" i="19"/>
  <c r="P15" i="19"/>
  <c r="Q15" i="19"/>
  <c r="R15" i="19"/>
  <c r="S15" i="19"/>
  <c r="L16" i="19"/>
  <c r="M16" i="19"/>
  <c r="N16" i="19"/>
  <c r="O16" i="19"/>
  <c r="P16" i="19"/>
  <c r="Q16" i="19"/>
  <c r="R16" i="19"/>
  <c r="S16" i="19"/>
  <c r="L17" i="19"/>
  <c r="M17" i="19"/>
  <c r="N17" i="19"/>
  <c r="O17" i="19"/>
  <c r="P17" i="19"/>
  <c r="Q17" i="19"/>
  <c r="R17" i="19"/>
  <c r="S17" i="19"/>
  <c r="L18" i="19"/>
  <c r="M18" i="19"/>
  <c r="N18" i="19"/>
  <c r="O18" i="19"/>
  <c r="P18" i="19"/>
  <c r="Q18" i="19"/>
  <c r="R18" i="19"/>
  <c r="S18" i="19"/>
  <c r="L19" i="19"/>
  <c r="M19" i="19"/>
  <c r="N19" i="19"/>
  <c r="O19" i="19"/>
  <c r="P19" i="19"/>
  <c r="Q19" i="19"/>
  <c r="R19" i="19"/>
  <c r="S19" i="19"/>
  <c r="L20" i="19"/>
  <c r="M20" i="19"/>
  <c r="N20" i="19"/>
  <c r="O20" i="19"/>
  <c r="P20" i="19"/>
  <c r="Q20" i="19"/>
  <c r="R20" i="19"/>
  <c r="S20" i="19"/>
  <c r="L21" i="19"/>
  <c r="M21" i="19"/>
  <c r="N21" i="19"/>
  <c r="O21" i="19"/>
  <c r="P21" i="19"/>
  <c r="Q21" i="19"/>
  <c r="R21" i="19"/>
  <c r="S21" i="19"/>
  <c r="L22" i="19"/>
  <c r="M22" i="19"/>
  <c r="N22" i="19"/>
  <c r="O22" i="19"/>
  <c r="P22" i="19"/>
  <c r="Q22" i="19"/>
  <c r="R22" i="19"/>
  <c r="S22" i="19"/>
  <c r="L23" i="19"/>
  <c r="M23" i="19"/>
  <c r="N23" i="19"/>
  <c r="O23" i="19"/>
  <c r="P23" i="19"/>
  <c r="Q23" i="19"/>
  <c r="R23" i="19"/>
  <c r="S23" i="19"/>
  <c r="L24" i="19"/>
  <c r="M24" i="19"/>
  <c r="N24" i="19"/>
  <c r="O24" i="19"/>
  <c r="P24" i="19"/>
  <c r="Q24" i="19"/>
  <c r="R24" i="19"/>
  <c r="S24" i="19"/>
  <c r="L25" i="19"/>
  <c r="M25" i="19"/>
  <c r="N25" i="19"/>
  <c r="O25" i="19"/>
  <c r="P25" i="19"/>
  <c r="Q25" i="19"/>
  <c r="R25" i="19"/>
  <c r="S25" i="19"/>
  <c r="L26" i="19"/>
  <c r="M26" i="19"/>
  <c r="N26" i="19"/>
  <c r="O26" i="19"/>
  <c r="P26" i="19"/>
  <c r="Q26" i="19"/>
  <c r="R26" i="19"/>
  <c r="S26" i="19"/>
  <c r="L27" i="19"/>
  <c r="M27" i="19"/>
  <c r="N27" i="19"/>
  <c r="O27" i="19"/>
  <c r="P27" i="19"/>
  <c r="Q27" i="19"/>
  <c r="R27" i="19"/>
  <c r="S27" i="19"/>
  <c r="L28" i="19"/>
  <c r="M28" i="19"/>
  <c r="N28" i="19"/>
  <c r="O28" i="19"/>
  <c r="P28" i="19"/>
  <c r="Q28" i="19"/>
  <c r="R28" i="19"/>
  <c r="S28" i="19"/>
  <c r="L29" i="19"/>
  <c r="M29" i="19"/>
  <c r="N29" i="19"/>
  <c r="O29" i="19"/>
  <c r="P29" i="19"/>
  <c r="Q29" i="19"/>
  <c r="R29" i="19"/>
  <c r="S29" i="19"/>
  <c r="L30" i="19"/>
  <c r="M30" i="19"/>
  <c r="N30" i="19"/>
  <c r="O30" i="19"/>
  <c r="P30" i="19"/>
  <c r="Q30" i="19"/>
  <c r="R30" i="19"/>
  <c r="S30" i="19"/>
  <c r="L31" i="19"/>
  <c r="M31" i="19"/>
  <c r="N31" i="19"/>
  <c r="O31" i="19"/>
  <c r="P31" i="19"/>
  <c r="Q31" i="19"/>
  <c r="R31" i="19"/>
  <c r="S31" i="19"/>
  <c r="L32" i="19"/>
  <c r="M32" i="19"/>
  <c r="N32" i="19"/>
  <c r="O32" i="19"/>
  <c r="P32" i="19"/>
  <c r="Q32" i="19"/>
  <c r="R32" i="19"/>
  <c r="S32" i="19"/>
  <c r="L33" i="19"/>
  <c r="M33" i="19"/>
  <c r="N33" i="19"/>
  <c r="O33" i="19"/>
  <c r="P33" i="19"/>
  <c r="Q33" i="19"/>
  <c r="R33" i="19"/>
  <c r="S33" i="19"/>
  <c r="L34" i="19"/>
  <c r="M34" i="19"/>
  <c r="N34" i="19"/>
  <c r="O34" i="19"/>
  <c r="P34" i="19"/>
  <c r="Q34" i="19"/>
  <c r="R34" i="19"/>
  <c r="S34" i="19"/>
  <c r="L35" i="19"/>
  <c r="M35" i="19"/>
  <c r="N35" i="19"/>
  <c r="O35" i="19"/>
  <c r="P35" i="19"/>
  <c r="Q35" i="19"/>
  <c r="R35" i="19"/>
  <c r="S35" i="19"/>
  <c r="L36" i="19"/>
  <c r="M36" i="19"/>
  <c r="N36" i="19"/>
  <c r="O36" i="19"/>
  <c r="P36" i="19"/>
  <c r="Q36" i="19"/>
  <c r="R36" i="19"/>
  <c r="S36" i="19"/>
  <c r="L37" i="19"/>
  <c r="M37" i="19"/>
  <c r="N37" i="19"/>
  <c r="O37" i="19"/>
  <c r="P37" i="19"/>
  <c r="Q37" i="19"/>
  <c r="R37" i="19"/>
  <c r="S37" i="19"/>
  <c r="L38" i="19"/>
  <c r="M38" i="19"/>
  <c r="N38" i="19"/>
  <c r="O38" i="19"/>
  <c r="P38" i="19"/>
  <c r="Q38" i="19"/>
  <c r="R38" i="19"/>
  <c r="S38" i="19"/>
  <c r="L39" i="19"/>
  <c r="M39" i="19"/>
  <c r="N39" i="19"/>
  <c r="O39" i="19"/>
  <c r="P39" i="19"/>
  <c r="Q39" i="19"/>
  <c r="R39" i="19"/>
  <c r="S39" i="19"/>
  <c r="L40" i="19"/>
  <c r="M40" i="19"/>
  <c r="N40" i="19"/>
  <c r="O40" i="19"/>
  <c r="P40" i="19"/>
  <c r="Q40" i="19"/>
  <c r="R40" i="19"/>
  <c r="S40" i="19"/>
  <c r="L41" i="19"/>
  <c r="M41" i="19"/>
  <c r="N41" i="19"/>
  <c r="O41" i="19"/>
  <c r="P41" i="19"/>
  <c r="Q41" i="19"/>
  <c r="R41" i="19"/>
  <c r="S41" i="19"/>
  <c r="L42" i="19"/>
  <c r="M42" i="19"/>
  <c r="N42" i="19"/>
  <c r="O42" i="19"/>
  <c r="P42" i="19"/>
  <c r="Q42" i="19"/>
  <c r="R42" i="19"/>
  <c r="S42" i="19"/>
  <c r="L43" i="19"/>
  <c r="M43" i="19"/>
  <c r="N43" i="19"/>
  <c r="O43" i="19"/>
  <c r="P43" i="19"/>
  <c r="Q43" i="19"/>
  <c r="R43" i="19"/>
  <c r="S43" i="19"/>
  <c r="L44" i="19"/>
  <c r="M44" i="19"/>
  <c r="N44" i="19"/>
  <c r="O44" i="19"/>
  <c r="P44" i="19"/>
  <c r="Q44" i="19"/>
  <c r="R44" i="19"/>
  <c r="S44" i="19"/>
  <c r="L45" i="19"/>
  <c r="M45" i="19"/>
  <c r="N45" i="19"/>
  <c r="O45" i="19"/>
  <c r="P45" i="19"/>
  <c r="Q45" i="19"/>
  <c r="R45" i="19"/>
  <c r="S45" i="19"/>
  <c r="L46" i="19"/>
  <c r="M46" i="19"/>
  <c r="N46" i="19"/>
  <c r="O46" i="19"/>
  <c r="P46" i="19"/>
  <c r="Q46" i="19"/>
  <c r="R46" i="19"/>
  <c r="S46" i="19"/>
  <c r="L47" i="19"/>
  <c r="M47" i="19"/>
  <c r="N47" i="19"/>
  <c r="O47" i="19"/>
  <c r="P47" i="19"/>
  <c r="Q47" i="19"/>
  <c r="R47" i="19"/>
  <c r="S47" i="19"/>
  <c r="L48" i="19"/>
  <c r="M48" i="19"/>
  <c r="N48" i="19"/>
  <c r="O48" i="19"/>
  <c r="P48" i="19"/>
  <c r="Q48" i="19"/>
  <c r="R48" i="19"/>
  <c r="S48" i="19"/>
  <c r="L49" i="19"/>
  <c r="M49" i="19"/>
  <c r="N49" i="19"/>
  <c r="O49" i="19"/>
  <c r="P49" i="19"/>
  <c r="Q49" i="19"/>
  <c r="R49" i="19"/>
  <c r="S49" i="19"/>
  <c r="L50" i="19"/>
  <c r="M50" i="19"/>
  <c r="N50" i="19"/>
  <c r="O50" i="19"/>
  <c r="P50" i="19"/>
  <c r="Q50" i="19"/>
  <c r="R50" i="19"/>
  <c r="S50" i="19"/>
  <c r="L51" i="19"/>
  <c r="M51" i="19"/>
  <c r="N51" i="19"/>
  <c r="O51" i="19"/>
  <c r="P51" i="19"/>
  <c r="Q51" i="19"/>
  <c r="R51" i="19"/>
  <c r="S51" i="19"/>
  <c r="L52" i="19"/>
  <c r="M52" i="19"/>
  <c r="N52" i="19"/>
  <c r="O52" i="19"/>
  <c r="P52" i="19"/>
  <c r="Q52" i="19"/>
  <c r="R52" i="19"/>
  <c r="S52" i="19"/>
  <c r="L53" i="19"/>
  <c r="M53" i="19"/>
  <c r="N53" i="19"/>
  <c r="O53" i="19"/>
  <c r="P53" i="19"/>
  <c r="Q53" i="19"/>
  <c r="R53" i="19"/>
  <c r="S53" i="19"/>
  <c r="L54" i="19"/>
  <c r="M54" i="19"/>
  <c r="N54" i="19"/>
  <c r="O54" i="19"/>
  <c r="P54" i="19"/>
  <c r="Q54" i="19"/>
  <c r="R54" i="19"/>
  <c r="S54" i="19"/>
  <c r="L55" i="19"/>
  <c r="M55" i="19"/>
  <c r="N55" i="19"/>
  <c r="O55" i="19"/>
  <c r="P55" i="19"/>
  <c r="Q55" i="19"/>
  <c r="R55" i="19"/>
  <c r="S55" i="19"/>
  <c r="L56" i="19"/>
  <c r="M56" i="19"/>
  <c r="N56" i="19"/>
  <c r="O56" i="19"/>
  <c r="P56" i="19"/>
  <c r="Q56" i="19"/>
  <c r="R56" i="19"/>
  <c r="S56" i="19"/>
  <c r="L57" i="19"/>
  <c r="M57" i="19"/>
  <c r="N57" i="19"/>
  <c r="O57" i="19"/>
  <c r="P57" i="19"/>
  <c r="Q57" i="19"/>
  <c r="R57" i="19"/>
  <c r="S57" i="19"/>
  <c r="L58" i="19"/>
  <c r="M58" i="19"/>
  <c r="N58" i="19"/>
  <c r="O58" i="19"/>
  <c r="P58" i="19"/>
  <c r="Q58" i="19"/>
  <c r="R58" i="19"/>
  <c r="S58" i="19"/>
  <c r="L59" i="19"/>
  <c r="M59" i="19"/>
  <c r="N59" i="19"/>
  <c r="O59" i="19"/>
  <c r="P59" i="19"/>
  <c r="Q59" i="19"/>
  <c r="R59" i="19"/>
  <c r="S59" i="19"/>
  <c r="L60" i="19"/>
  <c r="M60" i="19"/>
  <c r="N60" i="19"/>
  <c r="O60" i="19"/>
  <c r="P60" i="19"/>
  <c r="Q60" i="19"/>
  <c r="R60" i="19"/>
  <c r="S60" i="19"/>
  <c r="L61" i="19"/>
  <c r="M61" i="19"/>
  <c r="N61" i="19"/>
  <c r="O61" i="19"/>
  <c r="P61" i="19"/>
  <c r="Q61" i="19"/>
  <c r="R61" i="19"/>
  <c r="S61" i="19"/>
  <c r="L62" i="19"/>
  <c r="M62" i="19"/>
  <c r="N62" i="19"/>
  <c r="O62" i="19"/>
  <c r="P62" i="19"/>
  <c r="Q62" i="19"/>
  <c r="R62" i="19"/>
  <c r="S62" i="19"/>
  <c r="L63" i="19"/>
  <c r="M63" i="19"/>
  <c r="N63" i="19"/>
  <c r="O63" i="19"/>
  <c r="P63" i="19"/>
  <c r="Q63" i="19"/>
  <c r="R63" i="19"/>
  <c r="S63" i="19"/>
  <c r="L64" i="19"/>
  <c r="M64" i="19"/>
  <c r="N64" i="19"/>
  <c r="O64" i="19"/>
  <c r="P64" i="19"/>
  <c r="Q64" i="19"/>
  <c r="R64" i="19"/>
  <c r="S64" i="19"/>
  <c r="L65" i="19"/>
  <c r="M65" i="19"/>
  <c r="N65" i="19"/>
  <c r="O65" i="19"/>
  <c r="P65" i="19"/>
  <c r="Q65" i="19"/>
  <c r="R65" i="19"/>
  <c r="S65" i="19"/>
  <c r="L66" i="19"/>
  <c r="M66" i="19"/>
  <c r="N66" i="19"/>
  <c r="O66" i="19"/>
  <c r="P66" i="19"/>
  <c r="Q66" i="19"/>
  <c r="R66" i="19"/>
  <c r="S66" i="19"/>
  <c r="L67" i="19"/>
  <c r="M67" i="19"/>
  <c r="N67" i="19"/>
  <c r="O67" i="19"/>
  <c r="P67" i="19"/>
  <c r="Q67" i="19"/>
  <c r="R67" i="19"/>
  <c r="S67" i="19"/>
  <c r="L68" i="19"/>
  <c r="M68" i="19"/>
  <c r="N68" i="19"/>
  <c r="O68" i="19"/>
  <c r="P68" i="19"/>
  <c r="Q68" i="19"/>
  <c r="R68" i="19"/>
  <c r="S68" i="19"/>
  <c r="L69" i="19"/>
  <c r="M69" i="19"/>
  <c r="N69" i="19"/>
  <c r="O69" i="19"/>
  <c r="P69" i="19"/>
  <c r="Q69" i="19"/>
  <c r="R69" i="19"/>
  <c r="S69" i="19"/>
  <c r="L70" i="19"/>
  <c r="M70" i="19"/>
  <c r="N70" i="19"/>
  <c r="O70" i="19"/>
  <c r="P70" i="19"/>
  <c r="Q70" i="19"/>
  <c r="R70" i="19"/>
  <c r="S70" i="19"/>
  <c r="L71" i="19"/>
  <c r="M71" i="19"/>
  <c r="N71" i="19"/>
  <c r="O71" i="19"/>
  <c r="P71" i="19"/>
  <c r="Q71" i="19"/>
  <c r="R71" i="19"/>
  <c r="S71" i="19"/>
  <c r="L72" i="19"/>
  <c r="M72" i="19"/>
  <c r="N72" i="19"/>
  <c r="O72" i="19"/>
  <c r="P72" i="19"/>
  <c r="Q72" i="19"/>
  <c r="R72" i="19"/>
  <c r="S72" i="19"/>
  <c r="L73" i="19"/>
  <c r="M73" i="19"/>
  <c r="N73" i="19"/>
  <c r="O73" i="19"/>
  <c r="P73" i="19"/>
  <c r="Q73" i="19"/>
  <c r="R73" i="19"/>
  <c r="S73" i="19"/>
  <c r="L74" i="19"/>
  <c r="M74" i="19"/>
  <c r="N74" i="19"/>
  <c r="O74" i="19"/>
  <c r="P74" i="19"/>
  <c r="Q74" i="19"/>
  <c r="R74" i="19"/>
  <c r="S74" i="19"/>
  <c r="L75" i="19"/>
  <c r="M75" i="19"/>
  <c r="N75" i="19"/>
  <c r="O75" i="19"/>
  <c r="P75" i="19"/>
  <c r="Q75" i="19"/>
  <c r="R75" i="19"/>
  <c r="S75" i="19"/>
  <c r="L76" i="19"/>
  <c r="M76" i="19"/>
  <c r="N76" i="19"/>
  <c r="O76" i="19"/>
  <c r="P76" i="19"/>
  <c r="Q76" i="19"/>
  <c r="R76" i="19"/>
  <c r="S76" i="19"/>
  <c r="L77" i="19"/>
  <c r="M77" i="19"/>
  <c r="N77" i="19"/>
  <c r="O77" i="19"/>
  <c r="P77" i="19"/>
  <c r="Q77" i="19"/>
  <c r="R77" i="19"/>
  <c r="S77" i="19"/>
  <c r="L78" i="19"/>
  <c r="M78" i="19"/>
  <c r="N78" i="19"/>
  <c r="O78" i="19"/>
  <c r="P78" i="19"/>
  <c r="Q78" i="19"/>
  <c r="R78" i="19"/>
  <c r="S78" i="19"/>
  <c r="L79" i="19"/>
  <c r="M79" i="19"/>
  <c r="N79" i="19"/>
  <c r="O79" i="19"/>
  <c r="P79" i="19"/>
  <c r="Q79" i="19"/>
  <c r="R79" i="19"/>
  <c r="S79" i="19"/>
  <c r="L80" i="19"/>
  <c r="M80" i="19"/>
  <c r="N80" i="19"/>
  <c r="O80" i="19"/>
  <c r="P80" i="19"/>
  <c r="Q80" i="19"/>
  <c r="R80" i="19"/>
  <c r="S80" i="19"/>
  <c r="L81" i="19"/>
  <c r="M81" i="19"/>
  <c r="N81" i="19"/>
  <c r="O81" i="19"/>
  <c r="P81" i="19"/>
  <c r="Q81" i="19"/>
  <c r="R81" i="19"/>
  <c r="S81" i="19"/>
  <c r="L82" i="19"/>
  <c r="M82" i="19"/>
  <c r="N82" i="19"/>
  <c r="O82" i="19"/>
  <c r="P82" i="19"/>
  <c r="Q82" i="19"/>
  <c r="R82" i="19"/>
  <c r="S82" i="19"/>
  <c r="L83" i="19"/>
  <c r="M83" i="19"/>
  <c r="N83" i="19"/>
  <c r="O83" i="19"/>
  <c r="P83" i="19"/>
  <c r="Q83" i="19"/>
  <c r="R83" i="19"/>
  <c r="S83" i="19"/>
  <c r="L84" i="19"/>
  <c r="M84" i="19"/>
  <c r="N84" i="19"/>
  <c r="O84" i="19"/>
  <c r="P84" i="19"/>
  <c r="Q84" i="19"/>
  <c r="R84" i="19"/>
  <c r="S84" i="19"/>
  <c r="L85" i="19"/>
  <c r="M85" i="19"/>
  <c r="N85" i="19"/>
  <c r="O85" i="19"/>
  <c r="P85" i="19"/>
  <c r="Q85" i="19"/>
  <c r="R85" i="19"/>
  <c r="S85" i="19"/>
  <c r="L86" i="19"/>
  <c r="M86" i="19"/>
  <c r="N86" i="19"/>
  <c r="O86" i="19"/>
  <c r="P86" i="19"/>
  <c r="Q86" i="19"/>
  <c r="R86" i="19"/>
  <c r="S86" i="19"/>
  <c r="L87" i="19"/>
  <c r="M87" i="19"/>
  <c r="N87" i="19"/>
  <c r="O87" i="19"/>
  <c r="P87" i="19"/>
  <c r="Q87" i="19"/>
  <c r="R87" i="19"/>
  <c r="S87" i="19"/>
  <c r="L88" i="19"/>
  <c r="M88" i="19"/>
  <c r="N88" i="19"/>
  <c r="O88" i="19"/>
  <c r="P88" i="19"/>
  <c r="Q88" i="19"/>
  <c r="R88" i="19"/>
  <c r="S88" i="19"/>
  <c r="L89" i="19"/>
  <c r="M89" i="19"/>
  <c r="N89" i="19"/>
  <c r="O89" i="19"/>
  <c r="P89" i="19"/>
  <c r="Q89" i="19"/>
  <c r="R89" i="19"/>
  <c r="S89" i="19"/>
  <c r="L90" i="19"/>
  <c r="M90" i="19"/>
  <c r="N90" i="19"/>
  <c r="O90" i="19"/>
  <c r="P90" i="19"/>
  <c r="Q90" i="19"/>
  <c r="R90" i="19"/>
  <c r="S90" i="19"/>
  <c r="L91" i="19"/>
  <c r="M91" i="19"/>
  <c r="N91" i="19"/>
  <c r="O91" i="19"/>
  <c r="P91" i="19"/>
  <c r="Q91" i="19"/>
  <c r="R91" i="19"/>
  <c r="S91" i="19"/>
  <c r="L92" i="19"/>
  <c r="M92" i="19"/>
  <c r="N92" i="19"/>
  <c r="O92" i="19"/>
  <c r="P92" i="19"/>
  <c r="Q92" i="19"/>
  <c r="R92" i="19"/>
  <c r="S92" i="19"/>
  <c r="L93" i="19"/>
  <c r="M93" i="19"/>
  <c r="N93" i="19"/>
  <c r="O93" i="19"/>
  <c r="P93" i="19"/>
  <c r="Q93" i="19"/>
  <c r="R93" i="19"/>
  <c r="S93" i="19"/>
  <c r="L94" i="19"/>
  <c r="M94" i="19"/>
  <c r="N94" i="19"/>
  <c r="O94" i="19"/>
  <c r="P94" i="19"/>
  <c r="Q94" i="19"/>
  <c r="R94" i="19"/>
  <c r="S94" i="19"/>
  <c r="L95" i="19"/>
  <c r="M95" i="19"/>
  <c r="N95" i="19"/>
  <c r="O95" i="19"/>
  <c r="P95" i="19"/>
  <c r="Q95" i="19"/>
  <c r="R95" i="19"/>
  <c r="S95" i="19"/>
  <c r="L96" i="19"/>
  <c r="M96" i="19"/>
  <c r="N96" i="19"/>
  <c r="O96" i="19"/>
  <c r="P96" i="19"/>
  <c r="Q96" i="19"/>
  <c r="R96" i="19"/>
  <c r="S96" i="19"/>
  <c r="L97" i="19"/>
  <c r="M97" i="19"/>
  <c r="N97" i="19"/>
  <c r="O97" i="19"/>
  <c r="P97" i="19"/>
  <c r="Q97" i="19"/>
  <c r="R97" i="19"/>
  <c r="S97" i="19"/>
  <c r="L98" i="19"/>
  <c r="M98" i="19"/>
  <c r="N98" i="19"/>
  <c r="O98" i="19"/>
  <c r="P98" i="19"/>
  <c r="Q98" i="19"/>
  <c r="R98" i="19"/>
  <c r="S98" i="19"/>
  <c r="L99" i="19"/>
  <c r="M99" i="19"/>
  <c r="N99" i="19"/>
  <c r="O99" i="19"/>
  <c r="P99" i="19"/>
  <c r="Q99" i="19"/>
  <c r="R99" i="19"/>
  <c r="S99" i="19"/>
  <c r="L100" i="19"/>
  <c r="M100" i="19"/>
  <c r="N100" i="19"/>
  <c r="O100" i="19"/>
  <c r="P100" i="19"/>
  <c r="Q100" i="19"/>
  <c r="R100" i="19"/>
  <c r="S100" i="19"/>
  <c r="L101" i="19"/>
  <c r="M101" i="19"/>
  <c r="N101" i="19"/>
  <c r="O101" i="19"/>
  <c r="P101" i="19"/>
  <c r="Q101" i="19"/>
  <c r="R101" i="19"/>
  <c r="S101" i="19"/>
  <c r="L102" i="19"/>
  <c r="M102" i="19"/>
  <c r="N102" i="19"/>
  <c r="O102" i="19"/>
  <c r="P102" i="19"/>
  <c r="Q102" i="19"/>
  <c r="R102" i="19"/>
  <c r="S102" i="19"/>
  <c r="L103" i="19"/>
  <c r="M103" i="19"/>
  <c r="N103" i="19"/>
  <c r="O103" i="19"/>
  <c r="P103" i="19"/>
  <c r="Q103" i="19"/>
  <c r="R103" i="19"/>
  <c r="S103" i="19"/>
  <c r="L104" i="19"/>
  <c r="M104" i="19"/>
  <c r="N104" i="19"/>
  <c r="O104" i="19"/>
  <c r="P104" i="19"/>
  <c r="Q104" i="19"/>
  <c r="R104" i="19"/>
  <c r="S104" i="19"/>
  <c r="L105" i="19"/>
  <c r="M105" i="19"/>
  <c r="N105" i="19"/>
  <c r="O105" i="19"/>
  <c r="P105" i="19"/>
  <c r="Q105" i="19"/>
  <c r="R105" i="19"/>
  <c r="S105" i="19"/>
  <c r="L106" i="19"/>
  <c r="M106" i="19"/>
  <c r="N106" i="19"/>
  <c r="O106" i="19"/>
  <c r="P106" i="19"/>
  <c r="Q106" i="19"/>
  <c r="R106" i="19"/>
  <c r="S106" i="19"/>
  <c r="L107" i="19"/>
  <c r="M107" i="19"/>
  <c r="N107" i="19"/>
  <c r="O107" i="19"/>
  <c r="P107" i="19"/>
  <c r="Q107" i="19"/>
  <c r="R107" i="19"/>
  <c r="S107" i="19"/>
  <c r="L108" i="19"/>
  <c r="M108" i="19"/>
  <c r="N108" i="19"/>
  <c r="O108" i="19"/>
  <c r="P108" i="19"/>
  <c r="Q108" i="19"/>
  <c r="R108" i="19"/>
  <c r="S108" i="19"/>
  <c r="L109" i="19"/>
  <c r="M109" i="19"/>
  <c r="N109" i="19"/>
  <c r="O109" i="19"/>
  <c r="P109" i="19"/>
  <c r="Q109" i="19"/>
  <c r="R109" i="19"/>
  <c r="S109" i="19"/>
  <c r="L110" i="19"/>
  <c r="M110" i="19"/>
  <c r="N110" i="19"/>
  <c r="O110" i="19"/>
  <c r="P110" i="19"/>
  <c r="Q110" i="19"/>
  <c r="R110" i="19"/>
  <c r="S110" i="19"/>
  <c r="L111" i="19"/>
  <c r="M111" i="19"/>
  <c r="N111" i="19"/>
  <c r="O111" i="19"/>
  <c r="P111" i="19"/>
  <c r="Q111" i="19"/>
  <c r="R111" i="19"/>
  <c r="S111" i="19"/>
  <c r="L112" i="19"/>
  <c r="M112" i="19"/>
  <c r="N112" i="19"/>
  <c r="O112" i="19"/>
  <c r="P112" i="19"/>
  <c r="Q112" i="19"/>
  <c r="R112" i="19"/>
  <c r="S112" i="19"/>
  <c r="L113" i="19"/>
  <c r="M113" i="19"/>
  <c r="N113" i="19"/>
  <c r="O113" i="19"/>
  <c r="P113" i="19"/>
  <c r="Q113" i="19"/>
  <c r="R113" i="19"/>
  <c r="S113" i="19"/>
  <c r="L114" i="19"/>
  <c r="M114" i="19"/>
  <c r="N114" i="19"/>
  <c r="O114" i="19"/>
  <c r="P114" i="19"/>
  <c r="Q114" i="19"/>
  <c r="R114" i="19"/>
  <c r="S114" i="19"/>
  <c r="L115" i="19"/>
  <c r="M115" i="19"/>
  <c r="N115" i="19"/>
  <c r="O115" i="19"/>
  <c r="P115" i="19"/>
  <c r="Q115" i="19"/>
  <c r="R115" i="19"/>
  <c r="S115" i="19"/>
  <c r="L116" i="19"/>
  <c r="M116" i="19"/>
  <c r="N116" i="19"/>
  <c r="O116" i="19"/>
  <c r="P116" i="19"/>
  <c r="Q116" i="19"/>
  <c r="R116" i="19"/>
  <c r="S116" i="19"/>
  <c r="L117" i="19"/>
  <c r="M117" i="19"/>
  <c r="N117" i="19"/>
  <c r="O117" i="19"/>
  <c r="P117" i="19"/>
  <c r="Q117" i="19"/>
  <c r="R117" i="19"/>
  <c r="S117" i="19"/>
  <c r="L118" i="19"/>
  <c r="M118" i="19"/>
  <c r="N118" i="19"/>
  <c r="O118" i="19"/>
  <c r="P118" i="19"/>
  <c r="Q118" i="19"/>
  <c r="R118" i="19"/>
  <c r="S118" i="19"/>
  <c r="L119" i="19"/>
  <c r="M119" i="19"/>
  <c r="N119" i="19"/>
  <c r="O119" i="19"/>
  <c r="P119" i="19"/>
  <c r="Q119" i="19"/>
  <c r="R119" i="19"/>
  <c r="S119" i="19"/>
  <c r="L120" i="19"/>
  <c r="M120" i="19"/>
  <c r="N120" i="19"/>
  <c r="O120" i="19"/>
  <c r="P120" i="19"/>
  <c r="Q120" i="19"/>
  <c r="R120" i="19"/>
  <c r="S120" i="19"/>
  <c r="L121" i="19"/>
  <c r="M121" i="19"/>
  <c r="N121" i="19"/>
  <c r="O121" i="19"/>
  <c r="P121" i="19"/>
  <c r="Q121" i="19"/>
  <c r="R121" i="19"/>
  <c r="S121" i="19"/>
  <c r="L122" i="19"/>
  <c r="M122" i="19"/>
  <c r="N122" i="19"/>
  <c r="O122" i="19"/>
  <c r="P122" i="19"/>
  <c r="Q122" i="19"/>
  <c r="R122" i="19"/>
  <c r="S122" i="19"/>
  <c r="L123" i="19"/>
  <c r="M123" i="19"/>
  <c r="N123" i="19"/>
  <c r="O123" i="19"/>
  <c r="P123" i="19"/>
  <c r="Q123" i="19"/>
  <c r="R123" i="19"/>
  <c r="S123" i="19"/>
  <c r="L124" i="19"/>
  <c r="M124" i="19"/>
  <c r="N124" i="19"/>
  <c r="O124" i="19"/>
  <c r="P124" i="19"/>
  <c r="Q124" i="19"/>
  <c r="R124" i="19"/>
  <c r="S124" i="19"/>
  <c r="L125" i="19"/>
  <c r="M125" i="19"/>
  <c r="N125" i="19"/>
  <c r="O125" i="19"/>
  <c r="P125" i="19"/>
  <c r="Q125" i="19"/>
  <c r="R125" i="19"/>
  <c r="S125" i="19"/>
  <c r="L126" i="19"/>
  <c r="M126" i="19"/>
  <c r="N126" i="19"/>
  <c r="O126" i="19"/>
  <c r="P126" i="19"/>
  <c r="Q126" i="19"/>
  <c r="R126" i="19"/>
  <c r="S126" i="19"/>
  <c r="L127" i="19"/>
  <c r="M127" i="19"/>
  <c r="N127" i="19"/>
  <c r="O127" i="19"/>
  <c r="P127" i="19"/>
  <c r="Q127" i="19"/>
  <c r="R127" i="19"/>
  <c r="S127" i="19"/>
  <c r="L128" i="19"/>
  <c r="M128" i="19"/>
  <c r="N128" i="19"/>
  <c r="O128" i="19"/>
  <c r="P128" i="19"/>
  <c r="Q128" i="19"/>
  <c r="R128" i="19"/>
  <c r="S128" i="19"/>
  <c r="L129" i="19"/>
  <c r="M129" i="19"/>
  <c r="N129" i="19"/>
  <c r="O129" i="19"/>
  <c r="P129" i="19"/>
  <c r="Q129" i="19"/>
  <c r="R129" i="19"/>
  <c r="S129" i="19"/>
  <c r="L130" i="19"/>
  <c r="M130" i="19"/>
  <c r="N130" i="19"/>
  <c r="O130" i="19"/>
  <c r="P130" i="19"/>
  <c r="Q130" i="19"/>
  <c r="R130" i="19"/>
  <c r="S130" i="19"/>
  <c r="L131" i="19"/>
  <c r="M131" i="19"/>
  <c r="N131" i="19"/>
  <c r="O131" i="19"/>
  <c r="P131" i="19"/>
  <c r="Q131" i="19"/>
  <c r="R131" i="19"/>
  <c r="S131" i="19"/>
  <c r="L132" i="19"/>
  <c r="M132" i="19"/>
  <c r="N132" i="19"/>
  <c r="O132" i="19"/>
  <c r="P132" i="19"/>
  <c r="Q132" i="19"/>
  <c r="R132" i="19"/>
  <c r="S132" i="19"/>
  <c r="L133" i="19"/>
  <c r="M133" i="19"/>
  <c r="N133" i="19"/>
  <c r="O133" i="19"/>
  <c r="P133" i="19"/>
  <c r="Q133" i="19"/>
  <c r="R133" i="19"/>
  <c r="S133" i="19"/>
  <c r="L134" i="19"/>
  <c r="M134" i="19"/>
  <c r="N134" i="19"/>
  <c r="O134" i="19"/>
  <c r="P134" i="19"/>
  <c r="Q134" i="19"/>
  <c r="R134" i="19"/>
  <c r="S134" i="19"/>
  <c r="L135" i="19"/>
  <c r="M135" i="19"/>
  <c r="N135" i="19"/>
  <c r="O135" i="19"/>
  <c r="P135" i="19"/>
  <c r="Q135" i="19"/>
  <c r="R135" i="19"/>
  <c r="S135" i="19"/>
  <c r="L136" i="19"/>
  <c r="M136" i="19"/>
  <c r="N136" i="19"/>
  <c r="O136" i="19"/>
  <c r="P136" i="19"/>
  <c r="Q136" i="19"/>
  <c r="R136" i="19"/>
  <c r="S136" i="19"/>
  <c r="L137" i="19"/>
  <c r="M137" i="19"/>
  <c r="N137" i="19"/>
  <c r="O137" i="19"/>
  <c r="P137" i="19"/>
  <c r="Q137" i="19"/>
  <c r="R137" i="19"/>
  <c r="S137" i="19"/>
  <c r="L138" i="19"/>
  <c r="M138" i="19"/>
  <c r="N138" i="19"/>
  <c r="O138" i="19"/>
  <c r="P138" i="19"/>
  <c r="Q138" i="19"/>
  <c r="R138" i="19"/>
  <c r="S138" i="19"/>
  <c r="L139" i="19"/>
  <c r="M139" i="19"/>
  <c r="N139" i="19"/>
  <c r="O139" i="19"/>
  <c r="P139" i="19"/>
  <c r="Q139" i="19"/>
  <c r="R139" i="19"/>
  <c r="S139" i="19"/>
  <c r="L140" i="19"/>
  <c r="M140" i="19"/>
  <c r="N140" i="19"/>
  <c r="O140" i="19"/>
  <c r="P140" i="19"/>
  <c r="Q140" i="19"/>
  <c r="R140" i="19"/>
  <c r="S140" i="19"/>
  <c r="L141" i="19"/>
  <c r="M141" i="19"/>
  <c r="N141" i="19"/>
  <c r="O141" i="19"/>
  <c r="P141" i="19"/>
  <c r="Q141" i="19"/>
  <c r="R141" i="19"/>
  <c r="S141" i="19"/>
  <c r="L142" i="19"/>
  <c r="M142" i="19"/>
  <c r="N142" i="19"/>
  <c r="O142" i="19"/>
  <c r="P142" i="19"/>
  <c r="Q142" i="19"/>
  <c r="R142" i="19"/>
  <c r="S142" i="19"/>
  <c r="L143" i="19"/>
  <c r="M143" i="19"/>
  <c r="N143" i="19"/>
  <c r="O143" i="19"/>
  <c r="P143" i="19"/>
  <c r="Q143" i="19"/>
  <c r="R143" i="19"/>
  <c r="S143" i="19"/>
  <c r="L144" i="19"/>
  <c r="M144" i="19"/>
  <c r="N144" i="19"/>
  <c r="O144" i="19"/>
  <c r="P144" i="19"/>
  <c r="Q144" i="19"/>
  <c r="R144" i="19"/>
  <c r="S144" i="19"/>
  <c r="L145" i="19"/>
  <c r="M145" i="19"/>
  <c r="N145" i="19"/>
  <c r="O145" i="19"/>
  <c r="P145" i="19"/>
  <c r="Q145" i="19"/>
  <c r="R145" i="19"/>
  <c r="S145" i="19"/>
  <c r="L146" i="19"/>
  <c r="M146" i="19"/>
  <c r="N146" i="19"/>
  <c r="O146" i="19"/>
  <c r="P146" i="19"/>
  <c r="Q146" i="19"/>
  <c r="R146" i="19"/>
  <c r="S146" i="19"/>
  <c r="L147" i="19"/>
  <c r="M147" i="19"/>
  <c r="N147" i="19"/>
  <c r="O147" i="19"/>
  <c r="P147" i="19"/>
  <c r="Q147" i="19"/>
  <c r="R147" i="19"/>
  <c r="S147" i="19"/>
  <c r="L148" i="19"/>
  <c r="M148" i="19"/>
  <c r="N148" i="19"/>
  <c r="O148" i="19"/>
  <c r="P148" i="19"/>
  <c r="Q148" i="19"/>
  <c r="R148" i="19"/>
  <c r="S148" i="19"/>
  <c r="L149" i="19"/>
  <c r="M149" i="19"/>
  <c r="N149" i="19"/>
  <c r="O149" i="19"/>
  <c r="P149" i="19"/>
  <c r="Q149" i="19"/>
  <c r="R149" i="19"/>
  <c r="S149" i="19"/>
  <c r="L150" i="19"/>
  <c r="M150" i="19"/>
  <c r="N150" i="19"/>
  <c r="O150" i="19"/>
  <c r="P150" i="19"/>
  <c r="Q150" i="19"/>
  <c r="R150" i="19"/>
  <c r="S150" i="19"/>
  <c r="L151" i="19"/>
  <c r="M151" i="19"/>
  <c r="N151" i="19"/>
  <c r="O151" i="19"/>
  <c r="P151" i="19"/>
  <c r="Q151" i="19"/>
  <c r="R151" i="19"/>
  <c r="S151" i="19"/>
  <c r="L152" i="19"/>
  <c r="M152" i="19"/>
  <c r="N152" i="19"/>
  <c r="O152" i="19"/>
  <c r="P152" i="19"/>
  <c r="Q152" i="19"/>
  <c r="R152" i="19"/>
  <c r="S152" i="19"/>
  <c r="L153" i="19"/>
  <c r="M153" i="19"/>
  <c r="N153" i="19"/>
  <c r="O153" i="19"/>
  <c r="P153" i="19"/>
  <c r="Q153" i="19"/>
  <c r="R153" i="19"/>
  <c r="S153" i="19"/>
  <c r="L154" i="19"/>
  <c r="M154" i="19"/>
  <c r="N154" i="19"/>
  <c r="O154" i="19"/>
  <c r="P154" i="19"/>
  <c r="Q154" i="19"/>
  <c r="R154" i="19"/>
  <c r="S154" i="19"/>
  <c r="L155" i="19"/>
  <c r="M155" i="19"/>
  <c r="N155" i="19"/>
  <c r="O155" i="19"/>
  <c r="P155" i="19"/>
  <c r="Q155" i="19"/>
  <c r="R155" i="19"/>
  <c r="S155" i="19"/>
  <c r="L156" i="19"/>
  <c r="M156" i="19"/>
  <c r="N156" i="19"/>
  <c r="O156" i="19"/>
  <c r="P156" i="19"/>
  <c r="Q156" i="19"/>
  <c r="R156" i="19"/>
  <c r="S156" i="19"/>
  <c r="L157" i="19"/>
  <c r="M157" i="19"/>
  <c r="N157" i="19"/>
  <c r="O157" i="19"/>
  <c r="P157" i="19"/>
  <c r="Q157" i="19"/>
  <c r="R157" i="19"/>
  <c r="S157" i="19"/>
  <c r="L158" i="19"/>
  <c r="M158" i="19"/>
  <c r="N158" i="19"/>
  <c r="O158" i="19"/>
  <c r="P158" i="19"/>
  <c r="Q158" i="19"/>
  <c r="R158" i="19"/>
  <c r="S158" i="19"/>
  <c r="L159" i="19"/>
  <c r="M159" i="19"/>
  <c r="N159" i="19"/>
  <c r="O159" i="19"/>
  <c r="P159" i="19"/>
  <c r="Q159" i="19"/>
  <c r="R159" i="19"/>
  <c r="S159" i="19"/>
  <c r="L160" i="19"/>
  <c r="M160" i="19"/>
  <c r="N160" i="19"/>
  <c r="O160" i="19"/>
  <c r="P160" i="19"/>
  <c r="Q160" i="19"/>
  <c r="R160" i="19"/>
  <c r="S160" i="19"/>
  <c r="L161" i="19"/>
  <c r="M161" i="19"/>
  <c r="N161" i="19"/>
  <c r="O161" i="19"/>
  <c r="P161" i="19"/>
  <c r="Q161" i="19"/>
  <c r="R161" i="19"/>
  <c r="S161" i="19"/>
  <c r="L162" i="19"/>
  <c r="M162" i="19"/>
  <c r="N162" i="19"/>
  <c r="O162" i="19"/>
  <c r="P162" i="19"/>
  <c r="Q162" i="19"/>
  <c r="R162" i="19"/>
  <c r="S162" i="19"/>
  <c r="L163" i="19"/>
  <c r="M163" i="19"/>
  <c r="N163" i="19"/>
  <c r="O163" i="19"/>
  <c r="P163" i="19"/>
  <c r="Q163" i="19"/>
  <c r="R163" i="19"/>
  <c r="S163" i="19"/>
  <c r="L164" i="19"/>
  <c r="M164" i="19"/>
  <c r="N164" i="19"/>
  <c r="O164" i="19"/>
  <c r="P164" i="19"/>
  <c r="Q164" i="19"/>
  <c r="R164" i="19"/>
  <c r="S164" i="19"/>
  <c r="L165" i="19"/>
  <c r="M165" i="19"/>
  <c r="N165" i="19"/>
  <c r="O165" i="19"/>
  <c r="P165" i="19"/>
  <c r="Q165" i="19"/>
  <c r="R165" i="19"/>
  <c r="S165" i="19"/>
  <c r="L166" i="19"/>
  <c r="M166" i="19"/>
  <c r="N166" i="19"/>
  <c r="O166" i="19"/>
  <c r="P166" i="19"/>
  <c r="Q166" i="19"/>
  <c r="R166" i="19"/>
  <c r="S166" i="19"/>
  <c r="L167" i="19"/>
  <c r="M167" i="19"/>
  <c r="N167" i="19"/>
  <c r="O167" i="19"/>
  <c r="P167" i="19"/>
  <c r="Q167" i="19"/>
  <c r="R167" i="19"/>
  <c r="S167" i="19"/>
  <c r="L168" i="19"/>
  <c r="M168" i="19"/>
  <c r="N168" i="19"/>
  <c r="O168" i="19"/>
  <c r="P168" i="19"/>
  <c r="Q168" i="19"/>
  <c r="R168" i="19"/>
  <c r="S168" i="19"/>
  <c r="L169" i="19"/>
  <c r="M169" i="19"/>
  <c r="N169" i="19"/>
  <c r="O169" i="19"/>
  <c r="P169" i="19"/>
  <c r="Q169" i="19"/>
  <c r="R169" i="19"/>
  <c r="S169" i="19"/>
  <c r="L170" i="19"/>
  <c r="M170" i="19"/>
  <c r="N170" i="19"/>
  <c r="O170" i="19"/>
  <c r="P170" i="19"/>
  <c r="Q170" i="19"/>
  <c r="R170" i="19"/>
  <c r="S170" i="19"/>
  <c r="L171" i="19"/>
  <c r="M171" i="19"/>
  <c r="N171" i="19"/>
  <c r="O171" i="19"/>
  <c r="P171" i="19"/>
  <c r="Q171" i="19"/>
  <c r="R171" i="19"/>
  <c r="S171" i="19"/>
  <c r="L172" i="19"/>
  <c r="M172" i="19"/>
  <c r="N172" i="19"/>
  <c r="O172" i="19"/>
  <c r="P172" i="19"/>
  <c r="Q172" i="19"/>
  <c r="R172" i="19"/>
  <c r="S172" i="19"/>
  <c r="L173" i="19"/>
  <c r="M173" i="19"/>
  <c r="N173" i="19"/>
  <c r="O173" i="19"/>
  <c r="P173" i="19"/>
  <c r="Q173" i="19"/>
  <c r="R173" i="19"/>
  <c r="S173" i="19"/>
  <c r="L174" i="19"/>
  <c r="M174" i="19"/>
  <c r="N174" i="19"/>
  <c r="O174" i="19"/>
  <c r="P174" i="19"/>
  <c r="Q174" i="19"/>
  <c r="R174" i="19"/>
  <c r="S174" i="19"/>
  <c r="L175" i="19"/>
  <c r="M175" i="19"/>
  <c r="N175" i="19"/>
  <c r="O175" i="19"/>
  <c r="P175" i="19"/>
  <c r="Q175" i="19"/>
  <c r="R175" i="19"/>
  <c r="S175" i="19"/>
  <c r="L176" i="19"/>
  <c r="M176" i="19"/>
  <c r="N176" i="19"/>
  <c r="O176" i="19"/>
  <c r="P176" i="19"/>
  <c r="Q176" i="19"/>
  <c r="R176" i="19"/>
  <c r="S176" i="19"/>
  <c r="L177" i="19"/>
  <c r="M177" i="19"/>
  <c r="N177" i="19"/>
  <c r="O177" i="19"/>
  <c r="P177" i="19"/>
  <c r="Q177" i="19"/>
  <c r="R177" i="19"/>
  <c r="S177" i="19"/>
  <c r="L178" i="19"/>
  <c r="M178" i="19"/>
  <c r="N178" i="19"/>
  <c r="O178" i="19"/>
  <c r="P178" i="19"/>
  <c r="Q178" i="19"/>
  <c r="R178" i="19"/>
  <c r="S178" i="19"/>
  <c r="L179" i="19"/>
  <c r="M179" i="19"/>
  <c r="N179" i="19"/>
  <c r="O179" i="19"/>
  <c r="P179" i="19"/>
  <c r="Q179" i="19"/>
  <c r="R179" i="19"/>
  <c r="S179" i="19"/>
  <c r="L180" i="19"/>
  <c r="M180" i="19"/>
  <c r="N180" i="19"/>
  <c r="O180" i="19"/>
  <c r="P180" i="19"/>
  <c r="Q180" i="19"/>
  <c r="R180" i="19"/>
  <c r="S180" i="19"/>
  <c r="L181" i="19"/>
  <c r="M181" i="19"/>
  <c r="N181" i="19"/>
  <c r="O181" i="19"/>
  <c r="P181" i="19"/>
  <c r="Q181" i="19"/>
  <c r="R181" i="19"/>
  <c r="S181" i="19"/>
  <c r="L182" i="19"/>
  <c r="M182" i="19"/>
  <c r="N182" i="19"/>
  <c r="O182" i="19"/>
  <c r="P182" i="19"/>
  <c r="Q182" i="19"/>
  <c r="R182" i="19"/>
  <c r="S182" i="19"/>
  <c r="L183" i="19"/>
  <c r="M183" i="19"/>
  <c r="N183" i="19"/>
  <c r="O183" i="19"/>
  <c r="P183" i="19"/>
  <c r="Q183" i="19"/>
  <c r="R183" i="19"/>
  <c r="S183" i="19"/>
  <c r="L184" i="19"/>
  <c r="M184" i="19"/>
  <c r="N184" i="19"/>
  <c r="O184" i="19"/>
  <c r="P184" i="19"/>
  <c r="Q184" i="19"/>
  <c r="R184" i="19"/>
  <c r="S184" i="19"/>
  <c r="L185" i="19"/>
  <c r="M185" i="19"/>
  <c r="N185" i="19"/>
  <c r="O185" i="19"/>
  <c r="P185" i="19"/>
  <c r="Q185" i="19"/>
  <c r="R185" i="19"/>
  <c r="S185" i="19"/>
  <c r="L186" i="19"/>
  <c r="M186" i="19"/>
  <c r="N186" i="19"/>
  <c r="O186" i="19"/>
  <c r="P186" i="19"/>
  <c r="Q186" i="19"/>
  <c r="R186" i="19"/>
  <c r="S186" i="19"/>
  <c r="L187" i="19"/>
  <c r="M187" i="19"/>
  <c r="N187" i="19"/>
  <c r="O187" i="19"/>
  <c r="P187" i="19"/>
  <c r="Q187" i="19"/>
  <c r="R187" i="19"/>
  <c r="S187" i="19"/>
  <c r="L188" i="19"/>
  <c r="M188" i="19"/>
  <c r="N188" i="19"/>
  <c r="O188" i="19"/>
  <c r="P188" i="19"/>
  <c r="Q188" i="19"/>
  <c r="R188" i="19"/>
  <c r="S188" i="19"/>
  <c r="L189" i="19"/>
  <c r="M189" i="19"/>
  <c r="N189" i="19"/>
  <c r="O189" i="19"/>
  <c r="P189" i="19"/>
  <c r="Q189" i="19"/>
  <c r="R189" i="19"/>
  <c r="S189" i="19"/>
  <c r="L190" i="19"/>
  <c r="M190" i="19"/>
  <c r="N190" i="19"/>
  <c r="O190" i="19"/>
  <c r="P190" i="19"/>
  <c r="Q190" i="19"/>
  <c r="R190" i="19"/>
  <c r="S190" i="19"/>
  <c r="L191" i="19"/>
  <c r="M191" i="19"/>
  <c r="N191" i="19"/>
  <c r="O191" i="19"/>
  <c r="P191" i="19"/>
  <c r="Q191" i="19"/>
  <c r="R191" i="19"/>
  <c r="S191" i="19"/>
  <c r="L192" i="19"/>
  <c r="M192" i="19"/>
  <c r="N192" i="19"/>
  <c r="O192" i="19"/>
  <c r="P192" i="19"/>
  <c r="Q192" i="19"/>
  <c r="R192" i="19"/>
  <c r="S192" i="19"/>
  <c r="L193" i="19"/>
  <c r="M193" i="19"/>
  <c r="N193" i="19"/>
  <c r="O193" i="19"/>
  <c r="P193" i="19"/>
  <c r="Q193" i="19"/>
  <c r="R193" i="19"/>
  <c r="S193" i="19"/>
  <c r="L194" i="19"/>
  <c r="M194" i="19"/>
  <c r="N194" i="19"/>
  <c r="O194" i="19"/>
  <c r="P194" i="19"/>
  <c r="Q194" i="19"/>
  <c r="R194" i="19"/>
  <c r="S194" i="19"/>
  <c r="L195" i="19"/>
  <c r="M195" i="19"/>
  <c r="N195" i="19"/>
  <c r="O195" i="19"/>
  <c r="P195" i="19"/>
  <c r="Q195" i="19"/>
  <c r="R195" i="19"/>
  <c r="S195" i="19"/>
  <c r="L196" i="19"/>
  <c r="M196" i="19"/>
  <c r="N196" i="19"/>
  <c r="O196" i="19"/>
  <c r="P196" i="19"/>
  <c r="Q196" i="19"/>
  <c r="R196" i="19"/>
  <c r="S196" i="19"/>
  <c r="L197" i="19"/>
  <c r="M197" i="19"/>
  <c r="N197" i="19"/>
  <c r="O197" i="19"/>
  <c r="P197" i="19"/>
  <c r="Q197" i="19"/>
  <c r="R197" i="19"/>
  <c r="S197" i="19"/>
  <c r="L198" i="19"/>
  <c r="M198" i="19"/>
  <c r="N198" i="19"/>
  <c r="O198" i="19"/>
  <c r="P198" i="19"/>
  <c r="Q198" i="19"/>
  <c r="R198" i="19"/>
  <c r="S198" i="19"/>
  <c r="L199" i="19"/>
  <c r="M199" i="19"/>
  <c r="N199" i="19"/>
  <c r="O199" i="19"/>
  <c r="P199" i="19"/>
  <c r="Q199" i="19"/>
  <c r="R199" i="19"/>
  <c r="S199" i="19"/>
  <c r="L200" i="19"/>
  <c r="M200" i="19"/>
  <c r="N200" i="19"/>
  <c r="O200" i="19"/>
  <c r="P200" i="19"/>
  <c r="Q200" i="19"/>
  <c r="R200" i="19"/>
  <c r="S200" i="19"/>
  <c r="L201" i="19"/>
  <c r="M201" i="19"/>
  <c r="N201" i="19"/>
  <c r="O201" i="19"/>
  <c r="P201" i="19"/>
  <c r="Q201" i="19"/>
  <c r="R201" i="19"/>
  <c r="S201" i="19"/>
  <c r="L202" i="19"/>
  <c r="M202" i="19"/>
  <c r="N202" i="19"/>
  <c r="O202" i="19"/>
  <c r="P202" i="19"/>
  <c r="Q202" i="19"/>
  <c r="R202" i="19"/>
  <c r="S202" i="19"/>
  <c r="L203" i="19"/>
  <c r="M203" i="19"/>
  <c r="N203" i="19"/>
  <c r="O203" i="19"/>
  <c r="P203" i="19"/>
  <c r="Q203" i="19"/>
  <c r="R203" i="19"/>
  <c r="S203" i="19"/>
  <c r="L204" i="19"/>
  <c r="M204" i="19"/>
  <c r="N204" i="19"/>
  <c r="O204" i="19"/>
  <c r="P204" i="19"/>
  <c r="Q204" i="19"/>
  <c r="R204" i="19"/>
  <c r="S204" i="19"/>
  <c r="L205" i="19"/>
  <c r="M205" i="19"/>
  <c r="N205" i="19"/>
  <c r="O205" i="19"/>
  <c r="P205" i="19"/>
  <c r="Q205" i="19"/>
  <c r="R205" i="19"/>
  <c r="S205" i="19"/>
  <c r="L206" i="19"/>
  <c r="M206" i="19"/>
  <c r="N206" i="19"/>
  <c r="O206" i="19"/>
  <c r="P206" i="19"/>
  <c r="Q206" i="19"/>
  <c r="R206" i="19"/>
  <c r="S206" i="19"/>
  <c r="L207" i="19"/>
  <c r="M207" i="19"/>
  <c r="N207" i="19"/>
  <c r="O207" i="19"/>
  <c r="P207" i="19"/>
  <c r="Q207" i="19"/>
  <c r="R207" i="19"/>
  <c r="S207" i="19"/>
  <c r="L208" i="19"/>
  <c r="M208" i="19"/>
  <c r="N208" i="19"/>
  <c r="O208" i="19"/>
  <c r="P208" i="19"/>
  <c r="Q208" i="19"/>
  <c r="R208" i="19"/>
  <c r="S208" i="19"/>
  <c r="L209" i="19"/>
  <c r="M209" i="19"/>
  <c r="N209" i="19"/>
  <c r="O209" i="19"/>
  <c r="P209" i="19"/>
  <c r="Q209" i="19"/>
  <c r="R209" i="19"/>
  <c r="S209" i="19"/>
  <c r="L210" i="19"/>
  <c r="M210" i="19"/>
  <c r="N210" i="19"/>
  <c r="O210" i="19"/>
  <c r="P210" i="19"/>
  <c r="Q210" i="19"/>
  <c r="R210" i="19"/>
  <c r="S210" i="19"/>
  <c r="L211" i="19"/>
  <c r="M211" i="19"/>
  <c r="N211" i="19"/>
  <c r="O211" i="19"/>
  <c r="P211" i="19"/>
  <c r="Q211" i="19"/>
  <c r="R211" i="19"/>
  <c r="S211" i="19"/>
  <c r="L212" i="19"/>
  <c r="M212" i="19"/>
  <c r="N212" i="19"/>
  <c r="O212" i="19"/>
  <c r="P212" i="19"/>
  <c r="Q212" i="19"/>
  <c r="R212" i="19"/>
  <c r="S212" i="19"/>
  <c r="L213" i="19"/>
  <c r="M213" i="19"/>
  <c r="N213" i="19"/>
  <c r="O213" i="19"/>
  <c r="P213" i="19"/>
  <c r="Q213" i="19"/>
  <c r="R213" i="19"/>
  <c r="S213" i="19"/>
  <c r="L214" i="19"/>
  <c r="M214" i="19"/>
  <c r="N214" i="19"/>
  <c r="O214" i="19"/>
  <c r="P214" i="19"/>
  <c r="Q214" i="19"/>
  <c r="R214" i="19"/>
  <c r="S214" i="19"/>
  <c r="L215" i="19"/>
  <c r="M215" i="19"/>
  <c r="N215" i="19"/>
  <c r="O215" i="19"/>
  <c r="P215" i="19"/>
  <c r="Q215" i="19"/>
  <c r="R215" i="19"/>
  <c r="S215" i="19"/>
  <c r="L216" i="19"/>
  <c r="M216" i="19"/>
  <c r="N216" i="19"/>
  <c r="O216" i="19"/>
  <c r="P216" i="19"/>
  <c r="Q216" i="19"/>
  <c r="R216" i="19"/>
  <c r="S216" i="19"/>
  <c r="L217" i="19"/>
  <c r="M217" i="19"/>
  <c r="N217" i="19"/>
  <c r="O217" i="19"/>
  <c r="P217" i="19"/>
  <c r="Q217" i="19"/>
  <c r="R217" i="19"/>
  <c r="S217" i="19"/>
  <c r="L218" i="19"/>
  <c r="M218" i="19"/>
  <c r="N218" i="19"/>
  <c r="O218" i="19"/>
  <c r="P218" i="19"/>
  <c r="Q218" i="19"/>
  <c r="R218" i="19"/>
  <c r="S218" i="19"/>
  <c r="L219" i="19"/>
  <c r="M219" i="19"/>
  <c r="N219" i="19"/>
  <c r="O219" i="19"/>
  <c r="P219" i="19"/>
  <c r="Q219" i="19"/>
  <c r="R219" i="19"/>
  <c r="S219" i="19"/>
  <c r="L220" i="19"/>
  <c r="M220" i="19"/>
  <c r="N220" i="19"/>
  <c r="O220" i="19"/>
  <c r="P220" i="19"/>
  <c r="Q220" i="19"/>
  <c r="R220" i="19"/>
  <c r="S220" i="19"/>
  <c r="L221" i="19"/>
  <c r="M221" i="19"/>
  <c r="N221" i="19"/>
  <c r="O221" i="19"/>
  <c r="P221" i="19"/>
  <c r="Q221" i="19"/>
  <c r="R221" i="19"/>
  <c r="S221" i="19"/>
  <c r="L222" i="19"/>
  <c r="M222" i="19"/>
  <c r="N222" i="19"/>
  <c r="O222" i="19"/>
  <c r="P222" i="19"/>
  <c r="Q222" i="19"/>
  <c r="R222" i="19"/>
  <c r="S222" i="19"/>
  <c r="L223" i="19"/>
  <c r="M223" i="19"/>
  <c r="N223" i="19"/>
  <c r="O223" i="19"/>
  <c r="P223" i="19"/>
  <c r="Q223" i="19"/>
  <c r="R223" i="19"/>
  <c r="S223" i="19"/>
  <c r="L224" i="19"/>
  <c r="M224" i="19"/>
  <c r="N224" i="19"/>
  <c r="O224" i="19"/>
  <c r="P224" i="19"/>
  <c r="Q224" i="19"/>
  <c r="R224" i="19"/>
  <c r="S224" i="19"/>
  <c r="L225" i="19"/>
  <c r="M225" i="19"/>
  <c r="N225" i="19"/>
  <c r="O225" i="19"/>
  <c r="P225" i="19"/>
  <c r="Q225" i="19"/>
  <c r="R225" i="19"/>
  <c r="S225" i="19"/>
  <c r="L226" i="19"/>
  <c r="M226" i="19"/>
  <c r="N226" i="19"/>
  <c r="O226" i="19"/>
  <c r="P226" i="19"/>
  <c r="Q226" i="19"/>
  <c r="R226" i="19"/>
  <c r="S226" i="19"/>
  <c r="L227" i="19"/>
  <c r="M227" i="19"/>
  <c r="N227" i="19"/>
  <c r="O227" i="19"/>
  <c r="P227" i="19"/>
  <c r="Q227" i="19"/>
  <c r="R227" i="19"/>
  <c r="S227" i="19"/>
  <c r="L228" i="19"/>
  <c r="M228" i="19"/>
  <c r="N228" i="19"/>
  <c r="O228" i="19"/>
  <c r="P228" i="19"/>
  <c r="Q228" i="19"/>
  <c r="R228" i="19"/>
  <c r="S228" i="19"/>
  <c r="L229" i="19"/>
  <c r="M229" i="19"/>
  <c r="N229" i="19"/>
  <c r="O229" i="19"/>
  <c r="P229" i="19"/>
  <c r="Q229" i="19"/>
  <c r="R229" i="19"/>
  <c r="S229" i="19"/>
  <c r="L230" i="19"/>
  <c r="M230" i="19"/>
  <c r="N230" i="19"/>
  <c r="O230" i="19"/>
  <c r="P230" i="19"/>
  <c r="Q230" i="19"/>
  <c r="R230" i="19"/>
  <c r="S230" i="19"/>
  <c r="L231" i="19"/>
  <c r="M231" i="19"/>
  <c r="N231" i="19"/>
  <c r="O231" i="19"/>
  <c r="P231" i="19"/>
  <c r="Q231" i="19"/>
  <c r="R231" i="19"/>
  <c r="S231" i="19"/>
  <c r="L232" i="19"/>
  <c r="M232" i="19"/>
  <c r="N232" i="19"/>
  <c r="O232" i="19"/>
  <c r="P232" i="19"/>
  <c r="Q232" i="19"/>
  <c r="R232" i="19"/>
  <c r="S232" i="19"/>
  <c r="L233" i="19"/>
  <c r="M233" i="19"/>
  <c r="N233" i="19"/>
  <c r="O233" i="19"/>
  <c r="P233" i="19"/>
  <c r="Q233" i="19"/>
  <c r="R233" i="19"/>
  <c r="S233" i="19"/>
  <c r="L234" i="19"/>
  <c r="M234" i="19"/>
  <c r="N234" i="19"/>
  <c r="O234" i="19"/>
  <c r="P234" i="19"/>
  <c r="Q234" i="19"/>
  <c r="R234" i="19"/>
  <c r="S234" i="19"/>
  <c r="L235" i="19"/>
  <c r="M235" i="19"/>
  <c r="N235" i="19"/>
  <c r="O235" i="19"/>
  <c r="P235" i="19"/>
  <c r="Q235" i="19"/>
  <c r="R235" i="19"/>
  <c r="S235" i="19"/>
  <c r="L236" i="19"/>
  <c r="M236" i="19"/>
  <c r="N236" i="19"/>
  <c r="O236" i="19"/>
  <c r="P236" i="19"/>
  <c r="Q236" i="19"/>
  <c r="R236" i="19"/>
  <c r="S236" i="19"/>
  <c r="L237" i="19"/>
  <c r="M237" i="19"/>
  <c r="N237" i="19"/>
  <c r="O237" i="19"/>
  <c r="P237" i="19"/>
  <c r="Q237" i="19"/>
  <c r="R237" i="19"/>
  <c r="S237" i="19"/>
  <c r="L238" i="19"/>
  <c r="M238" i="19"/>
  <c r="N238" i="19"/>
  <c r="O238" i="19"/>
  <c r="P238" i="19"/>
  <c r="Q238" i="19"/>
  <c r="R238" i="19"/>
  <c r="S238" i="19"/>
  <c r="L239" i="19"/>
  <c r="M239" i="19"/>
  <c r="N239" i="19"/>
  <c r="O239" i="19"/>
  <c r="P239" i="19"/>
  <c r="Q239" i="19"/>
  <c r="R239" i="19"/>
  <c r="S239" i="19"/>
  <c r="L240" i="19"/>
  <c r="M240" i="19"/>
  <c r="N240" i="19"/>
  <c r="O240" i="19"/>
  <c r="P240" i="19"/>
  <c r="Q240" i="19"/>
  <c r="R240" i="19"/>
  <c r="S240" i="19"/>
  <c r="L241" i="19"/>
  <c r="M241" i="19"/>
  <c r="N241" i="19"/>
  <c r="O241" i="19"/>
  <c r="P241" i="19"/>
  <c r="Q241" i="19"/>
  <c r="R241" i="19"/>
  <c r="S241" i="19"/>
  <c r="L242" i="19"/>
  <c r="M242" i="19"/>
  <c r="N242" i="19"/>
  <c r="O242" i="19"/>
  <c r="P242" i="19"/>
  <c r="Q242" i="19"/>
  <c r="R242" i="19"/>
  <c r="S242" i="19"/>
  <c r="L243" i="19"/>
  <c r="M243" i="19"/>
  <c r="N243" i="19"/>
  <c r="O243" i="19"/>
  <c r="P243" i="19"/>
  <c r="Q243" i="19"/>
  <c r="R243" i="19"/>
  <c r="S243" i="19"/>
  <c r="L244" i="19"/>
  <c r="M244" i="19"/>
  <c r="N244" i="19"/>
  <c r="O244" i="19"/>
  <c r="P244" i="19"/>
  <c r="Q244" i="19"/>
  <c r="R244" i="19"/>
  <c r="S244" i="19"/>
  <c r="L245" i="19"/>
  <c r="M245" i="19"/>
  <c r="N245" i="19"/>
  <c r="O245" i="19"/>
  <c r="P245" i="19"/>
  <c r="Q245" i="19"/>
  <c r="R245" i="19"/>
  <c r="S245" i="19"/>
  <c r="L246" i="19"/>
  <c r="M246" i="19"/>
  <c r="N246" i="19"/>
  <c r="O246" i="19"/>
  <c r="P246" i="19"/>
  <c r="Q246" i="19"/>
  <c r="R246" i="19"/>
  <c r="S246" i="19"/>
  <c r="L247" i="19"/>
  <c r="M247" i="19"/>
  <c r="N247" i="19"/>
  <c r="O247" i="19"/>
  <c r="P247" i="19"/>
  <c r="Q247" i="19"/>
  <c r="R247" i="19"/>
  <c r="S247" i="19"/>
  <c r="L248" i="19"/>
  <c r="M248" i="19"/>
  <c r="N248" i="19"/>
  <c r="O248" i="19"/>
  <c r="P248" i="19"/>
  <c r="Q248" i="19"/>
  <c r="R248" i="19"/>
  <c r="S248" i="19"/>
  <c r="L249" i="19"/>
  <c r="M249" i="19"/>
  <c r="N249" i="19"/>
  <c r="O249" i="19"/>
  <c r="P249" i="19"/>
  <c r="Q249" i="19"/>
  <c r="R249" i="19"/>
  <c r="S249" i="19"/>
  <c r="L250" i="19"/>
  <c r="M250" i="19"/>
  <c r="N250" i="19"/>
  <c r="O250" i="19"/>
  <c r="P250" i="19"/>
  <c r="Q250" i="19"/>
  <c r="R250" i="19"/>
  <c r="S250" i="19"/>
  <c r="L251" i="19"/>
  <c r="M251" i="19"/>
  <c r="N251" i="19"/>
  <c r="O251" i="19"/>
  <c r="P251" i="19"/>
  <c r="Q251" i="19"/>
  <c r="R251" i="19"/>
  <c r="S251" i="19"/>
  <c r="L252" i="19"/>
  <c r="M252" i="19"/>
  <c r="N252" i="19"/>
  <c r="O252" i="19"/>
  <c r="P252" i="19"/>
  <c r="Q252" i="19"/>
  <c r="R252" i="19"/>
  <c r="S252" i="19"/>
  <c r="L253" i="19"/>
  <c r="M253" i="19"/>
  <c r="N253" i="19"/>
  <c r="O253" i="19"/>
  <c r="P253" i="19"/>
  <c r="Q253" i="19"/>
  <c r="R253" i="19"/>
  <c r="S253" i="19"/>
  <c r="L254" i="19"/>
  <c r="M254" i="19"/>
  <c r="N254" i="19"/>
  <c r="O254" i="19"/>
  <c r="P254" i="19"/>
  <c r="Q254" i="19"/>
  <c r="R254" i="19"/>
  <c r="S254" i="19"/>
  <c r="L255" i="19"/>
  <c r="M255" i="19"/>
  <c r="N255" i="19"/>
  <c r="O255" i="19"/>
  <c r="P255" i="19"/>
  <c r="Q255" i="19"/>
  <c r="R255" i="19"/>
  <c r="S255" i="19"/>
  <c r="L256" i="19"/>
  <c r="M256" i="19"/>
  <c r="N256" i="19"/>
  <c r="O256" i="19"/>
  <c r="P256" i="19"/>
  <c r="Q256" i="19"/>
  <c r="R256" i="19"/>
  <c r="S256" i="19"/>
  <c r="L257" i="19"/>
  <c r="M257" i="19"/>
  <c r="N257" i="19"/>
  <c r="O257" i="19"/>
  <c r="P257" i="19"/>
  <c r="Q257" i="19"/>
  <c r="R257" i="19"/>
  <c r="S257" i="19"/>
  <c r="L258" i="19"/>
  <c r="M258" i="19"/>
  <c r="N258" i="19"/>
  <c r="O258" i="19"/>
  <c r="P258" i="19"/>
  <c r="Q258" i="19"/>
  <c r="R258" i="19"/>
  <c r="S258" i="19"/>
  <c r="L259" i="19"/>
  <c r="M259" i="19"/>
  <c r="N259" i="19"/>
  <c r="O259" i="19"/>
  <c r="P259" i="19"/>
  <c r="Q259" i="19"/>
  <c r="R259" i="19"/>
  <c r="S259" i="19"/>
  <c r="L260" i="19"/>
  <c r="M260" i="19"/>
  <c r="N260" i="19"/>
  <c r="O260" i="19"/>
  <c r="P260" i="19"/>
  <c r="Q260" i="19"/>
  <c r="R260" i="19"/>
  <c r="S260" i="19"/>
  <c r="L261" i="19"/>
  <c r="M261" i="19"/>
  <c r="N261" i="19"/>
  <c r="O261" i="19"/>
  <c r="P261" i="19"/>
  <c r="Q261" i="19"/>
  <c r="R261" i="19"/>
  <c r="S261" i="19"/>
  <c r="L262" i="19"/>
  <c r="M262" i="19"/>
  <c r="N262" i="19"/>
  <c r="O262" i="19"/>
  <c r="P262" i="19"/>
  <c r="Q262" i="19"/>
  <c r="R262" i="19"/>
  <c r="S262" i="19"/>
  <c r="L263" i="19"/>
  <c r="M263" i="19"/>
  <c r="N263" i="19"/>
  <c r="O263" i="19"/>
  <c r="P263" i="19"/>
  <c r="Q263" i="19"/>
  <c r="R263" i="19"/>
  <c r="S263" i="19"/>
  <c r="L264" i="19"/>
  <c r="M264" i="19"/>
  <c r="N264" i="19"/>
  <c r="O264" i="19"/>
  <c r="P264" i="19"/>
  <c r="Q264" i="19"/>
  <c r="R264" i="19"/>
  <c r="S264" i="19"/>
  <c r="L265" i="19"/>
  <c r="M265" i="19"/>
  <c r="N265" i="19"/>
  <c r="O265" i="19"/>
  <c r="P265" i="19"/>
  <c r="Q265" i="19"/>
  <c r="R265" i="19"/>
  <c r="S265" i="19"/>
  <c r="L266" i="19"/>
  <c r="M266" i="19"/>
  <c r="N266" i="19"/>
  <c r="O266" i="19"/>
  <c r="P266" i="19"/>
  <c r="Q266" i="19"/>
  <c r="R266" i="19"/>
  <c r="S266" i="19"/>
  <c r="L267" i="19"/>
  <c r="M267" i="19"/>
  <c r="N267" i="19"/>
  <c r="O267" i="19"/>
  <c r="P267" i="19"/>
  <c r="Q267" i="19"/>
  <c r="R267" i="19"/>
  <c r="S267" i="19"/>
  <c r="L268" i="19"/>
  <c r="M268" i="19"/>
  <c r="N268" i="19"/>
  <c r="O268" i="19"/>
  <c r="P268" i="19"/>
  <c r="Q268" i="19"/>
  <c r="R268" i="19"/>
  <c r="S268" i="19"/>
  <c r="L269" i="19"/>
  <c r="M269" i="19"/>
  <c r="N269" i="19"/>
  <c r="O269" i="19"/>
  <c r="P269" i="19"/>
  <c r="Q269" i="19"/>
  <c r="R269" i="19"/>
  <c r="S269" i="19"/>
  <c r="L270" i="19"/>
  <c r="M270" i="19"/>
  <c r="N270" i="19"/>
  <c r="O270" i="19"/>
  <c r="P270" i="19"/>
  <c r="Q270" i="19"/>
  <c r="R270" i="19"/>
  <c r="S270" i="19"/>
  <c r="L271" i="19"/>
  <c r="M271" i="19"/>
  <c r="N271" i="19"/>
  <c r="O271" i="19"/>
  <c r="P271" i="19"/>
  <c r="Q271" i="19"/>
  <c r="R271" i="19"/>
  <c r="S271" i="19"/>
  <c r="L272" i="19"/>
  <c r="M272" i="19"/>
  <c r="N272" i="19"/>
  <c r="O272" i="19"/>
  <c r="P272" i="19"/>
  <c r="Q272" i="19"/>
  <c r="R272" i="19"/>
  <c r="S272" i="19"/>
  <c r="L273" i="19"/>
  <c r="M273" i="19"/>
  <c r="N273" i="19"/>
  <c r="O273" i="19"/>
  <c r="P273" i="19"/>
  <c r="Q273" i="19"/>
  <c r="R273" i="19"/>
  <c r="S273" i="19"/>
  <c r="L274" i="19"/>
  <c r="M274" i="19"/>
  <c r="N274" i="19"/>
  <c r="O274" i="19"/>
  <c r="P274" i="19"/>
  <c r="Q274" i="19"/>
  <c r="R274" i="19"/>
  <c r="S274" i="19"/>
  <c r="L275" i="19"/>
  <c r="M275" i="19"/>
  <c r="N275" i="19"/>
  <c r="O275" i="19"/>
  <c r="P275" i="19"/>
  <c r="Q275" i="19"/>
  <c r="R275" i="19"/>
  <c r="S275" i="19"/>
  <c r="L276" i="19"/>
  <c r="M276" i="19"/>
  <c r="N276" i="19"/>
  <c r="O276" i="19"/>
  <c r="P276" i="19"/>
  <c r="Q276" i="19"/>
  <c r="R276" i="19"/>
  <c r="S276" i="19"/>
  <c r="L277" i="19"/>
  <c r="M277" i="19"/>
  <c r="N277" i="19"/>
  <c r="O277" i="19"/>
  <c r="P277" i="19"/>
  <c r="Q277" i="19"/>
  <c r="R277" i="19"/>
  <c r="S277" i="19"/>
  <c r="L278" i="19"/>
  <c r="M278" i="19"/>
  <c r="N278" i="19"/>
  <c r="O278" i="19"/>
  <c r="P278" i="19"/>
  <c r="Q278" i="19"/>
  <c r="R278" i="19"/>
  <c r="S278" i="19"/>
  <c r="L279" i="19"/>
  <c r="M279" i="19"/>
  <c r="N279" i="19"/>
  <c r="O279" i="19"/>
  <c r="P279" i="19"/>
  <c r="Q279" i="19"/>
  <c r="R279" i="19"/>
  <c r="S279" i="19"/>
  <c r="L280" i="19"/>
  <c r="M280" i="19"/>
  <c r="N280" i="19"/>
  <c r="O280" i="19"/>
  <c r="P280" i="19"/>
  <c r="Q280" i="19"/>
  <c r="R280" i="19"/>
  <c r="S280" i="19"/>
  <c r="L281" i="19"/>
  <c r="M281" i="19"/>
  <c r="N281" i="19"/>
  <c r="O281" i="19"/>
  <c r="P281" i="19"/>
  <c r="Q281" i="19"/>
  <c r="R281" i="19"/>
  <c r="S281" i="19"/>
  <c r="L282" i="19"/>
  <c r="M282" i="19"/>
  <c r="N282" i="19"/>
  <c r="O282" i="19"/>
  <c r="P282" i="19"/>
  <c r="Q282" i="19"/>
  <c r="R282" i="19"/>
  <c r="S282" i="19"/>
  <c r="L283" i="19"/>
  <c r="M283" i="19"/>
  <c r="N283" i="19"/>
  <c r="O283" i="19"/>
  <c r="P283" i="19"/>
  <c r="Q283" i="19"/>
  <c r="R283" i="19"/>
  <c r="S283" i="19"/>
  <c r="L284" i="19"/>
  <c r="M284" i="19"/>
  <c r="N284" i="19"/>
  <c r="O284" i="19"/>
  <c r="P284" i="19"/>
  <c r="Q284" i="19"/>
  <c r="R284" i="19"/>
  <c r="S284" i="19"/>
  <c r="L285" i="19"/>
  <c r="M285" i="19"/>
  <c r="N285" i="19"/>
  <c r="O285" i="19"/>
  <c r="P285" i="19"/>
  <c r="Q285" i="19"/>
  <c r="R285" i="19"/>
  <c r="S285" i="19"/>
  <c r="L286" i="19"/>
  <c r="M286" i="19"/>
  <c r="N286" i="19"/>
  <c r="O286" i="19"/>
  <c r="P286" i="19"/>
  <c r="Q286" i="19"/>
  <c r="R286" i="19"/>
  <c r="S286" i="19"/>
  <c r="L287" i="19"/>
  <c r="M287" i="19"/>
  <c r="N287" i="19"/>
  <c r="O287" i="19"/>
  <c r="P287" i="19"/>
  <c r="Q287" i="19"/>
  <c r="R287" i="19"/>
  <c r="S287" i="19"/>
  <c r="L288" i="19"/>
  <c r="M288" i="19"/>
  <c r="N288" i="19"/>
  <c r="O288" i="19"/>
  <c r="P288" i="19"/>
  <c r="Q288" i="19"/>
  <c r="R288" i="19"/>
  <c r="S288" i="19"/>
  <c r="L289" i="19"/>
  <c r="M289" i="19"/>
  <c r="N289" i="19"/>
  <c r="O289" i="19"/>
  <c r="P289" i="19"/>
  <c r="Q289" i="19"/>
  <c r="R289" i="19"/>
  <c r="S289" i="19"/>
  <c r="L290" i="19"/>
  <c r="M290" i="19"/>
  <c r="N290" i="19"/>
  <c r="O290" i="19"/>
  <c r="P290" i="19"/>
  <c r="Q290" i="19"/>
  <c r="R290" i="19"/>
  <c r="S290" i="19"/>
  <c r="L291" i="19"/>
  <c r="M291" i="19"/>
  <c r="N291" i="19"/>
  <c r="O291" i="19"/>
  <c r="P291" i="19"/>
  <c r="Q291" i="19"/>
  <c r="R291" i="19"/>
  <c r="S291" i="19"/>
  <c r="L292" i="19"/>
  <c r="M292" i="19"/>
  <c r="N292" i="19"/>
  <c r="O292" i="19"/>
  <c r="P292" i="19"/>
  <c r="Q292" i="19"/>
  <c r="R292" i="19"/>
  <c r="S292" i="19"/>
  <c r="L293" i="19"/>
  <c r="M293" i="19"/>
  <c r="N293" i="19"/>
  <c r="O293" i="19"/>
  <c r="P293" i="19"/>
  <c r="Q293" i="19"/>
  <c r="R293" i="19"/>
  <c r="S293" i="19"/>
  <c r="L294" i="19"/>
  <c r="M294" i="19"/>
  <c r="N294" i="19"/>
  <c r="O294" i="19"/>
  <c r="P294" i="19"/>
  <c r="Q294" i="19"/>
  <c r="R294" i="19"/>
  <c r="S294" i="19"/>
  <c r="L295" i="19"/>
  <c r="M295" i="19"/>
  <c r="N295" i="19"/>
  <c r="O295" i="19"/>
  <c r="P295" i="19"/>
  <c r="Q295" i="19"/>
  <c r="R295" i="19"/>
  <c r="S295" i="19"/>
  <c r="L296" i="19"/>
  <c r="M296" i="19"/>
  <c r="N296" i="19"/>
  <c r="O296" i="19"/>
  <c r="P296" i="19"/>
  <c r="Q296" i="19"/>
  <c r="R296" i="19"/>
  <c r="S296" i="19"/>
  <c r="L297" i="19"/>
  <c r="M297" i="19"/>
  <c r="N297" i="19"/>
  <c r="O297" i="19"/>
  <c r="P297" i="19"/>
  <c r="Q297" i="19"/>
  <c r="R297" i="19"/>
  <c r="S297" i="19"/>
  <c r="L298" i="19"/>
  <c r="M298" i="19"/>
  <c r="N298" i="19"/>
  <c r="O298" i="19"/>
  <c r="P298" i="19"/>
  <c r="Q298" i="19"/>
  <c r="R298" i="19"/>
  <c r="S298" i="19"/>
  <c r="L299" i="19"/>
  <c r="M299" i="19"/>
  <c r="N299" i="19"/>
  <c r="O299" i="19"/>
  <c r="P299" i="19"/>
  <c r="Q299" i="19"/>
  <c r="R299" i="19"/>
  <c r="S299" i="19"/>
  <c r="L300" i="19"/>
  <c r="M300" i="19"/>
  <c r="N300" i="19"/>
  <c r="O300" i="19"/>
  <c r="P300" i="19"/>
  <c r="Q300" i="19"/>
  <c r="R300" i="19"/>
  <c r="S300" i="19"/>
  <c r="L301" i="19"/>
  <c r="M301" i="19"/>
  <c r="N301" i="19"/>
  <c r="O301" i="19"/>
  <c r="P301" i="19"/>
  <c r="Q301" i="19"/>
  <c r="R301" i="19"/>
  <c r="S301" i="19"/>
  <c r="L302" i="19"/>
  <c r="M302" i="19"/>
  <c r="N302" i="19"/>
  <c r="O302" i="19"/>
  <c r="P302" i="19"/>
  <c r="Q302" i="19"/>
  <c r="R302" i="19"/>
  <c r="S302" i="19"/>
  <c r="L303" i="19"/>
  <c r="M303" i="19"/>
  <c r="N303" i="19"/>
  <c r="O303" i="19"/>
  <c r="P303" i="19"/>
  <c r="Q303" i="19"/>
  <c r="R303" i="19"/>
  <c r="S303" i="19"/>
  <c r="L304" i="19"/>
  <c r="M304" i="19"/>
  <c r="N304" i="19"/>
  <c r="O304" i="19"/>
  <c r="P304" i="19"/>
  <c r="Q304" i="19"/>
  <c r="R304" i="19"/>
  <c r="S304" i="19"/>
  <c r="L305" i="19"/>
  <c r="M305" i="19"/>
  <c r="N305" i="19"/>
  <c r="O305" i="19"/>
  <c r="P305" i="19"/>
  <c r="Q305" i="19"/>
  <c r="R305" i="19"/>
  <c r="S305" i="19"/>
  <c r="L306" i="19"/>
  <c r="M306" i="19"/>
  <c r="N306" i="19"/>
  <c r="O306" i="19"/>
  <c r="P306" i="19"/>
  <c r="Q306" i="19"/>
  <c r="R306" i="19"/>
  <c r="S306" i="19"/>
  <c r="L307" i="19"/>
  <c r="M307" i="19"/>
  <c r="N307" i="19"/>
  <c r="O307" i="19"/>
  <c r="P307" i="19"/>
  <c r="Q307" i="19"/>
  <c r="R307" i="19"/>
  <c r="S307" i="19"/>
  <c r="L308" i="19"/>
  <c r="M308" i="19"/>
  <c r="N308" i="19"/>
  <c r="O308" i="19"/>
  <c r="P308" i="19"/>
  <c r="Q308" i="19"/>
  <c r="R308" i="19"/>
  <c r="S308" i="19"/>
  <c r="L309" i="19"/>
  <c r="M309" i="19"/>
  <c r="N309" i="19"/>
  <c r="O309" i="19"/>
  <c r="P309" i="19"/>
  <c r="Q309" i="19"/>
  <c r="R309" i="19"/>
  <c r="S309" i="19"/>
  <c r="L310" i="19"/>
  <c r="M310" i="19"/>
  <c r="N310" i="19"/>
  <c r="O310" i="19"/>
  <c r="P310" i="19"/>
  <c r="Q310" i="19"/>
  <c r="R310" i="19"/>
  <c r="S310" i="19"/>
  <c r="L311" i="19"/>
  <c r="M311" i="19"/>
  <c r="N311" i="19"/>
  <c r="O311" i="19"/>
  <c r="P311" i="19"/>
  <c r="Q311" i="19"/>
  <c r="R311" i="19"/>
  <c r="S311" i="19"/>
  <c r="L312" i="19"/>
  <c r="M312" i="19"/>
  <c r="N312" i="19"/>
  <c r="O312" i="19"/>
  <c r="P312" i="19"/>
  <c r="Q312" i="19"/>
  <c r="R312" i="19"/>
  <c r="S312" i="19"/>
  <c r="L313" i="19"/>
  <c r="M313" i="19"/>
  <c r="N313" i="19"/>
  <c r="O313" i="19"/>
  <c r="P313" i="19"/>
  <c r="Q313" i="19"/>
  <c r="R313" i="19"/>
  <c r="S313" i="19"/>
  <c r="L314" i="19"/>
  <c r="M314" i="19"/>
  <c r="N314" i="19"/>
  <c r="O314" i="19"/>
  <c r="P314" i="19"/>
  <c r="Q314" i="19"/>
  <c r="R314" i="19"/>
  <c r="S314" i="19"/>
  <c r="L315" i="19"/>
  <c r="M315" i="19"/>
  <c r="N315" i="19"/>
  <c r="O315" i="19"/>
  <c r="P315" i="19"/>
  <c r="Q315" i="19"/>
  <c r="R315" i="19"/>
  <c r="S315" i="19"/>
  <c r="L316" i="19"/>
  <c r="M316" i="19"/>
  <c r="N316" i="19"/>
  <c r="O316" i="19"/>
  <c r="P316" i="19"/>
  <c r="Q316" i="19"/>
  <c r="R316" i="19"/>
  <c r="S316" i="19"/>
  <c r="L317" i="19"/>
  <c r="M317" i="19"/>
  <c r="N317" i="19"/>
  <c r="O317" i="19"/>
  <c r="P317" i="19"/>
  <c r="Q317" i="19"/>
  <c r="R317" i="19"/>
  <c r="S317" i="19"/>
  <c r="L318" i="19"/>
  <c r="M318" i="19"/>
  <c r="N318" i="19"/>
  <c r="O318" i="19"/>
  <c r="P318" i="19"/>
  <c r="Q318" i="19"/>
  <c r="R318" i="19"/>
  <c r="S318" i="19"/>
  <c r="L319" i="19"/>
  <c r="M319" i="19"/>
  <c r="N319" i="19"/>
  <c r="O319" i="19"/>
  <c r="P319" i="19"/>
  <c r="Q319" i="19"/>
  <c r="R319" i="19"/>
  <c r="S319" i="19"/>
  <c r="L320" i="19"/>
  <c r="M320" i="19"/>
  <c r="N320" i="19"/>
  <c r="O320" i="19"/>
  <c r="P320" i="19"/>
  <c r="Q320" i="19"/>
  <c r="R320" i="19"/>
  <c r="S320" i="19"/>
  <c r="L321" i="19"/>
  <c r="M321" i="19"/>
  <c r="N321" i="19"/>
  <c r="O321" i="19"/>
  <c r="P321" i="19"/>
  <c r="Q321" i="19"/>
  <c r="R321" i="19"/>
  <c r="S321" i="19"/>
  <c r="L322" i="19"/>
  <c r="M322" i="19"/>
  <c r="N322" i="19"/>
  <c r="O322" i="19"/>
  <c r="P322" i="19"/>
  <c r="Q322" i="19"/>
  <c r="R322" i="19"/>
  <c r="S322" i="19"/>
  <c r="L323" i="19"/>
  <c r="M323" i="19"/>
  <c r="N323" i="19"/>
  <c r="O323" i="19"/>
  <c r="P323" i="19"/>
  <c r="Q323" i="19"/>
  <c r="R323" i="19"/>
  <c r="S323" i="19"/>
  <c r="L324" i="19"/>
  <c r="M324" i="19"/>
  <c r="N324" i="19"/>
  <c r="O324" i="19"/>
  <c r="P324" i="19"/>
  <c r="Q324" i="19"/>
  <c r="R324" i="19"/>
  <c r="S324" i="19"/>
  <c r="L325" i="19"/>
  <c r="M325" i="19"/>
  <c r="N325" i="19"/>
  <c r="O325" i="19"/>
  <c r="P325" i="19"/>
  <c r="Q325" i="19"/>
  <c r="R325" i="19"/>
  <c r="S325" i="19"/>
  <c r="L326" i="19"/>
  <c r="M326" i="19"/>
  <c r="N326" i="19"/>
  <c r="O326" i="19"/>
  <c r="P326" i="19"/>
  <c r="Q326" i="19"/>
  <c r="R326" i="19"/>
  <c r="S326" i="19"/>
  <c r="L327" i="19"/>
  <c r="M327" i="19"/>
  <c r="N327" i="19"/>
  <c r="O327" i="19"/>
  <c r="P327" i="19"/>
  <c r="Q327" i="19"/>
  <c r="R327" i="19"/>
  <c r="S327" i="19"/>
  <c r="L328" i="19"/>
  <c r="M328" i="19"/>
  <c r="N328" i="19"/>
  <c r="O328" i="19"/>
  <c r="P328" i="19"/>
  <c r="Q328" i="19"/>
  <c r="R328" i="19"/>
  <c r="S328" i="19"/>
  <c r="L329" i="19"/>
  <c r="M329" i="19"/>
  <c r="N329" i="19"/>
  <c r="O329" i="19"/>
  <c r="P329" i="19"/>
  <c r="Q329" i="19"/>
  <c r="R329" i="19"/>
  <c r="S329" i="19"/>
  <c r="L330" i="19"/>
  <c r="M330" i="19"/>
  <c r="N330" i="19"/>
  <c r="O330" i="19"/>
  <c r="P330" i="19"/>
  <c r="Q330" i="19"/>
  <c r="R330" i="19"/>
  <c r="S330" i="19"/>
  <c r="L331" i="19"/>
  <c r="M331" i="19"/>
  <c r="N331" i="19"/>
  <c r="O331" i="19"/>
  <c r="P331" i="19"/>
  <c r="Q331" i="19"/>
  <c r="R331" i="19"/>
  <c r="S331" i="19"/>
  <c r="L332" i="19"/>
  <c r="M332" i="19"/>
  <c r="N332" i="19"/>
  <c r="O332" i="19"/>
  <c r="P332" i="19"/>
  <c r="Q332" i="19"/>
  <c r="R332" i="19"/>
  <c r="S332" i="19"/>
  <c r="L333" i="19"/>
  <c r="M333" i="19"/>
  <c r="N333" i="19"/>
  <c r="O333" i="19"/>
  <c r="P333" i="19"/>
  <c r="Q333" i="19"/>
  <c r="R333" i="19"/>
  <c r="S333" i="19"/>
  <c r="L334" i="19"/>
  <c r="M334" i="19"/>
  <c r="N334" i="19"/>
  <c r="O334" i="19"/>
  <c r="P334" i="19"/>
  <c r="Q334" i="19"/>
  <c r="R334" i="19"/>
  <c r="S334" i="19"/>
  <c r="L335" i="19"/>
  <c r="M335" i="19"/>
  <c r="N335" i="19"/>
  <c r="O335" i="19"/>
  <c r="P335" i="19"/>
  <c r="Q335" i="19"/>
  <c r="R335" i="19"/>
  <c r="S335" i="19"/>
  <c r="L336" i="19"/>
  <c r="M336" i="19"/>
  <c r="N336" i="19"/>
  <c r="O336" i="19"/>
  <c r="P336" i="19"/>
  <c r="Q336" i="19"/>
  <c r="R336" i="19"/>
  <c r="S336" i="19"/>
  <c r="L337" i="19"/>
  <c r="M337" i="19"/>
  <c r="N337" i="19"/>
  <c r="O337" i="19"/>
  <c r="P337" i="19"/>
  <c r="Q337" i="19"/>
  <c r="R337" i="19"/>
  <c r="S337" i="19"/>
  <c r="L338" i="19"/>
  <c r="M338" i="19"/>
  <c r="N338" i="19"/>
  <c r="O338" i="19"/>
  <c r="P338" i="19"/>
  <c r="Q338" i="19"/>
  <c r="R338" i="19"/>
  <c r="S338" i="19"/>
  <c r="L339" i="19"/>
  <c r="M339" i="19"/>
  <c r="N339" i="19"/>
  <c r="O339" i="19"/>
  <c r="P339" i="19"/>
  <c r="Q339" i="19"/>
  <c r="R339" i="19"/>
  <c r="S339" i="19"/>
  <c r="L340" i="19"/>
  <c r="M340" i="19"/>
  <c r="N340" i="19"/>
  <c r="O340" i="19"/>
  <c r="P340" i="19"/>
  <c r="Q340" i="19"/>
  <c r="R340" i="19"/>
  <c r="S340" i="19"/>
  <c r="L341" i="19"/>
  <c r="M341" i="19"/>
  <c r="N341" i="19"/>
  <c r="O341" i="19"/>
  <c r="P341" i="19"/>
  <c r="Q341" i="19"/>
  <c r="R341" i="19"/>
  <c r="S341" i="19"/>
  <c r="L342" i="19"/>
  <c r="M342" i="19"/>
  <c r="N342" i="19"/>
  <c r="O342" i="19"/>
  <c r="P342" i="19"/>
  <c r="Q342" i="19"/>
  <c r="R342" i="19"/>
  <c r="S342" i="19"/>
  <c r="L343" i="19"/>
  <c r="M343" i="19"/>
  <c r="N343" i="19"/>
  <c r="O343" i="19"/>
  <c r="P343" i="19"/>
  <c r="Q343" i="19"/>
  <c r="R343" i="19"/>
  <c r="S343" i="19"/>
  <c r="L344" i="19"/>
  <c r="M344" i="19"/>
  <c r="N344" i="19"/>
  <c r="O344" i="19"/>
  <c r="P344" i="19"/>
  <c r="Q344" i="19"/>
  <c r="R344" i="19"/>
  <c r="S344" i="19"/>
  <c r="L345" i="19"/>
  <c r="M345" i="19"/>
  <c r="N345" i="19"/>
  <c r="O345" i="19"/>
  <c r="P345" i="19"/>
  <c r="Q345" i="19"/>
  <c r="R345" i="19"/>
  <c r="S345" i="19"/>
  <c r="L346" i="19"/>
  <c r="M346" i="19"/>
  <c r="N346" i="19"/>
  <c r="O346" i="19"/>
  <c r="P346" i="19"/>
  <c r="Q346" i="19"/>
  <c r="R346" i="19"/>
  <c r="S346" i="19"/>
  <c r="L347" i="19"/>
  <c r="M347" i="19"/>
  <c r="N347" i="19"/>
  <c r="O347" i="19"/>
  <c r="P347" i="19"/>
  <c r="Q347" i="19"/>
  <c r="R347" i="19"/>
  <c r="S347" i="19"/>
  <c r="L348" i="19"/>
  <c r="M348" i="19"/>
  <c r="N348" i="19"/>
  <c r="O348" i="19"/>
  <c r="P348" i="19"/>
  <c r="Q348" i="19"/>
  <c r="R348" i="19"/>
  <c r="S348" i="19"/>
  <c r="L349" i="19"/>
  <c r="M349" i="19"/>
  <c r="N349" i="19"/>
  <c r="O349" i="19"/>
  <c r="P349" i="19"/>
  <c r="Q349" i="19"/>
  <c r="R349" i="19"/>
  <c r="S349" i="19"/>
  <c r="L350" i="19"/>
  <c r="M350" i="19"/>
  <c r="N350" i="19"/>
  <c r="O350" i="19"/>
  <c r="P350" i="19"/>
  <c r="Q350" i="19"/>
  <c r="R350" i="19"/>
  <c r="S350" i="19"/>
  <c r="L351" i="19"/>
  <c r="M351" i="19"/>
  <c r="N351" i="19"/>
  <c r="O351" i="19"/>
  <c r="P351" i="19"/>
  <c r="Q351" i="19"/>
  <c r="R351" i="19"/>
  <c r="S351" i="19"/>
  <c r="L352" i="19"/>
  <c r="M352" i="19"/>
  <c r="N352" i="19"/>
  <c r="O352" i="19"/>
  <c r="P352" i="19"/>
  <c r="Q352" i="19"/>
  <c r="R352" i="19"/>
  <c r="S352" i="19"/>
  <c r="L353" i="19"/>
  <c r="M353" i="19"/>
  <c r="N353" i="19"/>
  <c r="O353" i="19"/>
  <c r="P353" i="19"/>
  <c r="Q353" i="19"/>
  <c r="R353" i="19"/>
  <c r="S353" i="19"/>
  <c r="L354" i="19"/>
  <c r="M354" i="19"/>
  <c r="N354" i="19"/>
  <c r="O354" i="19"/>
  <c r="P354" i="19"/>
  <c r="Q354" i="19"/>
  <c r="R354" i="19"/>
  <c r="S354" i="19"/>
  <c r="L355" i="19"/>
  <c r="M355" i="19"/>
  <c r="N355" i="19"/>
  <c r="O355" i="19"/>
  <c r="P355" i="19"/>
  <c r="Q355" i="19"/>
  <c r="R355" i="19"/>
  <c r="S355" i="19"/>
  <c r="L356" i="19"/>
  <c r="M356" i="19"/>
  <c r="N356" i="19"/>
  <c r="O356" i="19"/>
  <c r="P356" i="19"/>
  <c r="Q356" i="19"/>
  <c r="R356" i="19"/>
  <c r="S356" i="19"/>
  <c r="L357" i="19"/>
  <c r="M357" i="19"/>
  <c r="N357" i="19"/>
  <c r="O357" i="19"/>
  <c r="P357" i="19"/>
  <c r="Q357" i="19"/>
  <c r="R357" i="19"/>
  <c r="S357" i="19"/>
  <c r="L358" i="19"/>
  <c r="M358" i="19"/>
  <c r="N358" i="19"/>
  <c r="O358" i="19"/>
  <c r="P358" i="19"/>
  <c r="Q358" i="19"/>
  <c r="R358" i="19"/>
  <c r="S358" i="19"/>
  <c r="L359" i="19"/>
  <c r="M359" i="19"/>
  <c r="N359" i="19"/>
  <c r="O359" i="19"/>
  <c r="P359" i="19"/>
  <c r="Q359" i="19"/>
  <c r="R359" i="19"/>
  <c r="S359" i="19"/>
  <c r="L360" i="19"/>
  <c r="M360" i="19"/>
  <c r="N360" i="19"/>
  <c r="O360" i="19"/>
  <c r="P360" i="19"/>
  <c r="Q360" i="19"/>
  <c r="R360" i="19"/>
  <c r="S360" i="19"/>
  <c r="L361" i="19"/>
  <c r="M361" i="19"/>
  <c r="N361" i="19"/>
  <c r="O361" i="19"/>
  <c r="P361" i="19"/>
  <c r="Q361" i="19"/>
  <c r="R361" i="19"/>
  <c r="S361" i="19"/>
  <c r="L362" i="19"/>
  <c r="M362" i="19"/>
  <c r="N362" i="19"/>
  <c r="O362" i="19"/>
  <c r="P362" i="19"/>
  <c r="Q362" i="19"/>
  <c r="R362" i="19"/>
  <c r="S362" i="19"/>
  <c r="L363" i="19"/>
  <c r="M363" i="19"/>
  <c r="N363" i="19"/>
  <c r="O363" i="19"/>
  <c r="P363" i="19"/>
  <c r="Q363" i="19"/>
  <c r="R363" i="19"/>
  <c r="S363" i="19"/>
  <c r="L364" i="19"/>
  <c r="M364" i="19"/>
  <c r="N364" i="19"/>
  <c r="O364" i="19"/>
  <c r="P364" i="19"/>
  <c r="Q364" i="19"/>
  <c r="R364" i="19"/>
  <c r="S364" i="19"/>
  <c r="L365" i="19"/>
  <c r="M365" i="19"/>
  <c r="N365" i="19"/>
  <c r="O365" i="19"/>
  <c r="P365" i="19"/>
  <c r="Q365" i="19"/>
  <c r="R365" i="19"/>
  <c r="S365" i="19"/>
  <c r="L366" i="19"/>
  <c r="M366" i="19"/>
  <c r="N366" i="19"/>
  <c r="O366" i="19"/>
  <c r="P366" i="19"/>
  <c r="Q366" i="19"/>
  <c r="R366" i="19"/>
  <c r="S366" i="19"/>
  <c r="L367" i="19"/>
  <c r="M367" i="19"/>
  <c r="N367" i="19"/>
  <c r="O367" i="19"/>
  <c r="P367" i="19"/>
  <c r="Q367" i="19"/>
  <c r="R367" i="19"/>
  <c r="S367" i="19"/>
  <c r="L368" i="19"/>
  <c r="M368" i="19"/>
  <c r="N368" i="19"/>
  <c r="O368" i="19"/>
  <c r="P368" i="19"/>
  <c r="Q368" i="19"/>
  <c r="R368" i="19"/>
  <c r="S368" i="19"/>
  <c r="L369" i="19"/>
  <c r="M369" i="19"/>
  <c r="N369" i="19"/>
  <c r="O369" i="19"/>
  <c r="P369" i="19"/>
  <c r="Q369" i="19"/>
  <c r="R369" i="19"/>
  <c r="S369" i="19"/>
  <c r="L370" i="19"/>
  <c r="M370" i="19"/>
  <c r="N370" i="19"/>
  <c r="O370" i="19"/>
  <c r="P370" i="19"/>
  <c r="Q370" i="19"/>
  <c r="R370" i="19"/>
  <c r="S370" i="19"/>
  <c r="L371" i="19"/>
  <c r="M371" i="19"/>
  <c r="N371" i="19"/>
  <c r="O371" i="19"/>
  <c r="P371" i="19"/>
  <c r="Q371" i="19"/>
  <c r="R371" i="19"/>
  <c r="S371" i="19"/>
  <c r="L372" i="19"/>
  <c r="M372" i="19"/>
  <c r="N372" i="19"/>
  <c r="O372" i="19"/>
  <c r="P372" i="19"/>
  <c r="Q372" i="19"/>
  <c r="R372" i="19"/>
  <c r="S372" i="19"/>
  <c r="L373" i="19"/>
  <c r="M373" i="19"/>
  <c r="N373" i="19"/>
  <c r="O373" i="19"/>
  <c r="P373" i="19"/>
  <c r="Q373" i="19"/>
  <c r="R373" i="19"/>
  <c r="S373" i="19"/>
  <c r="L374" i="19"/>
  <c r="M374" i="19"/>
  <c r="N374" i="19"/>
  <c r="O374" i="19"/>
  <c r="P374" i="19"/>
  <c r="Q374" i="19"/>
  <c r="R374" i="19"/>
  <c r="S374" i="19"/>
  <c r="L375" i="19"/>
  <c r="M375" i="19"/>
  <c r="N375" i="19"/>
  <c r="O375" i="19"/>
  <c r="P375" i="19"/>
  <c r="Q375" i="19"/>
  <c r="R375" i="19"/>
  <c r="S375" i="19"/>
  <c r="L376" i="19"/>
  <c r="M376" i="19"/>
  <c r="N376" i="19"/>
  <c r="O376" i="19"/>
  <c r="P376" i="19"/>
  <c r="Q376" i="19"/>
  <c r="R376" i="19"/>
  <c r="S376" i="19"/>
  <c r="L377" i="19"/>
  <c r="M377" i="19"/>
  <c r="N377" i="19"/>
  <c r="O377" i="19"/>
  <c r="P377" i="19"/>
  <c r="Q377" i="19"/>
  <c r="R377" i="19"/>
  <c r="S377" i="19"/>
  <c r="L378" i="19"/>
  <c r="M378" i="19"/>
  <c r="N378" i="19"/>
  <c r="O378" i="19"/>
  <c r="P378" i="19"/>
  <c r="Q378" i="19"/>
  <c r="R378" i="19"/>
  <c r="S378" i="19"/>
  <c r="L379" i="19"/>
  <c r="M379" i="19"/>
  <c r="N379" i="19"/>
  <c r="O379" i="19"/>
  <c r="P379" i="19"/>
  <c r="Q379" i="19"/>
  <c r="R379" i="19"/>
  <c r="S379" i="19"/>
  <c r="L380" i="19"/>
  <c r="M380" i="19"/>
  <c r="N380" i="19"/>
  <c r="O380" i="19"/>
  <c r="P380" i="19"/>
  <c r="Q380" i="19"/>
  <c r="R380" i="19"/>
  <c r="S380" i="19"/>
  <c r="L381" i="19"/>
  <c r="M381" i="19"/>
  <c r="N381" i="19"/>
  <c r="O381" i="19"/>
  <c r="P381" i="19"/>
  <c r="Q381" i="19"/>
  <c r="R381" i="19"/>
  <c r="S381" i="19"/>
  <c r="L382" i="19"/>
  <c r="M382" i="19"/>
  <c r="N382" i="19"/>
  <c r="O382" i="19"/>
  <c r="P382" i="19"/>
  <c r="Q382" i="19"/>
  <c r="R382" i="19"/>
  <c r="S382" i="19"/>
  <c r="L383" i="19"/>
  <c r="M383" i="19"/>
  <c r="N383" i="19"/>
  <c r="O383" i="19"/>
  <c r="P383" i="19"/>
  <c r="Q383" i="19"/>
  <c r="R383" i="19"/>
  <c r="S383" i="19"/>
  <c r="L384" i="19"/>
  <c r="M384" i="19"/>
  <c r="N384" i="19"/>
  <c r="O384" i="19"/>
  <c r="P384" i="19"/>
  <c r="Q384" i="19"/>
  <c r="R384" i="19"/>
  <c r="S384" i="19"/>
  <c r="L385" i="19"/>
  <c r="M385" i="19"/>
  <c r="N385" i="19"/>
  <c r="O385" i="19"/>
  <c r="P385" i="19"/>
  <c r="Q385" i="19"/>
  <c r="R385" i="19"/>
  <c r="S385" i="19"/>
  <c r="L386" i="19"/>
  <c r="M386" i="19"/>
  <c r="N386" i="19"/>
  <c r="O386" i="19"/>
  <c r="P386" i="19"/>
  <c r="Q386" i="19"/>
  <c r="R386" i="19"/>
  <c r="S386" i="19"/>
  <c r="L387" i="19"/>
  <c r="M387" i="19"/>
  <c r="N387" i="19"/>
  <c r="O387" i="19"/>
  <c r="P387" i="19"/>
  <c r="Q387" i="19"/>
  <c r="R387" i="19"/>
  <c r="S387" i="19"/>
  <c r="L388" i="19"/>
  <c r="M388" i="19"/>
  <c r="N388" i="19"/>
  <c r="O388" i="19"/>
  <c r="P388" i="19"/>
  <c r="Q388" i="19"/>
  <c r="R388" i="19"/>
  <c r="S388" i="19"/>
  <c r="L389" i="19"/>
  <c r="M389" i="19"/>
  <c r="N389" i="19"/>
  <c r="O389" i="19"/>
  <c r="P389" i="19"/>
  <c r="Q389" i="19"/>
  <c r="R389" i="19"/>
  <c r="S389" i="19"/>
  <c r="L390" i="19"/>
  <c r="M390" i="19"/>
  <c r="N390" i="19"/>
  <c r="O390" i="19"/>
  <c r="P390" i="19"/>
  <c r="Q390" i="19"/>
  <c r="R390" i="19"/>
  <c r="S390" i="19"/>
  <c r="L391" i="19"/>
  <c r="M391" i="19"/>
  <c r="N391" i="19"/>
  <c r="O391" i="19"/>
  <c r="P391" i="19"/>
  <c r="Q391" i="19"/>
  <c r="R391" i="19"/>
  <c r="S391" i="19"/>
  <c r="L392" i="19"/>
  <c r="M392" i="19"/>
  <c r="N392" i="19"/>
  <c r="O392" i="19"/>
  <c r="P392" i="19"/>
  <c r="Q392" i="19"/>
  <c r="R392" i="19"/>
  <c r="S392" i="19"/>
  <c r="L393" i="19"/>
  <c r="M393" i="19"/>
  <c r="N393" i="19"/>
  <c r="O393" i="19"/>
  <c r="P393" i="19"/>
  <c r="Q393" i="19"/>
  <c r="R393" i="19"/>
  <c r="S393" i="19"/>
  <c r="L394" i="19"/>
  <c r="M394" i="19"/>
  <c r="N394" i="19"/>
  <c r="O394" i="19"/>
  <c r="P394" i="19"/>
  <c r="Q394" i="19"/>
  <c r="R394" i="19"/>
  <c r="S394" i="19"/>
  <c r="L395" i="19"/>
  <c r="M395" i="19"/>
  <c r="N395" i="19"/>
  <c r="O395" i="19"/>
  <c r="P395" i="19"/>
  <c r="Q395" i="19"/>
  <c r="R395" i="19"/>
  <c r="S395" i="19"/>
  <c r="L396" i="19"/>
  <c r="M396" i="19"/>
  <c r="N396" i="19"/>
  <c r="O396" i="19"/>
  <c r="P396" i="19"/>
  <c r="Q396" i="19"/>
  <c r="R396" i="19"/>
  <c r="S396" i="19"/>
  <c r="L397" i="19"/>
  <c r="M397" i="19"/>
  <c r="N397" i="19"/>
  <c r="O397" i="19"/>
  <c r="P397" i="19"/>
  <c r="Q397" i="19"/>
  <c r="R397" i="19"/>
  <c r="S397" i="19"/>
  <c r="L398" i="19"/>
  <c r="M398" i="19"/>
  <c r="N398" i="19"/>
  <c r="O398" i="19"/>
  <c r="P398" i="19"/>
  <c r="Q398" i="19"/>
  <c r="R398" i="19"/>
  <c r="S398" i="19"/>
  <c r="L399" i="19"/>
  <c r="M399" i="19"/>
  <c r="N399" i="19"/>
  <c r="O399" i="19"/>
  <c r="P399" i="19"/>
  <c r="Q399" i="19"/>
  <c r="R399" i="19"/>
  <c r="S399" i="19"/>
  <c r="L400" i="19"/>
  <c r="M400" i="19"/>
  <c r="N400" i="19"/>
  <c r="O400" i="19"/>
  <c r="P400" i="19"/>
  <c r="Q400" i="19"/>
  <c r="R400" i="19"/>
  <c r="S400" i="19"/>
  <c r="L401" i="19"/>
  <c r="M401" i="19"/>
  <c r="N401" i="19"/>
  <c r="O401" i="19"/>
  <c r="P401" i="19"/>
  <c r="Q401" i="19"/>
  <c r="R401" i="19"/>
  <c r="S401" i="19"/>
  <c r="L402" i="19"/>
  <c r="M402" i="19"/>
  <c r="N402" i="19"/>
  <c r="O402" i="19"/>
  <c r="P402" i="19"/>
  <c r="Q402" i="19"/>
  <c r="R402" i="19"/>
  <c r="S402" i="19"/>
  <c r="L403" i="19"/>
  <c r="M403" i="19"/>
  <c r="N403" i="19"/>
  <c r="O403" i="19"/>
  <c r="P403" i="19"/>
  <c r="Q403" i="19"/>
  <c r="R403" i="19"/>
  <c r="S403" i="19"/>
  <c r="L404" i="19"/>
  <c r="M404" i="19"/>
  <c r="N404" i="19"/>
  <c r="O404" i="19"/>
  <c r="P404" i="19"/>
  <c r="Q404" i="19"/>
  <c r="R404" i="19"/>
  <c r="S404" i="19"/>
  <c r="L405" i="19"/>
  <c r="M405" i="19"/>
  <c r="N405" i="19"/>
  <c r="O405" i="19"/>
  <c r="P405" i="19"/>
  <c r="Q405" i="19"/>
  <c r="R405" i="19"/>
  <c r="S405" i="19"/>
  <c r="L406" i="19"/>
  <c r="M406" i="19"/>
  <c r="N406" i="19"/>
  <c r="O406" i="19"/>
  <c r="P406" i="19"/>
  <c r="Q406" i="19"/>
  <c r="R406" i="19"/>
  <c r="S406" i="19"/>
  <c r="L407" i="19"/>
  <c r="M407" i="19"/>
  <c r="N407" i="19"/>
  <c r="O407" i="19"/>
  <c r="P407" i="19"/>
  <c r="Q407" i="19"/>
  <c r="R407" i="19"/>
  <c r="S407" i="19"/>
  <c r="L408" i="19"/>
  <c r="M408" i="19"/>
  <c r="N408" i="19"/>
  <c r="O408" i="19"/>
  <c r="P408" i="19"/>
  <c r="Q408" i="19"/>
  <c r="R408" i="19"/>
  <c r="S408" i="19"/>
  <c r="L409" i="19"/>
  <c r="M409" i="19"/>
  <c r="N409" i="19"/>
  <c r="O409" i="19"/>
  <c r="P409" i="19"/>
  <c r="Q409" i="19"/>
  <c r="R409" i="19"/>
  <c r="S409" i="19"/>
  <c r="L410" i="19"/>
  <c r="M410" i="19"/>
  <c r="N410" i="19"/>
  <c r="O410" i="19"/>
  <c r="P410" i="19"/>
  <c r="Q410" i="19"/>
  <c r="R410" i="19"/>
  <c r="S410" i="19"/>
  <c r="L411" i="19"/>
  <c r="M411" i="19"/>
  <c r="N411" i="19"/>
  <c r="O411" i="19"/>
  <c r="P411" i="19"/>
  <c r="Q411" i="19"/>
  <c r="R411" i="19"/>
  <c r="S411" i="19"/>
  <c r="L412" i="19"/>
  <c r="M412" i="19"/>
  <c r="N412" i="19"/>
  <c r="O412" i="19"/>
  <c r="P412" i="19"/>
  <c r="Q412" i="19"/>
  <c r="R412" i="19"/>
  <c r="S412" i="19"/>
  <c r="L413" i="19"/>
  <c r="M413" i="19"/>
  <c r="N413" i="19"/>
  <c r="O413" i="19"/>
  <c r="P413" i="19"/>
  <c r="Q413" i="19"/>
  <c r="R413" i="19"/>
  <c r="S413" i="19"/>
  <c r="L414" i="19"/>
  <c r="M414" i="19"/>
  <c r="N414" i="19"/>
  <c r="O414" i="19"/>
  <c r="P414" i="19"/>
  <c r="Q414" i="19"/>
  <c r="R414" i="19"/>
  <c r="S414" i="19"/>
  <c r="L415" i="19"/>
  <c r="M415" i="19"/>
  <c r="N415" i="19"/>
  <c r="O415" i="19"/>
  <c r="P415" i="19"/>
  <c r="Q415" i="19"/>
  <c r="R415" i="19"/>
  <c r="S415" i="19"/>
  <c r="L416" i="19"/>
  <c r="M416" i="19"/>
  <c r="N416" i="19"/>
  <c r="O416" i="19"/>
  <c r="P416" i="19"/>
  <c r="Q416" i="19"/>
  <c r="R416" i="19"/>
  <c r="S416" i="19"/>
  <c r="L417" i="19"/>
  <c r="M417" i="19"/>
  <c r="N417" i="19"/>
  <c r="O417" i="19"/>
  <c r="P417" i="19"/>
  <c r="Q417" i="19"/>
  <c r="R417" i="19"/>
  <c r="S417" i="19"/>
  <c r="L418" i="19"/>
  <c r="M418" i="19"/>
  <c r="N418" i="19"/>
  <c r="O418" i="19"/>
  <c r="P418" i="19"/>
  <c r="Q418" i="19"/>
  <c r="R418" i="19"/>
  <c r="S418" i="19"/>
  <c r="L419" i="19"/>
  <c r="M419" i="19"/>
  <c r="N419" i="19"/>
  <c r="O419" i="19"/>
  <c r="P419" i="19"/>
  <c r="Q419" i="19"/>
  <c r="R419" i="19"/>
  <c r="S419" i="19"/>
  <c r="L420" i="19"/>
  <c r="M420" i="19"/>
  <c r="N420" i="19"/>
  <c r="O420" i="19"/>
  <c r="P420" i="19"/>
  <c r="Q420" i="19"/>
  <c r="R420" i="19"/>
  <c r="S420" i="19"/>
  <c r="L421" i="19"/>
  <c r="M421" i="19"/>
  <c r="N421" i="19"/>
  <c r="O421" i="19"/>
  <c r="P421" i="19"/>
  <c r="Q421" i="19"/>
  <c r="R421" i="19"/>
  <c r="S421" i="19"/>
  <c r="L422" i="19"/>
  <c r="M422" i="19"/>
  <c r="N422" i="19"/>
  <c r="O422" i="19"/>
  <c r="P422" i="19"/>
  <c r="Q422" i="19"/>
  <c r="R422" i="19"/>
  <c r="S422" i="19"/>
  <c r="L423" i="19"/>
  <c r="M423" i="19"/>
  <c r="N423" i="19"/>
  <c r="O423" i="19"/>
  <c r="P423" i="19"/>
  <c r="Q423" i="19"/>
  <c r="R423" i="19"/>
  <c r="S423" i="19"/>
  <c r="L424" i="19"/>
  <c r="M424" i="19"/>
  <c r="N424" i="19"/>
  <c r="O424" i="19"/>
  <c r="P424" i="19"/>
  <c r="Q424" i="19"/>
  <c r="R424" i="19"/>
  <c r="S424" i="19"/>
  <c r="L425" i="19"/>
  <c r="M425" i="19"/>
  <c r="N425" i="19"/>
  <c r="O425" i="19"/>
  <c r="P425" i="19"/>
  <c r="Q425" i="19"/>
  <c r="R425" i="19"/>
  <c r="S425" i="19"/>
  <c r="L426" i="19"/>
  <c r="M426" i="19"/>
  <c r="N426" i="19"/>
  <c r="O426" i="19"/>
  <c r="P426" i="19"/>
  <c r="Q426" i="19"/>
  <c r="R426" i="19"/>
  <c r="S426" i="19"/>
  <c r="L427" i="19"/>
  <c r="M427" i="19"/>
  <c r="N427" i="19"/>
  <c r="O427" i="19"/>
  <c r="P427" i="19"/>
  <c r="Q427" i="19"/>
  <c r="R427" i="19"/>
  <c r="S427" i="19"/>
  <c r="L428" i="19"/>
  <c r="M428" i="19"/>
  <c r="N428" i="19"/>
  <c r="O428" i="19"/>
  <c r="P428" i="19"/>
  <c r="Q428" i="19"/>
  <c r="R428" i="19"/>
  <c r="S428" i="19"/>
  <c r="L429" i="19"/>
  <c r="M429" i="19"/>
  <c r="N429" i="19"/>
  <c r="O429" i="19"/>
  <c r="P429" i="19"/>
  <c r="Q429" i="19"/>
  <c r="R429" i="19"/>
  <c r="S429" i="19"/>
  <c r="L430" i="19"/>
  <c r="M430" i="19"/>
  <c r="N430" i="19"/>
  <c r="O430" i="19"/>
  <c r="P430" i="19"/>
  <c r="Q430" i="19"/>
  <c r="R430" i="19"/>
  <c r="S430" i="19"/>
  <c r="L431" i="19"/>
  <c r="M431" i="19"/>
  <c r="N431" i="19"/>
  <c r="O431" i="19"/>
  <c r="P431" i="19"/>
  <c r="Q431" i="19"/>
  <c r="R431" i="19"/>
  <c r="S431" i="19"/>
  <c r="L432" i="19"/>
  <c r="M432" i="19"/>
  <c r="N432" i="19"/>
  <c r="O432" i="19"/>
  <c r="P432" i="19"/>
  <c r="Q432" i="19"/>
  <c r="R432" i="19"/>
  <c r="S432" i="19"/>
  <c r="L433" i="19"/>
  <c r="M433" i="19"/>
  <c r="N433" i="19"/>
  <c r="O433" i="19"/>
  <c r="P433" i="19"/>
  <c r="Q433" i="19"/>
  <c r="R433" i="19"/>
  <c r="S433" i="19"/>
  <c r="L434" i="19"/>
  <c r="M434" i="19"/>
  <c r="N434" i="19"/>
  <c r="O434" i="19"/>
  <c r="P434" i="19"/>
  <c r="Q434" i="19"/>
  <c r="R434" i="19"/>
  <c r="S434" i="19"/>
  <c r="L435" i="19"/>
  <c r="M435" i="19"/>
  <c r="N435" i="19"/>
  <c r="O435" i="19"/>
  <c r="P435" i="19"/>
  <c r="Q435" i="19"/>
  <c r="R435" i="19"/>
  <c r="S435" i="19"/>
  <c r="L436" i="19"/>
  <c r="M436" i="19"/>
  <c r="N436" i="19"/>
  <c r="O436" i="19"/>
  <c r="P436" i="19"/>
  <c r="Q436" i="19"/>
  <c r="R436" i="19"/>
  <c r="S436" i="19"/>
  <c r="L437" i="19"/>
  <c r="M437" i="19"/>
  <c r="N437" i="19"/>
  <c r="O437" i="19"/>
  <c r="P437" i="19"/>
  <c r="Q437" i="19"/>
  <c r="R437" i="19"/>
  <c r="S437" i="19"/>
  <c r="L438" i="19"/>
  <c r="M438" i="19"/>
  <c r="N438" i="19"/>
  <c r="O438" i="19"/>
  <c r="P438" i="19"/>
  <c r="Q438" i="19"/>
  <c r="R438" i="19"/>
  <c r="S438" i="19"/>
  <c r="L439" i="19"/>
  <c r="M439" i="19"/>
  <c r="N439" i="19"/>
  <c r="O439" i="19"/>
  <c r="P439" i="19"/>
  <c r="Q439" i="19"/>
  <c r="R439" i="19"/>
  <c r="S439" i="19"/>
  <c r="L440" i="19"/>
  <c r="M440" i="19"/>
  <c r="N440" i="19"/>
  <c r="O440" i="19"/>
  <c r="P440" i="19"/>
  <c r="Q440" i="19"/>
  <c r="R440" i="19"/>
  <c r="S440" i="19"/>
  <c r="L441" i="19"/>
  <c r="M441" i="19"/>
  <c r="N441" i="19"/>
  <c r="O441" i="19"/>
  <c r="P441" i="19"/>
  <c r="Q441" i="19"/>
  <c r="R441" i="19"/>
  <c r="S441" i="19"/>
  <c r="L442" i="19"/>
  <c r="M442" i="19"/>
  <c r="N442" i="19"/>
  <c r="O442" i="19"/>
  <c r="P442" i="19"/>
  <c r="Q442" i="19"/>
  <c r="R442" i="19"/>
  <c r="S442" i="19"/>
  <c r="L443" i="19"/>
  <c r="M443" i="19"/>
  <c r="N443" i="19"/>
  <c r="O443" i="19"/>
  <c r="P443" i="19"/>
  <c r="Q443" i="19"/>
  <c r="R443" i="19"/>
  <c r="S443" i="19"/>
  <c r="L444" i="19"/>
  <c r="M444" i="19"/>
  <c r="N444" i="19"/>
  <c r="O444" i="19"/>
  <c r="P444" i="19"/>
  <c r="Q444" i="19"/>
  <c r="R444" i="19"/>
  <c r="S444" i="19"/>
  <c r="L445" i="19"/>
  <c r="M445" i="19"/>
  <c r="N445" i="19"/>
  <c r="O445" i="19"/>
  <c r="P445" i="19"/>
  <c r="Q445" i="19"/>
  <c r="R445" i="19"/>
  <c r="S445" i="19"/>
  <c r="L446" i="19"/>
  <c r="M446" i="19"/>
  <c r="N446" i="19"/>
  <c r="O446" i="19"/>
  <c r="P446" i="19"/>
  <c r="Q446" i="19"/>
  <c r="R446" i="19"/>
  <c r="S446" i="19"/>
  <c r="L447" i="19"/>
  <c r="M447" i="19"/>
  <c r="N447" i="19"/>
  <c r="O447" i="19"/>
  <c r="P447" i="19"/>
  <c r="Q447" i="19"/>
  <c r="R447" i="19"/>
  <c r="S447" i="19"/>
  <c r="L448" i="19"/>
  <c r="M448" i="19"/>
  <c r="N448" i="19"/>
  <c r="O448" i="19"/>
  <c r="P448" i="19"/>
  <c r="Q448" i="19"/>
  <c r="R448" i="19"/>
  <c r="S448" i="19"/>
  <c r="L449" i="19"/>
  <c r="M449" i="19"/>
  <c r="N449" i="19"/>
  <c r="O449" i="19"/>
  <c r="P449" i="19"/>
  <c r="Q449" i="19"/>
  <c r="R449" i="19"/>
  <c r="S449" i="19"/>
  <c r="L450" i="19"/>
  <c r="M450" i="19"/>
  <c r="N450" i="19"/>
  <c r="O450" i="19"/>
  <c r="P450" i="19"/>
  <c r="Q450" i="19"/>
  <c r="R450" i="19"/>
  <c r="S450" i="19"/>
  <c r="L451" i="19"/>
  <c r="M451" i="19"/>
  <c r="N451" i="19"/>
  <c r="O451" i="19"/>
  <c r="P451" i="19"/>
  <c r="Q451" i="19"/>
  <c r="R451" i="19"/>
  <c r="S451" i="19"/>
  <c r="L452" i="19"/>
  <c r="M452" i="19"/>
  <c r="N452" i="19"/>
  <c r="O452" i="19"/>
  <c r="P452" i="19"/>
  <c r="Q452" i="19"/>
  <c r="R452" i="19"/>
  <c r="S452" i="19"/>
  <c r="L453" i="19"/>
  <c r="M453" i="19"/>
  <c r="N453" i="19"/>
  <c r="O453" i="19"/>
  <c r="P453" i="19"/>
  <c r="Q453" i="19"/>
  <c r="R453" i="19"/>
  <c r="S453" i="19"/>
  <c r="L454" i="19"/>
  <c r="M454" i="19"/>
  <c r="N454" i="19"/>
  <c r="O454" i="19"/>
  <c r="P454" i="19"/>
  <c r="Q454" i="19"/>
  <c r="R454" i="19"/>
  <c r="S454" i="19"/>
  <c r="L455" i="19"/>
  <c r="M455" i="19"/>
  <c r="N455" i="19"/>
  <c r="O455" i="19"/>
  <c r="P455" i="19"/>
  <c r="Q455" i="19"/>
  <c r="R455" i="19"/>
  <c r="S455" i="19"/>
  <c r="L456" i="19"/>
  <c r="M456" i="19"/>
  <c r="N456" i="19"/>
  <c r="O456" i="19"/>
  <c r="P456" i="19"/>
  <c r="Q456" i="19"/>
  <c r="R456" i="19"/>
  <c r="S456" i="19"/>
  <c r="L457" i="19"/>
  <c r="M457" i="19"/>
  <c r="N457" i="19"/>
  <c r="O457" i="19"/>
  <c r="P457" i="19"/>
  <c r="Q457" i="19"/>
  <c r="R457" i="19"/>
  <c r="S457" i="19"/>
  <c r="L458" i="19"/>
  <c r="M458" i="19"/>
  <c r="N458" i="19"/>
  <c r="O458" i="19"/>
  <c r="P458" i="19"/>
  <c r="Q458" i="19"/>
  <c r="R458" i="19"/>
  <c r="S458" i="19"/>
  <c r="L459" i="19"/>
  <c r="M459" i="19"/>
  <c r="N459" i="19"/>
  <c r="O459" i="19"/>
  <c r="P459" i="19"/>
  <c r="Q459" i="19"/>
  <c r="R459" i="19"/>
  <c r="S459" i="19"/>
  <c r="L460" i="19"/>
  <c r="M460" i="19"/>
  <c r="N460" i="19"/>
  <c r="O460" i="19"/>
  <c r="P460" i="19"/>
  <c r="Q460" i="19"/>
  <c r="R460" i="19"/>
  <c r="S460" i="19"/>
  <c r="L461" i="19"/>
  <c r="M461" i="19"/>
  <c r="N461" i="19"/>
  <c r="O461" i="19"/>
  <c r="P461" i="19"/>
  <c r="Q461" i="19"/>
  <c r="R461" i="19"/>
  <c r="S461" i="19"/>
  <c r="L462" i="19"/>
  <c r="M462" i="19"/>
  <c r="N462" i="19"/>
  <c r="O462" i="19"/>
  <c r="P462" i="19"/>
  <c r="Q462" i="19"/>
  <c r="R462" i="19"/>
  <c r="S462" i="19"/>
  <c r="L463" i="19"/>
  <c r="M463" i="19"/>
  <c r="N463" i="19"/>
  <c r="O463" i="19"/>
  <c r="P463" i="19"/>
  <c r="Q463" i="19"/>
  <c r="R463" i="19"/>
  <c r="S463" i="19"/>
  <c r="L464" i="19"/>
  <c r="M464" i="19"/>
  <c r="N464" i="19"/>
  <c r="O464" i="19"/>
  <c r="P464" i="19"/>
  <c r="Q464" i="19"/>
  <c r="R464" i="19"/>
  <c r="S464" i="19"/>
  <c r="L465" i="19"/>
  <c r="M465" i="19"/>
  <c r="N465" i="19"/>
  <c r="O465" i="19"/>
  <c r="P465" i="19"/>
  <c r="Q465" i="19"/>
  <c r="R465" i="19"/>
  <c r="S465" i="19"/>
  <c r="L466" i="19"/>
  <c r="M466" i="19"/>
  <c r="N466" i="19"/>
  <c r="O466" i="19"/>
  <c r="P466" i="19"/>
  <c r="Q466" i="19"/>
  <c r="R466" i="19"/>
  <c r="S466" i="19"/>
  <c r="L467" i="19"/>
  <c r="M467" i="19"/>
  <c r="N467" i="19"/>
  <c r="O467" i="19"/>
  <c r="P467" i="19"/>
  <c r="Q467" i="19"/>
  <c r="R467" i="19"/>
  <c r="S467" i="19"/>
  <c r="L468" i="19"/>
  <c r="M468" i="19"/>
  <c r="N468" i="19"/>
  <c r="O468" i="19"/>
  <c r="P468" i="19"/>
  <c r="Q468" i="19"/>
  <c r="R468" i="19"/>
  <c r="S468" i="19"/>
  <c r="L469" i="19"/>
  <c r="M469" i="19"/>
  <c r="N469" i="19"/>
  <c r="O469" i="19"/>
  <c r="P469" i="19"/>
  <c r="Q469" i="19"/>
  <c r="R469" i="19"/>
  <c r="S469" i="19"/>
  <c r="L470" i="19"/>
  <c r="M470" i="19"/>
  <c r="N470" i="19"/>
  <c r="O470" i="19"/>
  <c r="P470" i="19"/>
  <c r="Q470" i="19"/>
  <c r="R470" i="19"/>
  <c r="S470" i="19"/>
  <c r="L471" i="19"/>
  <c r="M471" i="19"/>
  <c r="N471" i="19"/>
  <c r="O471" i="19"/>
  <c r="P471" i="19"/>
  <c r="Q471" i="19"/>
  <c r="R471" i="19"/>
  <c r="S471" i="19"/>
  <c r="L472" i="19"/>
  <c r="M472" i="19"/>
  <c r="N472" i="19"/>
  <c r="O472" i="19"/>
  <c r="P472" i="19"/>
  <c r="Q472" i="19"/>
  <c r="R472" i="19"/>
  <c r="S472" i="19"/>
  <c r="L473" i="19"/>
  <c r="M473" i="19"/>
  <c r="N473" i="19"/>
  <c r="O473" i="19"/>
  <c r="P473" i="19"/>
  <c r="Q473" i="19"/>
  <c r="R473" i="19"/>
  <c r="S473" i="19"/>
  <c r="L474" i="19"/>
  <c r="M474" i="19"/>
  <c r="N474" i="19"/>
  <c r="O474" i="19"/>
  <c r="P474" i="19"/>
  <c r="Q474" i="19"/>
  <c r="R474" i="19"/>
  <c r="S474" i="19"/>
  <c r="L475" i="19"/>
  <c r="M475" i="19"/>
  <c r="N475" i="19"/>
  <c r="O475" i="19"/>
  <c r="P475" i="19"/>
  <c r="Q475" i="19"/>
  <c r="R475" i="19"/>
  <c r="S475" i="19"/>
  <c r="L476" i="19"/>
  <c r="M476" i="19"/>
  <c r="N476" i="19"/>
  <c r="O476" i="19"/>
  <c r="P476" i="19"/>
  <c r="Q476" i="19"/>
  <c r="R476" i="19"/>
  <c r="S476" i="19"/>
  <c r="L477" i="19"/>
  <c r="M477" i="19"/>
  <c r="N477" i="19"/>
  <c r="O477" i="19"/>
  <c r="P477" i="19"/>
  <c r="Q477" i="19"/>
  <c r="R477" i="19"/>
  <c r="S477" i="19"/>
  <c r="L478" i="19"/>
  <c r="M478" i="19"/>
  <c r="N478" i="19"/>
  <c r="O478" i="19"/>
  <c r="P478" i="19"/>
  <c r="Q478" i="19"/>
  <c r="R478" i="19"/>
  <c r="S478" i="19"/>
  <c r="L479" i="19"/>
  <c r="M479" i="19"/>
  <c r="N479" i="19"/>
  <c r="O479" i="19"/>
  <c r="P479" i="19"/>
  <c r="Q479" i="19"/>
  <c r="R479" i="19"/>
  <c r="S479" i="19"/>
  <c r="L480" i="19"/>
  <c r="M480" i="19"/>
  <c r="N480" i="19"/>
  <c r="O480" i="19"/>
  <c r="P480" i="19"/>
  <c r="Q480" i="19"/>
  <c r="R480" i="19"/>
  <c r="S480" i="19"/>
  <c r="L481" i="19"/>
  <c r="M481" i="19"/>
  <c r="N481" i="19"/>
  <c r="O481" i="19"/>
  <c r="P481" i="19"/>
  <c r="Q481" i="19"/>
  <c r="R481" i="19"/>
  <c r="S481" i="19"/>
  <c r="L482" i="19"/>
  <c r="M482" i="19"/>
  <c r="N482" i="19"/>
  <c r="O482" i="19"/>
  <c r="P482" i="19"/>
  <c r="Q482" i="19"/>
  <c r="R482" i="19"/>
  <c r="S482" i="19"/>
  <c r="L483" i="19"/>
  <c r="M483" i="19"/>
  <c r="N483" i="19"/>
  <c r="O483" i="19"/>
  <c r="P483" i="19"/>
  <c r="Q483" i="19"/>
  <c r="R483" i="19"/>
  <c r="S483" i="19"/>
  <c r="L484" i="19"/>
  <c r="M484" i="19"/>
  <c r="N484" i="19"/>
  <c r="O484" i="19"/>
  <c r="P484" i="19"/>
  <c r="Q484" i="19"/>
  <c r="R484" i="19"/>
  <c r="S484" i="19"/>
  <c r="L485" i="19"/>
  <c r="M485" i="19"/>
  <c r="N485" i="19"/>
  <c r="O485" i="19"/>
  <c r="P485" i="19"/>
  <c r="Q485" i="19"/>
  <c r="R485" i="19"/>
  <c r="S485" i="19"/>
  <c r="L486" i="19"/>
  <c r="M486" i="19"/>
  <c r="N486" i="19"/>
  <c r="O486" i="19"/>
  <c r="P486" i="19"/>
  <c r="Q486" i="19"/>
  <c r="R486" i="19"/>
  <c r="S486" i="19"/>
  <c r="L487" i="19"/>
  <c r="M487" i="19"/>
  <c r="N487" i="19"/>
  <c r="O487" i="19"/>
  <c r="P487" i="19"/>
  <c r="Q487" i="19"/>
  <c r="R487" i="19"/>
  <c r="S487" i="19"/>
  <c r="L488" i="19"/>
  <c r="M488" i="19"/>
  <c r="N488" i="19"/>
  <c r="O488" i="19"/>
  <c r="P488" i="19"/>
  <c r="Q488" i="19"/>
  <c r="R488" i="19"/>
  <c r="S488" i="19"/>
  <c r="L489" i="19"/>
  <c r="M489" i="19"/>
  <c r="N489" i="19"/>
  <c r="O489" i="19"/>
  <c r="P489" i="19"/>
  <c r="Q489" i="19"/>
  <c r="R489" i="19"/>
  <c r="S489" i="19"/>
  <c r="L490" i="19"/>
  <c r="M490" i="19"/>
  <c r="N490" i="19"/>
  <c r="O490" i="19"/>
  <c r="P490" i="19"/>
  <c r="Q490" i="19"/>
  <c r="R490" i="19"/>
  <c r="S490" i="19"/>
  <c r="L491" i="19"/>
  <c r="M491" i="19"/>
  <c r="N491" i="19"/>
  <c r="O491" i="19"/>
  <c r="P491" i="19"/>
  <c r="Q491" i="19"/>
  <c r="R491" i="19"/>
  <c r="S491" i="19"/>
  <c r="L492" i="19"/>
  <c r="M492" i="19"/>
  <c r="N492" i="19"/>
  <c r="O492" i="19"/>
  <c r="P492" i="19"/>
  <c r="Q492" i="19"/>
  <c r="R492" i="19"/>
  <c r="S492" i="19"/>
  <c r="L493" i="19"/>
  <c r="M493" i="19"/>
  <c r="N493" i="19"/>
  <c r="O493" i="19"/>
  <c r="P493" i="19"/>
  <c r="Q493" i="19"/>
  <c r="R493" i="19"/>
  <c r="S493" i="19"/>
  <c r="L494" i="19"/>
  <c r="M494" i="19"/>
  <c r="N494" i="19"/>
  <c r="O494" i="19"/>
  <c r="P494" i="19"/>
  <c r="Q494" i="19"/>
  <c r="R494" i="19"/>
  <c r="S494" i="19"/>
  <c r="L495" i="19"/>
  <c r="M495" i="19"/>
  <c r="N495" i="19"/>
  <c r="O495" i="19"/>
  <c r="P495" i="19"/>
  <c r="Q495" i="19"/>
  <c r="R495" i="19"/>
  <c r="S495" i="19"/>
  <c r="L496" i="19"/>
  <c r="M496" i="19"/>
  <c r="N496" i="19"/>
  <c r="O496" i="19"/>
  <c r="P496" i="19"/>
  <c r="Q496" i="19"/>
  <c r="R496" i="19"/>
  <c r="S496" i="19"/>
  <c r="L497" i="19"/>
  <c r="M497" i="19"/>
  <c r="N497" i="19"/>
  <c r="O497" i="19"/>
  <c r="P497" i="19"/>
  <c r="Q497" i="19"/>
  <c r="R497" i="19"/>
  <c r="S497" i="19"/>
  <c r="L498" i="19"/>
  <c r="M498" i="19"/>
  <c r="N498" i="19"/>
  <c r="O498" i="19"/>
  <c r="P498" i="19"/>
  <c r="Q498" i="19"/>
  <c r="R498" i="19"/>
  <c r="S498" i="19"/>
  <c r="L499" i="19"/>
  <c r="M499" i="19"/>
  <c r="N499" i="19"/>
  <c r="O499" i="19"/>
  <c r="P499" i="19"/>
  <c r="Q499" i="19"/>
  <c r="R499" i="19"/>
  <c r="S499" i="19"/>
  <c r="L500" i="19"/>
  <c r="M500" i="19"/>
  <c r="N500" i="19"/>
  <c r="O500" i="19"/>
  <c r="P500" i="19"/>
  <c r="Q500" i="19"/>
  <c r="R500" i="19"/>
  <c r="S500" i="19"/>
  <c r="L501" i="19"/>
  <c r="M501" i="19"/>
  <c r="N501" i="19"/>
  <c r="O501" i="19"/>
  <c r="P501" i="19"/>
  <c r="Q501" i="19"/>
  <c r="R501" i="19"/>
  <c r="S501" i="19"/>
  <c r="L502" i="19"/>
  <c r="M502" i="19"/>
  <c r="N502" i="19"/>
  <c r="O502" i="19"/>
  <c r="P502" i="19"/>
  <c r="Q502" i="19"/>
  <c r="R502" i="19"/>
  <c r="S502" i="19"/>
  <c r="L503" i="19"/>
  <c r="M503" i="19"/>
  <c r="N503" i="19"/>
  <c r="O503" i="19"/>
  <c r="P503" i="19"/>
  <c r="Q503" i="19"/>
  <c r="R503" i="19"/>
  <c r="S503" i="19"/>
  <c r="L504" i="19"/>
  <c r="M504" i="19"/>
  <c r="N504" i="19"/>
  <c r="O504" i="19"/>
  <c r="P504" i="19"/>
  <c r="Q504" i="19"/>
  <c r="R504" i="19"/>
  <c r="S504" i="19"/>
  <c r="L505" i="19"/>
  <c r="M505" i="19"/>
  <c r="N505" i="19"/>
  <c r="O505" i="19"/>
  <c r="P505" i="19"/>
  <c r="Q505" i="19"/>
  <c r="R505" i="19"/>
  <c r="S505" i="19"/>
  <c r="L506" i="19"/>
  <c r="M506" i="19"/>
  <c r="N506" i="19"/>
  <c r="O506" i="19"/>
  <c r="P506" i="19"/>
  <c r="Q506" i="19"/>
  <c r="R506" i="19"/>
  <c r="S506" i="19"/>
  <c r="L507" i="19"/>
  <c r="M507" i="19"/>
  <c r="N507" i="19"/>
  <c r="O507" i="19"/>
  <c r="P507" i="19"/>
  <c r="Q507" i="19"/>
  <c r="R507" i="19"/>
  <c r="S507" i="19"/>
  <c r="L508" i="19"/>
  <c r="M508" i="19"/>
  <c r="N508" i="19"/>
  <c r="O508" i="19"/>
  <c r="P508" i="19"/>
  <c r="Q508" i="19"/>
  <c r="R508" i="19"/>
  <c r="S508" i="19"/>
  <c r="L509" i="19"/>
  <c r="M509" i="19"/>
  <c r="N509" i="19"/>
  <c r="O509" i="19"/>
  <c r="P509" i="19"/>
  <c r="Q509" i="19"/>
  <c r="R509" i="19"/>
  <c r="S509" i="19"/>
  <c r="L510" i="19"/>
  <c r="M510" i="19"/>
  <c r="N510" i="19"/>
  <c r="O510" i="19"/>
  <c r="P510" i="19"/>
  <c r="Q510" i="19"/>
  <c r="R510" i="19"/>
  <c r="S510" i="19"/>
  <c r="L511" i="19"/>
  <c r="M511" i="19"/>
  <c r="N511" i="19"/>
  <c r="O511" i="19"/>
  <c r="P511" i="19"/>
  <c r="Q511" i="19"/>
  <c r="R511" i="19"/>
  <c r="S511" i="19"/>
  <c r="L512" i="19"/>
  <c r="M512" i="19"/>
  <c r="N512" i="19"/>
  <c r="O512" i="19"/>
  <c r="P512" i="19"/>
  <c r="Q512" i="19"/>
  <c r="R512" i="19"/>
  <c r="S512" i="19"/>
  <c r="L513" i="19"/>
  <c r="M513" i="19"/>
  <c r="N513" i="19"/>
  <c r="O513" i="19"/>
  <c r="P513" i="19"/>
  <c r="Q513" i="19"/>
  <c r="R513" i="19"/>
  <c r="S513" i="19"/>
  <c r="L514" i="19"/>
  <c r="M514" i="19"/>
  <c r="N514" i="19"/>
  <c r="O514" i="19"/>
  <c r="P514" i="19"/>
  <c r="Q514" i="19"/>
  <c r="R514" i="19"/>
  <c r="S514" i="19"/>
  <c r="L515" i="19"/>
  <c r="M515" i="19"/>
  <c r="N515" i="19"/>
  <c r="O515" i="19"/>
  <c r="P515" i="19"/>
  <c r="Q515" i="19"/>
  <c r="R515" i="19"/>
  <c r="S515" i="19"/>
  <c r="L516" i="19"/>
  <c r="M516" i="19"/>
  <c r="N516" i="19"/>
  <c r="O516" i="19"/>
  <c r="P516" i="19"/>
  <c r="Q516" i="19"/>
  <c r="R516" i="19"/>
  <c r="S516" i="19"/>
  <c r="L517" i="19"/>
  <c r="M517" i="19"/>
  <c r="N517" i="19"/>
  <c r="O517" i="19"/>
  <c r="P517" i="19"/>
  <c r="Q517" i="19"/>
  <c r="R517" i="19"/>
  <c r="S517" i="19"/>
  <c r="L518" i="19"/>
  <c r="M518" i="19"/>
  <c r="N518" i="19"/>
  <c r="O518" i="19"/>
  <c r="P518" i="19"/>
  <c r="Q518" i="19"/>
  <c r="R518" i="19"/>
  <c r="S518" i="19"/>
  <c r="L519" i="19"/>
  <c r="M519" i="19"/>
  <c r="N519" i="19"/>
  <c r="O519" i="19"/>
  <c r="P519" i="19"/>
  <c r="Q519" i="19"/>
  <c r="R519" i="19"/>
  <c r="S519" i="19"/>
  <c r="L520" i="19"/>
  <c r="M520" i="19"/>
  <c r="N520" i="19"/>
  <c r="O520" i="19"/>
  <c r="P520" i="19"/>
  <c r="Q520" i="19"/>
  <c r="R520" i="19"/>
  <c r="S520" i="19"/>
  <c r="L521" i="19"/>
  <c r="M521" i="19"/>
  <c r="N521" i="19"/>
  <c r="O521" i="19"/>
  <c r="P521" i="19"/>
  <c r="Q521" i="19"/>
  <c r="R521" i="19"/>
  <c r="S521" i="19"/>
  <c r="L522" i="19"/>
  <c r="M522" i="19"/>
  <c r="N522" i="19"/>
  <c r="O522" i="19"/>
  <c r="P522" i="19"/>
  <c r="Q522" i="19"/>
  <c r="R522" i="19"/>
  <c r="S522" i="19"/>
  <c r="L523" i="19"/>
  <c r="M523" i="19"/>
  <c r="N523" i="19"/>
  <c r="O523" i="19"/>
  <c r="P523" i="19"/>
  <c r="Q523" i="19"/>
  <c r="R523" i="19"/>
  <c r="S523" i="19"/>
  <c r="L524" i="19"/>
  <c r="M524" i="19"/>
  <c r="N524" i="19"/>
  <c r="O524" i="19"/>
  <c r="P524" i="19"/>
  <c r="Q524" i="19"/>
  <c r="R524" i="19"/>
  <c r="S524" i="19"/>
  <c r="L525" i="19"/>
  <c r="M525" i="19"/>
  <c r="N525" i="19"/>
  <c r="O525" i="19"/>
  <c r="P525" i="19"/>
  <c r="Q525" i="19"/>
  <c r="R525" i="19"/>
  <c r="S525" i="19"/>
  <c r="L526" i="19"/>
  <c r="M526" i="19"/>
  <c r="N526" i="19"/>
  <c r="O526" i="19"/>
  <c r="P526" i="19"/>
  <c r="Q526" i="19"/>
  <c r="R526" i="19"/>
  <c r="S526" i="19"/>
  <c r="L527" i="19"/>
  <c r="M527" i="19"/>
  <c r="N527" i="19"/>
  <c r="O527" i="19"/>
  <c r="P527" i="19"/>
  <c r="Q527" i="19"/>
  <c r="R527" i="19"/>
  <c r="S527" i="19"/>
  <c r="L528" i="19"/>
  <c r="M528" i="19"/>
  <c r="N528" i="19"/>
  <c r="O528" i="19"/>
  <c r="P528" i="19"/>
  <c r="Q528" i="19"/>
  <c r="R528" i="19"/>
  <c r="S528" i="19"/>
  <c r="L529" i="19"/>
  <c r="M529" i="19"/>
  <c r="N529" i="19"/>
  <c r="O529" i="19"/>
  <c r="P529" i="19"/>
  <c r="Q529" i="19"/>
  <c r="R529" i="19"/>
  <c r="S529" i="19"/>
  <c r="L530" i="19"/>
  <c r="M530" i="19"/>
  <c r="N530" i="19"/>
  <c r="O530" i="19"/>
  <c r="P530" i="19"/>
  <c r="Q530" i="19"/>
  <c r="R530" i="19"/>
  <c r="S530" i="19"/>
  <c r="L531" i="19"/>
  <c r="M531" i="19"/>
  <c r="N531" i="19"/>
  <c r="O531" i="19"/>
  <c r="P531" i="19"/>
  <c r="Q531" i="19"/>
  <c r="R531" i="19"/>
  <c r="S531" i="19"/>
  <c r="L532" i="19"/>
  <c r="M532" i="19"/>
  <c r="N532" i="19"/>
  <c r="O532" i="19"/>
  <c r="P532" i="19"/>
  <c r="Q532" i="19"/>
  <c r="R532" i="19"/>
  <c r="S532" i="19"/>
  <c r="L533" i="19"/>
  <c r="M533" i="19"/>
  <c r="N533" i="19"/>
  <c r="O533" i="19"/>
  <c r="P533" i="19"/>
  <c r="Q533" i="19"/>
  <c r="R533" i="19"/>
  <c r="S533" i="19"/>
  <c r="L534" i="19"/>
  <c r="M534" i="19"/>
  <c r="N534" i="19"/>
  <c r="O534" i="19"/>
  <c r="P534" i="19"/>
  <c r="Q534" i="19"/>
  <c r="R534" i="19"/>
  <c r="S534" i="19"/>
  <c r="L535" i="19"/>
  <c r="M535" i="19"/>
  <c r="N535" i="19"/>
  <c r="O535" i="19"/>
  <c r="P535" i="19"/>
  <c r="Q535" i="19"/>
  <c r="R535" i="19"/>
  <c r="S535" i="19"/>
  <c r="L536" i="19"/>
  <c r="M536" i="19"/>
  <c r="N536" i="19"/>
  <c r="O536" i="19"/>
  <c r="P536" i="19"/>
  <c r="Q536" i="19"/>
  <c r="R536" i="19"/>
  <c r="S536" i="19"/>
  <c r="L537" i="19"/>
  <c r="M537" i="19"/>
  <c r="N537" i="19"/>
  <c r="O537" i="19"/>
  <c r="P537" i="19"/>
  <c r="Q537" i="19"/>
  <c r="R537" i="19"/>
  <c r="S537" i="19"/>
  <c r="L538" i="19"/>
  <c r="M538" i="19"/>
  <c r="N538" i="19"/>
  <c r="O538" i="19"/>
  <c r="P538" i="19"/>
  <c r="Q538" i="19"/>
  <c r="R538" i="19"/>
  <c r="S538" i="19"/>
  <c r="L539" i="19"/>
  <c r="M539" i="19"/>
  <c r="N539" i="19"/>
  <c r="O539" i="19"/>
  <c r="P539" i="19"/>
  <c r="Q539" i="19"/>
  <c r="R539" i="19"/>
  <c r="S539" i="19"/>
  <c r="L540" i="19"/>
  <c r="M540" i="19"/>
  <c r="N540" i="19"/>
  <c r="O540" i="19"/>
  <c r="P540" i="19"/>
  <c r="Q540" i="19"/>
  <c r="R540" i="19"/>
  <c r="S540" i="19"/>
  <c r="L541" i="19"/>
  <c r="M541" i="19"/>
  <c r="N541" i="19"/>
  <c r="O541" i="19"/>
  <c r="P541" i="19"/>
  <c r="Q541" i="19"/>
  <c r="R541" i="19"/>
  <c r="S541" i="19"/>
  <c r="L542" i="19"/>
  <c r="M542" i="19"/>
  <c r="N542" i="19"/>
  <c r="O542" i="19"/>
  <c r="P542" i="19"/>
  <c r="Q542" i="19"/>
  <c r="R542" i="19"/>
  <c r="S542" i="19"/>
  <c r="L543" i="19"/>
  <c r="M543" i="19"/>
  <c r="N543" i="19"/>
  <c r="O543" i="19"/>
  <c r="P543" i="19"/>
  <c r="Q543" i="19"/>
  <c r="R543" i="19"/>
  <c r="S543" i="19"/>
  <c r="L544" i="19"/>
  <c r="M544" i="19"/>
  <c r="N544" i="19"/>
  <c r="O544" i="19"/>
  <c r="P544" i="19"/>
  <c r="Q544" i="19"/>
  <c r="R544" i="19"/>
  <c r="S544" i="19"/>
  <c r="L545" i="19"/>
  <c r="M545" i="19"/>
  <c r="N545" i="19"/>
  <c r="O545" i="19"/>
  <c r="P545" i="19"/>
  <c r="Q545" i="19"/>
  <c r="R545" i="19"/>
  <c r="S545" i="19"/>
  <c r="L546" i="19"/>
  <c r="M546" i="19"/>
  <c r="N546" i="19"/>
  <c r="O546" i="19"/>
  <c r="P546" i="19"/>
  <c r="Q546" i="19"/>
  <c r="R546" i="19"/>
  <c r="S546" i="19"/>
  <c r="L547" i="19"/>
  <c r="M547" i="19"/>
  <c r="N547" i="19"/>
  <c r="O547" i="19"/>
  <c r="P547" i="19"/>
  <c r="Q547" i="19"/>
  <c r="R547" i="19"/>
  <c r="S547" i="19"/>
  <c r="L548" i="19"/>
  <c r="M548" i="19"/>
  <c r="N548" i="19"/>
  <c r="O548" i="19"/>
  <c r="P548" i="19"/>
  <c r="Q548" i="19"/>
  <c r="R548" i="19"/>
  <c r="S548" i="19"/>
  <c r="L549" i="19"/>
  <c r="M549" i="19"/>
  <c r="N549" i="19"/>
  <c r="O549" i="19"/>
  <c r="P549" i="19"/>
  <c r="Q549" i="19"/>
  <c r="R549" i="19"/>
  <c r="S549" i="19"/>
  <c r="L550" i="19"/>
  <c r="M550" i="19"/>
  <c r="N550" i="19"/>
  <c r="O550" i="19"/>
  <c r="P550" i="19"/>
  <c r="Q550" i="19"/>
  <c r="R550" i="19"/>
  <c r="S550" i="19"/>
  <c r="L551" i="19"/>
  <c r="M551" i="19"/>
  <c r="N551" i="19"/>
  <c r="O551" i="19"/>
  <c r="P551" i="19"/>
  <c r="Q551" i="19"/>
  <c r="R551" i="19"/>
  <c r="S551" i="19"/>
  <c r="L552" i="19"/>
  <c r="M552" i="19"/>
  <c r="N552" i="19"/>
  <c r="O552" i="19"/>
  <c r="P552" i="19"/>
  <c r="Q552" i="19"/>
  <c r="R552" i="19"/>
  <c r="S552" i="19"/>
  <c r="L553" i="19"/>
  <c r="M553" i="19"/>
  <c r="N553" i="19"/>
  <c r="O553" i="19"/>
  <c r="P553" i="19"/>
  <c r="Q553" i="19"/>
  <c r="R553" i="19"/>
  <c r="S553" i="19"/>
  <c r="L554" i="19"/>
  <c r="M554" i="19"/>
  <c r="N554" i="19"/>
  <c r="O554" i="19"/>
  <c r="P554" i="19"/>
  <c r="Q554" i="19"/>
  <c r="R554" i="19"/>
  <c r="S554" i="19"/>
  <c r="L555" i="19"/>
  <c r="M555" i="19"/>
  <c r="N555" i="19"/>
  <c r="O555" i="19"/>
  <c r="P555" i="19"/>
  <c r="Q555" i="19"/>
  <c r="R555" i="19"/>
  <c r="S555" i="19"/>
  <c r="L556" i="19"/>
  <c r="M556" i="19"/>
  <c r="N556" i="19"/>
  <c r="O556" i="19"/>
  <c r="P556" i="19"/>
  <c r="Q556" i="19"/>
  <c r="R556" i="19"/>
  <c r="S556" i="19"/>
  <c r="L557" i="19"/>
  <c r="M557" i="19"/>
  <c r="N557" i="19"/>
  <c r="O557" i="19"/>
  <c r="P557" i="19"/>
  <c r="Q557" i="19"/>
  <c r="R557" i="19"/>
  <c r="S557" i="19"/>
  <c r="L558" i="19"/>
  <c r="M558" i="19"/>
  <c r="N558" i="19"/>
  <c r="O558" i="19"/>
  <c r="P558" i="19"/>
  <c r="Q558" i="19"/>
  <c r="R558" i="19"/>
  <c r="S558" i="19"/>
  <c r="L559" i="19"/>
  <c r="M559" i="19"/>
  <c r="N559" i="19"/>
  <c r="O559" i="19"/>
  <c r="P559" i="19"/>
  <c r="Q559" i="19"/>
  <c r="R559" i="19"/>
  <c r="S559" i="19"/>
  <c r="L560" i="19"/>
  <c r="M560" i="19"/>
  <c r="N560" i="19"/>
  <c r="O560" i="19"/>
  <c r="P560" i="19"/>
  <c r="Q560" i="19"/>
  <c r="R560" i="19"/>
  <c r="S560" i="19"/>
  <c r="L561" i="19"/>
  <c r="M561" i="19"/>
  <c r="N561" i="19"/>
  <c r="O561" i="19"/>
  <c r="P561" i="19"/>
  <c r="Q561" i="19"/>
  <c r="R561" i="19"/>
  <c r="S561" i="19"/>
  <c r="L562" i="19"/>
  <c r="M562" i="19"/>
  <c r="N562" i="19"/>
  <c r="O562" i="19"/>
  <c r="P562" i="19"/>
  <c r="Q562" i="19"/>
  <c r="R562" i="19"/>
  <c r="S562" i="19"/>
  <c r="L563" i="19"/>
  <c r="M563" i="19"/>
  <c r="N563" i="19"/>
  <c r="O563" i="19"/>
  <c r="P563" i="19"/>
  <c r="Q563" i="19"/>
  <c r="R563" i="19"/>
  <c r="S563" i="19"/>
  <c r="L564" i="19"/>
  <c r="M564" i="19"/>
  <c r="N564" i="19"/>
  <c r="O564" i="19"/>
  <c r="P564" i="19"/>
  <c r="Q564" i="19"/>
  <c r="R564" i="19"/>
  <c r="S564" i="19"/>
  <c r="L565" i="19"/>
  <c r="M565" i="19"/>
  <c r="N565" i="19"/>
  <c r="O565" i="19"/>
  <c r="P565" i="19"/>
  <c r="Q565" i="19"/>
  <c r="R565" i="19"/>
  <c r="S565" i="19"/>
  <c r="L566" i="19"/>
  <c r="M566" i="19"/>
  <c r="N566" i="19"/>
  <c r="O566" i="19"/>
  <c r="P566" i="19"/>
  <c r="Q566" i="19"/>
  <c r="R566" i="19"/>
  <c r="S566" i="19"/>
  <c r="L567" i="19"/>
  <c r="M567" i="19"/>
  <c r="N567" i="19"/>
  <c r="O567" i="19"/>
  <c r="P567" i="19"/>
  <c r="Q567" i="19"/>
  <c r="R567" i="19"/>
  <c r="S567" i="19"/>
  <c r="L568" i="19"/>
  <c r="M568" i="19"/>
  <c r="N568" i="19"/>
  <c r="O568" i="19"/>
  <c r="P568" i="19"/>
  <c r="Q568" i="19"/>
  <c r="R568" i="19"/>
  <c r="S568" i="19"/>
  <c r="L569" i="19"/>
  <c r="M569" i="19"/>
  <c r="N569" i="19"/>
  <c r="O569" i="19"/>
  <c r="P569" i="19"/>
  <c r="Q569" i="19"/>
  <c r="R569" i="19"/>
  <c r="S569" i="19"/>
  <c r="L570" i="19"/>
  <c r="M570" i="19"/>
  <c r="N570" i="19"/>
  <c r="O570" i="19"/>
  <c r="P570" i="19"/>
  <c r="Q570" i="19"/>
  <c r="R570" i="19"/>
  <c r="S570" i="19"/>
  <c r="L571" i="19"/>
  <c r="M571" i="19"/>
  <c r="N571" i="19"/>
  <c r="O571" i="19"/>
  <c r="P571" i="19"/>
  <c r="Q571" i="19"/>
  <c r="R571" i="19"/>
  <c r="S571" i="19"/>
  <c r="L572" i="19"/>
  <c r="M572" i="19"/>
  <c r="N572" i="19"/>
  <c r="O572" i="19"/>
  <c r="P572" i="19"/>
  <c r="Q572" i="19"/>
  <c r="R572" i="19"/>
  <c r="S572" i="19"/>
  <c r="L573" i="19"/>
  <c r="M573" i="19"/>
  <c r="N573" i="19"/>
  <c r="O573" i="19"/>
  <c r="P573" i="19"/>
  <c r="Q573" i="19"/>
  <c r="R573" i="19"/>
  <c r="S573" i="19"/>
  <c r="L574" i="19"/>
  <c r="M574" i="19"/>
  <c r="N574" i="19"/>
  <c r="O574" i="19"/>
  <c r="P574" i="19"/>
  <c r="Q574" i="19"/>
  <c r="R574" i="19"/>
  <c r="S574" i="19"/>
  <c r="L575" i="19"/>
  <c r="M575" i="19"/>
  <c r="N575" i="19"/>
  <c r="O575" i="19"/>
  <c r="P575" i="19"/>
  <c r="Q575" i="19"/>
  <c r="R575" i="19"/>
  <c r="S575" i="19"/>
  <c r="L576" i="19"/>
  <c r="M576" i="19"/>
  <c r="N576" i="19"/>
  <c r="O576" i="19"/>
  <c r="P576" i="19"/>
  <c r="Q576" i="19"/>
  <c r="R576" i="19"/>
  <c r="S576" i="19"/>
  <c r="L577" i="19"/>
  <c r="M577" i="19"/>
  <c r="N577" i="19"/>
  <c r="O577" i="19"/>
  <c r="P577" i="19"/>
  <c r="Q577" i="19"/>
  <c r="R577" i="19"/>
  <c r="S577" i="19"/>
  <c r="L578" i="19"/>
  <c r="M578" i="19"/>
  <c r="N578" i="19"/>
  <c r="O578" i="19"/>
  <c r="P578" i="19"/>
  <c r="Q578" i="19"/>
  <c r="R578" i="19"/>
  <c r="S578" i="19"/>
  <c r="L579" i="19"/>
  <c r="M579" i="19"/>
  <c r="N579" i="19"/>
  <c r="O579" i="19"/>
  <c r="P579" i="19"/>
  <c r="Q579" i="19"/>
  <c r="R579" i="19"/>
  <c r="S579" i="19"/>
  <c r="L580" i="19"/>
  <c r="M580" i="19"/>
  <c r="N580" i="19"/>
  <c r="O580" i="19"/>
  <c r="P580" i="19"/>
  <c r="Q580" i="19"/>
  <c r="R580" i="19"/>
  <c r="S580" i="19"/>
  <c r="L581" i="19"/>
  <c r="M581" i="19"/>
  <c r="N581" i="19"/>
  <c r="O581" i="19"/>
  <c r="P581" i="19"/>
  <c r="Q581" i="19"/>
  <c r="R581" i="19"/>
  <c r="S581" i="19"/>
  <c r="L582" i="19"/>
  <c r="M582" i="19"/>
  <c r="N582" i="19"/>
  <c r="O582" i="19"/>
  <c r="P582" i="19"/>
  <c r="Q582" i="19"/>
  <c r="R582" i="19"/>
  <c r="S582" i="19"/>
  <c r="L583" i="19"/>
  <c r="M583" i="19"/>
  <c r="N583" i="19"/>
  <c r="O583" i="19"/>
  <c r="P583" i="19"/>
  <c r="Q583" i="19"/>
  <c r="R583" i="19"/>
  <c r="S583" i="19"/>
  <c r="L584" i="19"/>
  <c r="M584" i="19"/>
  <c r="N584" i="19"/>
  <c r="O584" i="19"/>
  <c r="P584" i="19"/>
  <c r="Q584" i="19"/>
  <c r="R584" i="19"/>
  <c r="S584" i="19"/>
  <c r="L585" i="19"/>
  <c r="M585" i="19"/>
  <c r="N585" i="19"/>
  <c r="O585" i="19"/>
  <c r="P585" i="19"/>
  <c r="Q585" i="19"/>
  <c r="R585" i="19"/>
  <c r="S585" i="19"/>
  <c r="L586" i="19"/>
  <c r="M586" i="19"/>
  <c r="N586" i="19"/>
  <c r="O586" i="19"/>
  <c r="P586" i="19"/>
  <c r="Q586" i="19"/>
  <c r="R586" i="19"/>
  <c r="S586" i="19"/>
  <c r="L587" i="19"/>
  <c r="M587" i="19"/>
  <c r="N587" i="19"/>
  <c r="O587" i="19"/>
  <c r="P587" i="19"/>
  <c r="Q587" i="19"/>
  <c r="R587" i="19"/>
  <c r="S587" i="19"/>
  <c r="L588" i="19"/>
  <c r="M588" i="19"/>
  <c r="N588" i="19"/>
  <c r="O588" i="19"/>
  <c r="P588" i="19"/>
  <c r="Q588" i="19"/>
  <c r="R588" i="19"/>
  <c r="S588" i="19"/>
  <c r="L589" i="19"/>
  <c r="M589" i="19"/>
  <c r="N589" i="19"/>
  <c r="O589" i="19"/>
  <c r="P589" i="19"/>
  <c r="Q589" i="19"/>
  <c r="R589" i="19"/>
  <c r="S589" i="19"/>
  <c r="L590" i="19"/>
  <c r="M590" i="19"/>
  <c r="N590" i="19"/>
  <c r="O590" i="19"/>
  <c r="P590" i="19"/>
  <c r="Q590" i="19"/>
  <c r="R590" i="19"/>
  <c r="S590" i="19"/>
  <c r="L591" i="19"/>
  <c r="M591" i="19"/>
  <c r="N591" i="19"/>
  <c r="O591" i="19"/>
  <c r="P591" i="19"/>
  <c r="Q591" i="19"/>
  <c r="R591" i="19"/>
  <c r="S591" i="19"/>
  <c r="L592" i="19"/>
  <c r="M592" i="19"/>
  <c r="N592" i="19"/>
  <c r="O592" i="19"/>
  <c r="P592" i="19"/>
  <c r="Q592" i="19"/>
  <c r="R592" i="19"/>
  <c r="S592" i="19"/>
  <c r="L593" i="19"/>
  <c r="M593" i="19"/>
  <c r="N593" i="19"/>
  <c r="O593" i="19"/>
  <c r="P593" i="19"/>
  <c r="Q593" i="19"/>
  <c r="R593" i="19"/>
  <c r="S593" i="19"/>
  <c r="L594" i="19"/>
  <c r="M594" i="19"/>
  <c r="N594" i="19"/>
  <c r="O594" i="19"/>
  <c r="P594" i="19"/>
  <c r="Q594" i="19"/>
  <c r="R594" i="19"/>
  <c r="S594" i="19"/>
  <c r="L595" i="19"/>
  <c r="M595" i="19"/>
  <c r="N595" i="19"/>
  <c r="O595" i="19"/>
  <c r="P595" i="19"/>
  <c r="Q595" i="19"/>
  <c r="R595" i="19"/>
  <c r="S595" i="19"/>
  <c r="L596" i="19"/>
  <c r="M596" i="19"/>
  <c r="N596" i="19"/>
  <c r="O596" i="19"/>
  <c r="P596" i="19"/>
  <c r="Q596" i="19"/>
  <c r="R596" i="19"/>
  <c r="S596" i="19"/>
  <c r="L597" i="19"/>
  <c r="M597" i="19"/>
  <c r="N597" i="19"/>
  <c r="O597" i="19"/>
  <c r="P597" i="19"/>
  <c r="Q597" i="19"/>
  <c r="R597" i="19"/>
  <c r="S597" i="19"/>
  <c r="L598" i="19"/>
  <c r="M598" i="19"/>
  <c r="N598" i="19"/>
  <c r="O598" i="19"/>
  <c r="P598" i="19"/>
  <c r="Q598" i="19"/>
  <c r="R598" i="19"/>
  <c r="S598" i="19"/>
  <c r="L599" i="19"/>
  <c r="M599" i="19"/>
  <c r="N599" i="19"/>
  <c r="O599" i="19"/>
  <c r="P599" i="19"/>
  <c r="Q599" i="19"/>
  <c r="R599" i="19"/>
  <c r="S599" i="19"/>
  <c r="L600" i="19"/>
  <c r="M600" i="19"/>
  <c r="N600" i="19"/>
  <c r="O600" i="19"/>
  <c r="P600" i="19"/>
  <c r="Q600" i="19"/>
  <c r="R600" i="19"/>
  <c r="S600" i="19"/>
  <c r="L601" i="19"/>
  <c r="M601" i="19"/>
  <c r="N601" i="19"/>
  <c r="O601" i="19"/>
  <c r="P601" i="19"/>
  <c r="Q601" i="19"/>
  <c r="R601" i="19"/>
  <c r="S601" i="19"/>
  <c r="L602" i="19"/>
  <c r="M602" i="19"/>
  <c r="N602" i="19"/>
  <c r="O602" i="19"/>
  <c r="P602" i="19"/>
  <c r="Q602" i="19"/>
  <c r="R602" i="19"/>
  <c r="S602" i="19"/>
  <c r="L603" i="19"/>
  <c r="M603" i="19"/>
  <c r="N603" i="19"/>
  <c r="O603" i="19"/>
  <c r="P603" i="19"/>
  <c r="Q603" i="19"/>
  <c r="R603" i="19"/>
  <c r="S603" i="19"/>
  <c r="L604" i="19"/>
  <c r="M604" i="19"/>
  <c r="N604" i="19"/>
  <c r="O604" i="19"/>
  <c r="P604" i="19"/>
  <c r="Q604" i="19"/>
  <c r="R604" i="19"/>
  <c r="S604" i="19"/>
  <c r="L605" i="19"/>
  <c r="M605" i="19"/>
  <c r="N605" i="19"/>
  <c r="O605" i="19"/>
  <c r="P605" i="19"/>
  <c r="Q605" i="19"/>
  <c r="R605" i="19"/>
  <c r="S605" i="19"/>
  <c r="L606" i="19"/>
  <c r="M606" i="19"/>
  <c r="N606" i="19"/>
  <c r="O606" i="19"/>
  <c r="P606" i="19"/>
  <c r="Q606" i="19"/>
  <c r="R606" i="19"/>
  <c r="S606" i="19"/>
  <c r="L607" i="19"/>
  <c r="M607" i="19"/>
  <c r="N607" i="19"/>
  <c r="O607" i="19"/>
  <c r="P607" i="19"/>
  <c r="Q607" i="19"/>
  <c r="R607" i="19"/>
  <c r="S607" i="19"/>
  <c r="L608" i="19"/>
  <c r="M608" i="19"/>
  <c r="N608" i="19"/>
  <c r="O608" i="19"/>
  <c r="P608" i="19"/>
  <c r="Q608" i="19"/>
  <c r="R608" i="19"/>
  <c r="S608" i="19"/>
  <c r="L609" i="19"/>
  <c r="M609" i="19"/>
  <c r="N609" i="19"/>
  <c r="O609" i="19"/>
  <c r="P609" i="19"/>
  <c r="Q609" i="19"/>
  <c r="R609" i="19"/>
  <c r="S609" i="19"/>
  <c r="L610" i="19"/>
  <c r="M610" i="19"/>
  <c r="N610" i="19"/>
  <c r="O610" i="19"/>
  <c r="P610" i="19"/>
  <c r="Q610" i="19"/>
  <c r="R610" i="19"/>
  <c r="S610" i="19"/>
  <c r="L611" i="19"/>
  <c r="M611" i="19"/>
  <c r="N611" i="19"/>
  <c r="O611" i="19"/>
  <c r="P611" i="19"/>
  <c r="Q611" i="19"/>
  <c r="R611" i="19"/>
  <c r="S611" i="19"/>
  <c r="L612" i="19"/>
  <c r="M612" i="19"/>
  <c r="N612" i="19"/>
  <c r="O612" i="19"/>
  <c r="P612" i="19"/>
  <c r="Q612" i="19"/>
  <c r="R612" i="19"/>
  <c r="S612" i="19"/>
  <c r="L613" i="19"/>
  <c r="M613" i="19"/>
  <c r="N613" i="19"/>
  <c r="O613" i="19"/>
  <c r="P613" i="19"/>
  <c r="Q613" i="19"/>
  <c r="R613" i="19"/>
  <c r="S613" i="19"/>
  <c r="L614" i="19"/>
  <c r="M614" i="19"/>
  <c r="N614" i="19"/>
  <c r="O614" i="19"/>
  <c r="P614" i="19"/>
  <c r="Q614" i="19"/>
  <c r="R614" i="19"/>
  <c r="S614" i="19"/>
  <c r="L615" i="19"/>
  <c r="M615" i="19"/>
  <c r="N615" i="19"/>
  <c r="O615" i="19"/>
  <c r="P615" i="19"/>
  <c r="Q615" i="19"/>
  <c r="R615" i="19"/>
  <c r="S615" i="19"/>
  <c r="L616" i="19"/>
  <c r="M616" i="19"/>
  <c r="N616" i="19"/>
  <c r="O616" i="19"/>
  <c r="P616" i="19"/>
  <c r="Q616" i="19"/>
  <c r="R616" i="19"/>
  <c r="S616" i="19"/>
  <c r="L617" i="19"/>
  <c r="M617" i="19"/>
  <c r="N617" i="19"/>
  <c r="O617" i="19"/>
  <c r="P617" i="19"/>
  <c r="Q617" i="19"/>
  <c r="R617" i="19"/>
  <c r="S617" i="19"/>
  <c r="L618" i="19"/>
  <c r="M618" i="19"/>
  <c r="N618" i="19"/>
  <c r="O618" i="19"/>
  <c r="P618" i="19"/>
  <c r="Q618" i="19"/>
  <c r="R618" i="19"/>
  <c r="S618" i="19"/>
  <c r="L619" i="19"/>
  <c r="M619" i="19"/>
  <c r="N619" i="19"/>
  <c r="O619" i="19"/>
  <c r="P619" i="19"/>
  <c r="Q619" i="19"/>
  <c r="R619" i="19"/>
  <c r="S619" i="19"/>
  <c r="L620" i="19"/>
  <c r="M620" i="19"/>
  <c r="N620" i="19"/>
  <c r="O620" i="19"/>
  <c r="P620" i="19"/>
  <c r="Q620" i="19"/>
  <c r="R620" i="19"/>
  <c r="S620" i="19"/>
  <c r="L621" i="19"/>
  <c r="M621" i="19"/>
  <c r="N621" i="19"/>
  <c r="O621" i="19"/>
  <c r="P621" i="19"/>
  <c r="Q621" i="19"/>
  <c r="R621" i="19"/>
  <c r="S621" i="19"/>
  <c r="L622" i="19"/>
  <c r="M622" i="19"/>
  <c r="N622" i="19"/>
  <c r="O622" i="19"/>
  <c r="P622" i="19"/>
  <c r="Q622" i="19"/>
  <c r="R622" i="19"/>
  <c r="S622" i="19"/>
  <c r="L623" i="19"/>
  <c r="M623" i="19"/>
  <c r="N623" i="19"/>
  <c r="O623" i="19"/>
  <c r="P623" i="19"/>
  <c r="Q623" i="19"/>
  <c r="R623" i="19"/>
  <c r="S623" i="19"/>
  <c r="L624" i="19"/>
  <c r="M624" i="19"/>
  <c r="N624" i="19"/>
  <c r="O624" i="19"/>
  <c r="P624" i="19"/>
  <c r="Q624" i="19"/>
  <c r="R624" i="19"/>
  <c r="S624" i="19"/>
  <c r="L625" i="19"/>
  <c r="M625" i="19"/>
  <c r="N625" i="19"/>
  <c r="O625" i="19"/>
  <c r="P625" i="19"/>
  <c r="Q625" i="19"/>
  <c r="R625" i="19"/>
  <c r="S625" i="19"/>
  <c r="L626" i="19"/>
  <c r="M626" i="19"/>
  <c r="N626" i="19"/>
  <c r="O626" i="19"/>
  <c r="P626" i="19"/>
  <c r="Q626" i="19"/>
  <c r="R626" i="19"/>
  <c r="S626" i="19"/>
  <c r="L627" i="19"/>
  <c r="M627" i="19"/>
  <c r="N627" i="19"/>
  <c r="O627" i="19"/>
  <c r="P627" i="19"/>
  <c r="Q627" i="19"/>
  <c r="R627" i="19"/>
  <c r="S627" i="19"/>
  <c r="L628" i="19"/>
  <c r="M628" i="19"/>
  <c r="N628" i="19"/>
  <c r="O628" i="19"/>
  <c r="P628" i="19"/>
  <c r="Q628" i="19"/>
  <c r="R628" i="19"/>
  <c r="S628" i="19"/>
  <c r="L629" i="19"/>
  <c r="M629" i="19"/>
  <c r="N629" i="19"/>
  <c r="O629" i="19"/>
  <c r="P629" i="19"/>
  <c r="Q629" i="19"/>
  <c r="R629" i="19"/>
  <c r="S629" i="19"/>
  <c r="L630" i="19"/>
  <c r="M630" i="19"/>
  <c r="N630" i="19"/>
  <c r="O630" i="19"/>
  <c r="P630" i="19"/>
  <c r="Q630" i="19"/>
  <c r="R630" i="19"/>
  <c r="S630" i="19"/>
  <c r="L631" i="19"/>
  <c r="M631" i="19"/>
  <c r="N631" i="19"/>
  <c r="O631" i="19"/>
  <c r="P631" i="19"/>
  <c r="Q631" i="19"/>
  <c r="R631" i="19"/>
  <c r="S631" i="19"/>
  <c r="L632" i="19"/>
  <c r="M632" i="19"/>
  <c r="N632" i="19"/>
  <c r="O632" i="19"/>
  <c r="P632" i="19"/>
  <c r="Q632" i="19"/>
  <c r="R632" i="19"/>
  <c r="S632" i="19"/>
  <c r="L633" i="19"/>
  <c r="M633" i="19"/>
  <c r="N633" i="19"/>
  <c r="O633" i="19"/>
  <c r="P633" i="19"/>
  <c r="Q633" i="19"/>
  <c r="R633" i="19"/>
  <c r="S633" i="19"/>
  <c r="L634" i="19"/>
  <c r="M634" i="19"/>
  <c r="N634" i="19"/>
  <c r="O634" i="19"/>
  <c r="P634" i="19"/>
  <c r="Q634" i="19"/>
  <c r="R634" i="19"/>
  <c r="S634" i="19"/>
  <c r="L635" i="19"/>
  <c r="M635" i="19"/>
  <c r="N635" i="19"/>
  <c r="O635" i="19"/>
  <c r="P635" i="19"/>
  <c r="Q635" i="19"/>
  <c r="R635" i="19"/>
  <c r="S635" i="19"/>
  <c r="L636" i="19"/>
  <c r="M636" i="19"/>
  <c r="N636" i="19"/>
  <c r="O636" i="19"/>
  <c r="P636" i="19"/>
  <c r="Q636" i="19"/>
  <c r="R636" i="19"/>
  <c r="S636" i="19"/>
  <c r="L637" i="19"/>
  <c r="M637" i="19"/>
  <c r="N637" i="19"/>
  <c r="O637" i="19"/>
  <c r="P637" i="19"/>
  <c r="Q637" i="19"/>
  <c r="R637" i="19"/>
  <c r="S637" i="19"/>
  <c r="L638" i="19"/>
  <c r="M638" i="19"/>
  <c r="N638" i="19"/>
  <c r="O638" i="19"/>
  <c r="P638" i="19"/>
  <c r="Q638" i="19"/>
  <c r="R638" i="19"/>
  <c r="S638" i="19"/>
  <c r="L639" i="19"/>
  <c r="M639" i="19"/>
  <c r="N639" i="19"/>
  <c r="O639" i="19"/>
  <c r="P639" i="19"/>
  <c r="Q639" i="19"/>
  <c r="R639" i="19"/>
  <c r="S639" i="19"/>
  <c r="L640" i="19"/>
  <c r="M640" i="19"/>
  <c r="N640" i="19"/>
  <c r="O640" i="19"/>
  <c r="P640" i="19"/>
  <c r="Q640" i="19"/>
  <c r="R640" i="19"/>
  <c r="S640" i="19"/>
  <c r="L641" i="19"/>
  <c r="M641" i="19"/>
  <c r="N641" i="19"/>
  <c r="O641" i="19"/>
  <c r="P641" i="19"/>
  <c r="Q641" i="19"/>
  <c r="R641" i="19"/>
  <c r="S641" i="19"/>
  <c r="L642" i="19"/>
  <c r="M642" i="19"/>
  <c r="N642" i="19"/>
  <c r="O642" i="19"/>
  <c r="P642" i="19"/>
  <c r="Q642" i="19"/>
  <c r="R642" i="19"/>
  <c r="S642" i="19"/>
  <c r="L643" i="19"/>
  <c r="M643" i="19"/>
  <c r="N643" i="19"/>
  <c r="O643" i="19"/>
  <c r="P643" i="19"/>
  <c r="Q643" i="19"/>
  <c r="R643" i="19"/>
  <c r="S643" i="19"/>
  <c r="L644" i="19"/>
  <c r="M644" i="19"/>
  <c r="N644" i="19"/>
  <c r="O644" i="19"/>
  <c r="P644" i="19"/>
  <c r="Q644" i="19"/>
  <c r="R644" i="19"/>
  <c r="S644" i="19"/>
  <c r="L645" i="19"/>
  <c r="M645" i="19"/>
  <c r="N645" i="19"/>
  <c r="O645" i="19"/>
  <c r="P645" i="19"/>
  <c r="Q645" i="19"/>
  <c r="R645" i="19"/>
  <c r="S645" i="19"/>
  <c r="L646" i="19"/>
  <c r="M646" i="19"/>
  <c r="N646" i="19"/>
  <c r="O646" i="19"/>
  <c r="P646" i="19"/>
  <c r="Q646" i="19"/>
  <c r="R646" i="19"/>
  <c r="S646" i="19"/>
  <c r="L647" i="19"/>
  <c r="M647" i="19"/>
  <c r="N647" i="19"/>
  <c r="O647" i="19"/>
  <c r="P647" i="19"/>
  <c r="Q647" i="19"/>
  <c r="R647" i="19"/>
  <c r="S647" i="19"/>
  <c r="L648" i="19"/>
  <c r="M648" i="19"/>
  <c r="N648" i="19"/>
  <c r="O648" i="19"/>
  <c r="P648" i="19"/>
  <c r="Q648" i="19"/>
  <c r="R648" i="19"/>
  <c r="S648" i="19"/>
  <c r="L649" i="19"/>
  <c r="M649" i="19"/>
  <c r="N649" i="19"/>
  <c r="O649" i="19"/>
  <c r="P649" i="19"/>
  <c r="Q649" i="19"/>
  <c r="R649" i="19"/>
  <c r="S649" i="19"/>
  <c r="L650" i="19"/>
  <c r="M650" i="19"/>
  <c r="N650" i="19"/>
  <c r="O650" i="19"/>
  <c r="P650" i="19"/>
  <c r="Q650" i="19"/>
  <c r="R650" i="19"/>
  <c r="S650" i="19"/>
  <c r="L651" i="19"/>
  <c r="M651" i="19"/>
  <c r="N651" i="19"/>
  <c r="O651" i="19"/>
  <c r="P651" i="19"/>
  <c r="Q651" i="19"/>
  <c r="R651" i="19"/>
  <c r="S651" i="19"/>
  <c r="L652" i="19"/>
  <c r="M652" i="19"/>
  <c r="N652" i="19"/>
  <c r="O652" i="19"/>
  <c r="P652" i="19"/>
  <c r="Q652" i="19"/>
  <c r="R652" i="19"/>
  <c r="S652" i="19"/>
  <c r="L653" i="19"/>
  <c r="M653" i="19"/>
  <c r="N653" i="19"/>
  <c r="O653" i="19"/>
  <c r="P653" i="19"/>
  <c r="Q653" i="19"/>
  <c r="R653" i="19"/>
  <c r="S653" i="19"/>
  <c r="L654" i="19"/>
  <c r="M654" i="19"/>
  <c r="N654" i="19"/>
  <c r="O654" i="19"/>
  <c r="P654" i="19"/>
  <c r="Q654" i="19"/>
  <c r="R654" i="19"/>
  <c r="S654" i="19"/>
  <c r="L655" i="19"/>
  <c r="M655" i="19"/>
  <c r="N655" i="19"/>
  <c r="O655" i="19"/>
  <c r="P655" i="19"/>
  <c r="Q655" i="19"/>
  <c r="R655" i="19"/>
  <c r="S655" i="19"/>
  <c r="L656" i="19"/>
  <c r="M656" i="19"/>
  <c r="N656" i="19"/>
  <c r="O656" i="19"/>
  <c r="P656" i="19"/>
  <c r="Q656" i="19"/>
  <c r="R656" i="19"/>
  <c r="S656" i="19"/>
  <c r="L657" i="19"/>
  <c r="M657" i="19"/>
  <c r="N657" i="19"/>
  <c r="O657" i="19"/>
  <c r="P657" i="19"/>
  <c r="Q657" i="19"/>
  <c r="R657" i="19"/>
  <c r="S657" i="19"/>
  <c r="L658" i="19"/>
  <c r="M658" i="19"/>
  <c r="N658" i="19"/>
  <c r="O658" i="19"/>
  <c r="P658" i="19"/>
  <c r="Q658" i="19"/>
  <c r="R658" i="19"/>
  <c r="S658" i="19"/>
  <c r="L659" i="19"/>
  <c r="M659" i="19"/>
  <c r="N659" i="19"/>
  <c r="O659" i="19"/>
  <c r="P659" i="19"/>
  <c r="Q659" i="19"/>
  <c r="R659" i="19"/>
  <c r="S659" i="19"/>
  <c r="L660" i="19"/>
  <c r="M660" i="19"/>
  <c r="N660" i="19"/>
  <c r="O660" i="19"/>
  <c r="P660" i="19"/>
  <c r="Q660" i="19"/>
  <c r="R660" i="19"/>
  <c r="S660" i="19"/>
  <c r="L661" i="19"/>
  <c r="M661" i="19"/>
  <c r="N661" i="19"/>
  <c r="O661" i="19"/>
  <c r="P661" i="19"/>
  <c r="Q661" i="19"/>
  <c r="R661" i="19"/>
  <c r="S661" i="19"/>
  <c r="L662" i="19"/>
  <c r="M662" i="19"/>
  <c r="N662" i="19"/>
  <c r="O662" i="19"/>
  <c r="P662" i="19"/>
  <c r="Q662" i="19"/>
  <c r="R662" i="19"/>
  <c r="S662" i="19"/>
  <c r="L663" i="19"/>
  <c r="M663" i="19"/>
  <c r="N663" i="19"/>
  <c r="O663" i="19"/>
  <c r="P663" i="19"/>
  <c r="Q663" i="19"/>
  <c r="R663" i="19"/>
  <c r="S663" i="19"/>
  <c r="L664" i="19"/>
  <c r="M664" i="19"/>
  <c r="N664" i="19"/>
  <c r="O664" i="19"/>
  <c r="P664" i="19"/>
  <c r="Q664" i="19"/>
  <c r="R664" i="19"/>
  <c r="S664" i="19"/>
  <c r="L665" i="19"/>
  <c r="M665" i="19"/>
  <c r="N665" i="19"/>
  <c r="O665" i="19"/>
  <c r="P665" i="19"/>
  <c r="Q665" i="19"/>
  <c r="R665" i="19"/>
  <c r="S665" i="19"/>
  <c r="L666" i="19"/>
  <c r="M666" i="19"/>
  <c r="N666" i="19"/>
  <c r="O666" i="19"/>
  <c r="P666" i="19"/>
  <c r="Q666" i="19"/>
  <c r="R666" i="19"/>
  <c r="S666" i="19"/>
  <c r="L667" i="19"/>
  <c r="M667" i="19"/>
  <c r="N667" i="19"/>
  <c r="O667" i="19"/>
  <c r="P667" i="19"/>
  <c r="Q667" i="19"/>
  <c r="R667" i="19"/>
  <c r="S667" i="19"/>
  <c r="L668" i="19"/>
  <c r="M668" i="19"/>
  <c r="N668" i="19"/>
  <c r="O668" i="19"/>
  <c r="P668" i="19"/>
  <c r="Q668" i="19"/>
  <c r="R668" i="19"/>
  <c r="S668" i="19"/>
  <c r="L669" i="19"/>
  <c r="M669" i="19"/>
  <c r="N669" i="19"/>
  <c r="O669" i="19"/>
  <c r="P669" i="19"/>
  <c r="Q669" i="19"/>
  <c r="R669" i="19"/>
  <c r="S669" i="19"/>
  <c r="L670" i="19"/>
  <c r="M670" i="19"/>
  <c r="N670" i="19"/>
  <c r="O670" i="19"/>
  <c r="P670" i="19"/>
  <c r="Q670" i="19"/>
  <c r="R670" i="19"/>
  <c r="S670" i="19"/>
  <c r="L671" i="19"/>
  <c r="M671" i="19"/>
  <c r="N671" i="19"/>
  <c r="O671" i="19"/>
  <c r="P671" i="19"/>
  <c r="Q671" i="19"/>
  <c r="R671" i="19"/>
  <c r="S671" i="19"/>
  <c r="L672" i="19"/>
  <c r="M672" i="19"/>
  <c r="N672" i="19"/>
  <c r="O672" i="19"/>
  <c r="P672" i="19"/>
  <c r="Q672" i="19"/>
  <c r="R672" i="19"/>
  <c r="S672" i="19"/>
  <c r="L673" i="19"/>
  <c r="M673" i="19"/>
  <c r="N673" i="19"/>
  <c r="O673" i="19"/>
  <c r="P673" i="19"/>
  <c r="Q673" i="19"/>
  <c r="R673" i="19"/>
  <c r="S673" i="19"/>
  <c r="L674" i="19"/>
  <c r="M674" i="19"/>
  <c r="N674" i="19"/>
  <c r="O674" i="19"/>
  <c r="P674" i="19"/>
  <c r="Q674" i="19"/>
  <c r="R674" i="19"/>
  <c r="S674" i="19"/>
  <c r="L675" i="19"/>
  <c r="M675" i="19"/>
  <c r="N675" i="19"/>
  <c r="O675" i="19"/>
  <c r="P675" i="19"/>
  <c r="Q675" i="19"/>
  <c r="R675" i="19"/>
  <c r="S675" i="19"/>
  <c r="L676" i="19"/>
  <c r="M676" i="19"/>
  <c r="N676" i="19"/>
  <c r="O676" i="19"/>
  <c r="P676" i="19"/>
  <c r="Q676" i="19"/>
  <c r="R676" i="19"/>
  <c r="S676" i="19"/>
  <c r="L677" i="19"/>
  <c r="M677" i="19"/>
  <c r="N677" i="19"/>
  <c r="O677" i="19"/>
  <c r="P677" i="19"/>
  <c r="Q677" i="19"/>
  <c r="R677" i="19"/>
  <c r="S677" i="19"/>
  <c r="L678" i="19"/>
  <c r="M678" i="19"/>
  <c r="N678" i="19"/>
  <c r="O678" i="19"/>
  <c r="P678" i="19"/>
  <c r="Q678" i="19"/>
  <c r="R678" i="19"/>
  <c r="S678" i="19"/>
  <c r="L679" i="19"/>
  <c r="M679" i="19"/>
  <c r="N679" i="19"/>
  <c r="O679" i="19"/>
  <c r="P679" i="19"/>
  <c r="Q679" i="19"/>
  <c r="R679" i="19"/>
  <c r="S679" i="19"/>
  <c r="L680" i="19"/>
  <c r="M680" i="19"/>
  <c r="N680" i="19"/>
  <c r="O680" i="19"/>
  <c r="P680" i="19"/>
  <c r="Q680" i="19"/>
  <c r="R680" i="19"/>
  <c r="S680" i="19"/>
  <c r="L681" i="19"/>
  <c r="M681" i="19"/>
  <c r="N681" i="19"/>
  <c r="O681" i="19"/>
  <c r="P681" i="19"/>
  <c r="Q681" i="19"/>
  <c r="R681" i="19"/>
  <c r="S681" i="19"/>
  <c r="L682" i="19"/>
  <c r="M682" i="19"/>
  <c r="N682" i="19"/>
  <c r="O682" i="19"/>
  <c r="P682" i="19"/>
  <c r="Q682" i="19"/>
  <c r="R682" i="19"/>
  <c r="S682" i="19"/>
  <c r="L683" i="19"/>
  <c r="M683" i="19"/>
  <c r="N683" i="19"/>
  <c r="O683" i="19"/>
  <c r="P683" i="19"/>
  <c r="Q683" i="19"/>
  <c r="R683" i="19"/>
  <c r="S683" i="19"/>
  <c r="L684" i="19"/>
  <c r="M684" i="19"/>
  <c r="N684" i="19"/>
  <c r="O684" i="19"/>
  <c r="P684" i="19"/>
  <c r="Q684" i="19"/>
  <c r="R684" i="19"/>
  <c r="S684" i="19"/>
  <c r="L685" i="19"/>
  <c r="M685" i="19"/>
  <c r="N685" i="19"/>
  <c r="O685" i="19"/>
  <c r="P685" i="19"/>
  <c r="Q685" i="19"/>
  <c r="R685" i="19"/>
  <c r="S685" i="19"/>
  <c r="L686" i="19"/>
  <c r="M686" i="19"/>
  <c r="N686" i="19"/>
  <c r="O686" i="19"/>
  <c r="P686" i="19"/>
  <c r="Q686" i="19"/>
  <c r="R686" i="19"/>
  <c r="S686" i="19"/>
  <c r="L687" i="19"/>
  <c r="M687" i="19"/>
  <c r="N687" i="19"/>
  <c r="O687" i="19"/>
  <c r="P687" i="19"/>
  <c r="Q687" i="19"/>
  <c r="R687" i="19"/>
  <c r="S687" i="19"/>
  <c r="L688" i="19"/>
  <c r="M688" i="19"/>
  <c r="N688" i="19"/>
  <c r="O688" i="19"/>
  <c r="P688" i="19"/>
  <c r="Q688" i="19"/>
  <c r="R688" i="19"/>
  <c r="S688" i="19"/>
  <c r="L689" i="19"/>
  <c r="M689" i="19"/>
  <c r="N689" i="19"/>
  <c r="O689" i="19"/>
  <c r="P689" i="19"/>
  <c r="Q689" i="19"/>
  <c r="R689" i="19"/>
  <c r="S689" i="19"/>
  <c r="L690" i="19"/>
  <c r="M690" i="19"/>
  <c r="N690" i="19"/>
  <c r="O690" i="19"/>
  <c r="P690" i="19"/>
  <c r="Q690" i="19"/>
  <c r="R690" i="19"/>
  <c r="S690" i="19"/>
  <c r="L691" i="19"/>
  <c r="M691" i="19"/>
  <c r="N691" i="19"/>
  <c r="O691" i="19"/>
  <c r="P691" i="19"/>
  <c r="Q691" i="19"/>
  <c r="R691" i="19"/>
  <c r="S691" i="19"/>
  <c r="L692" i="19"/>
  <c r="M692" i="19"/>
  <c r="N692" i="19"/>
  <c r="O692" i="19"/>
  <c r="P692" i="19"/>
  <c r="Q692" i="19"/>
  <c r="R692" i="19"/>
  <c r="S692" i="19"/>
  <c r="L693" i="19"/>
  <c r="M693" i="19"/>
  <c r="N693" i="19"/>
  <c r="O693" i="19"/>
  <c r="P693" i="19"/>
  <c r="Q693" i="19"/>
  <c r="R693" i="19"/>
  <c r="S693" i="19"/>
  <c r="L694" i="19"/>
  <c r="M694" i="19"/>
  <c r="N694" i="19"/>
  <c r="O694" i="19"/>
  <c r="P694" i="19"/>
  <c r="Q694" i="19"/>
  <c r="R694" i="19"/>
  <c r="S694" i="19"/>
  <c r="L695" i="19"/>
  <c r="M695" i="19"/>
  <c r="N695" i="19"/>
  <c r="O695" i="19"/>
  <c r="P695" i="19"/>
  <c r="Q695" i="19"/>
  <c r="R695" i="19"/>
  <c r="S695" i="19"/>
  <c r="L696" i="19"/>
  <c r="M696" i="19"/>
  <c r="N696" i="19"/>
  <c r="O696" i="19"/>
  <c r="P696" i="19"/>
  <c r="Q696" i="19"/>
  <c r="R696" i="19"/>
  <c r="S696" i="19"/>
  <c r="L697" i="19"/>
  <c r="M697" i="19"/>
  <c r="N697" i="19"/>
  <c r="O697" i="19"/>
  <c r="P697" i="19"/>
  <c r="Q697" i="19"/>
  <c r="R697" i="19"/>
  <c r="S697" i="19"/>
  <c r="L698" i="19"/>
  <c r="M698" i="19"/>
  <c r="N698" i="19"/>
  <c r="O698" i="19"/>
  <c r="P698" i="19"/>
  <c r="Q698" i="19"/>
  <c r="R698" i="19"/>
  <c r="S698" i="19"/>
  <c r="L699" i="19"/>
  <c r="M699" i="19"/>
  <c r="N699" i="19"/>
  <c r="O699" i="19"/>
  <c r="P699" i="19"/>
  <c r="Q699" i="19"/>
  <c r="R699" i="19"/>
  <c r="S699" i="19"/>
  <c r="L700" i="19"/>
  <c r="M700" i="19"/>
  <c r="N700" i="19"/>
  <c r="O700" i="19"/>
  <c r="P700" i="19"/>
  <c r="Q700" i="19"/>
  <c r="R700" i="19"/>
  <c r="S700" i="19"/>
  <c r="L701" i="19"/>
  <c r="M701" i="19"/>
  <c r="N701" i="19"/>
  <c r="O701" i="19"/>
  <c r="P701" i="19"/>
  <c r="Q701" i="19"/>
  <c r="R701" i="19"/>
  <c r="S701" i="19"/>
  <c r="L702" i="19"/>
  <c r="M702" i="19"/>
  <c r="N702" i="19"/>
  <c r="O702" i="19"/>
  <c r="P702" i="19"/>
  <c r="Q702" i="19"/>
  <c r="R702" i="19"/>
  <c r="S702" i="19"/>
  <c r="L703" i="19"/>
  <c r="M703" i="19"/>
  <c r="N703" i="19"/>
  <c r="O703" i="19"/>
  <c r="P703" i="19"/>
  <c r="Q703" i="19"/>
  <c r="R703" i="19"/>
  <c r="S703" i="19"/>
  <c r="L704" i="19"/>
  <c r="M704" i="19"/>
  <c r="N704" i="19"/>
  <c r="O704" i="19"/>
  <c r="P704" i="19"/>
  <c r="Q704" i="19"/>
  <c r="R704" i="19"/>
  <c r="S704" i="19"/>
  <c r="L705" i="19"/>
  <c r="M705" i="19"/>
  <c r="N705" i="19"/>
  <c r="O705" i="19"/>
  <c r="P705" i="19"/>
  <c r="Q705" i="19"/>
  <c r="R705" i="19"/>
  <c r="S705" i="19"/>
  <c r="L706" i="19"/>
  <c r="M706" i="19"/>
  <c r="N706" i="19"/>
  <c r="O706" i="19"/>
  <c r="P706" i="19"/>
  <c r="Q706" i="19"/>
  <c r="R706" i="19"/>
  <c r="S706" i="19"/>
  <c r="L707" i="19"/>
  <c r="M707" i="19"/>
  <c r="N707" i="19"/>
  <c r="O707" i="19"/>
  <c r="P707" i="19"/>
  <c r="Q707" i="19"/>
  <c r="R707" i="19"/>
  <c r="S707" i="19"/>
  <c r="L708" i="19"/>
  <c r="M708" i="19"/>
  <c r="N708" i="19"/>
  <c r="O708" i="19"/>
  <c r="P708" i="19"/>
  <c r="Q708" i="19"/>
  <c r="R708" i="19"/>
  <c r="S708" i="19"/>
  <c r="L709" i="19"/>
  <c r="M709" i="19"/>
  <c r="N709" i="19"/>
  <c r="O709" i="19"/>
  <c r="P709" i="19"/>
  <c r="Q709" i="19"/>
  <c r="R709" i="19"/>
  <c r="S709" i="19"/>
  <c r="L710" i="19"/>
  <c r="M710" i="19"/>
  <c r="N710" i="19"/>
  <c r="O710" i="19"/>
  <c r="P710" i="19"/>
  <c r="Q710" i="19"/>
  <c r="R710" i="19"/>
  <c r="S710" i="19"/>
  <c r="L711" i="19"/>
  <c r="M711" i="19"/>
  <c r="N711" i="19"/>
  <c r="O711" i="19"/>
  <c r="P711" i="19"/>
  <c r="Q711" i="19"/>
  <c r="R711" i="19"/>
  <c r="S711" i="19"/>
  <c r="L712" i="19"/>
  <c r="M712" i="19"/>
  <c r="N712" i="19"/>
  <c r="O712" i="19"/>
  <c r="P712" i="19"/>
  <c r="Q712" i="19"/>
  <c r="R712" i="19"/>
  <c r="S712" i="19"/>
  <c r="L713" i="19"/>
  <c r="M713" i="19"/>
  <c r="N713" i="19"/>
  <c r="O713" i="19"/>
  <c r="P713" i="19"/>
  <c r="Q713" i="19"/>
  <c r="R713" i="19"/>
  <c r="S713" i="19"/>
  <c r="L714" i="19"/>
  <c r="M714" i="19"/>
  <c r="N714" i="19"/>
  <c r="O714" i="19"/>
  <c r="P714" i="19"/>
  <c r="Q714" i="19"/>
  <c r="R714" i="19"/>
  <c r="S714" i="19"/>
  <c r="L715" i="19"/>
  <c r="M715" i="19"/>
  <c r="N715" i="19"/>
  <c r="O715" i="19"/>
  <c r="P715" i="19"/>
  <c r="Q715" i="19"/>
  <c r="R715" i="19"/>
  <c r="S715" i="19"/>
  <c r="L716" i="19"/>
  <c r="M716" i="19"/>
  <c r="N716" i="19"/>
  <c r="O716" i="19"/>
  <c r="P716" i="19"/>
  <c r="Q716" i="19"/>
  <c r="R716" i="19"/>
  <c r="S716" i="19"/>
  <c r="L717" i="19"/>
  <c r="M717" i="19"/>
  <c r="N717" i="19"/>
  <c r="O717" i="19"/>
  <c r="P717" i="19"/>
  <c r="Q717" i="19"/>
  <c r="R717" i="19"/>
  <c r="S717" i="19"/>
  <c r="L718" i="19"/>
  <c r="M718" i="19"/>
  <c r="N718" i="19"/>
  <c r="O718" i="19"/>
  <c r="P718" i="19"/>
  <c r="Q718" i="19"/>
  <c r="R718" i="19"/>
  <c r="S718" i="19"/>
  <c r="L719" i="19"/>
  <c r="M719" i="19"/>
  <c r="N719" i="19"/>
  <c r="O719" i="19"/>
  <c r="P719" i="19"/>
  <c r="Q719" i="19"/>
  <c r="R719" i="19"/>
  <c r="S719" i="19"/>
  <c r="L720" i="19"/>
  <c r="M720" i="19"/>
  <c r="N720" i="19"/>
  <c r="O720" i="19"/>
  <c r="P720" i="19"/>
  <c r="Q720" i="19"/>
  <c r="R720" i="19"/>
  <c r="S720" i="19"/>
  <c r="L721" i="19"/>
  <c r="M721" i="19"/>
  <c r="N721" i="19"/>
  <c r="O721" i="19"/>
  <c r="P721" i="19"/>
  <c r="Q721" i="19"/>
  <c r="R721" i="19"/>
  <c r="S721" i="19"/>
  <c r="L722" i="19"/>
  <c r="M722" i="19"/>
  <c r="N722" i="19"/>
  <c r="O722" i="19"/>
  <c r="P722" i="19"/>
  <c r="Q722" i="19"/>
  <c r="R722" i="19"/>
  <c r="S722" i="19"/>
  <c r="L723" i="19"/>
  <c r="M723" i="19"/>
  <c r="N723" i="19"/>
  <c r="O723" i="19"/>
  <c r="P723" i="19"/>
  <c r="Q723" i="19"/>
  <c r="R723" i="19"/>
  <c r="S723" i="19"/>
  <c r="L724" i="19"/>
  <c r="M724" i="19"/>
  <c r="N724" i="19"/>
  <c r="O724" i="19"/>
  <c r="P724" i="19"/>
  <c r="Q724" i="19"/>
  <c r="R724" i="19"/>
  <c r="S724" i="19"/>
  <c r="L725" i="19"/>
  <c r="M725" i="19"/>
  <c r="N725" i="19"/>
  <c r="O725" i="19"/>
  <c r="P725" i="19"/>
  <c r="Q725" i="19"/>
  <c r="R725" i="19"/>
  <c r="S725" i="19"/>
  <c r="L726" i="19"/>
  <c r="M726" i="19"/>
  <c r="N726" i="19"/>
  <c r="O726" i="19"/>
  <c r="P726" i="19"/>
  <c r="Q726" i="19"/>
  <c r="R726" i="19"/>
  <c r="S726" i="19"/>
  <c r="L727" i="19"/>
  <c r="M727" i="19"/>
  <c r="N727" i="19"/>
  <c r="O727" i="19"/>
  <c r="P727" i="19"/>
  <c r="Q727" i="19"/>
  <c r="R727" i="19"/>
  <c r="S727" i="19"/>
  <c r="L728" i="19"/>
  <c r="M728" i="19"/>
  <c r="N728" i="19"/>
  <c r="O728" i="19"/>
  <c r="P728" i="19"/>
  <c r="Q728" i="19"/>
  <c r="R728" i="19"/>
  <c r="S728" i="19"/>
  <c r="L729" i="19"/>
  <c r="M729" i="19"/>
  <c r="N729" i="19"/>
  <c r="O729" i="19"/>
  <c r="P729" i="19"/>
  <c r="Q729" i="19"/>
  <c r="R729" i="19"/>
  <c r="S729" i="19"/>
  <c r="L730" i="19"/>
  <c r="M730" i="19"/>
  <c r="N730" i="19"/>
  <c r="O730" i="19"/>
  <c r="P730" i="19"/>
  <c r="Q730" i="19"/>
  <c r="R730" i="19"/>
  <c r="S730" i="19"/>
  <c r="L731" i="19"/>
  <c r="M731" i="19"/>
  <c r="N731" i="19"/>
  <c r="O731" i="19"/>
  <c r="P731" i="19"/>
  <c r="Q731" i="19"/>
  <c r="R731" i="19"/>
  <c r="S731" i="19"/>
  <c r="L732" i="19"/>
  <c r="M732" i="19"/>
  <c r="N732" i="19"/>
  <c r="O732" i="19"/>
  <c r="P732" i="19"/>
  <c r="Q732" i="19"/>
  <c r="R732" i="19"/>
  <c r="S732" i="19"/>
  <c r="L733" i="19"/>
  <c r="M733" i="19"/>
  <c r="N733" i="19"/>
  <c r="O733" i="19"/>
  <c r="P733" i="19"/>
  <c r="Q733" i="19"/>
  <c r="R733" i="19"/>
  <c r="S733" i="19"/>
  <c r="L734" i="19"/>
  <c r="M734" i="19"/>
  <c r="N734" i="19"/>
  <c r="O734" i="19"/>
  <c r="P734" i="19"/>
  <c r="Q734" i="19"/>
  <c r="R734" i="19"/>
  <c r="S734" i="19"/>
  <c r="L735" i="19"/>
  <c r="M735" i="19"/>
  <c r="N735" i="19"/>
  <c r="O735" i="19"/>
  <c r="P735" i="19"/>
  <c r="Q735" i="19"/>
  <c r="R735" i="19"/>
  <c r="S735" i="19"/>
  <c r="L736" i="19"/>
  <c r="M736" i="19"/>
  <c r="N736" i="19"/>
  <c r="O736" i="19"/>
  <c r="P736" i="19"/>
  <c r="Q736" i="19"/>
  <c r="R736" i="19"/>
  <c r="S736" i="19"/>
  <c r="L737" i="19"/>
  <c r="M737" i="19"/>
  <c r="N737" i="19"/>
  <c r="O737" i="19"/>
  <c r="P737" i="19"/>
  <c r="Q737" i="19"/>
  <c r="R737" i="19"/>
  <c r="S737" i="19"/>
  <c r="L738" i="19"/>
  <c r="M738" i="19"/>
  <c r="N738" i="19"/>
  <c r="O738" i="19"/>
  <c r="P738" i="19"/>
  <c r="Q738" i="19"/>
  <c r="R738" i="19"/>
  <c r="S738" i="19"/>
  <c r="L739" i="19"/>
  <c r="M739" i="19"/>
  <c r="N739" i="19"/>
  <c r="O739" i="19"/>
  <c r="P739" i="19"/>
  <c r="Q739" i="19"/>
  <c r="R739" i="19"/>
  <c r="S739" i="19"/>
  <c r="L740" i="19"/>
  <c r="M740" i="19"/>
  <c r="N740" i="19"/>
  <c r="O740" i="19"/>
  <c r="P740" i="19"/>
  <c r="Q740" i="19"/>
  <c r="R740" i="19"/>
  <c r="S740" i="19"/>
  <c r="L741" i="19"/>
  <c r="M741" i="19"/>
  <c r="N741" i="19"/>
  <c r="O741" i="19"/>
  <c r="P741" i="19"/>
  <c r="Q741" i="19"/>
  <c r="R741" i="19"/>
  <c r="S741" i="19"/>
  <c r="L742" i="19"/>
  <c r="M742" i="19"/>
  <c r="N742" i="19"/>
  <c r="O742" i="19"/>
  <c r="P742" i="19"/>
  <c r="Q742" i="19"/>
  <c r="R742" i="19"/>
  <c r="S742" i="19"/>
  <c r="L743" i="19"/>
  <c r="M743" i="19"/>
  <c r="N743" i="19"/>
  <c r="O743" i="19"/>
  <c r="P743" i="19"/>
  <c r="Q743" i="19"/>
  <c r="R743" i="19"/>
  <c r="S743" i="19"/>
  <c r="L744" i="19"/>
  <c r="M744" i="19"/>
  <c r="N744" i="19"/>
  <c r="O744" i="19"/>
  <c r="P744" i="19"/>
  <c r="Q744" i="19"/>
  <c r="R744" i="19"/>
  <c r="S744" i="19"/>
  <c r="L745" i="19"/>
  <c r="M745" i="19"/>
  <c r="N745" i="19"/>
  <c r="O745" i="19"/>
  <c r="P745" i="19"/>
  <c r="Q745" i="19"/>
  <c r="R745" i="19"/>
  <c r="S745" i="19"/>
  <c r="L746" i="19"/>
  <c r="M746" i="19"/>
  <c r="N746" i="19"/>
  <c r="O746" i="19"/>
  <c r="P746" i="19"/>
  <c r="Q746" i="19"/>
  <c r="R746" i="19"/>
  <c r="S746" i="19"/>
  <c r="L747" i="19"/>
  <c r="M747" i="19"/>
  <c r="N747" i="19"/>
  <c r="O747" i="19"/>
  <c r="P747" i="19"/>
  <c r="Q747" i="19"/>
  <c r="R747" i="19"/>
  <c r="S747" i="19"/>
  <c r="L748" i="19"/>
  <c r="M748" i="19"/>
  <c r="N748" i="19"/>
  <c r="O748" i="19"/>
  <c r="P748" i="19"/>
  <c r="Q748" i="19"/>
  <c r="R748" i="19"/>
  <c r="S748" i="19"/>
  <c r="L749" i="19"/>
  <c r="M749" i="19"/>
  <c r="N749" i="19"/>
  <c r="O749" i="19"/>
  <c r="P749" i="19"/>
  <c r="Q749" i="19"/>
  <c r="R749" i="19"/>
  <c r="S749" i="19"/>
  <c r="L750" i="19"/>
  <c r="M750" i="19"/>
  <c r="N750" i="19"/>
  <c r="O750" i="19"/>
  <c r="P750" i="19"/>
  <c r="Q750" i="19"/>
  <c r="R750" i="19"/>
  <c r="S750" i="19"/>
  <c r="L751" i="19"/>
  <c r="M751" i="19"/>
  <c r="N751" i="19"/>
  <c r="O751" i="19"/>
  <c r="P751" i="19"/>
  <c r="Q751" i="19"/>
  <c r="R751" i="19"/>
  <c r="S751" i="19"/>
  <c r="L752" i="19"/>
  <c r="M752" i="19"/>
  <c r="N752" i="19"/>
  <c r="O752" i="19"/>
  <c r="P752" i="19"/>
  <c r="Q752" i="19"/>
  <c r="R752" i="19"/>
  <c r="S752" i="19"/>
  <c r="L753" i="19"/>
  <c r="M753" i="19"/>
  <c r="N753" i="19"/>
  <c r="O753" i="19"/>
  <c r="P753" i="19"/>
  <c r="Q753" i="19"/>
  <c r="R753" i="19"/>
  <c r="S753" i="19"/>
  <c r="L754" i="19"/>
  <c r="M754" i="19"/>
  <c r="N754" i="19"/>
  <c r="O754" i="19"/>
  <c r="P754" i="19"/>
  <c r="Q754" i="19"/>
  <c r="R754" i="19"/>
  <c r="S754" i="19"/>
  <c r="L755" i="19"/>
  <c r="M755" i="19"/>
  <c r="N755" i="19"/>
  <c r="O755" i="19"/>
  <c r="P755" i="19"/>
  <c r="Q755" i="19"/>
  <c r="R755" i="19"/>
  <c r="S755" i="19"/>
  <c r="L756" i="19"/>
  <c r="M756" i="19"/>
  <c r="N756" i="19"/>
  <c r="O756" i="19"/>
  <c r="P756" i="19"/>
  <c r="Q756" i="19"/>
  <c r="R756" i="19"/>
  <c r="S756" i="19"/>
  <c r="L757" i="19"/>
  <c r="M757" i="19"/>
  <c r="N757" i="19"/>
  <c r="O757" i="19"/>
  <c r="P757" i="19"/>
  <c r="Q757" i="19"/>
  <c r="R757" i="19"/>
  <c r="S757" i="19"/>
  <c r="L758" i="19"/>
  <c r="M758" i="19"/>
  <c r="N758" i="19"/>
  <c r="O758" i="19"/>
  <c r="P758" i="19"/>
  <c r="Q758" i="19"/>
  <c r="R758" i="19"/>
  <c r="S758" i="19"/>
  <c r="L759" i="19"/>
  <c r="M759" i="19"/>
  <c r="N759" i="19"/>
  <c r="O759" i="19"/>
  <c r="P759" i="19"/>
  <c r="Q759" i="19"/>
  <c r="R759" i="19"/>
  <c r="S759" i="19"/>
  <c r="L760" i="19"/>
  <c r="M760" i="19"/>
  <c r="N760" i="19"/>
  <c r="O760" i="19"/>
  <c r="P760" i="19"/>
  <c r="Q760" i="19"/>
  <c r="R760" i="19"/>
  <c r="S760" i="19"/>
  <c r="L761" i="19"/>
  <c r="M761" i="19"/>
  <c r="N761" i="19"/>
  <c r="O761" i="19"/>
  <c r="P761" i="19"/>
  <c r="Q761" i="19"/>
  <c r="R761" i="19"/>
  <c r="S761" i="19"/>
  <c r="L762" i="19"/>
  <c r="M762" i="19"/>
  <c r="N762" i="19"/>
  <c r="O762" i="19"/>
  <c r="P762" i="19"/>
  <c r="Q762" i="19"/>
  <c r="R762" i="19"/>
  <c r="S762" i="19"/>
  <c r="L763" i="19"/>
  <c r="M763" i="19"/>
  <c r="N763" i="19"/>
  <c r="O763" i="19"/>
  <c r="P763" i="19"/>
  <c r="Q763" i="19"/>
  <c r="R763" i="19"/>
  <c r="S763" i="19"/>
  <c r="L764" i="19"/>
  <c r="M764" i="19"/>
  <c r="N764" i="19"/>
  <c r="O764" i="19"/>
  <c r="P764" i="19"/>
  <c r="Q764" i="19"/>
  <c r="R764" i="19"/>
  <c r="S764" i="19"/>
  <c r="L765" i="19"/>
  <c r="M765" i="19"/>
  <c r="N765" i="19"/>
  <c r="O765" i="19"/>
  <c r="P765" i="19"/>
  <c r="Q765" i="19"/>
  <c r="R765" i="19"/>
  <c r="S765" i="19"/>
  <c r="L766" i="19"/>
  <c r="M766" i="19"/>
  <c r="N766" i="19"/>
  <c r="O766" i="19"/>
  <c r="P766" i="19"/>
  <c r="Q766" i="19"/>
  <c r="R766" i="19"/>
  <c r="S766" i="19"/>
  <c r="L767" i="19"/>
  <c r="M767" i="19"/>
  <c r="N767" i="19"/>
  <c r="O767" i="19"/>
  <c r="P767" i="19"/>
  <c r="Q767" i="19"/>
  <c r="R767" i="19"/>
  <c r="S767" i="19"/>
  <c r="L768" i="19"/>
  <c r="M768" i="19"/>
  <c r="N768" i="19"/>
  <c r="O768" i="19"/>
  <c r="P768" i="19"/>
  <c r="Q768" i="19"/>
  <c r="R768" i="19"/>
  <c r="S768" i="19"/>
  <c r="L769" i="19"/>
  <c r="M769" i="19"/>
  <c r="N769" i="19"/>
  <c r="O769" i="19"/>
  <c r="P769" i="19"/>
  <c r="Q769" i="19"/>
  <c r="R769" i="19"/>
  <c r="S769" i="19"/>
  <c r="L770" i="19"/>
  <c r="M770" i="19"/>
  <c r="N770" i="19"/>
  <c r="O770" i="19"/>
  <c r="P770" i="19"/>
  <c r="Q770" i="19"/>
  <c r="R770" i="19"/>
  <c r="S770" i="19"/>
  <c r="L771" i="19"/>
  <c r="M771" i="19"/>
  <c r="N771" i="19"/>
  <c r="O771" i="19"/>
  <c r="P771" i="19"/>
  <c r="Q771" i="19"/>
  <c r="R771" i="19"/>
  <c r="S771" i="19"/>
  <c r="L772" i="19"/>
  <c r="M772" i="19"/>
  <c r="N772" i="19"/>
  <c r="O772" i="19"/>
  <c r="P772" i="19"/>
  <c r="Q772" i="19"/>
  <c r="R772" i="19"/>
  <c r="S772" i="19"/>
  <c r="L773" i="19"/>
  <c r="M773" i="19"/>
  <c r="N773" i="19"/>
  <c r="O773" i="19"/>
  <c r="P773" i="19"/>
  <c r="Q773" i="19"/>
  <c r="R773" i="19"/>
  <c r="S773" i="19"/>
  <c r="L774" i="19"/>
  <c r="M774" i="19"/>
  <c r="N774" i="19"/>
  <c r="O774" i="19"/>
  <c r="P774" i="19"/>
  <c r="Q774" i="19"/>
  <c r="R774" i="19"/>
  <c r="S774" i="19"/>
  <c r="L775" i="19"/>
  <c r="M775" i="19"/>
  <c r="N775" i="19"/>
  <c r="O775" i="19"/>
  <c r="P775" i="19"/>
  <c r="Q775" i="19"/>
  <c r="R775" i="19"/>
  <c r="S775" i="19"/>
  <c r="L776" i="19"/>
  <c r="M776" i="19"/>
  <c r="N776" i="19"/>
  <c r="O776" i="19"/>
  <c r="P776" i="19"/>
  <c r="Q776" i="19"/>
  <c r="R776" i="19"/>
  <c r="S776" i="19"/>
  <c r="L777" i="19"/>
  <c r="M777" i="19"/>
  <c r="N777" i="19"/>
  <c r="O777" i="19"/>
  <c r="P777" i="19"/>
  <c r="Q777" i="19"/>
  <c r="R777" i="19"/>
  <c r="S777" i="19"/>
  <c r="L778" i="19"/>
  <c r="M778" i="19"/>
  <c r="N778" i="19"/>
  <c r="O778" i="19"/>
  <c r="P778" i="19"/>
  <c r="Q778" i="19"/>
  <c r="R778" i="19"/>
  <c r="S778" i="19"/>
  <c r="L779" i="19"/>
  <c r="M779" i="19"/>
  <c r="N779" i="19"/>
  <c r="O779" i="19"/>
  <c r="P779" i="19"/>
  <c r="Q779" i="19"/>
  <c r="R779" i="19"/>
  <c r="S779" i="19"/>
  <c r="L780" i="19"/>
  <c r="M780" i="19"/>
  <c r="N780" i="19"/>
  <c r="O780" i="19"/>
  <c r="P780" i="19"/>
  <c r="Q780" i="19"/>
  <c r="R780" i="19"/>
  <c r="S780" i="19"/>
  <c r="L781" i="19"/>
  <c r="M781" i="19"/>
  <c r="N781" i="19"/>
  <c r="O781" i="19"/>
  <c r="P781" i="19"/>
  <c r="Q781" i="19"/>
  <c r="R781" i="19"/>
  <c r="S781" i="19"/>
  <c r="L782" i="19"/>
  <c r="M782" i="19"/>
  <c r="N782" i="19"/>
  <c r="O782" i="19"/>
  <c r="P782" i="19"/>
  <c r="Q782" i="19"/>
  <c r="R782" i="19"/>
  <c r="S782" i="19"/>
  <c r="L783" i="19"/>
  <c r="M783" i="19"/>
  <c r="N783" i="19"/>
  <c r="O783" i="19"/>
  <c r="P783" i="19"/>
  <c r="Q783" i="19"/>
  <c r="R783" i="19"/>
  <c r="S783" i="19"/>
  <c r="L784" i="19"/>
  <c r="M784" i="19"/>
  <c r="N784" i="19"/>
  <c r="O784" i="19"/>
  <c r="P784" i="19"/>
  <c r="Q784" i="19"/>
  <c r="R784" i="19"/>
  <c r="S784" i="19"/>
  <c r="L785" i="19"/>
  <c r="M785" i="19"/>
  <c r="N785" i="19"/>
  <c r="O785" i="19"/>
  <c r="P785" i="19"/>
  <c r="Q785" i="19"/>
  <c r="R785" i="19"/>
  <c r="S785" i="19"/>
  <c r="L786" i="19"/>
  <c r="M786" i="19"/>
  <c r="N786" i="19"/>
  <c r="O786" i="19"/>
  <c r="P786" i="19"/>
  <c r="Q786" i="19"/>
  <c r="R786" i="19"/>
  <c r="S786" i="19"/>
  <c r="L787" i="19"/>
  <c r="M787" i="19"/>
  <c r="N787" i="19"/>
  <c r="O787" i="19"/>
  <c r="P787" i="19"/>
  <c r="Q787" i="19"/>
  <c r="R787" i="19"/>
  <c r="S787" i="19"/>
  <c r="L788" i="19"/>
  <c r="M788" i="19"/>
  <c r="N788" i="19"/>
  <c r="O788" i="19"/>
  <c r="P788" i="19"/>
  <c r="Q788" i="19"/>
  <c r="R788" i="19"/>
  <c r="S788" i="19"/>
  <c r="L789" i="19"/>
  <c r="M789" i="19"/>
  <c r="N789" i="19"/>
  <c r="O789" i="19"/>
  <c r="P789" i="19"/>
  <c r="Q789" i="19"/>
  <c r="R789" i="19"/>
  <c r="S789" i="19"/>
  <c r="L790" i="19"/>
  <c r="M790" i="19"/>
  <c r="N790" i="19"/>
  <c r="O790" i="19"/>
  <c r="P790" i="19"/>
  <c r="Q790" i="19"/>
  <c r="R790" i="19"/>
  <c r="S790" i="19"/>
  <c r="L791" i="19"/>
  <c r="M791" i="19"/>
  <c r="N791" i="19"/>
  <c r="O791" i="19"/>
  <c r="P791" i="19"/>
  <c r="Q791" i="19"/>
  <c r="R791" i="19"/>
  <c r="S791" i="19"/>
  <c r="L792" i="19"/>
  <c r="M792" i="19"/>
  <c r="N792" i="19"/>
  <c r="O792" i="19"/>
  <c r="P792" i="19"/>
  <c r="Q792" i="19"/>
  <c r="R792" i="19"/>
  <c r="S792" i="19"/>
  <c r="L793" i="19"/>
  <c r="M793" i="19"/>
  <c r="N793" i="19"/>
  <c r="O793" i="19"/>
  <c r="P793" i="19"/>
  <c r="Q793" i="19"/>
  <c r="R793" i="19"/>
  <c r="S793" i="19"/>
  <c r="L794" i="19"/>
  <c r="M794" i="19"/>
  <c r="N794" i="19"/>
  <c r="O794" i="19"/>
  <c r="P794" i="19"/>
  <c r="Q794" i="19"/>
  <c r="R794" i="19"/>
  <c r="S794" i="19"/>
  <c r="L795" i="19"/>
  <c r="M795" i="19"/>
  <c r="N795" i="19"/>
  <c r="O795" i="19"/>
  <c r="P795" i="19"/>
  <c r="Q795" i="19"/>
  <c r="R795" i="19"/>
  <c r="S795" i="19"/>
  <c r="L796" i="19"/>
  <c r="M796" i="19"/>
  <c r="N796" i="19"/>
  <c r="O796" i="19"/>
  <c r="P796" i="19"/>
  <c r="Q796" i="19"/>
  <c r="R796" i="19"/>
  <c r="S796" i="19"/>
  <c r="L797" i="19"/>
  <c r="M797" i="19"/>
  <c r="N797" i="19"/>
  <c r="O797" i="19"/>
  <c r="P797" i="19"/>
  <c r="Q797" i="19"/>
  <c r="R797" i="19"/>
  <c r="S797" i="19"/>
  <c r="L798" i="19"/>
  <c r="M798" i="19"/>
  <c r="N798" i="19"/>
  <c r="O798" i="19"/>
  <c r="P798" i="19"/>
  <c r="Q798" i="19"/>
  <c r="R798" i="19"/>
  <c r="S798" i="19"/>
  <c r="L799" i="19"/>
  <c r="M799" i="19"/>
  <c r="N799" i="19"/>
  <c r="O799" i="19"/>
  <c r="P799" i="19"/>
  <c r="Q799" i="19"/>
  <c r="R799" i="19"/>
  <c r="S799" i="19"/>
  <c r="L800" i="19"/>
  <c r="M800" i="19"/>
  <c r="N800" i="19"/>
  <c r="O800" i="19"/>
  <c r="P800" i="19"/>
  <c r="Q800" i="19"/>
  <c r="R800" i="19"/>
  <c r="S800" i="19"/>
  <c r="L801" i="19"/>
  <c r="M801" i="19"/>
  <c r="N801" i="19"/>
  <c r="O801" i="19"/>
  <c r="P801" i="19"/>
  <c r="Q801" i="19"/>
  <c r="R801" i="19"/>
  <c r="S801" i="19"/>
  <c r="L802" i="19"/>
  <c r="M802" i="19"/>
  <c r="N802" i="19"/>
  <c r="O802" i="19"/>
  <c r="P802" i="19"/>
  <c r="Q802" i="19"/>
  <c r="R802" i="19"/>
  <c r="S802" i="19"/>
  <c r="L803" i="19"/>
  <c r="M803" i="19"/>
  <c r="N803" i="19"/>
  <c r="O803" i="19"/>
  <c r="P803" i="19"/>
  <c r="Q803" i="19"/>
  <c r="R803" i="19"/>
  <c r="S803" i="19"/>
  <c r="L804" i="19"/>
  <c r="M804" i="19"/>
  <c r="N804" i="19"/>
  <c r="O804" i="19"/>
  <c r="P804" i="19"/>
  <c r="Q804" i="19"/>
  <c r="R804" i="19"/>
  <c r="S804" i="19"/>
  <c r="L805" i="19"/>
  <c r="M805" i="19"/>
  <c r="N805" i="19"/>
  <c r="O805" i="19"/>
  <c r="P805" i="19"/>
  <c r="Q805" i="19"/>
  <c r="R805" i="19"/>
  <c r="S805" i="19"/>
  <c r="L806" i="19"/>
  <c r="M806" i="19"/>
  <c r="N806" i="19"/>
  <c r="O806" i="19"/>
  <c r="P806" i="19"/>
  <c r="Q806" i="19"/>
  <c r="R806" i="19"/>
  <c r="S806" i="19"/>
  <c r="L807" i="19"/>
  <c r="M807" i="19"/>
  <c r="N807" i="19"/>
  <c r="O807" i="19"/>
  <c r="P807" i="19"/>
  <c r="Q807" i="19"/>
  <c r="R807" i="19"/>
  <c r="S807" i="19"/>
  <c r="L808" i="19"/>
  <c r="M808" i="19"/>
  <c r="N808" i="19"/>
  <c r="O808" i="19"/>
  <c r="P808" i="19"/>
  <c r="Q808" i="19"/>
  <c r="R808" i="19"/>
  <c r="S808" i="19"/>
  <c r="L809" i="19"/>
  <c r="M809" i="19"/>
  <c r="N809" i="19"/>
  <c r="O809" i="19"/>
  <c r="P809" i="19"/>
  <c r="Q809" i="19"/>
  <c r="R809" i="19"/>
  <c r="S809" i="19"/>
  <c r="L810" i="19"/>
  <c r="M810" i="19"/>
  <c r="N810" i="19"/>
  <c r="O810" i="19"/>
  <c r="P810" i="19"/>
  <c r="Q810" i="19"/>
  <c r="R810" i="19"/>
  <c r="S810" i="19"/>
  <c r="L811" i="19"/>
  <c r="M811" i="19"/>
  <c r="N811" i="19"/>
  <c r="O811" i="19"/>
  <c r="P811" i="19"/>
  <c r="Q811" i="19"/>
  <c r="R811" i="19"/>
  <c r="S811" i="19"/>
  <c r="L812" i="19"/>
  <c r="M812" i="19"/>
  <c r="N812" i="19"/>
  <c r="O812" i="19"/>
  <c r="P812" i="19"/>
  <c r="Q812" i="19"/>
  <c r="R812" i="19"/>
  <c r="S812" i="19"/>
  <c r="L813" i="19"/>
  <c r="M813" i="19"/>
  <c r="N813" i="19"/>
  <c r="O813" i="19"/>
  <c r="P813" i="19"/>
  <c r="Q813" i="19"/>
  <c r="R813" i="19"/>
  <c r="S813" i="19"/>
  <c r="L814" i="19"/>
  <c r="M814" i="19"/>
  <c r="N814" i="19"/>
  <c r="O814" i="19"/>
  <c r="P814" i="19"/>
  <c r="Q814" i="19"/>
  <c r="R814" i="19"/>
  <c r="S814" i="19"/>
  <c r="L815" i="19"/>
  <c r="M815" i="19"/>
  <c r="N815" i="19"/>
  <c r="O815" i="19"/>
  <c r="P815" i="19"/>
  <c r="Q815" i="19"/>
  <c r="R815" i="19"/>
  <c r="S815" i="19"/>
  <c r="L816" i="19"/>
  <c r="M816" i="19"/>
  <c r="N816" i="19"/>
  <c r="O816" i="19"/>
  <c r="P816" i="19"/>
  <c r="Q816" i="19"/>
  <c r="R816" i="19"/>
  <c r="S816" i="19"/>
  <c r="L817" i="19"/>
  <c r="M817" i="19"/>
  <c r="N817" i="19"/>
  <c r="O817" i="19"/>
  <c r="P817" i="19"/>
  <c r="Q817" i="19"/>
  <c r="R817" i="19"/>
  <c r="S817" i="19"/>
  <c r="L818" i="19"/>
  <c r="M818" i="19"/>
  <c r="N818" i="19"/>
  <c r="O818" i="19"/>
  <c r="P818" i="19"/>
  <c r="Q818" i="19"/>
  <c r="R818" i="19"/>
  <c r="S818" i="19"/>
  <c r="L819" i="19"/>
  <c r="M819" i="19"/>
  <c r="N819" i="19"/>
  <c r="O819" i="19"/>
  <c r="P819" i="19"/>
  <c r="Q819" i="19"/>
  <c r="R819" i="19"/>
  <c r="S819" i="19"/>
  <c r="L820" i="19"/>
  <c r="M820" i="19"/>
  <c r="N820" i="19"/>
  <c r="O820" i="19"/>
  <c r="P820" i="19"/>
  <c r="Q820" i="19"/>
  <c r="R820" i="19"/>
  <c r="S820" i="19"/>
  <c r="L821" i="19"/>
  <c r="M821" i="19"/>
  <c r="N821" i="19"/>
  <c r="O821" i="19"/>
  <c r="P821" i="19"/>
  <c r="Q821" i="19"/>
  <c r="R821" i="19"/>
  <c r="S821" i="19"/>
  <c r="L822" i="19"/>
  <c r="M822" i="19"/>
  <c r="N822" i="19"/>
  <c r="O822" i="19"/>
  <c r="P822" i="19"/>
  <c r="Q822" i="19"/>
  <c r="R822" i="19"/>
  <c r="S822" i="19"/>
  <c r="L823" i="19"/>
  <c r="M823" i="19"/>
  <c r="N823" i="19"/>
  <c r="O823" i="19"/>
  <c r="P823" i="19"/>
  <c r="Q823" i="19"/>
  <c r="R823" i="19"/>
  <c r="S823" i="19"/>
  <c r="L824" i="19"/>
  <c r="M824" i="19"/>
  <c r="N824" i="19"/>
  <c r="O824" i="19"/>
  <c r="P824" i="19"/>
  <c r="Q824" i="19"/>
  <c r="R824" i="19"/>
  <c r="S824" i="19"/>
  <c r="L825" i="19"/>
  <c r="M825" i="19"/>
  <c r="N825" i="19"/>
  <c r="O825" i="19"/>
  <c r="P825" i="19"/>
  <c r="Q825" i="19"/>
  <c r="R825" i="19"/>
  <c r="S825" i="19"/>
  <c r="L826" i="19"/>
  <c r="M826" i="19"/>
  <c r="N826" i="19"/>
  <c r="O826" i="19"/>
  <c r="P826" i="19"/>
  <c r="Q826" i="19"/>
  <c r="R826" i="19"/>
  <c r="S826" i="19"/>
  <c r="L827" i="19"/>
  <c r="M827" i="19"/>
  <c r="N827" i="19"/>
  <c r="O827" i="19"/>
  <c r="P827" i="19"/>
  <c r="Q827" i="19"/>
  <c r="R827" i="19"/>
  <c r="S827" i="19"/>
  <c r="L828" i="19"/>
  <c r="M828" i="19"/>
  <c r="N828" i="19"/>
  <c r="O828" i="19"/>
  <c r="P828" i="19"/>
  <c r="Q828" i="19"/>
  <c r="R828" i="19"/>
  <c r="S828" i="19"/>
  <c r="L829" i="19"/>
  <c r="M829" i="19"/>
  <c r="N829" i="19"/>
  <c r="O829" i="19"/>
  <c r="P829" i="19"/>
  <c r="Q829" i="19"/>
  <c r="R829" i="19"/>
  <c r="S829" i="19"/>
  <c r="L830" i="19"/>
  <c r="M830" i="19"/>
  <c r="N830" i="19"/>
  <c r="O830" i="19"/>
  <c r="P830" i="19"/>
  <c r="Q830" i="19"/>
  <c r="R830" i="19"/>
  <c r="S830" i="19"/>
  <c r="L831" i="19"/>
  <c r="M831" i="19"/>
  <c r="N831" i="19"/>
  <c r="O831" i="19"/>
  <c r="P831" i="19"/>
  <c r="Q831" i="19"/>
  <c r="R831" i="19"/>
  <c r="S831" i="19"/>
  <c r="L832" i="19"/>
  <c r="M832" i="19"/>
  <c r="N832" i="19"/>
  <c r="O832" i="19"/>
  <c r="P832" i="19"/>
  <c r="Q832" i="19"/>
  <c r="R832" i="19"/>
  <c r="S832" i="19"/>
  <c r="L833" i="19"/>
  <c r="M833" i="19"/>
  <c r="N833" i="19"/>
  <c r="O833" i="19"/>
  <c r="P833" i="19"/>
  <c r="Q833" i="19"/>
  <c r="R833" i="19"/>
  <c r="S833" i="19"/>
  <c r="L834" i="19"/>
  <c r="M834" i="19"/>
  <c r="N834" i="19"/>
  <c r="O834" i="19"/>
  <c r="P834" i="19"/>
  <c r="Q834" i="19"/>
  <c r="R834" i="19"/>
  <c r="S834" i="19"/>
  <c r="L835" i="19"/>
  <c r="M835" i="19"/>
  <c r="N835" i="19"/>
  <c r="O835" i="19"/>
  <c r="P835" i="19"/>
  <c r="Q835" i="19"/>
  <c r="R835" i="19"/>
  <c r="S835" i="19"/>
  <c r="L836" i="19"/>
  <c r="M836" i="19"/>
  <c r="N836" i="19"/>
  <c r="O836" i="19"/>
  <c r="P836" i="19"/>
  <c r="Q836" i="19"/>
  <c r="R836" i="19"/>
  <c r="S836" i="19"/>
  <c r="L837" i="19"/>
  <c r="M837" i="19"/>
  <c r="N837" i="19"/>
  <c r="O837" i="19"/>
  <c r="P837" i="19"/>
  <c r="Q837" i="19"/>
  <c r="R837" i="19"/>
  <c r="S837" i="19"/>
  <c r="L838" i="19"/>
  <c r="M838" i="19"/>
  <c r="N838" i="19"/>
  <c r="O838" i="19"/>
  <c r="P838" i="19"/>
  <c r="Q838" i="19"/>
  <c r="R838" i="19"/>
  <c r="S838" i="19"/>
  <c r="L839" i="19"/>
  <c r="M839" i="19"/>
  <c r="N839" i="19"/>
  <c r="O839" i="19"/>
  <c r="P839" i="19"/>
  <c r="Q839" i="19"/>
  <c r="R839" i="19"/>
  <c r="S839" i="19"/>
  <c r="L840" i="19"/>
  <c r="M840" i="19"/>
  <c r="N840" i="19"/>
  <c r="O840" i="19"/>
  <c r="P840" i="19"/>
  <c r="Q840" i="19"/>
  <c r="R840" i="19"/>
  <c r="S840" i="19"/>
  <c r="L841" i="19"/>
  <c r="M841" i="19"/>
  <c r="N841" i="19"/>
  <c r="O841" i="19"/>
  <c r="P841" i="19"/>
  <c r="Q841" i="19"/>
  <c r="R841" i="19"/>
  <c r="S841" i="19"/>
  <c r="L842" i="19"/>
  <c r="M842" i="19"/>
  <c r="N842" i="19"/>
  <c r="O842" i="19"/>
  <c r="P842" i="19"/>
  <c r="Q842" i="19"/>
  <c r="R842" i="19"/>
  <c r="S842" i="19"/>
  <c r="L843" i="19"/>
  <c r="M843" i="19"/>
  <c r="N843" i="19"/>
  <c r="O843" i="19"/>
  <c r="P843" i="19"/>
  <c r="Q843" i="19"/>
  <c r="R843" i="19"/>
  <c r="S843" i="19"/>
  <c r="L844" i="19"/>
  <c r="M844" i="19"/>
  <c r="N844" i="19"/>
  <c r="O844" i="19"/>
  <c r="P844" i="19"/>
  <c r="Q844" i="19"/>
  <c r="R844" i="19"/>
  <c r="S844" i="19"/>
  <c r="L845" i="19"/>
  <c r="M845" i="19"/>
  <c r="N845" i="19"/>
  <c r="O845" i="19"/>
  <c r="P845" i="19"/>
  <c r="Q845" i="19"/>
  <c r="R845" i="19"/>
  <c r="S845" i="19"/>
  <c r="L846" i="19"/>
  <c r="M846" i="19"/>
  <c r="N846" i="19"/>
  <c r="O846" i="19"/>
  <c r="P846" i="19"/>
  <c r="Q846" i="19"/>
  <c r="R846" i="19"/>
  <c r="S846" i="19"/>
  <c r="L847" i="19"/>
  <c r="M847" i="19"/>
  <c r="N847" i="19"/>
  <c r="O847" i="19"/>
  <c r="P847" i="19"/>
  <c r="Q847" i="19"/>
  <c r="R847" i="19"/>
  <c r="S847" i="19"/>
  <c r="L848" i="19"/>
  <c r="M848" i="19"/>
  <c r="N848" i="19"/>
  <c r="O848" i="19"/>
  <c r="P848" i="19"/>
  <c r="Q848" i="19"/>
  <c r="R848" i="19"/>
  <c r="S848" i="19"/>
  <c r="L849" i="19"/>
  <c r="M849" i="19"/>
  <c r="N849" i="19"/>
  <c r="O849" i="19"/>
  <c r="P849" i="19"/>
  <c r="Q849" i="19"/>
  <c r="R849" i="19"/>
  <c r="S849" i="19"/>
  <c r="L850" i="19"/>
  <c r="M850" i="19"/>
  <c r="N850" i="19"/>
  <c r="O850" i="19"/>
  <c r="P850" i="19"/>
  <c r="Q850" i="19"/>
  <c r="R850" i="19"/>
  <c r="S850" i="19"/>
  <c r="L851" i="19"/>
  <c r="M851" i="19"/>
  <c r="N851" i="19"/>
  <c r="O851" i="19"/>
  <c r="P851" i="19"/>
  <c r="Q851" i="19"/>
  <c r="R851" i="19"/>
  <c r="S851" i="19"/>
  <c r="L852" i="19"/>
  <c r="M852" i="19"/>
  <c r="N852" i="19"/>
  <c r="O852" i="19"/>
  <c r="P852" i="19"/>
  <c r="Q852" i="19"/>
  <c r="R852" i="19"/>
  <c r="S852" i="19"/>
  <c r="L853" i="19"/>
  <c r="M853" i="19"/>
  <c r="N853" i="19"/>
  <c r="O853" i="19"/>
  <c r="P853" i="19"/>
  <c r="Q853" i="19"/>
  <c r="R853" i="19"/>
  <c r="S853" i="19"/>
  <c r="L854" i="19"/>
  <c r="M854" i="19"/>
  <c r="N854" i="19"/>
  <c r="O854" i="19"/>
  <c r="P854" i="19"/>
  <c r="Q854" i="19"/>
  <c r="R854" i="19"/>
  <c r="S854" i="19"/>
  <c r="L855" i="19"/>
  <c r="M855" i="19"/>
  <c r="N855" i="19"/>
  <c r="O855" i="19"/>
  <c r="P855" i="19"/>
  <c r="Q855" i="19"/>
  <c r="R855" i="19"/>
  <c r="S855" i="19"/>
  <c r="L856" i="19"/>
  <c r="M856" i="19"/>
  <c r="N856" i="19"/>
  <c r="O856" i="19"/>
  <c r="P856" i="19"/>
  <c r="Q856" i="19"/>
  <c r="R856" i="19"/>
  <c r="S856" i="19"/>
  <c r="L857" i="19"/>
  <c r="M857" i="19"/>
  <c r="N857" i="19"/>
  <c r="O857" i="19"/>
  <c r="P857" i="19"/>
  <c r="Q857" i="19"/>
  <c r="R857" i="19"/>
  <c r="S857" i="19"/>
  <c r="L858" i="19"/>
  <c r="M858" i="19"/>
  <c r="N858" i="19"/>
  <c r="O858" i="19"/>
  <c r="P858" i="19"/>
  <c r="Q858" i="19"/>
  <c r="R858" i="19"/>
  <c r="S858" i="19"/>
  <c r="L859" i="19"/>
  <c r="M859" i="19"/>
  <c r="N859" i="19"/>
  <c r="O859" i="19"/>
  <c r="P859" i="19"/>
  <c r="Q859" i="19"/>
  <c r="R859" i="19"/>
  <c r="S859" i="19"/>
  <c r="L860" i="19"/>
  <c r="M860" i="19"/>
  <c r="N860" i="19"/>
  <c r="O860" i="19"/>
  <c r="P860" i="19"/>
  <c r="Q860" i="19"/>
  <c r="R860" i="19"/>
  <c r="S860" i="19"/>
  <c r="L861" i="19"/>
  <c r="M861" i="19"/>
  <c r="N861" i="19"/>
  <c r="O861" i="19"/>
  <c r="P861" i="19"/>
  <c r="Q861" i="19"/>
  <c r="R861" i="19"/>
  <c r="S861" i="19"/>
  <c r="L862" i="19"/>
  <c r="M862" i="19"/>
  <c r="N862" i="19"/>
  <c r="O862" i="19"/>
  <c r="P862" i="19"/>
  <c r="Q862" i="19"/>
  <c r="R862" i="19"/>
  <c r="S862" i="19"/>
  <c r="L863" i="19"/>
  <c r="M863" i="19"/>
  <c r="N863" i="19"/>
  <c r="O863" i="19"/>
  <c r="P863" i="19"/>
  <c r="Q863" i="19"/>
  <c r="R863" i="19"/>
  <c r="S863" i="19"/>
  <c r="L864" i="19"/>
  <c r="M864" i="19"/>
  <c r="N864" i="19"/>
  <c r="O864" i="19"/>
  <c r="P864" i="19"/>
  <c r="Q864" i="19"/>
  <c r="R864" i="19"/>
  <c r="S864" i="19"/>
  <c r="L865" i="19"/>
  <c r="M865" i="19"/>
  <c r="N865" i="19"/>
  <c r="O865" i="19"/>
  <c r="P865" i="19"/>
  <c r="Q865" i="19"/>
  <c r="R865" i="19"/>
  <c r="S865" i="19"/>
  <c r="L866" i="19"/>
  <c r="M866" i="19"/>
  <c r="N866" i="19"/>
  <c r="O866" i="19"/>
  <c r="P866" i="19"/>
  <c r="Q866" i="19"/>
  <c r="R866" i="19"/>
  <c r="S866" i="19"/>
  <c r="L867" i="19"/>
  <c r="M867" i="19"/>
  <c r="N867" i="19"/>
  <c r="O867" i="19"/>
  <c r="P867" i="19"/>
  <c r="Q867" i="19"/>
  <c r="R867" i="19"/>
  <c r="S867" i="19"/>
  <c r="L868" i="19"/>
  <c r="M868" i="19"/>
  <c r="N868" i="19"/>
  <c r="O868" i="19"/>
  <c r="P868" i="19"/>
  <c r="Q868" i="19"/>
  <c r="R868" i="19"/>
  <c r="S868" i="19"/>
  <c r="L869" i="19"/>
  <c r="M869" i="19"/>
  <c r="N869" i="19"/>
  <c r="O869" i="19"/>
  <c r="P869" i="19"/>
  <c r="Q869" i="19"/>
  <c r="R869" i="19"/>
  <c r="S869" i="19"/>
  <c r="L870" i="19"/>
  <c r="M870" i="19"/>
  <c r="N870" i="19"/>
  <c r="O870" i="19"/>
  <c r="P870" i="19"/>
  <c r="Q870" i="19"/>
  <c r="R870" i="19"/>
  <c r="S870" i="19"/>
  <c r="L871" i="19"/>
  <c r="M871" i="19"/>
  <c r="N871" i="19"/>
  <c r="O871" i="19"/>
  <c r="P871" i="19"/>
  <c r="Q871" i="19"/>
  <c r="R871" i="19"/>
  <c r="S871" i="19"/>
  <c r="L872" i="19"/>
  <c r="M872" i="19"/>
  <c r="N872" i="19"/>
  <c r="O872" i="19"/>
  <c r="P872" i="19"/>
  <c r="Q872" i="19"/>
  <c r="R872" i="19"/>
  <c r="S872" i="19"/>
  <c r="L873" i="19"/>
  <c r="M873" i="19"/>
  <c r="N873" i="19"/>
  <c r="O873" i="19"/>
  <c r="P873" i="19"/>
  <c r="Q873" i="19"/>
  <c r="R873" i="19"/>
  <c r="S873" i="19"/>
  <c r="L874" i="19"/>
  <c r="M874" i="19"/>
  <c r="N874" i="19"/>
  <c r="O874" i="19"/>
  <c r="P874" i="19"/>
  <c r="Q874" i="19"/>
  <c r="R874" i="19"/>
  <c r="S874" i="19"/>
  <c r="L875" i="19"/>
  <c r="M875" i="19"/>
  <c r="N875" i="19"/>
  <c r="O875" i="19"/>
  <c r="P875" i="19"/>
  <c r="Q875" i="19"/>
  <c r="R875" i="19"/>
  <c r="S875" i="19"/>
  <c r="L876" i="19"/>
  <c r="M876" i="19"/>
  <c r="N876" i="19"/>
  <c r="O876" i="19"/>
  <c r="P876" i="19"/>
  <c r="Q876" i="19"/>
  <c r="R876" i="19"/>
  <c r="S876" i="19"/>
  <c r="L877" i="19"/>
  <c r="M877" i="19"/>
  <c r="N877" i="19"/>
  <c r="O877" i="19"/>
  <c r="P877" i="19"/>
  <c r="Q877" i="19"/>
  <c r="R877" i="19"/>
  <c r="S877" i="19"/>
  <c r="L878" i="19"/>
  <c r="M878" i="19"/>
  <c r="N878" i="19"/>
  <c r="O878" i="19"/>
  <c r="P878" i="19"/>
  <c r="Q878" i="19"/>
  <c r="R878" i="19"/>
  <c r="S878" i="19"/>
  <c r="L879" i="19"/>
  <c r="M879" i="19"/>
  <c r="N879" i="19"/>
  <c r="O879" i="19"/>
  <c r="P879" i="19"/>
  <c r="Q879" i="19"/>
  <c r="R879" i="19"/>
  <c r="S879" i="19"/>
  <c r="L880" i="19"/>
  <c r="M880" i="19"/>
  <c r="N880" i="19"/>
  <c r="O880" i="19"/>
  <c r="P880" i="19"/>
  <c r="Q880" i="19"/>
  <c r="R880" i="19"/>
  <c r="S880" i="19"/>
  <c r="L881" i="19"/>
  <c r="M881" i="19"/>
  <c r="N881" i="19"/>
  <c r="O881" i="19"/>
  <c r="P881" i="19"/>
  <c r="Q881" i="19"/>
  <c r="R881" i="19"/>
  <c r="S881" i="19"/>
  <c r="L882" i="19"/>
  <c r="M882" i="19"/>
  <c r="N882" i="19"/>
  <c r="O882" i="19"/>
  <c r="P882" i="19"/>
  <c r="Q882" i="19"/>
  <c r="R882" i="19"/>
  <c r="S882" i="19"/>
  <c r="L883" i="19"/>
  <c r="M883" i="19"/>
  <c r="N883" i="19"/>
  <c r="O883" i="19"/>
  <c r="P883" i="19"/>
  <c r="Q883" i="19"/>
  <c r="R883" i="19"/>
  <c r="S883" i="19"/>
  <c r="L884" i="19"/>
  <c r="M884" i="19"/>
  <c r="N884" i="19"/>
  <c r="O884" i="19"/>
  <c r="P884" i="19"/>
  <c r="Q884" i="19"/>
  <c r="R884" i="19"/>
  <c r="S884" i="19"/>
  <c r="L885" i="19"/>
  <c r="M885" i="19"/>
  <c r="N885" i="19"/>
  <c r="O885" i="19"/>
  <c r="P885" i="19"/>
  <c r="Q885" i="19"/>
  <c r="R885" i="19"/>
  <c r="S885" i="19"/>
  <c r="L886" i="19"/>
  <c r="M886" i="19"/>
  <c r="N886" i="19"/>
  <c r="O886" i="19"/>
  <c r="P886" i="19"/>
  <c r="Q886" i="19"/>
  <c r="R886" i="19"/>
  <c r="S886" i="19"/>
  <c r="L887" i="19"/>
  <c r="M887" i="19"/>
  <c r="N887" i="19"/>
  <c r="O887" i="19"/>
  <c r="P887" i="19"/>
  <c r="Q887" i="19"/>
  <c r="R887" i="19"/>
  <c r="S887" i="19"/>
  <c r="L888" i="19"/>
  <c r="M888" i="19"/>
  <c r="N888" i="19"/>
  <c r="O888" i="19"/>
  <c r="P888" i="19"/>
  <c r="Q888" i="19"/>
  <c r="R888" i="19"/>
  <c r="S888" i="19"/>
  <c r="L889" i="19"/>
  <c r="M889" i="19"/>
  <c r="N889" i="19"/>
  <c r="O889" i="19"/>
  <c r="P889" i="19"/>
  <c r="Q889" i="19"/>
  <c r="R889" i="19"/>
  <c r="S889" i="19"/>
  <c r="L890" i="19"/>
  <c r="M890" i="19"/>
  <c r="N890" i="19"/>
  <c r="O890" i="19"/>
  <c r="P890" i="19"/>
  <c r="Q890" i="19"/>
  <c r="R890" i="19"/>
  <c r="S890" i="19"/>
  <c r="L891" i="19"/>
  <c r="M891" i="19"/>
  <c r="N891" i="19"/>
  <c r="O891" i="19"/>
  <c r="P891" i="19"/>
  <c r="Q891" i="19"/>
  <c r="R891" i="19"/>
  <c r="S891" i="19"/>
  <c r="L892" i="19"/>
  <c r="M892" i="19"/>
  <c r="N892" i="19"/>
  <c r="O892" i="19"/>
  <c r="P892" i="19"/>
  <c r="Q892" i="19"/>
  <c r="R892" i="19"/>
  <c r="S892" i="19"/>
  <c r="L893" i="19"/>
  <c r="M893" i="19"/>
  <c r="N893" i="19"/>
  <c r="O893" i="19"/>
  <c r="P893" i="19"/>
  <c r="Q893" i="19"/>
  <c r="R893" i="19"/>
  <c r="S893" i="19"/>
  <c r="L894" i="19"/>
  <c r="M894" i="19"/>
  <c r="N894" i="19"/>
  <c r="O894" i="19"/>
  <c r="P894" i="19"/>
  <c r="Q894" i="19"/>
  <c r="R894" i="19"/>
  <c r="S894" i="19"/>
  <c r="L895" i="19"/>
  <c r="M895" i="19"/>
  <c r="N895" i="19"/>
  <c r="O895" i="19"/>
  <c r="P895" i="19"/>
  <c r="Q895" i="19"/>
  <c r="R895" i="19"/>
  <c r="S895" i="19"/>
  <c r="L896" i="19"/>
  <c r="M896" i="19"/>
  <c r="N896" i="19"/>
  <c r="O896" i="19"/>
  <c r="P896" i="19"/>
  <c r="Q896" i="19"/>
  <c r="R896" i="19"/>
  <c r="S896" i="19"/>
  <c r="L897" i="19"/>
  <c r="M897" i="19"/>
  <c r="N897" i="19"/>
  <c r="O897" i="19"/>
  <c r="P897" i="19"/>
  <c r="Q897" i="19"/>
  <c r="R897" i="19"/>
  <c r="S897" i="19"/>
  <c r="L898" i="19"/>
  <c r="M898" i="19"/>
  <c r="N898" i="19"/>
  <c r="O898" i="19"/>
  <c r="P898" i="19"/>
  <c r="Q898" i="19"/>
  <c r="R898" i="19"/>
  <c r="S898" i="19"/>
  <c r="L899" i="19"/>
  <c r="M899" i="19"/>
  <c r="N899" i="19"/>
  <c r="O899" i="19"/>
  <c r="P899" i="19"/>
  <c r="Q899" i="19"/>
  <c r="R899" i="19"/>
  <c r="S899" i="19"/>
  <c r="L900" i="19"/>
  <c r="M900" i="19"/>
  <c r="N900" i="19"/>
  <c r="O900" i="19"/>
  <c r="P900" i="19"/>
  <c r="Q900" i="19"/>
  <c r="R900" i="19"/>
  <c r="S900" i="19"/>
  <c r="L901" i="19"/>
  <c r="M901" i="19"/>
  <c r="N901" i="19"/>
  <c r="O901" i="19"/>
  <c r="P901" i="19"/>
  <c r="Q901" i="19"/>
  <c r="R901" i="19"/>
  <c r="S901" i="19"/>
  <c r="L902" i="19"/>
  <c r="M902" i="19"/>
  <c r="N902" i="19"/>
  <c r="O902" i="19"/>
  <c r="P902" i="19"/>
  <c r="Q902" i="19"/>
  <c r="R902" i="19"/>
  <c r="S902" i="19"/>
  <c r="L903" i="19"/>
  <c r="M903" i="19"/>
  <c r="N903" i="19"/>
  <c r="O903" i="19"/>
  <c r="P903" i="19"/>
  <c r="Q903" i="19"/>
  <c r="R903" i="19"/>
  <c r="S903" i="19"/>
  <c r="L904" i="19"/>
  <c r="M904" i="19"/>
  <c r="N904" i="19"/>
  <c r="O904" i="19"/>
  <c r="P904" i="19"/>
  <c r="Q904" i="19"/>
  <c r="R904" i="19"/>
  <c r="S904" i="19"/>
  <c r="L905" i="19"/>
  <c r="M905" i="19"/>
  <c r="N905" i="19"/>
  <c r="O905" i="19"/>
  <c r="P905" i="19"/>
  <c r="Q905" i="19"/>
  <c r="R905" i="19"/>
  <c r="S905" i="19"/>
  <c r="L906" i="19"/>
  <c r="M906" i="19"/>
  <c r="N906" i="19"/>
  <c r="O906" i="19"/>
  <c r="P906" i="19"/>
  <c r="Q906" i="19"/>
  <c r="R906" i="19"/>
  <c r="S906" i="19"/>
  <c r="L907" i="19"/>
  <c r="M907" i="19"/>
  <c r="N907" i="19"/>
  <c r="O907" i="19"/>
  <c r="P907" i="19"/>
  <c r="Q907" i="19"/>
  <c r="R907" i="19"/>
  <c r="S907" i="19"/>
  <c r="L908" i="19"/>
  <c r="M908" i="19"/>
  <c r="N908" i="19"/>
  <c r="O908" i="19"/>
  <c r="P908" i="19"/>
  <c r="Q908" i="19"/>
  <c r="R908" i="19"/>
  <c r="S908" i="19"/>
  <c r="L909" i="19"/>
  <c r="M909" i="19"/>
  <c r="N909" i="19"/>
  <c r="O909" i="19"/>
  <c r="P909" i="19"/>
  <c r="Q909" i="19"/>
  <c r="R909" i="19"/>
  <c r="S909" i="19"/>
  <c r="L910" i="19"/>
  <c r="M910" i="19"/>
  <c r="N910" i="19"/>
  <c r="O910" i="19"/>
  <c r="P910" i="19"/>
  <c r="Q910" i="19"/>
  <c r="R910" i="19"/>
  <c r="S910" i="19"/>
  <c r="L911" i="19"/>
  <c r="M911" i="19"/>
  <c r="N911" i="19"/>
  <c r="O911" i="19"/>
  <c r="P911" i="19"/>
  <c r="Q911" i="19"/>
  <c r="R911" i="19"/>
  <c r="S911" i="19"/>
  <c r="L912" i="19"/>
  <c r="M912" i="19"/>
  <c r="N912" i="19"/>
  <c r="O912" i="19"/>
  <c r="P912" i="19"/>
  <c r="Q912" i="19"/>
  <c r="R912" i="19"/>
  <c r="S912" i="19"/>
  <c r="L913" i="19"/>
  <c r="M913" i="19"/>
  <c r="N913" i="19"/>
  <c r="O913" i="19"/>
  <c r="P913" i="19"/>
  <c r="Q913" i="19"/>
  <c r="R913" i="19"/>
  <c r="S913" i="19"/>
  <c r="L914" i="19"/>
  <c r="M914" i="19"/>
  <c r="N914" i="19"/>
  <c r="O914" i="19"/>
  <c r="P914" i="19"/>
  <c r="Q914" i="19"/>
  <c r="R914" i="19"/>
  <c r="S914" i="19"/>
  <c r="L915" i="19"/>
  <c r="M915" i="19"/>
  <c r="N915" i="19"/>
  <c r="O915" i="19"/>
  <c r="P915" i="19"/>
  <c r="Q915" i="19"/>
  <c r="R915" i="19"/>
  <c r="S915" i="19"/>
  <c r="L916" i="19"/>
  <c r="M916" i="19"/>
  <c r="N916" i="19"/>
  <c r="O916" i="19"/>
  <c r="P916" i="19"/>
  <c r="Q916" i="19"/>
  <c r="R916" i="19"/>
  <c r="S916" i="19"/>
  <c r="L917" i="19"/>
  <c r="M917" i="19"/>
  <c r="N917" i="19"/>
  <c r="O917" i="19"/>
  <c r="P917" i="19"/>
  <c r="Q917" i="19"/>
  <c r="R917" i="19"/>
  <c r="S917" i="19"/>
  <c r="L918" i="19"/>
  <c r="M918" i="19"/>
  <c r="N918" i="19"/>
  <c r="O918" i="19"/>
  <c r="P918" i="19"/>
  <c r="Q918" i="19"/>
  <c r="R918" i="19"/>
  <c r="S918" i="19"/>
  <c r="L919" i="19"/>
  <c r="M919" i="19"/>
  <c r="N919" i="19"/>
  <c r="O919" i="19"/>
  <c r="P919" i="19"/>
  <c r="Q919" i="19"/>
  <c r="R919" i="19"/>
  <c r="S919" i="19"/>
  <c r="L920" i="19"/>
  <c r="M920" i="19"/>
  <c r="N920" i="19"/>
  <c r="O920" i="19"/>
  <c r="P920" i="19"/>
  <c r="Q920" i="19"/>
  <c r="R920" i="19"/>
  <c r="S920" i="19"/>
  <c r="L921" i="19"/>
  <c r="M921" i="19"/>
  <c r="N921" i="19"/>
  <c r="O921" i="19"/>
  <c r="P921" i="19"/>
  <c r="Q921" i="19"/>
  <c r="R921" i="19"/>
  <c r="S921" i="19"/>
  <c r="L922" i="19"/>
  <c r="M922" i="19"/>
  <c r="N922" i="19"/>
  <c r="O922" i="19"/>
  <c r="P922" i="19"/>
  <c r="Q922" i="19"/>
  <c r="R922" i="19"/>
  <c r="S922" i="19"/>
  <c r="L923" i="19"/>
  <c r="M923" i="19"/>
  <c r="N923" i="19"/>
  <c r="O923" i="19"/>
  <c r="P923" i="19"/>
  <c r="Q923" i="19"/>
  <c r="R923" i="19"/>
  <c r="S923" i="19"/>
  <c r="L924" i="19"/>
  <c r="M924" i="19"/>
  <c r="N924" i="19"/>
  <c r="O924" i="19"/>
  <c r="P924" i="19"/>
  <c r="Q924" i="19"/>
  <c r="R924" i="19"/>
  <c r="S924" i="19"/>
  <c r="L925" i="19"/>
  <c r="M925" i="19"/>
  <c r="N925" i="19"/>
  <c r="O925" i="19"/>
  <c r="P925" i="19"/>
  <c r="Q925" i="19"/>
  <c r="R925" i="19"/>
  <c r="S925" i="19"/>
  <c r="L926" i="19"/>
  <c r="M926" i="19"/>
  <c r="N926" i="19"/>
  <c r="O926" i="19"/>
  <c r="P926" i="19"/>
  <c r="Q926" i="19"/>
  <c r="R926" i="19"/>
  <c r="S926" i="19"/>
  <c r="L927" i="19"/>
  <c r="M927" i="19"/>
  <c r="N927" i="19"/>
  <c r="O927" i="19"/>
  <c r="P927" i="19"/>
  <c r="Q927" i="19"/>
  <c r="R927" i="19"/>
  <c r="S927" i="19"/>
  <c r="L928" i="19"/>
  <c r="M928" i="19"/>
  <c r="N928" i="19"/>
  <c r="O928" i="19"/>
  <c r="P928" i="19"/>
  <c r="Q928" i="19"/>
  <c r="R928" i="19"/>
  <c r="S928" i="19"/>
  <c r="L929" i="19"/>
  <c r="M929" i="19"/>
  <c r="N929" i="19"/>
  <c r="O929" i="19"/>
  <c r="P929" i="19"/>
  <c r="Q929" i="19"/>
  <c r="R929" i="19"/>
  <c r="S929" i="19"/>
  <c r="L930" i="19"/>
  <c r="M930" i="19"/>
  <c r="N930" i="19"/>
  <c r="O930" i="19"/>
  <c r="P930" i="19"/>
  <c r="Q930" i="19"/>
  <c r="R930" i="19"/>
  <c r="S930" i="19"/>
  <c r="L931" i="19"/>
  <c r="M931" i="19"/>
  <c r="N931" i="19"/>
  <c r="O931" i="19"/>
  <c r="P931" i="19"/>
  <c r="Q931" i="19"/>
  <c r="R931" i="19"/>
  <c r="S931" i="19"/>
  <c r="L932" i="19"/>
  <c r="M932" i="19"/>
  <c r="N932" i="19"/>
  <c r="O932" i="19"/>
  <c r="P932" i="19"/>
  <c r="Q932" i="19"/>
  <c r="R932" i="19"/>
  <c r="S932" i="19"/>
  <c r="L933" i="19"/>
  <c r="M933" i="19"/>
  <c r="N933" i="19"/>
  <c r="O933" i="19"/>
  <c r="P933" i="19"/>
  <c r="Q933" i="19"/>
  <c r="R933" i="19"/>
  <c r="S933" i="19"/>
  <c r="L934" i="19"/>
  <c r="M934" i="19"/>
  <c r="N934" i="19"/>
  <c r="O934" i="19"/>
  <c r="P934" i="19"/>
  <c r="Q934" i="19"/>
  <c r="R934" i="19"/>
  <c r="S934" i="19"/>
  <c r="L935" i="19"/>
  <c r="M935" i="19"/>
  <c r="N935" i="19"/>
  <c r="O935" i="19"/>
  <c r="P935" i="19"/>
  <c r="Q935" i="19"/>
  <c r="R935" i="19"/>
  <c r="S935" i="19"/>
  <c r="L936" i="19"/>
  <c r="M936" i="19"/>
  <c r="N936" i="19"/>
  <c r="O936" i="19"/>
  <c r="P936" i="19"/>
  <c r="Q936" i="19"/>
  <c r="R936" i="19"/>
  <c r="S936" i="19"/>
  <c r="L937" i="19"/>
  <c r="M937" i="19"/>
  <c r="N937" i="19"/>
  <c r="O937" i="19"/>
  <c r="P937" i="19"/>
  <c r="Q937" i="19"/>
  <c r="R937" i="19"/>
  <c r="S937" i="19"/>
  <c r="L938" i="19"/>
  <c r="M938" i="19"/>
  <c r="N938" i="19"/>
  <c r="O938" i="19"/>
  <c r="P938" i="19"/>
  <c r="Q938" i="19"/>
  <c r="R938" i="19"/>
  <c r="S938" i="19"/>
  <c r="L939" i="19"/>
  <c r="M939" i="19"/>
  <c r="N939" i="19"/>
  <c r="O939" i="19"/>
  <c r="P939" i="19"/>
  <c r="Q939" i="19"/>
  <c r="R939" i="19"/>
  <c r="S939" i="19"/>
  <c r="L940" i="19"/>
  <c r="M940" i="19"/>
  <c r="N940" i="19"/>
  <c r="O940" i="19"/>
  <c r="P940" i="19"/>
  <c r="Q940" i="19"/>
  <c r="R940" i="19"/>
  <c r="S940" i="19"/>
  <c r="L941" i="19"/>
  <c r="M941" i="19"/>
  <c r="N941" i="19"/>
  <c r="O941" i="19"/>
  <c r="P941" i="19"/>
  <c r="Q941" i="19"/>
  <c r="R941" i="19"/>
  <c r="S941" i="19"/>
  <c r="L942" i="19"/>
  <c r="M942" i="19"/>
  <c r="N942" i="19"/>
  <c r="O942" i="19"/>
  <c r="P942" i="19"/>
  <c r="Q942" i="19"/>
  <c r="R942" i="19"/>
  <c r="S942" i="19"/>
  <c r="L943" i="19"/>
  <c r="M943" i="19"/>
  <c r="N943" i="19"/>
  <c r="O943" i="19"/>
  <c r="P943" i="19"/>
  <c r="Q943" i="19"/>
  <c r="R943" i="19"/>
  <c r="S943" i="19"/>
  <c r="L944" i="19"/>
  <c r="M944" i="19"/>
  <c r="N944" i="19"/>
  <c r="O944" i="19"/>
  <c r="P944" i="19"/>
  <c r="Q944" i="19"/>
  <c r="R944" i="19"/>
  <c r="S944" i="19"/>
  <c r="L945" i="19"/>
  <c r="M945" i="19"/>
  <c r="N945" i="19"/>
  <c r="O945" i="19"/>
  <c r="P945" i="19"/>
  <c r="Q945" i="19"/>
  <c r="R945" i="19"/>
  <c r="S945" i="19"/>
  <c r="L946" i="19"/>
  <c r="M946" i="19"/>
  <c r="N946" i="19"/>
  <c r="O946" i="19"/>
  <c r="P946" i="19"/>
  <c r="Q946" i="19"/>
  <c r="R946" i="19"/>
  <c r="S946" i="19"/>
  <c r="L947" i="19"/>
  <c r="M947" i="19"/>
  <c r="N947" i="19"/>
  <c r="O947" i="19"/>
  <c r="P947" i="19"/>
  <c r="Q947" i="19"/>
  <c r="R947" i="19"/>
  <c r="S947" i="19"/>
  <c r="L948" i="19"/>
  <c r="M948" i="19"/>
  <c r="N948" i="19"/>
  <c r="O948" i="19"/>
  <c r="P948" i="19"/>
  <c r="Q948" i="19"/>
  <c r="R948" i="19"/>
  <c r="S948" i="19"/>
  <c r="L949" i="19"/>
  <c r="M949" i="19"/>
  <c r="N949" i="19"/>
  <c r="O949" i="19"/>
  <c r="P949" i="19"/>
  <c r="Q949" i="19"/>
  <c r="R949" i="19"/>
  <c r="S949" i="19"/>
  <c r="L950" i="19"/>
  <c r="M950" i="19"/>
  <c r="N950" i="19"/>
  <c r="O950" i="19"/>
  <c r="P950" i="19"/>
  <c r="Q950" i="19"/>
  <c r="R950" i="19"/>
  <c r="S950" i="19"/>
  <c r="L951" i="19"/>
  <c r="M951" i="19"/>
  <c r="N951" i="19"/>
  <c r="O951" i="19"/>
  <c r="P951" i="19"/>
  <c r="Q951" i="19"/>
  <c r="R951" i="19"/>
  <c r="S951" i="19"/>
  <c r="L952" i="19"/>
  <c r="M952" i="19"/>
  <c r="N952" i="19"/>
  <c r="O952" i="19"/>
  <c r="P952" i="19"/>
  <c r="Q952" i="19"/>
  <c r="R952" i="19"/>
  <c r="S952" i="19"/>
  <c r="L953" i="19"/>
  <c r="M953" i="19"/>
  <c r="N953" i="19"/>
  <c r="O953" i="19"/>
  <c r="P953" i="19"/>
  <c r="Q953" i="19"/>
  <c r="R953" i="19"/>
  <c r="S953" i="19"/>
  <c r="L954" i="19"/>
  <c r="M954" i="19"/>
  <c r="N954" i="19"/>
  <c r="O954" i="19"/>
  <c r="P954" i="19"/>
  <c r="Q954" i="19"/>
  <c r="R954" i="19"/>
  <c r="S954" i="19"/>
  <c r="L955" i="19"/>
  <c r="M955" i="19"/>
  <c r="N955" i="19"/>
  <c r="O955" i="19"/>
  <c r="P955" i="19"/>
  <c r="Q955" i="19"/>
  <c r="R955" i="19"/>
  <c r="S955" i="19"/>
  <c r="L956" i="19"/>
  <c r="M956" i="19"/>
  <c r="N956" i="19"/>
  <c r="O956" i="19"/>
  <c r="P956" i="19"/>
  <c r="Q956" i="19"/>
  <c r="R956" i="19"/>
  <c r="S956" i="19"/>
  <c r="L957" i="19"/>
  <c r="M957" i="19"/>
  <c r="N957" i="19"/>
  <c r="O957" i="19"/>
  <c r="P957" i="19"/>
  <c r="Q957" i="19"/>
  <c r="R957" i="19"/>
  <c r="S957" i="19"/>
  <c r="L958" i="19"/>
  <c r="M958" i="19"/>
  <c r="N958" i="19"/>
  <c r="O958" i="19"/>
  <c r="P958" i="19"/>
  <c r="Q958" i="19"/>
  <c r="R958" i="19"/>
  <c r="S958" i="19"/>
  <c r="L959" i="19"/>
  <c r="M959" i="19"/>
  <c r="N959" i="19"/>
  <c r="O959" i="19"/>
  <c r="P959" i="19"/>
  <c r="Q959" i="19"/>
  <c r="R959" i="19"/>
  <c r="S959" i="19"/>
  <c r="L960" i="19"/>
  <c r="M960" i="19"/>
  <c r="N960" i="19"/>
  <c r="O960" i="19"/>
  <c r="P960" i="19"/>
  <c r="Q960" i="19"/>
  <c r="R960" i="19"/>
  <c r="S960" i="19"/>
  <c r="L961" i="19"/>
  <c r="M961" i="19"/>
  <c r="N961" i="19"/>
  <c r="O961" i="19"/>
  <c r="P961" i="19"/>
  <c r="Q961" i="19"/>
  <c r="R961" i="19"/>
  <c r="S961" i="19"/>
  <c r="L962" i="19"/>
  <c r="M962" i="19"/>
  <c r="N962" i="19"/>
  <c r="O962" i="19"/>
  <c r="P962" i="19"/>
  <c r="Q962" i="19"/>
  <c r="R962" i="19"/>
  <c r="S962" i="19"/>
  <c r="L963" i="19"/>
  <c r="M963" i="19"/>
  <c r="N963" i="19"/>
  <c r="O963" i="19"/>
  <c r="P963" i="19"/>
  <c r="Q963" i="19"/>
  <c r="R963" i="19"/>
  <c r="S963" i="19"/>
  <c r="L964" i="19"/>
  <c r="M964" i="19"/>
  <c r="N964" i="19"/>
  <c r="O964" i="19"/>
  <c r="P964" i="19"/>
  <c r="Q964" i="19"/>
  <c r="R964" i="19"/>
  <c r="S964" i="19"/>
  <c r="L965" i="19"/>
  <c r="M965" i="19"/>
  <c r="N965" i="19"/>
  <c r="O965" i="19"/>
  <c r="P965" i="19"/>
  <c r="Q965" i="19"/>
  <c r="R965" i="19"/>
  <c r="S965" i="19"/>
  <c r="L966" i="19"/>
  <c r="M966" i="19"/>
  <c r="N966" i="19"/>
  <c r="O966" i="19"/>
  <c r="P966" i="19"/>
  <c r="Q966" i="19"/>
  <c r="R966" i="19"/>
  <c r="S966" i="19"/>
  <c r="L967" i="19"/>
  <c r="M967" i="19"/>
  <c r="N967" i="19"/>
  <c r="O967" i="19"/>
  <c r="P967" i="19"/>
  <c r="Q967" i="19"/>
  <c r="R967" i="19"/>
  <c r="S967" i="19"/>
  <c r="L968" i="19"/>
  <c r="M968" i="19"/>
  <c r="N968" i="19"/>
  <c r="O968" i="19"/>
  <c r="P968" i="19"/>
  <c r="Q968" i="19"/>
  <c r="R968" i="19"/>
  <c r="S968" i="19"/>
  <c r="L969" i="19"/>
  <c r="M969" i="19"/>
  <c r="N969" i="19"/>
  <c r="O969" i="19"/>
  <c r="P969" i="19"/>
  <c r="Q969" i="19"/>
  <c r="R969" i="19"/>
  <c r="S969" i="19"/>
  <c r="L970" i="19"/>
  <c r="M970" i="19"/>
  <c r="N970" i="19"/>
  <c r="O970" i="19"/>
  <c r="P970" i="19"/>
  <c r="Q970" i="19"/>
  <c r="R970" i="19"/>
  <c r="S970" i="19"/>
  <c r="L971" i="19"/>
  <c r="M971" i="19"/>
  <c r="N971" i="19"/>
  <c r="O971" i="19"/>
  <c r="P971" i="19"/>
  <c r="Q971" i="19"/>
  <c r="R971" i="19"/>
  <c r="S971" i="19"/>
  <c r="L972" i="19"/>
  <c r="M972" i="19"/>
  <c r="N972" i="19"/>
  <c r="O972" i="19"/>
  <c r="P972" i="19"/>
  <c r="Q972" i="19"/>
  <c r="R972" i="19"/>
  <c r="S972" i="19"/>
  <c r="L973" i="19"/>
  <c r="M973" i="19"/>
  <c r="N973" i="19"/>
  <c r="O973" i="19"/>
  <c r="P973" i="19"/>
  <c r="Q973" i="19"/>
  <c r="R973" i="19"/>
  <c r="S973" i="19"/>
  <c r="L974" i="19"/>
  <c r="M974" i="19"/>
  <c r="N974" i="19"/>
  <c r="O974" i="19"/>
  <c r="P974" i="19"/>
  <c r="Q974" i="19"/>
  <c r="R974" i="19"/>
  <c r="S974" i="19"/>
  <c r="L975" i="19"/>
  <c r="M975" i="19"/>
  <c r="N975" i="19"/>
  <c r="O975" i="19"/>
  <c r="P975" i="19"/>
  <c r="Q975" i="19"/>
  <c r="R975" i="19"/>
  <c r="S975" i="19"/>
  <c r="L976" i="19"/>
  <c r="M976" i="19"/>
  <c r="N976" i="19"/>
  <c r="O976" i="19"/>
  <c r="P976" i="19"/>
  <c r="Q976" i="19"/>
  <c r="R976" i="19"/>
  <c r="S976" i="19"/>
  <c r="L977" i="19"/>
  <c r="M977" i="19"/>
  <c r="N977" i="19"/>
  <c r="O977" i="19"/>
  <c r="P977" i="19"/>
  <c r="Q977" i="19"/>
  <c r="R977" i="19"/>
  <c r="S977" i="19"/>
  <c r="L978" i="19"/>
  <c r="M978" i="19"/>
  <c r="N978" i="19"/>
  <c r="O978" i="19"/>
  <c r="P978" i="19"/>
  <c r="Q978" i="19"/>
  <c r="R978" i="19"/>
  <c r="S978" i="19"/>
  <c r="L979" i="19"/>
  <c r="M979" i="19"/>
  <c r="N979" i="19"/>
  <c r="O979" i="19"/>
  <c r="P979" i="19"/>
  <c r="Q979" i="19"/>
  <c r="R979" i="19"/>
  <c r="S979" i="19"/>
  <c r="L980" i="19"/>
  <c r="M980" i="19"/>
  <c r="N980" i="19"/>
  <c r="O980" i="19"/>
  <c r="P980" i="19"/>
  <c r="Q980" i="19"/>
  <c r="R980" i="19"/>
  <c r="S980" i="19"/>
  <c r="L981" i="19"/>
  <c r="M981" i="19"/>
  <c r="N981" i="19"/>
  <c r="O981" i="19"/>
  <c r="P981" i="19"/>
  <c r="Q981" i="19"/>
  <c r="R981" i="19"/>
  <c r="S981" i="19"/>
  <c r="L982" i="19"/>
  <c r="M982" i="19"/>
  <c r="N982" i="19"/>
  <c r="O982" i="19"/>
  <c r="P982" i="19"/>
  <c r="Q982" i="19"/>
  <c r="R982" i="19"/>
  <c r="S982" i="19"/>
  <c r="L983" i="19"/>
  <c r="M983" i="19"/>
  <c r="N983" i="19"/>
  <c r="O983" i="19"/>
  <c r="P983" i="19"/>
  <c r="Q983" i="19"/>
  <c r="R983" i="19"/>
  <c r="S983" i="19"/>
  <c r="L984" i="19"/>
  <c r="M984" i="19"/>
  <c r="N984" i="19"/>
  <c r="O984" i="19"/>
  <c r="P984" i="19"/>
  <c r="Q984" i="19"/>
  <c r="R984" i="19"/>
  <c r="S984" i="19"/>
  <c r="L985" i="19"/>
  <c r="M985" i="19"/>
  <c r="N985" i="19"/>
  <c r="O985" i="19"/>
  <c r="P985" i="19"/>
  <c r="Q985" i="19"/>
  <c r="R985" i="19"/>
  <c r="S985" i="19"/>
  <c r="L986" i="19"/>
  <c r="M986" i="19"/>
  <c r="N986" i="19"/>
  <c r="O986" i="19"/>
  <c r="P986" i="19"/>
  <c r="Q986" i="19"/>
  <c r="R986" i="19"/>
  <c r="S986" i="19"/>
  <c r="L987" i="19"/>
  <c r="M987" i="19"/>
  <c r="N987" i="19"/>
  <c r="O987" i="19"/>
  <c r="P987" i="19"/>
  <c r="Q987" i="19"/>
  <c r="R987" i="19"/>
  <c r="S987" i="19"/>
  <c r="L988" i="19"/>
  <c r="M988" i="19"/>
  <c r="N988" i="19"/>
  <c r="O988" i="19"/>
  <c r="P988" i="19"/>
  <c r="Q988" i="19"/>
  <c r="R988" i="19"/>
  <c r="S988" i="19"/>
  <c r="L989" i="19"/>
  <c r="M989" i="19"/>
  <c r="N989" i="19"/>
  <c r="O989" i="19"/>
  <c r="P989" i="19"/>
  <c r="Q989" i="19"/>
  <c r="R989" i="19"/>
  <c r="S989" i="19"/>
  <c r="L990" i="19"/>
  <c r="M990" i="19"/>
  <c r="N990" i="19"/>
  <c r="O990" i="19"/>
  <c r="P990" i="19"/>
  <c r="Q990" i="19"/>
  <c r="R990" i="19"/>
  <c r="S990" i="19"/>
  <c r="L991" i="19"/>
  <c r="M991" i="19"/>
  <c r="N991" i="19"/>
  <c r="O991" i="19"/>
  <c r="P991" i="19"/>
  <c r="Q991" i="19"/>
  <c r="R991" i="19"/>
  <c r="S991" i="19"/>
  <c r="L992" i="19"/>
  <c r="M992" i="19"/>
  <c r="N992" i="19"/>
  <c r="O992" i="19"/>
  <c r="P992" i="19"/>
  <c r="Q992" i="19"/>
  <c r="R992" i="19"/>
  <c r="S992" i="19"/>
  <c r="L993" i="19"/>
  <c r="M993" i="19"/>
  <c r="N993" i="19"/>
  <c r="O993" i="19"/>
  <c r="P993" i="19"/>
  <c r="Q993" i="19"/>
  <c r="R993" i="19"/>
  <c r="S993" i="19"/>
  <c r="L994" i="19"/>
  <c r="M994" i="19"/>
  <c r="N994" i="19"/>
  <c r="O994" i="19"/>
  <c r="P994" i="19"/>
  <c r="Q994" i="19"/>
  <c r="R994" i="19"/>
  <c r="S994" i="19"/>
  <c r="L995" i="19"/>
  <c r="M995" i="19"/>
  <c r="N995" i="19"/>
  <c r="O995" i="19"/>
  <c r="P995" i="19"/>
  <c r="Q995" i="19"/>
  <c r="R995" i="19"/>
  <c r="S995" i="19"/>
  <c r="L996" i="19"/>
  <c r="M996" i="19"/>
  <c r="N996" i="19"/>
  <c r="O996" i="19"/>
  <c r="P996" i="19"/>
  <c r="Q996" i="19"/>
  <c r="R996" i="19"/>
  <c r="S996" i="19"/>
  <c r="L997" i="19"/>
  <c r="M997" i="19"/>
  <c r="N997" i="19"/>
  <c r="O997" i="19"/>
  <c r="P997" i="19"/>
  <c r="Q997" i="19"/>
  <c r="R997" i="19"/>
  <c r="S997" i="19"/>
  <c r="L998" i="19"/>
  <c r="M998" i="19"/>
  <c r="N998" i="19"/>
  <c r="O998" i="19"/>
  <c r="P998" i="19"/>
  <c r="Q998" i="19"/>
  <c r="R998" i="19"/>
  <c r="S998" i="19"/>
  <c r="L999" i="19"/>
  <c r="M999" i="19"/>
  <c r="N999" i="19"/>
  <c r="O999" i="19"/>
  <c r="P999" i="19"/>
  <c r="Q999" i="19"/>
  <c r="R999" i="19"/>
  <c r="S999" i="19"/>
  <c r="L1000" i="19"/>
  <c r="M1000" i="19"/>
  <c r="N1000" i="19"/>
  <c r="O1000" i="19"/>
  <c r="P1000" i="19"/>
  <c r="Q1000" i="19"/>
  <c r="R1000" i="19"/>
  <c r="S1000" i="19"/>
  <c r="L1001" i="19"/>
  <c r="M1001" i="19"/>
  <c r="N1001" i="19"/>
  <c r="O1001" i="19"/>
  <c r="P1001" i="19"/>
  <c r="Q1001" i="19"/>
  <c r="R1001" i="19"/>
  <c r="S1001" i="19"/>
  <c r="L1002" i="19"/>
  <c r="M1002" i="19"/>
  <c r="N1002" i="19"/>
  <c r="O1002" i="19"/>
  <c r="P1002" i="19"/>
  <c r="Q1002" i="19"/>
  <c r="R1002" i="19"/>
  <c r="S1002" i="19"/>
  <c r="L1003" i="19"/>
  <c r="M1003" i="19"/>
  <c r="N1003" i="19"/>
  <c r="O1003" i="19"/>
  <c r="P1003" i="19"/>
  <c r="Q1003" i="19"/>
  <c r="R1003" i="19"/>
  <c r="S1003" i="19"/>
  <c r="L1004" i="19"/>
  <c r="M1004" i="19"/>
  <c r="N1004" i="19"/>
  <c r="O1004" i="19"/>
  <c r="P1004" i="19"/>
  <c r="Q1004" i="19"/>
  <c r="R1004" i="19"/>
  <c r="S1004" i="19"/>
  <c r="L1005" i="19"/>
  <c r="M1005" i="19"/>
  <c r="N1005" i="19"/>
  <c r="O1005" i="19"/>
  <c r="P1005" i="19"/>
  <c r="Q1005" i="19"/>
  <c r="R1005" i="19"/>
  <c r="S1005" i="19"/>
  <c r="L1006" i="19"/>
  <c r="M1006" i="19"/>
  <c r="N1006" i="19"/>
  <c r="O1006" i="19"/>
  <c r="P1006" i="19"/>
  <c r="Q1006" i="19"/>
  <c r="R1006" i="19"/>
  <c r="S1006" i="19"/>
  <c r="L1007" i="19"/>
  <c r="M1007" i="19"/>
  <c r="N1007" i="19"/>
  <c r="O1007" i="19"/>
  <c r="P1007" i="19"/>
  <c r="Q1007" i="19"/>
  <c r="R1007" i="19"/>
  <c r="S1007" i="19"/>
  <c r="L1008" i="19"/>
  <c r="M1008" i="19"/>
  <c r="N1008" i="19"/>
  <c r="O1008" i="19"/>
  <c r="P1008" i="19"/>
  <c r="Q1008" i="19"/>
  <c r="R1008" i="19"/>
  <c r="S1008" i="19"/>
  <c r="L1009" i="19"/>
  <c r="M1009" i="19"/>
  <c r="N1009" i="19"/>
  <c r="O1009" i="19"/>
  <c r="P1009" i="19"/>
  <c r="Q1009" i="19"/>
  <c r="R1009" i="19"/>
  <c r="S1009" i="19"/>
  <c r="L1010" i="19"/>
  <c r="M1010" i="19"/>
  <c r="N1010" i="19"/>
  <c r="O1010" i="19"/>
  <c r="P1010" i="19"/>
  <c r="Q1010" i="19"/>
  <c r="R1010" i="19"/>
  <c r="S1010" i="19"/>
  <c r="L1011" i="19"/>
  <c r="M1011" i="19"/>
  <c r="N1011" i="19"/>
  <c r="O1011" i="19"/>
  <c r="P1011" i="19"/>
  <c r="Q1011" i="19"/>
  <c r="R1011" i="19"/>
  <c r="S1011" i="19"/>
  <c r="L1012" i="19"/>
  <c r="M1012" i="19"/>
  <c r="N1012" i="19"/>
  <c r="O1012" i="19"/>
  <c r="P1012" i="19"/>
  <c r="Q1012" i="19"/>
  <c r="R1012" i="19"/>
  <c r="S1012" i="19"/>
  <c r="L1013" i="19"/>
  <c r="M1013" i="19"/>
  <c r="N1013" i="19"/>
  <c r="O1013" i="19"/>
  <c r="P1013" i="19"/>
  <c r="Q1013" i="19"/>
  <c r="R1013" i="19"/>
  <c r="S1013" i="19"/>
  <c r="L1014" i="19"/>
  <c r="M1014" i="19"/>
  <c r="N1014" i="19"/>
  <c r="O1014" i="19"/>
  <c r="P1014" i="19"/>
  <c r="Q1014" i="19"/>
  <c r="R1014" i="19"/>
  <c r="S1014" i="19"/>
  <c r="L1015" i="19"/>
  <c r="M1015" i="19"/>
  <c r="N1015" i="19"/>
  <c r="O1015" i="19"/>
  <c r="P1015" i="19"/>
  <c r="Q1015" i="19"/>
  <c r="R1015" i="19"/>
  <c r="S1015" i="19"/>
  <c r="L1016" i="19"/>
  <c r="M1016" i="19"/>
  <c r="N1016" i="19"/>
  <c r="O1016" i="19"/>
  <c r="P1016" i="19"/>
  <c r="Q1016" i="19"/>
  <c r="R1016" i="19"/>
  <c r="S1016" i="19"/>
  <c r="L1017" i="19"/>
  <c r="M1017" i="19"/>
  <c r="N1017" i="19"/>
  <c r="O1017" i="19"/>
  <c r="P1017" i="19"/>
  <c r="Q1017" i="19"/>
  <c r="R1017" i="19"/>
  <c r="S1017" i="19"/>
  <c r="L1018" i="19"/>
  <c r="M1018" i="19"/>
  <c r="N1018" i="19"/>
  <c r="O1018" i="19"/>
  <c r="P1018" i="19"/>
  <c r="Q1018" i="19"/>
  <c r="R1018" i="19"/>
  <c r="S1018" i="19"/>
  <c r="L1019" i="19"/>
  <c r="M1019" i="19"/>
  <c r="N1019" i="19"/>
  <c r="O1019" i="19"/>
  <c r="P1019" i="19"/>
  <c r="Q1019" i="19"/>
  <c r="R1019" i="19"/>
  <c r="S1019" i="19"/>
  <c r="L1020" i="19"/>
  <c r="M1020" i="19"/>
  <c r="N1020" i="19"/>
  <c r="O1020" i="19"/>
  <c r="P1020" i="19"/>
  <c r="Q1020" i="19"/>
  <c r="R1020" i="19"/>
  <c r="S1020" i="19"/>
  <c r="L1021" i="19"/>
  <c r="M1021" i="19"/>
  <c r="N1021" i="19"/>
  <c r="O1021" i="19"/>
  <c r="P1021" i="19"/>
  <c r="Q1021" i="19"/>
  <c r="R1021" i="19"/>
  <c r="S1021" i="19"/>
  <c r="L1022" i="19"/>
  <c r="M1022" i="19"/>
  <c r="N1022" i="19"/>
  <c r="O1022" i="19"/>
  <c r="P1022" i="19"/>
  <c r="Q1022" i="19"/>
  <c r="R1022" i="19"/>
  <c r="S1022" i="19"/>
  <c r="L1023" i="19"/>
  <c r="M1023" i="19"/>
  <c r="N1023" i="19"/>
  <c r="O1023" i="19"/>
  <c r="P1023" i="19"/>
  <c r="Q1023" i="19"/>
  <c r="R1023" i="19"/>
  <c r="S1023" i="19"/>
  <c r="L1024" i="19"/>
  <c r="M1024" i="19"/>
  <c r="N1024" i="19"/>
  <c r="O1024" i="19"/>
  <c r="P1024" i="19"/>
  <c r="Q1024" i="19"/>
  <c r="R1024" i="19"/>
  <c r="S1024" i="19"/>
  <c r="L1025" i="19"/>
  <c r="M1025" i="19"/>
  <c r="N1025" i="19"/>
  <c r="O1025" i="19"/>
  <c r="P1025" i="19"/>
  <c r="Q1025" i="19"/>
  <c r="R1025" i="19"/>
  <c r="S1025" i="19"/>
  <c r="L1026" i="19"/>
  <c r="M1026" i="19"/>
  <c r="N1026" i="19"/>
  <c r="O1026" i="19"/>
  <c r="P1026" i="19"/>
  <c r="Q1026" i="19"/>
  <c r="R1026" i="19"/>
  <c r="S1026" i="19"/>
  <c r="L1027" i="19"/>
  <c r="M1027" i="19"/>
  <c r="N1027" i="19"/>
  <c r="O1027" i="19"/>
  <c r="P1027" i="19"/>
  <c r="Q1027" i="19"/>
  <c r="R1027" i="19"/>
  <c r="S1027" i="19"/>
  <c r="L1028" i="19"/>
  <c r="M1028" i="19"/>
  <c r="N1028" i="19"/>
  <c r="O1028" i="19"/>
  <c r="P1028" i="19"/>
  <c r="Q1028" i="19"/>
  <c r="R1028" i="19"/>
  <c r="S1028" i="19"/>
  <c r="L1029" i="19"/>
  <c r="M1029" i="19"/>
  <c r="N1029" i="19"/>
  <c r="O1029" i="19"/>
  <c r="P1029" i="19"/>
  <c r="Q1029" i="19"/>
  <c r="R1029" i="19"/>
  <c r="S1029" i="19"/>
  <c r="L1030" i="19"/>
  <c r="M1030" i="19"/>
  <c r="N1030" i="19"/>
  <c r="O1030" i="19"/>
  <c r="P1030" i="19"/>
  <c r="Q1030" i="19"/>
  <c r="R1030" i="19"/>
  <c r="S1030" i="19"/>
  <c r="L1031" i="19"/>
  <c r="M1031" i="19"/>
  <c r="N1031" i="19"/>
  <c r="O1031" i="19"/>
  <c r="P1031" i="19"/>
  <c r="Q1031" i="19"/>
  <c r="R1031" i="19"/>
  <c r="S1031" i="19"/>
  <c r="L1032" i="19"/>
  <c r="M1032" i="19"/>
  <c r="N1032" i="19"/>
  <c r="O1032" i="19"/>
  <c r="P1032" i="19"/>
  <c r="Q1032" i="19"/>
  <c r="R1032" i="19"/>
  <c r="S1032" i="19"/>
  <c r="L1033" i="19"/>
  <c r="M1033" i="19"/>
  <c r="N1033" i="19"/>
  <c r="O1033" i="19"/>
  <c r="P1033" i="19"/>
  <c r="Q1033" i="19"/>
  <c r="R1033" i="19"/>
  <c r="S1033" i="19"/>
  <c r="L1034" i="19"/>
  <c r="M1034" i="19"/>
  <c r="N1034" i="19"/>
  <c r="O1034" i="19"/>
  <c r="P1034" i="19"/>
  <c r="Q1034" i="19"/>
  <c r="R1034" i="19"/>
  <c r="S1034" i="19"/>
  <c r="L1035" i="19"/>
  <c r="M1035" i="19"/>
  <c r="N1035" i="19"/>
  <c r="O1035" i="19"/>
  <c r="P1035" i="19"/>
  <c r="Q1035" i="19"/>
  <c r="R1035" i="19"/>
  <c r="S1035" i="19"/>
  <c r="L1036" i="19"/>
  <c r="M1036" i="19"/>
  <c r="N1036" i="19"/>
  <c r="O1036" i="19"/>
  <c r="P1036" i="19"/>
  <c r="Q1036" i="19"/>
  <c r="R1036" i="19"/>
  <c r="S1036" i="19"/>
  <c r="L1037" i="19"/>
  <c r="M1037" i="19"/>
  <c r="N1037" i="19"/>
  <c r="O1037" i="19"/>
  <c r="P1037" i="19"/>
  <c r="Q1037" i="19"/>
  <c r="R1037" i="19"/>
  <c r="S1037" i="19"/>
  <c r="L1038" i="19"/>
  <c r="M1038" i="19"/>
  <c r="N1038" i="19"/>
  <c r="O1038" i="19"/>
  <c r="P1038" i="19"/>
  <c r="Q1038" i="19"/>
  <c r="R1038" i="19"/>
  <c r="S1038" i="19"/>
  <c r="L1039" i="19"/>
  <c r="M1039" i="19"/>
  <c r="N1039" i="19"/>
  <c r="O1039" i="19"/>
  <c r="P1039" i="19"/>
  <c r="Q1039" i="19"/>
  <c r="R1039" i="19"/>
  <c r="S1039" i="19"/>
  <c r="L1040" i="19"/>
  <c r="M1040" i="19"/>
  <c r="N1040" i="19"/>
  <c r="O1040" i="19"/>
  <c r="P1040" i="19"/>
  <c r="Q1040" i="19"/>
  <c r="R1040" i="19"/>
  <c r="S1040" i="19"/>
  <c r="L1041" i="19"/>
  <c r="M1041" i="19"/>
  <c r="N1041" i="19"/>
  <c r="O1041" i="19"/>
  <c r="P1041" i="19"/>
  <c r="Q1041" i="19"/>
  <c r="R1041" i="19"/>
  <c r="S1041" i="19"/>
  <c r="L1042" i="19"/>
  <c r="M1042" i="19"/>
  <c r="N1042" i="19"/>
  <c r="O1042" i="19"/>
  <c r="P1042" i="19"/>
  <c r="Q1042" i="19"/>
  <c r="R1042" i="19"/>
  <c r="S1042" i="19"/>
  <c r="L1043" i="19"/>
  <c r="M1043" i="19"/>
  <c r="N1043" i="19"/>
  <c r="O1043" i="19"/>
  <c r="P1043" i="19"/>
  <c r="Q1043" i="19"/>
  <c r="R1043" i="19"/>
  <c r="S1043" i="19"/>
  <c r="L1044" i="19"/>
  <c r="M1044" i="19"/>
  <c r="N1044" i="19"/>
  <c r="O1044" i="19"/>
  <c r="P1044" i="19"/>
  <c r="Q1044" i="19"/>
  <c r="R1044" i="19"/>
  <c r="S1044" i="19"/>
  <c r="L1045" i="19"/>
  <c r="M1045" i="19"/>
  <c r="N1045" i="19"/>
  <c r="O1045" i="19"/>
  <c r="P1045" i="19"/>
  <c r="Q1045" i="19"/>
  <c r="R1045" i="19"/>
  <c r="S1045" i="19"/>
  <c r="L1046" i="19"/>
  <c r="M1046" i="19"/>
  <c r="N1046" i="19"/>
  <c r="O1046" i="19"/>
  <c r="P1046" i="19"/>
  <c r="Q1046" i="19"/>
  <c r="R1046" i="19"/>
  <c r="S1046" i="19"/>
  <c r="L1047" i="19"/>
  <c r="M1047" i="19"/>
  <c r="N1047" i="19"/>
  <c r="O1047" i="19"/>
  <c r="P1047" i="19"/>
  <c r="Q1047" i="19"/>
  <c r="R1047" i="19"/>
  <c r="S1047" i="19"/>
  <c r="L1048" i="19"/>
  <c r="M1048" i="19"/>
  <c r="N1048" i="19"/>
  <c r="O1048" i="19"/>
  <c r="P1048" i="19"/>
  <c r="Q1048" i="19"/>
  <c r="R1048" i="19"/>
  <c r="S1048" i="19"/>
  <c r="L1049" i="19"/>
  <c r="M1049" i="19"/>
  <c r="N1049" i="19"/>
  <c r="O1049" i="19"/>
  <c r="P1049" i="19"/>
  <c r="Q1049" i="19"/>
  <c r="R1049" i="19"/>
  <c r="S1049" i="19"/>
  <c r="L1050" i="19"/>
  <c r="M1050" i="19"/>
  <c r="N1050" i="19"/>
  <c r="O1050" i="19"/>
  <c r="P1050" i="19"/>
  <c r="Q1050" i="19"/>
  <c r="R1050" i="19"/>
  <c r="S1050" i="19"/>
  <c r="L1051" i="19"/>
  <c r="M1051" i="19"/>
  <c r="N1051" i="19"/>
  <c r="O1051" i="19"/>
  <c r="P1051" i="19"/>
  <c r="Q1051" i="19"/>
  <c r="R1051" i="19"/>
  <c r="S1051" i="19"/>
  <c r="L1052" i="19"/>
  <c r="M1052" i="19"/>
  <c r="N1052" i="19"/>
  <c r="O1052" i="19"/>
  <c r="P1052" i="19"/>
  <c r="Q1052" i="19"/>
  <c r="R1052" i="19"/>
  <c r="S1052" i="19"/>
  <c r="L1053" i="19"/>
  <c r="M1053" i="19"/>
  <c r="N1053" i="19"/>
  <c r="O1053" i="19"/>
  <c r="P1053" i="19"/>
  <c r="Q1053" i="19"/>
  <c r="R1053" i="19"/>
  <c r="S1053" i="19"/>
  <c r="L1054" i="19"/>
  <c r="M1054" i="19"/>
  <c r="N1054" i="19"/>
  <c r="O1054" i="19"/>
  <c r="P1054" i="19"/>
  <c r="Q1054" i="19"/>
  <c r="R1054" i="19"/>
  <c r="S1054" i="19"/>
  <c r="L1055" i="19"/>
  <c r="M1055" i="19"/>
  <c r="N1055" i="19"/>
  <c r="O1055" i="19"/>
  <c r="P1055" i="19"/>
  <c r="Q1055" i="19"/>
  <c r="R1055" i="19"/>
  <c r="S1055" i="19"/>
  <c r="L1056" i="19"/>
  <c r="M1056" i="19"/>
  <c r="N1056" i="19"/>
  <c r="O1056" i="19"/>
  <c r="P1056" i="19"/>
  <c r="Q1056" i="19"/>
  <c r="R1056" i="19"/>
  <c r="S1056" i="19"/>
  <c r="L1057" i="19"/>
  <c r="M1057" i="19"/>
  <c r="N1057" i="19"/>
  <c r="O1057" i="19"/>
  <c r="P1057" i="19"/>
  <c r="Q1057" i="19"/>
  <c r="R1057" i="19"/>
  <c r="S1057" i="19"/>
  <c r="L1058" i="19"/>
  <c r="M1058" i="19"/>
  <c r="N1058" i="19"/>
  <c r="O1058" i="19"/>
  <c r="P1058" i="19"/>
  <c r="Q1058" i="19"/>
  <c r="R1058" i="19"/>
  <c r="S1058" i="19"/>
  <c r="L1059" i="19"/>
  <c r="M1059" i="19"/>
  <c r="N1059" i="19"/>
  <c r="O1059" i="19"/>
  <c r="P1059" i="19"/>
  <c r="Q1059" i="19"/>
  <c r="R1059" i="19"/>
  <c r="S1059" i="19"/>
  <c r="L1060" i="19"/>
  <c r="M1060" i="19"/>
  <c r="N1060" i="19"/>
  <c r="O1060" i="19"/>
  <c r="P1060" i="19"/>
  <c r="Q1060" i="19"/>
  <c r="R1060" i="19"/>
  <c r="S1060" i="19"/>
  <c r="L1061" i="19"/>
  <c r="M1061" i="19"/>
  <c r="N1061" i="19"/>
  <c r="O1061" i="19"/>
  <c r="P1061" i="19"/>
  <c r="Q1061" i="19"/>
  <c r="R1061" i="19"/>
  <c r="S1061" i="19"/>
  <c r="L1062" i="19"/>
  <c r="M1062" i="19"/>
  <c r="N1062" i="19"/>
  <c r="O1062" i="19"/>
  <c r="P1062" i="19"/>
  <c r="Q1062" i="19"/>
  <c r="R1062" i="19"/>
  <c r="S1062" i="19"/>
  <c r="L1063" i="19"/>
  <c r="M1063" i="19"/>
  <c r="N1063" i="19"/>
  <c r="O1063" i="19"/>
  <c r="P1063" i="19"/>
  <c r="Q1063" i="19"/>
  <c r="R1063" i="19"/>
  <c r="S1063" i="19"/>
  <c r="L1064" i="19"/>
  <c r="M1064" i="19"/>
  <c r="N1064" i="19"/>
  <c r="O1064" i="19"/>
  <c r="P1064" i="19"/>
  <c r="Q1064" i="19"/>
  <c r="R1064" i="19"/>
  <c r="S1064" i="19"/>
  <c r="L1065" i="19"/>
  <c r="M1065" i="19"/>
  <c r="N1065" i="19"/>
  <c r="O1065" i="19"/>
  <c r="P1065" i="19"/>
  <c r="Q1065" i="19"/>
  <c r="R1065" i="19"/>
  <c r="S1065" i="19"/>
  <c r="L1066" i="19"/>
  <c r="M1066" i="19"/>
  <c r="N1066" i="19"/>
  <c r="O1066" i="19"/>
  <c r="P1066" i="19"/>
  <c r="Q1066" i="19"/>
  <c r="R1066" i="19"/>
  <c r="S1066" i="19"/>
  <c r="L1067" i="19"/>
  <c r="M1067" i="19"/>
  <c r="N1067" i="19"/>
  <c r="O1067" i="19"/>
  <c r="P1067" i="19"/>
  <c r="Q1067" i="19"/>
  <c r="R1067" i="19"/>
  <c r="S1067" i="19"/>
  <c r="L1068" i="19"/>
  <c r="M1068" i="19"/>
  <c r="N1068" i="19"/>
  <c r="O1068" i="19"/>
  <c r="P1068" i="19"/>
  <c r="Q1068" i="19"/>
  <c r="R1068" i="19"/>
  <c r="S1068" i="19"/>
  <c r="L1069" i="19"/>
  <c r="M1069" i="19"/>
  <c r="N1069" i="19"/>
  <c r="O1069" i="19"/>
  <c r="P1069" i="19"/>
  <c r="Q1069" i="19"/>
  <c r="R1069" i="19"/>
  <c r="S1069" i="19"/>
  <c r="L1070" i="19"/>
  <c r="M1070" i="19"/>
  <c r="N1070" i="19"/>
  <c r="O1070" i="19"/>
  <c r="P1070" i="19"/>
  <c r="Q1070" i="19"/>
  <c r="R1070" i="19"/>
  <c r="S1070" i="19"/>
  <c r="L1071" i="19"/>
  <c r="M1071" i="19"/>
  <c r="N1071" i="19"/>
  <c r="O1071" i="19"/>
  <c r="P1071" i="19"/>
  <c r="Q1071" i="19"/>
  <c r="R1071" i="19"/>
  <c r="S1071" i="19"/>
  <c r="L1072" i="19"/>
  <c r="M1072" i="19"/>
  <c r="N1072" i="19"/>
  <c r="O1072" i="19"/>
  <c r="P1072" i="19"/>
  <c r="Q1072" i="19"/>
  <c r="R1072" i="19"/>
  <c r="S1072" i="19"/>
  <c r="L1073" i="19"/>
  <c r="M1073" i="19"/>
  <c r="N1073" i="19"/>
  <c r="O1073" i="19"/>
  <c r="P1073" i="19"/>
  <c r="Q1073" i="19"/>
  <c r="R1073" i="19"/>
  <c r="S1073" i="19"/>
  <c r="L1074" i="19"/>
  <c r="M1074" i="19"/>
  <c r="N1074" i="19"/>
  <c r="O1074" i="19"/>
  <c r="P1074" i="19"/>
  <c r="Q1074" i="19"/>
  <c r="R1074" i="19"/>
  <c r="S1074" i="19"/>
  <c r="L1075" i="19"/>
  <c r="M1075" i="19"/>
  <c r="N1075" i="19"/>
  <c r="O1075" i="19"/>
  <c r="P1075" i="19"/>
  <c r="Q1075" i="19"/>
  <c r="R1075" i="19"/>
  <c r="S1075" i="19"/>
  <c r="L1076" i="19"/>
  <c r="M1076" i="19"/>
  <c r="N1076" i="19"/>
  <c r="O1076" i="19"/>
  <c r="P1076" i="19"/>
  <c r="Q1076" i="19"/>
  <c r="R1076" i="19"/>
  <c r="S1076" i="19"/>
  <c r="L1077" i="19"/>
  <c r="M1077" i="19"/>
  <c r="N1077" i="19"/>
  <c r="O1077" i="19"/>
  <c r="P1077" i="19"/>
  <c r="Q1077" i="19"/>
  <c r="R1077" i="19"/>
  <c r="S1077" i="19"/>
  <c r="L1078" i="19"/>
  <c r="M1078" i="19"/>
  <c r="N1078" i="19"/>
  <c r="O1078" i="19"/>
  <c r="P1078" i="19"/>
  <c r="Q1078" i="19"/>
  <c r="R1078" i="19"/>
  <c r="S1078" i="19"/>
  <c r="L1079" i="19"/>
  <c r="M1079" i="19"/>
  <c r="N1079" i="19"/>
  <c r="O1079" i="19"/>
  <c r="P1079" i="19"/>
  <c r="Q1079" i="19"/>
  <c r="R1079" i="19"/>
  <c r="S1079" i="19"/>
  <c r="L1080" i="19"/>
  <c r="M1080" i="19"/>
  <c r="N1080" i="19"/>
  <c r="O1080" i="19"/>
  <c r="P1080" i="19"/>
  <c r="Q1080" i="19"/>
  <c r="R1080" i="19"/>
  <c r="S1080" i="19"/>
  <c r="M4" i="19"/>
  <c r="P4" i="19"/>
  <c r="AH64" i="19" s="1"/>
  <c r="AQ64" i="19" s="1"/>
  <c r="Q4" i="19"/>
  <c r="R4" i="19"/>
  <c r="S4" i="19"/>
  <c r="O4" i="19"/>
  <c r="N4" i="19"/>
  <c r="AF64" i="19" s="1"/>
  <c r="AO64" i="19" s="1"/>
  <c r="L4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A664" i="19"/>
  <c r="A665" i="19"/>
  <c r="A666" i="19"/>
  <c r="A667" i="19"/>
  <c r="A668" i="19"/>
  <c r="A669" i="19"/>
  <c r="A670" i="19"/>
  <c r="A671" i="19"/>
  <c r="A672" i="19"/>
  <c r="A673" i="19"/>
  <c r="A674" i="19"/>
  <c r="A675" i="19"/>
  <c r="A676" i="19"/>
  <c r="A677" i="19"/>
  <c r="A678" i="19"/>
  <c r="A679" i="19"/>
  <c r="A680" i="19"/>
  <c r="A681" i="19"/>
  <c r="A682" i="19"/>
  <c r="A683" i="19"/>
  <c r="A684" i="19"/>
  <c r="A685" i="19"/>
  <c r="A686" i="19"/>
  <c r="A687" i="19"/>
  <c r="A688" i="19"/>
  <c r="A689" i="19"/>
  <c r="A690" i="19"/>
  <c r="A691" i="19"/>
  <c r="A692" i="19"/>
  <c r="A693" i="19"/>
  <c r="A694" i="19"/>
  <c r="A695" i="19"/>
  <c r="A696" i="19"/>
  <c r="A697" i="19"/>
  <c r="A698" i="19"/>
  <c r="A699" i="19"/>
  <c r="A700" i="19"/>
  <c r="A701" i="19"/>
  <c r="A702" i="19"/>
  <c r="A703" i="19"/>
  <c r="A704" i="19"/>
  <c r="A705" i="19"/>
  <c r="A706" i="19"/>
  <c r="A707" i="19"/>
  <c r="A708" i="19"/>
  <c r="A709" i="19"/>
  <c r="A710" i="19"/>
  <c r="A711" i="19"/>
  <c r="A712" i="19"/>
  <c r="A713" i="19"/>
  <c r="A714" i="19"/>
  <c r="A715" i="19"/>
  <c r="A716" i="19"/>
  <c r="A717" i="19"/>
  <c r="A718" i="19"/>
  <c r="A719" i="19"/>
  <c r="A720" i="19"/>
  <c r="A721" i="19"/>
  <c r="A722" i="19"/>
  <c r="A723" i="19"/>
  <c r="A724" i="19"/>
  <c r="A725" i="19"/>
  <c r="A726" i="19"/>
  <c r="A727" i="19"/>
  <c r="A728" i="19"/>
  <c r="A729" i="19"/>
  <c r="A730" i="19"/>
  <c r="A731" i="19"/>
  <c r="A732" i="19"/>
  <c r="A733" i="19"/>
  <c r="A734" i="19"/>
  <c r="A735" i="19"/>
  <c r="A736" i="19"/>
  <c r="A737" i="19"/>
  <c r="A738" i="19"/>
  <c r="A739" i="19"/>
  <c r="A740" i="19"/>
  <c r="A741" i="19"/>
  <c r="A742" i="19"/>
  <c r="A743" i="19"/>
  <c r="A744" i="19"/>
  <c r="A745" i="19"/>
  <c r="A746" i="19"/>
  <c r="A747" i="19"/>
  <c r="A748" i="19"/>
  <c r="A749" i="19"/>
  <c r="A750" i="19"/>
  <c r="A751" i="19"/>
  <c r="A752" i="19"/>
  <c r="A753" i="19"/>
  <c r="A754" i="19"/>
  <c r="A755" i="19"/>
  <c r="A756" i="19"/>
  <c r="A757" i="19"/>
  <c r="A758" i="19"/>
  <c r="A759" i="19"/>
  <c r="A760" i="19"/>
  <c r="A761" i="19"/>
  <c r="A762" i="19"/>
  <c r="A763" i="19"/>
  <c r="A764" i="19"/>
  <c r="A765" i="19"/>
  <c r="A766" i="19"/>
  <c r="A767" i="19"/>
  <c r="A768" i="19"/>
  <c r="A769" i="19"/>
  <c r="A770" i="19"/>
  <c r="A771" i="19"/>
  <c r="A772" i="19"/>
  <c r="A773" i="19"/>
  <c r="A774" i="19"/>
  <c r="A775" i="19"/>
  <c r="A776" i="19"/>
  <c r="A777" i="19"/>
  <c r="A778" i="19"/>
  <c r="A779" i="19"/>
  <c r="A780" i="19"/>
  <c r="A781" i="19"/>
  <c r="A782" i="19"/>
  <c r="A783" i="19"/>
  <c r="A784" i="19"/>
  <c r="A785" i="19"/>
  <c r="A786" i="19"/>
  <c r="A787" i="19"/>
  <c r="A788" i="19"/>
  <c r="A789" i="19"/>
  <c r="A790" i="19"/>
  <c r="A791" i="19"/>
  <c r="A792" i="19"/>
  <c r="A793" i="19"/>
  <c r="A794" i="19"/>
  <c r="A795" i="19"/>
  <c r="A796" i="19"/>
  <c r="A797" i="19"/>
  <c r="A798" i="19"/>
  <c r="A799" i="19"/>
  <c r="A800" i="19"/>
  <c r="A801" i="19"/>
  <c r="A802" i="19"/>
  <c r="A803" i="19"/>
  <c r="A804" i="19"/>
  <c r="A805" i="19"/>
  <c r="A806" i="19"/>
  <c r="A807" i="19"/>
  <c r="A808" i="19"/>
  <c r="A809" i="19"/>
  <c r="A810" i="19"/>
  <c r="A811" i="19"/>
  <c r="A812" i="19"/>
  <c r="A813" i="19"/>
  <c r="A814" i="19"/>
  <c r="A815" i="19"/>
  <c r="A816" i="19"/>
  <c r="A817" i="19"/>
  <c r="A818" i="19"/>
  <c r="A819" i="19"/>
  <c r="A820" i="19"/>
  <c r="A821" i="19"/>
  <c r="A822" i="19"/>
  <c r="A823" i="19"/>
  <c r="A824" i="19"/>
  <c r="A825" i="19"/>
  <c r="A826" i="19"/>
  <c r="A827" i="19"/>
  <c r="A828" i="19"/>
  <c r="A829" i="19"/>
  <c r="A830" i="19"/>
  <c r="A831" i="19"/>
  <c r="A832" i="19"/>
  <c r="A833" i="19"/>
  <c r="A834" i="19"/>
  <c r="A835" i="19"/>
  <c r="A836" i="19"/>
  <c r="A837" i="19"/>
  <c r="A838" i="19"/>
  <c r="A839" i="19"/>
  <c r="A840" i="19"/>
  <c r="A841" i="19"/>
  <c r="A842" i="19"/>
  <c r="A843" i="19"/>
  <c r="A844" i="19"/>
  <c r="A845" i="19"/>
  <c r="A846" i="19"/>
  <c r="A847" i="19"/>
  <c r="A848" i="19"/>
  <c r="A849" i="19"/>
  <c r="A850" i="19"/>
  <c r="A851" i="19"/>
  <c r="A852" i="19"/>
  <c r="A853" i="19"/>
  <c r="A854" i="19"/>
  <c r="A855" i="19"/>
  <c r="A856" i="19"/>
  <c r="A857" i="19"/>
  <c r="A858" i="19"/>
  <c r="A859" i="19"/>
  <c r="A860" i="19"/>
  <c r="A861" i="19"/>
  <c r="A862" i="19"/>
  <c r="A863" i="19"/>
  <c r="A864" i="19"/>
  <c r="A865" i="19"/>
  <c r="A866" i="19"/>
  <c r="A867" i="19"/>
  <c r="A868" i="19"/>
  <c r="A869" i="19"/>
  <c r="A870" i="19"/>
  <c r="A871" i="19"/>
  <c r="A872" i="19"/>
  <c r="A873" i="19"/>
  <c r="A874" i="19"/>
  <c r="A875" i="19"/>
  <c r="A876" i="19"/>
  <c r="A877" i="19"/>
  <c r="A878" i="19"/>
  <c r="A879" i="19"/>
  <c r="A880" i="19"/>
  <c r="A881" i="19"/>
  <c r="A882" i="19"/>
  <c r="A883" i="19"/>
  <c r="A884" i="19"/>
  <c r="A885" i="19"/>
  <c r="A886" i="19"/>
  <c r="A887" i="19"/>
  <c r="A888" i="19"/>
  <c r="A889" i="19"/>
  <c r="A890" i="19"/>
  <c r="A891" i="19"/>
  <c r="A892" i="19"/>
  <c r="A893" i="19"/>
  <c r="A894" i="19"/>
  <c r="A895" i="19"/>
  <c r="A896" i="19"/>
  <c r="A897" i="19"/>
  <c r="A898" i="19"/>
  <c r="A899" i="19"/>
  <c r="A900" i="19"/>
  <c r="A901" i="19"/>
  <c r="A902" i="19"/>
  <c r="A903" i="19"/>
  <c r="A904" i="19"/>
  <c r="A905" i="19"/>
  <c r="A906" i="19"/>
  <c r="A907" i="19"/>
  <c r="A908" i="19"/>
  <c r="A909" i="19"/>
  <c r="A910" i="19"/>
  <c r="A911" i="19"/>
  <c r="A912" i="19"/>
  <c r="A913" i="19"/>
  <c r="A914" i="19"/>
  <c r="A915" i="19"/>
  <c r="A916" i="19"/>
  <c r="A917" i="19"/>
  <c r="A918" i="19"/>
  <c r="A919" i="19"/>
  <c r="A920" i="19"/>
  <c r="A921" i="19"/>
  <c r="A922" i="19"/>
  <c r="A923" i="19"/>
  <c r="A924" i="19"/>
  <c r="A925" i="19"/>
  <c r="A926" i="19"/>
  <c r="A927" i="19"/>
  <c r="A928" i="19"/>
  <c r="A929" i="19"/>
  <c r="A930" i="19"/>
  <c r="A931" i="19"/>
  <c r="A932" i="19"/>
  <c r="A933" i="19"/>
  <c r="A934" i="19"/>
  <c r="A935" i="19"/>
  <c r="A936" i="19"/>
  <c r="A937" i="19"/>
  <c r="A938" i="19"/>
  <c r="A939" i="19"/>
  <c r="A940" i="19"/>
  <c r="A941" i="19"/>
  <c r="A942" i="19"/>
  <c r="A943" i="19"/>
  <c r="A944" i="19"/>
  <c r="A945" i="19"/>
  <c r="A946" i="19"/>
  <c r="A947" i="19"/>
  <c r="A948" i="19"/>
  <c r="A949" i="19"/>
  <c r="A950" i="19"/>
  <c r="A951" i="19"/>
  <c r="A952" i="19"/>
  <c r="A953" i="19"/>
  <c r="A954" i="19"/>
  <c r="A955" i="19"/>
  <c r="A956" i="19"/>
  <c r="A957" i="19"/>
  <c r="A958" i="19"/>
  <c r="A959" i="19"/>
  <c r="A960" i="19"/>
  <c r="A961" i="19"/>
  <c r="A962" i="19"/>
  <c r="A963" i="19"/>
  <c r="A964" i="19"/>
  <c r="A965" i="19"/>
  <c r="A966" i="19"/>
  <c r="A967" i="19"/>
  <c r="A968" i="19"/>
  <c r="A969" i="19"/>
  <c r="A970" i="19"/>
  <c r="A971" i="19"/>
  <c r="A972" i="19"/>
  <c r="A973" i="19"/>
  <c r="A974" i="19"/>
  <c r="A975" i="19"/>
  <c r="A976" i="19"/>
  <c r="A977" i="19"/>
  <c r="A978" i="19"/>
  <c r="A979" i="19"/>
  <c r="A980" i="19"/>
  <c r="A981" i="19"/>
  <c r="A982" i="19"/>
  <c r="A983" i="19"/>
  <c r="A984" i="19"/>
  <c r="A985" i="19"/>
  <c r="A986" i="19"/>
  <c r="A987" i="19"/>
  <c r="A988" i="19"/>
  <c r="A989" i="19"/>
  <c r="A990" i="19"/>
  <c r="A991" i="19"/>
  <c r="A992" i="19"/>
  <c r="A993" i="19"/>
  <c r="A994" i="19"/>
  <c r="A995" i="19"/>
  <c r="A996" i="19"/>
  <c r="A997" i="19"/>
  <c r="A998" i="19"/>
  <c r="A999" i="19"/>
  <c r="A1000" i="19"/>
  <c r="A1001" i="19"/>
  <c r="A1002" i="19"/>
  <c r="A1003" i="19"/>
  <c r="A1004" i="19"/>
  <c r="A1005" i="19"/>
  <c r="A1006" i="19"/>
  <c r="A1007" i="19"/>
  <c r="A1008" i="19"/>
  <c r="A1009" i="19"/>
  <c r="A1010" i="19"/>
  <c r="A1011" i="19"/>
  <c r="A1012" i="19"/>
  <c r="A1013" i="19"/>
  <c r="A1014" i="19"/>
  <c r="A1015" i="19"/>
  <c r="A1016" i="19"/>
  <c r="A1017" i="19"/>
  <c r="A1018" i="19"/>
  <c r="A1019" i="19"/>
  <c r="A1020" i="19"/>
  <c r="A1021" i="19"/>
  <c r="A1022" i="19"/>
  <c r="A1023" i="19"/>
  <c r="A1024" i="19"/>
  <c r="A1025" i="19"/>
  <c r="A1026" i="19"/>
  <c r="A1027" i="19"/>
  <c r="A1028" i="19"/>
  <c r="A1029" i="19"/>
  <c r="A1030" i="19"/>
  <c r="A1031" i="19"/>
  <c r="A1032" i="19"/>
  <c r="A1033" i="19"/>
  <c r="A1034" i="19"/>
  <c r="A1035" i="19"/>
  <c r="A1036" i="19"/>
  <c r="A1037" i="19"/>
  <c r="A1038" i="19"/>
  <c r="A1039" i="19"/>
  <c r="A1040" i="19"/>
  <c r="A1041" i="19"/>
  <c r="A1042" i="19"/>
  <c r="A1043" i="19"/>
  <c r="A1044" i="19"/>
  <c r="A1045" i="19"/>
  <c r="A1046" i="19"/>
  <c r="A1047" i="19"/>
  <c r="A1048" i="19"/>
  <c r="A1049" i="19"/>
  <c r="A1050" i="19"/>
  <c r="A1051" i="19"/>
  <c r="A1052" i="19"/>
  <c r="A1053" i="19"/>
  <c r="A1054" i="19"/>
  <c r="A1055" i="19"/>
  <c r="A1056" i="19"/>
  <c r="A1057" i="19"/>
  <c r="A1058" i="19"/>
  <c r="A1059" i="19"/>
  <c r="A1060" i="19"/>
  <c r="A1061" i="19"/>
  <c r="A1062" i="19"/>
  <c r="A1063" i="19"/>
  <c r="A1064" i="19"/>
  <c r="A1065" i="19"/>
  <c r="A1066" i="19"/>
  <c r="A1067" i="19"/>
  <c r="A1068" i="19"/>
  <c r="A1069" i="19"/>
  <c r="A1070" i="19"/>
  <c r="A1071" i="19"/>
  <c r="A1072" i="19"/>
  <c r="A1073" i="19"/>
  <c r="A1074" i="19"/>
  <c r="A1075" i="19"/>
  <c r="A1076" i="19"/>
  <c r="A1077" i="19"/>
  <c r="A1078" i="19"/>
  <c r="A1079" i="19"/>
  <c r="A1080" i="19"/>
  <c r="A3" i="19"/>
  <c r="M2" i="19"/>
  <c r="AE2" i="19" s="1"/>
  <c r="AN2" i="19" s="1"/>
  <c r="AW2" i="19" s="1"/>
  <c r="N2" i="19"/>
  <c r="AF2" i="19" s="1"/>
  <c r="AO2" i="19" s="1"/>
  <c r="AX2" i="19" s="1"/>
  <c r="O2" i="19"/>
  <c r="AG2" i="19" s="1"/>
  <c r="AP2" i="19" s="1"/>
  <c r="AY2" i="19" s="1"/>
  <c r="P2" i="19"/>
  <c r="AH2" i="19" s="1"/>
  <c r="AQ2" i="19" s="1"/>
  <c r="AZ2" i="19" s="1"/>
  <c r="Q2" i="19"/>
  <c r="AI2" i="19" s="1"/>
  <c r="AR2" i="19" s="1"/>
  <c r="BA2" i="19" s="1"/>
  <c r="R2" i="19"/>
  <c r="AJ2" i="19" s="1"/>
  <c r="AS2" i="19" s="1"/>
  <c r="BB2" i="19" s="1"/>
  <c r="S2" i="19"/>
  <c r="AK2" i="19" s="1"/>
  <c r="AT2" i="19" s="1"/>
  <c r="BC2" i="19" s="1"/>
  <c r="L2" i="19"/>
  <c r="AD2" i="19" s="1"/>
  <c r="AM2" i="19" s="1"/>
  <c r="AV2" i="19" s="1"/>
  <c r="I1080" i="18"/>
  <c r="J1080" i="18" s="1"/>
  <c r="I1081" i="18"/>
  <c r="J1081" i="18"/>
  <c r="I1082" i="18"/>
  <c r="J1082" i="18" s="1"/>
  <c r="I1083" i="18"/>
  <c r="J1083" i="18"/>
  <c r="I1084" i="18"/>
  <c r="J1084" i="18" s="1"/>
  <c r="I1085" i="18"/>
  <c r="J1085" i="18" s="1"/>
  <c r="I1086" i="18"/>
  <c r="J1086" i="18" s="1"/>
  <c r="I1087" i="18"/>
  <c r="J1087" i="18"/>
  <c r="I1088" i="18"/>
  <c r="J1088" i="18" s="1"/>
  <c r="I1089" i="18"/>
  <c r="J1089" i="18"/>
  <c r="I1090" i="18"/>
  <c r="J1090" i="18" s="1"/>
  <c r="I1091" i="18"/>
  <c r="J1091" i="18"/>
  <c r="I1092" i="18"/>
  <c r="J1092" i="18" s="1"/>
  <c r="I1093" i="18"/>
  <c r="J1093" i="18" s="1"/>
  <c r="I1094" i="18"/>
  <c r="J1094" i="18" s="1"/>
  <c r="I1095" i="18"/>
  <c r="J1095" i="18"/>
  <c r="I1096" i="18"/>
  <c r="J1096" i="18" s="1"/>
  <c r="I1097" i="18"/>
  <c r="J1097" i="18"/>
  <c r="I1098" i="18"/>
  <c r="J1098" i="18" s="1"/>
  <c r="I1099" i="18"/>
  <c r="J1099" i="18"/>
  <c r="I1100" i="18"/>
  <c r="J1100" i="18" s="1"/>
  <c r="I1101" i="18"/>
  <c r="J1101" i="18" s="1"/>
  <c r="I1102" i="18"/>
  <c r="J1102" i="18" s="1"/>
  <c r="I1103" i="18"/>
  <c r="J1103" i="18" s="1"/>
  <c r="I1104" i="18"/>
  <c r="J1104" i="18" s="1"/>
  <c r="I1105" i="18"/>
  <c r="J1105" i="18"/>
  <c r="I1106" i="18"/>
  <c r="J1106" i="18" s="1"/>
  <c r="I1107" i="18"/>
  <c r="J1107" i="18"/>
  <c r="I1108" i="18"/>
  <c r="J1108" i="18" s="1"/>
  <c r="I1109" i="18"/>
  <c r="J1109" i="18" s="1"/>
  <c r="I1110" i="18"/>
  <c r="J1110" i="18" s="1"/>
  <c r="I1111" i="18"/>
  <c r="J1111" i="18"/>
  <c r="I1112" i="18"/>
  <c r="J1112" i="18" s="1"/>
  <c r="I1113" i="18"/>
  <c r="J1113" i="18"/>
  <c r="I1114" i="18"/>
  <c r="J1114" i="18" s="1"/>
  <c r="I1115" i="18"/>
  <c r="J1115" i="18"/>
  <c r="I1116" i="18"/>
  <c r="J1116" i="18" s="1"/>
  <c r="I1117" i="18"/>
  <c r="J1117" i="18" s="1"/>
  <c r="I1118" i="18"/>
  <c r="J1118" i="18" s="1"/>
  <c r="I1119" i="18"/>
  <c r="J1119" i="18"/>
  <c r="I1120" i="18"/>
  <c r="J1120" i="18" s="1"/>
  <c r="I1121" i="18"/>
  <c r="J1121" i="18"/>
  <c r="I1122" i="18"/>
  <c r="J1122" i="18" s="1"/>
  <c r="I1123" i="18"/>
  <c r="J1123" i="18"/>
  <c r="I1124" i="18"/>
  <c r="J1124" i="18" s="1"/>
  <c r="I1125" i="18"/>
  <c r="J1125" i="18" s="1"/>
  <c r="I1126" i="18"/>
  <c r="J1126" i="18" s="1"/>
  <c r="I1127" i="18"/>
  <c r="J1127" i="18"/>
  <c r="I1128" i="18"/>
  <c r="J1128" i="18" s="1"/>
  <c r="I1129" i="18"/>
  <c r="J1129" i="18"/>
  <c r="I1130" i="18"/>
  <c r="J1130" i="18" s="1"/>
  <c r="I1131" i="18"/>
  <c r="J1131" i="18" s="1"/>
  <c r="I1132" i="18"/>
  <c r="J1132" i="18" s="1"/>
  <c r="I1133" i="18"/>
  <c r="J1133" i="18" s="1"/>
  <c r="I1134" i="18"/>
  <c r="J1134" i="18" s="1"/>
  <c r="I1135" i="18"/>
  <c r="J1135" i="18"/>
  <c r="I1136" i="18"/>
  <c r="J1136" i="18" s="1"/>
  <c r="I1137" i="18"/>
  <c r="J1137" i="18"/>
  <c r="I1138" i="18"/>
  <c r="J1138" i="18" s="1"/>
  <c r="I1139" i="18"/>
  <c r="J1139" i="18" s="1"/>
  <c r="I1140" i="18"/>
  <c r="J1140" i="18" s="1"/>
  <c r="I1141" i="18"/>
  <c r="J1141" i="18" s="1"/>
  <c r="I1142" i="18"/>
  <c r="J1142" i="18" s="1"/>
  <c r="I1143" i="18"/>
  <c r="J1143" i="18"/>
  <c r="I1144" i="18"/>
  <c r="J1144" i="18" s="1"/>
  <c r="I1145" i="18"/>
  <c r="J1145" i="18"/>
  <c r="I1146" i="18"/>
  <c r="J1146" i="18" s="1"/>
  <c r="I1147" i="18"/>
  <c r="J1147" i="18" s="1"/>
  <c r="I1148" i="18"/>
  <c r="J1148" i="18" s="1"/>
  <c r="I1149" i="18"/>
  <c r="J1149" i="18" s="1"/>
  <c r="I1150" i="18"/>
  <c r="J1150" i="18" s="1"/>
  <c r="I1151" i="18"/>
  <c r="J1151" i="18"/>
  <c r="I1152" i="18"/>
  <c r="J1152" i="18" s="1"/>
  <c r="I1153" i="18"/>
  <c r="J1153" i="18"/>
  <c r="I1154" i="18"/>
  <c r="J1154" i="18" s="1"/>
  <c r="I1155" i="18"/>
  <c r="J1155" i="18" s="1"/>
  <c r="I1156" i="18"/>
  <c r="J1156" i="18" s="1"/>
  <c r="I1157" i="18"/>
  <c r="J1157" i="18" s="1"/>
  <c r="I1158" i="18"/>
  <c r="J1158" i="18" s="1"/>
  <c r="I1159" i="18"/>
  <c r="J1159" i="18"/>
  <c r="I1160" i="18"/>
  <c r="J1160" i="18" s="1"/>
  <c r="I1161" i="18"/>
  <c r="J1161" i="18"/>
  <c r="I1162" i="18"/>
  <c r="J1162" i="18" s="1"/>
  <c r="I1163" i="18"/>
  <c r="J1163" i="18" s="1"/>
  <c r="I1164" i="18"/>
  <c r="J1164" i="18" s="1"/>
  <c r="I1165" i="18"/>
  <c r="J1165" i="18" s="1"/>
  <c r="I1166" i="18"/>
  <c r="J1166" i="18" s="1"/>
  <c r="I1167" i="18"/>
  <c r="J1167" i="18"/>
  <c r="I1168" i="18"/>
  <c r="J1168" i="18" s="1"/>
  <c r="I1169" i="18"/>
  <c r="J1169" i="18"/>
  <c r="I1170" i="18"/>
  <c r="J1170" i="18" s="1"/>
  <c r="I1171" i="18"/>
  <c r="J1171" i="18" s="1"/>
  <c r="I1172" i="18"/>
  <c r="J1172" i="18" s="1"/>
  <c r="I1173" i="18"/>
  <c r="J1173" i="18" s="1"/>
  <c r="I1174" i="18"/>
  <c r="J1174" i="18" s="1"/>
  <c r="I1175" i="18"/>
  <c r="J1175" i="18"/>
  <c r="I1176" i="18"/>
  <c r="J1176" i="18" s="1"/>
  <c r="I1177" i="18"/>
  <c r="J1177" i="18"/>
  <c r="I1178" i="18"/>
  <c r="J1178" i="18" s="1"/>
  <c r="I1179" i="18"/>
  <c r="J1179" i="18" s="1"/>
  <c r="I1180" i="18"/>
  <c r="J1180" i="18" s="1"/>
  <c r="I1181" i="18"/>
  <c r="J1181" i="18" s="1"/>
  <c r="I1182" i="18"/>
  <c r="J1182" i="18" s="1"/>
  <c r="I1183" i="18"/>
  <c r="J1183" i="18"/>
  <c r="I1184" i="18"/>
  <c r="J1184" i="18" s="1"/>
  <c r="I1185" i="18"/>
  <c r="J1185" i="18"/>
  <c r="I1186" i="18"/>
  <c r="J1186" i="18" s="1"/>
  <c r="I1187" i="18"/>
  <c r="J1187" i="18" s="1"/>
  <c r="I1188" i="18"/>
  <c r="J1188" i="18" s="1"/>
  <c r="I1189" i="18"/>
  <c r="J1189" i="18" s="1"/>
  <c r="I1190" i="18"/>
  <c r="J1190" i="18" s="1"/>
  <c r="I1191" i="18"/>
  <c r="J1191" i="18" s="1"/>
  <c r="I1192" i="18"/>
  <c r="J1192" i="18" s="1"/>
  <c r="I1193" i="18"/>
  <c r="J1193" i="18"/>
  <c r="I1194" i="18"/>
  <c r="J1194" i="18" s="1"/>
  <c r="I1195" i="18"/>
  <c r="J1195" i="18" s="1"/>
  <c r="I1196" i="18"/>
  <c r="J1196" i="18" s="1"/>
  <c r="I1197" i="18"/>
  <c r="J1197" i="18" s="1"/>
  <c r="I1198" i="18"/>
  <c r="J1198" i="18" s="1"/>
  <c r="I1199" i="18"/>
  <c r="J1199" i="18"/>
  <c r="I1200" i="18"/>
  <c r="J1200" i="18" s="1"/>
  <c r="I1201" i="18"/>
  <c r="J1201" i="18"/>
  <c r="I1202" i="18"/>
  <c r="J1202" i="18" s="1"/>
  <c r="I1203" i="18"/>
  <c r="J1203" i="18" s="1"/>
  <c r="I1204" i="18"/>
  <c r="J1204" i="18" s="1"/>
  <c r="I1205" i="18"/>
  <c r="J1205" i="18" s="1"/>
  <c r="I1206" i="18"/>
  <c r="J1206" i="18" s="1"/>
  <c r="I1207" i="18"/>
  <c r="J1207" i="18" s="1"/>
  <c r="I1208" i="18"/>
  <c r="J1208" i="18" s="1"/>
  <c r="I1209" i="18"/>
  <c r="J1209" i="18"/>
  <c r="I1210" i="18"/>
  <c r="J1210" i="18" s="1"/>
  <c r="I1211" i="18"/>
  <c r="J1211" i="18" s="1"/>
  <c r="I1212" i="18"/>
  <c r="J1212" i="18" s="1"/>
  <c r="I1213" i="18"/>
  <c r="J1213" i="18" s="1"/>
  <c r="I1214" i="18"/>
  <c r="J1214" i="18" s="1"/>
  <c r="I1215" i="18"/>
  <c r="J1215" i="18" s="1"/>
  <c r="I1216" i="18"/>
  <c r="J1216" i="18" s="1"/>
  <c r="I1217" i="18"/>
  <c r="J1217" i="18"/>
  <c r="I1218" i="18"/>
  <c r="J1218" i="18" s="1"/>
  <c r="I1219" i="18"/>
  <c r="J1219" i="18" s="1"/>
  <c r="I1220" i="18"/>
  <c r="J1220" i="18" s="1"/>
  <c r="I1221" i="18"/>
  <c r="J1221" i="18" s="1"/>
  <c r="I1222" i="18"/>
  <c r="J1222" i="18" s="1"/>
  <c r="I1223" i="18"/>
  <c r="J1223" i="18" s="1"/>
  <c r="I1224" i="18"/>
  <c r="J1224" i="18" s="1"/>
  <c r="I1225" i="18"/>
  <c r="J1225" i="18"/>
  <c r="I1226" i="18"/>
  <c r="J1226" i="18" s="1"/>
  <c r="I1227" i="18"/>
  <c r="J1227" i="18" s="1"/>
  <c r="I1228" i="18"/>
  <c r="J1228" i="18" s="1"/>
  <c r="I1229" i="18"/>
  <c r="J1229" i="18" s="1"/>
  <c r="I1230" i="18"/>
  <c r="J1230" i="18" s="1"/>
  <c r="I1231" i="18"/>
  <c r="J1231" i="18"/>
  <c r="I1232" i="18"/>
  <c r="J1232" i="18" s="1"/>
  <c r="I1233" i="18"/>
  <c r="J1233" i="18"/>
  <c r="I1234" i="18"/>
  <c r="J1234" i="18" s="1"/>
  <c r="I1235" i="18"/>
  <c r="J1235" i="18" s="1"/>
  <c r="I1236" i="18"/>
  <c r="J1236" i="18" s="1"/>
  <c r="I1237" i="18"/>
  <c r="J1237" i="18" s="1"/>
  <c r="I1238" i="18"/>
  <c r="J1238" i="18" s="1"/>
  <c r="I1080" i="17"/>
  <c r="J1080" i="17" s="1"/>
  <c r="I1081" i="17"/>
  <c r="J1081" i="17" s="1"/>
  <c r="I1082" i="17"/>
  <c r="J1082" i="17"/>
  <c r="I1083" i="17"/>
  <c r="J1083" i="17" s="1"/>
  <c r="I1084" i="17"/>
  <c r="J1084" i="17" s="1"/>
  <c r="I1085" i="17"/>
  <c r="J1085" i="17" s="1"/>
  <c r="I1086" i="17"/>
  <c r="J1086" i="17" s="1"/>
  <c r="I1087" i="17"/>
  <c r="J1087" i="17" s="1"/>
  <c r="I1088" i="17"/>
  <c r="J1088" i="17"/>
  <c r="I1089" i="17"/>
  <c r="J1089" i="17" s="1"/>
  <c r="I1090" i="17"/>
  <c r="J1090" i="17"/>
  <c r="I1091" i="17"/>
  <c r="J1091" i="17" s="1"/>
  <c r="I1092" i="17"/>
  <c r="J1092" i="17"/>
  <c r="I1093" i="17"/>
  <c r="J1093" i="17" s="1"/>
  <c r="I1094" i="17"/>
  <c r="J1094" i="17"/>
  <c r="I1095" i="17"/>
  <c r="J1095" i="17" s="1"/>
  <c r="I1096" i="17"/>
  <c r="J1096" i="17"/>
  <c r="I1097" i="17"/>
  <c r="J1097" i="17" s="1"/>
  <c r="I1098" i="17"/>
  <c r="J1098" i="17"/>
  <c r="I1099" i="17"/>
  <c r="J1099" i="17" s="1"/>
  <c r="I1100" i="17"/>
  <c r="J1100" i="17"/>
  <c r="I1101" i="17"/>
  <c r="J1101" i="17" s="1"/>
  <c r="I1102" i="17"/>
  <c r="J1102" i="17"/>
  <c r="I1103" i="17"/>
  <c r="J1103" i="17" s="1"/>
  <c r="I1104" i="17"/>
  <c r="J1104" i="17"/>
  <c r="I1105" i="17"/>
  <c r="J1105" i="17" s="1"/>
  <c r="I1106" i="17"/>
  <c r="J1106" i="17"/>
  <c r="I1107" i="17"/>
  <c r="J1107" i="17" s="1"/>
  <c r="I1108" i="17"/>
  <c r="J1108" i="17"/>
  <c r="I1109" i="17"/>
  <c r="J1109" i="17" s="1"/>
  <c r="I1110" i="17"/>
  <c r="J1110" i="17"/>
  <c r="I1111" i="17"/>
  <c r="J1111" i="17" s="1"/>
  <c r="I1112" i="17"/>
  <c r="J1112" i="17"/>
  <c r="I1113" i="17"/>
  <c r="J1113" i="17" s="1"/>
  <c r="I1114" i="17"/>
  <c r="J1114" i="17"/>
  <c r="I1115" i="17"/>
  <c r="J1115" i="17" s="1"/>
  <c r="I1116" i="17"/>
  <c r="J1116" i="17"/>
  <c r="I1117" i="17"/>
  <c r="J1117" i="17" s="1"/>
  <c r="I1118" i="17"/>
  <c r="J1118" i="17"/>
  <c r="I1119" i="17"/>
  <c r="J1119" i="17" s="1"/>
  <c r="I1120" i="17"/>
  <c r="J1120" i="17"/>
  <c r="I1121" i="17"/>
  <c r="J1121" i="17" s="1"/>
  <c r="I1122" i="17"/>
  <c r="J1122" i="17"/>
  <c r="I1123" i="17"/>
  <c r="J1123" i="17" s="1"/>
  <c r="I1124" i="17"/>
  <c r="J1124" i="17"/>
  <c r="I1125" i="17"/>
  <c r="J1125" i="17" s="1"/>
  <c r="I1126" i="17"/>
  <c r="J1126" i="17"/>
  <c r="I1127" i="17"/>
  <c r="J1127" i="17" s="1"/>
  <c r="I1128" i="17"/>
  <c r="J1128" i="17"/>
  <c r="I1129" i="17"/>
  <c r="J1129" i="17" s="1"/>
  <c r="I1130" i="17"/>
  <c r="J1130" i="17"/>
  <c r="I1131" i="17"/>
  <c r="J1131" i="17" s="1"/>
  <c r="I1132" i="17"/>
  <c r="J1132" i="17"/>
  <c r="I1133" i="17"/>
  <c r="J1133" i="17" s="1"/>
  <c r="I1134" i="17"/>
  <c r="J1134" i="17"/>
  <c r="I1135" i="17"/>
  <c r="J1135" i="17" s="1"/>
  <c r="I1136" i="17"/>
  <c r="J1136" i="17"/>
  <c r="I1137" i="17"/>
  <c r="J1137" i="17" s="1"/>
  <c r="I1138" i="17"/>
  <c r="J1138" i="17"/>
  <c r="I1139" i="17"/>
  <c r="J1139" i="17" s="1"/>
  <c r="I1140" i="17"/>
  <c r="J1140" i="17"/>
  <c r="I1141" i="17"/>
  <c r="J1141" i="17" s="1"/>
  <c r="I1142" i="17"/>
  <c r="J1142" i="17"/>
  <c r="I1143" i="17"/>
  <c r="J1143" i="17" s="1"/>
  <c r="I1144" i="17"/>
  <c r="J1144" i="17"/>
  <c r="I1145" i="17"/>
  <c r="J1145" i="17" s="1"/>
  <c r="I1146" i="17"/>
  <c r="J1146" i="17"/>
  <c r="I1147" i="17"/>
  <c r="J1147" i="17" s="1"/>
  <c r="I1148" i="17"/>
  <c r="J1148" i="17"/>
  <c r="I1149" i="17"/>
  <c r="J1149" i="17" s="1"/>
  <c r="I1150" i="17"/>
  <c r="J1150" i="17"/>
  <c r="I1151" i="17"/>
  <c r="J1151" i="17" s="1"/>
  <c r="I1152" i="17"/>
  <c r="J1152" i="17"/>
  <c r="I1153" i="17"/>
  <c r="J1153" i="17" s="1"/>
  <c r="I1154" i="17"/>
  <c r="J1154" i="17"/>
  <c r="I1155" i="17"/>
  <c r="J1155" i="17" s="1"/>
  <c r="I1156" i="17"/>
  <c r="J1156" i="17"/>
  <c r="I1157" i="17"/>
  <c r="J1157" i="17" s="1"/>
  <c r="I1158" i="17"/>
  <c r="J1158" i="17"/>
  <c r="I1159" i="17"/>
  <c r="J1159" i="17" s="1"/>
  <c r="I1160" i="17"/>
  <c r="J1160" i="17"/>
  <c r="I1161" i="17"/>
  <c r="J1161" i="17" s="1"/>
  <c r="I1162" i="17"/>
  <c r="J1162" i="17"/>
  <c r="I1163" i="17"/>
  <c r="J1163" i="17" s="1"/>
  <c r="I1164" i="17"/>
  <c r="J1164" i="17"/>
  <c r="I1165" i="17"/>
  <c r="J1165" i="17" s="1"/>
  <c r="I1166" i="17"/>
  <c r="J1166" i="17"/>
  <c r="I1167" i="17"/>
  <c r="J1167" i="17" s="1"/>
  <c r="I1168" i="17"/>
  <c r="J1168" i="17"/>
  <c r="I1169" i="17"/>
  <c r="J1169" i="17" s="1"/>
  <c r="I1170" i="17"/>
  <c r="J1170" i="17"/>
  <c r="I1171" i="17"/>
  <c r="J1171" i="17" s="1"/>
  <c r="I1172" i="17"/>
  <c r="J1172" i="17"/>
  <c r="I1173" i="17"/>
  <c r="J1173" i="17" s="1"/>
  <c r="I1174" i="17"/>
  <c r="J1174" i="17"/>
  <c r="I1175" i="17"/>
  <c r="J1175" i="17" s="1"/>
  <c r="I1176" i="17"/>
  <c r="J1176" i="17"/>
  <c r="I1177" i="17"/>
  <c r="J1177" i="17" s="1"/>
  <c r="I1178" i="17"/>
  <c r="J1178" i="17"/>
  <c r="I1179" i="17"/>
  <c r="J1179" i="17" s="1"/>
  <c r="I1180" i="17"/>
  <c r="J1180" i="17"/>
  <c r="I1181" i="17"/>
  <c r="J1181" i="17" s="1"/>
  <c r="I1182" i="17"/>
  <c r="J1182" i="17"/>
  <c r="I1183" i="17"/>
  <c r="J1183" i="17" s="1"/>
  <c r="I1184" i="17"/>
  <c r="J1184" i="17"/>
  <c r="I1185" i="17"/>
  <c r="J1185" i="17" s="1"/>
  <c r="I1186" i="17"/>
  <c r="J1186" i="17"/>
  <c r="I1187" i="17"/>
  <c r="J1187" i="17" s="1"/>
  <c r="I1188" i="17"/>
  <c r="J1188" i="17"/>
  <c r="I1189" i="17"/>
  <c r="J1189" i="17" s="1"/>
  <c r="I1190" i="17"/>
  <c r="J1190" i="17"/>
  <c r="I1191" i="17"/>
  <c r="J1191" i="17" s="1"/>
  <c r="I1192" i="17"/>
  <c r="J1192" i="17"/>
  <c r="I1193" i="17"/>
  <c r="J1193" i="17" s="1"/>
  <c r="I1194" i="17"/>
  <c r="J1194" i="17"/>
  <c r="I1195" i="17"/>
  <c r="J1195" i="17" s="1"/>
  <c r="I1196" i="17"/>
  <c r="J1196" i="17" s="1"/>
  <c r="I1197" i="17"/>
  <c r="J1197" i="17" s="1"/>
  <c r="I1198" i="17"/>
  <c r="J1198" i="17" s="1"/>
  <c r="I1199" i="17"/>
  <c r="J1199" i="17" s="1"/>
  <c r="I1200" i="17"/>
  <c r="J1200" i="17" s="1"/>
  <c r="I1201" i="17"/>
  <c r="J1201" i="17" s="1"/>
  <c r="I1202" i="17"/>
  <c r="J1202" i="17"/>
  <c r="I1203" i="17"/>
  <c r="J1203" i="17" s="1"/>
  <c r="I1204" i="17"/>
  <c r="J1204" i="17" s="1"/>
  <c r="I1205" i="17"/>
  <c r="J1205" i="17" s="1"/>
  <c r="I1206" i="17"/>
  <c r="J1206" i="17" s="1"/>
  <c r="I1207" i="17"/>
  <c r="J1207" i="17" s="1"/>
  <c r="I1208" i="17"/>
  <c r="J1208" i="17"/>
  <c r="I1209" i="17"/>
  <c r="J1209" i="17" s="1"/>
  <c r="I1210" i="17"/>
  <c r="J1210" i="17"/>
  <c r="I1211" i="17"/>
  <c r="J1211" i="17" s="1"/>
  <c r="I1212" i="17"/>
  <c r="J1212" i="17" s="1"/>
  <c r="I1213" i="17"/>
  <c r="J1213" i="17" s="1"/>
  <c r="I1214" i="17"/>
  <c r="J1214" i="17" s="1"/>
  <c r="I1215" i="17"/>
  <c r="J1215" i="17" s="1"/>
  <c r="I1216" i="17"/>
  <c r="J1216" i="17" s="1"/>
  <c r="I1217" i="17"/>
  <c r="J1217" i="17" s="1"/>
  <c r="I1218" i="17"/>
  <c r="J1218" i="17"/>
  <c r="I1219" i="17"/>
  <c r="J1219" i="17" s="1"/>
  <c r="I1220" i="17"/>
  <c r="J1220" i="17"/>
  <c r="I1221" i="17"/>
  <c r="J1221" i="17" s="1"/>
  <c r="I1222" i="17"/>
  <c r="J1222" i="17"/>
  <c r="I1223" i="17"/>
  <c r="J1223" i="17" s="1"/>
  <c r="I1224" i="17"/>
  <c r="J1224" i="17"/>
  <c r="I1225" i="17"/>
  <c r="J1225" i="17" s="1"/>
  <c r="I1226" i="17"/>
  <c r="J1226" i="17"/>
  <c r="I1227" i="17"/>
  <c r="J1227" i="17" s="1"/>
  <c r="I1228" i="17"/>
  <c r="J1228" i="17"/>
  <c r="I1229" i="17"/>
  <c r="J1229" i="17" s="1"/>
  <c r="I1230" i="17"/>
  <c r="J1230" i="17"/>
  <c r="I1231" i="17"/>
  <c r="J1231" i="17" s="1"/>
  <c r="I1232" i="17"/>
  <c r="J1232" i="17"/>
  <c r="I1233" i="17"/>
  <c r="J1233" i="17" s="1"/>
  <c r="I1234" i="17"/>
  <c r="J1234" i="17"/>
  <c r="I1235" i="17"/>
  <c r="J1235" i="17" s="1"/>
  <c r="I1236" i="17"/>
  <c r="J1236" i="17"/>
  <c r="I1237" i="17"/>
  <c r="J1237" i="17" s="1"/>
  <c r="I1238" i="17"/>
  <c r="J1238" i="17"/>
  <c r="I1080" i="11"/>
  <c r="J1080" i="11" s="1"/>
  <c r="I1081" i="11"/>
  <c r="J1081" i="11"/>
  <c r="I1082" i="11"/>
  <c r="J1082" i="11" s="1"/>
  <c r="I1083" i="11"/>
  <c r="J1083" i="11"/>
  <c r="I1084" i="11"/>
  <c r="J1084" i="11" s="1"/>
  <c r="I1085" i="11"/>
  <c r="J1085" i="11"/>
  <c r="I1086" i="11"/>
  <c r="J1086" i="11" s="1"/>
  <c r="I1087" i="11"/>
  <c r="J1087" i="11"/>
  <c r="I1088" i="11"/>
  <c r="J1088" i="11" s="1"/>
  <c r="I1089" i="11"/>
  <c r="J1089" i="11"/>
  <c r="I1090" i="11"/>
  <c r="J1090" i="11" s="1"/>
  <c r="I1091" i="11"/>
  <c r="J1091" i="11"/>
  <c r="I1092" i="11"/>
  <c r="J1092" i="11" s="1"/>
  <c r="I1093" i="11"/>
  <c r="J1093" i="11"/>
  <c r="I1094" i="11"/>
  <c r="J1094" i="11" s="1"/>
  <c r="I1095" i="11"/>
  <c r="J1095" i="11"/>
  <c r="I1096" i="11"/>
  <c r="J1096" i="11" s="1"/>
  <c r="I1097" i="11"/>
  <c r="J1097" i="11"/>
  <c r="I1098" i="11"/>
  <c r="J1098" i="11" s="1"/>
  <c r="I1099" i="11"/>
  <c r="J1099" i="11"/>
  <c r="I1100" i="11"/>
  <c r="J1100" i="11" s="1"/>
  <c r="I1101" i="11"/>
  <c r="J1101" i="11"/>
  <c r="I1102" i="11"/>
  <c r="J1102" i="11" s="1"/>
  <c r="I1103" i="11"/>
  <c r="J1103" i="11"/>
  <c r="I1104" i="11"/>
  <c r="J1104" i="11" s="1"/>
  <c r="I1105" i="11"/>
  <c r="J1105" i="11"/>
  <c r="I1106" i="11"/>
  <c r="J1106" i="11" s="1"/>
  <c r="I1107" i="11"/>
  <c r="J1107" i="11"/>
  <c r="I1108" i="11"/>
  <c r="J1108" i="11" s="1"/>
  <c r="I1109" i="11"/>
  <c r="J1109" i="11"/>
  <c r="I1110" i="11"/>
  <c r="J1110" i="11" s="1"/>
  <c r="I1111" i="11"/>
  <c r="J1111" i="11"/>
  <c r="I1112" i="11"/>
  <c r="J1112" i="11" s="1"/>
  <c r="I1113" i="11"/>
  <c r="J1113" i="11"/>
  <c r="I1114" i="11"/>
  <c r="J1114" i="11" s="1"/>
  <c r="I1115" i="11"/>
  <c r="J1115" i="11"/>
  <c r="I1116" i="11"/>
  <c r="J1116" i="11" s="1"/>
  <c r="I1117" i="11"/>
  <c r="J1117" i="11"/>
  <c r="I1118" i="11"/>
  <c r="J1118" i="11" s="1"/>
  <c r="I1119" i="11"/>
  <c r="J1119" i="11"/>
  <c r="I1120" i="11"/>
  <c r="J1120" i="11" s="1"/>
  <c r="I1121" i="11"/>
  <c r="J1121" i="11"/>
  <c r="I1122" i="11"/>
  <c r="J1122" i="11" s="1"/>
  <c r="I1123" i="11"/>
  <c r="J1123" i="11"/>
  <c r="I1124" i="11"/>
  <c r="J1124" i="11" s="1"/>
  <c r="I1125" i="11"/>
  <c r="J1125" i="11"/>
  <c r="I1126" i="11"/>
  <c r="J1126" i="11" s="1"/>
  <c r="I1127" i="11"/>
  <c r="J1127" i="11"/>
  <c r="I1128" i="11"/>
  <c r="J1128" i="11" s="1"/>
  <c r="I1129" i="11"/>
  <c r="J1129" i="11"/>
  <c r="I1130" i="11"/>
  <c r="J1130" i="11" s="1"/>
  <c r="I1131" i="11"/>
  <c r="J1131" i="11"/>
  <c r="I1132" i="11"/>
  <c r="J1132" i="11" s="1"/>
  <c r="I1133" i="11"/>
  <c r="J1133" i="11"/>
  <c r="I1134" i="11"/>
  <c r="J1134" i="11" s="1"/>
  <c r="I1135" i="11"/>
  <c r="J1135" i="11"/>
  <c r="I1136" i="11"/>
  <c r="J1136" i="11" s="1"/>
  <c r="I1137" i="11"/>
  <c r="J1137" i="11"/>
  <c r="I1138" i="11"/>
  <c r="J1138" i="11" s="1"/>
  <c r="I1139" i="11"/>
  <c r="J1139" i="11"/>
  <c r="I1140" i="11"/>
  <c r="J1140" i="11" s="1"/>
  <c r="I1141" i="11"/>
  <c r="J1141" i="11"/>
  <c r="I1142" i="11"/>
  <c r="J1142" i="11" s="1"/>
  <c r="I1143" i="11"/>
  <c r="J1143" i="11"/>
  <c r="I1144" i="11"/>
  <c r="J1144" i="11" s="1"/>
  <c r="I1145" i="11"/>
  <c r="J1145" i="11"/>
  <c r="I1146" i="11"/>
  <c r="J1146" i="11" s="1"/>
  <c r="I1147" i="11"/>
  <c r="J1147" i="11"/>
  <c r="I1148" i="11"/>
  <c r="J1148" i="11" s="1"/>
  <c r="I1149" i="11"/>
  <c r="J1149" i="11"/>
  <c r="I1150" i="11"/>
  <c r="J1150" i="11" s="1"/>
  <c r="I1151" i="11"/>
  <c r="J1151" i="11"/>
  <c r="I1152" i="11"/>
  <c r="J1152" i="11" s="1"/>
  <c r="I1153" i="11"/>
  <c r="J1153" i="11"/>
  <c r="I1154" i="11"/>
  <c r="J1154" i="11" s="1"/>
  <c r="I1155" i="11"/>
  <c r="J1155" i="11"/>
  <c r="I1156" i="11"/>
  <c r="J1156" i="11" s="1"/>
  <c r="I1157" i="11"/>
  <c r="J1157" i="11"/>
  <c r="I1158" i="11"/>
  <c r="J1158" i="11" s="1"/>
  <c r="I1159" i="11"/>
  <c r="J1159" i="11"/>
  <c r="I1160" i="11"/>
  <c r="J1160" i="11" s="1"/>
  <c r="I1161" i="11"/>
  <c r="J1161" i="11"/>
  <c r="I1162" i="11"/>
  <c r="J1162" i="11" s="1"/>
  <c r="I1163" i="11"/>
  <c r="J1163" i="11"/>
  <c r="I1164" i="11"/>
  <c r="J1164" i="11" s="1"/>
  <c r="I1165" i="11"/>
  <c r="J1165" i="11"/>
  <c r="I1166" i="11"/>
  <c r="J1166" i="11" s="1"/>
  <c r="I1167" i="11"/>
  <c r="J1167" i="11"/>
  <c r="I1168" i="11"/>
  <c r="J1168" i="11" s="1"/>
  <c r="I1169" i="11"/>
  <c r="J1169" i="11"/>
  <c r="I1170" i="11"/>
  <c r="J1170" i="11" s="1"/>
  <c r="I1171" i="11"/>
  <c r="J1171" i="11"/>
  <c r="I1172" i="11"/>
  <c r="J1172" i="11" s="1"/>
  <c r="I1173" i="11"/>
  <c r="J1173" i="11"/>
  <c r="I1174" i="11"/>
  <c r="J1174" i="11" s="1"/>
  <c r="I1175" i="11"/>
  <c r="J1175" i="11"/>
  <c r="I1176" i="11"/>
  <c r="J1176" i="11" s="1"/>
  <c r="I1177" i="11"/>
  <c r="J1177" i="11"/>
  <c r="I1178" i="11"/>
  <c r="J1178" i="11" s="1"/>
  <c r="I1179" i="11"/>
  <c r="J1179" i="11"/>
  <c r="I1180" i="11"/>
  <c r="J1180" i="11" s="1"/>
  <c r="I1181" i="11"/>
  <c r="J1181" i="11"/>
  <c r="I1182" i="11"/>
  <c r="J1182" i="11" s="1"/>
  <c r="I1183" i="11"/>
  <c r="J1183" i="11"/>
  <c r="I1184" i="11"/>
  <c r="J1184" i="11" s="1"/>
  <c r="I1185" i="11"/>
  <c r="J1185" i="11"/>
  <c r="I1186" i="11"/>
  <c r="J1186" i="11" s="1"/>
  <c r="I1187" i="11"/>
  <c r="J1187" i="11"/>
  <c r="I1188" i="11"/>
  <c r="J1188" i="11" s="1"/>
  <c r="I1189" i="11"/>
  <c r="J1189" i="11"/>
  <c r="I1190" i="11"/>
  <c r="J1190" i="11" s="1"/>
  <c r="I1191" i="11"/>
  <c r="J1191" i="11"/>
  <c r="I1192" i="11"/>
  <c r="J1192" i="11" s="1"/>
  <c r="I1193" i="11"/>
  <c r="J1193" i="11"/>
  <c r="I1194" i="11"/>
  <c r="J1194" i="11" s="1"/>
  <c r="I1195" i="11"/>
  <c r="J1195" i="11"/>
  <c r="I1196" i="11"/>
  <c r="J1196" i="11" s="1"/>
  <c r="I1197" i="11"/>
  <c r="J1197" i="11"/>
  <c r="I1198" i="11"/>
  <c r="J1198" i="11" s="1"/>
  <c r="I1199" i="11"/>
  <c r="J1199" i="11"/>
  <c r="I1200" i="11"/>
  <c r="J1200" i="11" s="1"/>
  <c r="I1201" i="11"/>
  <c r="J1201" i="11"/>
  <c r="I1202" i="11"/>
  <c r="J1202" i="11" s="1"/>
  <c r="I1203" i="11"/>
  <c r="J1203" i="11"/>
  <c r="I1204" i="11"/>
  <c r="J1204" i="11" s="1"/>
  <c r="I1205" i="11"/>
  <c r="J1205" i="11"/>
  <c r="I1206" i="11"/>
  <c r="J1206" i="11" s="1"/>
  <c r="I1207" i="11"/>
  <c r="J1207" i="11"/>
  <c r="I1208" i="11"/>
  <c r="J1208" i="11" s="1"/>
  <c r="I1209" i="11"/>
  <c r="J1209" i="11"/>
  <c r="I1210" i="11"/>
  <c r="J1210" i="11" s="1"/>
  <c r="I1211" i="11"/>
  <c r="J1211" i="11"/>
  <c r="I1212" i="11"/>
  <c r="J1212" i="11" s="1"/>
  <c r="I1213" i="11"/>
  <c r="J1213" i="11"/>
  <c r="I1214" i="11"/>
  <c r="J1214" i="11" s="1"/>
  <c r="I1215" i="11"/>
  <c r="J1215" i="11"/>
  <c r="I1216" i="11"/>
  <c r="J1216" i="11" s="1"/>
  <c r="I1217" i="11"/>
  <c r="J1217" i="11"/>
  <c r="I1218" i="11"/>
  <c r="J1218" i="11" s="1"/>
  <c r="I1219" i="11"/>
  <c r="J1219" i="11"/>
  <c r="I1220" i="11"/>
  <c r="J1220" i="11" s="1"/>
  <c r="I1221" i="11"/>
  <c r="J1221" i="11"/>
  <c r="I1222" i="11"/>
  <c r="J1222" i="11" s="1"/>
  <c r="I1223" i="11"/>
  <c r="J1223" i="11"/>
  <c r="I1224" i="11"/>
  <c r="J1224" i="11" s="1"/>
  <c r="I1225" i="11"/>
  <c r="J1225" i="11"/>
  <c r="I1226" i="11"/>
  <c r="J1226" i="11" s="1"/>
  <c r="I1227" i="11"/>
  <c r="J1227" i="11"/>
  <c r="I1228" i="11"/>
  <c r="J1228" i="11" s="1"/>
  <c r="I1229" i="11"/>
  <c r="J1229" i="11"/>
  <c r="I1230" i="11"/>
  <c r="J1230" i="11" s="1"/>
  <c r="I1231" i="11"/>
  <c r="J1231" i="11"/>
  <c r="I1232" i="11"/>
  <c r="J1232" i="11" s="1"/>
  <c r="I1233" i="11"/>
  <c r="J1233" i="11"/>
  <c r="I1234" i="11"/>
  <c r="J1234" i="11" s="1"/>
  <c r="I1235" i="11"/>
  <c r="J1235" i="11"/>
  <c r="I1236" i="11"/>
  <c r="J1236" i="11" s="1"/>
  <c r="I1237" i="11"/>
  <c r="J1237" i="11"/>
  <c r="I1238" i="11"/>
  <c r="J1238" i="11" s="1"/>
  <c r="I1080" i="12"/>
  <c r="J1080" i="12"/>
  <c r="I1081" i="12"/>
  <c r="J1081" i="12" s="1"/>
  <c r="I1082" i="12"/>
  <c r="J1082" i="12"/>
  <c r="I1083" i="12"/>
  <c r="J1083" i="12" s="1"/>
  <c r="I1084" i="12"/>
  <c r="J1084" i="12"/>
  <c r="I1085" i="12"/>
  <c r="J1085" i="12" s="1"/>
  <c r="I1086" i="12"/>
  <c r="J1086" i="12"/>
  <c r="I1087" i="12"/>
  <c r="J1087" i="12" s="1"/>
  <c r="I1088" i="12"/>
  <c r="J1088" i="12"/>
  <c r="I1089" i="12"/>
  <c r="J1089" i="12" s="1"/>
  <c r="I1090" i="12"/>
  <c r="J1090" i="12"/>
  <c r="I1091" i="12"/>
  <c r="J1091" i="12" s="1"/>
  <c r="I1092" i="12"/>
  <c r="J1092" i="12"/>
  <c r="I1093" i="12"/>
  <c r="J1093" i="12" s="1"/>
  <c r="I1094" i="12"/>
  <c r="J1094" i="12"/>
  <c r="I1095" i="12"/>
  <c r="J1095" i="12" s="1"/>
  <c r="I1096" i="12"/>
  <c r="J1096" i="12"/>
  <c r="I1097" i="12"/>
  <c r="J1097" i="12" s="1"/>
  <c r="I1098" i="12"/>
  <c r="J1098" i="12"/>
  <c r="I1099" i="12"/>
  <c r="J1099" i="12" s="1"/>
  <c r="I1100" i="12"/>
  <c r="J1100" i="12"/>
  <c r="I1101" i="12"/>
  <c r="J1101" i="12" s="1"/>
  <c r="I1102" i="12"/>
  <c r="J1102" i="12"/>
  <c r="I1103" i="12"/>
  <c r="J1103" i="12" s="1"/>
  <c r="I1104" i="12"/>
  <c r="J1104" i="12"/>
  <c r="I1105" i="12"/>
  <c r="J1105" i="12" s="1"/>
  <c r="I1106" i="12"/>
  <c r="J1106" i="12"/>
  <c r="I1107" i="12"/>
  <c r="J1107" i="12" s="1"/>
  <c r="I1108" i="12"/>
  <c r="J1108" i="12"/>
  <c r="I1109" i="12"/>
  <c r="J1109" i="12" s="1"/>
  <c r="I1110" i="12"/>
  <c r="J1110" i="12"/>
  <c r="I1111" i="12"/>
  <c r="J1111" i="12" s="1"/>
  <c r="I1112" i="12"/>
  <c r="J1112" i="12"/>
  <c r="I1113" i="12"/>
  <c r="J1113" i="12" s="1"/>
  <c r="I1114" i="12"/>
  <c r="J1114" i="12"/>
  <c r="I1115" i="12"/>
  <c r="J1115" i="12" s="1"/>
  <c r="I1116" i="12"/>
  <c r="J1116" i="12"/>
  <c r="I1117" i="12"/>
  <c r="J1117" i="12" s="1"/>
  <c r="I1118" i="12"/>
  <c r="J1118" i="12"/>
  <c r="I1119" i="12"/>
  <c r="J1119" i="12" s="1"/>
  <c r="I1120" i="12"/>
  <c r="J1120" i="12"/>
  <c r="I1121" i="12"/>
  <c r="J1121" i="12" s="1"/>
  <c r="I1122" i="12"/>
  <c r="J1122" i="12"/>
  <c r="I1123" i="12"/>
  <c r="J1123" i="12" s="1"/>
  <c r="I1124" i="12"/>
  <c r="J1124" i="12"/>
  <c r="I1125" i="12"/>
  <c r="J1125" i="12" s="1"/>
  <c r="I1126" i="12"/>
  <c r="J1126" i="12"/>
  <c r="I1127" i="12"/>
  <c r="J1127" i="12" s="1"/>
  <c r="I1128" i="12"/>
  <c r="J1128" i="12"/>
  <c r="I1129" i="12"/>
  <c r="J1129" i="12" s="1"/>
  <c r="I1130" i="12"/>
  <c r="J1130" i="12"/>
  <c r="I1131" i="12"/>
  <c r="J1131" i="12" s="1"/>
  <c r="I1132" i="12"/>
  <c r="J1132" i="12"/>
  <c r="I1133" i="12"/>
  <c r="J1133" i="12" s="1"/>
  <c r="I1134" i="12"/>
  <c r="J1134" i="12"/>
  <c r="I1135" i="12"/>
  <c r="J1135" i="12" s="1"/>
  <c r="I1136" i="12"/>
  <c r="J1136" i="12"/>
  <c r="I1137" i="12"/>
  <c r="J1137" i="12" s="1"/>
  <c r="I1138" i="12"/>
  <c r="J1138" i="12"/>
  <c r="I1139" i="12"/>
  <c r="J1139" i="12" s="1"/>
  <c r="I1140" i="12"/>
  <c r="J1140" i="12"/>
  <c r="I1141" i="12"/>
  <c r="J1141" i="12" s="1"/>
  <c r="I1142" i="12"/>
  <c r="J1142" i="12"/>
  <c r="I1143" i="12"/>
  <c r="J1143" i="12" s="1"/>
  <c r="I1144" i="12"/>
  <c r="J1144" i="12"/>
  <c r="I1145" i="12"/>
  <c r="J1145" i="12" s="1"/>
  <c r="I1146" i="12"/>
  <c r="J1146" i="12" s="1"/>
  <c r="I1147" i="12"/>
  <c r="J1147" i="12" s="1"/>
  <c r="I1148" i="12"/>
  <c r="J1148" i="12"/>
  <c r="I1149" i="12"/>
  <c r="J1149" i="12" s="1"/>
  <c r="I1150" i="12"/>
  <c r="J1150" i="12"/>
  <c r="I1151" i="12"/>
  <c r="J1151" i="12" s="1"/>
  <c r="I1152" i="12"/>
  <c r="J1152" i="12"/>
  <c r="I1153" i="12"/>
  <c r="J1153" i="12" s="1"/>
  <c r="I1154" i="12"/>
  <c r="J1154" i="12" s="1"/>
  <c r="I1155" i="12"/>
  <c r="J1155" i="12" s="1"/>
  <c r="I1156" i="12"/>
  <c r="J1156" i="12"/>
  <c r="I1157" i="12"/>
  <c r="J1157" i="12" s="1"/>
  <c r="I1158" i="12"/>
  <c r="J1158" i="12"/>
  <c r="I1159" i="12"/>
  <c r="J1159" i="12" s="1"/>
  <c r="I1160" i="12"/>
  <c r="J1160" i="12"/>
  <c r="I1161" i="12"/>
  <c r="J1161" i="12" s="1"/>
  <c r="I1162" i="12"/>
  <c r="J1162" i="12" s="1"/>
  <c r="I1163" i="12"/>
  <c r="J1163" i="12" s="1"/>
  <c r="I1164" i="12"/>
  <c r="J1164" i="12" s="1"/>
  <c r="I1165" i="12"/>
  <c r="J1165" i="12" s="1"/>
  <c r="I1166" i="12"/>
  <c r="J1166" i="12"/>
  <c r="I1167" i="12"/>
  <c r="J1167" i="12" s="1"/>
  <c r="I1168" i="12"/>
  <c r="J1168" i="12"/>
  <c r="I1169" i="12"/>
  <c r="J1169" i="12" s="1"/>
  <c r="I1170" i="12"/>
  <c r="J1170" i="12" s="1"/>
  <c r="I1171" i="12"/>
  <c r="J1171" i="12" s="1"/>
  <c r="I1172" i="12"/>
  <c r="J1172" i="12" s="1"/>
  <c r="I1173" i="12"/>
  <c r="J1173" i="12" s="1"/>
  <c r="I1174" i="12"/>
  <c r="J1174" i="12"/>
  <c r="I1175" i="12"/>
  <c r="J1175" i="12" s="1"/>
  <c r="I1176" i="12"/>
  <c r="J1176" i="12"/>
  <c r="I1177" i="12"/>
  <c r="J1177" i="12" s="1"/>
  <c r="I1178" i="12"/>
  <c r="J1178" i="12" s="1"/>
  <c r="I1179" i="12"/>
  <c r="J1179" i="12" s="1"/>
  <c r="I1180" i="12"/>
  <c r="J1180" i="12"/>
  <c r="I1181" i="12"/>
  <c r="J1181" i="12" s="1"/>
  <c r="I1182" i="12"/>
  <c r="J1182" i="12"/>
  <c r="I1183" i="12"/>
  <c r="J1183" i="12" s="1"/>
  <c r="I1184" i="12"/>
  <c r="J1184" i="12"/>
  <c r="I1185" i="12"/>
  <c r="J1185" i="12" s="1"/>
  <c r="I1186" i="12"/>
  <c r="J1186" i="12" s="1"/>
  <c r="I1187" i="12"/>
  <c r="J1187" i="12" s="1"/>
  <c r="I1188" i="12"/>
  <c r="J1188" i="12"/>
  <c r="I1189" i="12"/>
  <c r="J1189" i="12" s="1"/>
  <c r="I1190" i="12"/>
  <c r="J1190" i="12"/>
  <c r="I1191" i="12"/>
  <c r="J1191" i="12" s="1"/>
  <c r="I1192" i="12"/>
  <c r="J1192" i="12"/>
  <c r="I1193" i="12"/>
  <c r="J1193" i="12" s="1"/>
  <c r="I1194" i="12"/>
  <c r="J1194" i="12" s="1"/>
  <c r="I1195" i="12"/>
  <c r="J1195" i="12" s="1"/>
  <c r="I1196" i="12"/>
  <c r="J1196" i="12" s="1"/>
  <c r="I1197" i="12"/>
  <c r="J1197" i="12" s="1"/>
  <c r="I1198" i="12"/>
  <c r="J1198" i="12"/>
  <c r="I1199" i="12"/>
  <c r="J1199" i="12" s="1"/>
  <c r="I1200" i="12"/>
  <c r="J1200" i="12"/>
  <c r="I1201" i="12"/>
  <c r="J1201" i="12" s="1"/>
  <c r="I1202" i="12"/>
  <c r="J1202" i="12" s="1"/>
  <c r="I1203" i="12"/>
  <c r="J1203" i="12" s="1"/>
  <c r="I1204" i="12"/>
  <c r="J1204" i="12" s="1"/>
  <c r="I1205" i="12"/>
  <c r="J1205" i="12" s="1"/>
  <c r="I1206" i="12"/>
  <c r="J1206" i="12"/>
  <c r="I1207" i="12"/>
  <c r="J1207" i="12" s="1"/>
  <c r="I1208" i="12"/>
  <c r="J1208" i="12"/>
  <c r="I1209" i="12"/>
  <c r="J1209" i="12" s="1"/>
  <c r="I1210" i="12"/>
  <c r="J1210" i="12" s="1"/>
  <c r="I1211" i="12"/>
  <c r="J1211" i="12" s="1"/>
  <c r="I1212" i="12"/>
  <c r="J1212" i="12"/>
  <c r="I1213" i="12"/>
  <c r="J1213" i="12" s="1"/>
  <c r="I1214" i="12"/>
  <c r="J1214" i="12"/>
  <c r="I1215" i="12"/>
  <c r="J1215" i="12" s="1"/>
  <c r="I1216" i="12"/>
  <c r="J1216" i="12"/>
  <c r="I1217" i="12"/>
  <c r="J1217" i="12" s="1"/>
  <c r="I1218" i="12"/>
  <c r="J1218" i="12" s="1"/>
  <c r="I1219" i="12"/>
  <c r="J1219" i="12" s="1"/>
  <c r="I1220" i="12"/>
  <c r="J1220" i="12"/>
  <c r="I1221" i="12"/>
  <c r="J1221" i="12" s="1"/>
  <c r="I1222" i="12"/>
  <c r="J1222" i="12"/>
  <c r="I1223" i="12"/>
  <c r="J1223" i="12" s="1"/>
  <c r="I1224" i="12"/>
  <c r="J1224" i="12"/>
  <c r="I1225" i="12"/>
  <c r="J1225" i="12" s="1"/>
  <c r="I1226" i="12"/>
  <c r="J1226" i="12" s="1"/>
  <c r="I1227" i="12"/>
  <c r="J1227" i="12" s="1"/>
  <c r="I1228" i="12"/>
  <c r="J1228" i="12" s="1"/>
  <c r="I1229" i="12"/>
  <c r="J1229" i="12" s="1"/>
  <c r="I1230" i="12"/>
  <c r="J1230" i="12"/>
  <c r="I1231" i="12"/>
  <c r="J1231" i="12" s="1"/>
  <c r="I1232" i="12"/>
  <c r="J1232" i="12"/>
  <c r="I1233" i="12"/>
  <c r="J1233" i="12" s="1"/>
  <c r="I1234" i="12"/>
  <c r="J1234" i="12"/>
  <c r="I1235" i="12"/>
  <c r="J1235" i="12" s="1"/>
  <c r="I1236" i="12"/>
  <c r="J1236" i="12"/>
  <c r="I1237" i="12"/>
  <c r="J1237" i="12" s="1"/>
  <c r="I1238" i="12"/>
  <c r="J1238" i="12"/>
  <c r="I1080" i="13"/>
  <c r="J1080" i="13" s="1"/>
  <c r="I1081" i="13"/>
  <c r="J1081" i="13"/>
  <c r="I1082" i="13"/>
  <c r="J1082" i="13" s="1"/>
  <c r="I1083" i="13"/>
  <c r="J1083" i="13" s="1"/>
  <c r="I1084" i="13"/>
  <c r="J1084" i="13" s="1"/>
  <c r="I1085" i="13"/>
  <c r="J1085" i="13" s="1"/>
  <c r="I1086" i="13"/>
  <c r="J1086" i="13"/>
  <c r="I1087" i="13"/>
  <c r="J1087" i="13" s="1"/>
  <c r="I1088" i="13"/>
  <c r="J1088" i="13"/>
  <c r="I1089" i="13"/>
  <c r="J1089" i="13" s="1"/>
  <c r="I1090" i="13"/>
  <c r="J1090" i="13" s="1"/>
  <c r="I1091" i="13"/>
  <c r="J1091" i="13" s="1"/>
  <c r="I1092" i="13"/>
  <c r="J1092" i="13" s="1"/>
  <c r="I1093" i="13"/>
  <c r="J1093" i="13" s="1"/>
  <c r="I1094" i="13"/>
  <c r="J1094" i="13"/>
  <c r="I1095" i="13"/>
  <c r="J1095" i="13" s="1"/>
  <c r="I1096" i="13"/>
  <c r="J1096" i="13"/>
  <c r="I1097" i="13"/>
  <c r="J1097" i="13" s="1"/>
  <c r="I1098" i="13"/>
  <c r="J1098" i="13" s="1"/>
  <c r="I1099" i="13"/>
  <c r="J1099" i="13" s="1"/>
  <c r="I1100" i="13"/>
  <c r="J1100" i="13" s="1"/>
  <c r="I1101" i="13"/>
  <c r="J1101" i="13" s="1"/>
  <c r="I1102" i="13"/>
  <c r="J1102" i="13"/>
  <c r="I1103" i="13"/>
  <c r="J1103" i="13" s="1"/>
  <c r="I1104" i="13"/>
  <c r="J1104" i="13"/>
  <c r="I1105" i="13"/>
  <c r="J1105" i="13" s="1"/>
  <c r="I1106" i="13"/>
  <c r="J1106" i="13" s="1"/>
  <c r="I1107" i="13"/>
  <c r="J1107" i="13" s="1"/>
  <c r="I1108" i="13"/>
  <c r="J1108" i="13" s="1"/>
  <c r="I1109" i="13"/>
  <c r="J1109" i="13" s="1"/>
  <c r="I1110" i="13"/>
  <c r="J1110" i="13"/>
  <c r="I1111" i="13"/>
  <c r="J1111" i="13" s="1"/>
  <c r="I1112" i="13"/>
  <c r="J1112" i="13"/>
  <c r="I1113" i="13"/>
  <c r="J1113" i="13" s="1"/>
  <c r="I1114" i="13"/>
  <c r="J1114" i="13" s="1"/>
  <c r="I1115" i="13"/>
  <c r="J1115" i="13" s="1"/>
  <c r="I1116" i="13"/>
  <c r="J1116" i="13" s="1"/>
  <c r="I1117" i="13"/>
  <c r="J1117" i="13" s="1"/>
  <c r="I1118" i="13"/>
  <c r="J1118" i="13"/>
  <c r="I1119" i="13"/>
  <c r="J1119" i="13" s="1"/>
  <c r="I1120" i="13"/>
  <c r="J1120" i="13"/>
  <c r="I1121" i="13"/>
  <c r="J1121" i="13" s="1"/>
  <c r="I1122" i="13"/>
  <c r="J1122" i="13" s="1"/>
  <c r="I1123" i="13"/>
  <c r="J1123" i="13" s="1"/>
  <c r="I1124" i="13"/>
  <c r="J1124" i="13" s="1"/>
  <c r="I1125" i="13"/>
  <c r="J1125" i="13" s="1"/>
  <c r="I1126" i="13"/>
  <c r="J1126" i="13"/>
  <c r="I1127" i="13"/>
  <c r="J1127" i="13" s="1"/>
  <c r="I1128" i="13"/>
  <c r="J1128" i="13"/>
  <c r="I1129" i="13"/>
  <c r="J1129" i="13" s="1"/>
  <c r="I1130" i="13"/>
  <c r="J1130" i="13" s="1"/>
  <c r="I1131" i="13"/>
  <c r="J1131" i="13" s="1"/>
  <c r="I1132" i="13"/>
  <c r="J1132" i="13" s="1"/>
  <c r="I1133" i="13"/>
  <c r="J1133" i="13" s="1"/>
  <c r="I1134" i="13"/>
  <c r="J1134" i="13"/>
  <c r="I1135" i="13"/>
  <c r="J1135" i="13" s="1"/>
  <c r="I1136" i="13"/>
  <c r="J1136" i="13"/>
  <c r="I1137" i="13"/>
  <c r="J1137" i="13" s="1"/>
  <c r="I1138" i="13"/>
  <c r="J1138" i="13" s="1"/>
  <c r="I1139" i="13"/>
  <c r="J1139" i="13" s="1"/>
  <c r="I1140" i="13"/>
  <c r="J1140" i="13" s="1"/>
  <c r="I1141" i="13"/>
  <c r="J1141" i="13" s="1"/>
  <c r="I1142" i="13"/>
  <c r="J1142" i="13"/>
  <c r="I1143" i="13"/>
  <c r="J1143" i="13" s="1"/>
  <c r="I1144" i="13"/>
  <c r="J1144" i="13"/>
  <c r="I1145" i="13"/>
  <c r="J1145" i="13" s="1"/>
  <c r="I1146" i="13"/>
  <c r="J1146" i="13" s="1"/>
  <c r="I1147" i="13"/>
  <c r="J1147" i="13" s="1"/>
  <c r="I1148" i="13"/>
  <c r="J1148" i="13" s="1"/>
  <c r="I1149" i="13"/>
  <c r="J1149" i="13" s="1"/>
  <c r="I1150" i="13"/>
  <c r="J1150" i="13"/>
  <c r="I1151" i="13"/>
  <c r="J1151" i="13" s="1"/>
  <c r="I1152" i="13"/>
  <c r="J1152" i="13"/>
  <c r="I1153" i="13"/>
  <c r="J1153" i="13" s="1"/>
  <c r="I1154" i="13"/>
  <c r="J1154" i="13" s="1"/>
  <c r="I1155" i="13"/>
  <c r="J1155" i="13" s="1"/>
  <c r="I1156" i="13"/>
  <c r="J1156" i="13" s="1"/>
  <c r="I1157" i="13"/>
  <c r="J1157" i="13" s="1"/>
  <c r="I1158" i="13"/>
  <c r="J1158" i="13"/>
  <c r="I1159" i="13"/>
  <c r="J1159" i="13" s="1"/>
  <c r="I1160" i="13"/>
  <c r="J1160" i="13"/>
  <c r="I1161" i="13"/>
  <c r="J1161" i="13" s="1"/>
  <c r="I1162" i="13"/>
  <c r="J1162" i="13" s="1"/>
  <c r="I1163" i="13"/>
  <c r="J1163" i="13" s="1"/>
  <c r="I1164" i="13"/>
  <c r="J1164" i="13" s="1"/>
  <c r="I1165" i="13"/>
  <c r="J1165" i="13" s="1"/>
  <c r="I1166" i="13"/>
  <c r="J1166" i="13"/>
  <c r="I1167" i="13"/>
  <c r="J1167" i="13" s="1"/>
  <c r="I1168" i="13"/>
  <c r="J1168" i="13"/>
  <c r="I1169" i="13"/>
  <c r="J1169" i="13" s="1"/>
  <c r="I1170" i="13"/>
  <c r="J1170" i="13" s="1"/>
  <c r="I1171" i="13"/>
  <c r="J1171" i="13" s="1"/>
  <c r="I1172" i="13"/>
  <c r="J1172" i="13" s="1"/>
  <c r="I1173" i="13"/>
  <c r="J1173" i="13" s="1"/>
  <c r="I1174" i="13"/>
  <c r="J1174" i="13"/>
  <c r="I1175" i="13"/>
  <c r="J1175" i="13" s="1"/>
  <c r="I1176" i="13"/>
  <c r="J1176" i="13"/>
  <c r="I1177" i="13"/>
  <c r="J1177" i="13" s="1"/>
  <c r="I1178" i="13"/>
  <c r="J1178" i="13" s="1"/>
  <c r="I1179" i="13"/>
  <c r="J1179" i="13" s="1"/>
  <c r="I1180" i="13"/>
  <c r="J1180" i="13" s="1"/>
  <c r="I1181" i="13"/>
  <c r="J1181" i="13" s="1"/>
  <c r="I1182" i="13"/>
  <c r="J1182" i="13"/>
  <c r="I1183" i="13"/>
  <c r="J1183" i="13" s="1"/>
  <c r="I1184" i="13"/>
  <c r="J1184" i="13"/>
  <c r="I1185" i="13"/>
  <c r="J1185" i="13" s="1"/>
  <c r="I1186" i="13"/>
  <c r="J1186" i="13" s="1"/>
  <c r="I1187" i="13"/>
  <c r="J1187" i="13" s="1"/>
  <c r="I1188" i="13"/>
  <c r="J1188" i="13" s="1"/>
  <c r="I1189" i="13"/>
  <c r="J1189" i="13" s="1"/>
  <c r="I1190" i="13"/>
  <c r="J1190" i="13"/>
  <c r="I1191" i="13"/>
  <c r="J1191" i="13" s="1"/>
  <c r="I1192" i="13"/>
  <c r="J1192" i="13"/>
  <c r="I1193" i="13"/>
  <c r="J1193" i="13" s="1"/>
  <c r="I1194" i="13"/>
  <c r="J1194" i="13" s="1"/>
  <c r="I1195" i="13"/>
  <c r="J1195" i="13" s="1"/>
  <c r="I1196" i="13"/>
  <c r="J1196" i="13" s="1"/>
  <c r="I1197" i="13"/>
  <c r="J1197" i="13" s="1"/>
  <c r="I1198" i="13"/>
  <c r="J1198" i="13"/>
  <c r="I1199" i="13"/>
  <c r="J1199" i="13" s="1"/>
  <c r="I1200" i="13"/>
  <c r="J1200" i="13"/>
  <c r="I1201" i="13"/>
  <c r="J1201" i="13" s="1"/>
  <c r="I1202" i="13"/>
  <c r="J1202" i="13" s="1"/>
  <c r="I1203" i="13"/>
  <c r="J1203" i="13" s="1"/>
  <c r="I1204" i="13"/>
  <c r="J1204" i="13" s="1"/>
  <c r="I1205" i="13"/>
  <c r="J1205" i="13" s="1"/>
  <c r="I1206" i="13"/>
  <c r="J1206" i="13"/>
  <c r="I1207" i="13"/>
  <c r="J1207" i="13" s="1"/>
  <c r="I1208" i="13"/>
  <c r="J1208" i="13"/>
  <c r="I1209" i="13"/>
  <c r="J1209" i="13" s="1"/>
  <c r="I1210" i="13"/>
  <c r="J1210" i="13" s="1"/>
  <c r="I1211" i="13"/>
  <c r="J1211" i="13" s="1"/>
  <c r="I1212" i="13"/>
  <c r="J1212" i="13" s="1"/>
  <c r="I1213" i="13"/>
  <c r="J1213" i="13" s="1"/>
  <c r="I1214" i="13"/>
  <c r="J1214" i="13"/>
  <c r="I1215" i="13"/>
  <c r="J1215" i="13" s="1"/>
  <c r="I1216" i="13"/>
  <c r="J1216" i="13"/>
  <c r="I1217" i="13"/>
  <c r="J1217" i="13" s="1"/>
  <c r="I1218" i="13"/>
  <c r="J1218" i="13" s="1"/>
  <c r="I1219" i="13"/>
  <c r="J1219" i="13" s="1"/>
  <c r="I1220" i="13"/>
  <c r="J1220" i="13" s="1"/>
  <c r="I1221" i="13"/>
  <c r="J1221" i="13" s="1"/>
  <c r="I1222" i="13"/>
  <c r="J1222" i="13"/>
  <c r="I1223" i="13"/>
  <c r="J1223" i="13" s="1"/>
  <c r="I1224" i="13"/>
  <c r="J1224" i="13"/>
  <c r="I1225" i="13"/>
  <c r="J1225" i="13" s="1"/>
  <c r="I1226" i="13"/>
  <c r="J1226" i="13" s="1"/>
  <c r="I1227" i="13"/>
  <c r="J1227" i="13" s="1"/>
  <c r="I1228" i="13"/>
  <c r="J1228" i="13" s="1"/>
  <c r="I1229" i="13"/>
  <c r="J1229" i="13" s="1"/>
  <c r="I1230" i="13"/>
  <c r="J1230" i="13"/>
  <c r="I1231" i="13"/>
  <c r="J1231" i="13" s="1"/>
  <c r="I1232" i="13"/>
  <c r="J1232" i="13"/>
  <c r="I1233" i="13"/>
  <c r="J1233" i="13" s="1"/>
  <c r="I1234" i="13"/>
  <c r="J1234" i="13" s="1"/>
  <c r="I1235" i="13"/>
  <c r="J1235" i="13" s="1"/>
  <c r="I1236" i="13"/>
  <c r="J1236" i="13" s="1"/>
  <c r="I1237" i="13"/>
  <c r="J1237" i="13" s="1"/>
  <c r="I1238" i="13"/>
  <c r="J1238" i="13"/>
  <c r="I1080" i="14"/>
  <c r="J1080" i="14" s="1"/>
  <c r="I1081" i="14"/>
  <c r="J1081" i="14"/>
  <c r="I1082" i="14"/>
  <c r="J1082" i="14" s="1"/>
  <c r="I1083" i="14"/>
  <c r="J1083" i="14" s="1"/>
  <c r="I1084" i="14"/>
  <c r="J1084" i="14" s="1"/>
  <c r="I1085" i="14"/>
  <c r="J1085" i="14" s="1"/>
  <c r="I1086" i="14"/>
  <c r="J1086" i="14" s="1"/>
  <c r="I1087" i="14"/>
  <c r="J1087" i="14"/>
  <c r="I1088" i="14"/>
  <c r="J1088" i="14" s="1"/>
  <c r="I1089" i="14"/>
  <c r="J1089" i="14"/>
  <c r="I1090" i="14"/>
  <c r="J1090" i="14" s="1"/>
  <c r="I1091" i="14"/>
  <c r="J1091" i="14" s="1"/>
  <c r="I1092" i="14"/>
  <c r="J1092" i="14" s="1"/>
  <c r="I1093" i="14"/>
  <c r="J1093" i="14" s="1"/>
  <c r="I1094" i="14"/>
  <c r="J1094" i="14" s="1"/>
  <c r="I1095" i="14"/>
  <c r="J1095" i="14"/>
  <c r="I1096" i="14"/>
  <c r="J1096" i="14" s="1"/>
  <c r="I1097" i="14"/>
  <c r="J1097" i="14"/>
  <c r="I1098" i="14"/>
  <c r="J1098" i="14" s="1"/>
  <c r="I1099" i="14"/>
  <c r="J1099" i="14" s="1"/>
  <c r="I1100" i="14"/>
  <c r="J1100" i="14" s="1"/>
  <c r="I1101" i="14"/>
  <c r="J1101" i="14" s="1"/>
  <c r="I1102" i="14"/>
  <c r="J1102" i="14" s="1"/>
  <c r="I1103" i="14"/>
  <c r="J1103" i="14"/>
  <c r="I1104" i="14"/>
  <c r="J1104" i="14" s="1"/>
  <c r="I1105" i="14"/>
  <c r="J1105" i="14"/>
  <c r="I1106" i="14"/>
  <c r="J1106" i="14" s="1"/>
  <c r="I1107" i="14"/>
  <c r="J1107" i="14" s="1"/>
  <c r="I1108" i="14"/>
  <c r="J1108" i="14" s="1"/>
  <c r="I1109" i="14"/>
  <c r="J1109" i="14" s="1"/>
  <c r="I1110" i="14"/>
  <c r="J1110" i="14" s="1"/>
  <c r="I1111" i="14"/>
  <c r="J1111" i="14"/>
  <c r="I1112" i="14"/>
  <c r="J1112" i="14" s="1"/>
  <c r="I1113" i="14"/>
  <c r="J1113" i="14"/>
  <c r="I1114" i="14"/>
  <c r="J1114" i="14" s="1"/>
  <c r="I1115" i="14"/>
  <c r="J1115" i="14" s="1"/>
  <c r="I1116" i="14"/>
  <c r="J1116" i="14" s="1"/>
  <c r="I1117" i="14"/>
  <c r="J1117" i="14" s="1"/>
  <c r="I1118" i="14"/>
  <c r="J1118" i="14" s="1"/>
  <c r="I1119" i="14"/>
  <c r="J1119" i="14"/>
  <c r="I1120" i="14"/>
  <c r="J1120" i="14" s="1"/>
  <c r="I1121" i="14"/>
  <c r="J1121" i="14"/>
  <c r="I1122" i="14"/>
  <c r="J1122" i="14" s="1"/>
  <c r="I1123" i="14"/>
  <c r="J1123" i="14" s="1"/>
  <c r="I1124" i="14"/>
  <c r="J1124" i="14" s="1"/>
  <c r="I1125" i="14"/>
  <c r="J1125" i="14" s="1"/>
  <c r="I1126" i="14"/>
  <c r="J1126" i="14" s="1"/>
  <c r="I1127" i="14"/>
  <c r="J1127" i="14"/>
  <c r="I1128" i="14"/>
  <c r="J1128" i="14" s="1"/>
  <c r="I1129" i="14"/>
  <c r="J1129" i="14"/>
  <c r="I1130" i="14"/>
  <c r="J1130" i="14" s="1"/>
  <c r="I1131" i="14"/>
  <c r="J1131" i="14" s="1"/>
  <c r="I1132" i="14"/>
  <c r="J1132" i="14" s="1"/>
  <c r="I1133" i="14"/>
  <c r="J1133" i="14" s="1"/>
  <c r="I1134" i="14"/>
  <c r="J1134" i="14" s="1"/>
  <c r="I1135" i="14"/>
  <c r="J1135" i="14"/>
  <c r="I1136" i="14"/>
  <c r="J1136" i="14" s="1"/>
  <c r="I1137" i="14"/>
  <c r="J1137" i="14"/>
  <c r="I1138" i="14"/>
  <c r="J1138" i="14" s="1"/>
  <c r="I1139" i="14"/>
  <c r="J1139" i="14" s="1"/>
  <c r="I1140" i="14"/>
  <c r="J1140" i="14" s="1"/>
  <c r="I1141" i="14"/>
  <c r="J1141" i="14" s="1"/>
  <c r="I1142" i="14"/>
  <c r="J1142" i="14" s="1"/>
  <c r="I1143" i="14"/>
  <c r="J1143" i="14"/>
  <c r="I1144" i="14"/>
  <c r="J1144" i="14" s="1"/>
  <c r="I1145" i="14"/>
  <c r="J1145" i="14"/>
  <c r="I1146" i="14"/>
  <c r="J1146" i="14" s="1"/>
  <c r="I1147" i="14"/>
  <c r="J1147" i="14" s="1"/>
  <c r="I1148" i="14"/>
  <c r="J1148" i="14" s="1"/>
  <c r="I1149" i="14"/>
  <c r="J1149" i="14" s="1"/>
  <c r="I1150" i="14"/>
  <c r="J1150" i="14" s="1"/>
  <c r="I1151" i="14"/>
  <c r="J1151" i="14"/>
  <c r="I1152" i="14"/>
  <c r="J1152" i="14" s="1"/>
  <c r="I1153" i="14"/>
  <c r="J1153" i="14"/>
  <c r="I1154" i="14"/>
  <c r="J1154" i="14" s="1"/>
  <c r="I1155" i="14"/>
  <c r="J1155" i="14" s="1"/>
  <c r="I1156" i="14"/>
  <c r="J1156" i="14" s="1"/>
  <c r="I1157" i="14"/>
  <c r="J1157" i="14" s="1"/>
  <c r="I1158" i="14"/>
  <c r="J1158" i="14" s="1"/>
  <c r="I1159" i="14"/>
  <c r="J1159" i="14"/>
  <c r="I1160" i="14"/>
  <c r="J1160" i="14" s="1"/>
  <c r="I1161" i="14"/>
  <c r="J1161" i="14"/>
  <c r="I1162" i="14"/>
  <c r="J1162" i="14" s="1"/>
  <c r="I1163" i="14"/>
  <c r="J1163" i="14" s="1"/>
  <c r="I1164" i="14"/>
  <c r="J1164" i="14" s="1"/>
  <c r="I1165" i="14"/>
  <c r="J1165" i="14" s="1"/>
  <c r="I1166" i="14"/>
  <c r="J1166" i="14" s="1"/>
  <c r="I1167" i="14"/>
  <c r="J1167" i="14"/>
  <c r="I1168" i="14"/>
  <c r="J1168" i="14" s="1"/>
  <c r="I1169" i="14"/>
  <c r="J1169" i="14"/>
  <c r="I1170" i="14"/>
  <c r="J1170" i="14" s="1"/>
  <c r="I1171" i="14"/>
  <c r="J1171" i="14" s="1"/>
  <c r="I1172" i="14"/>
  <c r="J1172" i="14" s="1"/>
  <c r="I1173" i="14"/>
  <c r="J1173" i="14" s="1"/>
  <c r="I1174" i="14"/>
  <c r="J1174" i="14" s="1"/>
  <c r="I1175" i="14"/>
  <c r="J1175" i="14"/>
  <c r="I1176" i="14"/>
  <c r="J1176" i="14" s="1"/>
  <c r="I1177" i="14"/>
  <c r="J1177" i="14"/>
  <c r="I1178" i="14"/>
  <c r="J1178" i="14" s="1"/>
  <c r="I1179" i="14"/>
  <c r="J1179" i="14" s="1"/>
  <c r="I1180" i="14"/>
  <c r="J1180" i="14" s="1"/>
  <c r="I1181" i="14"/>
  <c r="J1181" i="14" s="1"/>
  <c r="I1182" i="14"/>
  <c r="J1182" i="14" s="1"/>
  <c r="I1183" i="14"/>
  <c r="J1183" i="14"/>
  <c r="I1184" i="14"/>
  <c r="J1184" i="14" s="1"/>
  <c r="I1185" i="14"/>
  <c r="J1185" i="14"/>
  <c r="I1186" i="14"/>
  <c r="J1186" i="14" s="1"/>
  <c r="I1187" i="14"/>
  <c r="J1187" i="14" s="1"/>
  <c r="I1188" i="14"/>
  <c r="J1188" i="14" s="1"/>
  <c r="I1189" i="14"/>
  <c r="J1189" i="14" s="1"/>
  <c r="I1190" i="14"/>
  <c r="J1190" i="14" s="1"/>
  <c r="I1191" i="14"/>
  <c r="J1191" i="14"/>
  <c r="I1192" i="14"/>
  <c r="J1192" i="14" s="1"/>
  <c r="I1193" i="14"/>
  <c r="J1193" i="14"/>
  <c r="I1194" i="14"/>
  <c r="J1194" i="14" s="1"/>
  <c r="I1195" i="14"/>
  <c r="J1195" i="14" s="1"/>
  <c r="I1196" i="14"/>
  <c r="J1196" i="14" s="1"/>
  <c r="I1197" i="14"/>
  <c r="J1197" i="14" s="1"/>
  <c r="I1198" i="14"/>
  <c r="J1198" i="14" s="1"/>
  <c r="I1199" i="14"/>
  <c r="J1199" i="14"/>
  <c r="I1200" i="14"/>
  <c r="J1200" i="14" s="1"/>
  <c r="I1201" i="14"/>
  <c r="J1201" i="14"/>
  <c r="I1202" i="14"/>
  <c r="J1202" i="14" s="1"/>
  <c r="I1203" i="14"/>
  <c r="J1203" i="14" s="1"/>
  <c r="I1204" i="14"/>
  <c r="J1204" i="14" s="1"/>
  <c r="I1205" i="14"/>
  <c r="J1205" i="14" s="1"/>
  <c r="I1206" i="14"/>
  <c r="J1206" i="14" s="1"/>
  <c r="I1207" i="14"/>
  <c r="J1207" i="14"/>
  <c r="I1208" i="14"/>
  <c r="J1208" i="14" s="1"/>
  <c r="I1209" i="14"/>
  <c r="J1209" i="14"/>
  <c r="I1210" i="14"/>
  <c r="J1210" i="14" s="1"/>
  <c r="I1211" i="14"/>
  <c r="J1211" i="14" s="1"/>
  <c r="I1212" i="14"/>
  <c r="J1212" i="14" s="1"/>
  <c r="I1213" i="14"/>
  <c r="J1213" i="14" s="1"/>
  <c r="I1214" i="14"/>
  <c r="J1214" i="14" s="1"/>
  <c r="I1215" i="14"/>
  <c r="J1215" i="14"/>
  <c r="I1216" i="14"/>
  <c r="J1216" i="14" s="1"/>
  <c r="I1217" i="14"/>
  <c r="J1217" i="14"/>
  <c r="I1218" i="14"/>
  <c r="J1218" i="14" s="1"/>
  <c r="I1219" i="14"/>
  <c r="J1219" i="14" s="1"/>
  <c r="I1220" i="14"/>
  <c r="J1220" i="14" s="1"/>
  <c r="I1221" i="14"/>
  <c r="J1221" i="14" s="1"/>
  <c r="I1222" i="14"/>
  <c r="J1222" i="14" s="1"/>
  <c r="I1223" i="14"/>
  <c r="J1223" i="14"/>
  <c r="I1224" i="14"/>
  <c r="J1224" i="14" s="1"/>
  <c r="I1225" i="14"/>
  <c r="J1225" i="14"/>
  <c r="I1226" i="14"/>
  <c r="J1226" i="14" s="1"/>
  <c r="I1227" i="14"/>
  <c r="J1227" i="14" s="1"/>
  <c r="I1228" i="14"/>
  <c r="J1228" i="14" s="1"/>
  <c r="I1229" i="14"/>
  <c r="J1229" i="14" s="1"/>
  <c r="I1230" i="14"/>
  <c r="J1230" i="14" s="1"/>
  <c r="I1231" i="14"/>
  <c r="J1231" i="14"/>
  <c r="I1232" i="14"/>
  <c r="J1232" i="14" s="1"/>
  <c r="I1233" i="14"/>
  <c r="J1233" i="14"/>
  <c r="I1234" i="14"/>
  <c r="J1234" i="14" s="1"/>
  <c r="I1235" i="14"/>
  <c r="J1235" i="14" s="1"/>
  <c r="I1236" i="14"/>
  <c r="J1236" i="14" s="1"/>
  <c r="I1237" i="14"/>
  <c r="J1237" i="14" s="1"/>
  <c r="I1238" i="14"/>
  <c r="J1238" i="14" s="1"/>
  <c r="I1080" i="15"/>
  <c r="J1080" i="15"/>
  <c r="I1081" i="15"/>
  <c r="J1081" i="15" s="1"/>
  <c r="I1082" i="15"/>
  <c r="J1082" i="15"/>
  <c r="I1083" i="15"/>
  <c r="J1083" i="15" s="1"/>
  <c r="I1084" i="15"/>
  <c r="J1084" i="15" s="1"/>
  <c r="I1085" i="15"/>
  <c r="J1085" i="15" s="1"/>
  <c r="I1086" i="15"/>
  <c r="J1086" i="15" s="1"/>
  <c r="I1087" i="15"/>
  <c r="J1087" i="15" s="1"/>
  <c r="I1088" i="15"/>
  <c r="J1088" i="15"/>
  <c r="I1089" i="15"/>
  <c r="J1089" i="15" s="1"/>
  <c r="I1090" i="15"/>
  <c r="J1090" i="15"/>
  <c r="I1091" i="15"/>
  <c r="J1091" i="15" s="1"/>
  <c r="I1092" i="15"/>
  <c r="J1092" i="15" s="1"/>
  <c r="I1093" i="15"/>
  <c r="J1093" i="15" s="1"/>
  <c r="I1094" i="15"/>
  <c r="J1094" i="15" s="1"/>
  <c r="I1095" i="15"/>
  <c r="J1095" i="15" s="1"/>
  <c r="I1096" i="15"/>
  <c r="J1096" i="15"/>
  <c r="I1097" i="15"/>
  <c r="J1097" i="15" s="1"/>
  <c r="I1098" i="15"/>
  <c r="J1098" i="15"/>
  <c r="I1099" i="15"/>
  <c r="J1099" i="15" s="1"/>
  <c r="I1100" i="15"/>
  <c r="J1100" i="15" s="1"/>
  <c r="I1101" i="15"/>
  <c r="J1101" i="15" s="1"/>
  <c r="I1102" i="15"/>
  <c r="J1102" i="15" s="1"/>
  <c r="I1103" i="15"/>
  <c r="J1103" i="15" s="1"/>
  <c r="I1104" i="15"/>
  <c r="J1104" i="15"/>
  <c r="I1105" i="15"/>
  <c r="J1105" i="15" s="1"/>
  <c r="I1106" i="15"/>
  <c r="J1106" i="15"/>
  <c r="I1107" i="15"/>
  <c r="J1107" i="15" s="1"/>
  <c r="I1108" i="15"/>
  <c r="J1108" i="15"/>
  <c r="I1109" i="15"/>
  <c r="J1109" i="15" s="1"/>
  <c r="I1110" i="15"/>
  <c r="J1110" i="15"/>
  <c r="I1111" i="15"/>
  <c r="J1111" i="15" s="1"/>
  <c r="I1112" i="15"/>
  <c r="J1112" i="15"/>
  <c r="I1113" i="15"/>
  <c r="J1113" i="15" s="1"/>
  <c r="I1114" i="15"/>
  <c r="J1114" i="15"/>
  <c r="I1115" i="15"/>
  <c r="J1115" i="15" s="1"/>
  <c r="I1116" i="15"/>
  <c r="J1116" i="15"/>
  <c r="I1117" i="15"/>
  <c r="J1117" i="15" s="1"/>
  <c r="I1118" i="15"/>
  <c r="J1118" i="15"/>
  <c r="I1119" i="15"/>
  <c r="J1119" i="15" s="1"/>
  <c r="I1120" i="15"/>
  <c r="J1120" i="15"/>
  <c r="I1121" i="15"/>
  <c r="J1121" i="15" s="1"/>
  <c r="I1122" i="15"/>
  <c r="J1122" i="15"/>
  <c r="I1123" i="15"/>
  <c r="J1123" i="15" s="1"/>
  <c r="I1124" i="15"/>
  <c r="J1124" i="15"/>
  <c r="I1125" i="15"/>
  <c r="J1125" i="15" s="1"/>
  <c r="I1126" i="15"/>
  <c r="J1126" i="15"/>
  <c r="I1127" i="15"/>
  <c r="J1127" i="15" s="1"/>
  <c r="I1128" i="15"/>
  <c r="J1128" i="15"/>
  <c r="I1129" i="15"/>
  <c r="J1129" i="15" s="1"/>
  <c r="I1130" i="15"/>
  <c r="J1130" i="15"/>
  <c r="I1131" i="15"/>
  <c r="J1131" i="15" s="1"/>
  <c r="I1132" i="15"/>
  <c r="J1132" i="15"/>
  <c r="I1133" i="15"/>
  <c r="J1133" i="15" s="1"/>
  <c r="I1134" i="15"/>
  <c r="J1134" i="15"/>
  <c r="I1135" i="15"/>
  <c r="J1135" i="15" s="1"/>
  <c r="I1136" i="15"/>
  <c r="J1136" i="15"/>
  <c r="I1137" i="15"/>
  <c r="J1137" i="15" s="1"/>
  <c r="I1138" i="15"/>
  <c r="J1138" i="15"/>
  <c r="I1139" i="15"/>
  <c r="J1139" i="15" s="1"/>
  <c r="I1140" i="15"/>
  <c r="J1140" i="15"/>
  <c r="I1141" i="15"/>
  <c r="J1141" i="15" s="1"/>
  <c r="I1142" i="15"/>
  <c r="J1142" i="15"/>
  <c r="I1143" i="15"/>
  <c r="J1143" i="15" s="1"/>
  <c r="I1144" i="15"/>
  <c r="J1144" i="15"/>
  <c r="I1145" i="15"/>
  <c r="J1145" i="15" s="1"/>
  <c r="I1146" i="15"/>
  <c r="J1146" i="15"/>
  <c r="I1147" i="15"/>
  <c r="J1147" i="15" s="1"/>
  <c r="I1148" i="15"/>
  <c r="J1148" i="15"/>
  <c r="I1149" i="15"/>
  <c r="J1149" i="15" s="1"/>
  <c r="I1150" i="15"/>
  <c r="J1150" i="15"/>
  <c r="I1151" i="15"/>
  <c r="J1151" i="15" s="1"/>
  <c r="I1152" i="15"/>
  <c r="J1152" i="15"/>
  <c r="I1153" i="15"/>
  <c r="J1153" i="15" s="1"/>
  <c r="I1154" i="15"/>
  <c r="J1154" i="15"/>
  <c r="I1155" i="15"/>
  <c r="J1155" i="15" s="1"/>
  <c r="I1156" i="15"/>
  <c r="J1156" i="15"/>
  <c r="I1157" i="15"/>
  <c r="J1157" i="15" s="1"/>
  <c r="I1158" i="15"/>
  <c r="J1158" i="15"/>
  <c r="I1159" i="15"/>
  <c r="J1159" i="15" s="1"/>
  <c r="I1160" i="15"/>
  <c r="J1160" i="15"/>
  <c r="I1161" i="15"/>
  <c r="J1161" i="15" s="1"/>
  <c r="I1162" i="15"/>
  <c r="J1162" i="15"/>
  <c r="I1163" i="15"/>
  <c r="J1163" i="15" s="1"/>
  <c r="I1164" i="15"/>
  <c r="J1164" i="15"/>
  <c r="I1165" i="15"/>
  <c r="J1165" i="15" s="1"/>
  <c r="I1166" i="15"/>
  <c r="J1166" i="15"/>
  <c r="I1167" i="15"/>
  <c r="J1167" i="15" s="1"/>
  <c r="I1168" i="15"/>
  <c r="J1168" i="15"/>
  <c r="I1169" i="15"/>
  <c r="J1169" i="15" s="1"/>
  <c r="I1170" i="15"/>
  <c r="J1170" i="15"/>
  <c r="I1171" i="15"/>
  <c r="J1171" i="15" s="1"/>
  <c r="I1172" i="15"/>
  <c r="J1172" i="15"/>
  <c r="I1173" i="15"/>
  <c r="J1173" i="15" s="1"/>
  <c r="I1174" i="15"/>
  <c r="J1174" i="15"/>
  <c r="I1175" i="15"/>
  <c r="J1175" i="15" s="1"/>
  <c r="I1176" i="15"/>
  <c r="J1176" i="15"/>
  <c r="I1177" i="15"/>
  <c r="J1177" i="15" s="1"/>
  <c r="I1178" i="15"/>
  <c r="J1178" i="15"/>
  <c r="I1179" i="15"/>
  <c r="J1179" i="15" s="1"/>
  <c r="I1180" i="15"/>
  <c r="J1180" i="15"/>
  <c r="I1181" i="15"/>
  <c r="J1181" i="15" s="1"/>
  <c r="I1182" i="15"/>
  <c r="J1182" i="15"/>
  <c r="I1183" i="15"/>
  <c r="J1183" i="15" s="1"/>
  <c r="I1184" i="15"/>
  <c r="J1184" i="15"/>
  <c r="I1185" i="15"/>
  <c r="J1185" i="15" s="1"/>
  <c r="I1186" i="15"/>
  <c r="J1186" i="15"/>
  <c r="I1187" i="15"/>
  <c r="J1187" i="15" s="1"/>
  <c r="I1188" i="15"/>
  <c r="J1188" i="15"/>
  <c r="I1189" i="15"/>
  <c r="J1189" i="15" s="1"/>
  <c r="I1190" i="15"/>
  <c r="J1190" i="15"/>
  <c r="I1191" i="15"/>
  <c r="J1191" i="15" s="1"/>
  <c r="I1192" i="15"/>
  <c r="J1192" i="15"/>
  <c r="I1193" i="15"/>
  <c r="J1193" i="15" s="1"/>
  <c r="I1194" i="15"/>
  <c r="J1194" i="15"/>
  <c r="I1195" i="15"/>
  <c r="J1195" i="15" s="1"/>
  <c r="I1196" i="15"/>
  <c r="J1196" i="15"/>
  <c r="I1197" i="15"/>
  <c r="J1197" i="15" s="1"/>
  <c r="I1198" i="15"/>
  <c r="J1198" i="15"/>
  <c r="I1199" i="15"/>
  <c r="J1199" i="15" s="1"/>
  <c r="I1200" i="15"/>
  <c r="J1200" i="15"/>
  <c r="I1201" i="15"/>
  <c r="J1201" i="15" s="1"/>
  <c r="I1202" i="15"/>
  <c r="J1202" i="15"/>
  <c r="I1203" i="15"/>
  <c r="J1203" i="15" s="1"/>
  <c r="I1204" i="15"/>
  <c r="J1204" i="15"/>
  <c r="I1205" i="15"/>
  <c r="J1205" i="15" s="1"/>
  <c r="I1206" i="15"/>
  <c r="J1206" i="15"/>
  <c r="I1207" i="15"/>
  <c r="J1207" i="15" s="1"/>
  <c r="I1208" i="15"/>
  <c r="J1208" i="15"/>
  <c r="I1209" i="15"/>
  <c r="J1209" i="15" s="1"/>
  <c r="I1210" i="15"/>
  <c r="J1210" i="15"/>
  <c r="I1211" i="15"/>
  <c r="J1211" i="15" s="1"/>
  <c r="I1212" i="15"/>
  <c r="J1212" i="15"/>
  <c r="I1213" i="15"/>
  <c r="J1213" i="15" s="1"/>
  <c r="I1214" i="15"/>
  <c r="J1214" i="15"/>
  <c r="I1215" i="15"/>
  <c r="J1215" i="15" s="1"/>
  <c r="I1216" i="15"/>
  <c r="J1216" i="15"/>
  <c r="I1217" i="15"/>
  <c r="J1217" i="15" s="1"/>
  <c r="I1218" i="15"/>
  <c r="J1218" i="15"/>
  <c r="I1219" i="15"/>
  <c r="J1219" i="15" s="1"/>
  <c r="I1220" i="15"/>
  <c r="J1220" i="15"/>
  <c r="I1221" i="15"/>
  <c r="J1221" i="15" s="1"/>
  <c r="I1222" i="15"/>
  <c r="J1222" i="15"/>
  <c r="I1223" i="15"/>
  <c r="J1223" i="15" s="1"/>
  <c r="I1224" i="15"/>
  <c r="J1224" i="15"/>
  <c r="I1225" i="15"/>
  <c r="J1225" i="15" s="1"/>
  <c r="I1226" i="15"/>
  <c r="J1226" i="15"/>
  <c r="I1227" i="15"/>
  <c r="J1227" i="15" s="1"/>
  <c r="I1228" i="15"/>
  <c r="J1228" i="15"/>
  <c r="I1229" i="15"/>
  <c r="J1229" i="15" s="1"/>
  <c r="I1230" i="15"/>
  <c r="J1230" i="15"/>
  <c r="I1231" i="15"/>
  <c r="J1231" i="15" s="1"/>
  <c r="I1232" i="15"/>
  <c r="J1232" i="15"/>
  <c r="I1233" i="15"/>
  <c r="J1233" i="15" s="1"/>
  <c r="I1234" i="15"/>
  <c r="J1234" i="15"/>
  <c r="I1235" i="15"/>
  <c r="J1235" i="15" s="1"/>
  <c r="I1236" i="15"/>
  <c r="J1236" i="15"/>
  <c r="I1237" i="15"/>
  <c r="J1237" i="15" s="1"/>
  <c r="I1238" i="15"/>
  <c r="J1238" i="15"/>
  <c r="I1080" i="16"/>
  <c r="J1080" i="16" s="1"/>
  <c r="I1081" i="16"/>
  <c r="J1081" i="16"/>
  <c r="I1082" i="16"/>
  <c r="J1082" i="16" s="1"/>
  <c r="I1083" i="16"/>
  <c r="J1083" i="16"/>
  <c r="I1084" i="16"/>
  <c r="J1084" i="16" s="1"/>
  <c r="I1085" i="16"/>
  <c r="J1085" i="16"/>
  <c r="I1086" i="16"/>
  <c r="J1086" i="16" s="1"/>
  <c r="I1087" i="16"/>
  <c r="J1087" i="16"/>
  <c r="I1088" i="16"/>
  <c r="J1088" i="16" s="1"/>
  <c r="I1089" i="16"/>
  <c r="J1089" i="16"/>
  <c r="I1090" i="16"/>
  <c r="J1090" i="16" s="1"/>
  <c r="I1091" i="16"/>
  <c r="J1091" i="16"/>
  <c r="I1092" i="16"/>
  <c r="J1092" i="16" s="1"/>
  <c r="I1093" i="16"/>
  <c r="J1093" i="16"/>
  <c r="I1094" i="16"/>
  <c r="J1094" i="16" s="1"/>
  <c r="I1095" i="16"/>
  <c r="J1095" i="16"/>
  <c r="I1096" i="16"/>
  <c r="J1096" i="16" s="1"/>
  <c r="I1097" i="16"/>
  <c r="J1097" i="16"/>
  <c r="I1098" i="16"/>
  <c r="J1098" i="16" s="1"/>
  <c r="I1099" i="16"/>
  <c r="J1099" i="16"/>
  <c r="I1100" i="16"/>
  <c r="J1100" i="16" s="1"/>
  <c r="I1101" i="16"/>
  <c r="J1101" i="16"/>
  <c r="I1102" i="16"/>
  <c r="J1102" i="16" s="1"/>
  <c r="I1103" i="16"/>
  <c r="J1103" i="16"/>
  <c r="I1104" i="16"/>
  <c r="J1104" i="16" s="1"/>
  <c r="I1105" i="16"/>
  <c r="J1105" i="16"/>
  <c r="I1106" i="16"/>
  <c r="J1106" i="16" s="1"/>
  <c r="I1107" i="16"/>
  <c r="J1107" i="16"/>
  <c r="I1108" i="16"/>
  <c r="J1108" i="16" s="1"/>
  <c r="I1109" i="16"/>
  <c r="J1109" i="16"/>
  <c r="I1110" i="16"/>
  <c r="J1110" i="16" s="1"/>
  <c r="I1111" i="16"/>
  <c r="J1111" i="16"/>
  <c r="I1112" i="16"/>
  <c r="J1112" i="16" s="1"/>
  <c r="I1113" i="16"/>
  <c r="J1113" i="16"/>
  <c r="I1114" i="16"/>
  <c r="J1114" i="16" s="1"/>
  <c r="I1115" i="16"/>
  <c r="J1115" i="16"/>
  <c r="I1116" i="16"/>
  <c r="J1116" i="16" s="1"/>
  <c r="I1117" i="16"/>
  <c r="J1117" i="16"/>
  <c r="I1118" i="16"/>
  <c r="J1118" i="16" s="1"/>
  <c r="I1119" i="16"/>
  <c r="J1119" i="16"/>
  <c r="I1120" i="16"/>
  <c r="J1120" i="16" s="1"/>
  <c r="I1121" i="16"/>
  <c r="J1121" i="16"/>
  <c r="I1122" i="16"/>
  <c r="J1122" i="16" s="1"/>
  <c r="I1123" i="16"/>
  <c r="J1123" i="16"/>
  <c r="I1124" i="16"/>
  <c r="J1124" i="16" s="1"/>
  <c r="I1125" i="16"/>
  <c r="J1125" i="16"/>
  <c r="I1126" i="16"/>
  <c r="J1126" i="16" s="1"/>
  <c r="I1127" i="16"/>
  <c r="J1127" i="16"/>
  <c r="I1128" i="16"/>
  <c r="J1128" i="16" s="1"/>
  <c r="I1129" i="16"/>
  <c r="J1129" i="16"/>
  <c r="I1130" i="16"/>
  <c r="J1130" i="16" s="1"/>
  <c r="I1131" i="16"/>
  <c r="J1131" i="16"/>
  <c r="I1132" i="16"/>
  <c r="J1132" i="16" s="1"/>
  <c r="I1133" i="16"/>
  <c r="J1133" i="16"/>
  <c r="I1134" i="16"/>
  <c r="J1134" i="16" s="1"/>
  <c r="I1135" i="16"/>
  <c r="J1135" i="16"/>
  <c r="I1136" i="16"/>
  <c r="J1136" i="16" s="1"/>
  <c r="I1137" i="16"/>
  <c r="J1137" i="16"/>
  <c r="I1138" i="16"/>
  <c r="J1138" i="16" s="1"/>
  <c r="I1139" i="16"/>
  <c r="J1139" i="16"/>
  <c r="I1140" i="16"/>
  <c r="J1140" i="16" s="1"/>
  <c r="I1141" i="16"/>
  <c r="J1141" i="16"/>
  <c r="I1142" i="16"/>
  <c r="J1142" i="16" s="1"/>
  <c r="I1143" i="16"/>
  <c r="J1143" i="16"/>
  <c r="I1144" i="16"/>
  <c r="J1144" i="16" s="1"/>
  <c r="I1145" i="16"/>
  <c r="J1145" i="16"/>
  <c r="I1146" i="16"/>
  <c r="J1146" i="16" s="1"/>
  <c r="I1147" i="16"/>
  <c r="J1147" i="16"/>
  <c r="I1148" i="16"/>
  <c r="J1148" i="16" s="1"/>
  <c r="I1149" i="16"/>
  <c r="J1149" i="16"/>
  <c r="I1150" i="16"/>
  <c r="J1150" i="16" s="1"/>
  <c r="I1151" i="16"/>
  <c r="J1151" i="16"/>
  <c r="I1152" i="16"/>
  <c r="J1152" i="16" s="1"/>
  <c r="I1153" i="16"/>
  <c r="J1153" i="16"/>
  <c r="I1154" i="16"/>
  <c r="J1154" i="16" s="1"/>
  <c r="I1155" i="16"/>
  <c r="J1155" i="16"/>
  <c r="I1156" i="16"/>
  <c r="J1156" i="16" s="1"/>
  <c r="I1157" i="16"/>
  <c r="J1157" i="16"/>
  <c r="I1158" i="16"/>
  <c r="J1158" i="16" s="1"/>
  <c r="I1159" i="16"/>
  <c r="J1159" i="16"/>
  <c r="I1160" i="16"/>
  <c r="J1160" i="16" s="1"/>
  <c r="I1161" i="16"/>
  <c r="J1161" i="16"/>
  <c r="I1162" i="16"/>
  <c r="J1162" i="16" s="1"/>
  <c r="I1163" i="16"/>
  <c r="J1163" i="16"/>
  <c r="I1164" i="16"/>
  <c r="J1164" i="16" s="1"/>
  <c r="I1165" i="16"/>
  <c r="J1165" i="16"/>
  <c r="I1166" i="16"/>
  <c r="J1166" i="16" s="1"/>
  <c r="I1167" i="16"/>
  <c r="J1167" i="16"/>
  <c r="I1168" i="16"/>
  <c r="J1168" i="16" s="1"/>
  <c r="I1169" i="16"/>
  <c r="J1169" i="16"/>
  <c r="I1170" i="16"/>
  <c r="J1170" i="16" s="1"/>
  <c r="I1171" i="16"/>
  <c r="J1171" i="16"/>
  <c r="I1172" i="16"/>
  <c r="J1172" i="16" s="1"/>
  <c r="I1173" i="16"/>
  <c r="J1173" i="16"/>
  <c r="I1174" i="16"/>
  <c r="J1174" i="16" s="1"/>
  <c r="I1175" i="16"/>
  <c r="J1175" i="16"/>
  <c r="I1176" i="16"/>
  <c r="J1176" i="16" s="1"/>
  <c r="I1177" i="16"/>
  <c r="J1177" i="16"/>
  <c r="I1178" i="16"/>
  <c r="J1178" i="16" s="1"/>
  <c r="I1179" i="16"/>
  <c r="J1179" i="16"/>
  <c r="I1180" i="16"/>
  <c r="J1180" i="16" s="1"/>
  <c r="I1181" i="16"/>
  <c r="J1181" i="16"/>
  <c r="I1182" i="16"/>
  <c r="J1182" i="16" s="1"/>
  <c r="I1183" i="16"/>
  <c r="J1183" i="16"/>
  <c r="I1184" i="16"/>
  <c r="J1184" i="16" s="1"/>
  <c r="I1185" i="16"/>
  <c r="J1185" i="16"/>
  <c r="I1186" i="16"/>
  <c r="J1186" i="16" s="1"/>
  <c r="I1187" i="16"/>
  <c r="J1187" i="16"/>
  <c r="I1188" i="16"/>
  <c r="J1188" i="16" s="1"/>
  <c r="I1189" i="16"/>
  <c r="J1189" i="16"/>
  <c r="I1190" i="16"/>
  <c r="J1190" i="16" s="1"/>
  <c r="I1191" i="16"/>
  <c r="J1191" i="16"/>
  <c r="I1192" i="16"/>
  <c r="J1192" i="16" s="1"/>
  <c r="I1193" i="16"/>
  <c r="J1193" i="16"/>
  <c r="I1194" i="16"/>
  <c r="J1194" i="16" s="1"/>
  <c r="I1195" i="16"/>
  <c r="J1195" i="16"/>
  <c r="I1196" i="16"/>
  <c r="J1196" i="16" s="1"/>
  <c r="I1197" i="16"/>
  <c r="J1197" i="16"/>
  <c r="I1198" i="16"/>
  <c r="J1198" i="16" s="1"/>
  <c r="I1199" i="16"/>
  <c r="J1199" i="16"/>
  <c r="I1200" i="16"/>
  <c r="J1200" i="16" s="1"/>
  <c r="I1201" i="16"/>
  <c r="J1201" i="16"/>
  <c r="I1202" i="16"/>
  <c r="J1202" i="16" s="1"/>
  <c r="I1203" i="16"/>
  <c r="J1203" i="16"/>
  <c r="I1204" i="16"/>
  <c r="J1204" i="16" s="1"/>
  <c r="I1205" i="16"/>
  <c r="J1205" i="16"/>
  <c r="I1206" i="16"/>
  <c r="J1206" i="16" s="1"/>
  <c r="I1207" i="16"/>
  <c r="J1207" i="16"/>
  <c r="I1208" i="16"/>
  <c r="J1208" i="16" s="1"/>
  <c r="I1209" i="16"/>
  <c r="J1209" i="16"/>
  <c r="I1210" i="16"/>
  <c r="J1210" i="16" s="1"/>
  <c r="I1211" i="16"/>
  <c r="J1211" i="16"/>
  <c r="I1212" i="16"/>
  <c r="J1212" i="16" s="1"/>
  <c r="I1213" i="16"/>
  <c r="J1213" i="16"/>
  <c r="I1214" i="16"/>
  <c r="J1214" i="16" s="1"/>
  <c r="I1215" i="16"/>
  <c r="J1215" i="16"/>
  <c r="I1216" i="16"/>
  <c r="J1216" i="16" s="1"/>
  <c r="I1217" i="16"/>
  <c r="J1217" i="16"/>
  <c r="I1218" i="16"/>
  <c r="J1218" i="16" s="1"/>
  <c r="I1219" i="16"/>
  <c r="J1219" i="16"/>
  <c r="I1220" i="16"/>
  <c r="J1220" i="16" s="1"/>
  <c r="I1221" i="16"/>
  <c r="J1221" i="16"/>
  <c r="I1222" i="16"/>
  <c r="J1222" i="16" s="1"/>
  <c r="I1223" i="16"/>
  <c r="J1223" i="16"/>
  <c r="I1224" i="16"/>
  <c r="J1224" i="16" s="1"/>
  <c r="I1225" i="16"/>
  <c r="J1225" i="16"/>
  <c r="I1226" i="16"/>
  <c r="J1226" i="16" s="1"/>
  <c r="I1227" i="16"/>
  <c r="J1227" i="16"/>
  <c r="I1228" i="16"/>
  <c r="J1228" i="16" s="1"/>
  <c r="I1229" i="16"/>
  <c r="J1229" i="16"/>
  <c r="I1230" i="16"/>
  <c r="J1230" i="16" s="1"/>
  <c r="I1231" i="16"/>
  <c r="J1231" i="16"/>
  <c r="I1232" i="16"/>
  <c r="J1232" i="16" s="1"/>
  <c r="I1233" i="16"/>
  <c r="J1233" i="16"/>
  <c r="I1234" i="16"/>
  <c r="J1234" i="16" s="1"/>
  <c r="I1235" i="16"/>
  <c r="J1235" i="16"/>
  <c r="I1236" i="16"/>
  <c r="J1236" i="16" s="1"/>
  <c r="I1237" i="16"/>
  <c r="J1237" i="16"/>
  <c r="I1238" i="16"/>
  <c r="J1238" i="16" s="1"/>
  <c r="A1080" i="18"/>
  <c r="A1081" i="18"/>
  <c r="A1082" i="18"/>
  <c r="A1083" i="18"/>
  <c r="A1084" i="18"/>
  <c r="A1085" i="18"/>
  <c r="A1086" i="18"/>
  <c r="A1087" i="18"/>
  <c r="A1088" i="18"/>
  <c r="A1089" i="18"/>
  <c r="A1090" i="18"/>
  <c r="A1091" i="18"/>
  <c r="A1092" i="18"/>
  <c r="A1093" i="18"/>
  <c r="A1094" i="18"/>
  <c r="A1095" i="18"/>
  <c r="A1096" i="18"/>
  <c r="A1097" i="18"/>
  <c r="A1098" i="18"/>
  <c r="A1099" i="18"/>
  <c r="A1100" i="18"/>
  <c r="A1101" i="18"/>
  <c r="A1102" i="18"/>
  <c r="A1103" i="18"/>
  <c r="A1104" i="18"/>
  <c r="A1105" i="18"/>
  <c r="A1106" i="18"/>
  <c r="A1107" i="18"/>
  <c r="A1108" i="18"/>
  <c r="A1109" i="18"/>
  <c r="A1110" i="18"/>
  <c r="A1111" i="18"/>
  <c r="A1112" i="18"/>
  <c r="A1113" i="18"/>
  <c r="A1114" i="18"/>
  <c r="A1115" i="18"/>
  <c r="A1116" i="18"/>
  <c r="A1117" i="18"/>
  <c r="A1118" i="18"/>
  <c r="A1119" i="18"/>
  <c r="A1120" i="18"/>
  <c r="A1121" i="18"/>
  <c r="A1122" i="18"/>
  <c r="A1123" i="18"/>
  <c r="A1124" i="18"/>
  <c r="A1125" i="18"/>
  <c r="A1126" i="18"/>
  <c r="A1127" i="18"/>
  <c r="A1128" i="18"/>
  <c r="A1129" i="18"/>
  <c r="A1130" i="18"/>
  <c r="A1131" i="18"/>
  <c r="A1132" i="18"/>
  <c r="A1133" i="18"/>
  <c r="A1134" i="18"/>
  <c r="A1135" i="18"/>
  <c r="A1136" i="18"/>
  <c r="A1137" i="18"/>
  <c r="A1138" i="18"/>
  <c r="A1139" i="18"/>
  <c r="A1140" i="18"/>
  <c r="A1141" i="18"/>
  <c r="A1142" i="18"/>
  <c r="A1143" i="18"/>
  <c r="A1144" i="18"/>
  <c r="A1145" i="18"/>
  <c r="A1146" i="18"/>
  <c r="A1147" i="18"/>
  <c r="A1148" i="18"/>
  <c r="A1149" i="18"/>
  <c r="A1150" i="18"/>
  <c r="A1151" i="18"/>
  <c r="A1152" i="18"/>
  <c r="A1153" i="18"/>
  <c r="A1154" i="18"/>
  <c r="A1155" i="18"/>
  <c r="A1156" i="18"/>
  <c r="A1157" i="18"/>
  <c r="A1158" i="18"/>
  <c r="A1159" i="18"/>
  <c r="A1160" i="18"/>
  <c r="A1161" i="18"/>
  <c r="A1162" i="18"/>
  <c r="A1163" i="18"/>
  <c r="A1164" i="18"/>
  <c r="A1165" i="18"/>
  <c r="A1166" i="18"/>
  <c r="A1167" i="18"/>
  <c r="A1168" i="18"/>
  <c r="A1169" i="18"/>
  <c r="A1170" i="18"/>
  <c r="A1171" i="18"/>
  <c r="A1172" i="18"/>
  <c r="A1173" i="18"/>
  <c r="A1174" i="18"/>
  <c r="A1175" i="18"/>
  <c r="A1176" i="18"/>
  <c r="A1177" i="18"/>
  <c r="A1178" i="18"/>
  <c r="A1179" i="18"/>
  <c r="A1180" i="18"/>
  <c r="A1181" i="18"/>
  <c r="A1182" i="18"/>
  <c r="A1183" i="18"/>
  <c r="A1184" i="18"/>
  <c r="A1185" i="18"/>
  <c r="A1186" i="18"/>
  <c r="A1187" i="18"/>
  <c r="A1188" i="18"/>
  <c r="A1189" i="18"/>
  <c r="A1190" i="18"/>
  <c r="A1191" i="18"/>
  <c r="A1192" i="18"/>
  <c r="A1193" i="18"/>
  <c r="A1194" i="18"/>
  <c r="A1195" i="18"/>
  <c r="A1196" i="18"/>
  <c r="A1197" i="18"/>
  <c r="A1198" i="18"/>
  <c r="A1199" i="18"/>
  <c r="A1200" i="18"/>
  <c r="A1201" i="18"/>
  <c r="A1202" i="18"/>
  <c r="A1203" i="18"/>
  <c r="A1204" i="18"/>
  <c r="A1205" i="18"/>
  <c r="A1206" i="18"/>
  <c r="A1207" i="18"/>
  <c r="A1208" i="18"/>
  <c r="A1209" i="18"/>
  <c r="A1210" i="18"/>
  <c r="A1211" i="18"/>
  <c r="A1212" i="18"/>
  <c r="A1213" i="18"/>
  <c r="A1214" i="18"/>
  <c r="A1215" i="18"/>
  <c r="A1216" i="18"/>
  <c r="A1217" i="18"/>
  <c r="A1218" i="18"/>
  <c r="A1219" i="18"/>
  <c r="A1220" i="18"/>
  <c r="A1221" i="18"/>
  <c r="A1222" i="18"/>
  <c r="A1223" i="18"/>
  <c r="A1224" i="18"/>
  <c r="A1225" i="18"/>
  <c r="A1226" i="18"/>
  <c r="A1227" i="18"/>
  <c r="A1228" i="18"/>
  <c r="A1229" i="18"/>
  <c r="A1230" i="18"/>
  <c r="A1231" i="18"/>
  <c r="A1232" i="18"/>
  <c r="A1233" i="18"/>
  <c r="A1234" i="18"/>
  <c r="A1235" i="18"/>
  <c r="A1236" i="18"/>
  <c r="A1237" i="18"/>
  <c r="A1238" i="18"/>
  <c r="A1080" i="17"/>
  <c r="A1081" i="17"/>
  <c r="A1082" i="17"/>
  <c r="A1083" i="17"/>
  <c r="A1084" i="17"/>
  <c r="A1085" i="17"/>
  <c r="A1086" i="17"/>
  <c r="A1087" i="17"/>
  <c r="A1088" i="17"/>
  <c r="A1089" i="17"/>
  <c r="A1090" i="17"/>
  <c r="A1091" i="17"/>
  <c r="A1092" i="17"/>
  <c r="A1093" i="17"/>
  <c r="A1094" i="17"/>
  <c r="A1095" i="17"/>
  <c r="A1096" i="17"/>
  <c r="A1097" i="17"/>
  <c r="A1098" i="17"/>
  <c r="A1099" i="17"/>
  <c r="A1100" i="17"/>
  <c r="A1101" i="17"/>
  <c r="A1102" i="17"/>
  <c r="A1103" i="17"/>
  <c r="A1104" i="17"/>
  <c r="A1105" i="17"/>
  <c r="A1106" i="17"/>
  <c r="A1107" i="17"/>
  <c r="A1108" i="17"/>
  <c r="A1109" i="17"/>
  <c r="A1110" i="17"/>
  <c r="A1111" i="17"/>
  <c r="A1112" i="17"/>
  <c r="A1113" i="17"/>
  <c r="A1114" i="17"/>
  <c r="A1115" i="17"/>
  <c r="A1116" i="17"/>
  <c r="A1117" i="17"/>
  <c r="A1118" i="17"/>
  <c r="A1119" i="17"/>
  <c r="A1120" i="17"/>
  <c r="A1121" i="17"/>
  <c r="A1122" i="17"/>
  <c r="A1123" i="17"/>
  <c r="A1124" i="17"/>
  <c r="A1125" i="17"/>
  <c r="A1126" i="17"/>
  <c r="A1127" i="17"/>
  <c r="A1128" i="17"/>
  <c r="A1129" i="17"/>
  <c r="A1130" i="17"/>
  <c r="A1131" i="17"/>
  <c r="A1132" i="17"/>
  <c r="A1133" i="17"/>
  <c r="A1134" i="17"/>
  <c r="A1135" i="17"/>
  <c r="A1136" i="17"/>
  <c r="A1137" i="17"/>
  <c r="A1138" i="17"/>
  <c r="A1139" i="17"/>
  <c r="A1140" i="17"/>
  <c r="A1141" i="17"/>
  <c r="A1142" i="17"/>
  <c r="A1143" i="17"/>
  <c r="A1144" i="17"/>
  <c r="A1145" i="17"/>
  <c r="A1146" i="17"/>
  <c r="A1147" i="17"/>
  <c r="A1148" i="17"/>
  <c r="A1149" i="17"/>
  <c r="A1150" i="17"/>
  <c r="A1151" i="17"/>
  <c r="A1152" i="17"/>
  <c r="A1153" i="17"/>
  <c r="A1154" i="17"/>
  <c r="A1155" i="17"/>
  <c r="A1156" i="17"/>
  <c r="A1157" i="17"/>
  <c r="A1158" i="17"/>
  <c r="A1159" i="17"/>
  <c r="A1160" i="17"/>
  <c r="A1161" i="17"/>
  <c r="A1162" i="17"/>
  <c r="A1163" i="17"/>
  <c r="A1164" i="17"/>
  <c r="A1165" i="17"/>
  <c r="A1166" i="17"/>
  <c r="A1167" i="17"/>
  <c r="A1168" i="17"/>
  <c r="A1169" i="17"/>
  <c r="A1170" i="17"/>
  <c r="A1171" i="17"/>
  <c r="A1172" i="17"/>
  <c r="A1173" i="17"/>
  <c r="A1174" i="17"/>
  <c r="A1175" i="17"/>
  <c r="A1176" i="17"/>
  <c r="A1177" i="17"/>
  <c r="A1178" i="17"/>
  <c r="A1179" i="17"/>
  <c r="A1180" i="17"/>
  <c r="A1181" i="17"/>
  <c r="A1182" i="17"/>
  <c r="A1183" i="17"/>
  <c r="A1184" i="17"/>
  <c r="A1185" i="17"/>
  <c r="A1186" i="17"/>
  <c r="A1187" i="17"/>
  <c r="A1188" i="17"/>
  <c r="A1189" i="17"/>
  <c r="A1190" i="17"/>
  <c r="A1191" i="17"/>
  <c r="A1192" i="17"/>
  <c r="A1193" i="17"/>
  <c r="A1194" i="17"/>
  <c r="A1195" i="17"/>
  <c r="A1196" i="17"/>
  <c r="A1197" i="17"/>
  <c r="A1198" i="17"/>
  <c r="A1199" i="17"/>
  <c r="A1200" i="17"/>
  <c r="A1201" i="17"/>
  <c r="A1202" i="17"/>
  <c r="A1203" i="17"/>
  <c r="A1204" i="17"/>
  <c r="A1205" i="17"/>
  <c r="A1206" i="17"/>
  <c r="A1207" i="17"/>
  <c r="A1208" i="17"/>
  <c r="A1209" i="17"/>
  <c r="A1210" i="17"/>
  <c r="A1211" i="17"/>
  <c r="A1212" i="17"/>
  <c r="A1213" i="17"/>
  <c r="A1214" i="17"/>
  <c r="A1215" i="17"/>
  <c r="A1216" i="17"/>
  <c r="A1217" i="17"/>
  <c r="A1218" i="17"/>
  <c r="A1219" i="17"/>
  <c r="A1220" i="17"/>
  <c r="A1221" i="17"/>
  <c r="A1222" i="17"/>
  <c r="A1223" i="17"/>
  <c r="A1224" i="17"/>
  <c r="A1225" i="17"/>
  <c r="A1226" i="17"/>
  <c r="A1227" i="17"/>
  <c r="A1228" i="17"/>
  <c r="A1229" i="17"/>
  <c r="A1230" i="17"/>
  <c r="A1231" i="17"/>
  <c r="A1232" i="17"/>
  <c r="A1233" i="17"/>
  <c r="A1234" i="17"/>
  <c r="A1235" i="17"/>
  <c r="A1236" i="17"/>
  <c r="A1237" i="17"/>
  <c r="A1238" i="17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080" i="16"/>
  <c r="A1081" i="16"/>
  <c r="A1082" i="16"/>
  <c r="A1083" i="16"/>
  <c r="A1084" i="16"/>
  <c r="A1085" i="16"/>
  <c r="A1086" i="16"/>
  <c r="A1087" i="16"/>
  <c r="A1088" i="16"/>
  <c r="A1089" i="16"/>
  <c r="A1090" i="16"/>
  <c r="A1091" i="16"/>
  <c r="A1092" i="16"/>
  <c r="A1093" i="16"/>
  <c r="A1094" i="16"/>
  <c r="A1095" i="16"/>
  <c r="A1096" i="16"/>
  <c r="A1097" i="16"/>
  <c r="A1098" i="16"/>
  <c r="A1099" i="16"/>
  <c r="A1100" i="16"/>
  <c r="A1101" i="16"/>
  <c r="A1102" i="16"/>
  <c r="A1103" i="16"/>
  <c r="A1104" i="16"/>
  <c r="A1105" i="16"/>
  <c r="A1106" i="16"/>
  <c r="A1107" i="16"/>
  <c r="A1108" i="16"/>
  <c r="A1109" i="16"/>
  <c r="A1110" i="16"/>
  <c r="A1111" i="16"/>
  <c r="A1112" i="16"/>
  <c r="A1113" i="16"/>
  <c r="A1114" i="16"/>
  <c r="A1115" i="16"/>
  <c r="A1116" i="16"/>
  <c r="A1117" i="16"/>
  <c r="A1118" i="16"/>
  <c r="A1119" i="16"/>
  <c r="A1120" i="16"/>
  <c r="A1121" i="16"/>
  <c r="A1122" i="16"/>
  <c r="A1123" i="16"/>
  <c r="A1124" i="16"/>
  <c r="A1125" i="16"/>
  <c r="A1126" i="16"/>
  <c r="A1127" i="16"/>
  <c r="A1128" i="16"/>
  <c r="A1129" i="16"/>
  <c r="A1130" i="16"/>
  <c r="A1131" i="16"/>
  <c r="A1132" i="16"/>
  <c r="A1133" i="16"/>
  <c r="A1134" i="16"/>
  <c r="A1135" i="16"/>
  <c r="A1136" i="16"/>
  <c r="A1137" i="16"/>
  <c r="A1138" i="16"/>
  <c r="A1139" i="16"/>
  <c r="A1140" i="16"/>
  <c r="A1141" i="16"/>
  <c r="A1142" i="16"/>
  <c r="A1143" i="16"/>
  <c r="A1144" i="16"/>
  <c r="A1145" i="16"/>
  <c r="A1146" i="16"/>
  <c r="A1147" i="16"/>
  <c r="A1148" i="16"/>
  <c r="A1149" i="16"/>
  <c r="A1150" i="16"/>
  <c r="A1151" i="16"/>
  <c r="A1152" i="16"/>
  <c r="A1153" i="16"/>
  <c r="A1154" i="16"/>
  <c r="A1155" i="16"/>
  <c r="A1156" i="16"/>
  <c r="A1157" i="16"/>
  <c r="A1158" i="16"/>
  <c r="A1159" i="16"/>
  <c r="A1160" i="16"/>
  <c r="A1161" i="16"/>
  <c r="A1162" i="16"/>
  <c r="A1163" i="16"/>
  <c r="A1164" i="16"/>
  <c r="A1165" i="16"/>
  <c r="A1166" i="16"/>
  <c r="A1167" i="16"/>
  <c r="A1168" i="16"/>
  <c r="A1169" i="16"/>
  <c r="A1170" i="16"/>
  <c r="A1171" i="16"/>
  <c r="A1172" i="16"/>
  <c r="A1173" i="16"/>
  <c r="A1174" i="16"/>
  <c r="A1175" i="16"/>
  <c r="A1176" i="16"/>
  <c r="A1177" i="16"/>
  <c r="A1178" i="16"/>
  <c r="A1179" i="16"/>
  <c r="A1180" i="16"/>
  <c r="A1181" i="16"/>
  <c r="A1182" i="16"/>
  <c r="A1183" i="16"/>
  <c r="A1184" i="16"/>
  <c r="A1185" i="16"/>
  <c r="A1186" i="16"/>
  <c r="A1187" i="16"/>
  <c r="A1188" i="16"/>
  <c r="A1189" i="16"/>
  <c r="A1190" i="16"/>
  <c r="A1191" i="16"/>
  <c r="A1192" i="16"/>
  <c r="A1193" i="16"/>
  <c r="A1194" i="16"/>
  <c r="A1195" i="16"/>
  <c r="A1196" i="16"/>
  <c r="A1197" i="16"/>
  <c r="A1198" i="16"/>
  <c r="A1199" i="16"/>
  <c r="A1200" i="16"/>
  <c r="A1201" i="16"/>
  <c r="A1202" i="16"/>
  <c r="A1203" i="16"/>
  <c r="A1204" i="16"/>
  <c r="A1205" i="16"/>
  <c r="A1206" i="16"/>
  <c r="A1207" i="16"/>
  <c r="A1208" i="16"/>
  <c r="A1209" i="16"/>
  <c r="A1210" i="16"/>
  <c r="A1211" i="16"/>
  <c r="A1212" i="16"/>
  <c r="A1213" i="16"/>
  <c r="A1214" i="16"/>
  <c r="A1215" i="16"/>
  <c r="A1216" i="16"/>
  <c r="A1217" i="16"/>
  <c r="A1218" i="16"/>
  <c r="A1219" i="16"/>
  <c r="A1220" i="16"/>
  <c r="A1221" i="16"/>
  <c r="A1222" i="16"/>
  <c r="A1223" i="16"/>
  <c r="A1224" i="16"/>
  <c r="A1225" i="16"/>
  <c r="A1226" i="16"/>
  <c r="A1227" i="16"/>
  <c r="A1228" i="16"/>
  <c r="A1229" i="16"/>
  <c r="A1230" i="16"/>
  <c r="A1231" i="16"/>
  <c r="A1232" i="16"/>
  <c r="A1233" i="16"/>
  <c r="A1234" i="16"/>
  <c r="A1235" i="16"/>
  <c r="A1236" i="16"/>
  <c r="A1237" i="16"/>
  <c r="A1238" i="16"/>
  <c r="I4" i="18"/>
  <c r="J4" i="18"/>
  <c r="I5" i="18"/>
  <c r="J5" i="18"/>
  <c r="I6" i="18"/>
  <c r="J6" i="18"/>
  <c r="I7" i="18"/>
  <c r="J7" i="18"/>
  <c r="I8" i="18"/>
  <c r="J8" i="18"/>
  <c r="I9" i="18"/>
  <c r="J9" i="18"/>
  <c r="I10" i="18"/>
  <c r="J10" i="18"/>
  <c r="I11" i="18"/>
  <c r="J11" i="18"/>
  <c r="I12" i="18"/>
  <c r="J12" i="18"/>
  <c r="I13" i="18"/>
  <c r="J13" i="18"/>
  <c r="I14" i="18"/>
  <c r="J14" i="18"/>
  <c r="I15" i="18"/>
  <c r="J15" i="18"/>
  <c r="I16" i="18"/>
  <c r="J16" i="18"/>
  <c r="I17" i="18"/>
  <c r="J17" i="18"/>
  <c r="I18" i="18"/>
  <c r="J18" i="18"/>
  <c r="I19" i="18"/>
  <c r="J19" i="18"/>
  <c r="I20" i="18"/>
  <c r="J20" i="18"/>
  <c r="I21" i="18"/>
  <c r="J21" i="18"/>
  <c r="I22" i="18"/>
  <c r="J22" i="18"/>
  <c r="I23" i="18"/>
  <c r="J23" i="18"/>
  <c r="I24" i="18"/>
  <c r="J24" i="18"/>
  <c r="I25" i="18"/>
  <c r="J25" i="18"/>
  <c r="I26" i="18"/>
  <c r="J26" i="18"/>
  <c r="I27" i="18"/>
  <c r="J27" i="18"/>
  <c r="I28" i="18"/>
  <c r="J28" i="18"/>
  <c r="I29" i="18"/>
  <c r="J29" i="18"/>
  <c r="I30" i="18"/>
  <c r="J30" i="18"/>
  <c r="I31" i="18"/>
  <c r="J31" i="18"/>
  <c r="I32" i="18"/>
  <c r="J32" i="18"/>
  <c r="I33" i="18"/>
  <c r="J33" i="18"/>
  <c r="I34" i="18"/>
  <c r="J34" i="18"/>
  <c r="I35" i="18"/>
  <c r="J35" i="18"/>
  <c r="I36" i="18"/>
  <c r="J36" i="18"/>
  <c r="I37" i="18"/>
  <c r="J37" i="18"/>
  <c r="I38" i="18"/>
  <c r="J38" i="18"/>
  <c r="I39" i="18"/>
  <c r="J39" i="18"/>
  <c r="I40" i="18"/>
  <c r="J40" i="18"/>
  <c r="I41" i="18"/>
  <c r="J41" i="18"/>
  <c r="I42" i="18"/>
  <c r="J42" i="18"/>
  <c r="I43" i="18"/>
  <c r="J43" i="18"/>
  <c r="I44" i="18"/>
  <c r="J44" i="18"/>
  <c r="I45" i="18"/>
  <c r="J45" i="18"/>
  <c r="I46" i="18"/>
  <c r="J46" i="18"/>
  <c r="I47" i="18"/>
  <c r="J47" i="18"/>
  <c r="I48" i="18"/>
  <c r="J48" i="18"/>
  <c r="I49" i="18"/>
  <c r="J49" i="18"/>
  <c r="I50" i="18"/>
  <c r="J50" i="18"/>
  <c r="I51" i="18"/>
  <c r="J51" i="18"/>
  <c r="I52" i="18"/>
  <c r="J52" i="18"/>
  <c r="I53" i="18"/>
  <c r="J53" i="18"/>
  <c r="I54" i="18"/>
  <c r="J54" i="18"/>
  <c r="I55" i="18"/>
  <c r="J55" i="18"/>
  <c r="I56" i="18"/>
  <c r="J56" i="18"/>
  <c r="I57" i="18"/>
  <c r="J57" i="18"/>
  <c r="I58" i="18"/>
  <c r="J58" i="18"/>
  <c r="I59" i="18"/>
  <c r="J59" i="18"/>
  <c r="I60" i="18"/>
  <c r="J60" i="18"/>
  <c r="I61" i="18"/>
  <c r="J61" i="18"/>
  <c r="I62" i="18"/>
  <c r="J62" i="18"/>
  <c r="I63" i="18"/>
  <c r="J63" i="18"/>
  <c r="I64" i="18"/>
  <c r="J64" i="18"/>
  <c r="I65" i="18"/>
  <c r="J65" i="18"/>
  <c r="I66" i="18"/>
  <c r="J66" i="18"/>
  <c r="I67" i="18"/>
  <c r="J67" i="18"/>
  <c r="I68" i="18"/>
  <c r="J68" i="18"/>
  <c r="I69" i="18"/>
  <c r="J69" i="18"/>
  <c r="I70" i="18"/>
  <c r="J70" i="18"/>
  <c r="I71" i="18"/>
  <c r="J71" i="18"/>
  <c r="I72" i="18"/>
  <c r="J72" i="18"/>
  <c r="I73" i="18"/>
  <c r="J73" i="18"/>
  <c r="I74" i="18"/>
  <c r="J74" i="18"/>
  <c r="I75" i="18"/>
  <c r="J75" i="18"/>
  <c r="I76" i="18"/>
  <c r="J76" i="18"/>
  <c r="I77" i="18"/>
  <c r="J77" i="18"/>
  <c r="I78" i="18"/>
  <c r="J78" i="18"/>
  <c r="I79" i="18"/>
  <c r="J79" i="18"/>
  <c r="I80" i="18"/>
  <c r="J80" i="18"/>
  <c r="I81" i="18"/>
  <c r="J81" i="18"/>
  <c r="I82" i="18"/>
  <c r="J82" i="18"/>
  <c r="I83" i="18"/>
  <c r="J83" i="18"/>
  <c r="I84" i="18"/>
  <c r="J84" i="18"/>
  <c r="I85" i="18"/>
  <c r="J85" i="18"/>
  <c r="I86" i="18"/>
  <c r="J86" i="18"/>
  <c r="I87" i="18"/>
  <c r="J87" i="18"/>
  <c r="I88" i="18"/>
  <c r="J88" i="18"/>
  <c r="I89" i="18"/>
  <c r="J89" i="18"/>
  <c r="I90" i="18"/>
  <c r="J90" i="18"/>
  <c r="I91" i="18"/>
  <c r="J91" i="18"/>
  <c r="I92" i="18"/>
  <c r="J92" i="18"/>
  <c r="I93" i="18"/>
  <c r="J93" i="18"/>
  <c r="I94" i="18"/>
  <c r="J94" i="18"/>
  <c r="I95" i="18"/>
  <c r="J95" i="18"/>
  <c r="I96" i="18"/>
  <c r="J96" i="18"/>
  <c r="I97" i="18"/>
  <c r="J97" i="18"/>
  <c r="I98" i="18"/>
  <c r="J98" i="18"/>
  <c r="I99" i="18"/>
  <c r="J99" i="18"/>
  <c r="I100" i="18"/>
  <c r="J100" i="18"/>
  <c r="I101" i="18"/>
  <c r="J101" i="18"/>
  <c r="I102" i="18"/>
  <c r="J102" i="18"/>
  <c r="I103" i="18"/>
  <c r="J103" i="18"/>
  <c r="I104" i="18"/>
  <c r="J104" i="18"/>
  <c r="I105" i="18"/>
  <c r="J105" i="18"/>
  <c r="I106" i="18"/>
  <c r="J106" i="18"/>
  <c r="I107" i="18"/>
  <c r="J107" i="18"/>
  <c r="I108" i="18"/>
  <c r="J108" i="18"/>
  <c r="I109" i="18"/>
  <c r="J109" i="18"/>
  <c r="I110" i="18"/>
  <c r="J110" i="18"/>
  <c r="I111" i="18"/>
  <c r="J111" i="18"/>
  <c r="I112" i="18"/>
  <c r="J112" i="18"/>
  <c r="I113" i="18"/>
  <c r="J113" i="18"/>
  <c r="I114" i="18"/>
  <c r="J114" i="18"/>
  <c r="I115" i="18"/>
  <c r="J115" i="18"/>
  <c r="I116" i="18"/>
  <c r="J116" i="18"/>
  <c r="I117" i="18"/>
  <c r="J117" i="18"/>
  <c r="I118" i="18"/>
  <c r="J118" i="18"/>
  <c r="I119" i="18"/>
  <c r="J119" i="18"/>
  <c r="I120" i="18"/>
  <c r="J120" i="18"/>
  <c r="I121" i="18"/>
  <c r="J121" i="18"/>
  <c r="I122" i="18"/>
  <c r="J122" i="18"/>
  <c r="I123" i="18"/>
  <c r="J123" i="18"/>
  <c r="I124" i="18"/>
  <c r="J124" i="18"/>
  <c r="I125" i="18"/>
  <c r="J125" i="18"/>
  <c r="I126" i="18"/>
  <c r="J126" i="18"/>
  <c r="I127" i="18"/>
  <c r="J127" i="18"/>
  <c r="I128" i="18"/>
  <c r="J128" i="18"/>
  <c r="I129" i="18"/>
  <c r="J129" i="18"/>
  <c r="I130" i="18"/>
  <c r="J130" i="18"/>
  <c r="I131" i="18"/>
  <c r="J131" i="18"/>
  <c r="I132" i="18"/>
  <c r="J132" i="18"/>
  <c r="I133" i="18"/>
  <c r="J133" i="18"/>
  <c r="I134" i="18"/>
  <c r="J134" i="18"/>
  <c r="I135" i="18"/>
  <c r="J135" i="18"/>
  <c r="I136" i="18"/>
  <c r="J136" i="18"/>
  <c r="I137" i="18"/>
  <c r="J137" i="18"/>
  <c r="I138" i="18"/>
  <c r="J138" i="18"/>
  <c r="I139" i="18"/>
  <c r="J139" i="18"/>
  <c r="I140" i="18"/>
  <c r="J140" i="18"/>
  <c r="I141" i="18"/>
  <c r="J141" i="18"/>
  <c r="I142" i="18"/>
  <c r="J142" i="18"/>
  <c r="I143" i="18"/>
  <c r="J143" i="18"/>
  <c r="I144" i="18"/>
  <c r="J144" i="18"/>
  <c r="I145" i="18"/>
  <c r="J145" i="18"/>
  <c r="I146" i="18"/>
  <c r="J146" i="18"/>
  <c r="I147" i="18"/>
  <c r="J147" i="18"/>
  <c r="I148" i="18"/>
  <c r="J148" i="18"/>
  <c r="I149" i="18"/>
  <c r="J149" i="18"/>
  <c r="I150" i="18"/>
  <c r="J150" i="18"/>
  <c r="I151" i="18"/>
  <c r="J151" i="18"/>
  <c r="I152" i="18"/>
  <c r="J152" i="18"/>
  <c r="I153" i="18"/>
  <c r="J153" i="18"/>
  <c r="I154" i="18"/>
  <c r="J154" i="18"/>
  <c r="I155" i="18"/>
  <c r="J155" i="18"/>
  <c r="I156" i="18"/>
  <c r="J156" i="18"/>
  <c r="I157" i="18"/>
  <c r="J157" i="18"/>
  <c r="I158" i="18"/>
  <c r="J158" i="18"/>
  <c r="I159" i="18"/>
  <c r="J159" i="18"/>
  <c r="I160" i="18"/>
  <c r="J160" i="18"/>
  <c r="I161" i="18"/>
  <c r="J161" i="18"/>
  <c r="I162" i="18"/>
  <c r="J162" i="18"/>
  <c r="I163" i="18"/>
  <c r="J163" i="18"/>
  <c r="I164" i="18"/>
  <c r="J164" i="18"/>
  <c r="I165" i="18"/>
  <c r="J165" i="18"/>
  <c r="I166" i="18"/>
  <c r="J166" i="18"/>
  <c r="I167" i="18"/>
  <c r="J167" i="18"/>
  <c r="I168" i="18"/>
  <c r="J168" i="18"/>
  <c r="I169" i="18"/>
  <c r="J169" i="18"/>
  <c r="I170" i="18"/>
  <c r="J170" i="18"/>
  <c r="I171" i="18"/>
  <c r="J171" i="18"/>
  <c r="I172" i="18"/>
  <c r="J172" i="18"/>
  <c r="I173" i="18"/>
  <c r="J173" i="18"/>
  <c r="I174" i="18"/>
  <c r="J174" i="18"/>
  <c r="I175" i="18"/>
  <c r="J175" i="18"/>
  <c r="I176" i="18"/>
  <c r="J176" i="18"/>
  <c r="I177" i="18"/>
  <c r="J177" i="18"/>
  <c r="I178" i="18"/>
  <c r="J178" i="18"/>
  <c r="I179" i="18"/>
  <c r="J179" i="18"/>
  <c r="I180" i="18"/>
  <c r="J180" i="18"/>
  <c r="I181" i="18"/>
  <c r="J181" i="18"/>
  <c r="I182" i="18"/>
  <c r="J182" i="18"/>
  <c r="I183" i="18"/>
  <c r="J183" i="18"/>
  <c r="I184" i="18"/>
  <c r="J184" i="18"/>
  <c r="I185" i="18"/>
  <c r="J185" i="18"/>
  <c r="I186" i="18"/>
  <c r="J186" i="18"/>
  <c r="I187" i="18"/>
  <c r="J187" i="18"/>
  <c r="I188" i="18"/>
  <c r="J188" i="18"/>
  <c r="I189" i="18"/>
  <c r="J189" i="18"/>
  <c r="I190" i="18"/>
  <c r="J190" i="18"/>
  <c r="I191" i="18"/>
  <c r="J191" i="18"/>
  <c r="I192" i="18"/>
  <c r="J192" i="18"/>
  <c r="I193" i="18"/>
  <c r="J193" i="18"/>
  <c r="I194" i="18"/>
  <c r="J194" i="18"/>
  <c r="I195" i="18"/>
  <c r="J195" i="18"/>
  <c r="I196" i="18"/>
  <c r="J196" i="18"/>
  <c r="I197" i="18"/>
  <c r="J197" i="18"/>
  <c r="I198" i="18"/>
  <c r="J198" i="18"/>
  <c r="I199" i="18"/>
  <c r="J199" i="18"/>
  <c r="I200" i="18"/>
  <c r="J200" i="18"/>
  <c r="I201" i="18"/>
  <c r="J201" i="18"/>
  <c r="I202" i="18"/>
  <c r="J202" i="18"/>
  <c r="I203" i="18"/>
  <c r="J203" i="18"/>
  <c r="I204" i="18"/>
  <c r="J204" i="18"/>
  <c r="I205" i="18"/>
  <c r="J205" i="18"/>
  <c r="I206" i="18"/>
  <c r="J206" i="18"/>
  <c r="I207" i="18"/>
  <c r="J207" i="18"/>
  <c r="I208" i="18"/>
  <c r="J208" i="18"/>
  <c r="I209" i="18"/>
  <c r="J209" i="18"/>
  <c r="I210" i="18"/>
  <c r="J210" i="18"/>
  <c r="I211" i="18"/>
  <c r="J211" i="18"/>
  <c r="I212" i="18"/>
  <c r="J212" i="18"/>
  <c r="I213" i="18"/>
  <c r="J213" i="18"/>
  <c r="I214" i="18"/>
  <c r="J214" i="18"/>
  <c r="I215" i="18"/>
  <c r="J215" i="18"/>
  <c r="I216" i="18"/>
  <c r="J216" i="18"/>
  <c r="I217" i="18"/>
  <c r="J217" i="18"/>
  <c r="I218" i="18"/>
  <c r="J218" i="18"/>
  <c r="I219" i="18"/>
  <c r="J219" i="18"/>
  <c r="I220" i="18"/>
  <c r="J220" i="18"/>
  <c r="I221" i="18"/>
  <c r="J221" i="18"/>
  <c r="I222" i="18"/>
  <c r="J222" i="18"/>
  <c r="I223" i="18"/>
  <c r="J223" i="18"/>
  <c r="I224" i="18"/>
  <c r="J224" i="18"/>
  <c r="I225" i="18"/>
  <c r="J225" i="18"/>
  <c r="I226" i="18"/>
  <c r="J226" i="18"/>
  <c r="I227" i="18"/>
  <c r="J227" i="18"/>
  <c r="I228" i="18"/>
  <c r="J228" i="18"/>
  <c r="I229" i="18"/>
  <c r="J229" i="18"/>
  <c r="I230" i="18"/>
  <c r="J230" i="18"/>
  <c r="I231" i="18"/>
  <c r="J231" i="18"/>
  <c r="I232" i="18"/>
  <c r="J232" i="18"/>
  <c r="I233" i="18"/>
  <c r="J233" i="18"/>
  <c r="I234" i="18"/>
  <c r="J234" i="18"/>
  <c r="I235" i="18"/>
  <c r="J235" i="18"/>
  <c r="I236" i="18"/>
  <c r="J236" i="18"/>
  <c r="I237" i="18"/>
  <c r="J237" i="18"/>
  <c r="I238" i="18"/>
  <c r="J238" i="18"/>
  <c r="I239" i="18"/>
  <c r="J239" i="18"/>
  <c r="I240" i="18"/>
  <c r="J240" i="18"/>
  <c r="I241" i="18"/>
  <c r="J241" i="18"/>
  <c r="I242" i="18"/>
  <c r="J242" i="18"/>
  <c r="I243" i="18"/>
  <c r="J243" i="18"/>
  <c r="I244" i="18"/>
  <c r="J244" i="18"/>
  <c r="I245" i="18"/>
  <c r="J245" i="18"/>
  <c r="I246" i="18"/>
  <c r="J246" i="18"/>
  <c r="I247" i="18"/>
  <c r="J247" i="18"/>
  <c r="I248" i="18"/>
  <c r="J248" i="18"/>
  <c r="I249" i="18"/>
  <c r="J249" i="18"/>
  <c r="I250" i="18"/>
  <c r="J250" i="18"/>
  <c r="I251" i="18"/>
  <c r="J251" i="18"/>
  <c r="I252" i="18"/>
  <c r="J252" i="18"/>
  <c r="I253" i="18"/>
  <c r="J253" i="18"/>
  <c r="I254" i="18"/>
  <c r="J254" i="18"/>
  <c r="I255" i="18"/>
  <c r="J255" i="18"/>
  <c r="I256" i="18"/>
  <c r="J256" i="18"/>
  <c r="I257" i="18"/>
  <c r="J257" i="18"/>
  <c r="I258" i="18"/>
  <c r="J258" i="18"/>
  <c r="I259" i="18"/>
  <c r="J259" i="18"/>
  <c r="I260" i="18"/>
  <c r="J260" i="18"/>
  <c r="I261" i="18"/>
  <c r="J261" i="18"/>
  <c r="I262" i="18"/>
  <c r="J262" i="18"/>
  <c r="I263" i="18"/>
  <c r="J263" i="18"/>
  <c r="I264" i="18"/>
  <c r="J264" i="18"/>
  <c r="I265" i="18"/>
  <c r="J265" i="18"/>
  <c r="I266" i="18"/>
  <c r="J266" i="18"/>
  <c r="I267" i="18"/>
  <c r="J267" i="18"/>
  <c r="I268" i="18"/>
  <c r="J268" i="18"/>
  <c r="I269" i="18"/>
  <c r="J269" i="18"/>
  <c r="I270" i="18"/>
  <c r="J270" i="18"/>
  <c r="I271" i="18"/>
  <c r="J271" i="18"/>
  <c r="I272" i="18"/>
  <c r="J272" i="18"/>
  <c r="I273" i="18"/>
  <c r="J273" i="18"/>
  <c r="I274" i="18"/>
  <c r="J274" i="18"/>
  <c r="I275" i="18"/>
  <c r="J275" i="18"/>
  <c r="I276" i="18"/>
  <c r="J276" i="18"/>
  <c r="I277" i="18"/>
  <c r="J277" i="18"/>
  <c r="I278" i="18"/>
  <c r="J278" i="18"/>
  <c r="I279" i="18"/>
  <c r="J279" i="18"/>
  <c r="I280" i="18"/>
  <c r="J280" i="18"/>
  <c r="I281" i="18"/>
  <c r="J281" i="18"/>
  <c r="I282" i="18"/>
  <c r="J282" i="18"/>
  <c r="I283" i="18"/>
  <c r="J283" i="18"/>
  <c r="I284" i="18"/>
  <c r="J284" i="18"/>
  <c r="I285" i="18"/>
  <c r="J285" i="18"/>
  <c r="I286" i="18"/>
  <c r="J286" i="18"/>
  <c r="I287" i="18"/>
  <c r="J287" i="18"/>
  <c r="I288" i="18"/>
  <c r="J288" i="18"/>
  <c r="I289" i="18"/>
  <c r="J289" i="18"/>
  <c r="I290" i="18"/>
  <c r="J290" i="18"/>
  <c r="I291" i="18"/>
  <c r="J291" i="18"/>
  <c r="I292" i="18"/>
  <c r="J292" i="18"/>
  <c r="I293" i="18"/>
  <c r="J293" i="18"/>
  <c r="I294" i="18"/>
  <c r="J294" i="18"/>
  <c r="I295" i="18"/>
  <c r="J295" i="18"/>
  <c r="I296" i="18"/>
  <c r="J296" i="18"/>
  <c r="I297" i="18"/>
  <c r="J297" i="18"/>
  <c r="I298" i="18"/>
  <c r="J298" i="18"/>
  <c r="I299" i="18"/>
  <c r="J299" i="18"/>
  <c r="I300" i="18"/>
  <c r="J300" i="18"/>
  <c r="I301" i="18"/>
  <c r="J301" i="18"/>
  <c r="I302" i="18"/>
  <c r="J302" i="18"/>
  <c r="I303" i="18"/>
  <c r="J303" i="18"/>
  <c r="I304" i="18"/>
  <c r="J304" i="18"/>
  <c r="I305" i="18"/>
  <c r="J305" i="18"/>
  <c r="I306" i="18"/>
  <c r="J306" i="18"/>
  <c r="I307" i="18"/>
  <c r="J307" i="18"/>
  <c r="I308" i="18"/>
  <c r="J308" i="18"/>
  <c r="I309" i="18"/>
  <c r="J309" i="18"/>
  <c r="I310" i="18"/>
  <c r="J310" i="18"/>
  <c r="I311" i="18"/>
  <c r="J311" i="18"/>
  <c r="I312" i="18"/>
  <c r="J312" i="18"/>
  <c r="I313" i="18"/>
  <c r="J313" i="18"/>
  <c r="I314" i="18"/>
  <c r="J314" i="18"/>
  <c r="I315" i="18"/>
  <c r="J315" i="18"/>
  <c r="I316" i="18"/>
  <c r="J316" i="18"/>
  <c r="I317" i="18"/>
  <c r="J317" i="18"/>
  <c r="I318" i="18"/>
  <c r="J318" i="18"/>
  <c r="I319" i="18"/>
  <c r="J319" i="18"/>
  <c r="I320" i="18"/>
  <c r="J320" i="18"/>
  <c r="I321" i="18"/>
  <c r="J321" i="18"/>
  <c r="I322" i="18"/>
  <c r="J322" i="18"/>
  <c r="I323" i="18"/>
  <c r="J323" i="18"/>
  <c r="I324" i="18"/>
  <c r="J324" i="18"/>
  <c r="I325" i="18"/>
  <c r="J325" i="18"/>
  <c r="I326" i="18"/>
  <c r="J326" i="18"/>
  <c r="I327" i="18"/>
  <c r="J327" i="18"/>
  <c r="I328" i="18"/>
  <c r="J328" i="18"/>
  <c r="I329" i="18"/>
  <c r="J329" i="18"/>
  <c r="I330" i="18"/>
  <c r="J330" i="18"/>
  <c r="I331" i="18"/>
  <c r="J331" i="18"/>
  <c r="I332" i="18"/>
  <c r="J332" i="18"/>
  <c r="I333" i="18"/>
  <c r="J333" i="18"/>
  <c r="I334" i="18"/>
  <c r="J334" i="18"/>
  <c r="I335" i="18"/>
  <c r="J335" i="18"/>
  <c r="I336" i="18"/>
  <c r="J336" i="18"/>
  <c r="I337" i="18"/>
  <c r="J337" i="18"/>
  <c r="I338" i="18"/>
  <c r="J338" i="18"/>
  <c r="I339" i="18"/>
  <c r="J339" i="18"/>
  <c r="I340" i="18"/>
  <c r="J340" i="18"/>
  <c r="I341" i="18"/>
  <c r="J341" i="18"/>
  <c r="I342" i="18"/>
  <c r="J342" i="18"/>
  <c r="I343" i="18"/>
  <c r="J343" i="18"/>
  <c r="I344" i="18"/>
  <c r="J344" i="18"/>
  <c r="I345" i="18"/>
  <c r="J345" i="18"/>
  <c r="I346" i="18"/>
  <c r="J346" i="18"/>
  <c r="I347" i="18"/>
  <c r="J347" i="18"/>
  <c r="I348" i="18"/>
  <c r="J348" i="18"/>
  <c r="I349" i="18"/>
  <c r="J349" i="18"/>
  <c r="I350" i="18"/>
  <c r="J350" i="18"/>
  <c r="I351" i="18"/>
  <c r="J351" i="18"/>
  <c r="I352" i="18"/>
  <c r="J352" i="18"/>
  <c r="I353" i="18"/>
  <c r="J353" i="18"/>
  <c r="I354" i="18"/>
  <c r="J354" i="18"/>
  <c r="I355" i="18"/>
  <c r="J355" i="18"/>
  <c r="I356" i="18"/>
  <c r="J356" i="18"/>
  <c r="I357" i="18"/>
  <c r="J357" i="18"/>
  <c r="I358" i="18"/>
  <c r="J358" i="18"/>
  <c r="I359" i="18"/>
  <c r="J359" i="18"/>
  <c r="I360" i="18"/>
  <c r="J360" i="18"/>
  <c r="I361" i="18"/>
  <c r="J361" i="18"/>
  <c r="I362" i="18"/>
  <c r="J362" i="18"/>
  <c r="I363" i="18"/>
  <c r="J363" i="18"/>
  <c r="I364" i="18"/>
  <c r="J364" i="18"/>
  <c r="I365" i="18"/>
  <c r="J365" i="18"/>
  <c r="I366" i="18"/>
  <c r="J366" i="18"/>
  <c r="I367" i="18"/>
  <c r="J367" i="18"/>
  <c r="I368" i="18"/>
  <c r="J368" i="18"/>
  <c r="I369" i="18"/>
  <c r="J369" i="18"/>
  <c r="I370" i="18"/>
  <c r="J370" i="18"/>
  <c r="I371" i="18"/>
  <c r="J371" i="18"/>
  <c r="I372" i="18"/>
  <c r="J372" i="18"/>
  <c r="I373" i="18"/>
  <c r="J373" i="18"/>
  <c r="I374" i="18"/>
  <c r="J374" i="18"/>
  <c r="I375" i="18"/>
  <c r="J375" i="18"/>
  <c r="I376" i="18"/>
  <c r="J376" i="18"/>
  <c r="I377" i="18"/>
  <c r="J377" i="18"/>
  <c r="I378" i="18"/>
  <c r="J378" i="18"/>
  <c r="I379" i="18"/>
  <c r="J379" i="18"/>
  <c r="I380" i="18"/>
  <c r="J380" i="18"/>
  <c r="I381" i="18"/>
  <c r="J381" i="18"/>
  <c r="I382" i="18"/>
  <c r="J382" i="18"/>
  <c r="I383" i="18"/>
  <c r="J383" i="18"/>
  <c r="I384" i="18"/>
  <c r="J384" i="18"/>
  <c r="I385" i="18"/>
  <c r="J385" i="18"/>
  <c r="I386" i="18"/>
  <c r="J386" i="18"/>
  <c r="I387" i="18"/>
  <c r="J387" i="18"/>
  <c r="I388" i="18"/>
  <c r="J388" i="18"/>
  <c r="I389" i="18"/>
  <c r="J389" i="18"/>
  <c r="I390" i="18"/>
  <c r="J390" i="18"/>
  <c r="I391" i="18"/>
  <c r="J391" i="18"/>
  <c r="I392" i="18"/>
  <c r="J392" i="18"/>
  <c r="I393" i="18"/>
  <c r="J393" i="18"/>
  <c r="I394" i="18"/>
  <c r="J394" i="18"/>
  <c r="I395" i="18"/>
  <c r="J395" i="18"/>
  <c r="I396" i="18"/>
  <c r="J396" i="18"/>
  <c r="I397" i="18"/>
  <c r="J397" i="18"/>
  <c r="I398" i="18"/>
  <c r="J398" i="18"/>
  <c r="I399" i="18"/>
  <c r="J399" i="18"/>
  <c r="I400" i="18"/>
  <c r="J400" i="18"/>
  <c r="I401" i="18"/>
  <c r="J401" i="18"/>
  <c r="I402" i="18"/>
  <c r="J402" i="18"/>
  <c r="I403" i="18"/>
  <c r="J403" i="18"/>
  <c r="I404" i="18"/>
  <c r="J404" i="18"/>
  <c r="I405" i="18"/>
  <c r="J405" i="18"/>
  <c r="I406" i="18"/>
  <c r="J406" i="18"/>
  <c r="I407" i="18"/>
  <c r="J407" i="18"/>
  <c r="I408" i="18"/>
  <c r="J408" i="18"/>
  <c r="I409" i="18"/>
  <c r="J409" i="18"/>
  <c r="I410" i="18"/>
  <c r="J410" i="18"/>
  <c r="I411" i="18"/>
  <c r="J411" i="18"/>
  <c r="I412" i="18"/>
  <c r="J412" i="18"/>
  <c r="I413" i="18"/>
  <c r="J413" i="18"/>
  <c r="I414" i="18"/>
  <c r="J414" i="18"/>
  <c r="I415" i="18"/>
  <c r="J415" i="18"/>
  <c r="I416" i="18"/>
  <c r="J416" i="18"/>
  <c r="I417" i="18"/>
  <c r="J417" i="18"/>
  <c r="I418" i="18"/>
  <c r="J418" i="18"/>
  <c r="I419" i="18"/>
  <c r="J419" i="18"/>
  <c r="I420" i="18"/>
  <c r="J420" i="18"/>
  <c r="I421" i="18"/>
  <c r="J421" i="18"/>
  <c r="I422" i="18"/>
  <c r="J422" i="18"/>
  <c r="I423" i="18"/>
  <c r="J423" i="18"/>
  <c r="I424" i="18"/>
  <c r="J424" i="18"/>
  <c r="I425" i="18"/>
  <c r="J425" i="18"/>
  <c r="I426" i="18"/>
  <c r="J426" i="18"/>
  <c r="I427" i="18"/>
  <c r="J427" i="18"/>
  <c r="I428" i="18"/>
  <c r="J428" i="18"/>
  <c r="I429" i="18"/>
  <c r="J429" i="18"/>
  <c r="I430" i="18"/>
  <c r="J430" i="18"/>
  <c r="I431" i="18"/>
  <c r="J431" i="18"/>
  <c r="I432" i="18"/>
  <c r="J432" i="18"/>
  <c r="I433" i="18"/>
  <c r="J433" i="18"/>
  <c r="I434" i="18"/>
  <c r="J434" i="18"/>
  <c r="I435" i="18"/>
  <c r="J435" i="18"/>
  <c r="I436" i="18"/>
  <c r="J436" i="18"/>
  <c r="I437" i="18"/>
  <c r="J437" i="18"/>
  <c r="I438" i="18"/>
  <c r="J438" i="18"/>
  <c r="I439" i="18"/>
  <c r="J439" i="18"/>
  <c r="I440" i="18"/>
  <c r="J440" i="18"/>
  <c r="I441" i="18"/>
  <c r="J441" i="18"/>
  <c r="I442" i="18"/>
  <c r="J442" i="18"/>
  <c r="I443" i="18"/>
  <c r="J443" i="18"/>
  <c r="I444" i="18"/>
  <c r="J444" i="18"/>
  <c r="I445" i="18"/>
  <c r="J445" i="18"/>
  <c r="I446" i="18"/>
  <c r="J446" i="18"/>
  <c r="I447" i="18"/>
  <c r="J447" i="18"/>
  <c r="I448" i="18"/>
  <c r="J448" i="18"/>
  <c r="I449" i="18"/>
  <c r="J449" i="18"/>
  <c r="I450" i="18"/>
  <c r="J450" i="18"/>
  <c r="I451" i="18"/>
  <c r="J451" i="18"/>
  <c r="I452" i="18"/>
  <c r="J452" i="18"/>
  <c r="I453" i="18"/>
  <c r="J453" i="18"/>
  <c r="I454" i="18"/>
  <c r="J454" i="18"/>
  <c r="I455" i="18"/>
  <c r="J455" i="18"/>
  <c r="I456" i="18"/>
  <c r="J456" i="18"/>
  <c r="I457" i="18"/>
  <c r="J457" i="18"/>
  <c r="I458" i="18"/>
  <c r="J458" i="18"/>
  <c r="I459" i="18"/>
  <c r="J459" i="18"/>
  <c r="I460" i="18"/>
  <c r="J460" i="18"/>
  <c r="I461" i="18"/>
  <c r="J461" i="18"/>
  <c r="I462" i="18"/>
  <c r="J462" i="18"/>
  <c r="I463" i="18"/>
  <c r="J463" i="18"/>
  <c r="I464" i="18"/>
  <c r="J464" i="18"/>
  <c r="I465" i="18"/>
  <c r="J465" i="18"/>
  <c r="I466" i="18"/>
  <c r="J466" i="18"/>
  <c r="I467" i="18"/>
  <c r="J467" i="18"/>
  <c r="I468" i="18"/>
  <c r="J468" i="18"/>
  <c r="I469" i="18"/>
  <c r="J469" i="18"/>
  <c r="I470" i="18"/>
  <c r="J470" i="18"/>
  <c r="I471" i="18"/>
  <c r="J471" i="18"/>
  <c r="I472" i="18"/>
  <c r="J472" i="18"/>
  <c r="I473" i="18"/>
  <c r="J473" i="18"/>
  <c r="I474" i="18"/>
  <c r="J474" i="18"/>
  <c r="I475" i="18"/>
  <c r="J475" i="18"/>
  <c r="I476" i="18"/>
  <c r="J476" i="18"/>
  <c r="I477" i="18"/>
  <c r="J477" i="18"/>
  <c r="I478" i="18"/>
  <c r="J478" i="18"/>
  <c r="I479" i="18"/>
  <c r="J479" i="18"/>
  <c r="I480" i="18"/>
  <c r="J480" i="18"/>
  <c r="I481" i="18"/>
  <c r="J481" i="18"/>
  <c r="I482" i="18"/>
  <c r="J482" i="18"/>
  <c r="I483" i="18"/>
  <c r="J483" i="18"/>
  <c r="I484" i="18"/>
  <c r="J484" i="18"/>
  <c r="I485" i="18"/>
  <c r="J485" i="18"/>
  <c r="I486" i="18"/>
  <c r="J486" i="18"/>
  <c r="I487" i="18"/>
  <c r="J487" i="18"/>
  <c r="I488" i="18"/>
  <c r="J488" i="18"/>
  <c r="I489" i="18"/>
  <c r="J489" i="18"/>
  <c r="I490" i="18"/>
  <c r="J490" i="18"/>
  <c r="I491" i="18"/>
  <c r="J491" i="18"/>
  <c r="I492" i="18"/>
  <c r="J492" i="18"/>
  <c r="I493" i="18"/>
  <c r="J493" i="18"/>
  <c r="I494" i="18"/>
  <c r="J494" i="18"/>
  <c r="I495" i="18"/>
  <c r="J495" i="18"/>
  <c r="I496" i="18"/>
  <c r="J496" i="18"/>
  <c r="I497" i="18"/>
  <c r="J497" i="18"/>
  <c r="I498" i="18"/>
  <c r="J498" i="18"/>
  <c r="I499" i="18"/>
  <c r="J499" i="18"/>
  <c r="I500" i="18"/>
  <c r="J500" i="18"/>
  <c r="I501" i="18"/>
  <c r="J501" i="18"/>
  <c r="I502" i="18"/>
  <c r="J502" i="18"/>
  <c r="I503" i="18"/>
  <c r="J503" i="18"/>
  <c r="I504" i="18"/>
  <c r="J504" i="18"/>
  <c r="I505" i="18"/>
  <c r="J505" i="18"/>
  <c r="I506" i="18"/>
  <c r="J506" i="18"/>
  <c r="I507" i="18"/>
  <c r="J507" i="18"/>
  <c r="I508" i="18"/>
  <c r="J508" i="18"/>
  <c r="I509" i="18"/>
  <c r="J509" i="18"/>
  <c r="I510" i="18"/>
  <c r="J510" i="18"/>
  <c r="I511" i="18"/>
  <c r="J511" i="18"/>
  <c r="I512" i="18"/>
  <c r="J512" i="18"/>
  <c r="I513" i="18"/>
  <c r="J513" i="18"/>
  <c r="I514" i="18"/>
  <c r="J514" i="18"/>
  <c r="I515" i="18"/>
  <c r="J515" i="18"/>
  <c r="I516" i="18"/>
  <c r="J516" i="18"/>
  <c r="I517" i="18"/>
  <c r="J517" i="18"/>
  <c r="I518" i="18"/>
  <c r="J518" i="18"/>
  <c r="I519" i="18"/>
  <c r="J519" i="18"/>
  <c r="I520" i="18"/>
  <c r="J520" i="18"/>
  <c r="I521" i="18"/>
  <c r="J521" i="18"/>
  <c r="I522" i="18"/>
  <c r="J522" i="18"/>
  <c r="I523" i="18"/>
  <c r="J523" i="18"/>
  <c r="I524" i="18"/>
  <c r="J524" i="18"/>
  <c r="I525" i="18"/>
  <c r="J525" i="18"/>
  <c r="I526" i="18"/>
  <c r="J526" i="18"/>
  <c r="I527" i="18"/>
  <c r="J527" i="18"/>
  <c r="I528" i="18"/>
  <c r="J528" i="18"/>
  <c r="I529" i="18"/>
  <c r="J529" i="18"/>
  <c r="I530" i="18"/>
  <c r="J530" i="18"/>
  <c r="I531" i="18"/>
  <c r="J531" i="18"/>
  <c r="I532" i="18"/>
  <c r="J532" i="18"/>
  <c r="I533" i="18"/>
  <c r="J533" i="18"/>
  <c r="I534" i="18"/>
  <c r="J534" i="18"/>
  <c r="I535" i="18"/>
  <c r="J535" i="18"/>
  <c r="I536" i="18"/>
  <c r="J536" i="18"/>
  <c r="I537" i="18"/>
  <c r="J537" i="18"/>
  <c r="I538" i="18"/>
  <c r="J538" i="18"/>
  <c r="I539" i="18"/>
  <c r="J539" i="18"/>
  <c r="I540" i="18"/>
  <c r="J540" i="18"/>
  <c r="I541" i="18"/>
  <c r="J541" i="18"/>
  <c r="I542" i="18"/>
  <c r="J542" i="18"/>
  <c r="I543" i="18"/>
  <c r="J543" i="18"/>
  <c r="I544" i="18"/>
  <c r="J544" i="18"/>
  <c r="I545" i="18"/>
  <c r="J545" i="18"/>
  <c r="I546" i="18"/>
  <c r="J546" i="18"/>
  <c r="I547" i="18"/>
  <c r="J547" i="18"/>
  <c r="I548" i="18"/>
  <c r="J548" i="18"/>
  <c r="I549" i="18"/>
  <c r="J549" i="18"/>
  <c r="I550" i="18"/>
  <c r="J550" i="18"/>
  <c r="I551" i="18"/>
  <c r="J551" i="18"/>
  <c r="I552" i="18"/>
  <c r="J552" i="18"/>
  <c r="I553" i="18"/>
  <c r="J553" i="18"/>
  <c r="I554" i="18"/>
  <c r="J554" i="18"/>
  <c r="I555" i="18"/>
  <c r="J555" i="18"/>
  <c r="I556" i="18"/>
  <c r="J556" i="18"/>
  <c r="I557" i="18"/>
  <c r="J557" i="18"/>
  <c r="I558" i="18"/>
  <c r="J558" i="18"/>
  <c r="I559" i="18"/>
  <c r="J559" i="18"/>
  <c r="I560" i="18"/>
  <c r="J560" i="18"/>
  <c r="I561" i="18"/>
  <c r="J561" i="18"/>
  <c r="I562" i="18"/>
  <c r="J562" i="18"/>
  <c r="I563" i="18"/>
  <c r="J563" i="18"/>
  <c r="I564" i="18"/>
  <c r="J564" i="18"/>
  <c r="I565" i="18"/>
  <c r="J565" i="18"/>
  <c r="I566" i="18"/>
  <c r="J566" i="18"/>
  <c r="I567" i="18"/>
  <c r="J567" i="18"/>
  <c r="I568" i="18"/>
  <c r="J568" i="18"/>
  <c r="I569" i="18"/>
  <c r="J569" i="18"/>
  <c r="I570" i="18"/>
  <c r="J570" i="18"/>
  <c r="I571" i="18"/>
  <c r="J571" i="18"/>
  <c r="I572" i="18"/>
  <c r="J572" i="18"/>
  <c r="I573" i="18"/>
  <c r="J573" i="18"/>
  <c r="I574" i="18"/>
  <c r="J574" i="18"/>
  <c r="I575" i="18"/>
  <c r="J575" i="18"/>
  <c r="I576" i="18"/>
  <c r="J576" i="18"/>
  <c r="I577" i="18"/>
  <c r="J577" i="18"/>
  <c r="I578" i="18"/>
  <c r="J578" i="18"/>
  <c r="I579" i="18"/>
  <c r="J579" i="18"/>
  <c r="I580" i="18"/>
  <c r="J580" i="18"/>
  <c r="I581" i="18"/>
  <c r="J581" i="18"/>
  <c r="I582" i="18"/>
  <c r="J582" i="18"/>
  <c r="I583" i="18"/>
  <c r="J583" i="18"/>
  <c r="I584" i="18"/>
  <c r="J584" i="18"/>
  <c r="I585" i="18"/>
  <c r="J585" i="18"/>
  <c r="I586" i="18"/>
  <c r="J586" i="18"/>
  <c r="I587" i="18"/>
  <c r="J587" i="18"/>
  <c r="I588" i="18"/>
  <c r="J588" i="18"/>
  <c r="I589" i="18"/>
  <c r="J589" i="18"/>
  <c r="I590" i="18"/>
  <c r="J590" i="18"/>
  <c r="I591" i="18"/>
  <c r="J591" i="18"/>
  <c r="I592" i="18"/>
  <c r="J592" i="18"/>
  <c r="I593" i="18"/>
  <c r="J593" i="18"/>
  <c r="I594" i="18"/>
  <c r="J594" i="18"/>
  <c r="I595" i="18"/>
  <c r="J595" i="18"/>
  <c r="I596" i="18"/>
  <c r="J596" i="18"/>
  <c r="I597" i="18"/>
  <c r="J597" i="18"/>
  <c r="I598" i="18"/>
  <c r="J598" i="18"/>
  <c r="I599" i="18"/>
  <c r="J599" i="18"/>
  <c r="I600" i="18"/>
  <c r="J600" i="18"/>
  <c r="I601" i="18"/>
  <c r="J601" i="18"/>
  <c r="I602" i="18"/>
  <c r="J602" i="18"/>
  <c r="I603" i="18"/>
  <c r="J603" i="18"/>
  <c r="I604" i="18"/>
  <c r="J604" i="18"/>
  <c r="I605" i="18"/>
  <c r="J605" i="18"/>
  <c r="I606" i="18"/>
  <c r="J606" i="18"/>
  <c r="I607" i="18"/>
  <c r="J607" i="18"/>
  <c r="I608" i="18"/>
  <c r="J608" i="18"/>
  <c r="I609" i="18"/>
  <c r="J609" i="18"/>
  <c r="I610" i="18"/>
  <c r="J610" i="18"/>
  <c r="I611" i="18"/>
  <c r="J611" i="18"/>
  <c r="I612" i="18"/>
  <c r="J612" i="18"/>
  <c r="I613" i="18"/>
  <c r="J613" i="18"/>
  <c r="I614" i="18"/>
  <c r="J614" i="18"/>
  <c r="I615" i="18"/>
  <c r="J615" i="18"/>
  <c r="I616" i="18"/>
  <c r="J616" i="18"/>
  <c r="I617" i="18"/>
  <c r="J617" i="18"/>
  <c r="I618" i="18"/>
  <c r="J618" i="18"/>
  <c r="I619" i="18"/>
  <c r="J619" i="18"/>
  <c r="I620" i="18"/>
  <c r="J620" i="18"/>
  <c r="I621" i="18"/>
  <c r="J621" i="18"/>
  <c r="I622" i="18"/>
  <c r="J622" i="18"/>
  <c r="I623" i="18"/>
  <c r="J623" i="18"/>
  <c r="I624" i="18"/>
  <c r="J624" i="18"/>
  <c r="I625" i="18"/>
  <c r="J625" i="18"/>
  <c r="I626" i="18"/>
  <c r="J626" i="18"/>
  <c r="I627" i="18"/>
  <c r="J627" i="18"/>
  <c r="I628" i="18"/>
  <c r="J628" i="18"/>
  <c r="I629" i="18"/>
  <c r="J629" i="18"/>
  <c r="I630" i="18"/>
  <c r="J630" i="18"/>
  <c r="I631" i="18"/>
  <c r="J631" i="18"/>
  <c r="I632" i="18"/>
  <c r="J632" i="18"/>
  <c r="I633" i="18"/>
  <c r="J633" i="18"/>
  <c r="I634" i="18"/>
  <c r="J634" i="18"/>
  <c r="I635" i="18"/>
  <c r="J635" i="18"/>
  <c r="I636" i="18"/>
  <c r="J636" i="18"/>
  <c r="I637" i="18"/>
  <c r="J637" i="18"/>
  <c r="I638" i="18"/>
  <c r="J638" i="18"/>
  <c r="I639" i="18"/>
  <c r="J639" i="18"/>
  <c r="I640" i="18"/>
  <c r="J640" i="18"/>
  <c r="I641" i="18"/>
  <c r="J641" i="18"/>
  <c r="I642" i="18"/>
  <c r="J642" i="18"/>
  <c r="I643" i="18"/>
  <c r="J643" i="18"/>
  <c r="I644" i="18"/>
  <c r="J644" i="18"/>
  <c r="I645" i="18"/>
  <c r="J645" i="18"/>
  <c r="I646" i="18"/>
  <c r="J646" i="18"/>
  <c r="I647" i="18"/>
  <c r="J647" i="18"/>
  <c r="I648" i="18"/>
  <c r="J648" i="18"/>
  <c r="I649" i="18"/>
  <c r="J649" i="18"/>
  <c r="I650" i="18"/>
  <c r="J650" i="18"/>
  <c r="I651" i="18"/>
  <c r="J651" i="18"/>
  <c r="I652" i="18"/>
  <c r="J652" i="18"/>
  <c r="I653" i="18"/>
  <c r="J653" i="18"/>
  <c r="I654" i="18"/>
  <c r="J654" i="18"/>
  <c r="I655" i="18"/>
  <c r="J655" i="18"/>
  <c r="I656" i="18"/>
  <c r="J656" i="18"/>
  <c r="I657" i="18"/>
  <c r="J657" i="18"/>
  <c r="I658" i="18"/>
  <c r="J658" i="18"/>
  <c r="I659" i="18"/>
  <c r="J659" i="18"/>
  <c r="I660" i="18"/>
  <c r="J660" i="18"/>
  <c r="I661" i="18"/>
  <c r="J661" i="18"/>
  <c r="I662" i="18"/>
  <c r="J662" i="18"/>
  <c r="I663" i="18"/>
  <c r="J663" i="18"/>
  <c r="I664" i="18"/>
  <c r="J664" i="18"/>
  <c r="I665" i="18"/>
  <c r="J665" i="18"/>
  <c r="I666" i="18"/>
  <c r="J666" i="18"/>
  <c r="I667" i="18"/>
  <c r="J667" i="18"/>
  <c r="I668" i="18"/>
  <c r="J668" i="18"/>
  <c r="I669" i="18"/>
  <c r="J669" i="18"/>
  <c r="I670" i="18"/>
  <c r="J670" i="18"/>
  <c r="I671" i="18"/>
  <c r="J671" i="18"/>
  <c r="I672" i="18"/>
  <c r="J672" i="18"/>
  <c r="I673" i="18"/>
  <c r="J673" i="18"/>
  <c r="I674" i="18"/>
  <c r="J674" i="18"/>
  <c r="I675" i="18"/>
  <c r="J675" i="18"/>
  <c r="I676" i="18"/>
  <c r="J676" i="18"/>
  <c r="I677" i="18"/>
  <c r="J677" i="18"/>
  <c r="I678" i="18"/>
  <c r="J678" i="18"/>
  <c r="I679" i="18"/>
  <c r="J679" i="18"/>
  <c r="I680" i="18"/>
  <c r="J680" i="18"/>
  <c r="I681" i="18"/>
  <c r="J681" i="18"/>
  <c r="I682" i="18"/>
  <c r="J682" i="18"/>
  <c r="I683" i="18"/>
  <c r="J683" i="18"/>
  <c r="I684" i="18"/>
  <c r="J684" i="18"/>
  <c r="I685" i="18"/>
  <c r="J685" i="18"/>
  <c r="I686" i="18"/>
  <c r="J686" i="18"/>
  <c r="I687" i="18"/>
  <c r="J687" i="18"/>
  <c r="I688" i="18"/>
  <c r="J688" i="18"/>
  <c r="I689" i="18"/>
  <c r="J689" i="18"/>
  <c r="I690" i="18"/>
  <c r="J690" i="18"/>
  <c r="I691" i="18"/>
  <c r="J691" i="18"/>
  <c r="I692" i="18"/>
  <c r="J692" i="18"/>
  <c r="I693" i="18"/>
  <c r="J693" i="18"/>
  <c r="I694" i="18"/>
  <c r="J694" i="18"/>
  <c r="I695" i="18"/>
  <c r="J695" i="18"/>
  <c r="I696" i="18"/>
  <c r="J696" i="18"/>
  <c r="I697" i="18"/>
  <c r="J697" i="18"/>
  <c r="I698" i="18"/>
  <c r="J698" i="18"/>
  <c r="I699" i="18"/>
  <c r="J699" i="18"/>
  <c r="I700" i="18"/>
  <c r="J700" i="18"/>
  <c r="I701" i="18"/>
  <c r="J701" i="18"/>
  <c r="I702" i="18"/>
  <c r="J702" i="18"/>
  <c r="I703" i="18"/>
  <c r="J703" i="18"/>
  <c r="I704" i="18"/>
  <c r="J704" i="18"/>
  <c r="I705" i="18"/>
  <c r="J705" i="18"/>
  <c r="I706" i="18"/>
  <c r="J706" i="18"/>
  <c r="I707" i="18"/>
  <c r="J707" i="18"/>
  <c r="I708" i="18"/>
  <c r="J708" i="18"/>
  <c r="I709" i="18"/>
  <c r="J709" i="18"/>
  <c r="I710" i="18"/>
  <c r="J710" i="18"/>
  <c r="I711" i="18"/>
  <c r="J711" i="18"/>
  <c r="I712" i="18"/>
  <c r="J712" i="18"/>
  <c r="I713" i="18"/>
  <c r="J713" i="18"/>
  <c r="I714" i="18"/>
  <c r="J714" i="18"/>
  <c r="I715" i="18"/>
  <c r="J715" i="18"/>
  <c r="I716" i="18"/>
  <c r="J716" i="18"/>
  <c r="I717" i="18"/>
  <c r="J717" i="18"/>
  <c r="I718" i="18"/>
  <c r="J718" i="18"/>
  <c r="I719" i="18"/>
  <c r="J719" i="18"/>
  <c r="I720" i="18"/>
  <c r="J720" i="18"/>
  <c r="I721" i="18"/>
  <c r="J721" i="18"/>
  <c r="I722" i="18"/>
  <c r="J722" i="18"/>
  <c r="I723" i="18"/>
  <c r="J723" i="18"/>
  <c r="I724" i="18"/>
  <c r="J724" i="18"/>
  <c r="I725" i="18"/>
  <c r="J725" i="18"/>
  <c r="I726" i="18"/>
  <c r="J726" i="18"/>
  <c r="I727" i="18"/>
  <c r="J727" i="18"/>
  <c r="I728" i="18"/>
  <c r="J728" i="18"/>
  <c r="I729" i="18"/>
  <c r="J729" i="18"/>
  <c r="I730" i="18"/>
  <c r="J730" i="18"/>
  <c r="I731" i="18"/>
  <c r="J731" i="18"/>
  <c r="I732" i="18"/>
  <c r="J732" i="18"/>
  <c r="I733" i="18"/>
  <c r="J733" i="18"/>
  <c r="I734" i="18"/>
  <c r="J734" i="18"/>
  <c r="I735" i="18"/>
  <c r="J735" i="18"/>
  <c r="I736" i="18"/>
  <c r="J736" i="18"/>
  <c r="I737" i="18"/>
  <c r="J737" i="18"/>
  <c r="I738" i="18"/>
  <c r="J738" i="18"/>
  <c r="I739" i="18"/>
  <c r="J739" i="18"/>
  <c r="I740" i="18"/>
  <c r="J740" i="18"/>
  <c r="I741" i="18"/>
  <c r="J741" i="18"/>
  <c r="I742" i="18"/>
  <c r="J742" i="18"/>
  <c r="I743" i="18"/>
  <c r="J743" i="18"/>
  <c r="I744" i="18"/>
  <c r="J744" i="18"/>
  <c r="I745" i="18"/>
  <c r="J745" i="18"/>
  <c r="I746" i="18"/>
  <c r="J746" i="18"/>
  <c r="I747" i="18"/>
  <c r="J747" i="18"/>
  <c r="I748" i="18"/>
  <c r="J748" i="18"/>
  <c r="I749" i="18"/>
  <c r="J749" i="18"/>
  <c r="I750" i="18"/>
  <c r="J750" i="18"/>
  <c r="I751" i="18"/>
  <c r="J751" i="18"/>
  <c r="I752" i="18"/>
  <c r="J752" i="18"/>
  <c r="I753" i="18"/>
  <c r="J753" i="18"/>
  <c r="I754" i="18"/>
  <c r="J754" i="18"/>
  <c r="I755" i="18"/>
  <c r="J755" i="18"/>
  <c r="I756" i="18"/>
  <c r="J756" i="18"/>
  <c r="I757" i="18"/>
  <c r="J757" i="18"/>
  <c r="I758" i="18"/>
  <c r="J758" i="18"/>
  <c r="I759" i="18"/>
  <c r="J759" i="18"/>
  <c r="I760" i="18"/>
  <c r="J760" i="18"/>
  <c r="I761" i="18"/>
  <c r="J761" i="18"/>
  <c r="I762" i="18"/>
  <c r="J762" i="18"/>
  <c r="I763" i="18"/>
  <c r="J763" i="18"/>
  <c r="I764" i="18"/>
  <c r="J764" i="18"/>
  <c r="I765" i="18"/>
  <c r="J765" i="18"/>
  <c r="I766" i="18"/>
  <c r="J766" i="18"/>
  <c r="I767" i="18"/>
  <c r="J767" i="18"/>
  <c r="I768" i="18"/>
  <c r="J768" i="18"/>
  <c r="I769" i="18"/>
  <c r="J769" i="18"/>
  <c r="I770" i="18"/>
  <c r="J770" i="18"/>
  <c r="I771" i="18"/>
  <c r="J771" i="18"/>
  <c r="I772" i="18"/>
  <c r="J772" i="18"/>
  <c r="I773" i="18"/>
  <c r="J773" i="18"/>
  <c r="I774" i="18"/>
  <c r="J774" i="18"/>
  <c r="I775" i="18"/>
  <c r="J775" i="18"/>
  <c r="I776" i="18"/>
  <c r="J776" i="18"/>
  <c r="I777" i="18"/>
  <c r="J777" i="18"/>
  <c r="I778" i="18"/>
  <c r="J778" i="18"/>
  <c r="I779" i="18"/>
  <c r="J779" i="18"/>
  <c r="I780" i="18"/>
  <c r="J780" i="18"/>
  <c r="I781" i="18"/>
  <c r="J781" i="18"/>
  <c r="I782" i="18"/>
  <c r="J782" i="18"/>
  <c r="I783" i="18"/>
  <c r="J783" i="18"/>
  <c r="I784" i="18"/>
  <c r="J784" i="18"/>
  <c r="I785" i="18"/>
  <c r="J785" i="18"/>
  <c r="I786" i="18"/>
  <c r="J786" i="18"/>
  <c r="I787" i="18"/>
  <c r="J787" i="18"/>
  <c r="I788" i="18"/>
  <c r="J788" i="18"/>
  <c r="I789" i="18"/>
  <c r="J789" i="18"/>
  <c r="I790" i="18"/>
  <c r="J790" i="18"/>
  <c r="I791" i="18"/>
  <c r="J791" i="18"/>
  <c r="I792" i="18"/>
  <c r="J792" i="18"/>
  <c r="I793" i="18"/>
  <c r="J793" i="18"/>
  <c r="I794" i="18"/>
  <c r="J794" i="18"/>
  <c r="I795" i="18"/>
  <c r="J795" i="18"/>
  <c r="I796" i="18"/>
  <c r="J796" i="18"/>
  <c r="I797" i="18"/>
  <c r="J797" i="18"/>
  <c r="I798" i="18"/>
  <c r="J798" i="18"/>
  <c r="I799" i="18"/>
  <c r="J799" i="18"/>
  <c r="I800" i="18"/>
  <c r="J800" i="18"/>
  <c r="I801" i="18"/>
  <c r="J801" i="18"/>
  <c r="I802" i="18"/>
  <c r="J802" i="18"/>
  <c r="I803" i="18"/>
  <c r="J803" i="18"/>
  <c r="I804" i="18"/>
  <c r="J804" i="18"/>
  <c r="I805" i="18"/>
  <c r="J805" i="18"/>
  <c r="I806" i="18"/>
  <c r="J806" i="18"/>
  <c r="I807" i="18"/>
  <c r="J807" i="18"/>
  <c r="I808" i="18"/>
  <c r="J808" i="18"/>
  <c r="I809" i="18"/>
  <c r="J809" i="18"/>
  <c r="I810" i="18"/>
  <c r="J810" i="18"/>
  <c r="I811" i="18"/>
  <c r="J811" i="18"/>
  <c r="I812" i="18"/>
  <c r="J812" i="18"/>
  <c r="I813" i="18"/>
  <c r="J813" i="18"/>
  <c r="I814" i="18"/>
  <c r="J814" i="18"/>
  <c r="I815" i="18"/>
  <c r="J815" i="18"/>
  <c r="I816" i="18"/>
  <c r="J816" i="18"/>
  <c r="I817" i="18"/>
  <c r="J817" i="18"/>
  <c r="I818" i="18"/>
  <c r="J818" i="18"/>
  <c r="I819" i="18"/>
  <c r="J819" i="18"/>
  <c r="I820" i="18"/>
  <c r="J820" i="18"/>
  <c r="I821" i="18"/>
  <c r="J821" i="18"/>
  <c r="I822" i="18"/>
  <c r="J822" i="18"/>
  <c r="I823" i="18"/>
  <c r="J823" i="18"/>
  <c r="I824" i="18"/>
  <c r="J824" i="18"/>
  <c r="I825" i="18"/>
  <c r="J825" i="18"/>
  <c r="I826" i="18"/>
  <c r="J826" i="18"/>
  <c r="I827" i="18"/>
  <c r="J827" i="18"/>
  <c r="I828" i="18"/>
  <c r="J828" i="18"/>
  <c r="I829" i="18"/>
  <c r="J829" i="18"/>
  <c r="I830" i="18"/>
  <c r="J830" i="18"/>
  <c r="I831" i="18"/>
  <c r="J831" i="18"/>
  <c r="I832" i="18"/>
  <c r="J832" i="18"/>
  <c r="I833" i="18"/>
  <c r="J833" i="18"/>
  <c r="I834" i="18"/>
  <c r="J834" i="18"/>
  <c r="I835" i="18"/>
  <c r="J835" i="18"/>
  <c r="I836" i="18"/>
  <c r="J836" i="18"/>
  <c r="I837" i="18"/>
  <c r="J837" i="18"/>
  <c r="I838" i="18"/>
  <c r="J838" i="18"/>
  <c r="I839" i="18"/>
  <c r="J839" i="18"/>
  <c r="I840" i="18"/>
  <c r="J840" i="18"/>
  <c r="I841" i="18"/>
  <c r="J841" i="18"/>
  <c r="I842" i="18"/>
  <c r="J842" i="18"/>
  <c r="I843" i="18"/>
  <c r="J843" i="18"/>
  <c r="I844" i="18"/>
  <c r="J844" i="18"/>
  <c r="I845" i="18"/>
  <c r="J845" i="18"/>
  <c r="I846" i="18"/>
  <c r="J846" i="18"/>
  <c r="I847" i="18"/>
  <c r="J847" i="18"/>
  <c r="I848" i="18"/>
  <c r="J848" i="18"/>
  <c r="I849" i="18"/>
  <c r="J849" i="18"/>
  <c r="I850" i="18"/>
  <c r="J850" i="18"/>
  <c r="I851" i="18"/>
  <c r="J851" i="18"/>
  <c r="I852" i="18"/>
  <c r="J852" i="18"/>
  <c r="I853" i="18"/>
  <c r="J853" i="18"/>
  <c r="I854" i="18"/>
  <c r="J854" i="18"/>
  <c r="I855" i="18"/>
  <c r="J855" i="18"/>
  <c r="I856" i="18"/>
  <c r="J856" i="18"/>
  <c r="I857" i="18"/>
  <c r="J857" i="18"/>
  <c r="I858" i="18"/>
  <c r="J858" i="18"/>
  <c r="I859" i="18"/>
  <c r="J859" i="18"/>
  <c r="I860" i="18"/>
  <c r="J860" i="18"/>
  <c r="I861" i="18"/>
  <c r="J861" i="18"/>
  <c r="I862" i="18"/>
  <c r="J862" i="18"/>
  <c r="I863" i="18"/>
  <c r="J863" i="18"/>
  <c r="I864" i="18"/>
  <c r="J864" i="18"/>
  <c r="I865" i="18"/>
  <c r="J865" i="18"/>
  <c r="I866" i="18"/>
  <c r="J866" i="18"/>
  <c r="I867" i="18"/>
  <c r="J867" i="18"/>
  <c r="I868" i="18"/>
  <c r="J868" i="18"/>
  <c r="I869" i="18"/>
  <c r="J869" i="18"/>
  <c r="I870" i="18"/>
  <c r="J870" i="18"/>
  <c r="I871" i="18"/>
  <c r="J871" i="18"/>
  <c r="I872" i="18"/>
  <c r="J872" i="18"/>
  <c r="I873" i="18"/>
  <c r="J873" i="18"/>
  <c r="I874" i="18"/>
  <c r="J874" i="18"/>
  <c r="I875" i="18"/>
  <c r="J875" i="18"/>
  <c r="I876" i="18"/>
  <c r="J876" i="18"/>
  <c r="I877" i="18"/>
  <c r="J877" i="18"/>
  <c r="I878" i="18"/>
  <c r="J878" i="18"/>
  <c r="I879" i="18"/>
  <c r="J879" i="18"/>
  <c r="I880" i="18"/>
  <c r="J880" i="18"/>
  <c r="I881" i="18"/>
  <c r="J881" i="18"/>
  <c r="I882" i="18"/>
  <c r="J882" i="18"/>
  <c r="I883" i="18"/>
  <c r="J883" i="18"/>
  <c r="I884" i="18"/>
  <c r="J884" i="18"/>
  <c r="I885" i="18"/>
  <c r="J885" i="18"/>
  <c r="I886" i="18"/>
  <c r="J886" i="18"/>
  <c r="I887" i="18"/>
  <c r="J887" i="18"/>
  <c r="I888" i="18"/>
  <c r="J888" i="18"/>
  <c r="I889" i="18"/>
  <c r="J889" i="18"/>
  <c r="I890" i="18"/>
  <c r="J890" i="18"/>
  <c r="I891" i="18"/>
  <c r="J891" i="18"/>
  <c r="I892" i="18"/>
  <c r="J892" i="18"/>
  <c r="I893" i="18"/>
  <c r="J893" i="18"/>
  <c r="I894" i="18"/>
  <c r="J894" i="18"/>
  <c r="I895" i="18"/>
  <c r="J895" i="18"/>
  <c r="I896" i="18"/>
  <c r="J896" i="18"/>
  <c r="I897" i="18"/>
  <c r="J897" i="18"/>
  <c r="I898" i="18"/>
  <c r="J898" i="18"/>
  <c r="I899" i="18"/>
  <c r="J899" i="18"/>
  <c r="I900" i="18"/>
  <c r="J900" i="18"/>
  <c r="I901" i="18"/>
  <c r="J901" i="18"/>
  <c r="I902" i="18"/>
  <c r="J902" i="18"/>
  <c r="I903" i="18"/>
  <c r="J903" i="18"/>
  <c r="I904" i="18"/>
  <c r="J904" i="18"/>
  <c r="I905" i="18"/>
  <c r="J905" i="18"/>
  <c r="I906" i="18"/>
  <c r="J906" i="18"/>
  <c r="I907" i="18"/>
  <c r="J907" i="18"/>
  <c r="I908" i="18"/>
  <c r="J908" i="18"/>
  <c r="I909" i="18"/>
  <c r="J909" i="18"/>
  <c r="I910" i="18"/>
  <c r="J910" i="18"/>
  <c r="I911" i="18"/>
  <c r="J911" i="18"/>
  <c r="I912" i="18"/>
  <c r="J912" i="18"/>
  <c r="I913" i="18"/>
  <c r="J913" i="18"/>
  <c r="I914" i="18"/>
  <c r="J914" i="18"/>
  <c r="I915" i="18"/>
  <c r="J915" i="18"/>
  <c r="I916" i="18"/>
  <c r="J916" i="18"/>
  <c r="I917" i="18"/>
  <c r="J917" i="18"/>
  <c r="I918" i="18"/>
  <c r="J918" i="18"/>
  <c r="I919" i="18"/>
  <c r="J919" i="18"/>
  <c r="I920" i="18"/>
  <c r="J920" i="18"/>
  <c r="I921" i="18"/>
  <c r="J921" i="18"/>
  <c r="I922" i="18"/>
  <c r="J922" i="18"/>
  <c r="I923" i="18"/>
  <c r="J923" i="18"/>
  <c r="I924" i="18"/>
  <c r="J924" i="18"/>
  <c r="I925" i="18"/>
  <c r="J925" i="18"/>
  <c r="I926" i="18"/>
  <c r="J926" i="18"/>
  <c r="I927" i="18"/>
  <c r="J927" i="18"/>
  <c r="I928" i="18"/>
  <c r="J928" i="18"/>
  <c r="I929" i="18"/>
  <c r="J929" i="18"/>
  <c r="I930" i="18"/>
  <c r="J930" i="18"/>
  <c r="I931" i="18"/>
  <c r="J931" i="18"/>
  <c r="I932" i="18"/>
  <c r="J932" i="18"/>
  <c r="I933" i="18"/>
  <c r="J933" i="18"/>
  <c r="I934" i="18"/>
  <c r="J934" i="18"/>
  <c r="I935" i="18"/>
  <c r="J935" i="18"/>
  <c r="I936" i="18"/>
  <c r="J936" i="18"/>
  <c r="I937" i="18"/>
  <c r="J937" i="18"/>
  <c r="I938" i="18"/>
  <c r="J938" i="18"/>
  <c r="I939" i="18"/>
  <c r="J939" i="18"/>
  <c r="I940" i="18"/>
  <c r="J940" i="18"/>
  <c r="I941" i="18"/>
  <c r="J941" i="18"/>
  <c r="I942" i="18"/>
  <c r="J942" i="18"/>
  <c r="I943" i="18"/>
  <c r="J943" i="18"/>
  <c r="I944" i="18"/>
  <c r="J944" i="18"/>
  <c r="I945" i="18"/>
  <c r="J945" i="18"/>
  <c r="I946" i="18"/>
  <c r="J946" i="18"/>
  <c r="I947" i="18"/>
  <c r="J947" i="18"/>
  <c r="I948" i="18"/>
  <c r="J948" i="18"/>
  <c r="I949" i="18"/>
  <c r="J949" i="18"/>
  <c r="I950" i="18"/>
  <c r="J950" i="18"/>
  <c r="I951" i="18"/>
  <c r="J951" i="18"/>
  <c r="I952" i="18"/>
  <c r="J952" i="18"/>
  <c r="I953" i="18"/>
  <c r="J953" i="18"/>
  <c r="I954" i="18"/>
  <c r="J954" i="18"/>
  <c r="I955" i="18"/>
  <c r="J955" i="18"/>
  <c r="I956" i="18"/>
  <c r="J956" i="18"/>
  <c r="I957" i="18"/>
  <c r="J957" i="18"/>
  <c r="I958" i="18"/>
  <c r="J958" i="18"/>
  <c r="I959" i="18"/>
  <c r="J959" i="18"/>
  <c r="I960" i="18"/>
  <c r="J960" i="18"/>
  <c r="I961" i="18"/>
  <c r="J961" i="18"/>
  <c r="I962" i="18"/>
  <c r="J962" i="18"/>
  <c r="I963" i="18"/>
  <c r="J963" i="18"/>
  <c r="I964" i="18"/>
  <c r="J964" i="18"/>
  <c r="I965" i="18"/>
  <c r="J965" i="18"/>
  <c r="I966" i="18"/>
  <c r="J966" i="18"/>
  <c r="I967" i="18"/>
  <c r="J967" i="18"/>
  <c r="I968" i="18"/>
  <c r="J968" i="18"/>
  <c r="I969" i="18"/>
  <c r="J969" i="18"/>
  <c r="I970" i="18"/>
  <c r="J970" i="18"/>
  <c r="I971" i="18"/>
  <c r="J971" i="18"/>
  <c r="I972" i="18"/>
  <c r="J972" i="18"/>
  <c r="I973" i="18"/>
  <c r="J973" i="18"/>
  <c r="I974" i="18"/>
  <c r="J974" i="18"/>
  <c r="I975" i="18"/>
  <c r="J975" i="18"/>
  <c r="I976" i="18"/>
  <c r="J976" i="18"/>
  <c r="I977" i="18"/>
  <c r="J977" i="18"/>
  <c r="I978" i="18"/>
  <c r="J978" i="18"/>
  <c r="I979" i="18"/>
  <c r="J979" i="18"/>
  <c r="I980" i="18"/>
  <c r="J980" i="18"/>
  <c r="I981" i="18"/>
  <c r="J981" i="18"/>
  <c r="I982" i="18"/>
  <c r="J982" i="18"/>
  <c r="I983" i="18"/>
  <c r="J983" i="18"/>
  <c r="I984" i="18"/>
  <c r="J984" i="18"/>
  <c r="I985" i="18"/>
  <c r="J985" i="18"/>
  <c r="I986" i="18"/>
  <c r="J986" i="18"/>
  <c r="I987" i="18"/>
  <c r="J987" i="18"/>
  <c r="I988" i="18"/>
  <c r="J988" i="18"/>
  <c r="I989" i="18"/>
  <c r="J989" i="18"/>
  <c r="I990" i="18"/>
  <c r="J990" i="18"/>
  <c r="I991" i="18"/>
  <c r="J991" i="18"/>
  <c r="I992" i="18"/>
  <c r="J992" i="18"/>
  <c r="I993" i="18"/>
  <c r="J993" i="18"/>
  <c r="I994" i="18"/>
  <c r="J994" i="18"/>
  <c r="I995" i="18"/>
  <c r="J995" i="18"/>
  <c r="I996" i="18"/>
  <c r="J996" i="18"/>
  <c r="I997" i="18"/>
  <c r="J997" i="18"/>
  <c r="I998" i="18"/>
  <c r="J998" i="18"/>
  <c r="I999" i="18"/>
  <c r="J999" i="18"/>
  <c r="I1000" i="18"/>
  <c r="J1000" i="18"/>
  <c r="I1001" i="18"/>
  <c r="J1001" i="18"/>
  <c r="I1002" i="18"/>
  <c r="J1002" i="18"/>
  <c r="I1003" i="18"/>
  <c r="J1003" i="18"/>
  <c r="I1004" i="18"/>
  <c r="J1004" i="18"/>
  <c r="I1005" i="18"/>
  <c r="J1005" i="18"/>
  <c r="I1006" i="18"/>
  <c r="J1006" i="18"/>
  <c r="I1007" i="18"/>
  <c r="J1007" i="18"/>
  <c r="I1008" i="18"/>
  <c r="J1008" i="18"/>
  <c r="I1009" i="18"/>
  <c r="J1009" i="18"/>
  <c r="I1010" i="18"/>
  <c r="J1010" i="18"/>
  <c r="I1011" i="18"/>
  <c r="J1011" i="18"/>
  <c r="I1012" i="18"/>
  <c r="J1012" i="18"/>
  <c r="I1013" i="18"/>
  <c r="J1013" i="18"/>
  <c r="I1014" i="18"/>
  <c r="J1014" i="18"/>
  <c r="I1015" i="18"/>
  <c r="J1015" i="18"/>
  <c r="I1016" i="18"/>
  <c r="J1016" i="18"/>
  <c r="I1017" i="18"/>
  <c r="J1017" i="18"/>
  <c r="I1018" i="18"/>
  <c r="J1018" i="18"/>
  <c r="I1019" i="18"/>
  <c r="J1019" i="18"/>
  <c r="I1020" i="18"/>
  <c r="J1020" i="18"/>
  <c r="I1021" i="18"/>
  <c r="J1021" i="18"/>
  <c r="I1022" i="18"/>
  <c r="J1022" i="18"/>
  <c r="I1023" i="18"/>
  <c r="J1023" i="18"/>
  <c r="I1024" i="18"/>
  <c r="J1024" i="18"/>
  <c r="I1025" i="18"/>
  <c r="J1025" i="18"/>
  <c r="I1026" i="18"/>
  <c r="J1026" i="18"/>
  <c r="I1027" i="18"/>
  <c r="J1027" i="18"/>
  <c r="I1028" i="18"/>
  <c r="J1028" i="18"/>
  <c r="I1029" i="18"/>
  <c r="J1029" i="18"/>
  <c r="I1030" i="18"/>
  <c r="J1030" i="18"/>
  <c r="I1031" i="18"/>
  <c r="J1031" i="18"/>
  <c r="I1032" i="18"/>
  <c r="J1032" i="18"/>
  <c r="I1033" i="18"/>
  <c r="J1033" i="18"/>
  <c r="I1034" i="18"/>
  <c r="J1034" i="18"/>
  <c r="I1035" i="18"/>
  <c r="J1035" i="18"/>
  <c r="I1036" i="18"/>
  <c r="J1036" i="18"/>
  <c r="I1037" i="18"/>
  <c r="J1037" i="18"/>
  <c r="I1038" i="18"/>
  <c r="J1038" i="18"/>
  <c r="I1039" i="18"/>
  <c r="J1039" i="18"/>
  <c r="I1040" i="18"/>
  <c r="J1040" i="18"/>
  <c r="I1041" i="18"/>
  <c r="J1041" i="18"/>
  <c r="I1042" i="18"/>
  <c r="J1042" i="18"/>
  <c r="I1043" i="18"/>
  <c r="J1043" i="18"/>
  <c r="I1044" i="18"/>
  <c r="J1044" i="18"/>
  <c r="I1045" i="18"/>
  <c r="J1045" i="18"/>
  <c r="I1046" i="18"/>
  <c r="J1046" i="18"/>
  <c r="I1047" i="18"/>
  <c r="J1047" i="18"/>
  <c r="I1048" i="18"/>
  <c r="J1048" i="18"/>
  <c r="I1049" i="18"/>
  <c r="J1049" i="18"/>
  <c r="I1050" i="18"/>
  <c r="J1050" i="18"/>
  <c r="I1051" i="18"/>
  <c r="J1051" i="18"/>
  <c r="I1052" i="18"/>
  <c r="J1052" i="18"/>
  <c r="I1053" i="18"/>
  <c r="J1053" i="18"/>
  <c r="I1054" i="18"/>
  <c r="J1054" i="18"/>
  <c r="I1055" i="18"/>
  <c r="J1055" i="18"/>
  <c r="I1056" i="18"/>
  <c r="J1056" i="18"/>
  <c r="I1057" i="18"/>
  <c r="J1057" i="18"/>
  <c r="I1058" i="18"/>
  <c r="J1058" i="18"/>
  <c r="I1059" i="18"/>
  <c r="J1059" i="18"/>
  <c r="I1060" i="18"/>
  <c r="J1060" i="18"/>
  <c r="I1061" i="18"/>
  <c r="J1061" i="18"/>
  <c r="I1062" i="18"/>
  <c r="J1062" i="18"/>
  <c r="I1063" i="18"/>
  <c r="J1063" i="18"/>
  <c r="I1064" i="18"/>
  <c r="J1064" i="18"/>
  <c r="I1065" i="18"/>
  <c r="J1065" i="18"/>
  <c r="I1066" i="18"/>
  <c r="J1066" i="18"/>
  <c r="I1067" i="18"/>
  <c r="J1067" i="18"/>
  <c r="I1068" i="18"/>
  <c r="J1068" i="18"/>
  <c r="I1069" i="18"/>
  <c r="J1069" i="18"/>
  <c r="I1070" i="18"/>
  <c r="J1070" i="18"/>
  <c r="I1071" i="18"/>
  <c r="J1071" i="18"/>
  <c r="I1072" i="18"/>
  <c r="J1072" i="18"/>
  <c r="I1073" i="18"/>
  <c r="J1073" i="18"/>
  <c r="I1074" i="18"/>
  <c r="J1074" i="18"/>
  <c r="I1075" i="18"/>
  <c r="J1075" i="18"/>
  <c r="I1076" i="18"/>
  <c r="J1076" i="18"/>
  <c r="I1077" i="18"/>
  <c r="J1077" i="18"/>
  <c r="I1078" i="18"/>
  <c r="J1078" i="18"/>
  <c r="I1079" i="18"/>
  <c r="J1079" i="18"/>
  <c r="I4" i="17"/>
  <c r="J4" i="17"/>
  <c r="I5" i="17"/>
  <c r="J5" i="17"/>
  <c r="I6" i="17"/>
  <c r="J6" i="17"/>
  <c r="I7" i="17"/>
  <c r="J7" i="17"/>
  <c r="I8" i="17"/>
  <c r="J8" i="17"/>
  <c r="I9" i="17"/>
  <c r="J9" i="17"/>
  <c r="I10" i="17"/>
  <c r="J10" i="17"/>
  <c r="I11" i="17"/>
  <c r="J11" i="17"/>
  <c r="I12" i="17"/>
  <c r="J12" i="17"/>
  <c r="I13" i="17"/>
  <c r="J13" i="17"/>
  <c r="I14" i="17"/>
  <c r="J14" i="17"/>
  <c r="I15" i="17"/>
  <c r="J15" i="17"/>
  <c r="I16" i="17"/>
  <c r="J16" i="17"/>
  <c r="I17" i="17"/>
  <c r="J17" i="17"/>
  <c r="I18" i="17"/>
  <c r="J18" i="17"/>
  <c r="I19" i="17"/>
  <c r="J19" i="17"/>
  <c r="I20" i="17"/>
  <c r="J20" i="17"/>
  <c r="I21" i="17"/>
  <c r="J21" i="17"/>
  <c r="I22" i="17"/>
  <c r="J22" i="17"/>
  <c r="I23" i="17"/>
  <c r="J23" i="17"/>
  <c r="I24" i="17"/>
  <c r="J24" i="17"/>
  <c r="I25" i="17"/>
  <c r="J25" i="17"/>
  <c r="I26" i="17"/>
  <c r="J26" i="17"/>
  <c r="I27" i="17"/>
  <c r="J27" i="17"/>
  <c r="I28" i="17"/>
  <c r="J28" i="17"/>
  <c r="I29" i="17"/>
  <c r="J29" i="17"/>
  <c r="I30" i="17"/>
  <c r="J30" i="17"/>
  <c r="I31" i="17"/>
  <c r="J31" i="17"/>
  <c r="I32" i="17"/>
  <c r="J32" i="17"/>
  <c r="I33" i="17"/>
  <c r="J33" i="17"/>
  <c r="I34" i="17"/>
  <c r="J34" i="17"/>
  <c r="I35" i="17"/>
  <c r="J35" i="17"/>
  <c r="I36" i="17"/>
  <c r="J36" i="17"/>
  <c r="I37" i="17"/>
  <c r="J37" i="17"/>
  <c r="I38" i="17"/>
  <c r="J38" i="17"/>
  <c r="I39" i="17"/>
  <c r="J39" i="17"/>
  <c r="I40" i="17"/>
  <c r="J40" i="17"/>
  <c r="I41" i="17"/>
  <c r="J41" i="17"/>
  <c r="I42" i="17"/>
  <c r="J42" i="17"/>
  <c r="I43" i="17"/>
  <c r="J43" i="17"/>
  <c r="I44" i="17"/>
  <c r="J44" i="17"/>
  <c r="I45" i="17"/>
  <c r="J45" i="17"/>
  <c r="I46" i="17"/>
  <c r="J46" i="17"/>
  <c r="I47" i="17"/>
  <c r="J47" i="17"/>
  <c r="I48" i="17"/>
  <c r="J48" i="17"/>
  <c r="I49" i="17"/>
  <c r="J49" i="17"/>
  <c r="I50" i="17"/>
  <c r="J50" i="17"/>
  <c r="I51" i="17"/>
  <c r="J51" i="17"/>
  <c r="I52" i="17"/>
  <c r="J52" i="17"/>
  <c r="I53" i="17"/>
  <c r="J53" i="17"/>
  <c r="I54" i="17"/>
  <c r="J54" i="17"/>
  <c r="I55" i="17"/>
  <c r="J55" i="17"/>
  <c r="I56" i="17"/>
  <c r="J56" i="17"/>
  <c r="I57" i="17"/>
  <c r="J57" i="17"/>
  <c r="I58" i="17"/>
  <c r="J58" i="17"/>
  <c r="I59" i="17"/>
  <c r="J59" i="17"/>
  <c r="I60" i="17"/>
  <c r="J60" i="17"/>
  <c r="I61" i="17"/>
  <c r="J61" i="17"/>
  <c r="I62" i="17"/>
  <c r="J62" i="17"/>
  <c r="I63" i="17"/>
  <c r="J63" i="17"/>
  <c r="I64" i="17"/>
  <c r="J64" i="17"/>
  <c r="I65" i="17"/>
  <c r="J65" i="17"/>
  <c r="I66" i="17"/>
  <c r="J66" i="17"/>
  <c r="I67" i="17"/>
  <c r="J67" i="17"/>
  <c r="I68" i="17"/>
  <c r="J68" i="17"/>
  <c r="I69" i="17"/>
  <c r="J69" i="17"/>
  <c r="I70" i="17"/>
  <c r="J70" i="17"/>
  <c r="I71" i="17"/>
  <c r="J71" i="17"/>
  <c r="I72" i="17"/>
  <c r="J72" i="17"/>
  <c r="I73" i="17"/>
  <c r="J73" i="17"/>
  <c r="I74" i="17"/>
  <c r="J74" i="17"/>
  <c r="I75" i="17"/>
  <c r="J75" i="17"/>
  <c r="I76" i="17"/>
  <c r="J76" i="17"/>
  <c r="I77" i="17"/>
  <c r="J77" i="17"/>
  <c r="I78" i="17"/>
  <c r="J78" i="17"/>
  <c r="I79" i="17"/>
  <c r="J79" i="17"/>
  <c r="I80" i="17"/>
  <c r="J80" i="17"/>
  <c r="I81" i="17"/>
  <c r="J81" i="17"/>
  <c r="I82" i="17"/>
  <c r="J82" i="17"/>
  <c r="I83" i="17"/>
  <c r="J83" i="17"/>
  <c r="I84" i="17"/>
  <c r="J84" i="17"/>
  <c r="I85" i="17"/>
  <c r="J85" i="17"/>
  <c r="I86" i="17"/>
  <c r="J86" i="17"/>
  <c r="I87" i="17"/>
  <c r="J87" i="17"/>
  <c r="I88" i="17"/>
  <c r="J88" i="17"/>
  <c r="I89" i="17"/>
  <c r="J89" i="17"/>
  <c r="I90" i="17"/>
  <c r="J90" i="17"/>
  <c r="I91" i="17"/>
  <c r="J91" i="17"/>
  <c r="I92" i="17"/>
  <c r="J92" i="17"/>
  <c r="I93" i="17"/>
  <c r="J93" i="17"/>
  <c r="I94" i="17"/>
  <c r="J94" i="17"/>
  <c r="I95" i="17"/>
  <c r="J95" i="17"/>
  <c r="I96" i="17"/>
  <c r="J96" i="17"/>
  <c r="I97" i="17"/>
  <c r="J97" i="17"/>
  <c r="I98" i="17"/>
  <c r="J98" i="17"/>
  <c r="I99" i="17"/>
  <c r="J99" i="17"/>
  <c r="I100" i="17"/>
  <c r="J100" i="17"/>
  <c r="I101" i="17"/>
  <c r="J101" i="17"/>
  <c r="I102" i="17"/>
  <c r="J102" i="17"/>
  <c r="I103" i="17"/>
  <c r="J103" i="17"/>
  <c r="I104" i="17"/>
  <c r="J104" i="17"/>
  <c r="I105" i="17"/>
  <c r="J105" i="17"/>
  <c r="I106" i="17"/>
  <c r="J106" i="17"/>
  <c r="I107" i="17"/>
  <c r="J107" i="17"/>
  <c r="I108" i="17"/>
  <c r="J108" i="17"/>
  <c r="I109" i="17"/>
  <c r="J109" i="17"/>
  <c r="I110" i="17"/>
  <c r="J110" i="17"/>
  <c r="I111" i="17"/>
  <c r="J111" i="17"/>
  <c r="I112" i="17"/>
  <c r="J112" i="17"/>
  <c r="I113" i="17"/>
  <c r="J113" i="17"/>
  <c r="I114" i="17"/>
  <c r="J114" i="17"/>
  <c r="I115" i="17"/>
  <c r="J115" i="17"/>
  <c r="I116" i="17"/>
  <c r="J116" i="17"/>
  <c r="I117" i="17"/>
  <c r="J117" i="17"/>
  <c r="I118" i="17"/>
  <c r="J118" i="17"/>
  <c r="I119" i="17"/>
  <c r="J119" i="17"/>
  <c r="I120" i="17"/>
  <c r="J120" i="17"/>
  <c r="I121" i="17"/>
  <c r="J121" i="17"/>
  <c r="I122" i="17"/>
  <c r="J122" i="17"/>
  <c r="I123" i="17"/>
  <c r="J123" i="17"/>
  <c r="I124" i="17"/>
  <c r="J124" i="17"/>
  <c r="I125" i="17"/>
  <c r="J125" i="17"/>
  <c r="I126" i="17"/>
  <c r="J126" i="17"/>
  <c r="I127" i="17"/>
  <c r="J127" i="17"/>
  <c r="I128" i="17"/>
  <c r="J128" i="17"/>
  <c r="I129" i="17"/>
  <c r="J129" i="17"/>
  <c r="I130" i="17"/>
  <c r="J130" i="17"/>
  <c r="I131" i="17"/>
  <c r="J131" i="17"/>
  <c r="I132" i="17"/>
  <c r="J132" i="17"/>
  <c r="I133" i="17"/>
  <c r="J133" i="17"/>
  <c r="I134" i="17"/>
  <c r="J134" i="17"/>
  <c r="I135" i="17"/>
  <c r="J135" i="17"/>
  <c r="I136" i="17"/>
  <c r="J136" i="17"/>
  <c r="I137" i="17"/>
  <c r="J137" i="17"/>
  <c r="I138" i="17"/>
  <c r="J138" i="17" s="1"/>
  <c r="I139" i="17"/>
  <c r="J139" i="17"/>
  <c r="I140" i="17"/>
  <c r="J140" i="17"/>
  <c r="I141" i="17"/>
  <c r="J141" i="17"/>
  <c r="I142" i="17"/>
  <c r="J142" i="17"/>
  <c r="I143" i="17"/>
  <c r="J143" i="17"/>
  <c r="I144" i="17"/>
  <c r="J144" i="17"/>
  <c r="I145" i="17"/>
  <c r="J145" i="17"/>
  <c r="I146" i="17"/>
  <c r="J146" i="17"/>
  <c r="I147" i="17"/>
  <c r="J147" i="17"/>
  <c r="I148" i="17"/>
  <c r="J148" i="17"/>
  <c r="I149" i="17"/>
  <c r="J149" i="17"/>
  <c r="I150" i="17"/>
  <c r="J150" i="17"/>
  <c r="I151" i="17"/>
  <c r="J151" i="17"/>
  <c r="I152" i="17"/>
  <c r="J152" i="17"/>
  <c r="I153" i="17"/>
  <c r="J153" i="17"/>
  <c r="I154" i="17"/>
  <c r="J154" i="17"/>
  <c r="I155" i="17"/>
  <c r="J155" i="17"/>
  <c r="I156" i="17"/>
  <c r="J156" i="17"/>
  <c r="I157" i="17"/>
  <c r="J157" i="17"/>
  <c r="I158" i="17"/>
  <c r="J158" i="17"/>
  <c r="I159" i="17"/>
  <c r="J159" i="17"/>
  <c r="I160" i="17"/>
  <c r="J160" i="17"/>
  <c r="I161" i="17"/>
  <c r="J161" i="17"/>
  <c r="I162" i="17"/>
  <c r="J162" i="17"/>
  <c r="I163" i="17"/>
  <c r="J163" i="17"/>
  <c r="I164" i="17"/>
  <c r="J164" i="17"/>
  <c r="I165" i="17"/>
  <c r="J165" i="17"/>
  <c r="I166" i="17"/>
  <c r="J166" i="17" s="1"/>
  <c r="I167" i="17"/>
  <c r="J167" i="17"/>
  <c r="I168" i="17"/>
  <c r="J168" i="17" s="1"/>
  <c r="I169" i="17"/>
  <c r="J169" i="17"/>
  <c r="I170" i="17"/>
  <c r="J170" i="17" s="1"/>
  <c r="I171" i="17"/>
  <c r="J171" i="17"/>
  <c r="I172" i="17"/>
  <c r="J172" i="17" s="1"/>
  <c r="I173" i="17"/>
  <c r="J173" i="17"/>
  <c r="I174" i="17"/>
  <c r="J174" i="17" s="1"/>
  <c r="I175" i="17"/>
  <c r="J175" i="17"/>
  <c r="I176" i="17"/>
  <c r="J176" i="17" s="1"/>
  <c r="I177" i="17"/>
  <c r="J177" i="17"/>
  <c r="I178" i="17"/>
  <c r="J178" i="17" s="1"/>
  <c r="I179" i="17"/>
  <c r="J179" i="17"/>
  <c r="I180" i="17"/>
  <c r="J180" i="17" s="1"/>
  <c r="I181" i="17"/>
  <c r="J181" i="17"/>
  <c r="I182" i="17"/>
  <c r="J182" i="17" s="1"/>
  <c r="I183" i="17"/>
  <c r="J183" i="17"/>
  <c r="I184" i="17"/>
  <c r="J184" i="17" s="1"/>
  <c r="I185" i="17"/>
  <c r="J185" i="17"/>
  <c r="I186" i="17"/>
  <c r="J186" i="17" s="1"/>
  <c r="I187" i="17"/>
  <c r="J187" i="17"/>
  <c r="I188" i="17"/>
  <c r="J188" i="17" s="1"/>
  <c r="I189" i="17"/>
  <c r="J189" i="17"/>
  <c r="I190" i="17"/>
  <c r="J190" i="17" s="1"/>
  <c r="I191" i="17"/>
  <c r="J191" i="17"/>
  <c r="I192" i="17"/>
  <c r="J192" i="17" s="1"/>
  <c r="I193" i="17"/>
  <c r="J193" i="17"/>
  <c r="I194" i="17"/>
  <c r="J194" i="17" s="1"/>
  <c r="I195" i="17"/>
  <c r="J195" i="17"/>
  <c r="I196" i="17"/>
  <c r="J196" i="17" s="1"/>
  <c r="I197" i="17"/>
  <c r="J197" i="17"/>
  <c r="I198" i="17"/>
  <c r="J198" i="17" s="1"/>
  <c r="I199" i="17"/>
  <c r="J199" i="17"/>
  <c r="I200" i="17"/>
  <c r="J200" i="17" s="1"/>
  <c r="I201" i="17"/>
  <c r="J201" i="17"/>
  <c r="I202" i="17"/>
  <c r="J202" i="17" s="1"/>
  <c r="I203" i="17"/>
  <c r="J203" i="17"/>
  <c r="I204" i="17"/>
  <c r="J204" i="17" s="1"/>
  <c r="I205" i="17"/>
  <c r="J205" i="17"/>
  <c r="I206" i="17"/>
  <c r="J206" i="17" s="1"/>
  <c r="I207" i="17"/>
  <c r="J207" i="17"/>
  <c r="I208" i="17"/>
  <c r="J208" i="17" s="1"/>
  <c r="I209" i="17"/>
  <c r="J209" i="17"/>
  <c r="I210" i="17"/>
  <c r="J210" i="17" s="1"/>
  <c r="I211" i="17"/>
  <c r="J211" i="17"/>
  <c r="I212" i="17"/>
  <c r="J212" i="17" s="1"/>
  <c r="I213" i="17"/>
  <c r="J213" i="17"/>
  <c r="I214" i="17"/>
  <c r="J214" i="17" s="1"/>
  <c r="I215" i="17"/>
  <c r="J215" i="17"/>
  <c r="I216" i="17"/>
  <c r="J216" i="17" s="1"/>
  <c r="I217" i="17"/>
  <c r="J217" i="17"/>
  <c r="I218" i="17"/>
  <c r="J218" i="17" s="1"/>
  <c r="I219" i="17"/>
  <c r="J219" i="17"/>
  <c r="I220" i="17"/>
  <c r="J220" i="17" s="1"/>
  <c r="I221" i="17"/>
  <c r="J221" i="17"/>
  <c r="I222" i="17"/>
  <c r="J222" i="17" s="1"/>
  <c r="I223" i="17"/>
  <c r="J223" i="17"/>
  <c r="I224" i="17"/>
  <c r="J224" i="17" s="1"/>
  <c r="I225" i="17"/>
  <c r="J225" i="17"/>
  <c r="I226" i="17"/>
  <c r="J226" i="17" s="1"/>
  <c r="I227" i="17"/>
  <c r="J227" i="17"/>
  <c r="I228" i="17"/>
  <c r="J228" i="17" s="1"/>
  <c r="I229" i="17"/>
  <c r="J229" i="17"/>
  <c r="I230" i="17"/>
  <c r="J230" i="17" s="1"/>
  <c r="I231" i="17"/>
  <c r="J231" i="17"/>
  <c r="I232" i="17"/>
  <c r="J232" i="17" s="1"/>
  <c r="I233" i="17"/>
  <c r="J233" i="17"/>
  <c r="I234" i="17"/>
  <c r="J234" i="17" s="1"/>
  <c r="I235" i="17"/>
  <c r="J235" i="17"/>
  <c r="I236" i="17"/>
  <c r="J236" i="17" s="1"/>
  <c r="I237" i="17"/>
  <c r="J237" i="17"/>
  <c r="I238" i="17"/>
  <c r="J238" i="17" s="1"/>
  <c r="I239" i="17"/>
  <c r="J239" i="17"/>
  <c r="I240" i="17"/>
  <c r="J240" i="17" s="1"/>
  <c r="I241" i="17"/>
  <c r="J241" i="17"/>
  <c r="I242" i="17"/>
  <c r="J242" i="17" s="1"/>
  <c r="I243" i="17"/>
  <c r="J243" i="17"/>
  <c r="I244" i="17"/>
  <c r="J244" i="17" s="1"/>
  <c r="I245" i="17"/>
  <c r="J245" i="17"/>
  <c r="I246" i="17"/>
  <c r="J246" i="17" s="1"/>
  <c r="I247" i="17"/>
  <c r="J247" i="17"/>
  <c r="I248" i="17"/>
  <c r="J248" i="17" s="1"/>
  <c r="I249" i="17"/>
  <c r="J249" i="17" s="1"/>
  <c r="I250" i="17"/>
  <c r="J250" i="17" s="1"/>
  <c r="I251" i="17"/>
  <c r="J251" i="17"/>
  <c r="I252" i="17"/>
  <c r="J252" i="17" s="1"/>
  <c r="I253" i="17"/>
  <c r="J253" i="17"/>
  <c r="I254" i="17"/>
  <c r="J254" i="17" s="1"/>
  <c r="I255" i="17"/>
  <c r="J255" i="17"/>
  <c r="I256" i="17"/>
  <c r="J256" i="17" s="1"/>
  <c r="I257" i="17"/>
  <c r="J257" i="17" s="1"/>
  <c r="I258" i="17"/>
  <c r="J258" i="17" s="1"/>
  <c r="I259" i="17"/>
  <c r="J259" i="17"/>
  <c r="I260" i="17"/>
  <c r="J260" i="17" s="1"/>
  <c r="I261" i="17"/>
  <c r="J261" i="17"/>
  <c r="I262" i="17"/>
  <c r="J262" i="17" s="1"/>
  <c r="I263" i="17"/>
  <c r="J263" i="17"/>
  <c r="I264" i="17"/>
  <c r="J264" i="17" s="1"/>
  <c r="I265" i="17"/>
  <c r="J265" i="17" s="1"/>
  <c r="I266" i="17"/>
  <c r="J266" i="17" s="1"/>
  <c r="I267" i="17"/>
  <c r="J267" i="17"/>
  <c r="I268" i="17"/>
  <c r="J268" i="17" s="1"/>
  <c r="I269" i="17"/>
  <c r="J269" i="17"/>
  <c r="I270" i="17"/>
  <c r="J270" i="17" s="1"/>
  <c r="I271" i="17"/>
  <c r="J271" i="17"/>
  <c r="I272" i="17"/>
  <c r="J272" i="17" s="1"/>
  <c r="I273" i="17"/>
  <c r="J273" i="17" s="1"/>
  <c r="I274" i="17"/>
  <c r="J274" i="17" s="1"/>
  <c r="I275" i="17"/>
  <c r="J275" i="17"/>
  <c r="I276" i="17"/>
  <c r="J276" i="17" s="1"/>
  <c r="I277" i="17"/>
  <c r="J277" i="17"/>
  <c r="I278" i="17"/>
  <c r="J278" i="17" s="1"/>
  <c r="I279" i="17"/>
  <c r="J279" i="17"/>
  <c r="I280" i="17"/>
  <c r="J280" i="17" s="1"/>
  <c r="I281" i="17"/>
  <c r="J281" i="17" s="1"/>
  <c r="I282" i="17"/>
  <c r="J282" i="17" s="1"/>
  <c r="I283" i="17"/>
  <c r="J283" i="17"/>
  <c r="I284" i="17"/>
  <c r="J284" i="17" s="1"/>
  <c r="I285" i="17"/>
  <c r="J285" i="17"/>
  <c r="I286" i="17"/>
  <c r="J286" i="17" s="1"/>
  <c r="I287" i="17"/>
  <c r="J287" i="17" s="1"/>
  <c r="I288" i="17"/>
  <c r="J288" i="17" s="1"/>
  <c r="I289" i="17"/>
  <c r="J289" i="17" s="1"/>
  <c r="I290" i="17"/>
  <c r="J290" i="17" s="1"/>
  <c r="I291" i="17"/>
  <c r="J291" i="17"/>
  <c r="I292" i="17"/>
  <c r="J292" i="17" s="1"/>
  <c r="I293" i="17"/>
  <c r="J293" i="17"/>
  <c r="I294" i="17"/>
  <c r="J294" i="17" s="1"/>
  <c r="I295" i="17"/>
  <c r="J295" i="17" s="1"/>
  <c r="I296" i="17"/>
  <c r="J296" i="17" s="1"/>
  <c r="I297" i="17"/>
  <c r="J297" i="17" s="1"/>
  <c r="I298" i="17"/>
  <c r="J298" i="17" s="1"/>
  <c r="I299" i="17"/>
  <c r="J299" i="17"/>
  <c r="I300" i="17"/>
  <c r="J300" i="17" s="1"/>
  <c r="I301" i="17"/>
  <c r="J301" i="17"/>
  <c r="I302" i="17"/>
  <c r="J302" i="17" s="1"/>
  <c r="I303" i="17"/>
  <c r="J303" i="17" s="1"/>
  <c r="I304" i="17"/>
  <c r="J304" i="17" s="1"/>
  <c r="I305" i="17"/>
  <c r="J305" i="17" s="1"/>
  <c r="I306" i="17"/>
  <c r="J306" i="17" s="1"/>
  <c r="I307" i="17"/>
  <c r="J307" i="17"/>
  <c r="I308" i="17"/>
  <c r="J308" i="17" s="1"/>
  <c r="I309" i="17"/>
  <c r="J309" i="17"/>
  <c r="I310" i="17"/>
  <c r="J310" i="17" s="1"/>
  <c r="I311" i="17"/>
  <c r="J311" i="17" s="1"/>
  <c r="I312" i="17"/>
  <c r="J312" i="17" s="1"/>
  <c r="I313" i="17"/>
  <c r="J313" i="17" s="1"/>
  <c r="I314" i="17"/>
  <c r="J314" i="17" s="1"/>
  <c r="I315" i="17"/>
  <c r="J315" i="17"/>
  <c r="I316" i="17"/>
  <c r="J316" i="17" s="1"/>
  <c r="I317" i="17"/>
  <c r="J317" i="17"/>
  <c r="I318" i="17"/>
  <c r="J318" i="17" s="1"/>
  <c r="I319" i="17"/>
  <c r="J319" i="17" s="1"/>
  <c r="I320" i="17"/>
  <c r="J320" i="17" s="1"/>
  <c r="I321" i="17"/>
  <c r="J321" i="17" s="1"/>
  <c r="I322" i="17"/>
  <c r="J322" i="17" s="1"/>
  <c r="I323" i="17"/>
  <c r="J323" i="17"/>
  <c r="I324" i="17"/>
  <c r="J324" i="17" s="1"/>
  <c r="I325" i="17"/>
  <c r="J325" i="17"/>
  <c r="I326" i="17"/>
  <c r="J326" i="17" s="1"/>
  <c r="I327" i="17"/>
  <c r="J327" i="17" s="1"/>
  <c r="I328" i="17"/>
  <c r="J328" i="17" s="1"/>
  <c r="I329" i="17"/>
  <c r="J329" i="17" s="1"/>
  <c r="I330" i="17"/>
  <c r="J330" i="17" s="1"/>
  <c r="I331" i="17"/>
  <c r="J331" i="17"/>
  <c r="I332" i="17"/>
  <c r="J332" i="17" s="1"/>
  <c r="I333" i="17"/>
  <c r="J333" i="17"/>
  <c r="I334" i="17"/>
  <c r="J334" i="17" s="1"/>
  <c r="I335" i="17"/>
  <c r="J335" i="17"/>
  <c r="I336" i="17"/>
  <c r="J336" i="17" s="1"/>
  <c r="I337" i="17"/>
  <c r="J337" i="17"/>
  <c r="I338" i="17"/>
  <c r="J338" i="17" s="1"/>
  <c r="I339" i="17"/>
  <c r="J339" i="17"/>
  <c r="I340" i="17"/>
  <c r="J340" i="17" s="1"/>
  <c r="I341" i="17"/>
  <c r="J341" i="17"/>
  <c r="I342" i="17"/>
  <c r="J342" i="17" s="1"/>
  <c r="I343" i="17"/>
  <c r="J343" i="17"/>
  <c r="I344" i="17"/>
  <c r="J344" i="17" s="1"/>
  <c r="I345" i="17"/>
  <c r="J345" i="17"/>
  <c r="I346" i="17"/>
  <c r="J346" i="17" s="1"/>
  <c r="I347" i="17"/>
  <c r="J347" i="17"/>
  <c r="I348" i="17"/>
  <c r="J348" i="17" s="1"/>
  <c r="I349" i="17"/>
  <c r="J349" i="17"/>
  <c r="I350" i="17"/>
  <c r="J350" i="17" s="1"/>
  <c r="I351" i="17"/>
  <c r="J351" i="17"/>
  <c r="I352" i="17"/>
  <c r="J352" i="17" s="1"/>
  <c r="I353" i="17"/>
  <c r="J353" i="17"/>
  <c r="I354" i="17"/>
  <c r="J354" i="17" s="1"/>
  <c r="I355" i="17"/>
  <c r="J355" i="17"/>
  <c r="I356" i="17"/>
  <c r="J356" i="17" s="1"/>
  <c r="I357" i="17"/>
  <c r="J357" i="17"/>
  <c r="I358" i="17"/>
  <c r="J358" i="17" s="1"/>
  <c r="I359" i="17"/>
  <c r="J359" i="17"/>
  <c r="I360" i="17"/>
  <c r="J360" i="17" s="1"/>
  <c r="I361" i="17"/>
  <c r="J361" i="17"/>
  <c r="I362" i="17"/>
  <c r="J362" i="17" s="1"/>
  <c r="I363" i="17"/>
  <c r="J363" i="17"/>
  <c r="I364" i="17"/>
  <c r="J364" i="17" s="1"/>
  <c r="I365" i="17"/>
  <c r="J365" i="17"/>
  <c r="I366" i="17"/>
  <c r="J366" i="17" s="1"/>
  <c r="I367" i="17"/>
  <c r="J367" i="17"/>
  <c r="I368" i="17"/>
  <c r="J368" i="17" s="1"/>
  <c r="I369" i="17"/>
  <c r="J369" i="17"/>
  <c r="I370" i="17"/>
  <c r="J370" i="17" s="1"/>
  <c r="I371" i="17"/>
  <c r="J371" i="17"/>
  <c r="I372" i="17"/>
  <c r="J372" i="17" s="1"/>
  <c r="I373" i="17"/>
  <c r="J373" i="17"/>
  <c r="I374" i="17"/>
  <c r="J374" i="17" s="1"/>
  <c r="I375" i="17"/>
  <c r="J375" i="17"/>
  <c r="I376" i="17"/>
  <c r="J376" i="17" s="1"/>
  <c r="I377" i="17"/>
  <c r="J377" i="17"/>
  <c r="I378" i="17"/>
  <c r="J378" i="17" s="1"/>
  <c r="I379" i="17"/>
  <c r="J379" i="17"/>
  <c r="I380" i="17"/>
  <c r="J380" i="17" s="1"/>
  <c r="I381" i="17"/>
  <c r="J381" i="17"/>
  <c r="I382" i="17"/>
  <c r="J382" i="17" s="1"/>
  <c r="I383" i="17"/>
  <c r="J383" i="17"/>
  <c r="I384" i="17"/>
  <c r="J384" i="17" s="1"/>
  <c r="I385" i="17"/>
  <c r="J385" i="17"/>
  <c r="I386" i="17"/>
  <c r="J386" i="17" s="1"/>
  <c r="I387" i="17"/>
  <c r="J387" i="17"/>
  <c r="I388" i="17"/>
  <c r="J388" i="17" s="1"/>
  <c r="I389" i="17"/>
  <c r="J389" i="17"/>
  <c r="I390" i="17"/>
  <c r="J390" i="17" s="1"/>
  <c r="I391" i="17"/>
  <c r="J391" i="17"/>
  <c r="I392" i="17"/>
  <c r="J392" i="17" s="1"/>
  <c r="I393" i="17"/>
  <c r="J393" i="17"/>
  <c r="I394" i="17"/>
  <c r="J394" i="17" s="1"/>
  <c r="I395" i="17"/>
  <c r="J395" i="17"/>
  <c r="I396" i="17"/>
  <c r="J396" i="17" s="1"/>
  <c r="I397" i="17"/>
  <c r="J397" i="17"/>
  <c r="I398" i="17"/>
  <c r="J398" i="17" s="1"/>
  <c r="I399" i="17"/>
  <c r="J399" i="17"/>
  <c r="I400" i="17"/>
  <c r="J400" i="17" s="1"/>
  <c r="I401" i="17"/>
  <c r="J401" i="17"/>
  <c r="I402" i="17"/>
  <c r="J402" i="17" s="1"/>
  <c r="I403" i="17"/>
  <c r="J403" i="17"/>
  <c r="I404" i="17"/>
  <c r="J404" i="17" s="1"/>
  <c r="I405" i="17"/>
  <c r="J405" i="17"/>
  <c r="I406" i="17"/>
  <c r="J406" i="17" s="1"/>
  <c r="I407" i="17"/>
  <c r="J407" i="17"/>
  <c r="I408" i="17"/>
  <c r="J408" i="17" s="1"/>
  <c r="I409" i="17"/>
  <c r="J409" i="17"/>
  <c r="I410" i="17"/>
  <c r="J410" i="17" s="1"/>
  <c r="I411" i="17"/>
  <c r="J411" i="17"/>
  <c r="I412" i="17"/>
  <c r="J412" i="17" s="1"/>
  <c r="I413" i="17"/>
  <c r="J413" i="17"/>
  <c r="I414" i="17"/>
  <c r="J414" i="17" s="1"/>
  <c r="I415" i="17"/>
  <c r="J415" i="17"/>
  <c r="I416" i="17"/>
  <c r="J416" i="17" s="1"/>
  <c r="I417" i="17"/>
  <c r="J417" i="17"/>
  <c r="I418" i="17"/>
  <c r="J418" i="17" s="1"/>
  <c r="I419" i="17"/>
  <c r="J419" i="17"/>
  <c r="I420" i="17"/>
  <c r="J420" i="17" s="1"/>
  <c r="I421" i="17"/>
  <c r="J421" i="17"/>
  <c r="I422" i="17"/>
  <c r="J422" i="17" s="1"/>
  <c r="I423" i="17"/>
  <c r="J423" i="17"/>
  <c r="I424" i="17"/>
  <c r="J424" i="17" s="1"/>
  <c r="I425" i="17"/>
  <c r="J425" i="17"/>
  <c r="I426" i="17"/>
  <c r="J426" i="17" s="1"/>
  <c r="I427" i="17"/>
  <c r="J427" i="17"/>
  <c r="I428" i="17"/>
  <c r="J428" i="17" s="1"/>
  <c r="I429" i="17"/>
  <c r="J429" i="17"/>
  <c r="I430" i="17"/>
  <c r="J430" i="17" s="1"/>
  <c r="I431" i="17"/>
  <c r="J431" i="17"/>
  <c r="I432" i="17"/>
  <c r="J432" i="17" s="1"/>
  <c r="I433" i="17"/>
  <c r="J433" i="17"/>
  <c r="I434" i="17"/>
  <c r="J434" i="17" s="1"/>
  <c r="I435" i="17"/>
  <c r="J435" i="17"/>
  <c r="I436" i="17"/>
  <c r="J436" i="17" s="1"/>
  <c r="I437" i="17"/>
  <c r="J437" i="17"/>
  <c r="I438" i="17"/>
  <c r="J438" i="17" s="1"/>
  <c r="I439" i="17"/>
  <c r="J439" i="17" s="1"/>
  <c r="I440" i="17"/>
  <c r="J440" i="17" s="1"/>
  <c r="I441" i="17"/>
  <c r="J441" i="17"/>
  <c r="I442" i="17"/>
  <c r="J442" i="17" s="1"/>
  <c r="I443" i="17"/>
  <c r="J443" i="17" s="1"/>
  <c r="I444" i="17"/>
  <c r="J444" i="17" s="1"/>
  <c r="I445" i="17"/>
  <c r="J445" i="17"/>
  <c r="I446" i="17"/>
  <c r="J446" i="17" s="1"/>
  <c r="I447" i="17"/>
  <c r="J447" i="17" s="1"/>
  <c r="I448" i="17"/>
  <c r="J448" i="17" s="1"/>
  <c r="I449" i="17"/>
  <c r="J449" i="17"/>
  <c r="I450" i="17"/>
  <c r="J450" i="17" s="1"/>
  <c r="I451" i="17"/>
  <c r="J451" i="17" s="1"/>
  <c r="I452" i="17"/>
  <c r="J452" i="17" s="1"/>
  <c r="I453" i="17"/>
  <c r="J453" i="17"/>
  <c r="I454" i="17"/>
  <c r="J454" i="17" s="1"/>
  <c r="I455" i="17"/>
  <c r="J455" i="17" s="1"/>
  <c r="I456" i="17"/>
  <c r="J456" i="17" s="1"/>
  <c r="I457" i="17"/>
  <c r="J457" i="17"/>
  <c r="I458" i="17"/>
  <c r="J458" i="17" s="1"/>
  <c r="I459" i="17"/>
  <c r="J459" i="17" s="1"/>
  <c r="I460" i="17"/>
  <c r="J460" i="17" s="1"/>
  <c r="I461" i="17"/>
  <c r="J461" i="17"/>
  <c r="I462" i="17"/>
  <c r="J462" i="17" s="1"/>
  <c r="I463" i="17"/>
  <c r="J463" i="17" s="1"/>
  <c r="I464" i="17"/>
  <c r="J464" i="17" s="1"/>
  <c r="I465" i="17"/>
  <c r="J465" i="17"/>
  <c r="I466" i="17"/>
  <c r="J466" i="17" s="1"/>
  <c r="I467" i="17"/>
  <c r="J467" i="17" s="1"/>
  <c r="I468" i="17"/>
  <c r="J468" i="17" s="1"/>
  <c r="I469" i="17"/>
  <c r="J469" i="17"/>
  <c r="I470" i="17"/>
  <c r="J470" i="17" s="1"/>
  <c r="I471" i="17"/>
  <c r="J471" i="17" s="1"/>
  <c r="I472" i="17"/>
  <c r="J472" i="17" s="1"/>
  <c r="I473" i="17"/>
  <c r="J473" i="17"/>
  <c r="I474" i="17"/>
  <c r="J474" i="17" s="1"/>
  <c r="I475" i="17"/>
  <c r="J475" i="17" s="1"/>
  <c r="I476" i="17"/>
  <c r="J476" i="17" s="1"/>
  <c r="I477" i="17"/>
  <c r="J477" i="17"/>
  <c r="I478" i="17"/>
  <c r="J478" i="17" s="1"/>
  <c r="I479" i="17"/>
  <c r="J479" i="17" s="1"/>
  <c r="I480" i="17"/>
  <c r="J480" i="17" s="1"/>
  <c r="I481" i="17"/>
  <c r="J481" i="17"/>
  <c r="I482" i="17"/>
  <c r="J482" i="17"/>
  <c r="I483" i="17"/>
  <c r="J483" i="17"/>
  <c r="I484" i="17"/>
  <c r="J484" i="17"/>
  <c r="I485" i="17"/>
  <c r="J485" i="17"/>
  <c r="I486" i="17"/>
  <c r="J486" i="17"/>
  <c r="I487" i="17"/>
  <c r="J487" i="17"/>
  <c r="I488" i="17"/>
  <c r="J488" i="17"/>
  <c r="I489" i="17"/>
  <c r="J489" i="17"/>
  <c r="I490" i="17"/>
  <c r="J490" i="17"/>
  <c r="I491" i="17"/>
  <c r="J491" i="17"/>
  <c r="I492" i="17"/>
  <c r="J492" i="17"/>
  <c r="I493" i="17"/>
  <c r="J493" i="17"/>
  <c r="I494" i="17"/>
  <c r="J494" i="17"/>
  <c r="I495" i="17"/>
  <c r="J495" i="17"/>
  <c r="I496" i="17"/>
  <c r="J496" i="17"/>
  <c r="I497" i="17"/>
  <c r="J497" i="17"/>
  <c r="I498" i="17"/>
  <c r="J498" i="17"/>
  <c r="I499" i="17"/>
  <c r="J499" i="17"/>
  <c r="I500" i="17"/>
  <c r="J500" i="17"/>
  <c r="I501" i="17"/>
  <c r="J501" i="17"/>
  <c r="I502" i="17"/>
  <c r="J502" i="17"/>
  <c r="I503" i="17"/>
  <c r="J503" i="17"/>
  <c r="I504" i="17"/>
  <c r="J504" i="17"/>
  <c r="I505" i="17"/>
  <c r="J505" i="17"/>
  <c r="I506" i="17"/>
  <c r="J506" i="17"/>
  <c r="I507" i="17"/>
  <c r="J507" i="17"/>
  <c r="I508" i="17"/>
  <c r="J508" i="17"/>
  <c r="I509" i="17"/>
  <c r="J509" i="17"/>
  <c r="I510" i="17"/>
  <c r="J510" i="17"/>
  <c r="I511" i="17"/>
  <c r="J511" i="17"/>
  <c r="I512" i="17"/>
  <c r="J512" i="17"/>
  <c r="I513" i="17"/>
  <c r="J513" i="17"/>
  <c r="I514" i="17"/>
  <c r="J514" i="17"/>
  <c r="I515" i="17"/>
  <c r="J515" i="17"/>
  <c r="I516" i="17"/>
  <c r="J516" i="17"/>
  <c r="I517" i="17"/>
  <c r="J517" i="17"/>
  <c r="I518" i="17"/>
  <c r="J518" i="17"/>
  <c r="I519" i="17"/>
  <c r="J519" i="17"/>
  <c r="I520" i="17"/>
  <c r="J520" i="17"/>
  <c r="I521" i="17"/>
  <c r="J521" i="17"/>
  <c r="I522" i="17"/>
  <c r="J522" i="17"/>
  <c r="I523" i="17"/>
  <c r="J523" i="17"/>
  <c r="I524" i="17"/>
  <c r="J524" i="17"/>
  <c r="I525" i="17"/>
  <c r="J525" i="17"/>
  <c r="I526" i="17"/>
  <c r="J526" i="17"/>
  <c r="I527" i="17"/>
  <c r="J527" i="17"/>
  <c r="I528" i="17"/>
  <c r="J528" i="17"/>
  <c r="I529" i="17"/>
  <c r="J529" i="17"/>
  <c r="I530" i="17"/>
  <c r="J530" i="17"/>
  <c r="I531" i="17"/>
  <c r="J531" i="17"/>
  <c r="I532" i="17"/>
  <c r="J532" i="17"/>
  <c r="I533" i="17"/>
  <c r="J533" i="17"/>
  <c r="I534" i="17"/>
  <c r="J534" i="17"/>
  <c r="I535" i="17"/>
  <c r="J535" i="17"/>
  <c r="I536" i="17"/>
  <c r="J536" i="17"/>
  <c r="I537" i="17"/>
  <c r="J537" i="17"/>
  <c r="I538" i="17"/>
  <c r="J538" i="17"/>
  <c r="I539" i="17"/>
  <c r="J539" i="17"/>
  <c r="I540" i="17"/>
  <c r="J540" i="17"/>
  <c r="I541" i="17"/>
  <c r="J541" i="17"/>
  <c r="I542" i="17"/>
  <c r="J542" i="17"/>
  <c r="I543" i="17"/>
  <c r="J543" i="17"/>
  <c r="I544" i="17"/>
  <c r="J544" i="17"/>
  <c r="I545" i="17"/>
  <c r="J545" i="17"/>
  <c r="I546" i="17"/>
  <c r="J546" i="17"/>
  <c r="I547" i="17"/>
  <c r="J547" i="17"/>
  <c r="I548" i="17"/>
  <c r="J548" i="17"/>
  <c r="I549" i="17"/>
  <c r="J549" i="17"/>
  <c r="I550" i="17"/>
  <c r="J550" i="17"/>
  <c r="I551" i="17"/>
  <c r="J551" i="17"/>
  <c r="I552" i="17"/>
  <c r="J552" i="17"/>
  <c r="I553" i="17"/>
  <c r="J553" i="17"/>
  <c r="I554" i="17"/>
  <c r="J554" i="17"/>
  <c r="I555" i="17"/>
  <c r="J555" i="17"/>
  <c r="I556" i="17"/>
  <c r="J556" i="17"/>
  <c r="I557" i="17"/>
  <c r="J557" i="17"/>
  <c r="I558" i="17"/>
  <c r="J558" i="17"/>
  <c r="I559" i="17"/>
  <c r="J559" i="17"/>
  <c r="I560" i="17"/>
  <c r="J560" i="17"/>
  <c r="I561" i="17"/>
  <c r="J561" i="17"/>
  <c r="I562" i="17"/>
  <c r="J562" i="17"/>
  <c r="I563" i="17"/>
  <c r="J563" i="17"/>
  <c r="I564" i="17"/>
  <c r="J564" i="17"/>
  <c r="I565" i="17"/>
  <c r="J565" i="17"/>
  <c r="I566" i="17"/>
  <c r="J566" i="17"/>
  <c r="I567" i="17"/>
  <c r="J567" i="17"/>
  <c r="I568" i="17"/>
  <c r="J568" i="17"/>
  <c r="I569" i="17"/>
  <c r="J569" i="17"/>
  <c r="I570" i="17"/>
  <c r="J570" i="17"/>
  <c r="I571" i="17"/>
  <c r="J571" i="17"/>
  <c r="I572" i="17"/>
  <c r="J572" i="17"/>
  <c r="I573" i="17"/>
  <c r="J573" i="17"/>
  <c r="I574" i="17"/>
  <c r="J574" i="17"/>
  <c r="I575" i="17"/>
  <c r="J575" i="17"/>
  <c r="I576" i="17"/>
  <c r="J576" i="17"/>
  <c r="I577" i="17"/>
  <c r="J577" i="17"/>
  <c r="I578" i="17"/>
  <c r="J578" i="17"/>
  <c r="I579" i="17"/>
  <c r="J579" i="17"/>
  <c r="I580" i="17"/>
  <c r="J580" i="17"/>
  <c r="I581" i="17"/>
  <c r="J581" i="17"/>
  <c r="I582" i="17"/>
  <c r="J582" i="17"/>
  <c r="I583" i="17"/>
  <c r="J583" i="17"/>
  <c r="I584" i="17"/>
  <c r="J584" i="17"/>
  <c r="I585" i="17"/>
  <c r="J585" i="17"/>
  <c r="I586" i="17"/>
  <c r="J586" i="17"/>
  <c r="I587" i="17"/>
  <c r="J587" i="17"/>
  <c r="I588" i="17"/>
  <c r="J588" i="17"/>
  <c r="I589" i="17"/>
  <c r="J589" i="17"/>
  <c r="I590" i="17"/>
  <c r="J590" i="17"/>
  <c r="I591" i="17"/>
  <c r="J591" i="17"/>
  <c r="I592" i="17"/>
  <c r="J592" i="17"/>
  <c r="I593" i="17"/>
  <c r="J593" i="17"/>
  <c r="I594" i="17"/>
  <c r="J594" i="17"/>
  <c r="I595" i="17"/>
  <c r="J595" i="17"/>
  <c r="I596" i="17"/>
  <c r="J596" i="17"/>
  <c r="I597" i="17"/>
  <c r="J597" i="17"/>
  <c r="I598" i="17"/>
  <c r="J598" i="17"/>
  <c r="I599" i="17"/>
  <c r="J599" i="17"/>
  <c r="I600" i="17"/>
  <c r="J600" i="17"/>
  <c r="I601" i="17"/>
  <c r="J601" i="17"/>
  <c r="I602" i="17"/>
  <c r="J602" i="17"/>
  <c r="I603" i="17"/>
  <c r="J603" i="17"/>
  <c r="I604" i="17"/>
  <c r="J604" i="17"/>
  <c r="I605" i="17"/>
  <c r="J605" i="17"/>
  <c r="I606" i="17"/>
  <c r="J606" i="17"/>
  <c r="I607" i="17"/>
  <c r="J607" i="17"/>
  <c r="I608" i="17"/>
  <c r="J608" i="17"/>
  <c r="I609" i="17"/>
  <c r="J609" i="17"/>
  <c r="I610" i="17"/>
  <c r="J610" i="17"/>
  <c r="I611" i="17"/>
  <c r="J611" i="17"/>
  <c r="I612" i="17"/>
  <c r="J612" i="17"/>
  <c r="I613" i="17"/>
  <c r="J613" i="17"/>
  <c r="I614" i="17"/>
  <c r="J614" i="17"/>
  <c r="I615" i="17"/>
  <c r="J615" i="17"/>
  <c r="I616" i="17"/>
  <c r="J616" i="17"/>
  <c r="I617" i="17"/>
  <c r="J617" i="17"/>
  <c r="I618" i="17"/>
  <c r="J618" i="17"/>
  <c r="I619" i="17"/>
  <c r="J619" i="17"/>
  <c r="I620" i="17"/>
  <c r="J620" i="17"/>
  <c r="I621" i="17"/>
  <c r="J621" i="17"/>
  <c r="I622" i="17"/>
  <c r="J622" i="17"/>
  <c r="I623" i="17"/>
  <c r="J623" i="17"/>
  <c r="I624" i="17"/>
  <c r="J624" i="17"/>
  <c r="I625" i="17"/>
  <c r="J625" i="17"/>
  <c r="I626" i="17"/>
  <c r="J626" i="17"/>
  <c r="I627" i="17"/>
  <c r="J627" i="17"/>
  <c r="I628" i="17"/>
  <c r="J628" i="17"/>
  <c r="I629" i="17"/>
  <c r="J629" i="17"/>
  <c r="I630" i="17"/>
  <c r="J630" i="17"/>
  <c r="I631" i="17"/>
  <c r="J631" i="17"/>
  <c r="I632" i="17"/>
  <c r="J632" i="17"/>
  <c r="I633" i="17"/>
  <c r="J633" i="17"/>
  <c r="I634" i="17"/>
  <c r="J634" i="17"/>
  <c r="I635" i="17"/>
  <c r="J635" i="17"/>
  <c r="I636" i="17"/>
  <c r="J636" i="17"/>
  <c r="I637" i="17"/>
  <c r="J637" i="17"/>
  <c r="I638" i="17"/>
  <c r="J638" i="17"/>
  <c r="I639" i="17"/>
  <c r="J639" i="17"/>
  <c r="I640" i="17"/>
  <c r="J640" i="17"/>
  <c r="I641" i="17"/>
  <c r="J641" i="17"/>
  <c r="I642" i="17"/>
  <c r="J642" i="17"/>
  <c r="I643" i="17"/>
  <c r="J643" i="17"/>
  <c r="I644" i="17"/>
  <c r="J644" i="17"/>
  <c r="I645" i="17"/>
  <c r="J645" i="17"/>
  <c r="I646" i="17"/>
  <c r="J646" i="17"/>
  <c r="I647" i="17"/>
  <c r="J647" i="17"/>
  <c r="I648" i="17"/>
  <c r="J648" i="17"/>
  <c r="I649" i="17"/>
  <c r="J649" i="17"/>
  <c r="I650" i="17"/>
  <c r="J650" i="17"/>
  <c r="I651" i="17"/>
  <c r="J651" i="17"/>
  <c r="I652" i="17"/>
  <c r="J652" i="17"/>
  <c r="I653" i="17"/>
  <c r="J653" i="17"/>
  <c r="I654" i="17"/>
  <c r="J654" i="17"/>
  <c r="I655" i="17"/>
  <c r="J655" i="17"/>
  <c r="I656" i="17"/>
  <c r="J656" i="17"/>
  <c r="I657" i="17"/>
  <c r="J657" i="17"/>
  <c r="I658" i="17"/>
  <c r="J658" i="17"/>
  <c r="I659" i="17"/>
  <c r="J659" i="17"/>
  <c r="I660" i="17"/>
  <c r="J660" i="17"/>
  <c r="I661" i="17"/>
  <c r="J661" i="17"/>
  <c r="I662" i="17"/>
  <c r="J662" i="17"/>
  <c r="I663" i="17"/>
  <c r="J663" i="17"/>
  <c r="I664" i="17"/>
  <c r="J664" i="17"/>
  <c r="I665" i="17"/>
  <c r="J665" i="17"/>
  <c r="I666" i="17"/>
  <c r="J666" i="17"/>
  <c r="I667" i="17"/>
  <c r="J667" i="17"/>
  <c r="I668" i="17"/>
  <c r="J668" i="17"/>
  <c r="I669" i="17"/>
  <c r="J669" i="17"/>
  <c r="I670" i="17"/>
  <c r="J670" i="17"/>
  <c r="I671" i="17"/>
  <c r="J671" i="17"/>
  <c r="I672" i="17"/>
  <c r="J672" i="17"/>
  <c r="I673" i="17"/>
  <c r="J673" i="17"/>
  <c r="I674" i="17"/>
  <c r="J674" i="17"/>
  <c r="I675" i="17"/>
  <c r="J675" i="17"/>
  <c r="I676" i="17"/>
  <c r="J676" i="17"/>
  <c r="I677" i="17"/>
  <c r="J677" i="17"/>
  <c r="I678" i="17"/>
  <c r="J678" i="17"/>
  <c r="I679" i="17"/>
  <c r="J679" i="17"/>
  <c r="I680" i="17"/>
  <c r="J680" i="17"/>
  <c r="I681" i="17"/>
  <c r="J681" i="17"/>
  <c r="I682" i="17"/>
  <c r="J682" i="17"/>
  <c r="I683" i="17"/>
  <c r="J683" i="17"/>
  <c r="I684" i="17"/>
  <c r="J684" i="17"/>
  <c r="I685" i="17"/>
  <c r="J685" i="17"/>
  <c r="I686" i="17"/>
  <c r="J686" i="17"/>
  <c r="I687" i="17"/>
  <c r="J687" i="17"/>
  <c r="I688" i="17"/>
  <c r="J688" i="17"/>
  <c r="I689" i="17"/>
  <c r="J689" i="17"/>
  <c r="I690" i="17"/>
  <c r="J690" i="17"/>
  <c r="I691" i="17"/>
  <c r="J691" i="17"/>
  <c r="I692" i="17"/>
  <c r="J692" i="17"/>
  <c r="I693" i="17"/>
  <c r="J693" i="17"/>
  <c r="I694" i="17"/>
  <c r="J694" i="17"/>
  <c r="I695" i="17"/>
  <c r="J695" i="17"/>
  <c r="I696" i="17"/>
  <c r="J696" i="17"/>
  <c r="I697" i="17"/>
  <c r="J697" i="17"/>
  <c r="I698" i="17"/>
  <c r="J698" i="17"/>
  <c r="I699" i="17"/>
  <c r="J699" i="17"/>
  <c r="I700" i="17"/>
  <c r="J700" i="17"/>
  <c r="I701" i="17"/>
  <c r="J701" i="17"/>
  <c r="I702" i="17"/>
  <c r="J702" i="17"/>
  <c r="I703" i="17"/>
  <c r="J703" i="17"/>
  <c r="I704" i="17"/>
  <c r="J704" i="17"/>
  <c r="I705" i="17"/>
  <c r="J705" i="17"/>
  <c r="I706" i="17"/>
  <c r="J706" i="17"/>
  <c r="I707" i="17"/>
  <c r="J707" i="17"/>
  <c r="I708" i="17"/>
  <c r="J708" i="17"/>
  <c r="I709" i="17"/>
  <c r="J709" i="17"/>
  <c r="I710" i="17"/>
  <c r="J710" i="17"/>
  <c r="I711" i="17"/>
  <c r="J711" i="17"/>
  <c r="I712" i="17"/>
  <c r="J712" i="17"/>
  <c r="I713" i="17"/>
  <c r="J713" i="17"/>
  <c r="I714" i="17"/>
  <c r="J714" i="17"/>
  <c r="I715" i="17"/>
  <c r="J715" i="17"/>
  <c r="I716" i="17"/>
  <c r="J716" i="17"/>
  <c r="I717" i="17"/>
  <c r="J717" i="17"/>
  <c r="I718" i="17"/>
  <c r="J718" i="17"/>
  <c r="I719" i="17"/>
  <c r="J719" i="17"/>
  <c r="I720" i="17"/>
  <c r="J720" i="17"/>
  <c r="I721" i="17"/>
  <c r="J721" i="17"/>
  <c r="I722" i="17"/>
  <c r="J722" i="17"/>
  <c r="I723" i="17"/>
  <c r="J723" i="17"/>
  <c r="I724" i="17"/>
  <c r="J724" i="17"/>
  <c r="I725" i="17"/>
  <c r="J725" i="17"/>
  <c r="I726" i="17"/>
  <c r="J726" i="17"/>
  <c r="I727" i="17"/>
  <c r="J727" i="17"/>
  <c r="I728" i="17"/>
  <c r="J728" i="17"/>
  <c r="I729" i="17"/>
  <c r="J729" i="17"/>
  <c r="I730" i="17"/>
  <c r="J730" i="17"/>
  <c r="I731" i="17"/>
  <c r="J731" i="17"/>
  <c r="I732" i="17"/>
  <c r="J732" i="17"/>
  <c r="I733" i="17"/>
  <c r="J733" i="17"/>
  <c r="I734" i="17"/>
  <c r="J734" i="17"/>
  <c r="I735" i="17"/>
  <c r="J735" i="17"/>
  <c r="I736" i="17"/>
  <c r="J736" i="17"/>
  <c r="I737" i="17"/>
  <c r="J737" i="17"/>
  <c r="I738" i="17"/>
  <c r="J738" i="17"/>
  <c r="I739" i="17"/>
  <c r="J739" i="17"/>
  <c r="I740" i="17"/>
  <c r="J740" i="17"/>
  <c r="I741" i="17"/>
  <c r="J741" i="17"/>
  <c r="I742" i="17"/>
  <c r="J742" i="17"/>
  <c r="I743" i="17"/>
  <c r="J743" i="17"/>
  <c r="I744" i="17"/>
  <c r="J744" i="17"/>
  <c r="I745" i="17"/>
  <c r="J745" i="17"/>
  <c r="I746" i="17"/>
  <c r="J746" i="17"/>
  <c r="I747" i="17"/>
  <c r="J747" i="17"/>
  <c r="I748" i="17"/>
  <c r="J748" i="17"/>
  <c r="I749" i="17"/>
  <c r="J749" i="17"/>
  <c r="I750" i="17"/>
  <c r="J750" i="17"/>
  <c r="I751" i="17"/>
  <c r="J751" i="17"/>
  <c r="I752" i="17"/>
  <c r="J752" i="17"/>
  <c r="I753" i="17"/>
  <c r="J753" i="17"/>
  <c r="I754" i="17"/>
  <c r="J754" i="17"/>
  <c r="I755" i="17"/>
  <c r="J755" i="17"/>
  <c r="I756" i="17"/>
  <c r="J756" i="17"/>
  <c r="I757" i="17"/>
  <c r="J757" i="17"/>
  <c r="I758" i="17"/>
  <c r="J758" i="17"/>
  <c r="I759" i="17"/>
  <c r="J759" i="17"/>
  <c r="I760" i="17"/>
  <c r="J760" i="17"/>
  <c r="I761" i="17"/>
  <c r="J761" i="17"/>
  <c r="I762" i="17"/>
  <c r="J762" i="17"/>
  <c r="I763" i="17"/>
  <c r="J763" i="17"/>
  <c r="I764" i="17"/>
  <c r="J764" i="17"/>
  <c r="I765" i="17"/>
  <c r="J765" i="17"/>
  <c r="I766" i="17"/>
  <c r="J766" i="17"/>
  <c r="I767" i="17"/>
  <c r="J767" i="17"/>
  <c r="I768" i="17"/>
  <c r="J768" i="17"/>
  <c r="I769" i="17"/>
  <c r="J769" i="17"/>
  <c r="I770" i="17"/>
  <c r="J770" i="17"/>
  <c r="I771" i="17"/>
  <c r="J771" i="17"/>
  <c r="I772" i="17"/>
  <c r="J772" i="17"/>
  <c r="I773" i="17"/>
  <c r="J773" i="17"/>
  <c r="I774" i="17"/>
  <c r="J774" i="17"/>
  <c r="I775" i="17"/>
  <c r="J775" i="17"/>
  <c r="I776" i="17"/>
  <c r="J776" i="17"/>
  <c r="I777" i="17"/>
  <c r="J777" i="17"/>
  <c r="I778" i="17"/>
  <c r="J778" i="17"/>
  <c r="I779" i="17"/>
  <c r="J779" i="17"/>
  <c r="I780" i="17"/>
  <c r="J780" i="17"/>
  <c r="I781" i="17"/>
  <c r="J781" i="17"/>
  <c r="I782" i="17"/>
  <c r="J782" i="17"/>
  <c r="I783" i="17"/>
  <c r="J783" i="17"/>
  <c r="I784" i="17"/>
  <c r="J784" i="17"/>
  <c r="I785" i="17"/>
  <c r="J785" i="17"/>
  <c r="I786" i="17"/>
  <c r="J786" i="17"/>
  <c r="I787" i="17"/>
  <c r="J787" i="17"/>
  <c r="I788" i="17"/>
  <c r="J788" i="17"/>
  <c r="I789" i="17"/>
  <c r="J789" i="17"/>
  <c r="I790" i="17"/>
  <c r="J790" i="17"/>
  <c r="I791" i="17"/>
  <c r="J791" i="17"/>
  <c r="I792" i="17"/>
  <c r="J792" i="17"/>
  <c r="I793" i="17"/>
  <c r="J793" i="17"/>
  <c r="I794" i="17"/>
  <c r="J794" i="17"/>
  <c r="I795" i="17"/>
  <c r="J795" i="17"/>
  <c r="I796" i="17"/>
  <c r="J796" i="17"/>
  <c r="I797" i="17"/>
  <c r="J797" i="17"/>
  <c r="I798" i="17"/>
  <c r="J798" i="17"/>
  <c r="I799" i="17"/>
  <c r="J799" i="17"/>
  <c r="I800" i="17"/>
  <c r="J800" i="17"/>
  <c r="I801" i="17"/>
  <c r="J801" i="17"/>
  <c r="I802" i="17"/>
  <c r="J802" i="17"/>
  <c r="I803" i="17"/>
  <c r="J803" i="17"/>
  <c r="I804" i="17"/>
  <c r="J804" i="17"/>
  <c r="I805" i="17"/>
  <c r="J805" i="17"/>
  <c r="I806" i="17"/>
  <c r="J806" i="17"/>
  <c r="I807" i="17"/>
  <c r="J807" i="17"/>
  <c r="I808" i="17"/>
  <c r="J808" i="17"/>
  <c r="I809" i="17"/>
  <c r="J809" i="17"/>
  <c r="I810" i="17"/>
  <c r="J810" i="17"/>
  <c r="I811" i="17"/>
  <c r="J811" i="17"/>
  <c r="I812" i="17"/>
  <c r="J812" i="17"/>
  <c r="I813" i="17"/>
  <c r="J813" i="17"/>
  <c r="I814" i="17"/>
  <c r="J814" i="17"/>
  <c r="I815" i="17"/>
  <c r="J815" i="17"/>
  <c r="I816" i="17"/>
  <c r="J816" i="17"/>
  <c r="I817" i="17"/>
  <c r="J817" i="17"/>
  <c r="I818" i="17"/>
  <c r="J818" i="17"/>
  <c r="I819" i="17"/>
  <c r="J819" i="17"/>
  <c r="I820" i="17"/>
  <c r="J820" i="17"/>
  <c r="I821" i="17"/>
  <c r="J821" i="17"/>
  <c r="I822" i="17"/>
  <c r="J822" i="17"/>
  <c r="I823" i="17"/>
  <c r="J823" i="17"/>
  <c r="I824" i="17"/>
  <c r="J824" i="17"/>
  <c r="I825" i="17"/>
  <c r="J825" i="17"/>
  <c r="I826" i="17"/>
  <c r="J826" i="17"/>
  <c r="I827" i="17"/>
  <c r="J827" i="17"/>
  <c r="I828" i="17"/>
  <c r="J828" i="17"/>
  <c r="I829" i="17"/>
  <c r="J829" i="17"/>
  <c r="I830" i="17"/>
  <c r="J830" i="17"/>
  <c r="I831" i="17"/>
  <c r="J831" i="17"/>
  <c r="I832" i="17"/>
  <c r="J832" i="17"/>
  <c r="I833" i="17"/>
  <c r="J833" i="17"/>
  <c r="I834" i="17"/>
  <c r="J834" i="17"/>
  <c r="I835" i="17"/>
  <c r="J835" i="17"/>
  <c r="I836" i="17"/>
  <c r="J836" i="17"/>
  <c r="I837" i="17"/>
  <c r="J837" i="17"/>
  <c r="I838" i="17"/>
  <c r="J838" i="17"/>
  <c r="I839" i="17"/>
  <c r="J839" i="17"/>
  <c r="I840" i="17"/>
  <c r="J840" i="17"/>
  <c r="I841" i="17"/>
  <c r="J841" i="17"/>
  <c r="I842" i="17"/>
  <c r="J842" i="17"/>
  <c r="I843" i="17"/>
  <c r="J843" i="17"/>
  <c r="I844" i="17"/>
  <c r="J844" i="17"/>
  <c r="I845" i="17"/>
  <c r="J845" i="17"/>
  <c r="I846" i="17"/>
  <c r="J846" i="17"/>
  <c r="I847" i="17"/>
  <c r="J847" i="17"/>
  <c r="I848" i="17"/>
  <c r="J848" i="17"/>
  <c r="I849" i="17"/>
  <c r="J849" i="17"/>
  <c r="I850" i="17"/>
  <c r="J850" i="17"/>
  <c r="I851" i="17"/>
  <c r="J851" i="17"/>
  <c r="I852" i="17"/>
  <c r="J852" i="17"/>
  <c r="I853" i="17"/>
  <c r="J853" i="17"/>
  <c r="I854" i="17"/>
  <c r="J854" i="17"/>
  <c r="I855" i="17"/>
  <c r="J855" i="17"/>
  <c r="I856" i="17"/>
  <c r="J856" i="17"/>
  <c r="I857" i="17"/>
  <c r="J857" i="17"/>
  <c r="I858" i="17"/>
  <c r="J858" i="17"/>
  <c r="I859" i="17"/>
  <c r="J859" i="17"/>
  <c r="I860" i="17"/>
  <c r="J860" i="17"/>
  <c r="I861" i="17"/>
  <c r="J861" i="17"/>
  <c r="I862" i="17"/>
  <c r="J862" i="17"/>
  <c r="I863" i="17"/>
  <c r="J863" i="17"/>
  <c r="I864" i="17"/>
  <c r="J864" i="17"/>
  <c r="I865" i="17"/>
  <c r="J865" i="17"/>
  <c r="I866" i="17"/>
  <c r="J866" i="17"/>
  <c r="I867" i="17"/>
  <c r="J867" i="17"/>
  <c r="I868" i="17"/>
  <c r="J868" i="17"/>
  <c r="I869" i="17"/>
  <c r="J869" i="17"/>
  <c r="I870" i="17"/>
  <c r="J870" i="17"/>
  <c r="I871" i="17"/>
  <c r="J871" i="17"/>
  <c r="I872" i="17"/>
  <c r="J872" i="17"/>
  <c r="I873" i="17"/>
  <c r="J873" i="17"/>
  <c r="I874" i="17"/>
  <c r="J874" i="17"/>
  <c r="I875" i="17"/>
  <c r="J875" i="17"/>
  <c r="I876" i="17"/>
  <c r="J876" i="17"/>
  <c r="I877" i="17"/>
  <c r="J877" i="17"/>
  <c r="I878" i="17"/>
  <c r="J878" i="17"/>
  <c r="I879" i="17"/>
  <c r="J879" i="17"/>
  <c r="I880" i="17"/>
  <c r="J880" i="17"/>
  <c r="I881" i="17"/>
  <c r="J881" i="17"/>
  <c r="I882" i="17"/>
  <c r="J882" i="17"/>
  <c r="I883" i="17"/>
  <c r="J883" i="17"/>
  <c r="I884" i="17"/>
  <c r="J884" i="17"/>
  <c r="I885" i="17"/>
  <c r="J885" i="17"/>
  <c r="I886" i="17"/>
  <c r="J886" i="17"/>
  <c r="I887" i="17"/>
  <c r="J887" i="17"/>
  <c r="I888" i="17"/>
  <c r="J888" i="17"/>
  <c r="I889" i="17"/>
  <c r="J889" i="17"/>
  <c r="I890" i="17"/>
  <c r="J890" i="17"/>
  <c r="I891" i="17"/>
  <c r="J891" i="17"/>
  <c r="I892" i="17"/>
  <c r="J892" i="17"/>
  <c r="I893" i="17"/>
  <c r="J893" i="17"/>
  <c r="I894" i="17"/>
  <c r="J894" i="17"/>
  <c r="I895" i="17"/>
  <c r="J895" i="17"/>
  <c r="I896" i="17"/>
  <c r="J896" i="17"/>
  <c r="I897" i="17"/>
  <c r="J897" i="17"/>
  <c r="I898" i="17"/>
  <c r="J898" i="17"/>
  <c r="I899" i="17"/>
  <c r="J899" i="17"/>
  <c r="I900" i="17"/>
  <c r="J900" i="17"/>
  <c r="I901" i="17"/>
  <c r="J901" i="17"/>
  <c r="I902" i="17"/>
  <c r="J902" i="17"/>
  <c r="I903" i="17"/>
  <c r="J903" i="17"/>
  <c r="I904" i="17"/>
  <c r="J904" i="17"/>
  <c r="I905" i="17"/>
  <c r="J905" i="17"/>
  <c r="I906" i="17"/>
  <c r="J906" i="17"/>
  <c r="I907" i="17"/>
  <c r="J907" i="17"/>
  <c r="I908" i="17"/>
  <c r="J908" i="17"/>
  <c r="I909" i="17"/>
  <c r="J909" i="17"/>
  <c r="I910" i="17"/>
  <c r="J910" i="17"/>
  <c r="I911" i="17"/>
  <c r="J911" i="17"/>
  <c r="I912" i="17"/>
  <c r="J912" i="17"/>
  <c r="I913" i="17"/>
  <c r="J913" i="17"/>
  <c r="I914" i="17"/>
  <c r="J914" i="17"/>
  <c r="I915" i="17"/>
  <c r="J915" i="17"/>
  <c r="I916" i="17"/>
  <c r="J916" i="17"/>
  <c r="I917" i="17"/>
  <c r="J917" i="17"/>
  <c r="I918" i="17"/>
  <c r="J918" i="17"/>
  <c r="I919" i="17"/>
  <c r="J919" i="17"/>
  <c r="I920" i="17"/>
  <c r="J920" i="17"/>
  <c r="I921" i="17"/>
  <c r="J921" i="17"/>
  <c r="I922" i="17"/>
  <c r="J922" i="17"/>
  <c r="I923" i="17"/>
  <c r="J923" i="17"/>
  <c r="I924" i="17"/>
  <c r="J924" i="17"/>
  <c r="I925" i="17"/>
  <c r="J925" i="17"/>
  <c r="I926" i="17"/>
  <c r="J926" i="17"/>
  <c r="I927" i="17"/>
  <c r="J927" i="17"/>
  <c r="I928" i="17"/>
  <c r="J928" i="17"/>
  <c r="I929" i="17"/>
  <c r="J929" i="17"/>
  <c r="I930" i="17"/>
  <c r="J930" i="17"/>
  <c r="I931" i="17"/>
  <c r="J931" i="17"/>
  <c r="I932" i="17"/>
  <c r="J932" i="17"/>
  <c r="I933" i="17"/>
  <c r="J933" i="17"/>
  <c r="I934" i="17"/>
  <c r="J934" i="17"/>
  <c r="I935" i="17"/>
  <c r="J935" i="17"/>
  <c r="I936" i="17"/>
  <c r="J936" i="17"/>
  <c r="I937" i="17"/>
  <c r="J937" i="17"/>
  <c r="I938" i="17"/>
  <c r="J938" i="17"/>
  <c r="I939" i="17"/>
  <c r="J939" i="17"/>
  <c r="I940" i="17"/>
  <c r="J940" i="17"/>
  <c r="I941" i="17"/>
  <c r="J941" i="17"/>
  <c r="I942" i="17"/>
  <c r="J942" i="17"/>
  <c r="I943" i="17"/>
  <c r="J943" i="17"/>
  <c r="I944" i="17"/>
  <c r="J944" i="17"/>
  <c r="I945" i="17"/>
  <c r="J945" i="17"/>
  <c r="I946" i="17"/>
  <c r="J946" i="17"/>
  <c r="I947" i="17"/>
  <c r="J947" i="17"/>
  <c r="I948" i="17"/>
  <c r="J948" i="17"/>
  <c r="I949" i="17"/>
  <c r="J949" i="17"/>
  <c r="I950" i="17"/>
  <c r="J950" i="17"/>
  <c r="I951" i="17"/>
  <c r="J951" i="17"/>
  <c r="I952" i="17"/>
  <c r="J952" i="17"/>
  <c r="I953" i="17"/>
  <c r="J953" i="17"/>
  <c r="I954" i="17"/>
  <c r="J954" i="17"/>
  <c r="I955" i="17"/>
  <c r="J955" i="17"/>
  <c r="I956" i="17"/>
  <c r="J956" i="17"/>
  <c r="I957" i="17"/>
  <c r="J957" i="17"/>
  <c r="I958" i="17"/>
  <c r="J958" i="17"/>
  <c r="I959" i="17"/>
  <c r="J959" i="17"/>
  <c r="I960" i="17"/>
  <c r="J960" i="17"/>
  <c r="I961" i="17"/>
  <c r="J961" i="17"/>
  <c r="I962" i="17"/>
  <c r="J962" i="17"/>
  <c r="I963" i="17"/>
  <c r="J963" i="17"/>
  <c r="I964" i="17"/>
  <c r="J964" i="17"/>
  <c r="I965" i="17"/>
  <c r="J965" i="17"/>
  <c r="I966" i="17"/>
  <c r="J966" i="17"/>
  <c r="I967" i="17"/>
  <c r="J967" i="17"/>
  <c r="I968" i="17"/>
  <c r="J968" i="17"/>
  <c r="I969" i="17"/>
  <c r="J969" i="17"/>
  <c r="I970" i="17"/>
  <c r="J970" i="17"/>
  <c r="I971" i="17"/>
  <c r="J971" i="17"/>
  <c r="I972" i="17"/>
  <c r="J972" i="17"/>
  <c r="I973" i="17"/>
  <c r="J973" i="17"/>
  <c r="I974" i="17"/>
  <c r="J974" i="17"/>
  <c r="I975" i="17"/>
  <c r="J975" i="17"/>
  <c r="I976" i="17"/>
  <c r="J976" i="17"/>
  <c r="I977" i="17"/>
  <c r="J977" i="17"/>
  <c r="I978" i="17"/>
  <c r="J978" i="17"/>
  <c r="I979" i="17"/>
  <c r="J979" i="17"/>
  <c r="I980" i="17"/>
  <c r="J980" i="17"/>
  <c r="I981" i="17"/>
  <c r="J981" i="17"/>
  <c r="I982" i="17"/>
  <c r="J982" i="17"/>
  <c r="I983" i="17"/>
  <c r="J983" i="17"/>
  <c r="I984" i="17"/>
  <c r="J984" i="17"/>
  <c r="I985" i="17"/>
  <c r="J985" i="17"/>
  <c r="I986" i="17"/>
  <c r="J986" i="17"/>
  <c r="I987" i="17"/>
  <c r="J987" i="17"/>
  <c r="I988" i="17"/>
  <c r="J988" i="17"/>
  <c r="I989" i="17"/>
  <c r="J989" i="17"/>
  <c r="I990" i="17"/>
  <c r="J990" i="17"/>
  <c r="I991" i="17"/>
  <c r="J991" i="17"/>
  <c r="I992" i="17"/>
  <c r="J992" i="17"/>
  <c r="I993" i="17"/>
  <c r="J993" i="17"/>
  <c r="I994" i="17"/>
  <c r="J994" i="17"/>
  <c r="I995" i="17"/>
  <c r="J995" i="17"/>
  <c r="I996" i="17"/>
  <c r="J996" i="17"/>
  <c r="I997" i="17"/>
  <c r="J997" i="17"/>
  <c r="I998" i="17"/>
  <c r="J998" i="17"/>
  <c r="I999" i="17"/>
  <c r="J999" i="17"/>
  <c r="I1000" i="17"/>
  <c r="J1000" i="17"/>
  <c r="I1001" i="17"/>
  <c r="J1001" i="17"/>
  <c r="I1002" i="17"/>
  <c r="J1002" i="17"/>
  <c r="I1003" i="17"/>
  <c r="J1003" i="17"/>
  <c r="I1004" i="17"/>
  <c r="J1004" i="17"/>
  <c r="I1005" i="17"/>
  <c r="J1005" i="17"/>
  <c r="I1006" i="17"/>
  <c r="J1006" i="17"/>
  <c r="I1007" i="17"/>
  <c r="J1007" i="17"/>
  <c r="I1008" i="17"/>
  <c r="J1008" i="17"/>
  <c r="I1009" i="17"/>
  <c r="J1009" i="17"/>
  <c r="I1010" i="17"/>
  <c r="J1010" i="17"/>
  <c r="I1011" i="17"/>
  <c r="J1011" i="17"/>
  <c r="I1012" i="17"/>
  <c r="J1012" i="17"/>
  <c r="I1013" i="17"/>
  <c r="J1013" i="17"/>
  <c r="I1014" i="17"/>
  <c r="J1014" i="17"/>
  <c r="I1015" i="17"/>
  <c r="J1015" i="17"/>
  <c r="I1016" i="17"/>
  <c r="J1016" i="17"/>
  <c r="I1017" i="17"/>
  <c r="J1017" i="17"/>
  <c r="I1018" i="17"/>
  <c r="J1018" i="17"/>
  <c r="I1019" i="17"/>
  <c r="J1019" i="17"/>
  <c r="I1020" i="17"/>
  <c r="J1020" i="17"/>
  <c r="I1021" i="17"/>
  <c r="J1021" i="17"/>
  <c r="I1022" i="17"/>
  <c r="J1022" i="17"/>
  <c r="I1023" i="17"/>
  <c r="J1023" i="17"/>
  <c r="I1024" i="17"/>
  <c r="J1024" i="17"/>
  <c r="I1025" i="17"/>
  <c r="J1025" i="17"/>
  <c r="I1026" i="17"/>
  <c r="J1026" i="17"/>
  <c r="I1027" i="17"/>
  <c r="J1027" i="17"/>
  <c r="I1028" i="17"/>
  <c r="J1028" i="17"/>
  <c r="I1029" i="17"/>
  <c r="J1029" i="17"/>
  <c r="I1030" i="17"/>
  <c r="J1030" i="17"/>
  <c r="I1031" i="17"/>
  <c r="J1031" i="17"/>
  <c r="I1032" i="17"/>
  <c r="J1032" i="17"/>
  <c r="I1033" i="17"/>
  <c r="J1033" i="17"/>
  <c r="I1034" i="17"/>
  <c r="J1034" i="17"/>
  <c r="I1035" i="17"/>
  <c r="J1035" i="17"/>
  <c r="I1036" i="17"/>
  <c r="J1036" i="17"/>
  <c r="I1037" i="17"/>
  <c r="J1037" i="17"/>
  <c r="I1038" i="17"/>
  <c r="J1038" i="17"/>
  <c r="I1039" i="17"/>
  <c r="J1039" i="17"/>
  <c r="I1040" i="17"/>
  <c r="J1040" i="17"/>
  <c r="I1041" i="17"/>
  <c r="J1041" i="17"/>
  <c r="I1042" i="17"/>
  <c r="J1042" i="17"/>
  <c r="I1043" i="17"/>
  <c r="J1043" i="17"/>
  <c r="I1044" i="17"/>
  <c r="J1044" i="17"/>
  <c r="I1045" i="17"/>
  <c r="J1045" i="17"/>
  <c r="I1046" i="17"/>
  <c r="J1046" i="17"/>
  <c r="I1047" i="17"/>
  <c r="J1047" i="17"/>
  <c r="I1048" i="17"/>
  <c r="J1048" i="17"/>
  <c r="I1049" i="17"/>
  <c r="J1049" i="17"/>
  <c r="I1050" i="17"/>
  <c r="J1050" i="17"/>
  <c r="I1051" i="17"/>
  <c r="J1051" i="17"/>
  <c r="I1052" i="17"/>
  <c r="J1052" i="17"/>
  <c r="I1053" i="17"/>
  <c r="J1053" i="17"/>
  <c r="I1054" i="17"/>
  <c r="J1054" i="17"/>
  <c r="I1055" i="17"/>
  <c r="J1055" i="17"/>
  <c r="I1056" i="17"/>
  <c r="J1056" i="17"/>
  <c r="I1057" i="17"/>
  <c r="J1057" i="17"/>
  <c r="I1058" i="17"/>
  <c r="J1058" i="17"/>
  <c r="I1059" i="17"/>
  <c r="J1059" i="17"/>
  <c r="I1060" i="17"/>
  <c r="J1060" i="17"/>
  <c r="I1061" i="17"/>
  <c r="J1061" i="17"/>
  <c r="I1062" i="17"/>
  <c r="J1062" i="17"/>
  <c r="I1063" i="17"/>
  <c r="J1063" i="17"/>
  <c r="I1064" i="17"/>
  <c r="J1064" i="17"/>
  <c r="I1065" i="17"/>
  <c r="J1065" i="17"/>
  <c r="I1066" i="17"/>
  <c r="J1066" i="17"/>
  <c r="I1067" i="17"/>
  <c r="J1067" i="17"/>
  <c r="I1068" i="17"/>
  <c r="J1068" i="17"/>
  <c r="I1069" i="17"/>
  <c r="J1069" i="17"/>
  <c r="I1070" i="17"/>
  <c r="J1070" i="17"/>
  <c r="I1071" i="17"/>
  <c r="J1071" i="17"/>
  <c r="I1072" i="17"/>
  <c r="J1072" i="17"/>
  <c r="I1073" i="17"/>
  <c r="J1073" i="17"/>
  <c r="I1074" i="17"/>
  <c r="J1074" i="17"/>
  <c r="I1075" i="17"/>
  <c r="J1075" i="17"/>
  <c r="I1076" i="17"/>
  <c r="J1076" i="17"/>
  <c r="I1077" i="17"/>
  <c r="J1077" i="17"/>
  <c r="I1078" i="17"/>
  <c r="J1078" i="17"/>
  <c r="I1079" i="17"/>
  <c r="J1079" i="17"/>
  <c r="I4" i="11"/>
  <c r="J4" i="11"/>
  <c r="I5" i="11"/>
  <c r="J5" i="11"/>
  <c r="I6" i="11"/>
  <c r="J6" i="11"/>
  <c r="I7" i="11"/>
  <c r="J7" i="11"/>
  <c r="I8" i="11"/>
  <c r="J8" i="11"/>
  <c r="I9" i="11"/>
  <c r="J9" i="11"/>
  <c r="I10" i="11"/>
  <c r="J10" i="11"/>
  <c r="I11" i="11"/>
  <c r="J11" i="11"/>
  <c r="I12" i="11"/>
  <c r="J12" i="11"/>
  <c r="I13" i="11"/>
  <c r="J13" i="11"/>
  <c r="I14" i="11"/>
  <c r="J14" i="11"/>
  <c r="I15" i="11"/>
  <c r="J15" i="11"/>
  <c r="I16" i="11"/>
  <c r="J16" i="11"/>
  <c r="I17" i="11"/>
  <c r="J17" i="11"/>
  <c r="I18" i="11"/>
  <c r="J18" i="11"/>
  <c r="I19" i="11"/>
  <c r="J19" i="11"/>
  <c r="I20" i="11"/>
  <c r="J20" i="11"/>
  <c r="I21" i="11"/>
  <c r="J21" i="11"/>
  <c r="I22" i="11"/>
  <c r="J22" i="11"/>
  <c r="I23" i="11"/>
  <c r="J23" i="11"/>
  <c r="I24" i="11"/>
  <c r="J24" i="11"/>
  <c r="I25" i="11"/>
  <c r="J25" i="11"/>
  <c r="I26" i="11"/>
  <c r="J26" i="11"/>
  <c r="I27" i="11"/>
  <c r="J27" i="11"/>
  <c r="I28" i="11"/>
  <c r="J28" i="11"/>
  <c r="I29" i="11"/>
  <c r="J29" i="11"/>
  <c r="I30" i="11"/>
  <c r="J30" i="11"/>
  <c r="I31" i="11"/>
  <c r="J31" i="11"/>
  <c r="I32" i="11"/>
  <c r="J32" i="11"/>
  <c r="I33" i="11"/>
  <c r="J33" i="11"/>
  <c r="I34" i="11"/>
  <c r="J34" i="11"/>
  <c r="I35" i="11"/>
  <c r="J35" i="11"/>
  <c r="I36" i="11"/>
  <c r="J36" i="11"/>
  <c r="I37" i="11"/>
  <c r="J37" i="11"/>
  <c r="I38" i="11"/>
  <c r="J38" i="11"/>
  <c r="I39" i="11"/>
  <c r="J39" i="11"/>
  <c r="I40" i="11"/>
  <c r="J40" i="11"/>
  <c r="I41" i="11"/>
  <c r="J41" i="11"/>
  <c r="I42" i="11"/>
  <c r="J42" i="11"/>
  <c r="I43" i="11"/>
  <c r="J43" i="11"/>
  <c r="I44" i="11"/>
  <c r="J44" i="11"/>
  <c r="I45" i="11"/>
  <c r="J45" i="11"/>
  <c r="I46" i="11"/>
  <c r="J46" i="11"/>
  <c r="I47" i="11"/>
  <c r="J47" i="11"/>
  <c r="I48" i="11"/>
  <c r="J48" i="11"/>
  <c r="I49" i="11"/>
  <c r="J49" i="11"/>
  <c r="I50" i="11"/>
  <c r="J50" i="11"/>
  <c r="I51" i="11"/>
  <c r="J51" i="11"/>
  <c r="I52" i="11"/>
  <c r="J52" i="11"/>
  <c r="I53" i="11"/>
  <c r="J53" i="11"/>
  <c r="I54" i="11"/>
  <c r="J54" i="11"/>
  <c r="I55" i="11"/>
  <c r="J55" i="11"/>
  <c r="I56" i="11"/>
  <c r="J56" i="11"/>
  <c r="I57" i="11"/>
  <c r="J57" i="11"/>
  <c r="I58" i="11"/>
  <c r="J58" i="11"/>
  <c r="I59" i="11"/>
  <c r="J59" i="11"/>
  <c r="I60" i="11"/>
  <c r="J60" i="11"/>
  <c r="I61" i="11"/>
  <c r="J61" i="11"/>
  <c r="I62" i="11"/>
  <c r="J62" i="11"/>
  <c r="I63" i="11"/>
  <c r="J63" i="11"/>
  <c r="I64" i="11"/>
  <c r="J64" i="11"/>
  <c r="I65" i="11"/>
  <c r="J65" i="11"/>
  <c r="I66" i="11"/>
  <c r="J66" i="11"/>
  <c r="I67" i="11"/>
  <c r="J67" i="11"/>
  <c r="I68" i="11"/>
  <c r="J68" i="11"/>
  <c r="I69" i="11"/>
  <c r="J69" i="11"/>
  <c r="I70" i="11"/>
  <c r="J70" i="11"/>
  <c r="I71" i="11"/>
  <c r="J71" i="11"/>
  <c r="I72" i="11"/>
  <c r="J72" i="11"/>
  <c r="I73" i="11"/>
  <c r="J73" i="11"/>
  <c r="I74" i="11"/>
  <c r="J74" i="11"/>
  <c r="I75" i="11"/>
  <c r="J75" i="11"/>
  <c r="I76" i="11"/>
  <c r="J76" i="11"/>
  <c r="I77" i="11"/>
  <c r="J77" i="11"/>
  <c r="I78" i="11"/>
  <c r="J78" i="11"/>
  <c r="I79" i="11"/>
  <c r="J79" i="11"/>
  <c r="I80" i="11"/>
  <c r="J80" i="11"/>
  <c r="I81" i="11"/>
  <c r="J81" i="11"/>
  <c r="I82" i="11"/>
  <c r="J82" i="11"/>
  <c r="I83" i="11"/>
  <c r="J83" i="11"/>
  <c r="I84" i="11"/>
  <c r="J84" i="11"/>
  <c r="I85" i="11"/>
  <c r="J85" i="11"/>
  <c r="I86" i="11"/>
  <c r="J86" i="11"/>
  <c r="I87" i="11"/>
  <c r="J87" i="11"/>
  <c r="I88" i="11"/>
  <c r="J88" i="11"/>
  <c r="I89" i="11"/>
  <c r="J89" i="11"/>
  <c r="I90" i="11"/>
  <c r="J90" i="11"/>
  <c r="I91" i="11"/>
  <c r="J91" i="11"/>
  <c r="I92" i="11"/>
  <c r="J92" i="11"/>
  <c r="I93" i="11"/>
  <c r="J93" i="11"/>
  <c r="I94" i="11"/>
  <c r="J94" i="11"/>
  <c r="I95" i="11"/>
  <c r="J95" i="11"/>
  <c r="I96" i="11"/>
  <c r="J96" i="11"/>
  <c r="I97" i="11"/>
  <c r="J97" i="11"/>
  <c r="I98" i="11"/>
  <c r="J98" i="11"/>
  <c r="I99" i="11"/>
  <c r="J99" i="11"/>
  <c r="I100" i="11"/>
  <c r="J100" i="11"/>
  <c r="I101" i="11"/>
  <c r="J101" i="11"/>
  <c r="I102" i="11"/>
  <c r="J102" i="11"/>
  <c r="I103" i="11"/>
  <c r="J103" i="11"/>
  <c r="I104" i="11"/>
  <c r="J104" i="11"/>
  <c r="I105" i="11"/>
  <c r="J105" i="11"/>
  <c r="I106" i="11"/>
  <c r="J106" i="11"/>
  <c r="I107" i="11"/>
  <c r="J107" i="11"/>
  <c r="I108" i="11"/>
  <c r="J108" i="11"/>
  <c r="I109" i="11"/>
  <c r="J109" i="11"/>
  <c r="I110" i="11"/>
  <c r="J110" i="11"/>
  <c r="I111" i="11"/>
  <c r="J111" i="11"/>
  <c r="I112" i="11"/>
  <c r="J112" i="11"/>
  <c r="I113" i="11"/>
  <c r="J113" i="11"/>
  <c r="I114" i="11"/>
  <c r="J114" i="11"/>
  <c r="I115" i="11"/>
  <c r="J115" i="11"/>
  <c r="I116" i="11"/>
  <c r="J116" i="11"/>
  <c r="I117" i="11"/>
  <c r="J117" i="11"/>
  <c r="I118" i="11"/>
  <c r="J118" i="11"/>
  <c r="I119" i="11"/>
  <c r="J119" i="11"/>
  <c r="I120" i="11"/>
  <c r="J120" i="11"/>
  <c r="I121" i="11"/>
  <c r="J121" i="11"/>
  <c r="I122" i="11"/>
  <c r="J122" i="11"/>
  <c r="I123" i="11"/>
  <c r="J123" i="11"/>
  <c r="I124" i="11"/>
  <c r="J124" i="11"/>
  <c r="I125" i="11"/>
  <c r="J125" i="11"/>
  <c r="I126" i="11"/>
  <c r="J126" i="11"/>
  <c r="I127" i="11"/>
  <c r="J127" i="11"/>
  <c r="I128" i="11"/>
  <c r="J128" i="11"/>
  <c r="I129" i="11"/>
  <c r="J129" i="11"/>
  <c r="I130" i="11"/>
  <c r="J130" i="11"/>
  <c r="I131" i="11"/>
  <c r="J131" i="11"/>
  <c r="I132" i="11"/>
  <c r="J132" i="11"/>
  <c r="I133" i="11"/>
  <c r="J133" i="11"/>
  <c r="I134" i="11"/>
  <c r="J134" i="11"/>
  <c r="I135" i="11"/>
  <c r="J135" i="11"/>
  <c r="I136" i="11"/>
  <c r="J136" i="11"/>
  <c r="I137" i="11"/>
  <c r="J137" i="11"/>
  <c r="I138" i="11"/>
  <c r="J138" i="11"/>
  <c r="I139" i="11"/>
  <c r="J139" i="11"/>
  <c r="I140" i="11"/>
  <c r="J140" i="11"/>
  <c r="I141" i="11"/>
  <c r="J141" i="11"/>
  <c r="I142" i="11"/>
  <c r="J142" i="11"/>
  <c r="I143" i="11"/>
  <c r="J143" i="11"/>
  <c r="I144" i="11"/>
  <c r="J144" i="11"/>
  <c r="I145" i="11"/>
  <c r="J145" i="11"/>
  <c r="I146" i="11"/>
  <c r="J146" i="11"/>
  <c r="I147" i="11"/>
  <c r="J147" i="11"/>
  <c r="I148" i="11"/>
  <c r="J148" i="11"/>
  <c r="I149" i="11"/>
  <c r="J149" i="11"/>
  <c r="I150" i="11"/>
  <c r="J150" i="11"/>
  <c r="I151" i="11"/>
  <c r="J151" i="11"/>
  <c r="I152" i="11"/>
  <c r="J152" i="11"/>
  <c r="I153" i="11"/>
  <c r="J153" i="11"/>
  <c r="I154" i="11"/>
  <c r="J154" i="11"/>
  <c r="I155" i="11"/>
  <c r="J155" i="11"/>
  <c r="I156" i="11"/>
  <c r="J156" i="11"/>
  <c r="I157" i="11"/>
  <c r="J157" i="11"/>
  <c r="I158" i="11"/>
  <c r="J158" i="11"/>
  <c r="I159" i="11"/>
  <c r="J159" i="11"/>
  <c r="I160" i="11"/>
  <c r="J160" i="11"/>
  <c r="I161" i="11"/>
  <c r="J161" i="11"/>
  <c r="I162" i="11"/>
  <c r="J162" i="11"/>
  <c r="I163" i="11"/>
  <c r="J163" i="11"/>
  <c r="I164" i="11"/>
  <c r="J164" i="11"/>
  <c r="I165" i="11"/>
  <c r="J165" i="11"/>
  <c r="I166" i="11"/>
  <c r="J166" i="11"/>
  <c r="I167" i="11"/>
  <c r="J167" i="11"/>
  <c r="I168" i="11"/>
  <c r="J168" i="11"/>
  <c r="I169" i="11"/>
  <c r="J169" i="11"/>
  <c r="I170" i="11"/>
  <c r="J170" i="11"/>
  <c r="I171" i="11"/>
  <c r="J171" i="11"/>
  <c r="I172" i="11"/>
  <c r="J172" i="11"/>
  <c r="I173" i="11"/>
  <c r="J173" i="11"/>
  <c r="I174" i="11"/>
  <c r="J174" i="11"/>
  <c r="I175" i="11"/>
  <c r="J175" i="11"/>
  <c r="I176" i="11"/>
  <c r="J176" i="11"/>
  <c r="I177" i="11"/>
  <c r="J177" i="11"/>
  <c r="I178" i="11"/>
  <c r="J178" i="11"/>
  <c r="I179" i="11"/>
  <c r="J179" i="11"/>
  <c r="I180" i="11"/>
  <c r="J180" i="11"/>
  <c r="I181" i="11"/>
  <c r="J181" i="11"/>
  <c r="I182" i="11"/>
  <c r="J182" i="11"/>
  <c r="I183" i="11"/>
  <c r="J183" i="11"/>
  <c r="I184" i="11"/>
  <c r="J184" i="11"/>
  <c r="I185" i="11"/>
  <c r="J185" i="11"/>
  <c r="I186" i="11"/>
  <c r="J186" i="11"/>
  <c r="I187" i="11"/>
  <c r="J187" i="11"/>
  <c r="I188" i="11"/>
  <c r="J188" i="11"/>
  <c r="I189" i="11"/>
  <c r="J189" i="11"/>
  <c r="I190" i="11"/>
  <c r="J190" i="11"/>
  <c r="I191" i="11"/>
  <c r="J191" i="11"/>
  <c r="I192" i="11"/>
  <c r="J192" i="11"/>
  <c r="I193" i="11"/>
  <c r="J193" i="11"/>
  <c r="I194" i="11"/>
  <c r="J194" i="11"/>
  <c r="I195" i="11"/>
  <c r="J195" i="11"/>
  <c r="I196" i="11"/>
  <c r="J196" i="11"/>
  <c r="I197" i="11"/>
  <c r="J197" i="11"/>
  <c r="I198" i="11"/>
  <c r="J198" i="11"/>
  <c r="I199" i="11"/>
  <c r="J199" i="11"/>
  <c r="I200" i="11"/>
  <c r="J200" i="11"/>
  <c r="I201" i="11"/>
  <c r="J201" i="11"/>
  <c r="I202" i="11"/>
  <c r="J202" i="11"/>
  <c r="I203" i="11"/>
  <c r="J203" i="11"/>
  <c r="I204" i="11"/>
  <c r="J204" i="11"/>
  <c r="I205" i="11"/>
  <c r="J205" i="11"/>
  <c r="I206" i="11"/>
  <c r="J206" i="11"/>
  <c r="I207" i="11"/>
  <c r="J207" i="11"/>
  <c r="I208" i="11"/>
  <c r="J208" i="11"/>
  <c r="I209" i="11"/>
  <c r="J209" i="11"/>
  <c r="I210" i="11"/>
  <c r="J210" i="11"/>
  <c r="I211" i="11"/>
  <c r="J211" i="11"/>
  <c r="I212" i="11"/>
  <c r="J212" i="11"/>
  <c r="I213" i="11"/>
  <c r="J213" i="11"/>
  <c r="I214" i="11"/>
  <c r="J214" i="11"/>
  <c r="I215" i="11"/>
  <c r="J215" i="11"/>
  <c r="I216" i="11"/>
  <c r="J216" i="11"/>
  <c r="I217" i="11"/>
  <c r="J217" i="11"/>
  <c r="I218" i="11"/>
  <c r="J218" i="11"/>
  <c r="I219" i="11"/>
  <c r="J219" i="11"/>
  <c r="I220" i="11"/>
  <c r="J220" i="11"/>
  <c r="I221" i="11"/>
  <c r="J221" i="11"/>
  <c r="I222" i="11"/>
  <c r="J222" i="11"/>
  <c r="I223" i="11"/>
  <c r="J223" i="11"/>
  <c r="I224" i="11"/>
  <c r="J224" i="11"/>
  <c r="I225" i="11"/>
  <c r="J225" i="11"/>
  <c r="I226" i="11"/>
  <c r="J226" i="11"/>
  <c r="I227" i="11"/>
  <c r="J227" i="11"/>
  <c r="I228" i="11"/>
  <c r="J228" i="11"/>
  <c r="I229" i="11"/>
  <c r="J229" i="11"/>
  <c r="I230" i="11"/>
  <c r="J230" i="11"/>
  <c r="I231" i="11"/>
  <c r="J231" i="11"/>
  <c r="I232" i="11"/>
  <c r="J232" i="11"/>
  <c r="I233" i="11"/>
  <c r="J233" i="11"/>
  <c r="I234" i="11"/>
  <c r="J234" i="11"/>
  <c r="I235" i="11"/>
  <c r="J235" i="11"/>
  <c r="I236" i="11"/>
  <c r="J236" i="11"/>
  <c r="I237" i="11"/>
  <c r="J237" i="11"/>
  <c r="I238" i="11"/>
  <c r="J238" i="11"/>
  <c r="I239" i="11"/>
  <c r="J239" i="11"/>
  <c r="I240" i="11"/>
  <c r="J240" i="11"/>
  <c r="I241" i="11"/>
  <c r="J241" i="11"/>
  <c r="I242" i="11"/>
  <c r="J242" i="11"/>
  <c r="I243" i="11"/>
  <c r="J243" i="11"/>
  <c r="I244" i="11"/>
  <c r="J244" i="11"/>
  <c r="I245" i="11"/>
  <c r="J245" i="11"/>
  <c r="I246" i="11"/>
  <c r="J246" i="11"/>
  <c r="I247" i="11"/>
  <c r="J247" i="11"/>
  <c r="I248" i="11"/>
  <c r="J248" i="11"/>
  <c r="I249" i="11"/>
  <c r="J249" i="11"/>
  <c r="I250" i="11"/>
  <c r="J250" i="11"/>
  <c r="I251" i="11"/>
  <c r="J251" i="11"/>
  <c r="I252" i="11"/>
  <c r="J252" i="11"/>
  <c r="I253" i="11"/>
  <c r="J253" i="11"/>
  <c r="I254" i="11"/>
  <c r="J254" i="11"/>
  <c r="I255" i="11"/>
  <c r="J255" i="11"/>
  <c r="I256" i="11"/>
  <c r="J256" i="11"/>
  <c r="I257" i="11"/>
  <c r="J257" i="11"/>
  <c r="I258" i="11"/>
  <c r="J258" i="11"/>
  <c r="I259" i="11"/>
  <c r="J259" i="11"/>
  <c r="I260" i="11"/>
  <c r="J260" i="11"/>
  <c r="I261" i="11"/>
  <c r="J261" i="11"/>
  <c r="I262" i="11"/>
  <c r="J262" i="11"/>
  <c r="I263" i="11"/>
  <c r="J263" i="11"/>
  <c r="I264" i="11"/>
  <c r="J264" i="11"/>
  <c r="I265" i="11"/>
  <c r="J265" i="11"/>
  <c r="I266" i="11"/>
  <c r="J266" i="11"/>
  <c r="I267" i="11"/>
  <c r="J267" i="11"/>
  <c r="I268" i="11"/>
  <c r="J268" i="11"/>
  <c r="I269" i="11"/>
  <c r="J269" i="11"/>
  <c r="I270" i="11"/>
  <c r="J270" i="11"/>
  <c r="I271" i="11"/>
  <c r="J271" i="11"/>
  <c r="I272" i="11"/>
  <c r="J272" i="11"/>
  <c r="I273" i="11"/>
  <c r="J273" i="11"/>
  <c r="I274" i="11"/>
  <c r="J274" i="11"/>
  <c r="I275" i="11"/>
  <c r="J275" i="11"/>
  <c r="I276" i="11"/>
  <c r="J276" i="11"/>
  <c r="I277" i="11"/>
  <c r="J277" i="11"/>
  <c r="I278" i="11"/>
  <c r="J278" i="11"/>
  <c r="I279" i="11"/>
  <c r="J279" i="11"/>
  <c r="I280" i="11"/>
  <c r="J280" i="11"/>
  <c r="I281" i="11"/>
  <c r="J281" i="11"/>
  <c r="I282" i="11"/>
  <c r="J282" i="11"/>
  <c r="I283" i="11"/>
  <c r="J283" i="11"/>
  <c r="I284" i="11"/>
  <c r="J284" i="11"/>
  <c r="I285" i="11"/>
  <c r="J285" i="11"/>
  <c r="I286" i="11"/>
  <c r="J286" i="11"/>
  <c r="I287" i="11"/>
  <c r="J287" i="11"/>
  <c r="I288" i="11"/>
  <c r="J288" i="11"/>
  <c r="I289" i="11"/>
  <c r="J289" i="11"/>
  <c r="I290" i="11"/>
  <c r="J290" i="11"/>
  <c r="I291" i="11"/>
  <c r="J291" i="11"/>
  <c r="I292" i="11"/>
  <c r="J292" i="11"/>
  <c r="I293" i="11"/>
  <c r="J293" i="11"/>
  <c r="I294" i="11"/>
  <c r="J294" i="11"/>
  <c r="I295" i="11"/>
  <c r="J295" i="11"/>
  <c r="I296" i="11"/>
  <c r="J296" i="11"/>
  <c r="I297" i="11"/>
  <c r="J297" i="11"/>
  <c r="I298" i="11"/>
  <c r="J298" i="11"/>
  <c r="I299" i="11"/>
  <c r="J299" i="11"/>
  <c r="I300" i="11"/>
  <c r="J300" i="11"/>
  <c r="I301" i="11"/>
  <c r="J301" i="11"/>
  <c r="I302" i="11"/>
  <c r="J302" i="11"/>
  <c r="I303" i="11"/>
  <c r="J303" i="11"/>
  <c r="I304" i="11"/>
  <c r="J304" i="11"/>
  <c r="I305" i="11"/>
  <c r="J305" i="11"/>
  <c r="I306" i="11"/>
  <c r="J306" i="11"/>
  <c r="I307" i="11"/>
  <c r="J307" i="11"/>
  <c r="I308" i="11"/>
  <c r="J308" i="11"/>
  <c r="I309" i="11"/>
  <c r="J309" i="11"/>
  <c r="I310" i="11"/>
  <c r="J310" i="11"/>
  <c r="I311" i="11"/>
  <c r="J311" i="11"/>
  <c r="I312" i="11"/>
  <c r="J312" i="11"/>
  <c r="I313" i="11"/>
  <c r="J313" i="11"/>
  <c r="I314" i="11"/>
  <c r="J314" i="11"/>
  <c r="I315" i="11"/>
  <c r="J315" i="11"/>
  <c r="I316" i="11"/>
  <c r="J316" i="11"/>
  <c r="I317" i="11"/>
  <c r="J317" i="11"/>
  <c r="I318" i="11"/>
  <c r="J318" i="11"/>
  <c r="I319" i="11"/>
  <c r="J319" i="11"/>
  <c r="I320" i="11"/>
  <c r="J320" i="11"/>
  <c r="I321" i="11"/>
  <c r="J321" i="11"/>
  <c r="I322" i="11"/>
  <c r="J322" i="11"/>
  <c r="I323" i="11"/>
  <c r="J323" i="11"/>
  <c r="I324" i="11"/>
  <c r="J324" i="11"/>
  <c r="I325" i="11"/>
  <c r="J325" i="11"/>
  <c r="I326" i="11"/>
  <c r="J326" i="11"/>
  <c r="I327" i="11"/>
  <c r="J327" i="11"/>
  <c r="I328" i="11"/>
  <c r="J328" i="11"/>
  <c r="I329" i="11"/>
  <c r="J329" i="11"/>
  <c r="I330" i="11"/>
  <c r="J330" i="11"/>
  <c r="I331" i="11"/>
  <c r="J331" i="11"/>
  <c r="I332" i="11"/>
  <c r="J332" i="11"/>
  <c r="I333" i="11"/>
  <c r="J333" i="11"/>
  <c r="I334" i="11"/>
  <c r="J334" i="11"/>
  <c r="I335" i="11"/>
  <c r="J335" i="11"/>
  <c r="I336" i="11"/>
  <c r="J336" i="11"/>
  <c r="I337" i="11"/>
  <c r="J337" i="11"/>
  <c r="I338" i="11"/>
  <c r="J338" i="11"/>
  <c r="I339" i="11"/>
  <c r="J339" i="11"/>
  <c r="I340" i="11"/>
  <c r="J340" i="11"/>
  <c r="I341" i="11"/>
  <c r="J341" i="11"/>
  <c r="I342" i="11"/>
  <c r="J342" i="11"/>
  <c r="I343" i="11"/>
  <c r="J343" i="11"/>
  <c r="I344" i="11"/>
  <c r="J344" i="11"/>
  <c r="I345" i="11"/>
  <c r="J345" i="11"/>
  <c r="I346" i="11"/>
  <c r="J346" i="11"/>
  <c r="I347" i="11"/>
  <c r="J347" i="11"/>
  <c r="I348" i="11"/>
  <c r="J348" i="11"/>
  <c r="I349" i="11"/>
  <c r="J349" i="11"/>
  <c r="I350" i="11"/>
  <c r="J350" i="11"/>
  <c r="I351" i="11"/>
  <c r="J351" i="11"/>
  <c r="I352" i="11"/>
  <c r="J352" i="11"/>
  <c r="I353" i="11"/>
  <c r="J353" i="11"/>
  <c r="I354" i="11"/>
  <c r="J354" i="11"/>
  <c r="I355" i="11"/>
  <c r="J355" i="11"/>
  <c r="I356" i="11"/>
  <c r="J356" i="11"/>
  <c r="I357" i="11"/>
  <c r="J357" i="11"/>
  <c r="I358" i="11"/>
  <c r="J358" i="11"/>
  <c r="I359" i="11"/>
  <c r="J359" i="11"/>
  <c r="I360" i="11"/>
  <c r="J360" i="11"/>
  <c r="I361" i="11"/>
  <c r="J361" i="11"/>
  <c r="I362" i="11"/>
  <c r="J362" i="11"/>
  <c r="I363" i="11"/>
  <c r="J363" i="11"/>
  <c r="I364" i="11"/>
  <c r="J364" i="11"/>
  <c r="I365" i="11"/>
  <c r="J365" i="11"/>
  <c r="I366" i="11"/>
  <c r="J366" i="11"/>
  <c r="I367" i="11"/>
  <c r="J367" i="11"/>
  <c r="I368" i="11"/>
  <c r="J368" i="11"/>
  <c r="I369" i="11"/>
  <c r="J369" i="11"/>
  <c r="I370" i="11"/>
  <c r="J370" i="11"/>
  <c r="I371" i="11"/>
  <c r="J371" i="11"/>
  <c r="I372" i="11"/>
  <c r="J372" i="11"/>
  <c r="I373" i="11"/>
  <c r="J373" i="11"/>
  <c r="I374" i="11"/>
  <c r="J374" i="11"/>
  <c r="I375" i="11"/>
  <c r="J375" i="11"/>
  <c r="I376" i="11"/>
  <c r="J376" i="11"/>
  <c r="I377" i="11"/>
  <c r="J377" i="11"/>
  <c r="I378" i="11"/>
  <c r="J378" i="11"/>
  <c r="I379" i="11"/>
  <c r="J379" i="11"/>
  <c r="I380" i="11"/>
  <c r="J380" i="11"/>
  <c r="I381" i="11"/>
  <c r="J381" i="11"/>
  <c r="I382" i="11"/>
  <c r="J382" i="11"/>
  <c r="I383" i="11"/>
  <c r="J383" i="11"/>
  <c r="I384" i="11"/>
  <c r="J384" i="11"/>
  <c r="I385" i="11"/>
  <c r="J385" i="11"/>
  <c r="I386" i="11"/>
  <c r="J386" i="11"/>
  <c r="I387" i="11"/>
  <c r="J387" i="11"/>
  <c r="I388" i="11"/>
  <c r="J388" i="11"/>
  <c r="I389" i="11"/>
  <c r="J389" i="11"/>
  <c r="I390" i="11"/>
  <c r="J390" i="11"/>
  <c r="I391" i="11"/>
  <c r="J391" i="11"/>
  <c r="I392" i="11"/>
  <c r="J392" i="11"/>
  <c r="I393" i="11"/>
  <c r="J393" i="11"/>
  <c r="I394" i="11"/>
  <c r="J394" i="11"/>
  <c r="I395" i="11"/>
  <c r="J395" i="11"/>
  <c r="I396" i="11"/>
  <c r="J396" i="11"/>
  <c r="I397" i="11"/>
  <c r="J397" i="11"/>
  <c r="I398" i="11"/>
  <c r="J398" i="11"/>
  <c r="I399" i="11"/>
  <c r="J399" i="11"/>
  <c r="I400" i="11"/>
  <c r="J400" i="11"/>
  <c r="I401" i="11"/>
  <c r="J401" i="11"/>
  <c r="I402" i="11"/>
  <c r="J402" i="11"/>
  <c r="I403" i="11"/>
  <c r="J403" i="11"/>
  <c r="I404" i="11"/>
  <c r="J404" i="11"/>
  <c r="I405" i="11"/>
  <c r="J405" i="11"/>
  <c r="I406" i="11"/>
  <c r="J406" i="11"/>
  <c r="I407" i="11"/>
  <c r="J407" i="11"/>
  <c r="I408" i="11"/>
  <c r="J408" i="11"/>
  <c r="I409" i="11"/>
  <c r="J409" i="11"/>
  <c r="I410" i="11"/>
  <c r="J410" i="11"/>
  <c r="I411" i="11"/>
  <c r="J411" i="11"/>
  <c r="I412" i="11"/>
  <c r="J412" i="11"/>
  <c r="I413" i="11"/>
  <c r="J413" i="11"/>
  <c r="I414" i="11"/>
  <c r="J414" i="11"/>
  <c r="I415" i="11"/>
  <c r="J415" i="11"/>
  <c r="I416" i="11"/>
  <c r="J416" i="11"/>
  <c r="I417" i="11"/>
  <c r="J417" i="11"/>
  <c r="I418" i="11"/>
  <c r="J418" i="11"/>
  <c r="I419" i="11"/>
  <c r="J419" i="11"/>
  <c r="I420" i="11"/>
  <c r="J420" i="11"/>
  <c r="I421" i="11"/>
  <c r="J421" i="11"/>
  <c r="I422" i="11"/>
  <c r="J422" i="11"/>
  <c r="I423" i="11"/>
  <c r="J423" i="11"/>
  <c r="I424" i="11"/>
  <c r="J424" i="11"/>
  <c r="I425" i="11"/>
  <c r="J425" i="11"/>
  <c r="I426" i="11"/>
  <c r="J426" i="11"/>
  <c r="I427" i="11"/>
  <c r="J427" i="11"/>
  <c r="I428" i="11"/>
  <c r="J428" i="11"/>
  <c r="I429" i="11"/>
  <c r="J429" i="11"/>
  <c r="I430" i="11"/>
  <c r="J430" i="11"/>
  <c r="I431" i="11"/>
  <c r="J431" i="11"/>
  <c r="I432" i="11"/>
  <c r="J432" i="11"/>
  <c r="I433" i="11"/>
  <c r="J433" i="11"/>
  <c r="I434" i="11"/>
  <c r="J434" i="11"/>
  <c r="I435" i="11"/>
  <c r="J435" i="11"/>
  <c r="I436" i="11"/>
  <c r="J436" i="11"/>
  <c r="I437" i="11"/>
  <c r="J437" i="11"/>
  <c r="I438" i="11"/>
  <c r="J438" i="11"/>
  <c r="I439" i="11"/>
  <c r="J439" i="11"/>
  <c r="I440" i="11"/>
  <c r="J440" i="11"/>
  <c r="I441" i="11"/>
  <c r="J441" i="11"/>
  <c r="I442" i="11"/>
  <c r="J442" i="11"/>
  <c r="I443" i="11"/>
  <c r="J443" i="11"/>
  <c r="I444" i="11"/>
  <c r="J444" i="11"/>
  <c r="I445" i="11"/>
  <c r="J445" i="11"/>
  <c r="I446" i="11"/>
  <c r="J446" i="11"/>
  <c r="I447" i="11"/>
  <c r="J447" i="11"/>
  <c r="I448" i="11"/>
  <c r="J448" i="11"/>
  <c r="I449" i="11"/>
  <c r="J449" i="11"/>
  <c r="I450" i="11"/>
  <c r="J450" i="11"/>
  <c r="I451" i="11"/>
  <c r="J451" i="11"/>
  <c r="I452" i="11"/>
  <c r="J452" i="11"/>
  <c r="I453" i="11"/>
  <c r="J453" i="11"/>
  <c r="I454" i="11"/>
  <c r="J454" i="11"/>
  <c r="I455" i="11"/>
  <c r="J455" i="11"/>
  <c r="I456" i="11"/>
  <c r="J456" i="11"/>
  <c r="I457" i="11"/>
  <c r="J457" i="11"/>
  <c r="I458" i="11"/>
  <c r="J458" i="11"/>
  <c r="I459" i="11"/>
  <c r="J459" i="11"/>
  <c r="I460" i="11"/>
  <c r="J460" i="11"/>
  <c r="I461" i="11"/>
  <c r="J461" i="11"/>
  <c r="I462" i="11"/>
  <c r="J462" i="11"/>
  <c r="I463" i="11"/>
  <c r="J463" i="11"/>
  <c r="I464" i="11"/>
  <c r="J464" i="11"/>
  <c r="I465" i="11"/>
  <c r="J465" i="11"/>
  <c r="I466" i="11"/>
  <c r="J466" i="11"/>
  <c r="I467" i="11"/>
  <c r="J467" i="11"/>
  <c r="I468" i="11"/>
  <c r="J468" i="11"/>
  <c r="I469" i="11"/>
  <c r="J469" i="11"/>
  <c r="I470" i="11"/>
  <c r="J470" i="11"/>
  <c r="I471" i="11"/>
  <c r="J471" i="11"/>
  <c r="I472" i="11"/>
  <c r="J472" i="11"/>
  <c r="I473" i="11"/>
  <c r="J473" i="11"/>
  <c r="I474" i="11"/>
  <c r="J474" i="11"/>
  <c r="I475" i="11"/>
  <c r="J475" i="11"/>
  <c r="I476" i="11"/>
  <c r="J476" i="11"/>
  <c r="I477" i="11"/>
  <c r="J477" i="11"/>
  <c r="I478" i="11"/>
  <c r="J478" i="11"/>
  <c r="I479" i="11"/>
  <c r="J479" i="11"/>
  <c r="I480" i="11"/>
  <c r="J480" i="11"/>
  <c r="I481" i="11"/>
  <c r="J481" i="11"/>
  <c r="I482" i="11"/>
  <c r="J482" i="11"/>
  <c r="I483" i="11"/>
  <c r="J483" i="11"/>
  <c r="I484" i="11"/>
  <c r="J484" i="11"/>
  <c r="I485" i="11"/>
  <c r="J485" i="11"/>
  <c r="I486" i="11"/>
  <c r="J486" i="11"/>
  <c r="I487" i="11"/>
  <c r="J487" i="11"/>
  <c r="I488" i="11"/>
  <c r="J488" i="11"/>
  <c r="I489" i="11"/>
  <c r="J489" i="11"/>
  <c r="I490" i="11"/>
  <c r="J490" i="11"/>
  <c r="I491" i="11"/>
  <c r="J491" i="11"/>
  <c r="I492" i="11"/>
  <c r="J492" i="11"/>
  <c r="I493" i="11"/>
  <c r="J493" i="11"/>
  <c r="I494" i="11"/>
  <c r="J494" i="11"/>
  <c r="I495" i="11"/>
  <c r="J495" i="11"/>
  <c r="I496" i="11"/>
  <c r="J496" i="11"/>
  <c r="I497" i="11"/>
  <c r="J497" i="11"/>
  <c r="I498" i="11"/>
  <c r="J498" i="11"/>
  <c r="I499" i="11"/>
  <c r="J499" i="11"/>
  <c r="I500" i="11"/>
  <c r="J500" i="11"/>
  <c r="I501" i="11"/>
  <c r="J501" i="11"/>
  <c r="I502" i="11"/>
  <c r="J502" i="11"/>
  <c r="I503" i="11"/>
  <c r="J503" i="11"/>
  <c r="I504" i="11"/>
  <c r="J504" i="11"/>
  <c r="I505" i="11"/>
  <c r="J505" i="11"/>
  <c r="I506" i="11"/>
  <c r="J506" i="11"/>
  <c r="I507" i="11"/>
  <c r="J507" i="11"/>
  <c r="I508" i="11"/>
  <c r="J508" i="11"/>
  <c r="I509" i="11"/>
  <c r="J509" i="11"/>
  <c r="I510" i="11"/>
  <c r="J510" i="11"/>
  <c r="I511" i="11"/>
  <c r="J511" i="11"/>
  <c r="I512" i="11"/>
  <c r="J512" i="11"/>
  <c r="I513" i="11"/>
  <c r="J513" i="11"/>
  <c r="I514" i="11"/>
  <c r="J514" i="11"/>
  <c r="I515" i="11"/>
  <c r="J515" i="11"/>
  <c r="I516" i="11"/>
  <c r="J516" i="11"/>
  <c r="I517" i="11"/>
  <c r="J517" i="11"/>
  <c r="I518" i="11"/>
  <c r="J518" i="11"/>
  <c r="I519" i="11"/>
  <c r="J519" i="11"/>
  <c r="I520" i="11"/>
  <c r="J520" i="11"/>
  <c r="I521" i="11"/>
  <c r="J521" i="11"/>
  <c r="I522" i="11"/>
  <c r="J522" i="11"/>
  <c r="I523" i="11"/>
  <c r="J523" i="11"/>
  <c r="I524" i="11"/>
  <c r="J524" i="11"/>
  <c r="I525" i="11"/>
  <c r="J525" i="11"/>
  <c r="I526" i="11"/>
  <c r="J526" i="11"/>
  <c r="I527" i="11"/>
  <c r="J527" i="11"/>
  <c r="I528" i="11"/>
  <c r="J528" i="11"/>
  <c r="I529" i="11"/>
  <c r="J529" i="11"/>
  <c r="I530" i="11"/>
  <c r="J530" i="11"/>
  <c r="I531" i="11"/>
  <c r="J531" i="11"/>
  <c r="I532" i="11"/>
  <c r="J532" i="11"/>
  <c r="I533" i="11"/>
  <c r="J533" i="11"/>
  <c r="I534" i="11"/>
  <c r="J534" i="11"/>
  <c r="I535" i="11"/>
  <c r="J535" i="11"/>
  <c r="I536" i="11"/>
  <c r="J536" i="11"/>
  <c r="I537" i="11"/>
  <c r="J537" i="11"/>
  <c r="I538" i="11"/>
  <c r="J538" i="11"/>
  <c r="I539" i="11"/>
  <c r="J539" i="11"/>
  <c r="I540" i="11"/>
  <c r="J540" i="11"/>
  <c r="I541" i="11"/>
  <c r="J541" i="11"/>
  <c r="I542" i="11"/>
  <c r="J542" i="11"/>
  <c r="I543" i="11"/>
  <c r="J543" i="11"/>
  <c r="I544" i="11"/>
  <c r="J544" i="11"/>
  <c r="I545" i="11"/>
  <c r="J545" i="11"/>
  <c r="I546" i="11"/>
  <c r="J546" i="11"/>
  <c r="I547" i="11"/>
  <c r="J547" i="11"/>
  <c r="I548" i="11"/>
  <c r="J548" i="11"/>
  <c r="I549" i="11"/>
  <c r="J549" i="11"/>
  <c r="I550" i="11"/>
  <c r="J550" i="11"/>
  <c r="I551" i="11"/>
  <c r="J551" i="11"/>
  <c r="I552" i="11"/>
  <c r="J552" i="11"/>
  <c r="I553" i="11"/>
  <c r="J553" i="11"/>
  <c r="I554" i="11"/>
  <c r="J554" i="11"/>
  <c r="I555" i="11"/>
  <c r="J555" i="11"/>
  <c r="I556" i="11"/>
  <c r="J556" i="11"/>
  <c r="I557" i="11"/>
  <c r="J557" i="11"/>
  <c r="I558" i="11"/>
  <c r="J558" i="11"/>
  <c r="I559" i="11"/>
  <c r="J559" i="11"/>
  <c r="I560" i="11"/>
  <c r="J560" i="11"/>
  <c r="I561" i="11"/>
  <c r="J561" i="11"/>
  <c r="I562" i="11"/>
  <c r="J562" i="11"/>
  <c r="I563" i="11"/>
  <c r="J563" i="11"/>
  <c r="I564" i="11"/>
  <c r="J564" i="11"/>
  <c r="I565" i="11"/>
  <c r="J565" i="11"/>
  <c r="I566" i="11"/>
  <c r="J566" i="11"/>
  <c r="I567" i="11"/>
  <c r="J567" i="11"/>
  <c r="I568" i="11"/>
  <c r="J568" i="11"/>
  <c r="I569" i="11"/>
  <c r="J569" i="11"/>
  <c r="I570" i="11"/>
  <c r="J570" i="11"/>
  <c r="I571" i="11"/>
  <c r="J571" i="11"/>
  <c r="I572" i="11"/>
  <c r="J572" i="11"/>
  <c r="I573" i="11"/>
  <c r="J573" i="11"/>
  <c r="I574" i="11"/>
  <c r="J574" i="11"/>
  <c r="I575" i="11"/>
  <c r="J575" i="11"/>
  <c r="I576" i="11"/>
  <c r="J576" i="11"/>
  <c r="I577" i="11"/>
  <c r="J577" i="11"/>
  <c r="I578" i="11"/>
  <c r="J578" i="11"/>
  <c r="I579" i="11"/>
  <c r="J579" i="11"/>
  <c r="I580" i="11"/>
  <c r="J580" i="11"/>
  <c r="I581" i="11"/>
  <c r="J581" i="11"/>
  <c r="I582" i="11"/>
  <c r="J582" i="11"/>
  <c r="I583" i="11"/>
  <c r="J583" i="11"/>
  <c r="I584" i="11"/>
  <c r="J584" i="11"/>
  <c r="I585" i="11"/>
  <c r="J585" i="11"/>
  <c r="I586" i="11"/>
  <c r="J586" i="11"/>
  <c r="I587" i="11"/>
  <c r="J587" i="11"/>
  <c r="I588" i="11"/>
  <c r="J588" i="11"/>
  <c r="I589" i="11"/>
  <c r="J589" i="11"/>
  <c r="I590" i="11"/>
  <c r="J590" i="11"/>
  <c r="I591" i="11"/>
  <c r="J591" i="11"/>
  <c r="I592" i="11"/>
  <c r="J592" i="11"/>
  <c r="I593" i="11"/>
  <c r="J593" i="11"/>
  <c r="I594" i="11"/>
  <c r="J594" i="11"/>
  <c r="I595" i="11"/>
  <c r="J595" i="11"/>
  <c r="I596" i="11"/>
  <c r="J596" i="11"/>
  <c r="I597" i="11"/>
  <c r="J597" i="11"/>
  <c r="I598" i="11"/>
  <c r="J598" i="11"/>
  <c r="I599" i="11"/>
  <c r="J599" i="11"/>
  <c r="I600" i="11"/>
  <c r="J600" i="11"/>
  <c r="I601" i="11"/>
  <c r="J601" i="11"/>
  <c r="I602" i="11"/>
  <c r="J602" i="11"/>
  <c r="I603" i="11"/>
  <c r="J603" i="11"/>
  <c r="I604" i="11"/>
  <c r="J604" i="11"/>
  <c r="I605" i="11"/>
  <c r="J605" i="11"/>
  <c r="I606" i="11"/>
  <c r="J606" i="11"/>
  <c r="I607" i="11"/>
  <c r="J607" i="11"/>
  <c r="I608" i="11"/>
  <c r="J608" i="11"/>
  <c r="I609" i="11"/>
  <c r="J609" i="11"/>
  <c r="I610" i="11"/>
  <c r="J610" i="11"/>
  <c r="I611" i="11"/>
  <c r="J611" i="11"/>
  <c r="I612" i="11"/>
  <c r="J612" i="11"/>
  <c r="I613" i="11"/>
  <c r="J613" i="11"/>
  <c r="I614" i="11"/>
  <c r="J614" i="11"/>
  <c r="I615" i="11"/>
  <c r="J615" i="11"/>
  <c r="I616" i="11"/>
  <c r="J616" i="11"/>
  <c r="I617" i="11"/>
  <c r="J617" i="11"/>
  <c r="I618" i="11"/>
  <c r="J618" i="11"/>
  <c r="I619" i="11"/>
  <c r="J619" i="11"/>
  <c r="I620" i="11"/>
  <c r="J620" i="11"/>
  <c r="I621" i="11"/>
  <c r="J621" i="11"/>
  <c r="I622" i="11"/>
  <c r="J622" i="11"/>
  <c r="I623" i="11"/>
  <c r="J623" i="11"/>
  <c r="I624" i="11"/>
  <c r="J624" i="11"/>
  <c r="I625" i="11"/>
  <c r="J625" i="11"/>
  <c r="I626" i="11"/>
  <c r="J626" i="11"/>
  <c r="I627" i="11"/>
  <c r="J627" i="11"/>
  <c r="I628" i="11"/>
  <c r="J628" i="11"/>
  <c r="I629" i="11"/>
  <c r="J629" i="11"/>
  <c r="I630" i="11"/>
  <c r="J630" i="11"/>
  <c r="I631" i="11"/>
  <c r="J631" i="11"/>
  <c r="I632" i="11"/>
  <c r="J632" i="11"/>
  <c r="I633" i="11"/>
  <c r="J633" i="11"/>
  <c r="I634" i="11"/>
  <c r="J634" i="11"/>
  <c r="I635" i="11"/>
  <c r="J635" i="11"/>
  <c r="I636" i="11"/>
  <c r="J636" i="11"/>
  <c r="I637" i="11"/>
  <c r="J637" i="11"/>
  <c r="I638" i="11"/>
  <c r="J638" i="11"/>
  <c r="I639" i="11"/>
  <c r="J639" i="11"/>
  <c r="I640" i="11"/>
  <c r="J640" i="11"/>
  <c r="I641" i="11"/>
  <c r="J641" i="11"/>
  <c r="I642" i="11"/>
  <c r="J642" i="11"/>
  <c r="I643" i="11"/>
  <c r="J643" i="11"/>
  <c r="I644" i="11"/>
  <c r="J644" i="11"/>
  <c r="I645" i="11"/>
  <c r="J645" i="11"/>
  <c r="I646" i="11"/>
  <c r="J646" i="11"/>
  <c r="I647" i="11"/>
  <c r="J647" i="11"/>
  <c r="I648" i="11"/>
  <c r="J648" i="11"/>
  <c r="I649" i="11"/>
  <c r="J649" i="11"/>
  <c r="I650" i="11"/>
  <c r="J650" i="11"/>
  <c r="I651" i="11"/>
  <c r="J651" i="11"/>
  <c r="I652" i="11"/>
  <c r="J652" i="11"/>
  <c r="I653" i="11"/>
  <c r="J653" i="11"/>
  <c r="I654" i="11"/>
  <c r="J654" i="11"/>
  <c r="I655" i="11"/>
  <c r="J655" i="11"/>
  <c r="I656" i="11"/>
  <c r="J656" i="11"/>
  <c r="I657" i="11"/>
  <c r="J657" i="11"/>
  <c r="I658" i="11"/>
  <c r="J658" i="11"/>
  <c r="I659" i="11"/>
  <c r="J659" i="11"/>
  <c r="I660" i="11"/>
  <c r="J660" i="11"/>
  <c r="I661" i="11"/>
  <c r="J661" i="11"/>
  <c r="I662" i="11"/>
  <c r="J662" i="11"/>
  <c r="I663" i="11"/>
  <c r="J663" i="11"/>
  <c r="I664" i="11"/>
  <c r="J664" i="11"/>
  <c r="I665" i="11"/>
  <c r="J665" i="11"/>
  <c r="I666" i="11"/>
  <c r="J666" i="11"/>
  <c r="I667" i="11"/>
  <c r="J667" i="11"/>
  <c r="I668" i="11"/>
  <c r="J668" i="11"/>
  <c r="I669" i="11"/>
  <c r="J669" i="11"/>
  <c r="I670" i="11"/>
  <c r="J670" i="11"/>
  <c r="I671" i="11"/>
  <c r="J671" i="11"/>
  <c r="I672" i="11"/>
  <c r="J672" i="11"/>
  <c r="I673" i="11"/>
  <c r="J673" i="11"/>
  <c r="I674" i="11"/>
  <c r="J674" i="11"/>
  <c r="I675" i="11"/>
  <c r="J675" i="11"/>
  <c r="I676" i="11"/>
  <c r="J676" i="11"/>
  <c r="I677" i="11"/>
  <c r="J677" i="11"/>
  <c r="I678" i="11"/>
  <c r="J678" i="11"/>
  <c r="I679" i="11"/>
  <c r="J679" i="11"/>
  <c r="I680" i="11"/>
  <c r="J680" i="11"/>
  <c r="I681" i="11"/>
  <c r="J681" i="11"/>
  <c r="I682" i="11"/>
  <c r="J682" i="11"/>
  <c r="I683" i="11"/>
  <c r="J683" i="11"/>
  <c r="I684" i="11"/>
  <c r="J684" i="11"/>
  <c r="I685" i="11"/>
  <c r="J685" i="11"/>
  <c r="I686" i="11"/>
  <c r="J686" i="11"/>
  <c r="I687" i="11"/>
  <c r="J687" i="11"/>
  <c r="I688" i="11"/>
  <c r="J688" i="11"/>
  <c r="I689" i="11"/>
  <c r="J689" i="11"/>
  <c r="I690" i="11"/>
  <c r="J690" i="11"/>
  <c r="I691" i="11"/>
  <c r="J691" i="11"/>
  <c r="I692" i="11"/>
  <c r="J692" i="11"/>
  <c r="I693" i="11"/>
  <c r="J693" i="11"/>
  <c r="I694" i="11"/>
  <c r="J694" i="11"/>
  <c r="I695" i="11"/>
  <c r="J695" i="11"/>
  <c r="I696" i="11"/>
  <c r="J696" i="11"/>
  <c r="I697" i="11"/>
  <c r="J697" i="11"/>
  <c r="I698" i="11"/>
  <c r="J698" i="11"/>
  <c r="I699" i="11"/>
  <c r="J699" i="11"/>
  <c r="I700" i="11"/>
  <c r="J700" i="11"/>
  <c r="I701" i="11"/>
  <c r="J701" i="11"/>
  <c r="I702" i="11"/>
  <c r="J702" i="11"/>
  <c r="I703" i="11"/>
  <c r="J703" i="11"/>
  <c r="I704" i="11"/>
  <c r="J704" i="11"/>
  <c r="I705" i="11"/>
  <c r="J705" i="11"/>
  <c r="I706" i="11"/>
  <c r="J706" i="11"/>
  <c r="I707" i="11"/>
  <c r="J707" i="11"/>
  <c r="I708" i="11"/>
  <c r="J708" i="11"/>
  <c r="I709" i="11"/>
  <c r="J709" i="11"/>
  <c r="I710" i="11"/>
  <c r="J710" i="11"/>
  <c r="I711" i="11"/>
  <c r="J711" i="11"/>
  <c r="I712" i="11"/>
  <c r="J712" i="11"/>
  <c r="I713" i="11"/>
  <c r="J713" i="11"/>
  <c r="I714" i="11"/>
  <c r="J714" i="11"/>
  <c r="I715" i="11"/>
  <c r="J715" i="11"/>
  <c r="I716" i="11"/>
  <c r="J716" i="11"/>
  <c r="I717" i="11"/>
  <c r="J717" i="11"/>
  <c r="I718" i="11"/>
  <c r="J718" i="11"/>
  <c r="I719" i="11"/>
  <c r="J719" i="11"/>
  <c r="I720" i="11"/>
  <c r="J720" i="11"/>
  <c r="I721" i="11"/>
  <c r="J721" i="11"/>
  <c r="I722" i="11"/>
  <c r="J722" i="11"/>
  <c r="I723" i="11"/>
  <c r="J723" i="11"/>
  <c r="I724" i="11"/>
  <c r="J724" i="11"/>
  <c r="I725" i="11"/>
  <c r="J725" i="11"/>
  <c r="I726" i="11"/>
  <c r="J726" i="11"/>
  <c r="I727" i="11"/>
  <c r="J727" i="11"/>
  <c r="I728" i="11"/>
  <c r="J728" i="11"/>
  <c r="I729" i="11"/>
  <c r="J729" i="11"/>
  <c r="I730" i="11"/>
  <c r="J730" i="11"/>
  <c r="I731" i="11"/>
  <c r="J731" i="11"/>
  <c r="I732" i="11"/>
  <c r="J732" i="11"/>
  <c r="I733" i="11"/>
  <c r="J733" i="11"/>
  <c r="I734" i="11"/>
  <c r="J734" i="11"/>
  <c r="I735" i="11"/>
  <c r="J735" i="11"/>
  <c r="I736" i="11"/>
  <c r="J736" i="11"/>
  <c r="I737" i="11"/>
  <c r="J737" i="11"/>
  <c r="I738" i="11"/>
  <c r="J738" i="11"/>
  <c r="I739" i="11"/>
  <c r="J739" i="11"/>
  <c r="I740" i="11"/>
  <c r="J740" i="11"/>
  <c r="I741" i="11"/>
  <c r="J741" i="11"/>
  <c r="I742" i="11"/>
  <c r="J742" i="11"/>
  <c r="I743" i="11"/>
  <c r="J743" i="11"/>
  <c r="I744" i="11"/>
  <c r="J744" i="11"/>
  <c r="I745" i="11"/>
  <c r="J745" i="11"/>
  <c r="I746" i="11"/>
  <c r="J746" i="11"/>
  <c r="I747" i="11"/>
  <c r="J747" i="11"/>
  <c r="I748" i="11"/>
  <c r="J748" i="11"/>
  <c r="I749" i="11"/>
  <c r="J749" i="11"/>
  <c r="I750" i="11"/>
  <c r="J750" i="11"/>
  <c r="I751" i="11"/>
  <c r="J751" i="11"/>
  <c r="I752" i="11"/>
  <c r="J752" i="11"/>
  <c r="I753" i="11"/>
  <c r="J753" i="11"/>
  <c r="I754" i="11"/>
  <c r="J754" i="11"/>
  <c r="I755" i="11"/>
  <c r="J755" i="11"/>
  <c r="I756" i="11"/>
  <c r="J756" i="11"/>
  <c r="I757" i="11"/>
  <c r="J757" i="11"/>
  <c r="I758" i="11"/>
  <c r="J758" i="11"/>
  <c r="I759" i="11"/>
  <c r="J759" i="11"/>
  <c r="I760" i="11"/>
  <c r="J760" i="11"/>
  <c r="I761" i="11"/>
  <c r="J761" i="11"/>
  <c r="I762" i="11"/>
  <c r="J762" i="11"/>
  <c r="I763" i="11"/>
  <c r="J763" i="11"/>
  <c r="I764" i="11"/>
  <c r="J764" i="11"/>
  <c r="I765" i="11"/>
  <c r="J765" i="11"/>
  <c r="I766" i="11"/>
  <c r="J766" i="11"/>
  <c r="I767" i="11"/>
  <c r="J767" i="11"/>
  <c r="I768" i="11"/>
  <c r="J768" i="11"/>
  <c r="I769" i="11"/>
  <c r="J769" i="11"/>
  <c r="I770" i="11"/>
  <c r="J770" i="11"/>
  <c r="I771" i="11"/>
  <c r="J771" i="11"/>
  <c r="I772" i="11"/>
  <c r="J772" i="11"/>
  <c r="I773" i="11"/>
  <c r="J773" i="11"/>
  <c r="I774" i="11"/>
  <c r="J774" i="11"/>
  <c r="I775" i="11"/>
  <c r="J775" i="11"/>
  <c r="I776" i="11"/>
  <c r="J776" i="11"/>
  <c r="I777" i="11"/>
  <c r="J777" i="11"/>
  <c r="I778" i="11"/>
  <c r="J778" i="11"/>
  <c r="I779" i="11"/>
  <c r="J779" i="11"/>
  <c r="I780" i="11"/>
  <c r="J780" i="11"/>
  <c r="I781" i="11"/>
  <c r="J781" i="11"/>
  <c r="I782" i="11"/>
  <c r="J782" i="11"/>
  <c r="I783" i="11"/>
  <c r="J783" i="11"/>
  <c r="I784" i="11"/>
  <c r="J784" i="11"/>
  <c r="I785" i="11"/>
  <c r="J785" i="11"/>
  <c r="I786" i="11"/>
  <c r="J786" i="11"/>
  <c r="I787" i="11"/>
  <c r="J787" i="11"/>
  <c r="I788" i="11"/>
  <c r="J788" i="11"/>
  <c r="I789" i="11"/>
  <c r="J789" i="11"/>
  <c r="I790" i="11"/>
  <c r="J790" i="11"/>
  <c r="I791" i="11"/>
  <c r="J791" i="11"/>
  <c r="I792" i="11"/>
  <c r="J792" i="11"/>
  <c r="I793" i="11"/>
  <c r="J793" i="11"/>
  <c r="I794" i="11"/>
  <c r="J794" i="11"/>
  <c r="I795" i="11"/>
  <c r="J795" i="11"/>
  <c r="I796" i="11"/>
  <c r="J796" i="11"/>
  <c r="I797" i="11"/>
  <c r="J797" i="11"/>
  <c r="I798" i="11"/>
  <c r="J798" i="11"/>
  <c r="I799" i="11"/>
  <c r="J799" i="11"/>
  <c r="I800" i="11"/>
  <c r="J800" i="11"/>
  <c r="I801" i="11"/>
  <c r="J801" i="11"/>
  <c r="I802" i="11"/>
  <c r="J802" i="11"/>
  <c r="I803" i="11"/>
  <c r="J803" i="11"/>
  <c r="I804" i="11"/>
  <c r="J804" i="11"/>
  <c r="I805" i="11"/>
  <c r="J805" i="11"/>
  <c r="I806" i="11"/>
  <c r="J806" i="11"/>
  <c r="I807" i="11"/>
  <c r="J807" i="11"/>
  <c r="I808" i="11"/>
  <c r="J808" i="11"/>
  <c r="I809" i="11"/>
  <c r="J809" i="11"/>
  <c r="I810" i="11"/>
  <c r="J810" i="11"/>
  <c r="I811" i="11"/>
  <c r="J811" i="11"/>
  <c r="I812" i="11"/>
  <c r="J812" i="11"/>
  <c r="I813" i="11"/>
  <c r="J813" i="11"/>
  <c r="I814" i="11"/>
  <c r="J814" i="11"/>
  <c r="I815" i="11"/>
  <c r="J815" i="11"/>
  <c r="I816" i="11"/>
  <c r="J816" i="11"/>
  <c r="I817" i="11"/>
  <c r="J817" i="11"/>
  <c r="I818" i="11"/>
  <c r="J818" i="11"/>
  <c r="I819" i="11"/>
  <c r="J819" i="11"/>
  <c r="I820" i="11"/>
  <c r="J820" i="11"/>
  <c r="I821" i="11"/>
  <c r="J821" i="11"/>
  <c r="I822" i="11"/>
  <c r="J822" i="11"/>
  <c r="I823" i="11"/>
  <c r="J823" i="11"/>
  <c r="I824" i="11"/>
  <c r="J824" i="11"/>
  <c r="I825" i="11"/>
  <c r="J825" i="11"/>
  <c r="I826" i="11"/>
  <c r="J826" i="11"/>
  <c r="I827" i="11"/>
  <c r="J827" i="11"/>
  <c r="I828" i="11"/>
  <c r="J828" i="11"/>
  <c r="I829" i="11"/>
  <c r="J829" i="11"/>
  <c r="I830" i="11"/>
  <c r="J830" i="11"/>
  <c r="I831" i="11"/>
  <c r="J831" i="11"/>
  <c r="I832" i="11"/>
  <c r="J832" i="11"/>
  <c r="I833" i="11"/>
  <c r="J833" i="11"/>
  <c r="I834" i="11"/>
  <c r="J834" i="11"/>
  <c r="I835" i="11"/>
  <c r="J835" i="11"/>
  <c r="I836" i="11"/>
  <c r="J836" i="11"/>
  <c r="I837" i="11"/>
  <c r="J837" i="11"/>
  <c r="I838" i="11"/>
  <c r="J838" i="11"/>
  <c r="I839" i="11"/>
  <c r="J839" i="11"/>
  <c r="I840" i="11"/>
  <c r="J840" i="11"/>
  <c r="I841" i="11"/>
  <c r="J841" i="11"/>
  <c r="I842" i="11"/>
  <c r="J842" i="11"/>
  <c r="I843" i="11"/>
  <c r="J843" i="11"/>
  <c r="I844" i="11"/>
  <c r="J844" i="11"/>
  <c r="I845" i="11"/>
  <c r="J845" i="11"/>
  <c r="I846" i="11"/>
  <c r="J846" i="11"/>
  <c r="I847" i="11"/>
  <c r="J847" i="11"/>
  <c r="I848" i="11"/>
  <c r="J848" i="11"/>
  <c r="I849" i="11"/>
  <c r="J849" i="11"/>
  <c r="I850" i="11"/>
  <c r="J850" i="11"/>
  <c r="I851" i="11"/>
  <c r="J851" i="11"/>
  <c r="I852" i="11"/>
  <c r="J852" i="11"/>
  <c r="I853" i="11"/>
  <c r="J853" i="11"/>
  <c r="I854" i="11"/>
  <c r="J854" i="11"/>
  <c r="I855" i="11"/>
  <c r="J855" i="11"/>
  <c r="I856" i="11"/>
  <c r="J856" i="11"/>
  <c r="I857" i="11"/>
  <c r="J857" i="11"/>
  <c r="I858" i="11"/>
  <c r="J858" i="11"/>
  <c r="I859" i="11"/>
  <c r="J859" i="11"/>
  <c r="I860" i="11"/>
  <c r="J860" i="11"/>
  <c r="I861" i="11"/>
  <c r="J861" i="11"/>
  <c r="I862" i="11"/>
  <c r="J862" i="11"/>
  <c r="I863" i="11"/>
  <c r="J863" i="11"/>
  <c r="I864" i="11"/>
  <c r="J864" i="11"/>
  <c r="I865" i="11"/>
  <c r="J865" i="11"/>
  <c r="I866" i="11"/>
  <c r="J866" i="11"/>
  <c r="I867" i="11"/>
  <c r="J867" i="11"/>
  <c r="I868" i="11"/>
  <c r="J868" i="11"/>
  <c r="I869" i="11"/>
  <c r="J869" i="11"/>
  <c r="I870" i="11"/>
  <c r="J870" i="11"/>
  <c r="I871" i="11"/>
  <c r="J871" i="11"/>
  <c r="I872" i="11"/>
  <c r="J872" i="11"/>
  <c r="I873" i="11"/>
  <c r="J873" i="11"/>
  <c r="I874" i="11"/>
  <c r="J874" i="11"/>
  <c r="I875" i="11"/>
  <c r="J875" i="11"/>
  <c r="I876" i="11"/>
  <c r="J876" i="11"/>
  <c r="I877" i="11"/>
  <c r="J877" i="11"/>
  <c r="I878" i="11"/>
  <c r="J878" i="11"/>
  <c r="I879" i="11"/>
  <c r="J879" i="11"/>
  <c r="I880" i="11"/>
  <c r="J880" i="11"/>
  <c r="I881" i="11"/>
  <c r="J881" i="11"/>
  <c r="I882" i="11"/>
  <c r="J882" i="11"/>
  <c r="I883" i="11"/>
  <c r="J883" i="11"/>
  <c r="I884" i="11"/>
  <c r="J884" i="11"/>
  <c r="I885" i="11"/>
  <c r="J885" i="11"/>
  <c r="I886" i="11"/>
  <c r="J886" i="11"/>
  <c r="I887" i="11"/>
  <c r="J887" i="11"/>
  <c r="I888" i="11"/>
  <c r="J888" i="11"/>
  <c r="I889" i="11"/>
  <c r="J889" i="11"/>
  <c r="I890" i="11"/>
  <c r="J890" i="11"/>
  <c r="I891" i="11"/>
  <c r="J891" i="11"/>
  <c r="I892" i="11"/>
  <c r="J892" i="11"/>
  <c r="I893" i="11"/>
  <c r="J893" i="11"/>
  <c r="I894" i="11"/>
  <c r="J894" i="11"/>
  <c r="I895" i="11"/>
  <c r="J895" i="11"/>
  <c r="I896" i="11"/>
  <c r="J896" i="11"/>
  <c r="I897" i="11"/>
  <c r="J897" i="11"/>
  <c r="I898" i="11"/>
  <c r="J898" i="11"/>
  <c r="I899" i="11"/>
  <c r="J899" i="11"/>
  <c r="I900" i="11"/>
  <c r="J900" i="11"/>
  <c r="I901" i="11"/>
  <c r="J901" i="11"/>
  <c r="I902" i="11"/>
  <c r="J902" i="11"/>
  <c r="I903" i="11"/>
  <c r="J903" i="11"/>
  <c r="I904" i="11"/>
  <c r="J904" i="11"/>
  <c r="I905" i="11"/>
  <c r="J905" i="11"/>
  <c r="I906" i="11"/>
  <c r="J906" i="11"/>
  <c r="I907" i="11"/>
  <c r="J907" i="11"/>
  <c r="I908" i="11"/>
  <c r="J908" i="11"/>
  <c r="I909" i="11"/>
  <c r="J909" i="11"/>
  <c r="I910" i="11"/>
  <c r="J910" i="11"/>
  <c r="I911" i="11"/>
  <c r="J911" i="11"/>
  <c r="I912" i="11"/>
  <c r="J912" i="11"/>
  <c r="I913" i="11"/>
  <c r="J913" i="11"/>
  <c r="I914" i="11"/>
  <c r="J914" i="11"/>
  <c r="I915" i="11"/>
  <c r="J915" i="11"/>
  <c r="I916" i="11"/>
  <c r="J916" i="11"/>
  <c r="I917" i="11"/>
  <c r="J917" i="11"/>
  <c r="I918" i="11"/>
  <c r="J918" i="11"/>
  <c r="I919" i="11"/>
  <c r="J919" i="11"/>
  <c r="I920" i="11"/>
  <c r="J920" i="11"/>
  <c r="I921" i="11"/>
  <c r="J921" i="11"/>
  <c r="I922" i="11"/>
  <c r="J922" i="11"/>
  <c r="I923" i="11"/>
  <c r="J923" i="11"/>
  <c r="I924" i="11"/>
  <c r="J924" i="11"/>
  <c r="I925" i="11"/>
  <c r="J925" i="11"/>
  <c r="I926" i="11"/>
  <c r="J926" i="11"/>
  <c r="I927" i="11"/>
  <c r="J927" i="11"/>
  <c r="I928" i="11"/>
  <c r="J928" i="11"/>
  <c r="I929" i="11"/>
  <c r="J929" i="11"/>
  <c r="I930" i="11"/>
  <c r="J930" i="11"/>
  <c r="I931" i="11"/>
  <c r="J931" i="11"/>
  <c r="I932" i="11"/>
  <c r="J932" i="11"/>
  <c r="I933" i="11"/>
  <c r="J933" i="11"/>
  <c r="I934" i="11"/>
  <c r="J934" i="11"/>
  <c r="I935" i="11"/>
  <c r="J935" i="11"/>
  <c r="I936" i="11"/>
  <c r="J936" i="11"/>
  <c r="I937" i="11"/>
  <c r="J937" i="11"/>
  <c r="I938" i="11"/>
  <c r="J938" i="11"/>
  <c r="I939" i="11"/>
  <c r="J939" i="11"/>
  <c r="I940" i="11"/>
  <c r="J940" i="11"/>
  <c r="I941" i="11"/>
  <c r="J941" i="11"/>
  <c r="I942" i="11"/>
  <c r="J942" i="11"/>
  <c r="I943" i="11"/>
  <c r="J943" i="11"/>
  <c r="I944" i="11"/>
  <c r="J944" i="11"/>
  <c r="I945" i="11"/>
  <c r="J945" i="11"/>
  <c r="I946" i="11"/>
  <c r="J946" i="11"/>
  <c r="I947" i="11"/>
  <c r="J947" i="11"/>
  <c r="I948" i="11"/>
  <c r="J948" i="11"/>
  <c r="I949" i="11"/>
  <c r="J949" i="11"/>
  <c r="I950" i="11"/>
  <c r="J950" i="11"/>
  <c r="I951" i="11"/>
  <c r="J951" i="11"/>
  <c r="I952" i="11"/>
  <c r="J952" i="11"/>
  <c r="I953" i="11"/>
  <c r="J953" i="11"/>
  <c r="I954" i="11"/>
  <c r="J954" i="11"/>
  <c r="I955" i="11"/>
  <c r="J955" i="11"/>
  <c r="I956" i="11"/>
  <c r="J956" i="11"/>
  <c r="I957" i="11"/>
  <c r="J957" i="11"/>
  <c r="I958" i="11"/>
  <c r="J958" i="11"/>
  <c r="I959" i="11"/>
  <c r="J959" i="11"/>
  <c r="I960" i="11"/>
  <c r="J960" i="11"/>
  <c r="I961" i="11"/>
  <c r="J961" i="11"/>
  <c r="I962" i="11"/>
  <c r="J962" i="11"/>
  <c r="I963" i="11"/>
  <c r="J963" i="11"/>
  <c r="I964" i="11"/>
  <c r="J964" i="11"/>
  <c r="I965" i="11"/>
  <c r="J965" i="11"/>
  <c r="I966" i="11"/>
  <c r="J966" i="11"/>
  <c r="I967" i="11"/>
  <c r="J967" i="11"/>
  <c r="I968" i="11"/>
  <c r="J968" i="11"/>
  <c r="I969" i="11"/>
  <c r="J969" i="11"/>
  <c r="I970" i="11"/>
  <c r="J970" i="11"/>
  <c r="I971" i="11"/>
  <c r="J971" i="11"/>
  <c r="I972" i="11"/>
  <c r="J972" i="11"/>
  <c r="I973" i="11"/>
  <c r="J973" i="11"/>
  <c r="I974" i="11"/>
  <c r="J974" i="11"/>
  <c r="I975" i="11"/>
  <c r="J975" i="11"/>
  <c r="I976" i="11"/>
  <c r="J976" i="11"/>
  <c r="I977" i="11"/>
  <c r="J977" i="11"/>
  <c r="I978" i="11"/>
  <c r="J978" i="11"/>
  <c r="I979" i="11"/>
  <c r="J979" i="11"/>
  <c r="I980" i="11"/>
  <c r="J980" i="11"/>
  <c r="I981" i="11"/>
  <c r="J981" i="11"/>
  <c r="I982" i="11"/>
  <c r="J982" i="11"/>
  <c r="I983" i="11"/>
  <c r="J983" i="11"/>
  <c r="I984" i="11"/>
  <c r="J984" i="11"/>
  <c r="I985" i="11"/>
  <c r="J985" i="11"/>
  <c r="I986" i="11"/>
  <c r="J986" i="11"/>
  <c r="I987" i="11"/>
  <c r="J987" i="11"/>
  <c r="I988" i="11"/>
  <c r="J988" i="11"/>
  <c r="I989" i="11"/>
  <c r="J989" i="11"/>
  <c r="I990" i="11"/>
  <c r="J990" i="11"/>
  <c r="I991" i="11"/>
  <c r="J991" i="11"/>
  <c r="I992" i="11"/>
  <c r="J992" i="11"/>
  <c r="I993" i="11"/>
  <c r="J993" i="11"/>
  <c r="I994" i="11"/>
  <c r="J994" i="11"/>
  <c r="I995" i="11"/>
  <c r="J995" i="11"/>
  <c r="I996" i="11"/>
  <c r="J996" i="11"/>
  <c r="I997" i="11"/>
  <c r="J997" i="11"/>
  <c r="I998" i="11"/>
  <c r="J998" i="11"/>
  <c r="I999" i="11"/>
  <c r="J999" i="11"/>
  <c r="I1000" i="11"/>
  <c r="J1000" i="11"/>
  <c r="I1001" i="11"/>
  <c r="J1001" i="11"/>
  <c r="I1002" i="11"/>
  <c r="J1002" i="11"/>
  <c r="I1003" i="11"/>
  <c r="J1003" i="11"/>
  <c r="I1004" i="11"/>
  <c r="J1004" i="11"/>
  <c r="I1005" i="11"/>
  <c r="J1005" i="11"/>
  <c r="I1006" i="11"/>
  <c r="J1006" i="11"/>
  <c r="I1007" i="11"/>
  <c r="J1007" i="11"/>
  <c r="I1008" i="11"/>
  <c r="J1008" i="11"/>
  <c r="I1009" i="11"/>
  <c r="J1009" i="11"/>
  <c r="I1010" i="11"/>
  <c r="J1010" i="11"/>
  <c r="I1011" i="11"/>
  <c r="J1011" i="11"/>
  <c r="I1012" i="11"/>
  <c r="J1012" i="11"/>
  <c r="I1013" i="11"/>
  <c r="J1013" i="11"/>
  <c r="I1014" i="11"/>
  <c r="J1014" i="11"/>
  <c r="I1015" i="11"/>
  <c r="J1015" i="11"/>
  <c r="I1016" i="11"/>
  <c r="J1016" i="11"/>
  <c r="I1017" i="11"/>
  <c r="J1017" i="11"/>
  <c r="I1018" i="11"/>
  <c r="J1018" i="11"/>
  <c r="I1019" i="11"/>
  <c r="J1019" i="11"/>
  <c r="I1020" i="11"/>
  <c r="J1020" i="11"/>
  <c r="I1021" i="11"/>
  <c r="J1021" i="11"/>
  <c r="I1022" i="11"/>
  <c r="J1022" i="11"/>
  <c r="I1023" i="11"/>
  <c r="J1023" i="11"/>
  <c r="I1024" i="11"/>
  <c r="J1024" i="11"/>
  <c r="I1025" i="11"/>
  <c r="J1025" i="11"/>
  <c r="I1026" i="11"/>
  <c r="J1026" i="11"/>
  <c r="I1027" i="11"/>
  <c r="J1027" i="11"/>
  <c r="I1028" i="11"/>
  <c r="J1028" i="11"/>
  <c r="I1029" i="11"/>
  <c r="J1029" i="11"/>
  <c r="I1030" i="11"/>
  <c r="J1030" i="11"/>
  <c r="I1031" i="11"/>
  <c r="J1031" i="11"/>
  <c r="I1032" i="11"/>
  <c r="J1032" i="11"/>
  <c r="I1033" i="11"/>
  <c r="J1033" i="11"/>
  <c r="I1034" i="11"/>
  <c r="J1034" i="11"/>
  <c r="I1035" i="11"/>
  <c r="J1035" i="11"/>
  <c r="I1036" i="11"/>
  <c r="J1036" i="11"/>
  <c r="I1037" i="11"/>
  <c r="J1037" i="11"/>
  <c r="I1038" i="11"/>
  <c r="J1038" i="11"/>
  <c r="I1039" i="11"/>
  <c r="J1039" i="11"/>
  <c r="I1040" i="11"/>
  <c r="J1040" i="11"/>
  <c r="I1041" i="11"/>
  <c r="J1041" i="11"/>
  <c r="I1042" i="11"/>
  <c r="J1042" i="11"/>
  <c r="I1043" i="11"/>
  <c r="J1043" i="11"/>
  <c r="I1044" i="11"/>
  <c r="J1044" i="11"/>
  <c r="I1045" i="11"/>
  <c r="J1045" i="11"/>
  <c r="I1046" i="11"/>
  <c r="J1046" i="11"/>
  <c r="I1047" i="11"/>
  <c r="J1047" i="11"/>
  <c r="I1048" i="11"/>
  <c r="J1048" i="11"/>
  <c r="I1049" i="11"/>
  <c r="J1049" i="11"/>
  <c r="I1050" i="11"/>
  <c r="J1050" i="11"/>
  <c r="I1051" i="11"/>
  <c r="J1051" i="11"/>
  <c r="I1052" i="11"/>
  <c r="J1052" i="11"/>
  <c r="I1053" i="11"/>
  <c r="J1053" i="11"/>
  <c r="I1054" i="11"/>
  <c r="J1054" i="11"/>
  <c r="I1055" i="11"/>
  <c r="J1055" i="11"/>
  <c r="I1056" i="11"/>
  <c r="J1056" i="11"/>
  <c r="I1057" i="11"/>
  <c r="J1057" i="11"/>
  <c r="I1058" i="11"/>
  <c r="J1058" i="11"/>
  <c r="I1059" i="11"/>
  <c r="J1059" i="11"/>
  <c r="I1060" i="11"/>
  <c r="J1060" i="11"/>
  <c r="I1061" i="11"/>
  <c r="J1061" i="11"/>
  <c r="I1062" i="11"/>
  <c r="J1062" i="11"/>
  <c r="I1063" i="11"/>
  <c r="J1063" i="11"/>
  <c r="I1064" i="11"/>
  <c r="J1064" i="11"/>
  <c r="I1065" i="11"/>
  <c r="J1065" i="11"/>
  <c r="I1066" i="11"/>
  <c r="J1066" i="11"/>
  <c r="I1067" i="11"/>
  <c r="J1067" i="11"/>
  <c r="I1068" i="11"/>
  <c r="J1068" i="11"/>
  <c r="I1069" i="11"/>
  <c r="J1069" i="11"/>
  <c r="I1070" i="11"/>
  <c r="J1070" i="11"/>
  <c r="I1071" i="11"/>
  <c r="J1071" i="11"/>
  <c r="I1072" i="11"/>
  <c r="J1072" i="11"/>
  <c r="I1073" i="11"/>
  <c r="J1073" i="11"/>
  <c r="I1074" i="11"/>
  <c r="J1074" i="11"/>
  <c r="I1075" i="11"/>
  <c r="J1075" i="11"/>
  <c r="I1076" i="11"/>
  <c r="J1076" i="11"/>
  <c r="I1077" i="11"/>
  <c r="J1077" i="11"/>
  <c r="I1078" i="11"/>
  <c r="J1078" i="11"/>
  <c r="I1079" i="11"/>
  <c r="J1079" i="11"/>
  <c r="I4" i="12"/>
  <c r="J4" i="12"/>
  <c r="I5" i="12"/>
  <c r="J5" i="12"/>
  <c r="I6" i="12"/>
  <c r="J6" i="12"/>
  <c r="I7" i="12"/>
  <c r="J7" i="12"/>
  <c r="I8" i="12"/>
  <c r="J8" i="12"/>
  <c r="I9" i="12"/>
  <c r="J9" i="12"/>
  <c r="I10" i="12"/>
  <c r="J10" i="12"/>
  <c r="I11" i="12"/>
  <c r="J11" i="12"/>
  <c r="I12" i="12"/>
  <c r="J12" i="12"/>
  <c r="I13" i="12"/>
  <c r="J13" i="12"/>
  <c r="I14" i="12"/>
  <c r="J14" i="12"/>
  <c r="I15" i="12"/>
  <c r="J15" i="12"/>
  <c r="I16" i="12"/>
  <c r="J16" i="12"/>
  <c r="I17" i="12"/>
  <c r="J17" i="12"/>
  <c r="I18" i="12"/>
  <c r="J18" i="12"/>
  <c r="I19" i="12"/>
  <c r="J19" i="12"/>
  <c r="I20" i="12"/>
  <c r="J20" i="12"/>
  <c r="I21" i="12"/>
  <c r="J21" i="12"/>
  <c r="I22" i="12"/>
  <c r="J22" i="12"/>
  <c r="I23" i="12"/>
  <c r="J23" i="12"/>
  <c r="I24" i="12"/>
  <c r="J24" i="12"/>
  <c r="I25" i="12"/>
  <c r="J25" i="12"/>
  <c r="I26" i="12"/>
  <c r="J26" i="12"/>
  <c r="I27" i="12"/>
  <c r="J27" i="12"/>
  <c r="I28" i="12"/>
  <c r="J28" i="12"/>
  <c r="I29" i="12"/>
  <c r="J29" i="12"/>
  <c r="I30" i="12"/>
  <c r="J30" i="12"/>
  <c r="I31" i="12"/>
  <c r="J31" i="12"/>
  <c r="I32" i="12"/>
  <c r="J32" i="12"/>
  <c r="I33" i="12"/>
  <c r="J33" i="12"/>
  <c r="I34" i="12"/>
  <c r="J34" i="12"/>
  <c r="I35" i="12"/>
  <c r="J35" i="12"/>
  <c r="I36" i="12"/>
  <c r="J36" i="12"/>
  <c r="I37" i="12"/>
  <c r="J37" i="12"/>
  <c r="I38" i="12"/>
  <c r="J38" i="12"/>
  <c r="I39" i="12"/>
  <c r="J39" i="12"/>
  <c r="I40" i="12"/>
  <c r="J40" i="12"/>
  <c r="I41" i="12"/>
  <c r="J41" i="12"/>
  <c r="I42" i="12"/>
  <c r="J42" i="12"/>
  <c r="I43" i="12"/>
  <c r="J43" i="12"/>
  <c r="I44" i="12"/>
  <c r="J44" i="12"/>
  <c r="I45" i="12"/>
  <c r="J45" i="12"/>
  <c r="I46" i="12"/>
  <c r="J46" i="12"/>
  <c r="I47" i="12"/>
  <c r="J47" i="12"/>
  <c r="I48" i="12"/>
  <c r="J48" i="12"/>
  <c r="I49" i="12"/>
  <c r="J49" i="12"/>
  <c r="I50" i="12"/>
  <c r="J50" i="12"/>
  <c r="I51" i="12"/>
  <c r="J51" i="12"/>
  <c r="I52" i="12"/>
  <c r="J52" i="12"/>
  <c r="I53" i="12"/>
  <c r="J53" i="12"/>
  <c r="I54" i="12"/>
  <c r="J54" i="12"/>
  <c r="I55" i="12"/>
  <c r="J55" i="12"/>
  <c r="I56" i="12"/>
  <c r="J56" i="12"/>
  <c r="I57" i="12"/>
  <c r="J57" i="12"/>
  <c r="I58" i="12"/>
  <c r="J58" i="12"/>
  <c r="I59" i="12"/>
  <c r="J59" i="12"/>
  <c r="I60" i="12"/>
  <c r="J60" i="12"/>
  <c r="I61" i="12"/>
  <c r="J61" i="12"/>
  <c r="I62" i="12"/>
  <c r="J62" i="12"/>
  <c r="I63" i="12"/>
  <c r="J63" i="12"/>
  <c r="I64" i="12"/>
  <c r="J64" i="12"/>
  <c r="I65" i="12"/>
  <c r="J65" i="12"/>
  <c r="I66" i="12"/>
  <c r="J66" i="12"/>
  <c r="I67" i="12"/>
  <c r="J67" i="12"/>
  <c r="I68" i="12"/>
  <c r="J68" i="12"/>
  <c r="I69" i="12"/>
  <c r="J69" i="12"/>
  <c r="I70" i="12"/>
  <c r="J70" i="12"/>
  <c r="I71" i="12"/>
  <c r="J71" i="12"/>
  <c r="I72" i="12"/>
  <c r="J72" i="12"/>
  <c r="I73" i="12"/>
  <c r="J73" i="12"/>
  <c r="I74" i="12"/>
  <c r="J74" i="12"/>
  <c r="I75" i="12"/>
  <c r="J75" i="12"/>
  <c r="I76" i="12"/>
  <c r="J76" i="12"/>
  <c r="I77" i="12"/>
  <c r="J77" i="12"/>
  <c r="I78" i="12"/>
  <c r="J78" i="12"/>
  <c r="I79" i="12"/>
  <c r="J79" i="12"/>
  <c r="I80" i="12"/>
  <c r="J80" i="12"/>
  <c r="I81" i="12"/>
  <c r="J81" i="12"/>
  <c r="I82" i="12"/>
  <c r="J82" i="12"/>
  <c r="I83" i="12"/>
  <c r="J83" i="12"/>
  <c r="I84" i="12"/>
  <c r="J84" i="12"/>
  <c r="I85" i="12"/>
  <c r="J85" i="12"/>
  <c r="I86" i="12"/>
  <c r="J86" i="12"/>
  <c r="I87" i="12"/>
  <c r="J87" i="12"/>
  <c r="I88" i="12"/>
  <c r="J88" i="12"/>
  <c r="I89" i="12"/>
  <c r="J89" i="12"/>
  <c r="I90" i="12"/>
  <c r="J90" i="12"/>
  <c r="I91" i="12"/>
  <c r="J91" i="12"/>
  <c r="I92" i="12"/>
  <c r="J92" i="12"/>
  <c r="I93" i="12"/>
  <c r="J93" i="12"/>
  <c r="I94" i="12"/>
  <c r="J94" i="12"/>
  <c r="I95" i="12"/>
  <c r="J95" i="12"/>
  <c r="I96" i="12"/>
  <c r="J96" i="12"/>
  <c r="I97" i="12"/>
  <c r="J97" i="12"/>
  <c r="I98" i="12"/>
  <c r="J98" i="12"/>
  <c r="I99" i="12"/>
  <c r="J99" i="12"/>
  <c r="I100" i="12"/>
  <c r="J100" i="12"/>
  <c r="I101" i="12"/>
  <c r="J101" i="12"/>
  <c r="I102" i="12"/>
  <c r="J102" i="12"/>
  <c r="I103" i="12"/>
  <c r="J103" i="12"/>
  <c r="I104" i="12"/>
  <c r="J104" i="12"/>
  <c r="I105" i="12"/>
  <c r="J105" i="12"/>
  <c r="I106" i="12"/>
  <c r="J106" i="12"/>
  <c r="I107" i="12"/>
  <c r="J107" i="12"/>
  <c r="I108" i="12"/>
  <c r="J108" i="12"/>
  <c r="I109" i="12"/>
  <c r="J109" i="12"/>
  <c r="I110" i="12"/>
  <c r="J110" i="12"/>
  <c r="I111" i="12"/>
  <c r="J111" i="12"/>
  <c r="I112" i="12"/>
  <c r="J112" i="12"/>
  <c r="I113" i="12"/>
  <c r="J113" i="12"/>
  <c r="I114" i="12"/>
  <c r="J114" i="12"/>
  <c r="I115" i="12"/>
  <c r="J115" i="12"/>
  <c r="I116" i="12"/>
  <c r="J116" i="12"/>
  <c r="I117" i="12"/>
  <c r="J117" i="12"/>
  <c r="I118" i="12"/>
  <c r="J118" i="12"/>
  <c r="I119" i="12"/>
  <c r="J119" i="12"/>
  <c r="I120" i="12"/>
  <c r="J120" i="12"/>
  <c r="I121" i="12"/>
  <c r="J121" i="12"/>
  <c r="I122" i="12"/>
  <c r="J122" i="12"/>
  <c r="I123" i="12"/>
  <c r="J123" i="12"/>
  <c r="I124" i="12"/>
  <c r="J124" i="12"/>
  <c r="I125" i="12"/>
  <c r="J125" i="12"/>
  <c r="I126" i="12"/>
  <c r="J126" i="12"/>
  <c r="I127" i="12"/>
  <c r="J127" i="12"/>
  <c r="I128" i="12"/>
  <c r="J128" i="12"/>
  <c r="I129" i="12"/>
  <c r="J129" i="12"/>
  <c r="I130" i="12"/>
  <c r="J130" i="12"/>
  <c r="I131" i="12"/>
  <c r="J131" i="12"/>
  <c r="I132" i="12"/>
  <c r="J132" i="12"/>
  <c r="I133" i="12"/>
  <c r="J133" i="12"/>
  <c r="I134" i="12"/>
  <c r="J134" i="12"/>
  <c r="I135" i="12"/>
  <c r="J135" i="12"/>
  <c r="I136" i="12"/>
  <c r="J136" i="12"/>
  <c r="I137" i="12"/>
  <c r="J137" i="12"/>
  <c r="I138" i="12"/>
  <c r="J138" i="12"/>
  <c r="I139" i="12"/>
  <c r="J139" i="12"/>
  <c r="I140" i="12"/>
  <c r="J140" i="12"/>
  <c r="I141" i="12"/>
  <c r="J141" i="12"/>
  <c r="I142" i="12"/>
  <c r="J142" i="12"/>
  <c r="I143" i="12"/>
  <c r="J143" i="12"/>
  <c r="I144" i="12"/>
  <c r="J144" i="12"/>
  <c r="I145" i="12"/>
  <c r="J145" i="12"/>
  <c r="I146" i="12"/>
  <c r="J146" i="12"/>
  <c r="I147" i="12"/>
  <c r="J147" i="12"/>
  <c r="I148" i="12"/>
  <c r="J148" i="12"/>
  <c r="I149" i="12"/>
  <c r="J149" i="12"/>
  <c r="I150" i="12"/>
  <c r="J150" i="12"/>
  <c r="I151" i="12"/>
  <c r="J151" i="12"/>
  <c r="I152" i="12"/>
  <c r="J152" i="12"/>
  <c r="I153" i="12"/>
  <c r="J153" i="12"/>
  <c r="I154" i="12"/>
  <c r="J154" i="12"/>
  <c r="I155" i="12"/>
  <c r="J155" i="12"/>
  <c r="I156" i="12"/>
  <c r="J156" i="12"/>
  <c r="I157" i="12"/>
  <c r="J157" i="12"/>
  <c r="I158" i="12"/>
  <c r="J158" i="12"/>
  <c r="I159" i="12"/>
  <c r="J159" i="12"/>
  <c r="I160" i="12"/>
  <c r="J160" i="12"/>
  <c r="I161" i="12"/>
  <c r="J161" i="12"/>
  <c r="I162" i="12"/>
  <c r="J162" i="12"/>
  <c r="I163" i="12"/>
  <c r="J163" i="12"/>
  <c r="I164" i="12"/>
  <c r="J164" i="12"/>
  <c r="I165" i="12"/>
  <c r="J165" i="12"/>
  <c r="I166" i="12"/>
  <c r="J166" i="12"/>
  <c r="I167" i="12"/>
  <c r="J167" i="12"/>
  <c r="I168" i="12"/>
  <c r="J168" i="12"/>
  <c r="I169" i="12"/>
  <c r="J169" i="12"/>
  <c r="I170" i="12"/>
  <c r="J170" i="12"/>
  <c r="I171" i="12"/>
  <c r="J171" i="12"/>
  <c r="I172" i="12"/>
  <c r="J172" i="12"/>
  <c r="I173" i="12"/>
  <c r="J173" i="12"/>
  <c r="I174" i="12"/>
  <c r="J174" i="12"/>
  <c r="I175" i="12"/>
  <c r="J175" i="12"/>
  <c r="I176" i="12"/>
  <c r="J176" i="12"/>
  <c r="I177" i="12"/>
  <c r="J177" i="12"/>
  <c r="I178" i="12"/>
  <c r="J178" i="12"/>
  <c r="I179" i="12"/>
  <c r="J179" i="12"/>
  <c r="I180" i="12"/>
  <c r="J180" i="12"/>
  <c r="I181" i="12"/>
  <c r="J181" i="12"/>
  <c r="I182" i="12"/>
  <c r="J182" i="12"/>
  <c r="I183" i="12"/>
  <c r="J183" i="12"/>
  <c r="I184" i="12"/>
  <c r="J184" i="12"/>
  <c r="I185" i="12"/>
  <c r="J185" i="12"/>
  <c r="I186" i="12"/>
  <c r="J186" i="12"/>
  <c r="I187" i="12"/>
  <c r="J187" i="12"/>
  <c r="I188" i="12"/>
  <c r="J188" i="12"/>
  <c r="I189" i="12"/>
  <c r="J189" i="12"/>
  <c r="I190" i="12"/>
  <c r="J190" i="12"/>
  <c r="I191" i="12"/>
  <c r="J191" i="12"/>
  <c r="I192" i="12"/>
  <c r="J192" i="12"/>
  <c r="I193" i="12"/>
  <c r="J193" i="12"/>
  <c r="I194" i="12"/>
  <c r="J194" i="12"/>
  <c r="I195" i="12"/>
  <c r="J195" i="12"/>
  <c r="I196" i="12"/>
  <c r="J196" i="12"/>
  <c r="I197" i="12"/>
  <c r="J197" i="12"/>
  <c r="I198" i="12"/>
  <c r="J198" i="12"/>
  <c r="I199" i="12"/>
  <c r="J199" i="12"/>
  <c r="I200" i="12"/>
  <c r="J200" i="12"/>
  <c r="I201" i="12"/>
  <c r="J201" i="12"/>
  <c r="I202" i="12"/>
  <c r="J202" i="12"/>
  <c r="I203" i="12"/>
  <c r="J203" i="12"/>
  <c r="I204" i="12"/>
  <c r="J204" i="12"/>
  <c r="I205" i="12"/>
  <c r="J205" i="12"/>
  <c r="I206" i="12"/>
  <c r="J206" i="12"/>
  <c r="I207" i="12"/>
  <c r="J207" i="12"/>
  <c r="I208" i="12"/>
  <c r="J208" i="12"/>
  <c r="I209" i="12"/>
  <c r="J209" i="12"/>
  <c r="I210" i="12"/>
  <c r="J210" i="12"/>
  <c r="I211" i="12"/>
  <c r="J211" i="12"/>
  <c r="I212" i="12"/>
  <c r="J212" i="12"/>
  <c r="I213" i="12"/>
  <c r="J213" i="12"/>
  <c r="I214" i="12"/>
  <c r="J214" i="12"/>
  <c r="I215" i="12"/>
  <c r="J215" i="12"/>
  <c r="I216" i="12"/>
  <c r="J216" i="12"/>
  <c r="I217" i="12"/>
  <c r="J217" i="12"/>
  <c r="I218" i="12"/>
  <c r="J218" i="12"/>
  <c r="I219" i="12"/>
  <c r="J219" i="12"/>
  <c r="I220" i="12"/>
  <c r="J220" i="12"/>
  <c r="I221" i="12"/>
  <c r="J221" i="12"/>
  <c r="I222" i="12"/>
  <c r="J222" i="12"/>
  <c r="I223" i="12"/>
  <c r="J223" i="12"/>
  <c r="I224" i="12"/>
  <c r="J224" i="12"/>
  <c r="I225" i="12"/>
  <c r="J225" i="12"/>
  <c r="I226" i="12"/>
  <c r="J226" i="12"/>
  <c r="I227" i="12"/>
  <c r="J227" i="12"/>
  <c r="I228" i="12"/>
  <c r="J228" i="12"/>
  <c r="I229" i="12"/>
  <c r="J229" i="12"/>
  <c r="I230" i="12"/>
  <c r="J230" i="12"/>
  <c r="I231" i="12"/>
  <c r="J231" i="12"/>
  <c r="I232" i="12"/>
  <c r="J232" i="12"/>
  <c r="I233" i="12"/>
  <c r="J233" i="12"/>
  <c r="I234" i="12"/>
  <c r="J234" i="12"/>
  <c r="I235" i="12"/>
  <c r="J235" i="12"/>
  <c r="I236" i="12"/>
  <c r="J236" i="12"/>
  <c r="I237" i="12"/>
  <c r="J237" i="12"/>
  <c r="I238" i="12"/>
  <c r="J238" i="12"/>
  <c r="I239" i="12"/>
  <c r="J239" i="12"/>
  <c r="I240" i="12"/>
  <c r="J240" i="12"/>
  <c r="I241" i="12"/>
  <c r="J241" i="12"/>
  <c r="I242" i="12"/>
  <c r="J242" i="12"/>
  <c r="I243" i="12"/>
  <c r="J243" i="12"/>
  <c r="I244" i="12"/>
  <c r="J244" i="12"/>
  <c r="I245" i="12"/>
  <c r="J245" i="12"/>
  <c r="I246" i="12"/>
  <c r="J246" i="12"/>
  <c r="I247" i="12"/>
  <c r="J247" i="12"/>
  <c r="I248" i="12"/>
  <c r="J248" i="12"/>
  <c r="I249" i="12"/>
  <c r="J249" i="12"/>
  <c r="I250" i="12"/>
  <c r="J250" i="12"/>
  <c r="I251" i="12"/>
  <c r="J251" i="12"/>
  <c r="I252" i="12"/>
  <c r="J252" i="12"/>
  <c r="I253" i="12"/>
  <c r="J253" i="12"/>
  <c r="I254" i="12"/>
  <c r="J254" i="12"/>
  <c r="I255" i="12"/>
  <c r="J255" i="12"/>
  <c r="I256" i="12"/>
  <c r="J256" i="12"/>
  <c r="I257" i="12"/>
  <c r="J257" i="12"/>
  <c r="I258" i="12"/>
  <c r="J258" i="12"/>
  <c r="I259" i="12"/>
  <c r="J259" i="12"/>
  <c r="I260" i="12"/>
  <c r="J260" i="12"/>
  <c r="I261" i="12"/>
  <c r="J261" i="12"/>
  <c r="I262" i="12"/>
  <c r="J262" i="12"/>
  <c r="I263" i="12"/>
  <c r="J263" i="12"/>
  <c r="I264" i="12"/>
  <c r="J264" i="12"/>
  <c r="I265" i="12"/>
  <c r="J265" i="12"/>
  <c r="I266" i="12"/>
  <c r="J266" i="12"/>
  <c r="I267" i="12"/>
  <c r="J267" i="12"/>
  <c r="I268" i="12"/>
  <c r="J268" i="12"/>
  <c r="I269" i="12"/>
  <c r="J269" i="12"/>
  <c r="I270" i="12"/>
  <c r="J270" i="12"/>
  <c r="I271" i="12"/>
  <c r="J271" i="12"/>
  <c r="I272" i="12"/>
  <c r="J272" i="12"/>
  <c r="I273" i="12"/>
  <c r="J273" i="12"/>
  <c r="I274" i="12"/>
  <c r="J274" i="12"/>
  <c r="I275" i="12"/>
  <c r="J275" i="12"/>
  <c r="I276" i="12"/>
  <c r="J276" i="12"/>
  <c r="I277" i="12"/>
  <c r="J277" i="12"/>
  <c r="I278" i="12"/>
  <c r="J278" i="12"/>
  <c r="I279" i="12"/>
  <c r="J279" i="12"/>
  <c r="I280" i="12"/>
  <c r="J280" i="12"/>
  <c r="I281" i="12"/>
  <c r="J281" i="12"/>
  <c r="I282" i="12"/>
  <c r="J282" i="12"/>
  <c r="I283" i="12"/>
  <c r="J283" i="12"/>
  <c r="I284" i="12"/>
  <c r="J284" i="12"/>
  <c r="I285" i="12"/>
  <c r="J285" i="12"/>
  <c r="I286" i="12"/>
  <c r="J286" i="12"/>
  <c r="I287" i="12"/>
  <c r="J287" i="12"/>
  <c r="I288" i="12"/>
  <c r="J288" i="12"/>
  <c r="I289" i="12"/>
  <c r="J289" i="12"/>
  <c r="I290" i="12"/>
  <c r="J290" i="12"/>
  <c r="I291" i="12"/>
  <c r="J291" i="12"/>
  <c r="I292" i="12"/>
  <c r="J292" i="12"/>
  <c r="I293" i="12"/>
  <c r="J293" i="12"/>
  <c r="I294" i="12"/>
  <c r="J294" i="12"/>
  <c r="I295" i="12"/>
  <c r="J295" i="12"/>
  <c r="I296" i="12"/>
  <c r="J296" i="12"/>
  <c r="I297" i="12"/>
  <c r="J297" i="12"/>
  <c r="I298" i="12"/>
  <c r="J298" i="12"/>
  <c r="I299" i="12"/>
  <c r="J299" i="12"/>
  <c r="I300" i="12"/>
  <c r="J300" i="12"/>
  <c r="I301" i="12"/>
  <c r="J301" i="12"/>
  <c r="I302" i="12"/>
  <c r="J302" i="12"/>
  <c r="I303" i="12"/>
  <c r="J303" i="12"/>
  <c r="I304" i="12"/>
  <c r="J304" i="12"/>
  <c r="I305" i="12"/>
  <c r="J305" i="12"/>
  <c r="I306" i="12"/>
  <c r="J306" i="12"/>
  <c r="I307" i="12"/>
  <c r="J307" i="12"/>
  <c r="I308" i="12"/>
  <c r="J308" i="12"/>
  <c r="I309" i="12"/>
  <c r="J309" i="12"/>
  <c r="I310" i="12"/>
  <c r="J310" i="12"/>
  <c r="I311" i="12"/>
  <c r="J311" i="12"/>
  <c r="I312" i="12"/>
  <c r="J312" i="12"/>
  <c r="I313" i="12"/>
  <c r="J313" i="12"/>
  <c r="I314" i="12"/>
  <c r="J314" i="12"/>
  <c r="I315" i="12"/>
  <c r="J315" i="12"/>
  <c r="I316" i="12"/>
  <c r="J316" i="12"/>
  <c r="I317" i="12"/>
  <c r="J317" i="12"/>
  <c r="I318" i="12"/>
  <c r="J318" i="12"/>
  <c r="I319" i="12"/>
  <c r="J319" i="12"/>
  <c r="I320" i="12"/>
  <c r="J320" i="12"/>
  <c r="I321" i="12"/>
  <c r="J321" i="12"/>
  <c r="I322" i="12"/>
  <c r="J322" i="12"/>
  <c r="I323" i="12"/>
  <c r="J323" i="12"/>
  <c r="I324" i="12"/>
  <c r="J324" i="12"/>
  <c r="I325" i="12"/>
  <c r="J325" i="12"/>
  <c r="I326" i="12"/>
  <c r="J326" i="12"/>
  <c r="I327" i="12"/>
  <c r="J327" i="12"/>
  <c r="I328" i="12"/>
  <c r="J328" i="12"/>
  <c r="I329" i="12"/>
  <c r="J329" i="12"/>
  <c r="I330" i="12"/>
  <c r="J330" i="12"/>
  <c r="I331" i="12"/>
  <c r="J331" i="12"/>
  <c r="I332" i="12"/>
  <c r="J332" i="12"/>
  <c r="I333" i="12"/>
  <c r="J333" i="12"/>
  <c r="I334" i="12"/>
  <c r="J334" i="12"/>
  <c r="I335" i="12"/>
  <c r="J335" i="12"/>
  <c r="I336" i="12"/>
  <c r="J336" i="12"/>
  <c r="I337" i="12"/>
  <c r="J337" i="12"/>
  <c r="I338" i="12"/>
  <c r="J338" i="12"/>
  <c r="I339" i="12"/>
  <c r="J339" i="12"/>
  <c r="I340" i="12"/>
  <c r="J340" i="12"/>
  <c r="I341" i="12"/>
  <c r="J341" i="12"/>
  <c r="I342" i="12"/>
  <c r="J342" i="12"/>
  <c r="I343" i="12"/>
  <c r="J343" i="12"/>
  <c r="I344" i="12"/>
  <c r="J344" i="12"/>
  <c r="I345" i="12"/>
  <c r="J345" i="12"/>
  <c r="I346" i="12"/>
  <c r="J346" i="12"/>
  <c r="I347" i="12"/>
  <c r="J347" i="12"/>
  <c r="I348" i="12"/>
  <c r="J348" i="12"/>
  <c r="I349" i="12"/>
  <c r="J349" i="12"/>
  <c r="I350" i="12"/>
  <c r="J350" i="12"/>
  <c r="I351" i="12"/>
  <c r="J351" i="12"/>
  <c r="I352" i="12"/>
  <c r="J352" i="12"/>
  <c r="I353" i="12"/>
  <c r="J353" i="12"/>
  <c r="I354" i="12"/>
  <c r="J354" i="12"/>
  <c r="I355" i="12"/>
  <c r="J355" i="12"/>
  <c r="I356" i="12"/>
  <c r="J356" i="12"/>
  <c r="I357" i="12"/>
  <c r="J357" i="12"/>
  <c r="I358" i="12"/>
  <c r="J358" i="12"/>
  <c r="I359" i="12"/>
  <c r="J359" i="12"/>
  <c r="I360" i="12"/>
  <c r="J360" i="12"/>
  <c r="I361" i="12"/>
  <c r="J361" i="12"/>
  <c r="I362" i="12"/>
  <c r="J362" i="12"/>
  <c r="I363" i="12"/>
  <c r="J363" i="12"/>
  <c r="I364" i="12"/>
  <c r="J364" i="12"/>
  <c r="I365" i="12"/>
  <c r="J365" i="12"/>
  <c r="I366" i="12"/>
  <c r="J366" i="12"/>
  <c r="I367" i="12"/>
  <c r="J367" i="12"/>
  <c r="I368" i="12"/>
  <c r="J368" i="12"/>
  <c r="I369" i="12"/>
  <c r="J369" i="12"/>
  <c r="I370" i="12"/>
  <c r="J370" i="12"/>
  <c r="I371" i="12"/>
  <c r="J371" i="12"/>
  <c r="I372" i="12"/>
  <c r="J372" i="12"/>
  <c r="I373" i="12"/>
  <c r="J373" i="12"/>
  <c r="I374" i="12"/>
  <c r="J374" i="12"/>
  <c r="I375" i="12"/>
  <c r="J375" i="12"/>
  <c r="I376" i="12"/>
  <c r="J376" i="12"/>
  <c r="I377" i="12"/>
  <c r="J377" i="12"/>
  <c r="I378" i="12"/>
  <c r="J378" i="12"/>
  <c r="I379" i="12"/>
  <c r="J379" i="12"/>
  <c r="I380" i="12"/>
  <c r="J380" i="12"/>
  <c r="I381" i="12"/>
  <c r="J381" i="12"/>
  <c r="I382" i="12"/>
  <c r="J382" i="12"/>
  <c r="I383" i="12"/>
  <c r="J383" i="12"/>
  <c r="I384" i="12"/>
  <c r="J384" i="12"/>
  <c r="I385" i="12"/>
  <c r="J385" i="12"/>
  <c r="I386" i="12"/>
  <c r="J386" i="12"/>
  <c r="I387" i="12"/>
  <c r="J387" i="12"/>
  <c r="I388" i="12"/>
  <c r="J388" i="12"/>
  <c r="I389" i="12"/>
  <c r="J389" i="12"/>
  <c r="I390" i="12"/>
  <c r="J390" i="12"/>
  <c r="I391" i="12"/>
  <c r="J391" i="12"/>
  <c r="I392" i="12"/>
  <c r="J392" i="12"/>
  <c r="I393" i="12"/>
  <c r="J393" i="12"/>
  <c r="I394" i="12"/>
  <c r="J394" i="12"/>
  <c r="I395" i="12"/>
  <c r="J395" i="12"/>
  <c r="I396" i="12"/>
  <c r="J396" i="12"/>
  <c r="I397" i="12"/>
  <c r="J397" i="12"/>
  <c r="I398" i="12"/>
  <c r="J398" i="12"/>
  <c r="I399" i="12"/>
  <c r="J399" i="12"/>
  <c r="I400" i="12"/>
  <c r="J400" i="12"/>
  <c r="I401" i="12"/>
  <c r="J401" i="12"/>
  <c r="I402" i="12"/>
  <c r="J402" i="12"/>
  <c r="I403" i="12"/>
  <c r="J403" i="12"/>
  <c r="I404" i="12"/>
  <c r="J404" i="12"/>
  <c r="I405" i="12"/>
  <c r="J405" i="12"/>
  <c r="I406" i="12"/>
  <c r="J406" i="12"/>
  <c r="I407" i="12"/>
  <c r="J407" i="12"/>
  <c r="I408" i="12"/>
  <c r="J408" i="12"/>
  <c r="I409" i="12"/>
  <c r="J409" i="12"/>
  <c r="I410" i="12"/>
  <c r="J410" i="12"/>
  <c r="I411" i="12"/>
  <c r="J411" i="12"/>
  <c r="I412" i="12"/>
  <c r="J412" i="12"/>
  <c r="I413" i="12"/>
  <c r="J413" i="12"/>
  <c r="I414" i="12"/>
  <c r="J414" i="12"/>
  <c r="I415" i="12"/>
  <c r="J415" i="12"/>
  <c r="I416" i="12"/>
  <c r="J416" i="12"/>
  <c r="I417" i="12"/>
  <c r="J417" i="12"/>
  <c r="I418" i="12"/>
  <c r="J418" i="12"/>
  <c r="I419" i="12"/>
  <c r="J419" i="12"/>
  <c r="I420" i="12"/>
  <c r="J420" i="12"/>
  <c r="I421" i="12"/>
  <c r="J421" i="12"/>
  <c r="I422" i="12"/>
  <c r="J422" i="12"/>
  <c r="I423" i="12"/>
  <c r="J423" i="12"/>
  <c r="I424" i="12"/>
  <c r="J424" i="12"/>
  <c r="I425" i="12"/>
  <c r="J425" i="12"/>
  <c r="I426" i="12"/>
  <c r="J426" i="12"/>
  <c r="I427" i="12"/>
  <c r="J427" i="12"/>
  <c r="I428" i="12"/>
  <c r="J428" i="12"/>
  <c r="I429" i="12"/>
  <c r="J429" i="12"/>
  <c r="I430" i="12"/>
  <c r="J430" i="12"/>
  <c r="I431" i="12"/>
  <c r="J431" i="12"/>
  <c r="I432" i="12"/>
  <c r="J432" i="12"/>
  <c r="I433" i="12"/>
  <c r="J433" i="12"/>
  <c r="I434" i="12"/>
  <c r="J434" i="12"/>
  <c r="I435" i="12"/>
  <c r="J435" i="12"/>
  <c r="I436" i="12"/>
  <c r="J436" i="12"/>
  <c r="I437" i="12"/>
  <c r="J437" i="12"/>
  <c r="I438" i="12"/>
  <c r="J438" i="12"/>
  <c r="I439" i="12"/>
  <c r="J439" i="12"/>
  <c r="I440" i="12"/>
  <c r="J440" i="12"/>
  <c r="I441" i="12"/>
  <c r="J441" i="12"/>
  <c r="I442" i="12"/>
  <c r="J442" i="12"/>
  <c r="I443" i="12"/>
  <c r="J443" i="12"/>
  <c r="I444" i="12"/>
  <c r="J444" i="12"/>
  <c r="I445" i="12"/>
  <c r="J445" i="12"/>
  <c r="I446" i="12"/>
  <c r="J446" i="12"/>
  <c r="I447" i="12"/>
  <c r="J447" i="12"/>
  <c r="I448" i="12"/>
  <c r="J448" i="12"/>
  <c r="I449" i="12"/>
  <c r="J449" i="12"/>
  <c r="I450" i="12"/>
  <c r="J450" i="12"/>
  <c r="I451" i="12"/>
  <c r="J451" i="12"/>
  <c r="I452" i="12"/>
  <c r="J452" i="12"/>
  <c r="I453" i="12"/>
  <c r="J453" i="12"/>
  <c r="I454" i="12"/>
  <c r="J454" i="12"/>
  <c r="I455" i="12"/>
  <c r="J455" i="12"/>
  <c r="I456" i="12"/>
  <c r="J456" i="12"/>
  <c r="I457" i="12"/>
  <c r="J457" i="12"/>
  <c r="I458" i="12"/>
  <c r="J458" i="12"/>
  <c r="I459" i="12"/>
  <c r="J459" i="12"/>
  <c r="I460" i="12"/>
  <c r="J460" i="12"/>
  <c r="I461" i="12"/>
  <c r="J461" i="12"/>
  <c r="I462" i="12"/>
  <c r="J462" i="12"/>
  <c r="I463" i="12"/>
  <c r="J463" i="12"/>
  <c r="I464" i="12"/>
  <c r="J464" i="12"/>
  <c r="I465" i="12"/>
  <c r="J465" i="12"/>
  <c r="I466" i="12"/>
  <c r="J466" i="12"/>
  <c r="I467" i="12"/>
  <c r="J467" i="12"/>
  <c r="I468" i="12"/>
  <c r="J468" i="12"/>
  <c r="I469" i="12"/>
  <c r="J469" i="12"/>
  <c r="I470" i="12"/>
  <c r="J470" i="12"/>
  <c r="I471" i="12"/>
  <c r="J471" i="12"/>
  <c r="I472" i="12"/>
  <c r="J472" i="12"/>
  <c r="I473" i="12"/>
  <c r="J473" i="12"/>
  <c r="I474" i="12"/>
  <c r="J474" i="12"/>
  <c r="I475" i="12"/>
  <c r="J475" i="12"/>
  <c r="I476" i="12"/>
  <c r="J476" i="12"/>
  <c r="I477" i="12"/>
  <c r="J477" i="12"/>
  <c r="I478" i="12"/>
  <c r="J478" i="12"/>
  <c r="I479" i="12"/>
  <c r="J479" i="12"/>
  <c r="I480" i="12"/>
  <c r="J480" i="12"/>
  <c r="I481" i="12"/>
  <c r="J481" i="12"/>
  <c r="I482" i="12"/>
  <c r="J482" i="12"/>
  <c r="I483" i="12"/>
  <c r="J483" i="12"/>
  <c r="I484" i="12"/>
  <c r="J484" i="12"/>
  <c r="I485" i="12"/>
  <c r="J485" i="12"/>
  <c r="I486" i="12"/>
  <c r="J486" i="12"/>
  <c r="I487" i="12"/>
  <c r="J487" i="12"/>
  <c r="I488" i="12"/>
  <c r="J488" i="12"/>
  <c r="I489" i="12"/>
  <c r="J489" i="12"/>
  <c r="I490" i="12"/>
  <c r="J490" i="12"/>
  <c r="I491" i="12"/>
  <c r="J491" i="12"/>
  <c r="I492" i="12"/>
  <c r="J492" i="12"/>
  <c r="I493" i="12"/>
  <c r="J493" i="12"/>
  <c r="I494" i="12"/>
  <c r="J494" i="12"/>
  <c r="I495" i="12"/>
  <c r="J495" i="12"/>
  <c r="I496" i="12"/>
  <c r="J496" i="12"/>
  <c r="I497" i="12"/>
  <c r="J497" i="12"/>
  <c r="I498" i="12"/>
  <c r="J498" i="12"/>
  <c r="I499" i="12"/>
  <c r="J499" i="12"/>
  <c r="I500" i="12"/>
  <c r="J500" i="12"/>
  <c r="I501" i="12"/>
  <c r="J501" i="12"/>
  <c r="I502" i="12"/>
  <c r="J502" i="12"/>
  <c r="I503" i="12"/>
  <c r="J503" i="12"/>
  <c r="I504" i="12"/>
  <c r="J504" i="12"/>
  <c r="I505" i="12"/>
  <c r="J505" i="12"/>
  <c r="I506" i="12"/>
  <c r="J506" i="12"/>
  <c r="I507" i="12"/>
  <c r="J507" i="12"/>
  <c r="I508" i="12"/>
  <c r="J508" i="12"/>
  <c r="I509" i="12"/>
  <c r="J509" i="12"/>
  <c r="I510" i="12"/>
  <c r="J510" i="12"/>
  <c r="I511" i="12"/>
  <c r="J511" i="12"/>
  <c r="I512" i="12"/>
  <c r="J512" i="12"/>
  <c r="I513" i="12"/>
  <c r="J513" i="12"/>
  <c r="I514" i="12"/>
  <c r="J514" i="12"/>
  <c r="I515" i="12"/>
  <c r="J515" i="12"/>
  <c r="I516" i="12"/>
  <c r="J516" i="12"/>
  <c r="I517" i="12"/>
  <c r="J517" i="12"/>
  <c r="I518" i="12"/>
  <c r="J518" i="12"/>
  <c r="I519" i="12"/>
  <c r="J519" i="12"/>
  <c r="I520" i="12"/>
  <c r="J520" i="12"/>
  <c r="I521" i="12"/>
  <c r="J521" i="12"/>
  <c r="I522" i="12"/>
  <c r="J522" i="12"/>
  <c r="I523" i="12"/>
  <c r="J523" i="12"/>
  <c r="I524" i="12"/>
  <c r="J524" i="12"/>
  <c r="I525" i="12"/>
  <c r="J525" i="12"/>
  <c r="I526" i="12"/>
  <c r="J526" i="12"/>
  <c r="I527" i="12"/>
  <c r="J527" i="12"/>
  <c r="I528" i="12"/>
  <c r="J528" i="12"/>
  <c r="I529" i="12"/>
  <c r="J529" i="12"/>
  <c r="I530" i="12"/>
  <c r="J530" i="12"/>
  <c r="I531" i="12"/>
  <c r="J531" i="12"/>
  <c r="I532" i="12"/>
  <c r="J532" i="12"/>
  <c r="I533" i="12"/>
  <c r="J533" i="12"/>
  <c r="I534" i="12"/>
  <c r="J534" i="12"/>
  <c r="I535" i="12"/>
  <c r="J535" i="12"/>
  <c r="I536" i="12"/>
  <c r="J536" i="12"/>
  <c r="I537" i="12"/>
  <c r="J537" i="12"/>
  <c r="I538" i="12"/>
  <c r="J538" i="12"/>
  <c r="I539" i="12"/>
  <c r="J539" i="12"/>
  <c r="I540" i="12"/>
  <c r="J540" i="12"/>
  <c r="I541" i="12"/>
  <c r="J541" i="12"/>
  <c r="I542" i="12"/>
  <c r="J542" i="12"/>
  <c r="I543" i="12"/>
  <c r="J543" i="12"/>
  <c r="I544" i="12"/>
  <c r="J544" i="12"/>
  <c r="I545" i="12"/>
  <c r="J545" i="12"/>
  <c r="I546" i="12"/>
  <c r="J546" i="12"/>
  <c r="I547" i="12"/>
  <c r="J547" i="12"/>
  <c r="I548" i="12"/>
  <c r="J548" i="12"/>
  <c r="I549" i="12"/>
  <c r="J549" i="12"/>
  <c r="I550" i="12"/>
  <c r="J550" i="12"/>
  <c r="I551" i="12"/>
  <c r="J551" i="12"/>
  <c r="I552" i="12"/>
  <c r="J552" i="12"/>
  <c r="I553" i="12"/>
  <c r="J553" i="12"/>
  <c r="I554" i="12"/>
  <c r="J554" i="12"/>
  <c r="I555" i="12"/>
  <c r="J555" i="12"/>
  <c r="I556" i="12"/>
  <c r="J556" i="12"/>
  <c r="I557" i="12"/>
  <c r="J557" i="12"/>
  <c r="I558" i="12"/>
  <c r="J558" i="12"/>
  <c r="I559" i="12"/>
  <c r="J559" i="12"/>
  <c r="I560" i="12"/>
  <c r="J560" i="12"/>
  <c r="I561" i="12"/>
  <c r="J561" i="12"/>
  <c r="I562" i="12"/>
  <c r="J562" i="12"/>
  <c r="I563" i="12"/>
  <c r="J563" i="12"/>
  <c r="I564" i="12"/>
  <c r="J564" i="12"/>
  <c r="I565" i="12"/>
  <c r="J565" i="12"/>
  <c r="I566" i="12"/>
  <c r="J566" i="12"/>
  <c r="I567" i="12"/>
  <c r="J567" i="12"/>
  <c r="I568" i="12"/>
  <c r="J568" i="12"/>
  <c r="I569" i="12"/>
  <c r="J569" i="12"/>
  <c r="I570" i="12"/>
  <c r="J570" i="12"/>
  <c r="I571" i="12"/>
  <c r="J571" i="12"/>
  <c r="I572" i="12"/>
  <c r="J572" i="12"/>
  <c r="I573" i="12"/>
  <c r="J573" i="12"/>
  <c r="I574" i="12"/>
  <c r="J574" i="12"/>
  <c r="I575" i="12"/>
  <c r="J575" i="12"/>
  <c r="I576" i="12"/>
  <c r="J576" i="12"/>
  <c r="I577" i="12"/>
  <c r="J577" i="12"/>
  <c r="I578" i="12"/>
  <c r="J578" i="12"/>
  <c r="I579" i="12"/>
  <c r="J579" i="12"/>
  <c r="I580" i="12"/>
  <c r="J580" i="12"/>
  <c r="I581" i="12"/>
  <c r="J581" i="12"/>
  <c r="I582" i="12"/>
  <c r="J582" i="12"/>
  <c r="I583" i="12"/>
  <c r="J583" i="12"/>
  <c r="I584" i="12"/>
  <c r="J584" i="12"/>
  <c r="I585" i="12"/>
  <c r="J585" i="12"/>
  <c r="I586" i="12"/>
  <c r="J586" i="12"/>
  <c r="I587" i="12"/>
  <c r="J587" i="12"/>
  <c r="I588" i="12"/>
  <c r="J588" i="12"/>
  <c r="I589" i="12"/>
  <c r="J589" i="12"/>
  <c r="I590" i="12"/>
  <c r="J590" i="12"/>
  <c r="I591" i="12"/>
  <c r="J591" i="12"/>
  <c r="I592" i="12"/>
  <c r="J592" i="12"/>
  <c r="I593" i="12"/>
  <c r="J593" i="12"/>
  <c r="I594" i="12"/>
  <c r="J594" i="12"/>
  <c r="I595" i="12"/>
  <c r="J595" i="12"/>
  <c r="I596" i="12"/>
  <c r="J596" i="12"/>
  <c r="I597" i="12"/>
  <c r="J597" i="12"/>
  <c r="I598" i="12"/>
  <c r="J598" i="12"/>
  <c r="I599" i="12"/>
  <c r="J599" i="12"/>
  <c r="I600" i="12"/>
  <c r="J600" i="12"/>
  <c r="I601" i="12"/>
  <c r="J601" i="12"/>
  <c r="I602" i="12"/>
  <c r="J602" i="12"/>
  <c r="I603" i="12"/>
  <c r="J603" i="12"/>
  <c r="I604" i="12"/>
  <c r="J604" i="12"/>
  <c r="I605" i="12"/>
  <c r="J605" i="12"/>
  <c r="I606" i="12"/>
  <c r="J606" i="12"/>
  <c r="I607" i="12"/>
  <c r="J607" i="12"/>
  <c r="I608" i="12"/>
  <c r="J608" i="12"/>
  <c r="I609" i="12"/>
  <c r="J609" i="12"/>
  <c r="I610" i="12"/>
  <c r="J610" i="12"/>
  <c r="I611" i="12"/>
  <c r="J611" i="12"/>
  <c r="I612" i="12"/>
  <c r="J612" i="12"/>
  <c r="I613" i="12"/>
  <c r="J613" i="12"/>
  <c r="I614" i="12"/>
  <c r="J614" i="12"/>
  <c r="I615" i="12"/>
  <c r="J615" i="12"/>
  <c r="I616" i="12"/>
  <c r="J616" i="12"/>
  <c r="I617" i="12"/>
  <c r="J617" i="12"/>
  <c r="I618" i="12"/>
  <c r="J618" i="12"/>
  <c r="I619" i="12"/>
  <c r="J619" i="12"/>
  <c r="I620" i="12"/>
  <c r="J620" i="12"/>
  <c r="I621" i="12"/>
  <c r="J621" i="12"/>
  <c r="I622" i="12"/>
  <c r="J622" i="12"/>
  <c r="I623" i="12"/>
  <c r="J623" i="12"/>
  <c r="I624" i="12"/>
  <c r="J624" i="12"/>
  <c r="I625" i="12"/>
  <c r="J625" i="12"/>
  <c r="I626" i="12"/>
  <c r="J626" i="12"/>
  <c r="I627" i="12"/>
  <c r="J627" i="12"/>
  <c r="I628" i="12"/>
  <c r="J628" i="12"/>
  <c r="I629" i="12"/>
  <c r="J629" i="12"/>
  <c r="I630" i="12"/>
  <c r="J630" i="12"/>
  <c r="I631" i="12"/>
  <c r="J631" i="12"/>
  <c r="I632" i="12"/>
  <c r="J632" i="12"/>
  <c r="I633" i="12"/>
  <c r="J633" i="12"/>
  <c r="I634" i="12"/>
  <c r="J634" i="12"/>
  <c r="I635" i="12"/>
  <c r="J635" i="12"/>
  <c r="I636" i="12"/>
  <c r="J636" i="12"/>
  <c r="I637" i="12"/>
  <c r="J637" i="12"/>
  <c r="I638" i="12"/>
  <c r="J638" i="12"/>
  <c r="I639" i="12"/>
  <c r="J639" i="12"/>
  <c r="I640" i="12"/>
  <c r="J640" i="12"/>
  <c r="I641" i="12"/>
  <c r="J641" i="12"/>
  <c r="I642" i="12"/>
  <c r="J642" i="12"/>
  <c r="I643" i="12"/>
  <c r="J643" i="12"/>
  <c r="I644" i="12"/>
  <c r="J644" i="12"/>
  <c r="I645" i="12"/>
  <c r="J645" i="12"/>
  <c r="I646" i="12"/>
  <c r="J646" i="12"/>
  <c r="I647" i="12"/>
  <c r="J647" i="12"/>
  <c r="I648" i="12"/>
  <c r="J648" i="12"/>
  <c r="I649" i="12"/>
  <c r="J649" i="12"/>
  <c r="I650" i="12"/>
  <c r="J650" i="12"/>
  <c r="I651" i="12"/>
  <c r="J651" i="12"/>
  <c r="I652" i="12"/>
  <c r="J652" i="12"/>
  <c r="I653" i="12"/>
  <c r="J653" i="12"/>
  <c r="I654" i="12"/>
  <c r="J654" i="12"/>
  <c r="I655" i="12"/>
  <c r="J655" i="12"/>
  <c r="I656" i="12"/>
  <c r="J656" i="12"/>
  <c r="I657" i="12"/>
  <c r="J657" i="12"/>
  <c r="I658" i="12"/>
  <c r="J658" i="12"/>
  <c r="I659" i="12"/>
  <c r="J659" i="12"/>
  <c r="I660" i="12"/>
  <c r="J660" i="12"/>
  <c r="I661" i="12"/>
  <c r="J661" i="12"/>
  <c r="I662" i="12"/>
  <c r="J662" i="12"/>
  <c r="I663" i="12"/>
  <c r="J663" i="12"/>
  <c r="I664" i="12"/>
  <c r="J664" i="12"/>
  <c r="I665" i="12"/>
  <c r="J665" i="12"/>
  <c r="I666" i="12"/>
  <c r="J666" i="12"/>
  <c r="I667" i="12"/>
  <c r="J667" i="12"/>
  <c r="I668" i="12"/>
  <c r="J668" i="12"/>
  <c r="I669" i="12"/>
  <c r="J669" i="12"/>
  <c r="I670" i="12"/>
  <c r="J670" i="12"/>
  <c r="I671" i="12"/>
  <c r="J671" i="12"/>
  <c r="I672" i="12"/>
  <c r="J672" i="12"/>
  <c r="I673" i="12"/>
  <c r="J673" i="12"/>
  <c r="I674" i="12"/>
  <c r="J674" i="12"/>
  <c r="I675" i="12"/>
  <c r="J675" i="12"/>
  <c r="I676" i="12"/>
  <c r="J676" i="12"/>
  <c r="I677" i="12"/>
  <c r="J677" i="12"/>
  <c r="I678" i="12"/>
  <c r="J678" i="12"/>
  <c r="I679" i="12"/>
  <c r="J679" i="12"/>
  <c r="I680" i="12"/>
  <c r="J680" i="12"/>
  <c r="I681" i="12"/>
  <c r="J681" i="12"/>
  <c r="I682" i="12"/>
  <c r="J682" i="12"/>
  <c r="I683" i="12"/>
  <c r="J683" i="12"/>
  <c r="I684" i="12"/>
  <c r="J684" i="12"/>
  <c r="I685" i="12"/>
  <c r="J685" i="12"/>
  <c r="I686" i="12"/>
  <c r="J686" i="12"/>
  <c r="I687" i="12"/>
  <c r="J687" i="12"/>
  <c r="I688" i="12"/>
  <c r="J688" i="12"/>
  <c r="I689" i="12"/>
  <c r="J689" i="12"/>
  <c r="I690" i="12"/>
  <c r="J690" i="12"/>
  <c r="I691" i="12"/>
  <c r="J691" i="12"/>
  <c r="I692" i="12"/>
  <c r="J692" i="12"/>
  <c r="I693" i="12"/>
  <c r="J693" i="12"/>
  <c r="I694" i="12"/>
  <c r="J694" i="12"/>
  <c r="I695" i="12"/>
  <c r="J695" i="12"/>
  <c r="I696" i="12"/>
  <c r="J696" i="12"/>
  <c r="I697" i="12"/>
  <c r="J697" i="12"/>
  <c r="I698" i="12"/>
  <c r="J698" i="12"/>
  <c r="I699" i="12"/>
  <c r="J699" i="12"/>
  <c r="I700" i="12"/>
  <c r="J700" i="12"/>
  <c r="I701" i="12"/>
  <c r="J701" i="12"/>
  <c r="I702" i="12"/>
  <c r="J702" i="12"/>
  <c r="I703" i="12"/>
  <c r="J703" i="12"/>
  <c r="I704" i="12"/>
  <c r="J704" i="12"/>
  <c r="I705" i="12"/>
  <c r="J705" i="12"/>
  <c r="I706" i="12"/>
  <c r="J706" i="12"/>
  <c r="I707" i="12"/>
  <c r="J707" i="12"/>
  <c r="I708" i="12"/>
  <c r="J708" i="12"/>
  <c r="I709" i="12"/>
  <c r="J709" i="12"/>
  <c r="I710" i="12"/>
  <c r="J710" i="12"/>
  <c r="I711" i="12"/>
  <c r="J711" i="12"/>
  <c r="I712" i="12"/>
  <c r="J712" i="12"/>
  <c r="I713" i="12"/>
  <c r="J713" i="12"/>
  <c r="I714" i="12"/>
  <c r="J714" i="12"/>
  <c r="I715" i="12"/>
  <c r="J715" i="12"/>
  <c r="I716" i="12"/>
  <c r="J716" i="12"/>
  <c r="I717" i="12"/>
  <c r="J717" i="12"/>
  <c r="I718" i="12"/>
  <c r="J718" i="12"/>
  <c r="I719" i="12"/>
  <c r="J719" i="12"/>
  <c r="I720" i="12"/>
  <c r="J720" i="12"/>
  <c r="I721" i="12"/>
  <c r="J721" i="12"/>
  <c r="I722" i="12"/>
  <c r="J722" i="12"/>
  <c r="I723" i="12"/>
  <c r="J723" i="12"/>
  <c r="I724" i="12"/>
  <c r="J724" i="12"/>
  <c r="I725" i="12"/>
  <c r="J725" i="12"/>
  <c r="I726" i="12"/>
  <c r="J726" i="12"/>
  <c r="I727" i="12"/>
  <c r="J727" i="12"/>
  <c r="I728" i="12"/>
  <c r="J728" i="12"/>
  <c r="I729" i="12"/>
  <c r="J729" i="12"/>
  <c r="I730" i="12"/>
  <c r="J730" i="12"/>
  <c r="I731" i="12"/>
  <c r="J731" i="12"/>
  <c r="I732" i="12"/>
  <c r="J732" i="12"/>
  <c r="I733" i="12"/>
  <c r="J733" i="12"/>
  <c r="I734" i="12"/>
  <c r="J734" i="12"/>
  <c r="I735" i="12"/>
  <c r="J735" i="12"/>
  <c r="I736" i="12"/>
  <c r="J736" i="12"/>
  <c r="I737" i="12"/>
  <c r="J737" i="12"/>
  <c r="I738" i="12"/>
  <c r="J738" i="12"/>
  <c r="I739" i="12"/>
  <c r="J739" i="12"/>
  <c r="I740" i="12"/>
  <c r="J740" i="12"/>
  <c r="I741" i="12"/>
  <c r="J741" i="12"/>
  <c r="I742" i="12"/>
  <c r="J742" i="12"/>
  <c r="I743" i="12"/>
  <c r="J743" i="12"/>
  <c r="I744" i="12"/>
  <c r="J744" i="12"/>
  <c r="I745" i="12"/>
  <c r="J745" i="12"/>
  <c r="I746" i="12"/>
  <c r="J746" i="12"/>
  <c r="I747" i="12"/>
  <c r="J747" i="12"/>
  <c r="I748" i="12"/>
  <c r="J748" i="12"/>
  <c r="I749" i="12"/>
  <c r="J749" i="12"/>
  <c r="I750" i="12"/>
  <c r="J750" i="12"/>
  <c r="I751" i="12"/>
  <c r="J751" i="12"/>
  <c r="I752" i="12"/>
  <c r="J752" i="12"/>
  <c r="I753" i="12"/>
  <c r="J753" i="12"/>
  <c r="I754" i="12"/>
  <c r="J754" i="12"/>
  <c r="I755" i="12"/>
  <c r="J755" i="12"/>
  <c r="I756" i="12"/>
  <c r="J756" i="12"/>
  <c r="I757" i="12"/>
  <c r="J757" i="12"/>
  <c r="I758" i="12"/>
  <c r="J758" i="12"/>
  <c r="I759" i="12"/>
  <c r="J759" i="12"/>
  <c r="I760" i="12"/>
  <c r="J760" i="12"/>
  <c r="I761" i="12"/>
  <c r="J761" i="12"/>
  <c r="I762" i="12"/>
  <c r="J762" i="12"/>
  <c r="I763" i="12"/>
  <c r="J763" i="12"/>
  <c r="I764" i="12"/>
  <c r="J764" i="12"/>
  <c r="I765" i="12"/>
  <c r="J765" i="12"/>
  <c r="I766" i="12"/>
  <c r="J766" i="12"/>
  <c r="I767" i="12"/>
  <c r="J767" i="12"/>
  <c r="I768" i="12"/>
  <c r="J768" i="12"/>
  <c r="I769" i="12"/>
  <c r="J769" i="12"/>
  <c r="I770" i="12"/>
  <c r="J770" i="12"/>
  <c r="I771" i="12"/>
  <c r="J771" i="12"/>
  <c r="I772" i="12"/>
  <c r="J772" i="12"/>
  <c r="I773" i="12"/>
  <c r="J773" i="12"/>
  <c r="I774" i="12"/>
  <c r="J774" i="12"/>
  <c r="I775" i="12"/>
  <c r="J775" i="12"/>
  <c r="I776" i="12"/>
  <c r="J776" i="12"/>
  <c r="I777" i="12"/>
  <c r="J777" i="12"/>
  <c r="I778" i="12"/>
  <c r="J778" i="12"/>
  <c r="I779" i="12"/>
  <c r="J779" i="12"/>
  <c r="I780" i="12"/>
  <c r="J780" i="12"/>
  <c r="I781" i="12"/>
  <c r="J781" i="12"/>
  <c r="I782" i="12"/>
  <c r="J782" i="12"/>
  <c r="I783" i="12"/>
  <c r="J783" i="12"/>
  <c r="I784" i="12"/>
  <c r="J784" i="12"/>
  <c r="I785" i="12"/>
  <c r="J785" i="12"/>
  <c r="I786" i="12"/>
  <c r="J786" i="12"/>
  <c r="I787" i="12"/>
  <c r="J787" i="12"/>
  <c r="I788" i="12"/>
  <c r="J788" i="12"/>
  <c r="I789" i="12"/>
  <c r="J789" i="12"/>
  <c r="I790" i="12"/>
  <c r="J790" i="12"/>
  <c r="I791" i="12"/>
  <c r="J791" i="12"/>
  <c r="I792" i="12"/>
  <c r="J792" i="12"/>
  <c r="I793" i="12"/>
  <c r="J793" i="12"/>
  <c r="I794" i="12"/>
  <c r="J794" i="12"/>
  <c r="I795" i="12"/>
  <c r="J795" i="12"/>
  <c r="I796" i="12"/>
  <c r="J796" i="12"/>
  <c r="I797" i="12"/>
  <c r="J797" i="12"/>
  <c r="I798" i="12"/>
  <c r="J798" i="12"/>
  <c r="I799" i="12"/>
  <c r="J799" i="12"/>
  <c r="I800" i="12"/>
  <c r="J800" i="12"/>
  <c r="I801" i="12"/>
  <c r="J801" i="12"/>
  <c r="I802" i="12"/>
  <c r="J802" i="12"/>
  <c r="I803" i="12"/>
  <c r="J803" i="12"/>
  <c r="I804" i="12"/>
  <c r="J804" i="12"/>
  <c r="I805" i="12"/>
  <c r="J805" i="12"/>
  <c r="I806" i="12"/>
  <c r="J806" i="12"/>
  <c r="I807" i="12"/>
  <c r="J807" i="12"/>
  <c r="I808" i="12"/>
  <c r="J808" i="12"/>
  <c r="I809" i="12"/>
  <c r="J809" i="12"/>
  <c r="I810" i="12"/>
  <c r="J810" i="12"/>
  <c r="I811" i="12"/>
  <c r="J811" i="12"/>
  <c r="I812" i="12"/>
  <c r="J812" i="12"/>
  <c r="I813" i="12"/>
  <c r="J813" i="12"/>
  <c r="I814" i="12"/>
  <c r="J814" i="12"/>
  <c r="I815" i="12"/>
  <c r="J815" i="12"/>
  <c r="I816" i="12"/>
  <c r="J816" i="12"/>
  <c r="I817" i="12"/>
  <c r="J817" i="12"/>
  <c r="I818" i="12"/>
  <c r="J818" i="12"/>
  <c r="I819" i="12"/>
  <c r="J819" i="12"/>
  <c r="I820" i="12"/>
  <c r="J820" i="12"/>
  <c r="I821" i="12"/>
  <c r="J821" i="12"/>
  <c r="I822" i="12"/>
  <c r="J822" i="12"/>
  <c r="I823" i="12"/>
  <c r="J823" i="12"/>
  <c r="I824" i="12"/>
  <c r="J824" i="12"/>
  <c r="I825" i="12"/>
  <c r="J825" i="12"/>
  <c r="I826" i="12"/>
  <c r="J826" i="12"/>
  <c r="I827" i="12"/>
  <c r="J827" i="12"/>
  <c r="I828" i="12"/>
  <c r="J828" i="12"/>
  <c r="I829" i="12"/>
  <c r="J829" i="12"/>
  <c r="I830" i="12"/>
  <c r="J830" i="12"/>
  <c r="I831" i="12"/>
  <c r="J831" i="12"/>
  <c r="I832" i="12"/>
  <c r="J832" i="12"/>
  <c r="I833" i="12"/>
  <c r="J833" i="12"/>
  <c r="I834" i="12"/>
  <c r="J834" i="12"/>
  <c r="I835" i="12"/>
  <c r="J835" i="12"/>
  <c r="I836" i="12"/>
  <c r="J836" i="12"/>
  <c r="I837" i="12"/>
  <c r="J837" i="12"/>
  <c r="I838" i="12"/>
  <c r="J838" i="12"/>
  <c r="I839" i="12"/>
  <c r="J839" i="12"/>
  <c r="I840" i="12"/>
  <c r="J840" i="12"/>
  <c r="I841" i="12"/>
  <c r="J841" i="12"/>
  <c r="I842" i="12"/>
  <c r="J842" i="12"/>
  <c r="I843" i="12"/>
  <c r="J843" i="12"/>
  <c r="I844" i="12"/>
  <c r="J844" i="12"/>
  <c r="I845" i="12"/>
  <c r="J845" i="12"/>
  <c r="I846" i="12"/>
  <c r="J846" i="12"/>
  <c r="I847" i="12"/>
  <c r="J847" i="12"/>
  <c r="I848" i="12"/>
  <c r="J848" i="12"/>
  <c r="I849" i="12"/>
  <c r="J849" i="12"/>
  <c r="I850" i="12"/>
  <c r="J850" i="12"/>
  <c r="I851" i="12"/>
  <c r="J851" i="12"/>
  <c r="I852" i="12"/>
  <c r="J852" i="12"/>
  <c r="I853" i="12"/>
  <c r="J853" i="12"/>
  <c r="I854" i="12"/>
  <c r="J854" i="12"/>
  <c r="I855" i="12"/>
  <c r="J855" i="12"/>
  <c r="I856" i="12"/>
  <c r="J856" i="12"/>
  <c r="I857" i="12"/>
  <c r="J857" i="12"/>
  <c r="I858" i="12"/>
  <c r="J858" i="12"/>
  <c r="I859" i="12"/>
  <c r="J859" i="12"/>
  <c r="I860" i="12"/>
  <c r="J860" i="12"/>
  <c r="I861" i="12"/>
  <c r="J861" i="12"/>
  <c r="I862" i="12"/>
  <c r="J862" i="12"/>
  <c r="I863" i="12"/>
  <c r="J863" i="12"/>
  <c r="I864" i="12"/>
  <c r="J864" i="12"/>
  <c r="I865" i="12"/>
  <c r="J865" i="12"/>
  <c r="I866" i="12"/>
  <c r="J866" i="12"/>
  <c r="I867" i="12"/>
  <c r="J867" i="12"/>
  <c r="I868" i="12"/>
  <c r="J868" i="12"/>
  <c r="I869" i="12"/>
  <c r="J869" i="12"/>
  <c r="I870" i="12"/>
  <c r="J870" i="12"/>
  <c r="I871" i="12"/>
  <c r="J871" i="12"/>
  <c r="I872" i="12"/>
  <c r="J872" i="12"/>
  <c r="I873" i="12"/>
  <c r="J873" i="12"/>
  <c r="I874" i="12"/>
  <c r="J874" i="12"/>
  <c r="I875" i="12"/>
  <c r="J875" i="12"/>
  <c r="I876" i="12"/>
  <c r="J876" i="12"/>
  <c r="I877" i="12"/>
  <c r="J877" i="12"/>
  <c r="I878" i="12"/>
  <c r="J878" i="12"/>
  <c r="I879" i="12"/>
  <c r="J879" i="12"/>
  <c r="I880" i="12"/>
  <c r="J880" i="12"/>
  <c r="I881" i="12"/>
  <c r="J881" i="12"/>
  <c r="I882" i="12"/>
  <c r="J882" i="12"/>
  <c r="I883" i="12"/>
  <c r="J883" i="12"/>
  <c r="I884" i="12"/>
  <c r="J884" i="12"/>
  <c r="I885" i="12"/>
  <c r="J885" i="12"/>
  <c r="I886" i="12"/>
  <c r="J886" i="12"/>
  <c r="I887" i="12"/>
  <c r="J887" i="12"/>
  <c r="I888" i="12"/>
  <c r="J888" i="12"/>
  <c r="I889" i="12"/>
  <c r="J889" i="12"/>
  <c r="I890" i="12"/>
  <c r="J890" i="12"/>
  <c r="I891" i="12"/>
  <c r="J891" i="12"/>
  <c r="I892" i="12"/>
  <c r="J892" i="12"/>
  <c r="I893" i="12"/>
  <c r="J893" i="12"/>
  <c r="I894" i="12"/>
  <c r="J894" i="12"/>
  <c r="I895" i="12"/>
  <c r="J895" i="12"/>
  <c r="I896" i="12"/>
  <c r="J896" i="12"/>
  <c r="I897" i="12"/>
  <c r="J897" i="12"/>
  <c r="I898" i="12"/>
  <c r="J898" i="12"/>
  <c r="I899" i="12"/>
  <c r="J899" i="12"/>
  <c r="I900" i="12"/>
  <c r="J900" i="12"/>
  <c r="I901" i="12"/>
  <c r="J901" i="12"/>
  <c r="I902" i="12"/>
  <c r="J902" i="12"/>
  <c r="I903" i="12"/>
  <c r="J903" i="12"/>
  <c r="I904" i="12"/>
  <c r="J904" i="12"/>
  <c r="I905" i="12"/>
  <c r="J905" i="12"/>
  <c r="I906" i="12"/>
  <c r="J906" i="12"/>
  <c r="I907" i="12"/>
  <c r="J907" i="12"/>
  <c r="I908" i="12"/>
  <c r="J908" i="12"/>
  <c r="I909" i="12"/>
  <c r="J909" i="12"/>
  <c r="I910" i="12"/>
  <c r="J910" i="12"/>
  <c r="I911" i="12"/>
  <c r="J911" i="12"/>
  <c r="I912" i="12"/>
  <c r="J912" i="12"/>
  <c r="I913" i="12"/>
  <c r="J913" i="12"/>
  <c r="I914" i="12"/>
  <c r="J914" i="12"/>
  <c r="I915" i="12"/>
  <c r="J915" i="12"/>
  <c r="I916" i="12"/>
  <c r="J916" i="12"/>
  <c r="I917" i="12"/>
  <c r="J917" i="12"/>
  <c r="I918" i="12"/>
  <c r="J918" i="12"/>
  <c r="I919" i="12"/>
  <c r="J919" i="12"/>
  <c r="I920" i="12"/>
  <c r="J920" i="12"/>
  <c r="I921" i="12"/>
  <c r="J921" i="12"/>
  <c r="I922" i="12"/>
  <c r="J922" i="12"/>
  <c r="I923" i="12"/>
  <c r="J923" i="12"/>
  <c r="I924" i="12"/>
  <c r="J924" i="12"/>
  <c r="I925" i="12"/>
  <c r="J925" i="12"/>
  <c r="I926" i="12"/>
  <c r="J926" i="12"/>
  <c r="I927" i="12"/>
  <c r="J927" i="12"/>
  <c r="I928" i="12"/>
  <c r="J928" i="12"/>
  <c r="I929" i="12"/>
  <c r="J929" i="12"/>
  <c r="I930" i="12"/>
  <c r="J930" i="12"/>
  <c r="I931" i="12"/>
  <c r="J931" i="12"/>
  <c r="I932" i="12"/>
  <c r="J932" i="12"/>
  <c r="I933" i="12"/>
  <c r="J933" i="12"/>
  <c r="I934" i="12"/>
  <c r="J934" i="12"/>
  <c r="I935" i="12"/>
  <c r="J935" i="12"/>
  <c r="I936" i="12"/>
  <c r="J936" i="12"/>
  <c r="I937" i="12"/>
  <c r="J937" i="12"/>
  <c r="I938" i="12"/>
  <c r="J938" i="12"/>
  <c r="I939" i="12"/>
  <c r="J939" i="12"/>
  <c r="I940" i="12"/>
  <c r="J940" i="12"/>
  <c r="I941" i="12"/>
  <c r="J941" i="12"/>
  <c r="I942" i="12"/>
  <c r="J942" i="12"/>
  <c r="I943" i="12"/>
  <c r="J943" i="12"/>
  <c r="I944" i="12"/>
  <c r="J944" i="12"/>
  <c r="I945" i="12"/>
  <c r="J945" i="12"/>
  <c r="I946" i="12"/>
  <c r="J946" i="12"/>
  <c r="I947" i="12"/>
  <c r="J947" i="12"/>
  <c r="I948" i="12"/>
  <c r="J948" i="12"/>
  <c r="I949" i="12"/>
  <c r="J949" i="12"/>
  <c r="I950" i="12"/>
  <c r="J950" i="12"/>
  <c r="I951" i="12"/>
  <c r="J951" i="12"/>
  <c r="I952" i="12"/>
  <c r="J952" i="12"/>
  <c r="I953" i="12"/>
  <c r="J953" i="12"/>
  <c r="I954" i="12"/>
  <c r="J954" i="12"/>
  <c r="I955" i="12"/>
  <c r="J955" i="12"/>
  <c r="I956" i="12"/>
  <c r="J956" i="12"/>
  <c r="I957" i="12"/>
  <c r="J957" i="12"/>
  <c r="I958" i="12"/>
  <c r="J958" i="12"/>
  <c r="I959" i="12"/>
  <c r="J959" i="12"/>
  <c r="I960" i="12"/>
  <c r="J960" i="12"/>
  <c r="I961" i="12"/>
  <c r="J961" i="12"/>
  <c r="I962" i="12"/>
  <c r="J962" i="12"/>
  <c r="I963" i="12"/>
  <c r="J963" i="12"/>
  <c r="I964" i="12"/>
  <c r="J964" i="12"/>
  <c r="I965" i="12"/>
  <c r="J965" i="12"/>
  <c r="I966" i="12"/>
  <c r="J966" i="12"/>
  <c r="I967" i="12"/>
  <c r="J967" i="12"/>
  <c r="I968" i="12"/>
  <c r="J968" i="12"/>
  <c r="I969" i="12"/>
  <c r="J969" i="12"/>
  <c r="I970" i="12"/>
  <c r="J970" i="12"/>
  <c r="I971" i="12"/>
  <c r="J971" i="12"/>
  <c r="I972" i="12"/>
  <c r="J972" i="12"/>
  <c r="I973" i="12"/>
  <c r="J973" i="12"/>
  <c r="I974" i="12"/>
  <c r="J974" i="12"/>
  <c r="I975" i="12"/>
  <c r="J975" i="12"/>
  <c r="I976" i="12"/>
  <c r="J976" i="12"/>
  <c r="I977" i="12"/>
  <c r="J977" i="12"/>
  <c r="I978" i="12"/>
  <c r="J978" i="12"/>
  <c r="I979" i="12"/>
  <c r="J979" i="12"/>
  <c r="I980" i="12"/>
  <c r="J980" i="12"/>
  <c r="I981" i="12"/>
  <c r="J981" i="12"/>
  <c r="I982" i="12"/>
  <c r="J982" i="12"/>
  <c r="I983" i="12"/>
  <c r="J983" i="12"/>
  <c r="I984" i="12"/>
  <c r="J984" i="12"/>
  <c r="I985" i="12"/>
  <c r="J985" i="12"/>
  <c r="I986" i="12"/>
  <c r="J986" i="12"/>
  <c r="I987" i="12"/>
  <c r="J987" i="12"/>
  <c r="I988" i="12"/>
  <c r="J988" i="12"/>
  <c r="I989" i="12"/>
  <c r="J989" i="12"/>
  <c r="I990" i="12"/>
  <c r="J990" i="12"/>
  <c r="I991" i="12"/>
  <c r="J991" i="12"/>
  <c r="I992" i="12"/>
  <c r="J992" i="12"/>
  <c r="I993" i="12"/>
  <c r="J993" i="12"/>
  <c r="I994" i="12"/>
  <c r="J994" i="12"/>
  <c r="I995" i="12"/>
  <c r="J995" i="12"/>
  <c r="I996" i="12"/>
  <c r="J996" i="12"/>
  <c r="I997" i="12"/>
  <c r="J997" i="12"/>
  <c r="I998" i="12"/>
  <c r="J998" i="12"/>
  <c r="I999" i="12"/>
  <c r="J999" i="12"/>
  <c r="I1000" i="12"/>
  <c r="J1000" i="12"/>
  <c r="I1001" i="12"/>
  <c r="J1001" i="12"/>
  <c r="I1002" i="12"/>
  <c r="J1002" i="12"/>
  <c r="I1003" i="12"/>
  <c r="J1003" i="12"/>
  <c r="I1004" i="12"/>
  <c r="J1004" i="12"/>
  <c r="I1005" i="12"/>
  <c r="J1005" i="12"/>
  <c r="I1006" i="12"/>
  <c r="J1006" i="12"/>
  <c r="I1007" i="12"/>
  <c r="J1007" i="12"/>
  <c r="I1008" i="12"/>
  <c r="J1008" i="12"/>
  <c r="I1009" i="12"/>
  <c r="J1009" i="12"/>
  <c r="I1010" i="12"/>
  <c r="J1010" i="12"/>
  <c r="I1011" i="12"/>
  <c r="J1011" i="12"/>
  <c r="I1012" i="12"/>
  <c r="J1012" i="12"/>
  <c r="I1013" i="12"/>
  <c r="J1013" i="12"/>
  <c r="I1014" i="12"/>
  <c r="J1014" i="12"/>
  <c r="I1015" i="12"/>
  <c r="J1015" i="12"/>
  <c r="I1016" i="12"/>
  <c r="J1016" i="12"/>
  <c r="I1017" i="12"/>
  <c r="J1017" i="12"/>
  <c r="I1018" i="12"/>
  <c r="J1018" i="12"/>
  <c r="I1019" i="12"/>
  <c r="J1019" i="12"/>
  <c r="I1020" i="12"/>
  <c r="J1020" i="12"/>
  <c r="I1021" i="12"/>
  <c r="J1021" i="12"/>
  <c r="I1022" i="12"/>
  <c r="J1022" i="12"/>
  <c r="I1023" i="12"/>
  <c r="J1023" i="12"/>
  <c r="I1024" i="12"/>
  <c r="J1024" i="12"/>
  <c r="I1025" i="12"/>
  <c r="J1025" i="12"/>
  <c r="I1026" i="12"/>
  <c r="J1026" i="12"/>
  <c r="I1027" i="12"/>
  <c r="J1027" i="12"/>
  <c r="I1028" i="12"/>
  <c r="J1028" i="12"/>
  <c r="I1029" i="12"/>
  <c r="J1029" i="12"/>
  <c r="I1030" i="12"/>
  <c r="J1030" i="12"/>
  <c r="I1031" i="12"/>
  <c r="J1031" i="12"/>
  <c r="I1032" i="12"/>
  <c r="J1032" i="12"/>
  <c r="I1033" i="12"/>
  <c r="J1033" i="12"/>
  <c r="I1034" i="12"/>
  <c r="J1034" i="12"/>
  <c r="I1035" i="12"/>
  <c r="J1035" i="12"/>
  <c r="I1036" i="12"/>
  <c r="J1036" i="12"/>
  <c r="I1037" i="12"/>
  <c r="J1037" i="12"/>
  <c r="I1038" i="12"/>
  <c r="J1038" i="12"/>
  <c r="I1039" i="12"/>
  <c r="J1039" i="12"/>
  <c r="I1040" i="12"/>
  <c r="J1040" i="12"/>
  <c r="I1041" i="12"/>
  <c r="J1041" i="12"/>
  <c r="I1042" i="12"/>
  <c r="J1042" i="12"/>
  <c r="I1043" i="12"/>
  <c r="J1043" i="12"/>
  <c r="I1044" i="12"/>
  <c r="J1044" i="12"/>
  <c r="I1045" i="12"/>
  <c r="J1045" i="12"/>
  <c r="I1046" i="12"/>
  <c r="J1046" i="12"/>
  <c r="I1047" i="12"/>
  <c r="J1047" i="12"/>
  <c r="I1048" i="12"/>
  <c r="J1048" i="12"/>
  <c r="I1049" i="12"/>
  <c r="J1049" i="12"/>
  <c r="I1050" i="12"/>
  <c r="J1050" i="12"/>
  <c r="I1051" i="12"/>
  <c r="J1051" i="12"/>
  <c r="I1052" i="12"/>
  <c r="J1052" i="12"/>
  <c r="I1053" i="12"/>
  <c r="J1053" i="12"/>
  <c r="I1054" i="12"/>
  <c r="J1054" i="12"/>
  <c r="I1055" i="12"/>
  <c r="J1055" i="12"/>
  <c r="I1056" i="12"/>
  <c r="J1056" i="12"/>
  <c r="I1057" i="12"/>
  <c r="J1057" i="12"/>
  <c r="I1058" i="12"/>
  <c r="J1058" i="12"/>
  <c r="I1059" i="12"/>
  <c r="J1059" i="12"/>
  <c r="I1060" i="12"/>
  <c r="J1060" i="12"/>
  <c r="I1061" i="12"/>
  <c r="J1061" i="12"/>
  <c r="I1062" i="12"/>
  <c r="J1062" i="12"/>
  <c r="I1063" i="12"/>
  <c r="J1063" i="12"/>
  <c r="I1064" i="12"/>
  <c r="J1064" i="12"/>
  <c r="I1065" i="12"/>
  <c r="J1065" i="12"/>
  <c r="I1066" i="12"/>
  <c r="J1066" i="12"/>
  <c r="I1067" i="12"/>
  <c r="J1067" i="12"/>
  <c r="I1068" i="12"/>
  <c r="J1068" i="12"/>
  <c r="I1069" i="12"/>
  <c r="J1069" i="12"/>
  <c r="I1070" i="12"/>
  <c r="J1070" i="12"/>
  <c r="I1071" i="12"/>
  <c r="J1071" i="12"/>
  <c r="I1072" i="12"/>
  <c r="J1072" i="12"/>
  <c r="I1073" i="12"/>
  <c r="J1073" i="12"/>
  <c r="I1074" i="12"/>
  <c r="J1074" i="12"/>
  <c r="I1075" i="12"/>
  <c r="J1075" i="12"/>
  <c r="I1076" i="12"/>
  <c r="J1076" i="12"/>
  <c r="I1077" i="12"/>
  <c r="J1077" i="12"/>
  <c r="I1078" i="12"/>
  <c r="J1078" i="12"/>
  <c r="I1079" i="12"/>
  <c r="J1079" i="12"/>
  <c r="I4" i="13"/>
  <c r="J4" i="13"/>
  <c r="I5" i="13"/>
  <c r="J5" i="13"/>
  <c r="I6" i="13"/>
  <c r="J6" i="13"/>
  <c r="I7" i="13"/>
  <c r="J7" i="13"/>
  <c r="I8" i="13"/>
  <c r="J8" i="13"/>
  <c r="I9" i="13"/>
  <c r="J9" i="13"/>
  <c r="I10" i="13"/>
  <c r="J10" i="13"/>
  <c r="I11" i="13"/>
  <c r="J11" i="13"/>
  <c r="I12" i="13"/>
  <c r="J12" i="13"/>
  <c r="I13" i="13"/>
  <c r="J13" i="13"/>
  <c r="I14" i="13"/>
  <c r="J14" i="13"/>
  <c r="I15" i="13"/>
  <c r="J15" i="13"/>
  <c r="I16" i="13"/>
  <c r="J16" i="13"/>
  <c r="I17" i="13"/>
  <c r="J17" i="13"/>
  <c r="I18" i="13"/>
  <c r="J18" i="13"/>
  <c r="I19" i="13"/>
  <c r="J19" i="13"/>
  <c r="I20" i="13"/>
  <c r="J20" i="13"/>
  <c r="I21" i="13"/>
  <c r="J21" i="13"/>
  <c r="I22" i="13"/>
  <c r="J22" i="13"/>
  <c r="I23" i="13"/>
  <c r="J23" i="13"/>
  <c r="I24" i="13"/>
  <c r="J24" i="13"/>
  <c r="I25" i="13"/>
  <c r="J25" i="13"/>
  <c r="I26" i="13"/>
  <c r="J26" i="13"/>
  <c r="I27" i="13"/>
  <c r="J27" i="13"/>
  <c r="I28" i="13"/>
  <c r="J28" i="13"/>
  <c r="I29" i="13"/>
  <c r="J29" i="13"/>
  <c r="I30" i="13"/>
  <c r="J30" i="13"/>
  <c r="I31" i="13"/>
  <c r="J31" i="13"/>
  <c r="I32" i="13"/>
  <c r="J32" i="13"/>
  <c r="I33" i="13"/>
  <c r="J33" i="13"/>
  <c r="I34" i="13"/>
  <c r="J34" i="13"/>
  <c r="I35" i="13"/>
  <c r="J35" i="13"/>
  <c r="I36" i="13"/>
  <c r="J36" i="13"/>
  <c r="I37" i="13"/>
  <c r="J37" i="13"/>
  <c r="I38" i="13"/>
  <c r="J38" i="13"/>
  <c r="I39" i="13"/>
  <c r="J39" i="13"/>
  <c r="I40" i="13"/>
  <c r="J40" i="13"/>
  <c r="I41" i="13"/>
  <c r="J41" i="13"/>
  <c r="I42" i="13"/>
  <c r="J42" i="13"/>
  <c r="I43" i="13"/>
  <c r="J43" i="13"/>
  <c r="I44" i="13"/>
  <c r="J44" i="13"/>
  <c r="I45" i="13"/>
  <c r="J45" i="13"/>
  <c r="I46" i="13"/>
  <c r="J46" i="13"/>
  <c r="I47" i="13"/>
  <c r="J47" i="13"/>
  <c r="I48" i="13"/>
  <c r="J48" i="13"/>
  <c r="I49" i="13"/>
  <c r="J49" i="13"/>
  <c r="I50" i="13"/>
  <c r="J50" i="13"/>
  <c r="I51" i="13"/>
  <c r="J51" i="13"/>
  <c r="I52" i="13"/>
  <c r="J52" i="13"/>
  <c r="I53" i="13"/>
  <c r="J53" i="13"/>
  <c r="I54" i="13"/>
  <c r="J54" i="13"/>
  <c r="I55" i="13"/>
  <c r="J55" i="13"/>
  <c r="I56" i="13"/>
  <c r="J56" i="13"/>
  <c r="I57" i="13"/>
  <c r="J57" i="13"/>
  <c r="I58" i="13"/>
  <c r="J58" i="13"/>
  <c r="I59" i="13"/>
  <c r="J59" i="13"/>
  <c r="I60" i="13"/>
  <c r="J60" i="13"/>
  <c r="I61" i="13"/>
  <c r="J61" i="13"/>
  <c r="I62" i="13"/>
  <c r="J62" i="13"/>
  <c r="I63" i="13"/>
  <c r="J63" i="13"/>
  <c r="I64" i="13"/>
  <c r="J64" i="13"/>
  <c r="I65" i="13"/>
  <c r="J65" i="13"/>
  <c r="I66" i="13"/>
  <c r="J66" i="13"/>
  <c r="I67" i="13"/>
  <c r="J67" i="13"/>
  <c r="I68" i="13"/>
  <c r="J68" i="13"/>
  <c r="I69" i="13"/>
  <c r="J69" i="13"/>
  <c r="I70" i="13"/>
  <c r="J70" i="13"/>
  <c r="I71" i="13"/>
  <c r="J71" i="13"/>
  <c r="I72" i="13"/>
  <c r="J72" i="13"/>
  <c r="I73" i="13"/>
  <c r="J73" i="13"/>
  <c r="I74" i="13"/>
  <c r="J74" i="13"/>
  <c r="I75" i="13"/>
  <c r="J75" i="13"/>
  <c r="I76" i="13"/>
  <c r="J76" i="13"/>
  <c r="I77" i="13"/>
  <c r="J77" i="13"/>
  <c r="I78" i="13"/>
  <c r="J78" i="13"/>
  <c r="I79" i="13"/>
  <c r="J79" i="13"/>
  <c r="I80" i="13"/>
  <c r="J80" i="13"/>
  <c r="I81" i="13"/>
  <c r="J81" i="13"/>
  <c r="I82" i="13"/>
  <c r="J82" i="13"/>
  <c r="I83" i="13"/>
  <c r="J83" i="13"/>
  <c r="I84" i="13"/>
  <c r="J84" i="13"/>
  <c r="I85" i="13"/>
  <c r="J85" i="13"/>
  <c r="I86" i="13"/>
  <c r="J86" i="13"/>
  <c r="I87" i="13"/>
  <c r="J87" i="13"/>
  <c r="I88" i="13"/>
  <c r="J88" i="13"/>
  <c r="I89" i="13"/>
  <c r="J89" i="13"/>
  <c r="I90" i="13"/>
  <c r="J90" i="13"/>
  <c r="I91" i="13"/>
  <c r="J91" i="13"/>
  <c r="I92" i="13"/>
  <c r="J92" i="13"/>
  <c r="I93" i="13"/>
  <c r="J93" i="13"/>
  <c r="I94" i="13"/>
  <c r="J94" i="13"/>
  <c r="I95" i="13"/>
  <c r="J95" i="13"/>
  <c r="I96" i="13"/>
  <c r="J96" i="13"/>
  <c r="I97" i="13"/>
  <c r="J97" i="13"/>
  <c r="I98" i="13"/>
  <c r="J98" i="13"/>
  <c r="I99" i="13"/>
  <c r="J99" i="13"/>
  <c r="I100" i="13"/>
  <c r="J100" i="13"/>
  <c r="I101" i="13"/>
  <c r="J101" i="13"/>
  <c r="I102" i="13"/>
  <c r="J102" i="13"/>
  <c r="I103" i="13"/>
  <c r="J103" i="13"/>
  <c r="I104" i="13"/>
  <c r="J104" i="13"/>
  <c r="I105" i="13"/>
  <c r="J105" i="13"/>
  <c r="I106" i="13"/>
  <c r="J106" i="13"/>
  <c r="I107" i="13"/>
  <c r="J107" i="13"/>
  <c r="I108" i="13"/>
  <c r="J108" i="13"/>
  <c r="I109" i="13"/>
  <c r="J109" i="13"/>
  <c r="I110" i="13"/>
  <c r="J110" i="13"/>
  <c r="I111" i="13"/>
  <c r="J111" i="13"/>
  <c r="I112" i="13"/>
  <c r="J112" i="13"/>
  <c r="I113" i="13"/>
  <c r="J113" i="13"/>
  <c r="I114" i="13"/>
  <c r="J114" i="13"/>
  <c r="I115" i="13"/>
  <c r="J115" i="13"/>
  <c r="I116" i="13"/>
  <c r="J116" i="13"/>
  <c r="I117" i="13"/>
  <c r="J117" i="13"/>
  <c r="I118" i="13"/>
  <c r="J118" i="13"/>
  <c r="I119" i="13"/>
  <c r="J119" i="13"/>
  <c r="I120" i="13"/>
  <c r="J120" i="13"/>
  <c r="I121" i="13"/>
  <c r="J121" i="13"/>
  <c r="I122" i="13"/>
  <c r="J122" i="13"/>
  <c r="I123" i="13"/>
  <c r="J123" i="13"/>
  <c r="I124" i="13"/>
  <c r="J124" i="13"/>
  <c r="I125" i="13"/>
  <c r="J125" i="13"/>
  <c r="I126" i="13"/>
  <c r="J126" i="13"/>
  <c r="I127" i="13"/>
  <c r="J127" i="13"/>
  <c r="I128" i="13"/>
  <c r="J128" i="13"/>
  <c r="I129" i="13"/>
  <c r="J129" i="13"/>
  <c r="I130" i="13"/>
  <c r="J130" i="13"/>
  <c r="I131" i="13"/>
  <c r="J131" i="13"/>
  <c r="I132" i="13"/>
  <c r="J132" i="13"/>
  <c r="I133" i="13"/>
  <c r="J133" i="13"/>
  <c r="I134" i="13"/>
  <c r="J134" i="13"/>
  <c r="I135" i="13"/>
  <c r="J135" i="13"/>
  <c r="I136" i="13"/>
  <c r="J136" i="13"/>
  <c r="I137" i="13"/>
  <c r="J137" i="13"/>
  <c r="I138" i="13"/>
  <c r="J138" i="13"/>
  <c r="I139" i="13"/>
  <c r="J139" i="13"/>
  <c r="I140" i="13"/>
  <c r="J140" i="13"/>
  <c r="I141" i="13"/>
  <c r="J141" i="13"/>
  <c r="I142" i="13"/>
  <c r="J142" i="13"/>
  <c r="I143" i="13"/>
  <c r="J143" i="13"/>
  <c r="I144" i="13"/>
  <c r="J144" i="13"/>
  <c r="I145" i="13"/>
  <c r="J145" i="13"/>
  <c r="I146" i="13"/>
  <c r="J146" i="13"/>
  <c r="I147" i="13"/>
  <c r="J147" i="13"/>
  <c r="I148" i="13"/>
  <c r="J148" i="13"/>
  <c r="I149" i="13"/>
  <c r="J149" i="13"/>
  <c r="I150" i="13"/>
  <c r="J150" i="13"/>
  <c r="I151" i="13"/>
  <c r="J151" i="13"/>
  <c r="I152" i="13"/>
  <c r="J152" i="13"/>
  <c r="I153" i="13"/>
  <c r="J153" i="13"/>
  <c r="I154" i="13"/>
  <c r="J154" i="13"/>
  <c r="I155" i="13"/>
  <c r="J155" i="13"/>
  <c r="I156" i="13"/>
  <c r="J156" i="13"/>
  <c r="I157" i="13"/>
  <c r="J157" i="13"/>
  <c r="I158" i="13"/>
  <c r="J158" i="13"/>
  <c r="I159" i="13"/>
  <c r="J159" i="13"/>
  <c r="I160" i="13"/>
  <c r="J160" i="13"/>
  <c r="I161" i="13"/>
  <c r="J161" i="13"/>
  <c r="I162" i="13"/>
  <c r="J162" i="13"/>
  <c r="I163" i="13"/>
  <c r="J163" i="13"/>
  <c r="I164" i="13"/>
  <c r="J164" i="13"/>
  <c r="I165" i="13"/>
  <c r="J165" i="13"/>
  <c r="I166" i="13"/>
  <c r="J166" i="13"/>
  <c r="I167" i="13"/>
  <c r="J167" i="13"/>
  <c r="I168" i="13"/>
  <c r="J168" i="13"/>
  <c r="I169" i="13"/>
  <c r="J169" i="13"/>
  <c r="I170" i="13"/>
  <c r="J170" i="13"/>
  <c r="I171" i="13"/>
  <c r="J171" i="13"/>
  <c r="I172" i="13"/>
  <c r="J172" i="13"/>
  <c r="I173" i="13"/>
  <c r="J173" i="13"/>
  <c r="I174" i="13"/>
  <c r="J174" i="13"/>
  <c r="I175" i="13"/>
  <c r="J175" i="13"/>
  <c r="I176" i="13"/>
  <c r="J176" i="13"/>
  <c r="I177" i="13"/>
  <c r="J177" i="13"/>
  <c r="I178" i="13"/>
  <c r="J178" i="13"/>
  <c r="I179" i="13"/>
  <c r="J179" i="13"/>
  <c r="I180" i="13"/>
  <c r="J180" i="13"/>
  <c r="I181" i="13"/>
  <c r="J181" i="13"/>
  <c r="I182" i="13"/>
  <c r="J182" i="13"/>
  <c r="I183" i="13"/>
  <c r="J183" i="13"/>
  <c r="I184" i="13"/>
  <c r="J184" i="13"/>
  <c r="I185" i="13"/>
  <c r="J185" i="13"/>
  <c r="I186" i="13"/>
  <c r="J186" i="13"/>
  <c r="I187" i="13"/>
  <c r="J187" i="13"/>
  <c r="I188" i="13"/>
  <c r="J188" i="13"/>
  <c r="I189" i="13"/>
  <c r="J189" i="13"/>
  <c r="I190" i="13"/>
  <c r="J190" i="13"/>
  <c r="I191" i="13"/>
  <c r="J191" i="13"/>
  <c r="I192" i="13"/>
  <c r="J192" i="13"/>
  <c r="I193" i="13"/>
  <c r="J193" i="13"/>
  <c r="I194" i="13"/>
  <c r="J194" i="13"/>
  <c r="I195" i="13"/>
  <c r="J195" i="13"/>
  <c r="I196" i="13"/>
  <c r="J196" i="13"/>
  <c r="I197" i="13"/>
  <c r="J197" i="13"/>
  <c r="I198" i="13"/>
  <c r="J198" i="13"/>
  <c r="I199" i="13"/>
  <c r="J199" i="13"/>
  <c r="I200" i="13"/>
  <c r="J200" i="13"/>
  <c r="I201" i="13"/>
  <c r="J201" i="13"/>
  <c r="I202" i="13"/>
  <c r="J202" i="13"/>
  <c r="I203" i="13"/>
  <c r="J203" i="13"/>
  <c r="I204" i="13"/>
  <c r="J204" i="13"/>
  <c r="I205" i="13"/>
  <c r="J205" i="13"/>
  <c r="I206" i="13"/>
  <c r="J206" i="13"/>
  <c r="I207" i="13"/>
  <c r="J207" i="13"/>
  <c r="I208" i="13"/>
  <c r="J208" i="13"/>
  <c r="I209" i="13"/>
  <c r="J209" i="13"/>
  <c r="I210" i="13"/>
  <c r="J210" i="13"/>
  <c r="I211" i="13"/>
  <c r="J211" i="13"/>
  <c r="I212" i="13"/>
  <c r="J212" i="13"/>
  <c r="I213" i="13"/>
  <c r="J213" i="13"/>
  <c r="I214" i="13"/>
  <c r="J214" i="13"/>
  <c r="I215" i="13"/>
  <c r="J215" i="13"/>
  <c r="I216" i="13"/>
  <c r="J216" i="13"/>
  <c r="I217" i="13"/>
  <c r="J217" i="13"/>
  <c r="I218" i="13"/>
  <c r="J218" i="13"/>
  <c r="I219" i="13"/>
  <c r="J219" i="13"/>
  <c r="I220" i="13"/>
  <c r="J220" i="13"/>
  <c r="I221" i="13"/>
  <c r="J221" i="13"/>
  <c r="I222" i="13"/>
  <c r="J222" i="13"/>
  <c r="I223" i="13"/>
  <c r="J223" i="13"/>
  <c r="I224" i="13"/>
  <c r="J224" i="13"/>
  <c r="I225" i="13"/>
  <c r="J225" i="13"/>
  <c r="I226" i="13"/>
  <c r="J226" i="13"/>
  <c r="I227" i="13"/>
  <c r="J227" i="13"/>
  <c r="I228" i="13"/>
  <c r="J228" i="13"/>
  <c r="I229" i="13"/>
  <c r="J229" i="13"/>
  <c r="I230" i="13"/>
  <c r="J230" i="13"/>
  <c r="I231" i="13"/>
  <c r="J231" i="13"/>
  <c r="I232" i="13"/>
  <c r="J232" i="13"/>
  <c r="I233" i="13"/>
  <c r="J233" i="13"/>
  <c r="I234" i="13"/>
  <c r="J234" i="13"/>
  <c r="I235" i="13"/>
  <c r="J235" i="13"/>
  <c r="I236" i="13"/>
  <c r="J236" i="13"/>
  <c r="I237" i="13"/>
  <c r="J237" i="13"/>
  <c r="I238" i="13"/>
  <c r="J238" i="13"/>
  <c r="I239" i="13"/>
  <c r="J239" i="13"/>
  <c r="I240" i="13"/>
  <c r="J240" i="13"/>
  <c r="I241" i="13"/>
  <c r="J241" i="13"/>
  <c r="I242" i="13"/>
  <c r="J242" i="13"/>
  <c r="I243" i="13"/>
  <c r="J243" i="13"/>
  <c r="I244" i="13"/>
  <c r="J244" i="13"/>
  <c r="I245" i="13"/>
  <c r="J245" i="13"/>
  <c r="I246" i="13"/>
  <c r="J246" i="13"/>
  <c r="I247" i="13"/>
  <c r="J247" i="13"/>
  <c r="I248" i="13"/>
  <c r="J248" i="13"/>
  <c r="I249" i="13"/>
  <c r="J249" i="13"/>
  <c r="I250" i="13"/>
  <c r="J250" i="13"/>
  <c r="I251" i="13"/>
  <c r="J251" i="13"/>
  <c r="I252" i="13"/>
  <c r="J252" i="13"/>
  <c r="I253" i="13"/>
  <c r="J253" i="13"/>
  <c r="I254" i="13"/>
  <c r="J254" i="13"/>
  <c r="I255" i="13"/>
  <c r="J255" i="13"/>
  <c r="I256" i="13"/>
  <c r="J256" i="13"/>
  <c r="I257" i="13"/>
  <c r="J257" i="13"/>
  <c r="I258" i="13"/>
  <c r="J258" i="13"/>
  <c r="I259" i="13"/>
  <c r="J259" i="13"/>
  <c r="I260" i="13"/>
  <c r="J260" i="13"/>
  <c r="I261" i="13"/>
  <c r="J261" i="13"/>
  <c r="I262" i="13"/>
  <c r="J262" i="13"/>
  <c r="I263" i="13"/>
  <c r="J263" i="13"/>
  <c r="I264" i="13"/>
  <c r="J264" i="13"/>
  <c r="I265" i="13"/>
  <c r="J265" i="13"/>
  <c r="I266" i="13"/>
  <c r="J266" i="13"/>
  <c r="I267" i="13"/>
  <c r="J267" i="13"/>
  <c r="I268" i="13"/>
  <c r="J268" i="13"/>
  <c r="I269" i="13"/>
  <c r="J269" i="13"/>
  <c r="I270" i="13"/>
  <c r="J270" i="13"/>
  <c r="I271" i="13"/>
  <c r="J271" i="13"/>
  <c r="I272" i="13"/>
  <c r="J272" i="13"/>
  <c r="I273" i="13"/>
  <c r="J273" i="13"/>
  <c r="I274" i="13"/>
  <c r="J274" i="13"/>
  <c r="I275" i="13"/>
  <c r="J275" i="13"/>
  <c r="I276" i="13"/>
  <c r="J276" i="13"/>
  <c r="I277" i="13"/>
  <c r="J277" i="13"/>
  <c r="I278" i="13"/>
  <c r="J278" i="13"/>
  <c r="I279" i="13"/>
  <c r="J279" i="13"/>
  <c r="I280" i="13"/>
  <c r="J280" i="13"/>
  <c r="I281" i="13"/>
  <c r="J281" i="13"/>
  <c r="I282" i="13"/>
  <c r="J282" i="13"/>
  <c r="I283" i="13"/>
  <c r="J283" i="13"/>
  <c r="I284" i="13"/>
  <c r="J284" i="13"/>
  <c r="I285" i="13"/>
  <c r="J285" i="13"/>
  <c r="I286" i="13"/>
  <c r="J286" i="13"/>
  <c r="I287" i="13"/>
  <c r="J287" i="13"/>
  <c r="I288" i="13"/>
  <c r="J288" i="13"/>
  <c r="I289" i="13"/>
  <c r="J289" i="13"/>
  <c r="I290" i="13"/>
  <c r="J290" i="13"/>
  <c r="I291" i="13"/>
  <c r="J291" i="13"/>
  <c r="I292" i="13"/>
  <c r="J292" i="13"/>
  <c r="I293" i="13"/>
  <c r="J293" i="13"/>
  <c r="I294" i="13"/>
  <c r="J294" i="13"/>
  <c r="I295" i="13"/>
  <c r="J295" i="13"/>
  <c r="I296" i="13"/>
  <c r="J296" i="13"/>
  <c r="I297" i="13"/>
  <c r="J297" i="13"/>
  <c r="I298" i="13"/>
  <c r="J298" i="13"/>
  <c r="I299" i="13"/>
  <c r="J299" i="13"/>
  <c r="I300" i="13"/>
  <c r="J300" i="13"/>
  <c r="I301" i="13"/>
  <c r="J301" i="13"/>
  <c r="I302" i="13"/>
  <c r="J302" i="13"/>
  <c r="I303" i="13"/>
  <c r="J303" i="13"/>
  <c r="I304" i="13"/>
  <c r="J304" i="13"/>
  <c r="I305" i="13"/>
  <c r="J305" i="13"/>
  <c r="I306" i="13"/>
  <c r="J306" i="13"/>
  <c r="I307" i="13"/>
  <c r="J307" i="13"/>
  <c r="I308" i="13"/>
  <c r="J308" i="13"/>
  <c r="I309" i="13"/>
  <c r="J309" i="13"/>
  <c r="I310" i="13"/>
  <c r="J310" i="13"/>
  <c r="I311" i="13"/>
  <c r="J311" i="13"/>
  <c r="I312" i="13"/>
  <c r="J312" i="13"/>
  <c r="I313" i="13"/>
  <c r="J313" i="13"/>
  <c r="I314" i="13"/>
  <c r="J314" i="13"/>
  <c r="I315" i="13"/>
  <c r="J315" i="13"/>
  <c r="I316" i="13"/>
  <c r="J316" i="13"/>
  <c r="I317" i="13"/>
  <c r="J317" i="13"/>
  <c r="I318" i="13"/>
  <c r="J318" i="13"/>
  <c r="I319" i="13"/>
  <c r="J319" i="13"/>
  <c r="I320" i="13"/>
  <c r="J320" i="13"/>
  <c r="I321" i="13"/>
  <c r="J321" i="13"/>
  <c r="I322" i="13"/>
  <c r="J322" i="13"/>
  <c r="I323" i="13"/>
  <c r="J323" i="13"/>
  <c r="I324" i="13"/>
  <c r="J324" i="13"/>
  <c r="I325" i="13"/>
  <c r="J325" i="13"/>
  <c r="I326" i="13"/>
  <c r="J326" i="13"/>
  <c r="I327" i="13"/>
  <c r="J327" i="13"/>
  <c r="I328" i="13"/>
  <c r="J328" i="13"/>
  <c r="I329" i="13"/>
  <c r="J329" i="13"/>
  <c r="I330" i="13"/>
  <c r="J330" i="13"/>
  <c r="I331" i="13"/>
  <c r="J331" i="13"/>
  <c r="I332" i="13"/>
  <c r="J332" i="13"/>
  <c r="I333" i="13"/>
  <c r="J333" i="13"/>
  <c r="I334" i="13"/>
  <c r="J334" i="13"/>
  <c r="I335" i="13"/>
  <c r="J335" i="13"/>
  <c r="I336" i="13"/>
  <c r="J336" i="13"/>
  <c r="I337" i="13"/>
  <c r="J337" i="13"/>
  <c r="I338" i="13"/>
  <c r="J338" i="13"/>
  <c r="I339" i="13"/>
  <c r="J339" i="13"/>
  <c r="I340" i="13"/>
  <c r="J340" i="13"/>
  <c r="I341" i="13"/>
  <c r="J341" i="13"/>
  <c r="I342" i="13"/>
  <c r="J342" i="13"/>
  <c r="I343" i="13"/>
  <c r="J343" i="13"/>
  <c r="I344" i="13"/>
  <c r="J344" i="13"/>
  <c r="I345" i="13"/>
  <c r="J345" i="13"/>
  <c r="I346" i="13"/>
  <c r="J346" i="13"/>
  <c r="I347" i="13"/>
  <c r="J347" i="13"/>
  <c r="I348" i="13"/>
  <c r="J348" i="13"/>
  <c r="I349" i="13"/>
  <c r="J349" i="13"/>
  <c r="I350" i="13"/>
  <c r="J350" i="13"/>
  <c r="I351" i="13"/>
  <c r="J351" i="13"/>
  <c r="I352" i="13"/>
  <c r="J352" i="13"/>
  <c r="I353" i="13"/>
  <c r="J353" i="13"/>
  <c r="I354" i="13"/>
  <c r="J354" i="13"/>
  <c r="I355" i="13"/>
  <c r="J355" i="13"/>
  <c r="I356" i="13"/>
  <c r="J356" i="13"/>
  <c r="I357" i="13"/>
  <c r="J357" i="13"/>
  <c r="I358" i="13"/>
  <c r="J358" i="13"/>
  <c r="I359" i="13"/>
  <c r="J359" i="13"/>
  <c r="I360" i="13"/>
  <c r="J360" i="13"/>
  <c r="I361" i="13"/>
  <c r="J361" i="13"/>
  <c r="I362" i="13"/>
  <c r="J362" i="13"/>
  <c r="I363" i="13"/>
  <c r="J363" i="13"/>
  <c r="I364" i="13"/>
  <c r="J364" i="13"/>
  <c r="I365" i="13"/>
  <c r="J365" i="13"/>
  <c r="I366" i="13"/>
  <c r="J366" i="13"/>
  <c r="I367" i="13"/>
  <c r="J367" i="13"/>
  <c r="I368" i="13"/>
  <c r="J368" i="13"/>
  <c r="I369" i="13"/>
  <c r="J369" i="13"/>
  <c r="I370" i="13"/>
  <c r="J370" i="13"/>
  <c r="I371" i="13"/>
  <c r="J371" i="13"/>
  <c r="I372" i="13"/>
  <c r="J372" i="13"/>
  <c r="I373" i="13"/>
  <c r="J373" i="13"/>
  <c r="I374" i="13"/>
  <c r="J374" i="13"/>
  <c r="I375" i="13"/>
  <c r="J375" i="13"/>
  <c r="I376" i="13"/>
  <c r="J376" i="13"/>
  <c r="I377" i="13"/>
  <c r="J377" i="13"/>
  <c r="I378" i="13"/>
  <c r="J378" i="13"/>
  <c r="I379" i="13"/>
  <c r="J379" i="13"/>
  <c r="I380" i="13"/>
  <c r="J380" i="13"/>
  <c r="I381" i="13"/>
  <c r="J381" i="13"/>
  <c r="I382" i="13"/>
  <c r="J382" i="13"/>
  <c r="I383" i="13"/>
  <c r="J383" i="13"/>
  <c r="I384" i="13"/>
  <c r="J384" i="13"/>
  <c r="I385" i="13"/>
  <c r="J385" i="13"/>
  <c r="I386" i="13"/>
  <c r="J386" i="13"/>
  <c r="I387" i="13"/>
  <c r="J387" i="13"/>
  <c r="I388" i="13"/>
  <c r="J388" i="13"/>
  <c r="I389" i="13"/>
  <c r="J389" i="13"/>
  <c r="I390" i="13"/>
  <c r="J390" i="13"/>
  <c r="I391" i="13"/>
  <c r="J391" i="13"/>
  <c r="I392" i="13"/>
  <c r="J392" i="13"/>
  <c r="I393" i="13"/>
  <c r="J393" i="13"/>
  <c r="I394" i="13"/>
  <c r="J394" i="13"/>
  <c r="I395" i="13"/>
  <c r="J395" i="13"/>
  <c r="I396" i="13"/>
  <c r="J396" i="13"/>
  <c r="I397" i="13"/>
  <c r="J397" i="13"/>
  <c r="I398" i="13"/>
  <c r="J398" i="13"/>
  <c r="I399" i="13"/>
  <c r="J399" i="13"/>
  <c r="I400" i="13"/>
  <c r="J400" i="13"/>
  <c r="I401" i="13"/>
  <c r="J401" i="13"/>
  <c r="I402" i="13"/>
  <c r="J402" i="13"/>
  <c r="I403" i="13"/>
  <c r="J403" i="13"/>
  <c r="I404" i="13"/>
  <c r="J404" i="13"/>
  <c r="I405" i="13"/>
  <c r="J405" i="13"/>
  <c r="I406" i="13"/>
  <c r="J406" i="13"/>
  <c r="I407" i="13"/>
  <c r="J407" i="13"/>
  <c r="I408" i="13"/>
  <c r="J408" i="13"/>
  <c r="I409" i="13"/>
  <c r="J409" i="13"/>
  <c r="I410" i="13"/>
  <c r="J410" i="13"/>
  <c r="I411" i="13"/>
  <c r="J411" i="13"/>
  <c r="I412" i="13"/>
  <c r="J412" i="13"/>
  <c r="I413" i="13"/>
  <c r="J413" i="13"/>
  <c r="I414" i="13"/>
  <c r="J414" i="13"/>
  <c r="I415" i="13"/>
  <c r="J415" i="13"/>
  <c r="I416" i="13"/>
  <c r="J416" i="13"/>
  <c r="I417" i="13"/>
  <c r="J417" i="13"/>
  <c r="I418" i="13"/>
  <c r="J418" i="13"/>
  <c r="I419" i="13"/>
  <c r="J419" i="13"/>
  <c r="I420" i="13"/>
  <c r="J420" i="13"/>
  <c r="I421" i="13"/>
  <c r="J421" i="13"/>
  <c r="I422" i="13"/>
  <c r="J422" i="13"/>
  <c r="I423" i="13"/>
  <c r="J423" i="13"/>
  <c r="I424" i="13"/>
  <c r="J424" i="13"/>
  <c r="I425" i="13"/>
  <c r="J425" i="13"/>
  <c r="I426" i="13"/>
  <c r="J426" i="13"/>
  <c r="I427" i="13"/>
  <c r="J427" i="13"/>
  <c r="I428" i="13"/>
  <c r="J428" i="13"/>
  <c r="I429" i="13"/>
  <c r="J429" i="13"/>
  <c r="I430" i="13"/>
  <c r="J430" i="13"/>
  <c r="I431" i="13"/>
  <c r="J431" i="13"/>
  <c r="I432" i="13"/>
  <c r="J432" i="13"/>
  <c r="I433" i="13"/>
  <c r="J433" i="13"/>
  <c r="I434" i="13"/>
  <c r="J434" i="13"/>
  <c r="I435" i="13"/>
  <c r="J435" i="13"/>
  <c r="I436" i="13"/>
  <c r="J436" i="13"/>
  <c r="I437" i="13"/>
  <c r="J437" i="13"/>
  <c r="I438" i="13"/>
  <c r="J438" i="13"/>
  <c r="I439" i="13"/>
  <c r="J439" i="13"/>
  <c r="I440" i="13"/>
  <c r="J440" i="13"/>
  <c r="I441" i="13"/>
  <c r="J441" i="13"/>
  <c r="I442" i="13"/>
  <c r="J442" i="13"/>
  <c r="I443" i="13"/>
  <c r="J443" i="13"/>
  <c r="I444" i="13"/>
  <c r="J444" i="13"/>
  <c r="I445" i="13"/>
  <c r="J445" i="13"/>
  <c r="I446" i="13"/>
  <c r="J446" i="13"/>
  <c r="I447" i="13"/>
  <c r="J447" i="13"/>
  <c r="I448" i="13"/>
  <c r="J448" i="13"/>
  <c r="I449" i="13"/>
  <c r="J449" i="13"/>
  <c r="I450" i="13"/>
  <c r="J450" i="13"/>
  <c r="I451" i="13"/>
  <c r="J451" i="13"/>
  <c r="I452" i="13"/>
  <c r="J452" i="13"/>
  <c r="I453" i="13"/>
  <c r="J453" i="13"/>
  <c r="I454" i="13"/>
  <c r="J454" i="13"/>
  <c r="I455" i="13"/>
  <c r="J455" i="13"/>
  <c r="I456" i="13"/>
  <c r="J456" i="13"/>
  <c r="I457" i="13"/>
  <c r="J457" i="13"/>
  <c r="I458" i="13"/>
  <c r="J458" i="13"/>
  <c r="I459" i="13"/>
  <c r="J459" i="13"/>
  <c r="I460" i="13"/>
  <c r="J460" i="13"/>
  <c r="I461" i="13"/>
  <c r="J461" i="13"/>
  <c r="I462" i="13"/>
  <c r="J462" i="13"/>
  <c r="I463" i="13"/>
  <c r="J463" i="13"/>
  <c r="I464" i="13"/>
  <c r="J464" i="13"/>
  <c r="I465" i="13"/>
  <c r="J465" i="13"/>
  <c r="I466" i="13"/>
  <c r="J466" i="13"/>
  <c r="I467" i="13"/>
  <c r="J467" i="13"/>
  <c r="I468" i="13"/>
  <c r="J468" i="13"/>
  <c r="I469" i="13"/>
  <c r="J469" i="13"/>
  <c r="I470" i="13"/>
  <c r="J470" i="13"/>
  <c r="I471" i="13"/>
  <c r="J471" i="13"/>
  <c r="I472" i="13"/>
  <c r="J472" i="13"/>
  <c r="I473" i="13"/>
  <c r="J473" i="13"/>
  <c r="I474" i="13"/>
  <c r="J474" i="13"/>
  <c r="I475" i="13"/>
  <c r="J475" i="13"/>
  <c r="I476" i="13"/>
  <c r="J476" i="13"/>
  <c r="I477" i="13"/>
  <c r="J477" i="13"/>
  <c r="I478" i="13"/>
  <c r="J478" i="13"/>
  <c r="I479" i="13"/>
  <c r="J479" i="13"/>
  <c r="I480" i="13"/>
  <c r="J480" i="13"/>
  <c r="I481" i="13"/>
  <c r="J481" i="13"/>
  <c r="I482" i="13"/>
  <c r="J482" i="13"/>
  <c r="I483" i="13"/>
  <c r="J483" i="13"/>
  <c r="I484" i="13"/>
  <c r="J484" i="13"/>
  <c r="I485" i="13"/>
  <c r="J485" i="13"/>
  <c r="I486" i="13"/>
  <c r="J486" i="13"/>
  <c r="I487" i="13"/>
  <c r="J487" i="13"/>
  <c r="I488" i="13"/>
  <c r="J488" i="13"/>
  <c r="I489" i="13"/>
  <c r="J489" i="13"/>
  <c r="I490" i="13"/>
  <c r="J490" i="13"/>
  <c r="I491" i="13"/>
  <c r="J491" i="13"/>
  <c r="I492" i="13"/>
  <c r="J492" i="13"/>
  <c r="I493" i="13"/>
  <c r="J493" i="13"/>
  <c r="I494" i="13"/>
  <c r="J494" i="13"/>
  <c r="I495" i="13"/>
  <c r="J495" i="13"/>
  <c r="I496" i="13"/>
  <c r="J496" i="13"/>
  <c r="I497" i="13"/>
  <c r="J497" i="13"/>
  <c r="I498" i="13"/>
  <c r="J498" i="13"/>
  <c r="I499" i="13"/>
  <c r="J499" i="13"/>
  <c r="I500" i="13"/>
  <c r="J500" i="13"/>
  <c r="I501" i="13"/>
  <c r="J501" i="13"/>
  <c r="I502" i="13"/>
  <c r="J502" i="13"/>
  <c r="I503" i="13"/>
  <c r="J503" i="13"/>
  <c r="I504" i="13"/>
  <c r="J504" i="13"/>
  <c r="I505" i="13"/>
  <c r="J505" i="13"/>
  <c r="I506" i="13"/>
  <c r="J506" i="13"/>
  <c r="I507" i="13"/>
  <c r="J507" i="13"/>
  <c r="I508" i="13"/>
  <c r="J508" i="13"/>
  <c r="I509" i="13"/>
  <c r="J509" i="13"/>
  <c r="I510" i="13"/>
  <c r="J510" i="13"/>
  <c r="I511" i="13"/>
  <c r="J511" i="13"/>
  <c r="I512" i="13"/>
  <c r="J512" i="13"/>
  <c r="I513" i="13"/>
  <c r="J513" i="13"/>
  <c r="I514" i="13"/>
  <c r="J514" i="13"/>
  <c r="I515" i="13"/>
  <c r="J515" i="13"/>
  <c r="I516" i="13"/>
  <c r="J516" i="13"/>
  <c r="I517" i="13"/>
  <c r="J517" i="13"/>
  <c r="I518" i="13"/>
  <c r="J518" i="13"/>
  <c r="I519" i="13"/>
  <c r="J519" i="13"/>
  <c r="I520" i="13"/>
  <c r="J520" i="13"/>
  <c r="I521" i="13"/>
  <c r="J521" i="13"/>
  <c r="I522" i="13"/>
  <c r="J522" i="13"/>
  <c r="I523" i="13"/>
  <c r="J523" i="13"/>
  <c r="I524" i="13"/>
  <c r="J524" i="13"/>
  <c r="I525" i="13"/>
  <c r="J525" i="13"/>
  <c r="I526" i="13"/>
  <c r="J526" i="13"/>
  <c r="I527" i="13"/>
  <c r="J527" i="13"/>
  <c r="I528" i="13"/>
  <c r="J528" i="13"/>
  <c r="I529" i="13"/>
  <c r="J529" i="13"/>
  <c r="I530" i="13"/>
  <c r="J530" i="13"/>
  <c r="I531" i="13"/>
  <c r="J531" i="13"/>
  <c r="I532" i="13"/>
  <c r="J532" i="13"/>
  <c r="I533" i="13"/>
  <c r="J533" i="13"/>
  <c r="I534" i="13"/>
  <c r="J534" i="13"/>
  <c r="I535" i="13"/>
  <c r="J535" i="13"/>
  <c r="I536" i="13"/>
  <c r="J536" i="13"/>
  <c r="I537" i="13"/>
  <c r="J537" i="13"/>
  <c r="I538" i="13"/>
  <c r="J538" i="13"/>
  <c r="I539" i="13"/>
  <c r="J539" i="13"/>
  <c r="I540" i="13"/>
  <c r="J540" i="13"/>
  <c r="I541" i="13"/>
  <c r="J541" i="13"/>
  <c r="I542" i="13"/>
  <c r="J542" i="13"/>
  <c r="I543" i="13"/>
  <c r="J543" i="13"/>
  <c r="I544" i="13"/>
  <c r="J544" i="13"/>
  <c r="I545" i="13"/>
  <c r="J545" i="13"/>
  <c r="I546" i="13"/>
  <c r="J546" i="13"/>
  <c r="I547" i="13"/>
  <c r="J547" i="13"/>
  <c r="I548" i="13"/>
  <c r="J548" i="13"/>
  <c r="I549" i="13"/>
  <c r="J549" i="13"/>
  <c r="I550" i="13"/>
  <c r="J550" i="13"/>
  <c r="I551" i="13"/>
  <c r="J551" i="13"/>
  <c r="I552" i="13"/>
  <c r="J552" i="13"/>
  <c r="I553" i="13"/>
  <c r="J553" i="13"/>
  <c r="I554" i="13"/>
  <c r="J554" i="13"/>
  <c r="I555" i="13"/>
  <c r="J555" i="13"/>
  <c r="I556" i="13"/>
  <c r="J556" i="13"/>
  <c r="I557" i="13"/>
  <c r="J557" i="13"/>
  <c r="I558" i="13"/>
  <c r="J558" i="13"/>
  <c r="I559" i="13"/>
  <c r="J559" i="13"/>
  <c r="I560" i="13"/>
  <c r="J560" i="13"/>
  <c r="I561" i="13"/>
  <c r="J561" i="13"/>
  <c r="I562" i="13"/>
  <c r="J562" i="13"/>
  <c r="I563" i="13"/>
  <c r="J563" i="13"/>
  <c r="I564" i="13"/>
  <c r="J564" i="13"/>
  <c r="I565" i="13"/>
  <c r="J565" i="13"/>
  <c r="I566" i="13"/>
  <c r="J566" i="13"/>
  <c r="I567" i="13"/>
  <c r="J567" i="13"/>
  <c r="I568" i="13"/>
  <c r="J568" i="13"/>
  <c r="I569" i="13"/>
  <c r="J569" i="13"/>
  <c r="I570" i="13"/>
  <c r="J570" i="13"/>
  <c r="I571" i="13"/>
  <c r="J571" i="13"/>
  <c r="I572" i="13"/>
  <c r="J572" i="13"/>
  <c r="I573" i="13"/>
  <c r="J573" i="13"/>
  <c r="I574" i="13"/>
  <c r="J574" i="13"/>
  <c r="I575" i="13"/>
  <c r="J575" i="13"/>
  <c r="I576" i="13"/>
  <c r="J576" i="13"/>
  <c r="I577" i="13"/>
  <c r="J577" i="13"/>
  <c r="I578" i="13"/>
  <c r="J578" i="13"/>
  <c r="I579" i="13"/>
  <c r="J579" i="13"/>
  <c r="I580" i="13"/>
  <c r="J580" i="13"/>
  <c r="I581" i="13"/>
  <c r="J581" i="13"/>
  <c r="I582" i="13"/>
  <c r="J582" i="13"/>
  <c r="I583" i="13"/>
  <c r="J583" i="13"/>
  <c r="I584" i="13"/>
  <c r="J584" i="13"/>
  <c r="I585" i="13"/>
  <c r="J585" i="13"/>
  <c r="I586" i="13"/>
  <c r="J586" i="13"/>
  <c r="I587" i="13"/>
  <c r="J587" i="13"/>
  <c r="I588" i="13"/>
  <c r="J588" i="13"/>
  <c r="I589" i="13"/>
  <c r="J589" i="13"/>
  <c r="I590" i="13"/>
  <c r="J590" i="13"/>
  <c r="I591" i="13"/>
  <c r="J591" i="13"/>
  <c r="I592" i="13"/>
  <c r="J592" i="13"/>
  <c r="I593" i="13"/>
  <c r="J593" i="13"/>
  <c r="I594" i="13"/>
  <c r="J594" i="13"/>
  <c r="I595" i="13"/>
  <c r="J595" i="13"/>
  <c r="I596" i="13"/>
  <c r="J596" i="13"/>
  <c r="I597" i="13"/>
  <c r="J597" i="13"/>
  <c r="I598" i="13"/>
  <c r="J598" i="13"/>
  <c r="I599" i="13"/>
  <c r="J599" i="13"/>
  <c r="I600" i="13"/>
  <c r="J600" i="13"/>
  <c r="I601" i="13"/>
  <c r="J601" i="13"/>
  <c r="I602" i="13"/>
  <c r="J602" i="13"/>
  <c r="I603" i="13"/>
  <c r="J603" i="13"/>
  <c r="I604" i="13"/>
  <c r="J604" i="13"/>
  <c r="I605" i="13"/>
  <c r="J605" i="13"/>
  <c r="I606" i="13"/>
  <c r="J606" i="13"/>
  <c r="I607" i="13"/>
  <c r="J607" i="13"/>
  <c r="I608" i="13"/>
  <c r="J608" i="13"/>
  <c r="I609" i="13"/>
  <c r="J609" i="13"/>
  <c r="I610" i="13"/>
  <c r="J610" i="13"/>
  <c r="I611" i="13"/>
  <c r="J611" i="13"/>
  <c r="I612" i="13"/>
  <c r="J612" i="13"/>
  <c r="I613" i="13"/>
  <c r="J613" i="13"/>
  <c r="I614" i="13"/>
  <c r="J614" i="13"/>
  <c r="I615" i="13"/>
  <c r="J615" i="13"/>
  <c r="I616" i="13"/>
  <c r="J616" i="13"/>
  <c r="I617" i="13"/>
  <c r="J617" i="13"/>
  <c r="I618" i="13"/>
  <c r="J618" i="13"/>
  <c r="I619" i="13"/>
  <c r="J619" i="13"/>
  <c r="I620" i="13"/>
  <c r="J620" i="13"/>
  <c r="I621" i="13"/>
  <c r="J621" i="13"/>
  <c r="I622" i="13"/>
  <c r="J622" i="13"/>
  <c r="I623" i="13"/>
  <c r="J623" i="13"/>
  <c r="I624" i="13"/>
  <c r="J624" i="13"/>
  <c r="I625" i="13"/>
  <c r="J625" i="13"/>
  <c r="I626" i="13"/>
  <c r="J626" i="13"/>
  <c r="I627" i="13"/>
  <c r="J627" i="13"/>
  <c r="I628" i="13"/>
  <c r="J628" i="13"/>
  <c r="I629" i="13"/>
  <c r="J629" i="13"/>
  <c r="I630" i="13"/>
  <c r="J630" i="13"/>
  <c r="I631" i="13"/>
  <c r="J631" i="13"/>
  <c r="I632" i="13"/>
  <c r="J632" i="13"/>
  <c r="I633" i="13"/>
  <c r="J633" i="13"/>
  <c r="I634" i="13"/>
  <c r="J634" i="13"/>
  <c r="I635" i="13"/>
  <c r="J635" i="13"/>
  <c r="I636" i="13"/>
  <c r="J636" i="13"/>
  <c r="I637" i="13"/>
  <c r="J637" i="13"/>
  <c r="I638" i="13"/>
  <c r="J638" i="13"/>
  <c r="I639" i="13"/>
  <c r="J639" i="13"/>
  <c r="I640" i="13"/>
  <c r="J640" i="13"/>
  <c r="I641" i="13"/>
  <c r="J641" i="13"/>
  <c r="I642" i="13"/>
  <c r="J642" i="13"/>
  <c r="I643" i="13"/>
  <c r="J643" i="13"/>
  <c r="I644" i="13"/>
  <c r="J644" i="13"/>
  <c r="I645" i="13"/>
  <c r="J645" i="13"/>
  <c r="I646" i="13"/>
  <c r="J646" i="13"/>
  <c r="I647" i="13"/>
  <c r="J647" i="13"/>
  <c r="I648" i="13"/>
  <c r="J648" i="13"/>
  <c r="I649" i="13"/>
  <c r="J649" i="13"/>
  <c r="I650" i="13"/>
  <c r="J650" i="13"/>
  <c r="I651" i="13"/>
  <c r="J651" i="13"/>
  <c r="I652" i="13"/>
  <c r="J652" i="13"/>
  <c r="I653" i="13"/>
  <c r="J653" i="13"/>
  <c r="I654" i="13"/>
  <c r="J654" i="13"/>
  <c r="I655" i="13"/>
  <c r="J655" i="13"/>
  <c r="I656" i="13"/>
  <c r="J656" i="13"/>
  <c r="I657" i="13"/>
  <c r="J657" i="13"/>
  <c r="I658" i="13"/>
  <c r="J658" i="13"/>
  <c r="I659" i="13"/>
  <c r="J659" i="13"/>
  <c r="I660" i="13"/>
  <c r="J660" i="13"/>
  <c r="I661" i="13"/>
  <c r="J661" i="13"/>
  <c r="I662" i="13"/>
  <c r="J662" i="13"/>
  <c r="I663" i="13"/>
  <c r="J663" i="13"/>
  <c r="I664" i="13"/>
  <c r="J664" i="13"/>
  <c r="I665" i="13"/>
  <c r="J665" i="13"/>
  <c r="I666" i="13"/>
  <c r="J666" i="13"/>
  <c r="I667" i="13"/>
  <c r="J667" i="13"/>
  <c r="I668" i="13"/>
  <c r="J668" i="13"/>
  <c r="I669" i="13"/>
  <c r="J669" i="13"/>
  <c r="I670" i="13"/>
  <c r="J670" i="13"/>
  <c r="I671" i="13"/>
  <c r="J671" i="13"/>
  <c r="I672" i="13"/>
  <c r="J672" i="13"/>
  <c r="I673" i="13"/>
  <c r="J673" i="13"/>
  <c r="I674" i="13"/>
  <c r="J674" i="13"/>
  <c r="I675" i="13"/>
  <c r="J675" i="13"/>
  <c r="I676" i="13"/>
  <c r="J676" i="13"/>
  <c r="I677" i="13"/>
  <c r="J677" i="13"/>
  <c r="I678" i="13"/>
  <c r="J678" i="13"/>
  <c r="I679" i="13"/>
  <c r="J679" i="13"/>
  <c r="I680" i="13"/>
  <c r="J680" i="13"/>
  <c r="I681" i="13"/>
  <c r="J681" i="13"/>
  <c r="I682" i="13"/>
  <c r="J682" i="13"/>
  <c r="I683" i="13"/>
  <c r="J683" i="13"/>
  <c r="I684" i="13"/>
  <c r="J684" i="13"/>
  <c r="I685" i="13"/>
  <c r="J685" i="13"/>
  <c r="I686" i="13"/>
  <c r="J686" i="13"/>
  <c r="I687" i="13"/>
  <c r="J687" i="13"/>
  <c r="I688" i="13"/>
  <c r="J688" i="13"/>
  <c r="I689" i="13"/>
  <c r="J689" i="13"/>
  <c r="I690" i="13"/>
  <c r="J690" i="13"/>
  <c r="I691" i="13"/>
  <c r="J691" i="13"/>
  <c r="I692" i="13"/>
  <c r="J692" i="13"/>
  <c r="I693" i="13"/>
  <c r="J693" i="13"/>
  <c r="I694" i="13"/>
  <c r="J694" i="13"/>
  <c r="I695" i="13"/>
  <c r="J695" i="13"/>
  <c r="I696" i="13"/>
  <c r="J696" i="13"/>
  <c r="I697" i="13"/>
  <c r="J697" i="13"/>
  <c r="I698" i="13"/>
  <c r="J698" i="13"/>
  <c r="I699" i="13"/>
  <c r="J699" i="13"/>
  <c r="I700" i="13"/>
  <c r="J700" i="13"/>
  <c r="I701" i="13"/>
  <c r="J701" i="13"/>
  <c r="I702" i="13"/>
  <c r="J702" i="13"/>
  <c r="I703" i="13"/>
  <c r="J703" i="13"/>
  <c r="I704" i="13"/>
  <c r="J704" i="13"/>
  <c r="I705" i="13"/>
  <c r="J705" i="13"/>
  <c r="I706" i="13"/>
  <c r="J706" i="13"/>
  <c r="I707" i="13"/>
  <c r="J707" i="13"/>
  <c r="I708" i="13"/>
  <c r="J708" i="13"/>
  <c r="I709" i="13"/>
  <c r="J709" i="13"/>
  <c r="I710" i="13"/>
  <c r="J710" i="13"/>
  <c r="I711" i="13"/>
  <c r="J711" i="13"/>
  <c r="I712" i="13"/>
  <c r="J712" i="13"/>
  <c r="I713" i="13"/>
  <c r="J713" i="13"/>
  <c r="I714" i="13"/>
  <c r="J714" i="13"/>
  <c r="I715" i="13"/>
  <c r="J715" i="13"/>
  <c r="I716" i="13"/>
  <c r="J716" i="13"/>
  <c r="I717" i="13"/>
  <c r="J717" i="13"/>
  <c r="I718" i="13"/>
  <c r="J718" i="13"/>
  <c r="I719" i="13"/>
  <c r="J719" i="13"/>
  <c r="I720" i="13"/>
  <c r="J720" i="13"/>
  <c r="I721" i="13"/>
  <c r="J721" i="13"/>
  <c r="I722" i="13"/>
  <c r="J722" i="13"/>
  <c r="I723" i="13"/>
  <c r="J723" i="13"/>
  <c r="I724" i="13"/>
  <c r="J724" i="13"/>
  <c r="I725" i="13"/>
  <c r="J725" i="13"/>
  <c r="I726" i="13"/>
  <c r="J726" i="13"/>
  <c r="I727" i="13"/>
  <c r="J727" i="13"/>
  <c r="I728" i="13"/>
  <c r="J728" i="13"/>
  <c r="I729" i="13"/>
  <c r="J729" i="13"/>
  <c r="I730" i="13"/>
  <c r="J730" i="13"/>
  <c r="I731" i="13"/>
  <c r="J731" i="13"/>
  <c r="I732" i="13"/>
  <c r="J732" i="13"/>
  <c r="I733" i="13"/>
  <c r="J733" i="13"/>
  <c r="I734" i="13"/>
  <c r="J734" i="13"/>
  <c r="I735" i="13"/>
  <c r="J735" i="13"/>
  <c r="I736" i="13"/>
  <c r="J736" i="13"/>
  <c r="I737" i="13"/>
  <c r="J737" i="13"/>
  <c r="I738" i="13"/>
  <c r="J738" i="13"/>
  <c r="I739" i="13"/>
  <c r="J739" i="13"/>
  <c r="I740" i="13"/>
  <c r="J740" i="13"/>
  <c r="I741" i="13"/>
  <c r="J741" i="13"/>
  <c r="I742" i="13"/>
  <c r="J742" i="13"/>
  <c r="I743" i="13"/>
  <c r="J743" i="13"/>
  <c r="I744" i="13"/>
  <c r="J744" i="13"/>
  <c r="I745" i="13"/>
  <c r="J745" i="13"/>
  <c r="I746" i="13"/>
  <c r="J746" i="13"/>
  <c r="I747" i="13"/>
  <c r="J747" i="13"/>
  <c r="I748" i="13"/>
  <c r="J748" i="13"/>
  <c r="I749" i="13"/>
  <c r="J749" i="13"/>
  <c r="I750" i="13"/>
  <c r="J750" i="13"/>
  <c r="I751" i="13"/>
  <c r="J751" i="13"/>
  <c r="I752" i="13"/>
  <c r="J752" i="13"/>
  <c r="I753" i="13"/>
  <c r="J753" i="13"/>
  <c r="I754" i="13"/>
  <c r="J754" i="13"/>
  <c r="I755" i="13"/>
  <c r="J755" i="13"/>
  <c r="I756" i="13"/>
  <c r="J756" i="13"/>
  <c r="I757" i="13"/>
  <c r="J757" i="13"/>
  <c r="I758" i="13"/>
  <c r="J758" i="13"/>
  <c r="I759" i="13"/>
  <c r="J759" i="13"/>
  <c r="I760" i="13"/>
  <c r="J760" i="13"/>
  <c r="I761" i="13"/>
  <c r="J761" i="13"/>
  <c r="I762" i="13"/>
  <c r="J762" i="13"/>
  <c r="I763" i="13"/>
  <c r="J763" i="13"/>
  <c r="I764" i="13"/>
  <c r="J764" i="13"/>
  <c r="I765" i="13"/>
  <c r="J765" i="13"/>
  <c r="I766" i="13"/>
  <c r="J766" i="13"/>
  <c r="I767" i="13"/>
  <c r="J767" i="13"/>
  <c r="I768" i="13"/>
  <c r="J768" i="13"/>
  <c r="I769" i="13"/>
  <c r="J769" i="13"/>
  <c r="I770" i="13"/>
  <c r="J770" i="13"/>
  <c r="I771" i="13"/>
  <c r="J771" i="13"/>
  <c r="I772" i="13"/>
  <c r="J772" i="13"/>
  <c r="I773" i="13"/>
  <c r="J773" i="13"/>
  <c r="I774" i="13"/>
  <c r="J774" i="13"/>
  <c r="I775" i="13"/>
  <c r="J775" i="13"/>
  <c r="I776" i="13"/>
  <c r="J776" i="13"/>
  <c r="I777" i="13"/>
  <c r="J777" i="13"/>
  <c r="I778" i="13"/>
  <c r="J778" i="13"/>
  <c r="I779" i="13"/>
  <c r="J779" i="13"/>
  <c r="I780" i="13"/>
  <c r="J780" i="13"/>
  <c r="I781" i="13"/>
  <c r="J781" i="13"/>
  <c r="I782" i="13"/>
  <c r="J782" i="13"/>
  <c r="I783" i="13"/>
  <c r="J783" i="13"/>
  <c r="I784" i="13"/>
  <c r="J784" i="13"/>
  <c r="I785" i="13"/>
  <c r="J785" i="13"/>
  <c r="I786" i="13"/>
  <c r="J786" i="13"/>
  <c r="I787" i="13"/>
  <c r="J787" i="13"/>
  <c r="I788" i="13"/>
  <c r="J788" i="13"/>
  <c r="I789" i="13"/>
  <c r="J789" i="13"/>
  <c r="I790" i="13"/>
  <c r="J790" i="13"/>
  <c r="I791" i="13"/>
  <c r="J791" i="13"/>
  <c r="I792" i="13"/>
  <c r="J792" i="13"/>
  <c r="I793" i="13"/>
  <c r="J793" i="13"/>
  <c r="I794" i="13"/>
  <c r="J794" i="13"/>
  <c r="I795" i="13"/>
  <c r="J795" i="13"/>
  <c r="I796" i="13"/>
  <c r="J796" i="13"/>
  <c r="I797" i="13"/>
  <c r="J797" i="13"/>
  <c r="I798" i="13"/>
  <c r="J798" i="13"/>
  <c r="I799" i="13"/>
  <c r="J799" i="13"/>
  <c r="I800" i="13"/>
  <c r="J800" i="13"/>
  <c r="I801" i="13"/>
  <c r="J801" i="13"/>
  <c r="I802" i="13"/>
  <c r="J802" i="13"/>
  <c r="I803" i="13"/>
  <c r="J803" i="13"/>
  <c r="I804" i="13"/>
  <c r="J804" i="13"/>
  <c r="I805" i="13"/>
  <c r="J805" i="13"/>
  <c r="I806" i="13"/>
  <c r="J806" i="13"/>
  <c r="I807" i="13"/>
  <c r="J807" i="13"/>
  <c r="I808" i="13"/>
  <c r="J808" i="13"/>
  <c r="I809" i="13"/>
  <c r="J809" i="13"/>
  <c r="I810" i="13"/>
  <c r="J810" i="13"/>
  <c r="I811" i="13"/>
  <c r="J811" i="13"/>
  <c r="I812" i="13"/>
  <c r="J812" i="13"/>
  <c r="I813" i="13"/>
  <c r="J813" i="13"/>
  <c r="I814" i="13"/>
  <c r="J814" i="13"/>
  <c r="I815" i="13"/>
  <c r="J815" i="13"/>
  <c r="I816" i="13"/>
  <c r="J816" i="13"/>
  <c r="I817" i="13"/>
  <c r="J817" i="13"/>
  <c r="I818" i="13"/>
  <c r="J818" i="13"/>
  <c r="I819" i="13"/>
  <c r="J819" i="13"/>
  <c r="I820" i="13"/>
  <c r="J820" i="13"/>
  <c r="I821" i="13"/>
  <c r="J821" i="13"/>
  <c r="I822" i="13"/>
  <c r="J822" i="13"/>
  <c r="I823" i="13"/>
  <c r="J823" i="13"/>
  <c r="I824" i="13"/>
  <c r="J824" i="13"/>
  <c r="I825" i="13"/>
  <c r="J825" i="13"/>
  <c r="I826" i="13"/>
  <c r="J826" i="13"/>
  <c r="I827" i="13"/>
  <c r="J827" i="13"/>
  <c r="I828" i="13"/>
  <c r="J828" i="13"/>
  <c r="I829" i="13"/>
  <c r="J829" i="13"/>
  <c r="I830" i="13"/>
  <c r="J830" i="13"/>
  <c r="I831" i="13"/>
  <c r="J831" i="13"/>
  <c r="I832" i="13"/>
  <c r="J832" i="13"/>
  <c r="I833" i="13"/>
  <c r="J833" i="13"/>
  <c r="I834" i="13"/>
  <c r="J834" i="13"/>
  <c r="I835" i="13"/>
  <c r="J835" i="13"/>
  <c r="I836" i="13"/>
  <c r="J836" i="13"/>
  <c r="I837" i="13"/>
  <c r="J837" i="13"/>
  <c r="I838" i="13"/>
  <c r="J838" i="13"/>
  <c r="I839" i="13"/>
  <c r="J839" i="13"/>
  <c r="I840" i="13"/>
  <c r="J840" i="13"/>
  <c r="I841" i="13"/>
  <c r="J841" i="13"/>
  <c r="I842" i="13"/>
  <c r="J842" i="13"/>
  <c r="I843" i="13"/>
  <c r="J843" i="13"/>
  <c r="I844" i="13"/>
  <c r="J844" i="13"/>
  <c r="I845" i="13"/>
  <c r="J845" i="13"/>
  <c r="I846" i="13"/>
  <c r="J846" i="13"/>
  <c r="I847" i="13"/>
  <c r="J847" i="13"/>
  <c r="I848" i="13"/>
  <c r="J848" i="13"/>
  <c r="I849" i="13"/>
  <c r="J849" i="13"/>
  <c r="I850" i="13"/>
  <c r="J850" i="13"/>
  <c r="I851" i="13"/>
  <c r="J851" i="13"/>
  <c r="I852" i="13"/>
  <c r="J852" i="13"/>
  <c r="I853" i="13"/>
  <c r="J853" i="13"/>
  <c r="I854" i="13"/>
  <c r="J854" i="13"/>
  <c r="I855" i="13"/>
  <c r="J855" i="13"/>
  <c r="I856" i="13"/>
  <c r="J856" i="13"/>
  <c r="I857" i="13"/>
  <c r="J857" i="13"/>
  <c r="I858" i="13"/>
  <c r="J858" i="13"/>
  <c r="I859" i="13"/>
  <c r="J859" i="13"/>
  <c r="I860" i="13"/>
  <c r="J860" i="13"/>
  <c r="I861" i="13"/>
  <c r="J861" i="13"/>
  <c r="I862" i="13"/>
  <c r="J862" i="13"/>
  <c r="I863" i="13"/>
  <c r="J863" i="13"/>
  <c r="I864" i="13"/>
  <c r="J864" i="13"/>
  <c r="I865" i="13"/>
  <c r="J865" i="13"/>
  <c r="I866" i="13"/>
  <c r="J866" i="13"/>
  <c r="I867" i="13"/>
  <c r="J867" i="13"/>
  <c r="I868" i="13"/>
  <c r="J868" i="13"/>
  <c r="I869" i="13"/>
  <c r="J869" i="13"/>
  <c r="I870" i="13"/>
  <c r="J870" i="13"/>
  <c r="I871" i="13"/>
  <c r="J871" i="13"/>
  <c r="I872" i="13"/>
  <c r="J872" i="13"/>
  <c r="I873" i="13"/>
  <c r="J873" i="13"/>
  <c r="I874" i="13"/>
  <c r="J874" i="13"/>
  <c r="I875" i="13"/>
  <c r="J875" i="13"/>
  <c r="I876" i="13"/>
  <c r="J876" i="13"/>
  <c r="I877" i="13"/>
  <c r="J877" i="13"/>
  <c r="I878" i="13"/>
  <c r="J878" i="13"/>
  <c r="I879" i="13"/>
  <c r="J879" i="13"/>
  <c r="I880" i="13"/>
  <c r="J880" i="13"/>
  <c r="I881" i="13"/>
  <c r="J881" i="13"/>
  <c r="I882" i="13"/>
  <c r="J882" i="13"/>
  <c r="I883" i="13"/>
  <c r="J883" i="13"/>
  <c r="I884" i="13"/>
  <c r="J884" i="13"/>
  <c r="I885" i="13"/>
  <c r="J885" i="13"/>
  <c r="I886" i="13"/>
  <c r="J886" i="13"/>
  <c r="I887" i="13"/>
  <c r="J887" i="13"/>
  <c r="I888" i="13"/>
  <c r="J888" i="13"/>
  <c r="I889" i="13"/>
  <c r="J889" i="13"/>
  <c r="I890" i="13"/>
  <c r="J890" i="13"/>
  <c r="I891" i="13"/>
  <c r="J891" i="13"/>
  <c r="I892" i="13"/>
  <c r="J892" i="13"/>
  <c r="I893" i="13"/>
  <c r="J893" i="13"/>
  <c r="I894" i="13"/>
  <c r="J894" i="13"/>
  <c r="I895" i="13"/>
  <c r="J895" i="13"/>
  <c r="I896" i="13"/>
  <c r="J896" i="13"/>
  <c r="I897" i="13"/>
  <c r="J897" i="13"/>
  <c r="I898" i="13"/>
  <c r="J898" i="13"/>
  <c r="I899" i="13"/>
  <c r="J899" i="13"/>
  <c r="I900" i="13"/>
  <c r="J900" i="13"/>
  <c r="I901" i="13"/>
  <c r="J901" i="13"/>
  <c r="I902" i="13"/>
  <c r="J902" i="13"/>
  <c r="I903" i="13"/>
  <c r="J903" i="13"/>
  <c r="I904" i="13"/>
  <c r="J904" i="13"/>
  <c r="I905" i="13"/>
  <c r="J905" i="13"/>
  <c r="I906" i="13"/>
  <c r="J906" i="13"/>
  <c r="I907" i="13"/>
  <c r="J907" i="13"/>
  <c r="I908" i="13"/>
  <c r="J908" i="13"/>
  <c r="I909" i="13"/>
  <c r="J909" i="13"/>
  <c r="I910" i="13"/>
  <c r="J910" i="13"/>
  <c r="I911" i="13"/>
  <c r="J911" i="13"/>
  <c r="I912" i="13"/>
  <c r="J912" i="13"/>
  <c r="I913" i="13"/>
  <c r="J913" i="13"/>
  <c r="I914" i="13"/>
  <c r="J914" i="13"/>
  <c r="I915" i="13"/>
  <c r="J915" i="13"/>
  <c r="I916" i="13"/>
  <c r="J916" i="13"/>
  <c r="I917" i="13"/>
  <c r="J917" i="13"/>
  <c r="I918" i="13"/>
  <c r="J918" i="13"/>
  <c r="I919" i="13"/>
  <c r="J919" i="13"/>
  <c r="I920" i="13"/>
  <c r="J920" i="13"/>
  <c r="I921" i="13"/>
  <c r="J921" i="13"/>
  <c r="I922" i="13"/>
  <c r="J922" i="13"/>
  <c r="I923" i="13"/>
  <c r="J923" i="13"/>
  <c r="I924" i="13"/>
  <c r="J924" i="13"/>
  <c r="I925" i="13"/>
  <c r="J925" i="13"/>
  <c r="I926" i="13"/>
  <c r="J926" i="13"/>
  <c r="I927" i="13"/>
  <c r="J927" i="13"/>
  <c r="I928" i="13"/>
  <c r="J928" i="13"/>
  <c r="I929" i="13"/>
  <c r="J929" i="13"/>
  <c r="I930" i="13"/>
  <c r="J930" i="13"/>
  <c r="I931" i="13"/>
  <c r="J931" i="13"/>
  <c r="I932" i="13"/>
  <c r="J932" i="13"/>
  <c r="I933" i="13"/>
  <c r="J933" i="13"/>
  <c r="I934" i="13"/>
  <c r="J934" i="13"/>
  <c r="I935" i="13"/>
  <c r="J935" i="13"/>
  <c r="I936" i="13"/>
  <c r="J936" i="13"/>
  <c r="I937" i="13"/>
  <c r="J937" i="13"/>
  <c r="I938" i="13"/>
  <c r="J938" i="13"/>
  <c r="I939" i="13"/>
  <c r="J939" i="13"/>
  <c r="I940" i="13"/>
  <c r="J940" i="13"/>
  <c r="I941" i="13"/>
  <c r="J941" i="13"/>
  <c r="I942" i="13"/>
  <c r="J942" i="13"/>
  <c r="I943" i="13"/>
  <c r="J943" i="13"/>
  <c r="I944" i="13"/>
  <c r="J944" i="13"/>
  <c r="I945" i="13"/>
  <c r="J945" i="13"/>
  <c r="I946" i="13"/>
  <c r="J946" i="13"/>
  <c r="I947" i="13"/>
  <c r="J947" i="13"/>
  <c r="I948" i="13"/>
  <c r="J948" i="13"/>
  <c r="I949" i="13"/>
  <c r="J949" i="13"/>
  <c r="I950" i="13"/>
  <c r="J950" i="13"/>
  <c r="I951" i="13"/>
  <c r="J951" i="13"/>
  <c r="I952" i="13"/>
  <c r="J952" i="13"/>
  <c r="I953" i="13"/>
  <c r="J953" i="13"/>
  <c r="I954" i="13"/>
  <c r="J954" i="13"/>
  <c r="I955" i="13"/>
  <c r="J955" i="13"/>
  <c r="I956" i="13"/>
  <c r="J956" i="13"/>
  <c r="I957" i="13"/>
  <c r="J957" i="13"/>
  <c r="I958" i="13"/>
  <c r="J958" i="13"/>
  <c r="I959" i="13"/>
  <c r="J959" i="13"/>
  <c r="I960" i="13"/>
  <c r="J960" i="13"/>
  <c r="I961" i="13"/>
  <c r="J961" i="13"/>
  <c r="I962" i="13"/>
  <c r="J962" i="13"/>
  <c r="I963" i="13"/>
  <c r="J963" i="13"/>
  <c r="I964" i="13"/>
  <c r="J964" i="13"/>
  <c r="I965" i="13"/>
  <c r="J965" i="13"/>
  <c r="I966" i="13"/>
  <c r="J966" i="13"/>
  <c r="I967" i="13"/>
  <c r="J967" i="13"/>
  <c r="I968" i="13"/>
  <c r="J968" i="13"/>
  <c r="I969" i="13"/>
  <c r="J969" i="13"/>
  <c r="I970" i="13"/>
  <c r="J970" i="13"/>
  <c r="I971" i="13"/>
  <c r="J971" i="13"/>
  <c r="I972" i="13"/>
  <c r="J972" i="13"/>
  <c r="I973" i="13"/>
  <c r="J973" i="13"/>
  <c r="I974" i="13"/>
  <c r="J974" i="13"/>
  <c r="I975" i="13"/>
  <c r="J975" i="13"/>
  <c r="I976" i="13"/>
  <c r="J976" i="13"/>
  <c r="I977" i="13"/>
  <c r="J977" i="13"/>
  <c r="I978" i="13"/>
  <c r="J978" i="13"/>
  <c r="I979" i="13"/>
  <c r="J979" i="13"/>
  <c r="I980" i="13"/>
  <c r="J980" i="13"/>
  <c r="I981" i="13"/>
  <c r="J981" i="13"/>
  <c r="I982" i="13"/>
  <c r="J982" i="13"/>
  <c r="I983" i="13"/>
  <c r="J983" i="13"/>
  <c r="I984" i="13"/>
  <c r="J984" i="13"/>
  <c r="I985" i="13"/>
  <c r="J985" i="13"/>
  <c r="I986" i="13"/>
  <c r="J986" i="13"/>
  <c r="I987" i="13"/>
  <c r="J987" i="13"/>
  <c r="I988" i="13"/>
  <c r="J988" i="13"/>
  <c r="I989" i="13"/>
  <c r="J989" i="13"/>
  <c r="I990" i="13"/>
  <c r="J990" i="13"/>
  <c r="I991" i="13"/>
  <c r="J991" i="13"/>
  <c r="I992" i="13"/>
  <c r="J992" i="13"/>
  <c r="I993" i="13"/>
  <c r="J993" i="13"/>
  <c r="I994" i="13"/>
  <c r="J994" i="13"/>
  <c r="I995" i="13"/>
  <c r="J995" i="13"/>
  <c r="I996" i="13"/>
  <c r="J996" i="13"/>
  <c r="I997" i="13"/>
  <c r="J997" i="13"/>
  <c r="I998" i="13"/>
  <c r="J998" i="13"/>
  <c r="I999" i="13"/>
  <c r="J999" i="13"/>
  <c r="I1000" i="13"/>
  <c r="J1000" i="13"/>
  <c r="I1001" i="13"/>
  <c r="J1001" i="13"/>
  <c r="I1002" i="13"/>
  <c r="J1002" i="13"/>
  <c r="I1003" i="13"/>
  <c r="J1003" i="13"/>
  <c r="I1004" i="13"/>
  <c r="J1004" i="13"/>
  <c r="I1005" i="13"/>
  <c r="J1005" i="13"/>
  <c r="I1006" i="13"/>
  <c r="J1006" i="13"/>
  <c r="I1007" i="13"/>
  <c r="J1007" i="13"/>
  <c r="I1008" i="13"/>
  <c r="J1008" i="13"/>
  <c r="I1009" i="13"/>
  <c r="J1009" i="13"/>
  <c r="I1010" i="13"/>
  <c r="J1010" i="13"/>
  <c r="I1011" i="13"/>
  <c r="J1011" i="13"/>
  <c r="I1012" i="13"/>
  <c r="J1012" i="13"/>
  <c r="I1013" i="13"/>
  <c r="J1013" i="13"/>
  <c r="I1014" i="13"/>
  <c r="J1014" i="13"/>
  <c r="I1015" i="13"/>
  <c r="J1015" i="13"/>
  <c r="I1016" i="13"/>
  <c r="J1016" i="13"/>
  <c r="I1017" i="13"/>
  <c r="J1017" i="13"/>
  <c r="I1018" i="13"/>
  <c r="J1018" i="13"/>
  <c r="I1019" i="13"/>
  <c r="J1019" i="13"/>
  <c r="I1020" i="13"/>
  <c r="J1020" i="13"/>
  <c r="I1021" i="13"/>
  <c r="J1021" i="13"/>
  <c r="I1022" i="13"/>
  <c r="J1022" i="13"/>
  <c r="I1023" i="13"/>
  <c r="J1023" i="13"/>
  <c r="I1024" i="13"/>
  <c r="J1024" i="13"/>
  <c r="I1025" i="13"/>
  <c r="J1025" i="13"/>
  <c r="I1026" i="13"/>
  <c r="J1026" i="13"/>
  <c r="I1027" i="13"/>
  <c r="J1027" i="13"/>
  <c r="I1028" i="13"/>
  <c r="J1028" i="13"/>
  <c r="I1029" i="13"/>
  <c r="J1029" i="13"/>
  <c r="I1030" i="13"/>
  <c r="J1030" i="13"/>
  <c r="I1031" i="13"/>
  <c r="J1031" i="13"/>
  <c r="I1032" i="13"/>
  <c r="J1032" i="13"/>
  <c r="I1033" i="13"/>
  <c r="J1033" i="13"/>
  <c r="I1034" i="13"/>
  <c r="J1034" i="13"/>
  <c r="I1035" i="13"/>
  <c r="J1035" i="13"/>
  <c r="I1036" i="13"/>
  <c r="J1036" i="13"/>
  <c r="I1037" i="13"/>
  <c r="J1037" i="13"/>
  <c r="I1038" i="13"/>
  <c r="J1038" i="13"/>
  <c r="I1039" i="13"/>
  <c r="J1039" i="13"/>
  <c r="I1040" i="13"/>
  <c r="J1040" i="13"/>
  <c r="I1041" i="13"/>
  <c r="J1041" i="13"/>
  <c r="I1042" i="13"/>
  <c r="J1042" i="13"/>
  <c r="I1043" i="13"/>
  <c r="J1043" i="13"/>
  <c r="I1044" i="13"/>
  <c r="J1044" i="13"/>
  <c r="I1045" i="13"/>
  <c r="J1045" i="13"/>
  <c r="I1046" i="13"/>
  <c r="J1046" i="13"/>
  <c r="I1047" i="13"/>
  <c r="J1047" i="13"/>
  <c r="I1048" i="13"/>
  <c r="J1048" i="13"/>
  <c r="I1049" i="13"/>
  <c r="J1049" i="13"/>
  <c r="I1050" i="13"/>
  <c r="J1050" i="13"/>
  <c r="I1051" i="13"/>
  <c r="J1051" i="13"/>
  <c r="I1052" i="13"/>
  <c r="J1052" i="13"/>
  <c r="I1053" i="13"/>
  <c r="J1053" i="13"/>
  <c r="I1054" i="13"/>
  <c r="J1054" i="13"/>
  <c r="I1055" i="13"/>
  <c r="J1055" i="13"/>
  <c r="I1056" i="13"/>
  <c r="J1056" i="13"/>
  <c r="I1057" i="13"/>
  <c r="J1057" i="13"/>
  <c r="I1058" i="13"/>
  <c r="J1058" i="13"/>
  <c r="I1059" i="13"/>
  <c r="J1059" i="13"/>
  <c r="I1060" i="13"/>
  <c r="J1060" i="13"/>
  <c r="I1061" i="13"/>
  <c r="J1061" i="13"/>
  <c r="I1062" i="13"/>
  <c r="J1062" i="13"/>
  <c r="I1063" i="13"/>
  <c r="J1063" i="13"/>
  <c r="I1064" i="13"/>
  <c r="J1064" i="13"/>
  <c r="I1065" i="13"/>
  <c r="J1065" i="13"/>
  <c r="I1066" i="13"/>
  <c r="J1066" i="13"/>
  <c r="I1067" i="13"/>
  <c r="J1067" i="13"/>
  <c r="I1068" i="13"/>
  <c r="J1068" i="13"/>
  <c r="I1069" i="13"/>
  <c r="J1069" i="13"/>
  <c r="I1070" i="13"/>
  <c r="J1070" i="13"/>
  <c r="I1071" i="13"/>
  <c r="J1071" i="13"/>
  <c r="I1072" i="13"/>
  <c r="J1072" i="13"/>
  <c r="I1073" i="13"/>
  <c r="J1073" i="13"/>
  <c r="I1074" i="13"/>
  <c r="J1074" i="13"/>
  <c r="I1075" i="13"/>
  <c r="J1075" i="13"/>
  <c r="I1076" i="13"/>
  <c r="J1076" i="13"/>
  <c r="I1077" i="13"/>
  <c r="J1077" i="13"/>
  <c r="I1078" i="13"/>
  <c r="J1078" i="13"/>
  <c r="I1079" i="13"/>
  <c r="J1079" i="13"/>
  <c r="I4" i="14"/>
  <c r="J4" i="14"/>
  <c r="I5" i="14"/>
  <c r="J5" i="14"/>
  <c r="I6" i="14"/>
  <c r="J6" i="14"/>
  <c r="I7" i="14"/>
  <c r="J7" i="14"/>
  <c r="I8" i="14"/>
  <c r="J8" i="14"/>
  <c r="I9" i="14"/>
  <c r="J9" i="14"/>
  <c r="I10" i="14"/>
  <c r="J10" i="14"/>
  <c r="I11" i="14"/>
  <c r="J11" i="14"/>
  <c r="I12" i="14"/>
  <c r="J12" i="14"/>
  <c r="I13" i="14"/>
  <c r="J13" i="14"/>
  <c r="I14" i="14"/>
  <c r="J14" i="14"/>
  <c r="I15" i="14"/>
  <c r="J15" i="14"/>
  <c r="I16" i="14"/>
  <c r="J16" i="14"/>
  <c r="I17" i="14"/>
  <c r="J17" i="14"/>
  <c r="I18" i="14"/>
  <c r="J18" i="14"/>
  <c r="I19" i="14"/>
  <c r="J19" i="14"/>
  <c r="I20" i="14"/>
  <c r="J20" i="14"/>
  <c r="I21" i="14"/>
  <c r="J21" i="14"/>
  <c r="I22" i="14"/>
  <c r="J22" i="14"/>
  <c r="I23" i="14"/>
  <c r="J23" i="14"/>
  <c r="I24" i="14"/>
  <c r="J24" i="14"/>
  <c r="I25" i="14"/>
  <c r="J25" i="14"/>
  <c r="I26" i="14"/>
  <c r="J26" i="14"/>
  <c r="I27" i="14"/>
  <c r="J27" i="14"/>
  <c r="I28" i="14"/>
  <c r="J28" i="14"/>
  <c r="I29" i="14"/>
  <c r="J29" i="14"/>
  <c r="I30" i="14"/>
  <c r="J30" i="14"/>
  <c r="I31" i="14"/>
  <c r="J31" i="14"/>
  <c r="I32" i="14"/>
  <c r="J32" i="14"/>
  <c r="I33" i="14"/>
  <c r="J33" i="14"/>
  <c r="I34" i="14"/>
  <c r="J34" i="14"/>
  <c r="I35" i="14"/>
  <c r="J35" i="14"/>
  <c r="I36" i="14"/>
  <c r="J36" i="14"/>
  <c r="I37" i="14"/>
  <c r="J37" i="14"/>
  <c r="I38" i="14"/>
  <c r="J38" i="14"/>
  <c r="I39" i="14"/>
  <c r="J39" i="14"/>
  <c r="I40" i="14"/>
  <c r="J40" i="14"/>
  <c r="I41" i="14"/>
  <c r="J41" i="14"/>
  <c r="I42" i="14"/>
  <c r="J42" i="14"/>
  <c r="I43" i="14"/>
  <c r="J43" i="14"/>
  <c r="I44" i="14"/>
  <c r="J44" i="14"/>
  <c r="I45" i="14"/>
  <c r="J45" i="14"/>
  <c r="I46" i="14"/>
  <c r="J46" i="14"/>
  <c r="I47" i="14"/>
  <c r="J47" i="14"/>
  <c r="I48" i="14"/>
  <c r="J48" i="14"/>
  <c r="I49" i="14"/>
  <c r="J49" i="14"/>
  <c r="I50" i="14"/>
  <c r="J50" i="14"/>
  <c r="I51" i="14"/>
  <c r="J51" i="14"/>
  <c r="I52" i="14"/>
  <c r="J52" i="14"/>
  <c r="I53" i="14"/>
  <c r="J53" i="14"/>
  <c r="I54" i="14"/>
  <c r="J54" i="14"/>
  <c r="I55" i="14"/>
  <c r="J55" i="14"/>
  <c r="I56" i="14"/>
  <c r="J56" i="14"/>
  <c r="I57" i="14"/>
  <c r="J57" i="14"/>
  <c r="I58" i="14"/>
  <c r="J58" i="14"/>
  <c r="I59" i="14"/>
  <c r="J59" i="14"/>
  <c r="I60" i="14"/>
  <c r="J60" i="14"/>
  <c r="I61" i="14"/>
  <c r="J61" i="14"/>
  <c r="I62" i="14"/>
  <c r="J62" i="14"/>
  <c r="I63" i="14"/>
  <c r="J63" i="14"/>
  <c r="I64" i="14"/>
  <c r="J64" i="14"/>
  <c r="I65" i="14"/>
  <c r="J65" i="14"/>
  <c r="I66" i="14"/>
  <c r="J66" i="14"/>
  <c r="I67" i="14"/>
  <c r="J67" i="14"/>
  <c r="I68" i="14"/>
  <c r="J68" i="14"/>
  <c r="I69" i="14"/>
  <c r="J69" i="14"/>
  <c r="I70" i="14"/>
  <c r="J70" i="14"/>
  <c r="I71" i="14"/>
  <c r="J71" i="14"/>
  <c r="I72" i="14"/>
  <c r="J72" i="14"/>
  <c r="I73" i="14"/>
  <c r="J73" i="14"/>
  <c r="I74" i="14"/>
  <c r="J74" i="14"/>
  <c r="I75" i="14"/>
  <c r="J75" i="14"/>
  <c r="I76" i="14"/>
  <c r="J76" i="14"/>
  <c r="I77" i="14"/>
  <c r="J77" i="14"/>
  <c r="I78" i="14"/>
  <c r="J78" i="14"/>
  <c r="I79" i="14"/>
  <c r="J79" i="14"/>
  <c r="I80" i="14"/>
  <c r="J80" i="14"/>
  <c r="I81" i="14"/>
  <c r="J81" i="14"/>
  <c r="I82" i="14"/>
  <c r="J82" i="14"/>
  <c r="I83" i="14"/>
  <c r="J83" i="14"/>
  <c r="I84" i="14"/>
  <c r="J84" i="14"/>
  <c r="I85" i="14"/>
  <c r="J85" i="14"/>
  <c r="I86" i="14"/>
  <c r="J86" i="14"/>
  <c r="I87" i="14"/>
  <c r="J87" i="14"/>
  <c r="I88" i="14"/>
  <c r="J88" i="14"/>
  <c r="I89" i="14"/>
  <c r="J89" i="14"/>
  <c r="I90" i="14"/>
  <c r="J90" i="14"/>
  <c r="I91" i="14"/>
  <c r="J91" i="14"/>
  <c r="I92" i="14"/>
  <c r="J92" i="14"/>
  <c r="I93" i="14"/>
  <c r="J93" i="14"/>
  <c r="I94" i="14"/>
  <c r="J94" i="14"/>
  <c r="I95" i="14"/>
  <c r="J95" i="14"/>
  <c r="I96" i="14"/>
  <c r="J96" i="14"/>
  <c r="I97" i="14"/>
  <c r="J97" i="14"/>
  <c r="I98" i="14"/>
  <c r="J98" i="14"/>
  <c r="I99" i="14"/>
  <c r="J99" i="14"/>
  <c r="I100" i="14"/>
  <c r="J100" i="14"/>
  <c r="I101" i="14"/>
  <c r="J101" i="14"/>
  <c r="I102" i="14"/>
  <c r="J102" i="14"/>
  <c r="I103" i="14"/>
  <c r="J103" i="14"/>
  <c r="I104" i="14"/>
  <c r="J104" i="14"/>
  <c r="I105" i="14"/>
  <c r="J105" i="14"/>
  <c r="I106" i="14"/>
  <c r="J106" i="14"/>
  <c r="I107" i="14"/>
  <c r="J107" i="14"/>
  <c r="I108" i="14"/>
  <c r="J108" i="14"/>
  <c r="I109" i="14"/>
  <c r="J109" i="14"/>
  <c r="I110" i="14"/>
  <c r="J110" i="14"/>
  <c r="I111" i="14"/>
  <c r="J111" i="14"/>
  <c r="I112" i="14"/>
  <c r="J112" i="14"/>
  <c r="I113" i="14"/>
  <c r="J113" i="14"/>
  <c r="I114" i="14"/>
  <c r="J114" i="14"/>
  <c r="I115" i="14"/>
  <c r="J115" i="14"/>
  <c r="I116" i="14"/>
  <c r="J116" i="14"/>
  <c r="I117" i="14"/>
  <c r="J117" i="14"/>
  <c r="I118" i="14"/>
  <c r="J118" i="14"/>
  <c r="I119" i="14"/>
  <c r="J119" i="14"/>
  <c r="I120" i="14"/>
  <c r="J120" i="14"/>
  <c r="I121" i="14"/>
  <c r="J121" i="14"/>
  <c r="I122" i="14"/>
  <c r="J122" i="14"/>
  <c r="I123" i="14"/>
  <c r="J123" i="14"/>
  <c r="I124" i="14"/>
  <c r="J124" i="14"/>
  <c r="I125" i="14"/>
  <c r="J125" i="14"/>
  <c r="I126" i="14"/>
  <c r="J126" i="14"/>
  <c r="I127" i="14"/>
  <c r="J127" i="14"/>
  <c r="I128" i="14"/>
  <c r="J128" i="14"/>
  <c r="I129" i="14"/>
  <c r="J129" i="14"/>
  <c r="I130" i="14"/>
  <c r="J130" i="14"/>
  <c r="I131" i="14"/>
  <c r="J131" i="14"/>
  <c r="I132" i="14"/>
  <c r="J132" i="14"/>
  <c r="I133" i="14"/>
  <c r="J133" i="14"/>
  <c r="I134" i="14"/>
  <c r="J134" i="14"/>
  <c r="I135" i="14"/>
  <c r="J135" i="14"/>
  <c r="I136" i="14"/>
  <c r="J136" i="14"/>
  <c r="I137" i="14"/>
  <c r="J137" i="14"/>
  <c r="I138" i="14"/>
  <c r="J138" i="14"/>
  <c r="I139" i="14"/>
  <c r="J139" i="14"/>
  <c r="I140" i="14"/>
  <c r="J140" i="14"/>
  <c r="I141" i="14"/>
  <c r="J141" i="14"/>
  <c r="I142" i="14"/>
  <c r="J142" i="14"/>
  <c r="I143" i="14"/>
  <c r="J143" i="14"/>
  <c r="I144" i="14"/>
  <c r="J144" i="14"/>
  <c r="I145" i="14"/>
  <c r="J145" i="14"/>
  <c r="I146" i="14"/>
  <c r="J146" i="14"/>
  <c r="I147" i="14"/>
  <c r="J147" i="14"/>
  <c r="I148" i="14"/>
  <c r="J148" i="14"/>
  <c r="I149" i="14"/>
  <c r="J149" i="14"/>
  <c r="I150" i="14"/>
  <c r="J150" i="14"/>
  <c r="I151" i="14"/>
  <c r="J151" i="14"/>
  <c r="I152" i="14"/>
  <c r="J152" i="14"/>
  <c r="I153" i="14"/>
  <c r="J153" i="14"/>
  <c r="I154" i="14"/>
  <c r="J154" i="14"/>
  <c r="I155" i="14"/>
  <c r="J155" i="14"/>
  <c r="I156" i="14"/>
  <c r="J156" i="14"/>
  <c r="I157" i="14"/>
  <c r="J157" i="14"/>
  <c r="I158" i="14"/>
  <c r="J158" i="14"/>
  <c r="I159" i="14"/>
  <c r="J159" i="14"/>
  <c r="I160" i="14"/>
  <c r="J160" i="14"/>
  <c r="I161" i="14"/>
  <c r="J161" i="14"/>
  <c r="I162" i="14"/>
  <c r="J162" i="14"/>
  <c r="I163" i="14"/>
  <c r="J163" i="14"/>
  <c r="I164" i="14"/>
  <c r="J164" i="14"/>
  <c r="I165" i="14"/>
  <c r="J165" i="14"/>
  <c r="I166" i="14"/>
  <c r="J166" i="14"/>
  <c r="I167" i="14"/>
  <c r="J167" i="14"/>
  <c r="I168" i="14"/>
  <c r="J168" i="14"/>
  <c r="I169" i="14"/>
  <c r="J169" i="14"/>
  <c r="I170" i="14"/>
  <c r="J170" i="14"/>
  <c r="I171" i="14"/>
  <c r="J171" i="14"/>
  <c r="I172" i="14"/>
  <c r="J172" i="14"/>
  <c r="I173" i="14"/>
  <c r="J173" i="14"/>
  <c r="I174" i="14"/>
  <c r="J174" i="14"/>
  <c r="I175" i="14"/>
  <c r="J175" i="14"/>
  <c r="I176" i="14"/>
  <c r="J176" i="14"/>
  <c r="I177" i="14"/>
  <c r="J177" i="14"/>
  <c r="I178" i="14"/>
  <c r="J178" i="14"/>
  <c r="I179" i="14"/>
  <c r="J179" i="14"/>
  <c r="I180" i="14"/>
  <c r="J180" i="14"/>
  <c r="I181" i="14"/>
  <c r="J181" i="14"/>
  <c r="I182" i="14"/>
  <c r="J182" i="14"/>
  <c r="I183" i="14"/>
  <c r="J183" i="14"/>
  <c r="I184" i="14"/>
  <c r="J184" i="14"/>
  <c r="I185" i="14"/>
  <c r="J185" i="14"/>
  <c r="I186" i="14"/>
  <c r="J186" i="14"/>
  <c r="I187" i="14"/>
  <c r="J187" i="14"/>
  <c r="I188" i="14"/>
  <c r="J188" i="14"/>
  <c r="I189" i="14"/>
  <c r="J189" i="14"/>
  <c r="I190" i="14"/>
  <c r="J190" i="14"/>
  <c r="I191" i="14"/>
  <c r="J191" i="14"/>
  <c r="I192" i="14"/>
  <c r="J192" i="14"/>
  <c r="I193" i="14"/>
  <c r="J193" i="14"/>
  <c r="I194" i="14"/>
  <c r="J194" i="14"/>
  <c r="I195" i="14"/>
  <c r="J195" i="14"/>
  <c r="I196" i="14"/>
  <c r="J196" i="14"/>
  <c r="I197" i="14"/>
  <c r="J197" i="14"/>
  <c r="I198" i="14"/>
  <c r="J198" i="14"/>
  <c r="I199" i="14"/>
  <c r="J199" i="14"/>
  <c r="I200" i="14"/>
  <c r="J200" i="14"/>
  <c r="I201" i="14"/>
  <c r="J201" i="14"/>
  <c r="I202" i="14"/>
  <c r="J202" i="14"/>
  <c r="I203" i="14"/>
  <c r="J203" i="14"/>
  <c r="I204" i="14"/>
  <c r="J204" i="14"/>
  <c r="I205" i="14"/>
  <c r="J205" i="14"/>
  <c r="I206" i="14"/>
  <c r="J206" i="14"/>
  <c r="I207" i="14"/>
  <c r="J207" i="14"/>
  <c r="I208" i="14"/>
  <c r="J208" i="14"/>
  <c r="I209" i="14"/>
  <c r="J209" i="14"/>
  <c r="I210" i="14"/>
  <c r="J210" i="14"/>
  <c r="I211" i="14"/>
  <c r="J211" i="14"/>
  <c r="I212" i="14"/>
  <c r="J212" i="14"/>
  <c r="I213" i="14"/>
  <c r="J213" i="14"/>
  <c r="I214" i="14"/>
  <c r="J214" i="14"/>
  <c r="I215" i="14"/>
  <c r="J215" i="14"/>
  <c r="I216" i="14"/>
  <c r="J216" i="14"/>
  <c r="I217" i="14"/>
  <c r="J217" i="14"/>
  <c r="I218" i="14"/>
  <c r="J218" i="14"/>
  <c r="I219" i="14"/>
  <c r="J219" i="14"/>
  <c r="I220" i="14"/>
  <c r="J220" i="14"/>
  <c r="I221" i="14"/>
  <c r="J221" i="14"/>
  <c r="I222" i="14"/>
  <c r="J222" i="14"/>
  <c r="I223" i="14"/>
  <c r="J223" i="14"/>
  <c r="I224" i="14"/>
  <c r="J224" i="14"/>
  <c r="I225" i="14"/>
  <c r="J225" i="14"/>
  <c r="I226" i="14"/>
  <c r="J226" i="14"/>
  <c r="I227" i="14"/>
  <c r="J227" i="14"/>
  <c r="I228" i="14"/>
  <c r="J228" i="14"/>
  <c r="I229" i="14"/>
  <c r="J229" i="14"/>
  <c r="I230" i="14"/>
  <c r="J230" i="14"/>
  <c r="I231" i="14"/>
  <c r="J231" i="14"/>
  <c r="I232" i="14"/>
  <c r="J232" i="14"/>
  <c r="I233" i="14"/>
  <c r="J233" i="14"/>
  <c r="I234" i="14"/>
  <c r="J234" i="14"/>
  <c r="I235" i="14"/>
  <c r="J235" i="14"/>
  <c r="I236" i="14"/>
  <c r="J236" i="14"/>
  <c r="I237" i="14"/>
  <c r="J237" i="14"/>
  <c r="I238" i="14"/>
  <c r="J238" i="14"/>
  <c r="I239" i="14"/>
  <c r="J239" i="14"/>
  <c r="I240" i="14"/>
  <c r="J240" i="14"/>
  <c r="I241" i="14"/>
  <c r="J241" i="14"/>
  <c r="I242" i="14"/>
  <c r="J242" i="14"/>
  <c r="I243" i="14"/>
  <c r="J243" i="14"/>
  <c r="I244" i="14"/>
  <c r="J244" i="14"/>
  <c r="I245" i="14"/>
  <c r="J245" i="14"/>
  <c r="I246" i="14"/>
  <c r="J246" i="14"/>
  <c r="I247" i="14"/>
  <c r="J247" i="14"/>
  <c r="I248" i="14"/>
  <c r="J248" i="14"/>
  <c r="I249" i="14"/>
  <c r="J249" i="14"/>
  <c r="I250" i="14"/>
  <c r="J250" i="14"/>
  <c r="I251" i="14"/>
  <c r="J251" i="14"/>
  <c r="I252" i="14"/>
  <c r="J252" i="14"/>
  <c r="I253" i="14"/>
  <c r="J253" i="14"/>
  <c r="I254" i="14"/>
  <c r="J254" i="14"/>
  <c r="I255" i="14"/>
  <c r="J255" i="14"/>
  <c r="I256" i="14"/>
  <c r="J256" i="14"/>
  <c r="I257" i="14"/>
  <c r="J257" i="14"/>
  <c r="I258" i="14"/>
  <c r="J258" i="14"/>
  <c r="I259" i="14"/>
  <c r="J259" i="14"/>
  <c r="I260" i="14"/>
  <c r="J260" i="14"/>
  <c r="I261" i="14"/>
  <c r="J261" i="14"/>
  <c r="I262" i="14"/>
  <c r="J262" i="14"/>
  <c r="I263" i="14"/>
  <c r="J263" i="14"/>
  <c r="I264" i="14"/>
  <c r="J264" i="14"/>
  <c r="I265" i="14"/>
  <c r="J265" i="14"/>
  <c r="I266" i="14"/>
  <c r="J266" i="14"/>
  <c r="I267" i="14"/>
  <c r="J267" i="14"/>
  <c r="I268" i="14"/>
  <c r="J268" i="14"/>
  <c r="I269" i="14"/>
  <c r="J269" i="14"/>
  <c r="I270" i="14"/>
  <c r="J270" i="14"/>
  <c r="I271" i="14"/>
  <c r="J271" i="14"/>
  <c r="I272" i="14"/>
  <c r="J272" i="14"/>
  <c r="I273" i="14"/>
  <c r="J273" i="14"/>
  <c r="I274" i="14"/>
  <c r="J274" i="14"/>
  <c r="I275" i="14"/>
  <c r="J275" i="14"/>
  <c r="I276" i="14"/>
  <c r="J276" i="14"/>
  <c r="I277" i="14"/>
  <c r="J277" i="14"/>
  <c r="I278" i="14"/>
  <c r="J278" i="14"/>
  <c r="I279" i="14"/>
  <c r="J279" i="14"/>
  <c r="I280" i="14"/>
  <c r="J280" i="14"/>
  <c r="I281" i="14"/>
  <c r="J281" i="14"/>
  <c r="I282" i="14"/>
  <c r="J282" i="14"/>
  <c r="I283" i="14"/>
  <c r="J283" i="14"/>
  <c r="I284" i="14"/>
  <c r="J284" i="14"/>
  <c r="I285" i="14"/>
  <c r="J285" i="14"/>
  <c r="I286" i="14"/>
  <c r="J286" i="14"/>
  <c r="I287" i="14"/>
  <c r="J287" i="14"/>
  <c r="I288" i="14"/>
  <c r="J288" i="14"/>
  <c r="I289" i="14"/>
  <c r="J289" i="14"/>
  <c r="I290" i="14"/>
  <c r="J290" i="14"/>
  <c r="I291" i="14"/>
  <c r="J291" i="14"/>
  <c r="I292" i="14"/>
  <c r="J292" i="14"/>
  <c r="I293" i="14"/>
  <c r="J293" i="14"/>
  <c r="I294" i="14"/>
  <c r="J294" i="14"/>
  <c r="I295" i="14"/>
  <c r="J295" i="14"/>
  <c r="I296" i="14"/>
  <c r="J296" i="14"/>
  <c r="I297" i="14"/>
  <c r="J297" i="14"/>
  <c r="I298" i="14"/>
  <c r="J298" i="14"/>
  <c r="I299" i="14"/>
  <c r="J299" i="14"/>
  <c r="I300" i="14"/>
  <c r="J300" i="14"/>
  <c r="I301" i="14"/>
  <c r="J301" i="14"/>
  <c r="I302" i="14"/>
  <c r="J302" i="14"/>
  <c r="I303" i="14"/>
  <c r="J303" i="14"/>
  <c r="I304" i="14"/>
  <c r="J304" i="14"/>
  <c r="I305" i="14"/>
  <c r="J305" i="14"/>
  <c r="I306" i="14"/>
  <c r="J306" i="14"/>
  <c r="I307" i="14"/>
  <c r="J307" i="14"/>
  <c r="I308" i="14"/>
  <c r="J308" i="14"/>
  <c r="I309" i="14"/>
  <c r="J309" i="14"/>
  <c r="I310" i="14"/>
  <c r="J310" i="14"/>
  <c r="I311" i="14"/>
  <c r="J311" i="14"/>
  <c r="I312" i="14"/>
  <c r="J312" i="14"/>
  <c r="I313" i="14"/>
  <c r="J313" i="14"/>
  <c r="I314" i="14"/>
  <c r="J314" i="14"/>
  <c r="I315" i="14"/>
  <c r="J315" i="14"/>
  <c r="I316" i="14"/>
  <c r="J316" i="14"/>
  <c r="I317" i="14"/>
  <c r="J317" i="14"/>
  <c r="I318" i="14"/>
  <c r="J318" i="14"/>
  <c r="I319" i="14"/>
  <c r="J319" i="14"/>
  <c r="I320" i="14"/>
  <c r="J320" i="14"/>
  <c r="I321" i="14"/>
  <c r="J321" i="14"/>
  <c r="I322" i="14"/>
  <c r="J322" i="14"/>
  <c r="I323" i="14"/>
  <c r="J323" i="14"/>
  <c r="I324" i="14"/>
  <c r="J324" i="14"/>
  <c r="I325" i="14"/>
  <c r="J325" i="14"/>
  <c r="I326" i="14"/>
  <c r="J326" i="14"/>
  <c r="I327" i="14"/>
  <c r="J327" i="14"/>
  <c r="I328" i="14"/>
  <c r="J328" i="14"/>
  <c r="I329" i="14"/>
  <c r="J329" i="14"/>
  <c r="I330" i="14"/>
  <c r="J330" i="14"/>
  <c r="I331" i="14"/>
  <c r="J331" i="14"/>
  <c r="I332" i="14"/>
  <c r="J332" i="14"/>
  <c r="I333" i="14"/>
  <c r="J333" i="14"/>
  <c r="I334" i="14"/>
  <c r="J334" i="14"/>
  <c r="I335" i="14"/>
  <c r="J335" i="14"/>
  <c r="I336" i="14"/>
  <c r="J336" i="14"/>
  <c r="I337" i="14"/>
  <c r="J337" i="14"/>
  <c r="I338" i="14"/>
  <c r="J338" i="14"/>
  <c r="I339" i="14"/>
  <c r="J339" i="14"/>
  <c r="I340" i="14"/>
  <c r="J340" i="14"/>
  <c r="I341" i="14"/>
  <c r="J341" i="14"/>
  <c r="I342" i="14"/>
  <c r="J342" i="14"/>
  <c r="I343" i="14"/>
  <c r="J343" i="14"/>
  <c r="I344" i="14"/>
  <c r="J344" i="14"/>
  <c r="I345" i="14"/>
  <c r="J345" i="14"/>
  <c r="I346" i="14"/>
  <c r="J346" i="14"/>
  <c r="I347" i="14"/>
  <c r="J347" i="14"/>
  <c r="I348" i="14"/>
  <c r="J348" i="14"/>
  <c r="I349" i="14"/>
  <c r="J349" i="14"/>
  <c r="I350" i="14"/>
  <c r="J350" i="14"/>
  <c r="I351" i="14"/>
  <c r="J351" i="14"/>
  <c r="I352" i="14"/>
  <c r="J352" i="14"/>
  <c r="I353" i="14"/>
  <c r="J353" i="14"/>
  <c r="I354" i="14"/>
  <c r="J354" i="14"/>
  <c r="I355" i="14"/>
  <c r="J355" i="14"/>
  <c r="I356" i="14"/>
  <c r="J356" i="14"/>
  <c r="I357" i="14"/>
  <c r="J357" i="14"/>
  <c r="I358" i="14"/>
  <c r="J358" i="14"/>
  <c r="I359" i="14"/>
  <c r="J359" i="14"/>
  <c r="I360" i="14"/>
  <c r="J360" i="14"/>
  <c r="I361" i="14"/>
  <c r="J361" i="14"/>
  <c r="I362" i="14"/>
  <c r="J362" i="14"/>
  <c r="I363" i="14"/>
  <c r="J363" i="14"/>
  <c r="I364" i="14"/>
  <c r="J364" i="14"/>
  <c r="I365" i="14"/>
  <c r="J365" i="14"/>
  <c r="I366" i="14"/>
  <c r="J366" i="14"/>
  <c r="I367" i="14"/>
  <c r="J367" i="14"/>
  <c r="I368" i="14"/>
  <c r="J368" i="14"/>
  <c r="I369" i="14"/>
  <c r="J369" i="14"/>
  <c r="I370" i="14"/>
  <c r="J370" i="14"/>
  <c r="I371" i="14"/>
  <c r="J371" i="14"/>
  <c r="I372" i="14"/>
  <c r="J372" i="14"/>
  <c r="I373" i="14"/>
  <c r="J373" i="14"/>
  <c r="I374" i="14"/>
  <c r="J374" i="14"/>
  <c r="I375" i="14"/>
  <c r="J375" i="14"/>
  <c r="I376" i="14"/>
  <c r="J376" i="14"/>
  <c r="I377" i="14"/>
  <c r="J377" i="14"/>
  <c r="I378" i="14"/>
  <c r="J378" i="14"/>
  <c r="I379" i="14"/>
  <c r="J379" i="14"/>
  <c r="I380" i="14"/>
  <c r="J380" i="14"/>
  <c r="I381" i="14"/>
  <c r="J381" i="14"/>
  <c r="I382" i="14"/>
  <c r="J382" i="14"/>
  <c r="I383" i="14"/>
  <c r="J383" i="14"/>
  <c r="I384" i="14"/>
  <c r="J384" i="14"/>
  <c r="I385" i="14"/>
  <c r="J385" i="14"/>
  <c r="I386" i="14"/>
  <c r="J386" i="14"/>
  <c r="I387" i="14"/>
  <c r="J387" i="14"/>
  <c r="I388" i="14"/>
  <c r="J388" i="14"/>
  <c r="I389" i="14"/>
  <c r="J389" i="14"/>
  <c r="I390" i="14"/>
  <c r="J390" i="14"/>
  <c r="I391" i="14"/>
  <c r="J391" i="14"/>
  <c r="I392" i="14"/>
  <c r="J392" i="14"/>
  <c r="I393" i="14"/>
  <c r="J393" i="14"/>
  <c r="I394" i="14"/>
  <c r="J394" i="14"/>
  <c r="I395" i="14"/>
  <c r="J395" i="14"/>
  <c r="I396" i="14"/>
  <c r="J396" i="14"/>
  <c r="I397" i="14"/>
  <c r="J397" i="14"/>
  <c r="I398" i="14"/>
  <c r="J398" i="14"/>
  <c r="I399" i="14"/>
  <c r="J399" i="14"/>
  <c r="I400" i="14"/>
  <c r="J400" i="14"/>
  <c r="I401" i="14"/>
  <c r="J401" i="14"/>
  <c r="I402" i="14"/>
  <c r="J402" i="14"/>
  <c r="I403" i="14"/>
  <c r="J403" i="14"/>
  <c r="I404" i="14"/>
  <c r="J404" i="14"/>
  <c r="I405" i="14"/>
  <c r="J405" i="14"/>
  <c r="I406" i="14"/>
  <c r="J406" i="14"/>
  <c r="I407" i="14"/>
  <c r="J407" i="14"/>
  <c r="I408" i="14"/>
  <c r="J408" i="14"/>
  <c r="I409" i="14"/>
  <c r="J409" i="14"/>
  <c r="I410" i="14"/>
  <c r="J410" i="14"/>
  <c r="I411" i="14"/>
  <c r="J411" i="14"/>
  <c r="I412" i="14"/>
  <c r="J412" i="14"/>
  <c r="I413" i="14"/>
  <c r="J413" i="14"/>
  <c r="I414" i="14"/>
  <c r="J414" i="14"/>
  <c r="I415" i="14"/>
  <c r="J415" i="14"/>
  <c r="I416" i="14"/>
  <c r="J416" i="14"/>
  <c r="I417" i="14"/>
  <c r="J417" i="14"/>
  <c r="I418" i="14"/>
  <c r="J418" i="14"/>
  <c r="I419" i="14"/>
  <c r="J419" i="14"/>
  <c r="I420" i="14"/>
  <c r="J420" i="14"/>
  <c r="I421" i="14"/>
  <c r="J421" i="14"/>
  <c r="I422" i="14"/>
  <c r="J422" i="14"/>
  <c r="I423" i="14"/>
  <c r="J423" i="14"/>
  <c r="I424" i="14"/>
  <c r="J424" i="14"/>
  <c r="I425" i="14"/>
  <c r="J425" i="14"/>
  <c r="I426" i="14"/>
  <c r="J426" i="14"/>
  <c r="I427" i="14"/>
  <c r="J427" i="14"/>
  <c r="I428" i="14"/>
  <c r="J428" i="14"/>
  <c r="I429" i="14"/>
  <c r="J429" i="14"/>
  <c r="I430" i="14"/>
  <c r="J430" i="14"/>
  <c r="I431" i="14"/>
  <c r="J431" i="14"/>
  <c r="I432" i="14"/>
  <c r="J432" i="14"/>
  <c r="I433" i="14"/>
  <c r="J433" i="14"/>
  <c r="I434" i="14"/>
  <c r="J434" i="14"/>
  <c r="I435" i="14"/>
  <c r="J435" i="14"/>
  <c r="I436" i="14"/>
  <c r="J436" i="14"/>
  <c r="I437" i="14"/>
  <c r="J437" i="14"/>
  <c r="I438" i="14"/>
  <c r="J438" i="14"/>
  <c r="I439" i="14"/>
  <c r="J439" i="14"/>
  <c r="I440" i="14"/>
  <c r="J440" i="14"/>
  <c r="I441" i="14"/>
  <c r="J441" i="14"/>
  <c r="I442" i="14"/>
  <c r="J442" i="14"/>
  <c r="I443" i="14"/>
  <c r="J443" i="14"/>
  <c r="I444" i="14"/>
  <c r="J444" i="14"/>
  <c r="I445" i="14"/>
  <c r="J445" i="14"/>
  <c r="I446" i="14"/>
  <c r="J446" i="14"/>
  <c r="I447" i="14"/>
  <c r="J447" i="14"/>
  <c r="I448" i="14"/>
  <c r="J448" i="14"/>
  <c r="I449" i="14"/>
  <c r="J449" i="14"/>
  <c r="I450" i="14"/>
  <c r="J450" i="14"/>
  <c r="I451" i="14"/>
  <c r="J451" i="14"/>
  <c r="I452" i="14"/>
  <c r="J452" i="14"/>
  <c r="I453" i="14"/>
  <c r="J453" i="14"/>
  <c r="I454" i="14"/>
  <c r="J454" i="14"/>
  <c r="I455" i="14"/>
  <c r="J455" i="14"/>
  <c r="I456" i="14"/>
  <c r="J456" i="14"/>
  <c r="I457" i="14"/>
  <c r="J457" i="14"/>
  <c r="I458" i="14"/>
  <c r="J458" i="14"/>
  <c r="I459" i="14"/>
  <c r="J459" i="14"/>
  <c r="I460" i="14"/>
  <c r="J460" i="14"/>
  <c r="I461" i="14"/>
  <c r="J461" i="14"/>
  <c r="I462" i="14"/>
  <c r="J462" i="14"/>
  <c r="I463" i="14"/>
  <c r="J463" i="14"/>
  <c r="I464" i="14"/>
  <c r="J464" i="14"/>
  <c r="I465" i="14"/>
  <c r="J465" i="14"/>
  <c r="I466" i="14"/>
  <c r="J466" i="14"/>
  <c r="I467" i="14"/>
  <c r="J467" i="14"/>
  <c r="I468" i="14"/>
  <c r="J468" i="14"/>
  <c r="I469" i="14"/>
  <c r="J469" i="14"/>
  <c r="I470" i="14"/>
  <c r="J470" i="14"/>
  <c r="I471" i="14"/>
  <c r="J471" i="14"/>
  <c r="I472" i="14"/>
  <c r="J472" i="14"/>
  <c r="I473" i="14"/>
  <c r="J473" i="14"/>
  <c r="I474" i="14"/>
  <c r="J474" i="14"/>
  <c r="I475" i="14"/>
  <c r="J475" i="14"/>
  <c r="I476" i="14"/>
  <c r="J476" i="14"/>
  <c r="I477" i="14"/>
  <c r="J477" i="14"/>
  <c r="I478" i="14"/>
  <c r="J478" i="14"/>
  <c r="I479" i="14"/>
  <c r="J479" i="14"/>
  <c r="I480" i="14"/>
  <c r="J480" i="14"/>
  <c r="I481" i="14"/>
  <c r="J481" i="14"/>
  <c r="I482" i="14"/>
  <c r="J482" i="14"/>
  <c r="I483" i="14"/>
  <c r="J483" i="14"/>
  <c r="I484" i="14"/>
  <c r="J484" i="14"/>
  <c r="I485" i="14"/>
  <c r="J485" i="14"/>
  <c r="I486" i="14"/>
  <c r="J486" i="14"/>
  <c r="I487" i="14"/>
  <c r="J487" i="14"/>
  <c r="I488" i="14"/>
  <c r="J488" i="14"/>
  <c r="I489" i="14"/>
  <c r="J489" i="14"/>
  <c r="I490" i="14"/>
  <c r="J490" i="14"/>
  <c r="I491" i="14"/>
  <c r="J491" i="14"/>
  <c r="I492" i="14"/>
  <c r="J492" i="14"/>
  <c r="I493" i="14"/>
  <c r="J493" i="14"/>
  <c r="I494" i="14"/>
  <c r="J494" i="14"/>
  <c r="I495" i="14"/>
  <c r="J495" i="14"/>
  <c r="I496" i="14"/>
  <c r="J496" i="14"/>
  <c r="I497" i="14"/>
  <c r="J497" i="14"/>
  <c r="I498" i="14"/>
  <c r="J498" i="14"/>
  <c r="I499" i="14"/>
  <c r="J499" i="14"/>
  <c r="I500" i="14"/>
  <c r="J500" i="14"/>
  <c r="I501" i="14"/>
  <c r="J501" i="14"/>
  <c r="I502" i="14"/>
  <c r="J502" i="14"/>
  <c r="I503" i="14"/>
  <c r="J503" i="14"/>
  <c r="I504" i="14"/>
  <c r="J504" i="14"/>
  <c r="I505" i="14"/>
  <c r="J505" i="14"/>
  <c r="I506" i="14"/>
  <c r="J506" i="14"/>
  <c r="I507" i="14"/>
  <c r="J507" i="14"/>
  <c r="I508" i="14"/>
  <c r="J508" i="14"/>
  <c r="I509" i="14"/>
  <c r="J509" i="14"/>
  <c r="I510" i="14"/>
  <c r="J510" i="14"/>
  <c r="I511" i="14"/>
  <c r="J511" i="14"/>
  <c r="I512" i="14"/>
  <c r="J512" i="14"/>
  <c r="I513" i="14"/>
  <c r="J513" i="14"/>
  <c r="I514" i="14"/>
  <c r="J514" i="14"/>
  <c r="I515" i="14"/>
  <c r="J515" i="14"/>
  <c r="I516" i="14"/>
  <c r="J516" i="14"/>
  <c r="I517" i="14"/>
  <c r="J517" i="14"/>
  <c r="I518" i="14"/>
  <c r="J518" i="14"/>
  <c r="I519" i="14"/>
  <c r="J519" i="14"/>
  <c r="I520" i="14"/>
  <c r="J520" i="14"/>
  <c r="I521" i="14"/>
  <c r="J521" i="14"/>
  <c r="I522" i="14"/>
  <c r="J522" i="14"/>
  <c r="I523" i="14"/>
  <c r="J523" i="14"/>
  <c r="I524" i="14"/>
  <c r="J524" i="14"/>
  <c r="I525" i="14"/>
  <c r="J525" i="14"/>
  <c r="I526" i="14"/>
  <c r="J526" i="14"/>
  <c r="I527" i="14"/>
  <c r="J527" i="14"/>
  <c r="I528" i="14"/>
  <c r="J528" i="14"/>
  <c r="I529" i="14"/>
  <c r="J529" i="14"/>
  <c r="I530" i="14"/>
  <c r="J530" i="14"/>
  <c r="I531" i="14"/>
  <c r="J531" i="14"/>
  <c r="I532" i="14"/>
  <c r="J532" i="14"/>
  <c r="I533" i="14"/>
  <c r="J533" i="14"/>
  <c r="I534" i="14"/>
  <c r="J534" i="14"/>
  <c r="I535" i="14"/>
  <c r="J535" i="14"/>
  <c r="I536" i="14"/>
  <c r="J536" i="14"/>
  <c r="I537" i="14"/>
  <c r="J537" i="14"/>
  <c r="I538" i="14"/>
  <c r="J538" i="14"/>
  <c r="I539" i="14"/>
  <c r="J539" i="14"/>
  <c r="I540" i="14"/>
  <c r="J540" i="14"/>
  <c r="I541" i="14"/>
  <c r="J541" i="14"/>
  <c r="I542" i="14"/>
  <c r="J542" i="14"/>
  <c r="I543" i="14"/>
  <c r="J543" i="14"/>
  <c r="I544" i="14"/>
  <c r="J544" i="14"/>
  <c r="I545" i="14"/>
  <c r="J545" i="14"/>
  <c r="I546" i="14"/>
  <c r="J546" i="14"/>
  <c r="I547" i="14"/>
  <c r="J547" i="14"/>
  <c r="I548" i="14"/>
  <c r="J548" i="14"/>
  <c r="I549" i="14"/>
  <c r="J549" i="14"/>
  <c r="I550" i="14"/>
  <c r="J550" i="14"/>
  <c r="I551" i="14"/>
  <c r="J551" i="14"/>
  <c r="I552" i="14"/>
  <c r="J552" i="14"/>
  <c r="I553" i="14"/>
  <c r="J553" i="14"/>
  <c r="I554" i="14"/>
  <c r="J554" i="14"/>
  <c r="I555" i="14"/>
  <c r="J555" i="14"/>
  <c r="I556" i="14"/>
  <c r="J556" i="14"/>
  <c r="I557" i="14"/>
  <c r="J557" i="14"/>
  <c r="I558" i="14"/>
  <c r="J558" i="14"/>
  <c r="I559" i="14"/>
  <c r="J559" i="14"/>
  <c r="I560" i="14"/>
  <c r="J560" i="14"/>
  <c r="I561" i="14"/>
  <c r="J561" i="14"/>
  <c r="I562" i="14"/>
  <c r="J562" i="14"/>
  <c r="I563" i="14"/>
  <c r="J563" i="14"/>
  <c r="I564" i="14"/>
  <c r="J564" i="14"/>
  <c r="I565" i="14"/>
  <c r="J565" i="14"/>
  <c r="I566" i="14"/>
  <c r="J566" i="14"/>
  <c r="I567" i="14"/>
  <c r="J567" i="14"/>
  <c r="I568" i="14"/>
  <c r="J568" i="14"/>
  <c r="I569" i="14"/>
  <c r="J569" i="14"/>
  <c r="I570" i="14"/>
  <c r="J570" i="14"/>
  <c r="I571" i="14"/>
  <c r="J571" i="14"/>
  <c r="I572" i="14"/>
  <c r="J572" i="14"/>
  <c r="I573" i="14"/>
  <c r="J573" i="14"/>
  <c r="I574" i="14"/>
  <c r="J574" i="14"/>
  <c r="I575" i="14"/>
  <c r="J575" i="14"/>
  <c r="I576" i="14"/>
  <c r="J576" i="14"/>
  <c r="I577" i="14"/>
  <c r="J577" i="14"/>
  <c r="I578" i="14"/>
  <c r="J578" i="14"/>
  <c r="I579" i="14"/>
  <c r="J579" i="14"/>
  <c r="I580" i="14"/>
  <c r="J580" i="14"/>
  <c r="I581" i="14"/>
  <c r="J581" i="14"/>
  <c r="I582" i="14"/>
  <c r="J582" i="14"/>
  <c r="I583" i="14"/>
  <c r="J583" i="14"/>
  <c r="I584" i="14"/>
  <c r="J584" i="14"/>
  <c r="I585" i="14"/>
  <c r="J585" i="14"/>
  <c r="I586" i="14"/>
  <c r="J586" i="14"/>
  <c r="I587" i="14"/>
  <c r="J587" i="14"/>
  <c r="I588" i="14"/>
  <c r="J588" i="14"/>
  <c r="I589" i="14"/>
  <c r="J589" i="14"/>
  <c r="I590" i="14"/>
  <c r="J590" i="14"/>
  <c r="I591" i="14"/>
  <c r="J591" i="14"/>
  <c r="I592" i="14"/>
  <c r="J592" i="14"/>
  <c r="I593" i="14"/>
  <c r="J593" i="14"/>
  <c r="I594" i="14"/>
  <c r="J594" i="14"/>
  <c r="I595" i="14"/>
  <c r="J595" i="14"/>
  <c r="I596" i="14"/>
  <c r="J596" i="14"/>
  <c r="I597" i="14"/>
  <c r="J597" i="14"/>
  <c r="I598" i="14"/>
  <c r="J598" i="14"/>
  <c r="I599" i="14"/>
  <c r="J599" i="14"/>
  <c r="I600" i="14"/>
  <c r="J600" i="14"/>
  <c r="I601" i="14"/>
  <c r="J601" i="14"/>
  <c r="I602" i="14"/>
  <c r="J602" i="14"/>
  <c r="I603" i="14"/>
  <c r="J603" i="14"/>
  <c r="I604" i="14"/>
  <c r="J604" i="14"/>
  <c r="I605" i="14"/>
  <c r="J605" i="14"/>
  <c r="I606" i="14"/>
  <c r="J606" i="14"/>
  <c r="I607" i="14"/>
  <c r="J607" i="14"/>
  <c r="I608" i="14"/>
  <c r="J608" i="14"/>
  <c r="I609" i="14"/>
  <c r="J609" i="14"/>
  <c r="I610" i="14"/>
  <c r="J610" i="14"/>
  <c r="I611" i="14"/>
  <c r="J611" i="14"/>
  <c r="I612" i="14"/>
  <c r="J612" i="14"/>
  <c r="I613" i="14"/>
  <c r="J613" i="14"/>
  <c r="I614" i="14"/>
  <c r="J614" i="14"/>
  <c r="I615" i="14"/>
  <c r="J615" i="14"/>
  <c r="I616" i="14"/>
  <c r="J616" i="14"/>
  <c r="I617" i="14"/>
  <c r="J617" i="14"/>
  <c r="I618" i="14"/>
  <c r="J618" i="14"/>
  <c r="I619" i="14"/>
  <c r="J619" i="14"/>
  <c r="I620" i="14"/>
  <c r="J620" i="14"/>
  <c r="I621" i="14"/>
  <c r="J621" i="14"/>
  <c r="I622" i="14"/>
  <c r="J622" i="14"/>
  <c r="I623" i="14"/>
  <c r="J623" i="14"/>
  <c r="I624" i="14"/>
  <c r="J624" i="14"/>
  <c r="I625" i="14"/>
  <c r="J625" i="14"/>
  <c r="I626" i="14"/>
  <c r="J626" i="14"/>
  <c r="I627" i="14"/>
  <c r="J627" i="14"/>
  <c r="I628" i="14"/>
  <c r="J628" i="14"/>
  <c r="I629" i="14"/>
  <c r="J629" i="14"/>
  <c r="I630" i="14"/>
  <c r="J630" i="14"/>
  <c r="I631" i="14"/>
  <c r="J631" i="14"/>
  <c r="I632" i="14"/>
  <c r="J632" i="14"/>
  <c r="I633" i="14"/>
  <c r="J633" i="14"/>
  <c r="I634" i="14"/>
  <c r="J634" i="14"/>
  <c r="I635" i="14"/>
  <c r="J635" i="14"/>
  <c r="I636" i="14"/>
  <c r="J636" i="14"/>
  <c r="I637" i="14"/>
  <c r="J637" i="14"/>
  <c r="I638" i="14"/>
  <c r="J638" i="14"/>
  <c r="I639" i="14"/>
  <c r="J639" i="14"/>
  <c r="I640" i="14"/>
  <c r="J640" i="14"/>
  <c r="I641" i="14"/>
  <c r="J641" i="14"/>
  <c r="I642" i="14"/>
  <c r="J642" i="14"/>
  <c r="I643" i="14"/>
  <c r="J643" i="14"/>
  <c r="I644" i="14"/>
  <c r="J644" i="14"/>
  <c r="I645" i="14"/>
  <c r="J645" i="14"/>
  <c r="I646" i="14"/>
  <c r="J646" i="14"/>
  <c r="I647" i="14"/>
  <c r="J647" i="14"/>
  <c r="I648" i="14"/>
  <c r="J648" i="14"/>
  <c r="I649" i="14"/>
  <c r="J649" i="14"/>
  <c r="I650" i="14"/>
  <c r="J650" i="14"/>
  <c r="I651" i="14"/>
  <c r="J651" i="14"/>
  <c r="I652" i="14"/>
  <c r="J652" i="14"/>
  <c r="I653" i="14"/>
  <c r="J653" i="14"/>
  <c r="I654" i="14"/>
  <c r="J654" i="14"/>
  <c r="I655" i="14"/>
  <c r="J655" i="14"/>
  <c r="I656" i="14"/>
  <c r="J656" i="14"/>
  <c r="I657" i="14"/>
  <c r="J657" i="14"/>
  <c r="I658" i="14"/>
  <c r="J658" i="14"/>
  <c r="I659" i="14"/>
  <c r="J659" i="14"/>
  <c r="I660" i="14"/>
  <c r="J660" i="14"/>
  <c r="I661" i="14"/>
  <c r="J661" i="14"/>
  <c r="I662" i="14"/>
  <c r="J662" i="14"/>
  <c r="I663" i="14"/>
  <c r="J663" i="14"/>
  <c r="I664" i="14"/>
  <c r="J664" i="14"/>
  <c r="I665" i="14"/>
  <c r="J665" i="14"/>
  <c r="I666" i="14"/>
  <c r="J666" i="14"/>
  <c r="I667" i="14"/>
  <c r="J667" i="14"/>
  <c r="I668" i="14"/>
  <c r="J668" i="14"/>
  <c r="I669" i="14"/>
  <c r="J669" i="14"/>
  <c r="I670" i="14"/>
  <c r="J670" i="14"/>
  <c r="I671" i="14"/>
  <c r="J671" i="14"/>
  <c r="I672" i="14"/>
  <c r="J672" i="14"/>
  <c r="I673" i="14"/>
  <c r="J673" i="14"/>
  <c r="I674" i="14"/>
  <c r="J674" i="14"/>
  <c r="I675" i="14"/>
  <c r="J675" i="14"/>
  <c r="I676" i="14"/>
  <c r="J676" i="14"/>
  <c r="I677" i="14"/>
  <c r="J677" i="14"/>
  <c r="I678" i="14"/>
  <c r="J678" i="14"/>
  <c r="I679" i="14"/>
  <c r="J679" i="14"/>
  <c r="I680" i="14"/>
  <c r="J680" i="14"/>
  <c r="I681" i="14"/>
  <c r="J681" i="14"/>
  <c r="I682" i="14"/>
  <c r="J682" i="14"/>
  <c r="I683" i="14"/>
  <c r="J683" i="14"/>
  <c r="I684" i="14"/>
  <c r="J684" i="14"/>
  <c r="I685" i="14"/>
  <c r="J685" i="14"/>
  <c r="I686" i="14"/>
  <c r="J686" i="14"/>
  <c r="I687" i="14"/>
  <c r="J687" i="14"/>
  <c r="I688" i="14"/>
  <c r="J688" i="14"/>
  <c r="I689" i="14"/>
  <c r="J689" i="14"/>
  <c r="I690" i="14"/>
  <c r="J690" i="14"/>
  <c r="I691" i="14"/>
  <c r="J691" i="14"/>
  <c r="I692" i="14"/>
  <c r="J692" i="14"/>
  <c r="I693" i="14"/>
  <c r="J693" i="14"/>
  <c r="I694" i="14"/>
  <c r="J694" i="14"/>
  <c r="I695" i="14"/>
  <c r="J695" i="14"/>
  <c r="I696" i="14"/>
  <c r="J696" i="14"/>
  <c r="I697" i="14"/>
  <c r="J697" i="14"/>
  <c r="I698" i="14"/>
  <c r="J698" i="14"/>
  <c r="I699" i="14"/>
  <c r="J699" i="14"/>
  <c r="I700" i="14"/>
  <c r="J700" i="14"/>
  <c r="I701" i="14"/>
  <c r="J701" i="14"/>
  <c r="I702" i="14"/>
  <c r="J702" i="14"/>
  <c r="I703" i="14"/>
  <c r="J703" i="14"/>
  <c r="I704" i="14"/>
  <c r="J704" i="14"/>
  <c r="I705" i="14"/>
  <c r="J705" i="14"/>
  <c r="I706" i="14"/>
  <c r="J706" i="14"/>
  <c r="I707" i="14"/>
  <c r="J707" i="14"/>
  <c r="I708" i="14"/>
  <c r="J708" i="14"/>
  <c r="I709" i="14"/>
  <c r="J709" i="14"/>
  <c r="I710" i="14"/>
  <c r="J710" i="14"/>
  <c r="I711" i="14"/>
  <c r="J711" i="14"/>
  <c r="I712" i="14"/>
  <c r="J712" i="14"/>
  <c r="I713" i="14"/>
  <c r="J713" i="14"/>
  <c r="I714" i="14"/>
  <c r="J714" i="14"/>
  <c r="I715" i="14"/>
  <c r="J715" i="14"/>
  <c r="I716" i="14"/>
  <c r="J716" i="14"/>
  <c r="I717" i="14"/>
  <c r="J717" i="14"/>
  <c r="I718" i="14"/>
  <c r="J718" i="14"/>
  <c r="I719" i="14"/>
  <c r="J719" i="14"/>
  <c r="I720" i="14"/>
  <c r="J720" i="14"/>
  <c r="I721" i="14"/>
  <c r="J721" i="14"/>
  <c r="I722" i="14"/>
  <c r="J722" i="14"/>
  <c r="I723" i="14"/>
  <c r="J723" i="14"/>
  <c r="I724" i="14"/>
  <c r="J724" i="14"/>
  <c r="I725" i="14"/>
  <c r="J725" i="14"/>
  <c r="I726" i="14"/>
  <c r="J726" i="14"/>
  <c r="I727" i="14"/>
  <c r="J727" i="14"/>
  <c r="I728" i="14"/>
  <c r="J728" i="14"/>
  <c r="I729" i="14"/>
  <c r="J729" i="14"/>
  <c r="I730" i="14"/>
  <c r="J730" i="14"/>
  <c r="I731" i="14"/>
  <c r="J731" i="14"/>
  <c r="I732" i="14"/>
  <c r="J732" i="14"/>
  <c r="I733" i="14"/>
  <c r="J733" i="14"/>
  <c r="I734" i="14"/>
  <c r="J734" i="14"/>
  <c r="I735" i="14"/>
  <c r="J735" i="14"/>
  <c r="I736" i="14"/>
  <c r="J736" i="14"/>
  <c r="I737" i="14"/>
  <c r="J737" i="14"/>
  <c r="I738" i="14"/>
  <c r="J738" i="14"/>
  <c r="I739" i="14"/>
  <c r="J739" i="14"/>
  <c r="I740" i="14"/>
  <c r="J740" i="14"/>
  <c r="I741" i="14"/>
  <c r="J741" i="14"/>
  <c r="I742" i="14"/>
  <c r="J742" i="14"/>
  <c r="I743" i="14"/>
  <c r="J743" i="14"/>
  <c r="I744" i="14"/>
  <c r="J744" i="14"/>
  <c r="I745" i="14"/>
  <c r="J745" i="14"/>
  <c r="I746" i="14"/>
  <c r="J746" i="14"/>
  <c r="I747" i="14"/>
  <c r="J747" i="14"/>
  <c r="I748" i="14"/>
  <c r="J748" i="14"/>
  <c r="I749" i="14"/>
  <c r="J749" i="14"/>
  <c r="I750" i="14"/>
  <c r="J750" i="14"/>
  <c r="I751" i="14"/>
  <c r="J751" i="14"/>
  <c r="I752" i="14"/>
  <c r="J752" i="14"/>
  <c r="I753" i="14"/>
  <c r="J753" i="14"/>
  <c r="I754" i="14"/>
  <c r="J754" i="14"/>
  <c r="I755" i="14"/>
  <c r="J755" i="14"/>
  <c r="I756" i="14"/>
  <c r="J756" i="14"/>
  <c r="I757" i="14"/>
  <c r="J757" i="14"/>
  <c r="I758" i="14"/>
  <c r="J758" i="14"/>
  <c r="I759" i="14"/>
  <c r="J759" i="14"/>
  <c r="I760" i="14"/>
  <c r="J760" i="14"/>
  <c r="I761" i="14"/>
  <c r="J761" i="14"/>
  <c r="I762" i="14"/>
  <c r="J762" i="14"/>
  <c r="I763" i="14"/>
  <c r="J763" i="14"/>
  <c r="I764" i="14"/>
  <c r="J764" i="14"/>
  <c r="I765" i="14"/>
  <c r="J765" i="14"/>
  <c r="I766" i="14"/>
  <c r="J766" i="14"/>
  <c r="I767" i="14"/>
  <c r="J767" i="14"/>
  <c r="I768" i="14"/>
  <c r="J768" i="14"/>
  <c r="I769" i="14"/>
  <c r="J769" i="14"/>
  <c r="I770" i="14"/>
  <c r="J770" i="14"/>
  <c r="I771" i="14"/>
  <c r="J771" i="14"/>
  <c r="I772" i="14"/>
  <c r="J772" i="14"/>
  <c r="I773" i="14"/>
  <c r="J773" i="14"/>
  <c r="I774" i="14"/>
  <c r="J774" i="14"/>
  <c r="I775" i="14"/>
  <c r="J775" i="14"/>
  <c r="I776" i="14"/>
  <c r="J776" i="14"/>
  <c r="I777" i="14"/>
  <c r="J777" i="14"/>
  <c r="I778" i="14"/>
  <c r="J778" i="14"/>
  <c r="I779" i="14"/>
  <c r="J779" i="14"/>
  <c r="I780" i="14"/>
  <c r="J780" i="14"/>
  <c r="I781" i="14"/>
  <c r="J781" i="14"/>
  <c r="I782" i="14"/>
  <c r="J782" i="14"/>
  <c r="I783" i="14"/>
  <c r="J783" i="14"/>
  <c r="I784" i="14"/>
  <c r="J784" i="14"/>
  <c r="I785" i="14"/>
  <c r="J785" i="14"/>
  <c r="I786" i="14"/>
  <c r="J786" i="14"/>
  <c r="I787" i="14"/>
  <c r="J787" i="14"/>
  <c r="I788" i="14"/>
  <c r="J788" i="14"/>
  <c r="I789" i="14"/>
  <c r="J789" i="14"/>
  <c r="I790" i="14"/>
  <c r="J790" i="14"/>
  <c r="I791" i="14"/>
  <c r="J791" i="14"/>
  <c r="I792" i="14"/>
  <c r="J792" i="14"/>
  <c r="I793" i="14"/>
  <c r="J793" i="14"/>
  <c r="I794" i="14"/>
  <c r="J794" i="14"/>
  <c r="I795" i="14"/>
  <c r="J795" i="14"/>
  <c r="I796" i="14"/>
  <c r="J796" i="14"/>
  <c r="I797" i="14"/>
  <c r="J797" i="14"/>
  <c r="I798" i="14"/>
  <c r="J798" i="14"/>
  <c r="I799" i="14"/>
  <c r="J799" i="14"/>
  <c r="I800" i="14"/>
  <c r="J800" i="14"/>
  <c r="I801" i="14"/>
  <c r="J801" i="14"/>
  <c r="I802" i="14"/>
  <c r="J802" i="14"/>
  <c r="I803" i="14"/>
  <c r="J803" i="14"/>
  <c r="I804" i="14"/>
  <c r="J804" i="14"/>
  <c r="I805" i="14"/>
  <c r="J805" i="14"/>
  <c r="I806" i="14"/>
  <c r="J806" i="14"/>
  <c r="I807" i="14"/>
  <c r="J807" i="14"/>
  <c r="I808" i="14"/>
  <c r="J808" i="14"/>
  <c r="I809" i="14"/>
  <c r="J809" i="14"/>
  <c r="I810" i="14"/>
  <c r="J810" i="14"/>
  <c r="I811" i="14"/>
  <c r="J811" i="14"/>
  <c r="I812" i="14"/>
  <c r="J812" i="14"/>
  <c r="I813" i="14"/>
  <c r="J813" i="14"/>
  <c r="I814" i="14"/>
  <c r="J814" i="14"/>
  <c r="I815" i="14"/>
  <c r="J815" i="14"/>
  <c r="I816" i="14"/>
  <c r="J816" i="14"/>
  <c r="I817" i="14"/>
  <c r="J817" i="14"/>
  <c r="I818" i="14"/>
  <c r="J818" i="14"/>
  <c r="I819" i="14"/>
  <c r="J819" i="14"/>
  <c r="I820" i="14"/>
  <c r="J820" i="14"/>
  <c r="I821" i="14"/>
  <c r="J821" i="14"/>
  <c r="I822" i="14"/>
  <c r="J822" i="14"/>
  <c r="I823" i="14"/>
  <c r="J823" i="14"/>
  <c r="I824" i="14"/>
  <c r="J824" i="14"/>
  <c r="I825" i="14"/>
  <c r="J825" i="14"/>
  <c r="I826" i="14"/>
  <c r="J826" i="14"/>
  <c r="I827" i="14"/>
  <c r="J827" i="14"/>
  <c r="I828" i="14"/>
  <c r="J828" i="14"/>
  <c r="I829" i="14"/>
  <c r="J829" i="14"/>
  <c r="I830" i="14"/>
  <c r="J830" i="14"/>
  <c r="I831" i="14"/>
  <c r="J831" i="14"/>
  <c r="I832" i="14"/>
  <c r="J832" i="14"/>
  <c r="I833" i="14"/>
  <c r="J833" i="14"/>
  <c r="I834" i="14"/>
  <c r="J834" i="14"/>
  <c r="I835" i="14"/>
  <c r="J835" i="14"/>
  <c r="I836" i="14"/>
  <c r="J836" i="14"/>
  <c r="I837" i="14"/>
  <c r="J837" i="14"/>
  <c r="I838" i="14"/>
  <c r="J838" i="14"/>
  <c r="I839" i="14"/>
  <c r="J839" i="14"/>
  <c r="I840" i="14"/>
  <c r="J840" i="14"/>
  <c r="I841" i="14"/>
  <c r="J841" i="14"/>
  <c r="I842" i="14"/>
  <c r="J842" i="14"/>
  <c r="I843" i="14"/>
  <c r="J843" i="14"/>
  <c r="I844" i="14"/>
  <c r="J844" i="14"/>
  <c r="I845" i="14"/>
  <c r="J845" i="14"/>
  <c r="I846" i="14"/>
  <c r="J846" i="14"/>
  <c r="I847" i="14"/>
  <c r="J847" i="14"/>
  <c r="I848" i="14"/>
  <c r="J848" i="14"/>
  <c r="I849" i="14"/>
  <c r="J849" i="14"/>
  <c r="I850" i="14"/>
  <c r="J850" i="14"/>
  <c r="I851" i="14"/>
  <c r="J851" i="14"/>
  <c r="I852" i="14"/>
  <c r="J852" i="14"/>
  <c r="I853" i="14"/>
  <c r="J853" i="14"/>
  <c r="I854" i="14"/>
  <c r="J854" i="14"/>
  <c r="I855" i="14"/>
  <c r="J855" i="14"/>
  <c r="I856" i="14"/>
  <c r="J856" i="14"/>
  <c r="I857" i="14"/>
  <c r="J857" i="14"/>
  <c r="I858" i="14"/>
  <c r="J858" i="14"/>
  <c r="I859" i="14"/>
  <c r="J859" i="14"/>
  <c r="I860" i="14"/>
  <c r="J860" i="14"/>
  <c r="I861" i="14"/>
  <c r="J861" i="14"/>
  <c r="I862" i="14"/>
  <c r="J862" i="14"/>
  <c r="I863" i="14"/>
  <c r="J863" i="14"/>
  <c r="I864" i="14"/>
  <c r="J864" i="14"/>
  <c r="I865" i="14"/>
  <c r="J865" i="14"/>
  <c r="I866" i="14"/>
  <c r="J866" i="14"/>
  <c r="I867" i="14"/>
  <c r="J867" i="14"/>
  <c r="I868" i="14"/>
  <c r="J868" i="14"/>
  <c r="I869" i="14"/>
  <c r="J869" i="14"/>
  <c r="I870" i="14"/>
  <c r="J870" i="14"/>
  <c r="I871" i="14"/>
  <c r="J871" i="14"/>
  <c r="I872" i="14"/>
  <c r="J872" i="14"/>
  <c r="I873" i="14"/>
  <c r="J873" i="14"/>
  <c r="I874" i="14"/>
  <c r="J874" i="14"/>
  <c r="I875" i="14"/>
  <c r="J875" i="14"/>
  <c r="I876" i="14"/>
  <c r="J876" i="14"/>
  <c r="I877" i="14"/>
  <c r="J877" i="14"/>
  <c r="I878" i="14"/>
  <c r="J878" i="14"/>
  <c r="I879" i="14"/>
  <c r="J879" i="14"/>
  <c r="I880" i="14"/>
  <c r="J880" i="14"/>
  <c r="I881" i="14"/>
  <c r="J881" i="14"/>
  <c r="I882" i="14"/>
  <c r="J882" i="14"/>
  <c r="I883" i="14"/>
  <c r="J883" i="14"/>
  <c r="I884" i="14"/>
  <c r="J884" i="14"/>
  <c r="I885" i="14"/>
  <c r="J885" i="14"/>
  <c r="I886" i="14"/>
  <c r="J886" i="14"/>
  <c r="I887" i="14"/>
  <c r="J887" i="14"/>
  <c r="I888" i="14"/>
  <c r="J888" i="14"/>
  <c r="I889" i="14"/>
  <c r="J889" i="14"/>
  <c r="I890" i="14"/>
  <c r="J890" i="14"/>
  <c r="I891" i="14"/>
  <c r="J891" i="14"/>
  <c r="I892" i="14"/>
  <c r="J892" i="14"/>
  <c r="I893" i="14"/>
  <c r="J893" i="14"/>
  <c r="I894" i="14"/>
  <c r="J894" i="14"/>
  <c r="I895" i="14"/>
  <c r="J895" i="14"/>
  <c r="I896" i="14"/>
  <c r="J896" i="14"/>
  <c r="I897" i="14"/>
  <c r="J897" i="14"/>
  <c r="I898" i="14"/>
  <c r="J898" i="14"/>
  <c r="I899" i="14"/>
  <c r="J899" i="14"/>
  <c r="I900" i="14"/>
  <c r="J900" i="14"/>
  <c r="I901" i="14"/>
  <c r="J901" i="14"/>
  <c r="I902" i="14"/>
  <c r="J902" i="14"/>
  <c r="I903" i="14"/>
  <c r="J903" i="14"/>
  <c r="I904" i="14"/>
  <c r="J904" i="14"/>
  <c r="I905" i="14"/>
  <c r="J905" i="14"/>
  <c r="I906" i="14"/>
  <c r="J906" i="14"/>
  <c r="I907" i="14"/>
  <c r="J907" i="14"/>
  <c r="I908" i="14"/>
  <c r="J908" i="14"/>
  <c r="I909" i="14"/>
  <c r="J909" i="14"/>
  <c r="I910" i="14"/>
  <c r="J910" i="14"/>
  <c r="I911" i="14"/>
  <c r="J911" i="14"/>
  <c r="I912" i="14"/>
  <c r="J912" i="14"/>
  <c r="I913" i="14"/>
  <c r="J913" i="14"/>
  <c r="I914" i="14"/>
  <c r="J914" i="14"/>
  <c r="I915" i="14"/>
  <c r="J915" i="14"/>
  <c r="I916" i="14"/>
  <c r="J916" i="14"/>
  <c r="I917" i="14"/>
  <c r="J917" i="14"/>
  <c r="I918" i="14"/>
  <c r="J918" i="14"/>
  <c r="I919" i="14"/>
  <c r="J919" i="14"/>
  <c r="I920" i="14"/>
  <c r="J920" i="14"/>
  <c r="I921" i="14"/>
  <c r="J921" i="14"/>
  <c r="I922" i="14"/>
  <c r="J922" i="14"/>
  <c r="I923" i="14"/>
  <c r="J923" i="14"/>
  <c r="I924" i="14"/>
  <c r="J924" i="14"/>
  <c r="I925" i="14"/>
  <c r="J925" i="14"/>
  <c r="I926" i="14"/>
  <c r="J926" i="14"/>
  <c r="I927" i="14"/>
  <c r="J927" i="14"/>
  <c r="I928" i="14"/>
  <c r="J928" i="14"/>
  <c r="I929" i="14"/>
  <c r="J929" i="14"/>
  <c r="I930" i="14"/>
  <c r="J930" i="14"/>
  <c r="I931" i="14"/>
  <c r="J931" i="14"/>
  <c r="I932" i="14"/>
  <c r="J932" i="14"/>
  <c r="I933" i="14"/>
  <c r="J933" i="14"/>
  <c r="I934" i="14"/>
  <c r="J934" i="14"/>
  <c r="I935" i="14"/>
  <c r="J935" i="14"/>
  <c r="I936" i="14"/>
  <c r="J936" i="14"/>
  <c r="I937" i="14"/>
  <c r="J937" i="14"/>
  <c r="I938" i="14"/>
  <c r="J938" i="14"/>
  <c r="I939" i="14"/>
  <c r="J939" i="14"/>
  <c r="I940" i="14"/>
  <c r="J940" i="14"/>
  <c r="I941" i="14"/>
  <c r="J941" i="14"/>
  <c r="I942" i="14"/>
  <c r="J942" i="14"/>
  <c r="I943" i="14"/>
  <c r="J943" i="14"/>
  <c r="I944" i="14"/>
  <c r="J944" i="14"/>
  <c r="I945" i="14"/>
  <c r="J945" i="14"/>
  <c r="I946" i="14"/>
  <c r="J946" i="14"/>
  <c r="I947" i="14"/>
  <c r="J947" i="14"/>
  <c r="I948" i="14"/>
  <c r="J948" i="14"/>
  <c r="I949" i="14"/>
  <c r="J949" i="14"/>
  <c r="I950" i="14"/>
  <c r="J950" i="14"/>
  <c r="I951" i="14"/>
  <c r="J951" i="14"/>
  <c r="I952" i="14"/>
  <c r="J952" i="14"/>
  <c r="I953" i="14"/>
  <c r="J953" i="14"/>
  <c r="I954" i="14"/>
  <c r="J954" i="14"/>
  <c r="I955" i="14"/>
  <c r="J955" i="14"/>
  <c r="I956" i="14"/>
  <c r="J956" i="14"/>
  <c r="I957" i="14"/>
  <c r="J957" i="14"/>
  <c r="I958" i="14"/>
  <c r="J958" i="14"/>
  <c r="I959" i="14"/>
  <c r="J959" i="14"/>
  <c r="I960" i="14"/>
  <c r="J960" i="14"/>
  <c r="I961" i="14"/>
  <c r="J961" i="14"/>
  <c r="I962" i="14"/>
  <c r="J962" i="14"/>
  <c r="I963" i="14"/>
  <c r="J963" i="14"/>
  <c r="I964" i="14"/>
  <c r="J964" i="14"/>
  <c r="I965" i="14"/>
  <c r="J965" i="14"/>
  <c r="I966" i="14"/>
  <c r="J966" i="14"/>
  <c r="I967" i="14"/>
  <c r="J967" i="14"/>
  <c r="I968" i="14"/>
  <c r="J968" i="14"/>
  <c r="I969" i="14"/>
  <c r="J969" i="14"/>
  <c r="I970" i="14"/>
  <c r="J970" i="14"/>
  <c r="I971" i="14"/>
  <c r="J971" i="14"/>
  <c r="I972" i="14"/>
  <c r="J972" i="14"/>
  <c r="I973" i="14"/>
  <c r="J973" i="14"/>
  <c r="I974" i="14"/>
  <c r="J974" i="14"/>
  <c r="I975" i="14"/>
  <c r="J975" i="14"/>
  <c r="I976" i="14"/>
  <c r="J976" i="14"/>
  <c r="I977" i="14"/>
  <c r="J977" i="14"/>
  <c r="I978" i="14"/>
  <c r="J978" i="14"/>
  <c r="I979" i="14"/>
  <c r="J979" i="14"/>
  <c r="I980" i="14"/>
  <c r="J980" i="14"/>
  <c r="I981" i="14"/>
  <c r="J981" i="14"/>
  <c r="I982" i="14"/>
  <c r="J982" i="14"/>
  <c r="I983" i="14"/>
  <c r="J983" i="14"/>
  <c r="I984" i="14"/>
  <c r="J984" i="14"/>
  <c r="I985" i="14"/>
  <c r="J985" i="14"/>
  <c r="I986" i="14"/>
  <c r="J986" i="14"/>
  <c r="I987" i="14"/>
  <c r="J987" i="14"/>
  <c r="I988" i="14"/>
  <c r="J988" i="14"/>
  <c r="I989" i="14"/>
  <c r="J989" i="14"/>
  <c r="I990" i="14"/>
  <c r="J990" i="14"/>
  <c r="I991" i="14"/>
  <c r="J991" i="14"/>
  <c r="I992" i="14"/>
  <c r="J992" i="14"/>
  <c r="I993" i="14"/>
  <c r="J993" i="14"/>
  <c r="I994" i="14"/>
  <c r="J994" i="14"/>
  <c r="I995" i="14"/>
  <c r="J995" i="14"/>
  <c r="I996" i="14"/>
  <c r="J996" i="14"/>
  <c r="I997" i="14"/>
  <c r="J997" i="14"/>
  <c r="I998" i="14"/>
  <c r="J998" i="14"/>
  <c r="I999" i="14"/>
  <c r="J999" i="14"/>
  <c r="I1000" i="14"/>
  <c r="J1000" i="14"/>
  <c r="I1001" i="14"/>
  <c r="J1001" i="14"/>
  <c r="I1002" i="14"/>
  <c r="J1002" i="14"/>
  <c r="I1003" i="14"/>
  <c r="J1003" i="14"/>
  <c r="I1004" i="14"/>
  <c r="J1004" i="14"/>
  <c r="I1005" i="14"/>
  <c r="J1005" i="14"/>
  <c r="I1006" i="14"/>
  <c r="J1006" i="14"/>
  <c r="I1007" i="14"/>
  <c r="J1007" i="14"/>
  <c r="I1008" i="14"/>
  <c r="J1008" i="14"/>
  <c r="I1009" i="14"/>
  <c r="J1009" i="14"/>
  <c r="I1010" i="14"/>
  <c r="J1010" i="14"/>
  <c r="I1011" i="14"/>
  <c r="J1011" i="14"/>
  <c r="I1012" i="14"/>
  <c r="J1012" i="14"/>
  <c r="I1013" i="14"/>
  <c r="J1013" i="14"/>
  <c r="I1014" i="14"/>
  <c r="J1014" i="14"/>
  <c r="I1015" i="14"/>
  <c r="J1015" i="14"/>
  <c r="I1016" i="14"/>
  <c r="J1016" i="14"/>
  <c r="I1017" i="14"/>
  <c r="J1017" i="14"/>
  <c r="I1018" i="14"/>
  <c r="J1018" i="14"/>
  <c r="I1019" i="14"/>
  <c r="J1019" i="14"/>
  <c r="I1020" i="14"/>
  <c r="J1020" i="14"/>
  <c r="I1021" i="14"/>
  <c r="J1021" i="14"/>
  <c r="I1022" i="14"/>
  <c r="J1022" i="14"/>
  <c r="I1023" i="14"/>
  <c r="J1023" i="14"/>
  <c r="I1024" i="14"/>
  <c r="J1024" i="14"/>
  <c r="I1025" i="14"/>
  <c r="J1025" i="14"/>
  <c r="I1026" i="14"/>
  <c r="J1026" i="14"/>
  <c r="I1027" i="14"/>
  <c r="J1027" i="14"/>
  <c r="I1028" i="14"/>
  <c r="J1028" i="14"/>
  <c r="I1029" i="14"/>
  <c r="J1029" i="14"/>
  <c r="I1030" i="14"/>
  <c r="J1030" i="14"/>
  <c r="I1031" i="14"/>
  <c r="J1031" i="14"/>
  <c r="I1032" i="14"/>
  <c r="J1032" i="14"/>
  <c r="I1033" i="14"/>
  <c r="J1033" i="14"/>
  <c r="I1034" i="14"/>
  <c r="J1034" i="14"/>
  <c r="I1035" i="14"/>
  <c r="J1035" i="14"/>
  <c r="I1036" i="14"/>
  <c r="J1036" i="14"/>
  <c r="I1037" i="14"/>
  <c r="J1037" i="14"/>
  <c r="I1038" i="14"/>
  <c r="J1038" i="14"/>
  <c r="I1039" i="14"/>
  <c r="J1039" i="14"/>
  <c r="I1040" i="14"/>
  <c r="J1040" i="14"/>
  <c r="I1041" i="14"/>
  <c r="J1041" i="14"/>
  <c r="I1042" i="14"/>
  <c r="J1042" i="14"/>
  <c r="I1043" i="14"/>
  <c r="J1043" i="14"/>
  <c r="I1044" i="14"/>
  <c r="J1044" i="14"/>
  <c r="I1045" i="14"/>
  <c r="J1045" i="14"/>
  <c r="I1046" i="14"/>
  <c r="J1046" i="14"/>
  <c r="I1047" i="14"/>
  <c r="J1047" i="14"/>
  <c r="I1048" i="14"/>
  <c r="J1048" i="14"/>
  <c r="I1049" i="14"/>
  <c r="J1049" i="14"/>
  <c r="I1050" i="14"/>
  <c r="J1050" i="14"/>
  <c r="I1051" i="14"/>
  <c r="J1051" i="14"/>
  <c r="I1052" i="14"/>
  <c r="J1052" i="14"/>
  <c r="I1053" i="14"/>
  <c r="J1053" i="14"/>
  <c r="I1054" i="14"/>
  <c r="J1054" i="14"/>
  <c r="I1055" i="14"/>
  <c r="J1055" i="14"/>
  <c r="I1056" i="14"/>
  <c r="J1056" i="14"/>
  <c r="I1057" i="14"/>
  <c r="J1057" i="14"/>
  <c r="I1058" i="14"/>
  <c r="J1058" i="14"/>
  <c r="I1059" i="14"/>
  <c r="J1059" i="14"/>
  <c r="I1060" i="14"/>
  <c r="J1060" i="14"/>
  <c r="I1061" i="14"/>
  <c r="J1061" i="14"/>
  <c r="I1062" i="14"/>
  <c r="J1062" i="14"/>
  <c r="I1063" i="14"/>
  <c r="J1063" i="14"/>
  <c r="I1064" i="14"/>
  <c r="J1064" i="14"/>
  <c r="I1065" i="14"/>
  <c r="J1065" i="14"/>
  <c r="I1066" i="14"/>
  <c r="J1066" i="14"/>
  <c r="I1067" i="14"/>
  <c r="J1067" i="14"/>
  <c r="I1068" i="14"/>
  <c r="J1068" i="14"/>
  <c r="I1069" i="14"/>
  <c r="J1069" i="14"/>
  <c r="I1070" i="14"/>
  <c r="J1070" i="14"/>
  <c r="I1071" i="14"/>
  <c r="J1071" i="14"/>
  <c r="I1072" i="14"/>
  <c r="J1072" i="14"/>
  <c r="I1073" i="14"/>
  <c r="J1073" i="14"/>
  <c r="I1074" i="14"/>
  <c r="J1074" i="14"/>
  <c r="I1075" i="14"/>
  <c r="J1075" i="14"/>
  <c r="I1076" i="14"/>
  <c r="J1076" i="14"/>
  <c r="I1077" i="14"/>
  <c r="J1077" i="14"/>
  <c r="I1078" i="14"/>
  <c r="J1078" i="14"/>
  <c r="I1079" i="14"/>
  <c r="J1079" i="14"/>
  <c r="I4" i="15"/>
  <c r="J4" i="15"/>
  <c r="I5" i="15"/>
  <c r="J5" i="15"/>
  <c r="I6" i="15"/>
  <c r="J6" i="15"/>
  <c r="I7" i="15"/>
  <c r="J7" i="15"/>
  <c r="I8" i="15"/>
  <c r="J8" i="15"/>
  <c r="I9" i="15"/>
  <c r="J9" i="15"/>
  <c r="I10" i="15"/>
  <c r="J10" i="15"/>
  <c r="I11" i="15"/>
  <c r="J11" i="15"/>
  <c r="I12" i="15"/>
  <c r="J12" i="15"/>
  <c r="I13" i="15"/>
  <c r="J13" i="15"/>
  <c r="I14" i="15"/>
  <c r="J14" i="15"/>
  <c r="I15" i="15"/>
  <c r="J15" i="15"/>
  <c r="I16" i="15"/>
  <c r="J16" i="15"/>
  <c r="I17" i="15"/>
  <c r="J17" i="15"/>
  <c r="I18" i="15"/>
  <c r="J18" i="15"/>
  <c r="I19" i="15"/>
  <c r="J19" i="15"/>
  <c r="I20" i="15"/>
  <c r="J20" i="15"/>
  <c r="I21" i="15"/>
  <c r="J21" i="15"/>
  <c r="I22" i="15"/>
  <c r="J22" i="15"/>
  <c r="I23" i="15"/>
  <c r="J23" i="15"/>
  <c r="I24" i="15"/>
  <c r="J24" i="15"/>
  <c r="I25" i="15"/>
  <c r="J25" i="15"/>
  <c r="I26" i="15"/>
  <c r="J26" i="15"/>
  <c r="I27" i="15"/>
  <c r="J27" i="15"/>
  <c r="I28" i="15"/>
  <c r="J28" i="15"/>
  <c r="I29" i="15"/>
  <c r="J29" i="15"/>
  <c r="I30" i="15"/>
  <c r="J30" i="15"/>
  <c r="I31" i="15"/>
  <c r="J31" i="15"/>
  <c r="I32" i="15"/>
  <c r="J32" i="15"/>
  <c r="I33" i="15"/>
  <c r="J33" i="15"/>
  <c r="I34" i="15"/>
  <c r="J34" i="15"/>
  <c r="I35" i="15"/>
  <c r="J35" i="15"/>
  <c r="I36" i="15"/>
  <c r="J36" i="15"/>
  <c r="I37" i="15"/>
  <c r="J37" i="15"/>
  <c r="I38" i="15"/>
  <c r="J38" i="15"/>
  <c r="I39" i="15"/>
  <c r="J39" i="15"/>
  <c r="I40" i="15"/>
  <c r="J40" i="15"/>
  <c r="I41" i="15"/>
  <c r="J41" i="15"/>
  <c r="I42" i="15"/>
  <c r="J42" i="15"/>
  <c r="I43" i="15"/>
  <c r="J43" i="15"/>
  <c r="I44" i="15"/>
  <c r="J44" i="15"/>
  <c r="I45" i="15"/>
  <c r="J45" i="15"/>
  <c r="I46" i="15"/>
  <c r="J46" i="15"/>
  <c r="I47" i="15"/>
  <c r="J47" i="15"/>
  <c r="I48" i="15"/>
  <c r="J48" i="15"/>
  <c r="I49" i="15"/>
  <c r="J49" i="15"/>
  <c r="I50" i="15"/>
  <c r="J50" i="15"/>
  <c r="I51" i="15"/>
  <c r="J51" i="15"/>
  <c r="I52" i="15"/>
  <c r="J52" i="15"/>
  <c r="I53" i="15"/>
  <c r="J53" i="15"/>
  <c r="I54" i="15"/>
  <c r="J54" i="15"/>
  <c r="I55" i="15"/>
  <c r="J55" i="15"/>
  <c r="I56" i="15"/>
  <c r="J56" i="15"/>
  <c r="I57" i="15"/>
  <c r="J57" i="15"/>
  <c r="I58" i="15"/>
  <c r="J58" i="15"/>
  <c r="I59" i="15"/>
  <c r="J59" i="15"/>
  <c r="I60" i="15"/>
  <c r="J60" i="15"/>
  <c r="I61" i="15"/>
  <c r="J61" i="15"/>
  <c r="I62" i="15"/>
  <c r="J62" i="15"/>
  <c r="I63" i="15"/>
  <c r="J63" i="15"/>
  <c r="I64" i="15"/>
  <c r="J64" i="15"/>
  <c r="I65" i="15"/>
  <c r="J65" i="15"/>
  <c r="I66" i="15"/>
  <c r="J66" i="15"/>
  <c r="I67" i="15"/>
  <c r="J67" i="15"/>
  <c r="I68" i="15"/>
  <c r="J68" i="15"/>
  <c r="I69" i="15"/>
  <c r="J69" i="15"/>
  <c r="I70" i="15"/>
  <c r="J70" i="15"/>
  <c r="I71" i="15"/>
  <c r="J71" i="15"/>
  <c r="I72" i="15"/>
  <c r="J72" i="15"/>
  <c r="I73" i="15"/>
  <c r="J73" i="15"/>
  <c r="I74" i="15"/>
  <c r="J74" i="15"/>
  <c r="I75" i="15"/>
  <c r="J75" i="15"/>
  <c r="I76" i="15"/>
  <c r="J76" i="15"/>
  <c r="I77" i="15"/>
  <c r="J77" i="15"/>
  <c r="I78" i="15"/>
  <c r="J78" i="15"/>
  <c r="I79" i="15"/>
  <c r="J79" i="15"/>
  <c r="I80" i="15"/>
  <c r="J80" i="15"/>
  <c r="I81" i="15"/>
  <c r="J81" i="15"/>
  <c r="I82" i="15"/>
  <c r="J82" i="15"/>
  <c r="I83" i="15"/>
  <c r="J83" i="15"/>
  <c r="I84" i="15"/>
  <c r="J84" i="15"/>
  <c r="I85" i="15"/>
  <c r="J85" i="15"/>
  <c r="I86" i="15"/>
  <c r="J86" i="15"/>
  <c r="I87" i="15"/>
  <c r="J87" i="15"/>
  <c r="I88" i="15"/>
  <c r="J88" i="15"/>
  <c r="I89" i="15"/>
  <c r="J89" i="15"/>
  <c r="I90" i="15"/>
  <c r="J90" i="15"/>
  <c r="I91" i="15"/>
  <c r="J91" i="15"/>
  <c r="I92" i="15"/>
  <c r="J92" i="15"/>
  <c r="I93" i="15"/>
  <c r="J93" i="15"/>
  <c r="I94" i="15"/>
  <c r="J94" i="15"/>
  <c r="I95" i="15"/>
  <c r="J95" i="15"/>
  <c r="I96" i="15"/>
  <c r="J96" i="15"/>
  <c r="I97" i="15"/>
  <c r="J97" i="15"/>
  <c r="I98" i="15"/>
  <c r="J98" i="15"/>
  <c r="I99" i="15"/>
  <c r="J99" i="15"/>
  <c r="I100" i="15"/>
  <c r="J100" i="15"/>
  <c r="I101" i="15"/>
  <c r="J101" i="15"/>
  <c r="I102" i="15"/>
  <c r="J102" i="15"/>
  <c r="I103" i="15"/>
  <c r="J103" i="15"/>
  <c r="I104" i="15"/>
  <c r="J104" i="15"/>
  <c r="I105" i="15"/>
  <c r="J105" i="15"/>
  <c r="I106" i="15"/>
  <c r="J106" i="15"/>
  <c r="I107" i="15"/>
  <c r="J107" i="15"/>
  <c r="I108" i="15"/>
  <c r="J108" i="15"/>
  <c r="I109" i="15"/>
  <c r="J109" i="15"/>
  <c r="I110" i="15"/>
  <c r="J110" i="15"/>
  <c r="I111" i="15"/>
  <c r="J111" i="15"/>
  <c r="I112" i="15"/>
  <c r="J112" i="15"/>
  <c r="I113" i="15"/>
  <c r="J113" i="15"/>
  <c r="I114" i="15"/>
  <c r="J114" i="15"/>
  <c r="I115" i="15"/>
  <c r="J115" i="15"/>
  <c r="I116" i="15"/>
  <c r="J116" i="15"/>
  <c r="I117" i="15"/>
  <c r="J117" i="15"/>
  <c r="I118" i="15"/>
  <c r="J118" i="15"/>
  <c r="I119" i="15"/>
  <c r="J119" i="15"/>
  <c r="I120" i="15"/>
  <c r="J120" i="15"/>
  <c r="I121" i="15"/>
  <c r="J121" i="15"/>
  <c r="I122" i="15"/>
  <c r="J122" i="15"/>
  <c r="I123" i="15"/>
  <c r="J123" i="15"/>
  <c r="I124" i="15"/>
  <c r="J124" i="15"/>
  <c r="I125" i="15"/>
  <c r="J125" i="15"/>
  <c r="I126" i="15"/>
  <c r="J126" i="15"/>
  <c r="I127" i="15"/>
  <c r="J127" i="15"/>
  <c r="I128" i="15"/>
  <c r="J128" i="15"/>
  <c r="I129" i="15"/>
  <c r="J129" i="15"/>
  <c r="I130" i="15"/>
  <c r="J130" i="15"/>
  <c r="I131" i="15"/>
  <c r="J131" i="15"/>
  <c r="I132" i="15"/>
  <c r="J132" i="15"/>
  <c r="I133" i="15"/>
  <c r="J133" i="15"/>
  <c r="I134" i="15"/>
  <c r="J134" i="15"/>
  <c r="I135" i="15"/>
  <c r="J135" i="15"/>
  <c r="I136" i="15"/>
  <c r="J136" i="15"/>
  <c r="I137" i="15"/>
  <c r="J137" i="15"/>
  <c r="I138" i="15"/>
  <c r="J138" i="15"/>
  <c r="I139" i="15"/>
  <c r="J139" i="15"/>
  <c r="I140" i="15"/>
  <c r="J140" i="15"/>
  <c r="I141" i="15"/>
  <c r="J141" i="15"/>
  <c r="I142" i="15"/>
  <c r="J142" i="15"/>
  <c r="I143" i="15"/>
  <c r="J143" i="15"/>
  <c r="I144" i="15"/>
  <c r="J144" i="15"/>
  <c r="I145" i="15"/>
  <c r="J145" i="15"/>
  <c r="I146" i="15"/>
  <c r="J146" i="15"/>
  <c r="I147" i="15"/>
  <c r="J147" i="15"/>
  <c r="I148" i="15"/>
  <c r="J148" i="15"/>
  <c r="I149" i="15"/>
  <c r="J149" i="15"/>
  <c r="I150" i="15"/>
  <c r="J150" i="15"/>
  <c r="I151" i="15"/>
  <c r="J151" i="15"/>
  <c r="I152" i="15"/>
  <c r="J152" i="15"/>
  <c r="I153" i="15"/>
  <c r="J153" i="15"/>
  <c r="I154" i="15"/>
  <c r="J154" i="15"/>
  <c r="I155" i="15"/>
  <c r="J155" i="15"/>
  <c r="I156" i="15"/>
  <c r="J156" i="15"/>
  <c r="I157" i="15"/>
  <c r="J157" i="15"/>
  <c r="I158" i="15"/>
  <c r="J158" i="15"/>
  <c r="I159" i="15"/>
  <c r="J159" i="15"/>
  <c r="I160" i="15"/>
  <c r="J160" i="15"/>
  <c r="I161" i="15"/>
  <c r="J161" i="15"/>
  <c r="I162" i="15"/>
  <c r="J162" i="15"/>
  <c r="I163" i="15"/>
  <c r="J163" i="15"/>
  <c r="I164" i="15"/>
  <c r="J164" i="15"/>
  <c r="I165" i="15"/>
  <c r="J165" i="15"/>
  <c r="I166" i="15"/>
  <c r="J166" i="15"/>
  <c r="I167" i="15"/>
  <c r="J167" i="15"/>
  <c r="I168" i="15"/>
  <c r="J168" i="15"/>
  <c r="I169" i="15"/>
  <c r="J169" i="15"/>
  <c r="I170" i="15"/>
  <c r="J170" i="15"/>
  <c r="I171" i="15"/>
  <c r="J171" i="15"/>
  <c r="I172" i="15"/>
  <c r="J172" i="15"/>
  <c r="I173" i="15"/>
  <c r="J173" i="15"/>
  <c r="I174" i="15"/>
  <c r="J174" i="15"/>
  <c r="I175" i="15"/>
  <c r="J175" i="15"/>
  <c r="I176" i="15"/>
  <c r="J176" i="15"/>
  <c r="I177" i="15"/>
  <c r="J177" i="15"/>
  <c r="I178" i="15"/>
  <c r="J178" i="15"/>
  <c r="I179" i="15"/>
  <c r="J179" i="15"/>
  <c r="I180" i="15"/>
  <c r="J180" i="15"/>
  <c r="I181" i="15"/>
  <c r="J181" i="15"/>
  <c r="I182" i="15"/>
  <c r="J182" i="15"/>
  <c r="I183" i="15"/>
  <c r="J183" i="15"/>
  <c r="I184" i="15"/>
  <c r="J184" i="15"/>
  <c r="I185" i="15"/>
  <c r="J185" i="15"/>
  <c r="I186" i="15"/>
  <c r="J186" i="15"/>
  <c r="I187" i="15"/>
  <c r="J187" i="15"/>
  <c r="I188" i="15"/>
  <c r="J188" i="15"/>
  <c r="I189" i="15"/>
  <c r="J189" i="15"/>
  <c r="I190" i="15"/>
  <c r="J190" i="15"/>
  <c r="I191" i="15"/>
  <c r="J191" i="15"/>
  <c r="I192" i="15"/>
  <c r="J192" i="15"/>
  <c r="I193" i="15"/>
  <c r="J193" i="15"/>
  <c r="I194" i="15"/>
  <c r="J194" i="15"/>
  <c r="I195" i="15"/>
  <c r="J195" i="15"/>
  <c r="I196" i="15"/>
  <c r="J196" i="15"/>
  <c r="I197" i="15"/>
  <c r="J197" i="15"/>
  <c r="I198" i="15"/>
  <c r="J198" i="15"/>
  <c r="I199" i="15"/>
  <c r="J199" i="15"/>
  <c r="I200" i="15"/>
  <c r="J200" i="15"/>
  <c r="I201" i="15"/>
  <c r="J201" i="15"/>
  <c r="I202" i="15"/>
  <c r="J202" i="15"/>
  <c r="I203" i="15"/>
  <c r="J203" i="15"/>
  <c r="I204" i="15"/>
  <c r="J204" i="15"/>
  <c r="I205" i="15"/>
  <c r="J205" i="15"/>
  <c r="I206" i="15"/>
  <c r="J206" i="15"/>
  <c r="I207" i="15"/>
  <c r="J207" i="15"/>
  <c r="I208" i="15"/>
  <c r="J208" i="15"/>
  <c r="I209" i="15"/>
  <c r="J209" i="15"/>
  <c r="I210" i="15"/>
  <c r="J210" i="15"/>
  <c r="I211" i="15"/>
  <c r="J211" i="15"/>
  <c r="I212" i="15"/>
  <c r="J212" i="15"/>
  <c r="I213" i="15"/>
  <c r="J213" i="15"/>
  <c r="I214" i="15"/>
  <c r="J214" i="15"/>
  <c r="I215" i="15"/>
  <c r="J215" i="15"/>
  <c r="I216" i="15"/>
  <c r="J216" i="15"/>
  <c r="I217" i="15"/>
  <c r="J217" i="15"/>
  <c r="I218" i="15"/>
  <c r="J218" i="15"/>
  <c r="I219" i="15"/>
  <c r="J219" i="15"/>
  <c r="I220" i="15"/>
  <c r="J220" i="15"/>
  <c r="I221" i="15"/>
  <c r="J221" i="15"/>
  <c r="I222" i="15"/>
  <c r="J222" i="15"/>
  <c r="I223" i="15"/>
  <c r="J223" i="15"/>
  <c r="I224" i="15"/>
  <c r="J224" i="15"/>
  <c r="I225" i="15"/>
  <c r="J225" i="15"/>
  <c r="I226" i="15"/>
  <c r="J226" i="15"/>
  <c r="I227" i="15"/>
  <c r="J227" i="15"/>
  <c r="I228" i="15"/>
  <c r="J228" i="15"/>
  <c r="I229" i="15"/>
  <c r="J229" i="15"/>
  <c r="I230" i="15"/>
  <c r="J230" i="15"/>
  <c r="I231" i="15"/>
  <c r="J231" i="15"/>
  <c r="I232" i="15"/>
  <c r="J232" i="15"/>
  <c r="I233" i="15"/>
  <c r="J233" i="15"/>
  <c r="I234" i="15"/>
  <c r="J234" i="15"/>
  <c r="I235" i="15"/>
  <c r="J235" i="15"/>
  <c r="I236" i="15"/>
  <c r="J236" i="15"/>
  <c r="I237" i="15"/>
  <c r="J237" i="15"/>
  <c r="I238" i="15"/>
  <c r="J238" i="15"/>
  <c r="I239" i="15"/>
  <c r="J239" i="15"/>
  <c r="I240" i="15"/>
  <c r="J240" i="15"/>
  <c r="I241" i="15"/>
  <c r="J241" i="15"/>
  <c r="I242" i="15"/>
  <c r="J242" i="15"/>
  <c r="I243" i="15"/>
  <c r="J243" i="15"/>
  <c r="I244" i="15"/>
  <c r="J244" i="15"/>
  <c r="I245" i="15"/>
  <c r="J245" i="15"/>
  <c r="I246" i="15"/>
  <c r="J246" i="15"/>
  <c r="I247" i="15"/>
  <c r="J247" i="15"/>
  <c r="I248" i="15"/>
  <c r="J248" i="15"/>
  <c r="I249" i="15"/>
  <c r="J249" i="15"/>
  <c r="I250" i="15"/>
  <c r="J250" i="15"/>
  <c r="I251" i="15"/>
  <c r="J251" i="15"/>
  <c r="I252" i="15"/>
  <c r="J252" i="15"/>
  <c r="I253" i="15"/>
  <c r="J253" i="15"/>
  <c r="I254" i="15"/>
  <c r="J254" i="15"/>
  <c r="I255" i="15"/>
  <c r="J255" i="15"/>
  <c r="I256" i="15"/>
  <c r="J256" i="15"/>
  <c r="I257" i="15"/>
  <c r="J257" i="15"/>
  <c r="I258" i="15"/>
  <c r="J258" i="15"/>
  <c r="I259" i="15"/>
  <c r="J259" i="15"/>
  <c r="I260" i="15"/>
  <c r="J260" i="15"/>
  <c r="I261" i="15"/>
  <c r="J261" i="15"/>
  <c r="I262" i="15"/>
  <c r="J262" i="15"/>
  <c r="I263" i="15"/>
  <c r="J263" i="15"/>
  <c r="I264" i="15"/>
  <c r="J264" i="15"/>
  <c r="I265" i="15"/>
  <c r="J265" i="15"/>
  <c r="I266" i="15"/>
  <c r="J266" i="15"/>
  <c r="I267" i="15"/>
  <c r="J267" i="15"/>
  <c r="I268" i="15"/>
  <c r="J268" i="15"/>
  <c r="I269" i="15"/>
  <c r="J269" i="15"/>
  <c r="I270" i="15"/>
  <c r="J270" i="15"/>
  <c r="I271" i="15"/>
  <c r="J271" i="15"/>
  <c r="I272" i="15"/>
  <c r="J272" i="15"/>
  <c r="I273" i="15"/>
  <c r="J273" i="15"/>
  <c r="I274" i="15"/>
  <c r="J274" i="15"/>
  <c r="I275" i="15"/>
  <c r="J275" i="15"/>
  <c r="I276" i="15"/>
  <c r="J276" i="15"/>
  <c r="I277" i="15"/>
  <c r="J277" i="15"/>
  <c r="I278" i="15"/>
  <c r="J278" i="15"/>
  <c r="I279" i="15"/>
  <c r="J279" i="15"/>
  <c r="I280" i="15"/>
  <c r="J280" i="15"/>
  <c r="I281" i="15"/>
  <c r="J281" i="15"/>
  <c r="I282" i="15"/>
  <c r="J282" i="15"/>
  <c r="I283" i="15"/>
  <c r="J283" i="15"/>
  <c r="I284" i="15"/>
  <c r="J284" i="15"/>
  <c r="I285" i="15"/>
  <c r="J285" i="15"/>
  <c r="I286" i="15"/>
  <c r="J286" i="15"/>
  <c r="I287" i="15"/>
  <c r="J287" i="15"/>
  <c r="I288" i="15"/>
  <c r="J288" i="15"/>
  <c r="I289" i="15"/>
  <c r="J289" i="15"/>
  <c r="I290" i="15"/>
  <c r="J290" i="15"/>
  <c r="I291" i="15"/>
  <c r="J291" i="15"/>
  <c r="I292" i="15"/>
  <c r="J292" i="15"/>
  <c r="I293" i="15"/>
  <c r="J293" i="15"/>
  <c r="I294" i="15"/>
  <c r="J294" i="15"/>
  <c r="I295" i="15"/>
  <c r="J295" i="15"/>
  <c r="I296" i="15"/>
  <c r="J296" i="15"/>
  <c r="I297" i="15"/>
  <c r="J297" i="15"/>
  <c r="I298" i="15"/>
  <c r="J298" i="15"/>
  <c r="I299" i="15"/>
  <c r="J299" i="15"/>
  <c r="I300" i="15"/>
  <c r="J300" i="15"/>
  <c r="I301" i="15"/>
  <c r="J301" i="15"/>
  <c r="I302" i="15"/>
  <c r="J302" i="15"/>
  <c r="I303" i="15"/>
  <c r="J303" i="15"/>
  <c r="I304" i="15"/>
  <c r="J304" i="15"/>
  <c r="I305" i="15"/>
  <c r="J305" i="15"/>
  <c r="I306" i="15"/>
  <c r="J306" i="15"/>
  <c r="I307" i="15"/>
  <c r="J307" i="15"/>
  <c r="I308" i="15"/>
  <c r="J308" i="15"/>
  <c r="I309" i="15"/>
  <c r="J309" i="15"/>
  <c r="I310" i="15"/>
  <c r="J310" i="15"/>
  <c r="I311" i="15"/>
  <c r="J311" i="15"/>
  <c r="I312" i="15"/>
  <c r="J312" i="15"/>
  <c r="I313" i="15"/>
  <c r="J313" i="15"/>
  <c r="I314" i="15"/>
  <c r="J314" i="15"/>
  <c r="I315" i="15"/>
  <c r="J315" i="15"/>
  <c r="I316" i="15"/>
  <c r="J316" i="15"/>
  <c r="I317" i="15"/>
  <c r="J317" i="15"/>
  <c r="I318" i="15"/>
  <c r="J318" i="15"/>
  <c r="I319" i="15"/>
  <c r="J319" i="15"/>
  <c r="I320" i="15"/>
  <c r="J320" i="15"/>
  <c r="I321" i="15"/>
  <c r="J321" i="15"/>
  <c r="I322" i="15"/>
  <c r="J322" i="15"/>
  <c r="I323" i="15"/>
  <c r="J323" i="15"/>
  <c r="I324" i="15"/>
  <c r="J324" i="15"/>
  <c r="I325" i="15"/>
  <c r="J325" i="15"/>
  <c r="I326" i="15"/>
  <c r="J326" i="15"/>
  <c r="I327" i="15"/>
  <c r="J327" i="15"/>
  <c r="I328" i="15"/>
  <c r="J328" i="15"/>
  <c r="I329" i="15"/>
  <c r="J329" i="15"/>
  <c r="I330" i="15"/>
  <c r="J330" i="15"/>
  <c r="I331" i="15"/>
  <c r="J331" i="15"/>
  <c r="I332" i="15"/>
  <c r="J332" i="15"/>
  <c r="I333" i="15"/>
  <c r="J333" i="15"/>
  <c r="I334" i="15"/>
  <c r="J334" i="15"/>
  <c r="I335" i="15"/>
  <c r="J335" i="15"/>
  <c r="I336" i="15"/>
  <c r="J336" i="15"/>
  <c r="I337" i="15"/>
  <c r="J337" i="15"/>
  <c r="I338" i="15"/>
  <c r="J338" i="15"/>
  <c r="I339" i="15"/>
  <c r="J339" i="15"/>
  <c r="I340" i="15"/>
  <c r="J340" i="15"/>
  <c r="I341" i="15"/>
  <c r="J341" i="15"/>
  <c r="I342" i="15"/>
  <c r="J342" i="15"/>
  <c r="I343" i="15"/>
  <c r="J343" i="15"/>
  <c r="I344" i="15"/>
  <c r="J344" i="15"/>
  <c r="I345" i="15"/>
  <c r="J345" i="15"/>
  <c r="I346" i="15"/>
  <c r="J346" i="15"/>
  <c r="I347" i="15"/>
  <c r="J347" i="15"/>
  <c r="I348" i="15"/>
  <c r="J348" i="15"/>
  <c r="I349" i="15"/>
  <c r="J349" i="15"/>
  <c r="I350" i="15"/>
  <c r="J350" i="15"/>
  <c r="I351" i="15"/>
  <c r="J351" i="15"/>
  <c r="I352" i="15"/>
  <c r="J352" i="15"/>
  <c r="I353" i="15"/>
  <c r="J353" i="15"/>
  <c r="I354" i="15"/>
  <c r="J354" i="15"/>
  <c r="I355" i="15"/>
  <c r="J355" i="15"/>
  <c r="I356" i="15"/>
  <c r="J356" i="15"/>
  <c r="I357" i="15"/>
  <c r="J357" i="15"/>
  <c r="I358" i="15"/>
  <c r="J358" i="15"/>
  <c r="I359" i="15"/>
  <c r="J359" i="15"/>
  <c r="I360" i="15"/>
  <c r="J360" i="15"/>
  <c r="I361" i="15"/>
  <c r="J361" i="15"/>
  <c r="I362" i="15"/>
  <c r="J362" i="15"/>
  <c r="I363" i="15"/>
  <c r="J363" i="15"/>
  <c r="I364" i="15"/>
  <c r="J364" i="15"/>
  <c r="I365" i="15"/>
  <c r="J365" i="15"/>
  <c r="I366" i="15"/>
  <c r="J366" i="15"/>
  <c r="I367" i="15"/>
  <c r="J367" i="15"/>
  <c r="I368" i="15"/>
  <c r="J368" i="15"/>
  <c r="I369" i="15"/>
  <c r="J369" i="15"/>
  <c r="I370" i="15"/>
  <c r="J370" i="15"/>
  <c r="I371" i="15"/>
  <c r="J371" i="15"/>
  <c r="I372" i="15"/>
  <c r="J372" i="15"/>
  <c r="I373" i="15"/>
  <c r="J373" i="15"/>
  <c r="I374" i="15"/>
  <c r="J374" i="15"/>
  <c r="I375" i="15"/>
  <c r="J375" i="15"/>
  <c r="I376" i="15"/>
  <c r="J376" i="15"/>
  <c r="I377" i="15"/>
  <c r="J377" i="15"/>
  <c r="I378" i="15"/>
  <c r="J378" i="15"/>
  <c r="I379" i="15"/>
  <c r="J379" i="15"/>
  <c r="I380" i="15"/>
  <c r="J380" i="15"/>
  <c r="I381" i="15"/>
  <c r="J381" i="15"/>
  <c r="I382" i="15"/>
  <c r="J382" i="15"/>
  <c r="I383" i="15"/>
  <c r="J383" i="15"/>
  <c r="I384" i="15"/>
  <c r="J384" i="15"/>
  <c r="I385" i="15"/>
  <c r="J385" i="15"/>
  <c r="I386" i="15"/>
  <c r="J386" i="15"/>
  <c r="I387" i="15"/>
  <c r="J387" i="15"/>
  <c r="I388" i="15"/>
  <c r="J388" i="15"/>
  <c r="I389" i="15"/>
  <c r="J389" i="15"/>
  <c r="I390" i="15"/>
  <c r="J390" i="15"/>
  <c r="I391" i="15"/>
  <c r="J391" i="15"/>
  <c r="I392" i="15"/>
  <c r="J392" i="15"/>
  <c r="I393" i="15"/>
  <c r="J393" i="15"/>
  <c r="I394" i="15"/>
  <c r="J394" i="15"/>
  <c r="I395" i="15"/>
  <c r="J395" i="15"/>
  <c r="I396" i="15"/>
  <c r="J396" i="15"/>
  <c r="I397" i="15"/>
  <c r="J397" i="15"/>
  <c r="I398" i="15"/>
  <c r="J398" i="15"/>
  <c r="I399" i="15"/>
  <c r="J399" i="15"/>
  <c r="I400" i="15"/>
  <c r="J400" i="15"/>
  <c r="I401" i="15"/>
  <c r="J401" i="15"/>
  <c r="I402" i="15"/>
  <c r="J402" i="15"/>
  <c r="I403" i="15"/>
  <c r="J403" i="15"/>
  <c r="I404" i="15"/>
  <c r="J404" i="15"/>
  <c r="I405" i="15"/>
  <c r="J405" i="15"/>
  <c r="I406" i="15"/>
  <c r="J406" i="15"/>
  <c r="I407" i="15"/>
  <c r="J407" i="15"/>
  <c r="I408" i="15"/>
  <c r="J408" i="15"/>
  <c r="I409" i="15"/>
  <c r="J409" i="15"/>
  <c r="I410" i="15"/>
  <c r="J410" i="15"/>
  <c r="I411" i="15"/>
  <c r="J411" i="15"/>
  <c r="I412" i="15"/>
  <c r="J412" i="15"/>
  <c r="I413" i="15"/>
  <c r="J413" i="15"/>
  <c r="I414" i="15"/>
  <c r="J414" i="15"/>
  <c r="I415" i="15"/>
  <c r="J415" i="15"/>
  <c r="I416" i="15"/>
  <c r="J416" i="15"/>
  <c r="I417" i="15"/>
  <c r="J417" i="15"/>
  <c r="I418" i="15"/>
  <c r="J418" i="15"/>
  <c r="I419" i="15"/>
  <c r="J419" i="15"/>
  <c r="I420" i="15"/>
  <c r="J420" i="15"/>
  <c r="I421" i="15"/>
  <c r="J421" i="15"/>
  <c r="I422" i="15"/>
  <c r="J422" i="15"/>
  <c r="I423" i="15"/>
  <c r="J423" i="15"/>
  <c r="I424" i="15"/>
  <c r="J424" i="15"/>
  <c r="I425" i="15"/>
  <c r="J425" i="15"/>
  <c r="I426" i="15"/>
  <c r="J426" i="15"/>
  <c r="I427" i="15"/>
  <c r="J427" i="15"/>
  <c r="I428" i="15"/>
  <c r="J428" i="15"/>
  <c r="I429" i="15"/>
  <c r="J429" i="15"/>
  <c r="I430" i="15"/>
  <c r="J430" i="15"/>
  <c r="I431" i="15"/>
  <c r="J431" i="15"/>
  <c r="I432" i="15"/>
  <c r="J432" i="15"/>
  <c r="I433" i="15"/>
  <c r="J433" i="15"/>
  <c r="I434" i="15"/>
  <c r="J434" i="15"/>
  <c r="I435" i="15"/>
  <c r="J435" i="15"/>
  <c r="I436" i="15"/>
  <c r="J436" i="15"/>
  <c r="I437" i="15"/>
  <c r="J437" i="15"/>
  <c r="I438" i="15"/>
  <c r="J438" i="15"/>
  <c r="I439" i="15"/>
  <c r="J439" i="15"/>
  <c r="I440" i="15"/>
  <c r="J440" i="15"/>
  <c r="I441" i="15"/>
  <c r="J441" i="15"/>
  <c r="I442" i="15"/>
  <c r="J442" i="15"/>
  <c r="I443" i="15"/>
  <c r="J443" i="15"/>
  <c r="I444" i="15"/>
  <c r="J444" i="15"/>
  <c r="I445" i="15"/>
  <c r="J445" i="15"/>
  <c r="I446" i="15"/>
  <c r="J446" i="15"/>
  <c r="I447" i="15"/>
  <c r="J447" i="15"/>
  <c r="I448" i="15"/>
  <c r="J448" i="15"/>
  <c r="I449" i="15"/>
  <c r="J449" i="15"/>
  <c r="I450" i="15"/>
  <c r="J450" i="15"/>
  <c r="I451" i="15"/>
  <c r="J451" i="15"/>
  <c r="I452" i="15"/>
  <c r="J452" i="15"/>
  <c r="I453" i="15"/>
  <c r="J453" i="15"/>
  <c r="I454" i="15"/>
  <c r="J454" i="15"/>
  <c r="I455" i="15"/>
  <c r="J455" i="15"/>
  <c r="I456" i="15"/>
  <c r="J456" i="15"/>
  <c r="I457" i="15"/>
  <c r="J457" i="15"/>
  <c r="I458" i="15"/>
  <c r="J458" i="15"/>
  <c r="I459" i="15"/>
  <c r="J459" i="15"/>
  <c r="I460" i="15"/>
  <c r="J460" i="15"/>
  <c r="I461" i="15"/>
  <c r="J461" i="15"/>
  <c r="I462" i="15"/>
  <c r="J462" i="15"/>
  <c r="I463" i="15"/>
  <c r="J463" i="15"/>
  <c r="I464" i="15"/>
  <c r="J464" i="15"/>
  <c r="I465" i="15"/>
  <c r="J465" i="15"/>
  <c r="I466" i="15"/>
  <c r="J466" i="15"/>
  <c r="I467" i="15"/>
  <c r="J467" i="15"/>
  <c r="I468" i="15"/>
  <c r="J468" i="15"/>
  <c r="I469" i="15"/>
  <c r="J469" i="15"/>
  <c r="I470" i="15"/>
  <c r="J470" i="15"/>
  <c r="I471" i="15"/>
  <c r="J471" i="15"/>
  <c r="I472" i="15"/>
  <c r="J472" i="15"/>
  <c r="I473" i="15"/>
  <c r="J473" i="15"/>
  <c r="I474" i="15"/>
  <c r="J474" i="15"/>
  <c r="I475" i="15"/>
  <c r="J475" i="15"/>
  <c r="I476" i="15"/>
  <c r="J476" i="15"/>
  <c r="I477" i="15"/>
  <c r="J477" i="15"/>
  <c r="I478" i="15"/>
  <c r="J478" i="15"/>
  <c r="I479" i="15"/>
  <c r="J479" i="15"/>
  <c r="I480" i="15"/>
  <c r="J480" i="15"/>
  <c r="I481" i="15"/>
  <c r="J481" i="15"/>
  <c r="I482" i="15"/>
  <c r="J482" i="15"/>
  <c r="I483" i="15"/>
  <c r="J483" i="15"/>
  <c r="I484" i="15"/>
  <c r="J484" i="15"/>
  <c r="I485" i="15"/>
  <c r="J485" i="15"/>
  <c r="I486" i="15"/>
  <c r="J486" i="15"/>
  <c r="I487" i="15"/>
  <c r="J487" i="15"/>
  <c r="I488" i="15"/>
  <c r="J488" i="15"/>
  <c r="I489" i="15"/>
  <c r="J489" i="15"/>
  <c r="I490" i="15"/>
  <c r="J490" i="15"/>
  <c r="I491" i="15"/>
  <c r="J491" i="15"/>
  <c r="I492" i="15"/>
  <c r="J492" i="15"/>
  <c r="I493" i="15"/>
  <c r="J493" i="15"/>
  <c r="I494" i="15"/>
  <c r="J494" i="15"/>
  <c r="I495" i="15"/>
  <c r="J495" i="15"/>
  <c r="I496" i="15"/>
  <c r="J496" i="15"/>
  <c r="I497" i="15"/>
  <c r="J497" i="15"/>
  <c r="I498" i="15"/>
  <c r="J498" i="15"/>
  <c r="I499" i="15"/>
  <c r="J499" i="15"/>
  <c r="I500" i="15"/>
  <c r="J500" i="15"/>
  <c r="I501" i="15"/>
  <c r="J501" i="15"/>
  <c r="I502" i="15"/>
  <c r="J502" i="15"/>
  <c r="I503" i="15"/>
  <c r="J503" i="15"/>
  <c r="I504" i="15"/>
  <c r="J504" i="15"/>
  <c r="I505" i="15"/>
  <c r="J505" i="15"/>
  <c r="I506" i="15"/>
  <c r="J506" i="15"/>
  <c r="I507" i="15"/>
  <c r="J507" i="15"/>
  <c r="I508" i="15"/>
  <c r="J508" i="15"/>
  <c r="I509" i="15"/>
  <c r="J509" i="15"/>
  <c r="I510" i="15"/>
  <c r="J510" i="15"/>
  <c r="I511" i="15"/>
  <c r="J511" i="15"/>
  <c r="I512" i="15"/>
  <c r="J512" i="15"/>
  <c r="I513" i="15"/>
  <c r="J513" i="15"/>
  <c r="I514" i="15"/>
  <c r="J514" i="15"/>
  <c r="I515" i="15"/>
  <c r="J515" i="15"/>
  <c r="I516" i="15"/>
  <c r="J516" i="15"/>
  <c r="I517" i="15"/>
  <c r="J517" i="15"/>
  <c r="I518" i="15"/>
  <c r="J518" i="15"/>
  <c r="I519" i="15"/>
  <c r="J519" i="15"/>
  <c r="I520" i="15"/>
  <c r="J520" i="15"/>
  <c r="I521" i="15"/>
  <c r="J521" i="15"/>
  <c r="I522" i="15"/>
  <c r="J522" i="15"/>
  <c r="I523" i="15"/>
  <c r="J523" i="15"/>
  <c r="I524" i="15"/>
  <c r="J524" i="15"/>
  <c r="I525" i="15"/>
  <c r="J525" i="15"/>
  <c r="I526" i="15"/>
  <c r="J526" i="15"/>
  <c r="I527" i="15"/>
  <c r="J527" i="15"/>
  <c r="I528" i="15"/>
  <c r="J528" i="15"/>
  <c r="I529" i="15"/>
  <c r="J529" i="15"/>
  <c r="I530" i="15"/>
  <c r="J530" i="15"/>
  <c r="I531" i="15"/>
  <c r="J531" i="15"/>
  <c r="I532" i="15"/>
  <c r="J532" i="15"/>
  <c r="I533" i="15"/>
  <c r="J533" i="15"/>
  <c r="I534" i="15"/>
  <c r="J534" i="15"/>
  <c r="I535" i="15"/>
  <c r="J535" i="15"/>
  <c r="I536" i="15"/>
  <c r="J536" i="15"/>
  <c r="I537" i="15"/>
  <c r="J537" i="15"/>
  <c r="I538" i="15"/>
  <c r="J538" i="15"/>
  <c r="I539" i="15"/>
  <c r="J539" i="15"/>
  <c r="I540" i="15"/>
  <c r="J540" i="15"/>
  <c r="I541" i="15"/>
  <c r="J541" i="15"/>
  <c r="I542" i="15"/>
  <c r="J542" i="15"/>
  <c r="I543" i="15"/>
  <c r="J543" i="15"/>
  <c r="I544" i="15"/>
  <c r="J544" i="15"/>
  <c r="I545" i="15"/>
  <c r="J545" i="15"/>
  <c r="I546" i="15"/>
  <c r="J546" i="15"/>
  <c r="I547" i="15"/>
  <c r="J547" i="15"/>
  <c r="I548" i="15"/>
  <c r="J548" i="15"/>
  <c r="I549" i="15"/>
  <c r="J549" i="15"/>
  <c r="I550" i="15"/>
  <c r="J550" i="15"/>
  <c r="I551" i="15"/>
  <c r="J551" i="15"/>
  <c r="I552" i="15"/>
  <c r="J552" i="15"/>
  <c r="I553" i="15"/>
  <c r="J553" i="15"/>
  <c r="I554" i="15"/>
  <c r="J554" i="15"/>
  <c r="I555" i="15"/>
  <c r="J555" i="15"/>
  <c r="I556" i="15"/>
  <c r="J556" i="15"/>
  <c r="I557" i="15"/>
  <c r="J557" i="15"/>
  <c r="I558" i="15"/>
  <c r="J558" i="15"/>
  <c r="I559" i="15"/>
  <c r="J559" i="15"/>
  <c r="I560" i="15"/>
  <c r="J560" i="15"/>
  <c r="I561" i="15"/>
  <c r="J561" i="15"/>
  <c r="I562" i="15"/>
  <c r="J562" i="15"/>
  <c r="I563" i="15"/>
  <c r="J563" i="15"/>
  <c r="I564" i="15"/>
  <c r="J564" i="15"/>
  <c r="I565" i="15"/>
  <c r="J565" i="15"/>
  <c r="I566" i="15"/>
  <c r="J566" i="15"/>
  <c r="I567" i="15"/>
  <c r="J567" i="15"/>
  <c r="I568" i="15"/>
  <c r="J568" i="15"/>
  <c r="I569" i="15"/>
  <c r="J569" i="15"/>
  <c r="I570" i="15"/>
  <c r="J570" i="15"/>
  <c r="I571" i="15"/>
  <c r="J571" i="15"/>
  <c r="I572" i="15"/>
  <c r="J572" i="15"/>
  <c r="I573" i="15"/>
  <c r="J573" i="15"/>
  <c r="I574" i="15"/>
  <c r="J574" i="15"/>
  <c r="I575" i="15"/>
  <c r="J575" i="15"/>
  <c r="I576" i="15"/>
  <c r="J576" i="15"/>
  <c r="I577" i="15"/>
  <c r="J577" i="15"/>
  <c r="I578" i="15"/>
  <c r="J578" i="15"/>
  <c r="I579" i="15"/>
  <c r="J579" i="15"/>
  <c r="I580" i="15"/>
  <c r="J580" i="15"/>
  <c r="I581" i="15"/>
  <c r="J581" i="15"/>
  <c r="I582" i="15"/>
  <c r="J582" i="15"/>
  <c r="I583" i="15"/>
  <c r="J583" i="15"/>
  <c r="I584" i="15"/>
  <c r="J584" i="15"/>
  <c r="I585" i="15"/>
  <c r="J585" i="15"/>
  <c r="I586" i="15"/>
  <c r="J586" i="15"/>
  <c r="I587" i="15"/>
  <c r="J587" i="15"/>
  <c r="I588" i="15"/>
  <c r="J588" i="15"/>
  <c r="I589" i="15"/>
  <c r="J589" i="15"/>
  <c r="I590" i="15"/>
  <c r="J590" i="15"/>
  <c r="I591" i="15"/>
  <c r="J591" i="15"/>
  <c r="I592" i="15"/>
  <c r="J592" i="15"/>
  <c r="I593" i="15"/>
  <c r="J593" i="15"/>
  <c r="I594" i="15"/>
  <c r="J594" i="15"/>
  <c r="I595" i="15"/>
  <c r="J595" i="15"/>
  <c r="I596" i="15"/>
  <c r="J596" i="15"/>
  <c r="I597" i="15"/>
  <c r="J597" i="15"/>
  <c r="I598" i="15"/>
  <c r="J598" i="15"/>
  <c r="I599" i="15"/>
  <c r="J599" i="15"/>
  <c r="I600" i="15"/>
  <c r="J600" i="15"/>
  <c r="I601" i="15"/>
  <c r="J601" i="15"/>
  <c r="I602" i="15"/>
  <c r="J602" i="15"/>
  <c r="I603" i="15"/>
  <c r="J603" i="15"/>
  <c r="I604" i="15"/>
  <c r="J604" i="15"/>
  <c r="I605" i="15"/>
  <c r="J605" i="15"/>
  <c r="I606" i="15"/>
  <c r="J606" i="15"/>
  <c r="I607" i="15"/>
  <c r="J607" i="15"/>
  <c r="I608" i="15"/>
  <c r="J608" i="15"/>
  <c r="I609" i="15"/>
  <c r="J609" i="15"/>
  <c r="I610" i="15"/>
  <c r="J610" i="15"/>
  <c r="I611" i="15"/>
  <c r="J611" i="15"/>
  <c r="I612" i="15"/>
  <c r="J612" i="15"/>
  <c r="I613" i="15"/>
  <c r="J613" i="15"/>
  <c r="I614" i="15"/>
  <c r="J614" i="15"/>
  <c r="I615" i="15"/>
  <c r="J615" i="15"/>
  <c r="I616" i="15"/>
  <c r="J616" i="15"/>
  <c r="I617" i="15"/>
  <c r="J617" i="15"/>
  <c r="I618" i="15"/>
  <c r="J618" i="15"/>
  <c r="I619" i="15"/>
  <c r="J619" i="15"/>
  <c r="I620" i="15"/>
  <c r="J620" i="15"/>
  <c r="I621" i="15"/>
  <c r="J621" i="15"/>
  <c r="I622" i="15"/>
  <c r="J622" i="15"/>
  <c r="I623" i="15"/>
  <c r="J623" i="15"/>
  <c r="I624" i="15"/>
  <c r="J624" i="15"/>
  <c r="I625" i="15"/>
  <c r="J625" i="15"/>
  <c r="I626" i="15"/>
  <c r="J626" i="15"/>
  <c r="I627" i="15"/>
  <c r="J627" i="15"/>
  <c r="I628" i="15"/>
  <c r="J628" i="15"/>
  <c r="I629" i="15"/>
  <c r="J629" i="15"/>
  <c r="I630" i="15"/>
  <c r="J630" i="15"/>
  <c r="I631" i="15"/>
  <c r="J631" i="15"/>
  <c r="I632" i="15"/>
  <c r="J632" i="15"/>
  <c r="I633" i="15"/>
  <c r="J633" i="15"/>
  <c r="I634" i="15"/>
  <c r="J634" i="15"/>
  <c r="I635" i="15"/>
  <c r="J635" i="15"/>
  <c r="I636" i="15"/>
  <c r="J636" i="15"/>
  <c r="I637" i="15"/>
  <c r="J637" i="15"/>
  <c r="I638" i="15"/>
  <c r="J638" i="15"/>
  <c r="I639" i="15"/>
  <c r="J639" i="15"/>
  <c r="I640" i="15"/>
  <c r="J640" i="15"/>
  <c r="I641" i="15"/>
  <c r="J641" i="15"/>
  <c r="I642" i="15"/>
  <c r="J642" i="15"/>
  <c r="I643" i="15"/>
  <c r="J643" i="15"/>
  <c r="I644" i="15"/>
  <c r="J644" i="15"/>
  <c r="I645" i="15"/>
  <c r="J645" i="15"/>
  <c r="I646" i="15"/>
  <c r="J646" i="15"/>
  <c r="I647" i="15"/>
  <c r="J647" i="15"/>
  <c r="I648" i="15"/>
  <c r="J648" i="15"/>
  <c r="I649" i="15"/>
  <c r="J649" i="15"/>
  <c r="I650" i="15"/>
  <c r="J650" i="15"/>
  <c r="I651" i="15"/>
  <c r="J651" i="15"/>
  <c r="I652" i="15"/>
  <c r="J652" i="15"/>
  <c r="I653" i="15"/>
  <c r="J653" i="15"/>
  <c r="I654" i="15"/>
  <c r="J654" i="15"/>
  <c r="I655" i="15"/>
  <c r="J655" i="15"/>
  <c r="I656" i="15"/>
  <c r="J656" i="15"/>
  <c r="I657" i="15"/>
  <c r="J657" i="15"/>
  <c r="I658" i="15"/>
  <c r="J658" i="15"/>
  <c r="I659" i="15"/>
  <c r="J659" i="15"/>
  <c r="I660" i="15"/>
  <c r="J660" i="15"/>
  <c r="I661" i="15"/>
  <c r="J661" i="15"/>
  <c r="I662" i="15"/>
  <c r="J662" i="15"/>
  <c r="I663" i="15"/>
  <c r="J663" i="15"/>
  <c r="I664" i="15"/>
  <c r="J664" i="15"/>
  <c r="I665" i="15"/>
  <c r="J665" i="15"/>
  <c r="I666" i="15"/>
  <c r="J666" i="15"/>
  <c r="I667" i="15"/>
  <c r="J667" i="15"/>
  <c r="I668" i="15"/>
  <c r="J668" i="15"/>
  <c r="I669" i="15"/>
  <c r="J669" i="15"/>
  <c r="I670" i="15"/>
  <c r="J670" i="15"/>
  <c r="I671" i="15"/>
  <c r="J671" i="15"/>
  <c r="I672" i="15"/>
  <c r="J672" i="15"/>
  <c r="I673" i="15"/>
  <c r="J673" i="15"/>
  <c r="I674" i="15"/>
  <c r="J674" i="15"/>
  <c r="I675" i="15"/>
  <c r="J675" i="15"/>
  <c r="I676" i="15"/>
  <c r="J676" i="15"/>
  <c r="I677" i="15"/>
  <c r="J677" i="15"/>
  <c r="I678" i="15"/>
  <c r="J678" i="15"/>
  <c r="I679" i="15"/>
  <c r="J679" i="15"/>
  <c r="I680" i="15"/>
  <c r="J680" i="15"/>
  <c r="I681" i="15"/>
  <c r="J681" i="15"/>
  <c r="I682" i="15"/>
  <c r="J682" i="15"/>
  <c r="I683" i="15"/>
  <c r="J683" i="15"/>
  <c r="I684" i="15"/>
  <c r="J684" i="15"/>
  <c r="I685" i="15"/>
  <c r="J685" i="15"/>
  <c r="I686" i="15"/>
  <c r="J686" i="15"/>
  <c r="I687" i="15"/>
  <c r="J687" i="15"/>
  <c r="I688" i="15"/>
  <c r="J688" i="15"/>
  <c r="I689" i="15"/>
  <c r="J689" i="15"/>
  <c r="I690" i="15"/>
  <c r="J690" i="15"/>
  <c r="I691" i="15"/>
  <c r="J691" i="15"/>
  <c r="I692" i="15"/>
  <c r="J692" i="15"/>
  <c r="I693" i="15"/>
  <c r="J693" i="15"/>
  <c r="I694" i="15"/>
  <c r="J694" i="15"/>
  <c r="I695" i="15"/>
  <c r="J695" i="15"/>
  <c r="I696" i="15"/>
  <c r="J696" i="15"/>
  <c r="I697" i="15"/>
  <c r="J697" i="15"/>
  <c r="I698" i="15"/>
  <c r="J698" i="15"/>
  <c r="I699" i="15"/>
  <c r="J699" i="15"/>
  <c r="I700" i="15"/>
  <c r="J700" i="15"/>
  <c r="I701" i="15"/>
  <c r="J701" i="15"/>
  <c r="I702" i="15"/>
  <c r="J702" i="15"/>
  <c r="I703" i="15"/>
  <c r="J703" i="15"/>
  <c r="I704" i="15"/>
  <c r="J704" i="15"/>
  <c r="I705" i="15"/>
  <c r="J705" i="15"/>
  <c r="I706" i="15"/>
  <c r="J706" i="15"/>
  <c r="I707" i="15"/>
  <c r="J707" i="15"/>
  <c r="I708" i="15"/>
  <c r="J708" i="15"/>
  <c r="I709" i="15"/>
  <c r="J709" i="15"/>
  <c r="I710" i="15"/>
  <c r="J710" i="15"/>
  <c r="I711" i="15"/>
  <c r="J711" i="15"/>
  <c r="I712" i="15"/>
  <c r="J712" i="15"/>
  <c r="I713" i="15"/>
  <c r="J713" i="15"/>
  <c r="I714" i="15"/>
  <c r="J714" i="15"/>
  <c r="I715" i="15"/>
  <c r="J715" i="15"/>
  <c r="I716" i="15"/>
  <c r="J716" i="15"/>
  <c r="I717" i="15"/>
  <c r="J717" i="15"/>
  <c r="I718" i="15"/>
  <c r="J718" i="15"/>
  <c r="I719" i="15"/>
  <c r="J719" i="15"/>
  <c r="I720" i="15"/>
  <c r="J720" i="15"/>
  <c r="I721" i="15"/>
  <c r="J721" i="15"/>
  <c r="I722" i="15"/>
  <c r="J722" i="15"/>
  <c r="I723" i="15"/>
  <c r="J723" i="15"/>
  <c r="I724" i="15"/>
  <c r="J724" i="15"/>
  <c r="I725" i="15"/>
  <c r="J725" i="15"/>
  <c r="I726" i="15"/>
  <c r="J726" i="15"/>
  <c r="I727" i="15"/>
  <c r="J727" i="15"/>
  <c r="I728" i="15"/>
  <c r="J728" i="15"/>
  <c r="I729" i="15"/>
  <c r="J729" i="15"/>
  <c r="I730" i="15"/>
  <c r="J730" i="15"/>
  <c r="I731" i="15"/>
  <c r="J731" i="15"/>
  <c r="I732" i="15"/>
  <c r="J732" i="15"/>
  <c r="I733" i="15"/>
  <c r="J733" i="15"/>
  <c r="I734" i="15"/>
  <c r="J734" i="15"/>
  <c r="I735" i="15"/>
  <c r="J735" i="15"/>
  <c r="I736" i="15"/>
  <c r="J736" i="15"/>
  <c r="I737" i="15"/>
  <c r="J737" i="15"/>
  <c r="I738" i="15"/>
  <c r="J738" i="15"/>
  <c r="I739" i="15"/>
  <c r="J739" i="15"/>
  <c r="I740" i="15"/>
  <c r="J740" i="15"/>
  <c r="I741" i="15"/>
  <c r="J741" i="15"/>
  <c r="I742" i="15"/>
  <c r="J742" i="15"/>
  <c r="I743" i="15"/>
  <c r="J743" i="15"/>
  <c r="I744" i="15"/>
  <c r="J744" i="15"/>
  <c r="I745" i="15"/>
  <c r="J745" i="15"/>
  <c r="I746" i="15"/>
  <c r="J746" i="15"/>
  <c r="I747" i="15"/>
  <c r="J747" i="15"/>
  <c r="I748" i="15"/>
  <c r="J748" i="15"/>
  <c r="I749" i="15"/>
  <c r="J749" i="15"/>
  <c r="I750" i="15"/>
  <c r="J750" i="15"/>
  <c r="I751" i="15"/>
  <c r="J751" i="15"/>
  <c r="I752" i="15"/>
  <c r="J752" i="15"/>
  <c r="I753" i="15"/>
  <c r="J753" i="15"/>
  <c r="I754" i="15"/>
  <c r="J754" i="15"/>
  <c r="I755" i="15"/>
  <c r="J755" i="15"/>
  <c r="I756" i="15"/>
  <c r="J756" i="15"/>
  <c r="I757" i="15"/>
  <c r="J757" i="15"/>
  <c r="I758" i="15"/>
  <c r="J758" i="15"/>
  <c r="I759" i="15"/>
  <c r="J759" i="15"/>
  <c r="I760" i="15"/>
  <c r="J760" i="15"/>
  <c r="I761" i="15"/>
  <c r="J761" i="15"/>
  <c r="I762" i="15"/>
  <c r="J762" i="15"/>
  <c r="I763" i="15"/>
  <c r="J763" i="15"/>
  <c r="I764" i="15"/>
  <c r="J764" i="15"/>
  <c r="I765" i="15"/>
  <c r="J765" i="15"/>
  <c r="I766" i="15"/>
  <c r="J766" i="15"/>
  <c r="I767" i="15"/>
  <c r="J767" i="15"/>
  <c r="I768" i="15"/>
  <c r="J768" i="15"/>
  <c r="I769" i="15"/>
  <c r="J769" i="15"/>
  <c r="I770" i="15"/>
  <c r="J770" i="15"/>
  <c r="I771" i="15"/>
  <c r="J771" i="15"/>
  <c r="I772" i="15"/>
  <c r="J772" i="15"/>
  <c r="I773" i="15"/>
  <c r="J773" i="15"/>
  <c r="I774" i="15"/>
  <c r="J774" i="15"/>
  <c r="I775" i="15"/>
  <c r="J775" i="15"/>
  <c r="I776" i="15"/>
  <c r="J776" i="15"/>
  <c r="I777" i="15"/>
  <c r="J777" i="15"/>
  <c r="I778" i="15"/>
  <c r="J778" i="15"/>
  <c r="I779" i="15"/>
  <c r="J779" i="15"/>
  <c r="I780" i="15"/>
  <c r="J780" i="15"/>
  <c r="I781" i="15"/>
  <c r="J781" i="15"/>
  <c r="I782" i="15"/>
  <c r="J782" i="15"/>
  <c r="I783" i="15"/>
  <c r="J783" i="15"/>
  <c r="I784" i="15"/>
  <c r="J784" i="15"/>
  <c r="I785" i="15"/>
  <c r="J785" i="15"/>
  <c r="I786" i="15"/>
  <c r="J786" i="15"/>
  <c r="I787" i="15"/>
  <c r="J787" i="15"/>
  <c r="I788" i="15"/>
  <c r="J788" i="15"/>
  <c r="I789" i="15"/>
  <c r="J789" i="15"/>
  <c r="I790" i="15"/>
  <c r="J790" i="15"/>
  <c r="I791" i="15"/>
  <c r="J791" i="15"/>
  <c r="I792" i="15"/>
  <c r="J792" i="15"/>
  <c r="I793" i="15"/>
  <c r="J793" i="15"/>
  <c r="I794" i="15"/>
  <c r="J794" i="15"/>
  <c r="I795" i="15"/>
  <c r="J795" i="15"/>
  <c r="I796" i="15"/>
  <c r="J796" i="15"/>
  <c r="I797" i="15"/>
  <c r="J797" i="15"/>
  <c r="I798" i="15"/>
  <c r="J798" i="15"/>
  <c r="I799" i="15"/>
  <c r="J799" i="15"/>
  <c r="I800" i="15"/>
  <c r="J800" i="15"/>
  <c r="I801" i="15"/>
  <c r="J801" i="15"/>
  <c r="I802" i="15"/>
  <c r="J802" i="15"/>
  <c r="I803" i="15"/>
  <c r="J803" i="15"/>
  <c r="I804" i="15"/>
  <c r="J804" i="15"/>
  <c r="I805" i="15"/>
  <c r="J805" i="15"/>
  <c r="I806" i="15"/>
  <c r="J806" i="15"/>
  <c r="I807" i="15"/>
  <c r="J807" i="15"/>
  <c r="I808" i="15"/>
  <c r="J808" i="15"/>
  <c r="I809" i="15"/>
  <c r="J809" i="15"/>
  <c r="I810" i="15"/>
  <c r="J810" i="15"/>
  <c r="I811" i="15"/>
  <c r="J811" i="15"/>
  <c r="I812" i="15"/>
  <c r="J812" i="15"/>
  <c r="I813" i="15"/>
  <c r="J813" i="15"/>
  <c r="I814" i="15"/>
  <c r="J814" i="15"/>
  <c r="I815" i="15"/>
  <c r="J815" i="15"/>
  <c r="I816" i="15"/>
  <c r="J816" i="15"/>
  <c r="I817" i="15"/>
  <c r="J817" i="15"/>
  <c r="I818" i="15"/>
  <c r="J818" i="15"/>
  <c r="I819" i="15"/>
  <c r="J819" i="15"/>
  <c r="I820" i="15"/>
  <c r="J820" i="15"/>
  <c r="I821" i="15"/>
  <c r="J821" i="15"/>
  <c r="I822" i="15"/>
  <c r="J822" i="15"/>
  <c r="I823" i="15"/>
  <c r="J823" i="15"/>
  <c r="I824" i="15"/>
  <c r="J824" i="15"/>
  <c r="I825" i="15"/>
  <c r="J825" i="15"/>
  <c r="I826" i="15"/>
  <c r="J826" i="15"/>
  <c r="I827" i="15"/>
  <c r="J827" i="15"/>
  <c r="I828" i="15"/>
  <c r="J828" i="15"/>
  <c r="I829" i="15"/>
  <c r="J829" i="15"/>
  <c r="I830" i="15"/>
  <c r="J830" i="15"/>
  <c r="I831" i="15"/>
  <c r="J831" i="15"/>
  <c r="I832" i="15"/>
  <c r="J832" i="15"/>
  <c r="I833" i="15"/>
  <c r="J833" i="15"/>
  <c r="I834" i="15"/>
  <c r="J834" i="15"/>
  <c r="I835" i="15"/>
  <c r="J835" i="15"/>
  <c r="I836" i="15"/>
  <c r="J836" i="15"/>
  <c r="I837" i="15"/>
  <c r="J837" i="15"/>
  <c r="I838" i="15"/>
  <c r="J838" i="15"/>
  <c r="I839" i="15"/>
  <c r="J839" i="15"/>
  <c r="I840" i="15"/>
  <c r="J840" i="15"/>
  <c r="I841" i="15"/>
  <c r="J841" i="15"/>
  <c r="I842" i="15"/>
  <c r="J842" i="15"/>
  <c r="I843" i="15"/>
  <c r="J843" i="15"/>
  <c r="I844" i="15"/>
  <c r="J844" i="15"/>
  <c r="I845" i="15"/>
  <c r="J845" i="15"/>
  <c r="I846" i="15"/>
  <c r="J846" i="15"/>
  <c r="I847" i="15"/>
  <c r="J847" i="15"/>
  <c r="I848" i="15"/>
  <c r="J848" i="15"/>
  <c r="I849" i="15"/>
  <c r="J849" i="15"/>
  <c r="I850" i="15"/>
  <c r="J850" i="15"/>
  <c r="I851" i="15"/>
  <c r="J851" i="15"/>
  <c r="I852" i="15"/>
  <c r="J852" i="15"/>
  <c r="I853" i="15"/>
  <c r="J853" i="15"/>
  <c r="I854" i="15"/>
  <c r="J854" i="15"/>
  <c r="I855" i="15"/>
  <c r="J855" i="15"/>
  <c r="I856" i="15"/>
  <c r="J856" i="15"/>
  <c r="I857" i="15"/>
  <c r="J857" i="15"/>
  <c r="I858" i="15"/>
  <c r="J858" i="15"/>
  <c r="I859" i="15"/>
  <c r="J859" i="15"/>
  <c r="I860" i="15"/>
  <c r="J860" i="15"/>
  <c r="I861" i="15"/>
  <c r="J861" i="15"/>
  <c r="I862" i="15"/>
  <c r="J862" i="15"/>
  <c r="I863" i="15"/>
  <c r="J863" i="15"/>
  <c r="I864" i="15"/>
  <c r="J864" i="15"/>
  <c r="I865" i="15"/>
  <c r="J865" i="15"/>
  <c r="I866" i="15"/>
  <c r="J866" i="15"/>
  <c r="I867" i="15"/>
  <c r="J867" i="15"/>
  <c r="I868" i="15"/>
  <c r="J868" i="15"/>
  <c r="I869" i="15"/>
  <c r="J869" i="15"/>
  <c r="I870" i="15"/>
  <c r="J870" i="15"/>
  <c r="I871" i="15"/>
  <c r="J871" i="15"/>
  <c r="I872" i="15"/>
  <c r="J872" i="15"/>
  <c r="I873" i="15"/>
  <c r="J873" i="15"/>
  <c r="I874" i="15"/>
  <c r="J874" i="15"/>
  <c r="I875" i="15"/>
  <c r="J875" i="15"/>
  <c r="I876" i="15"/>
  <c r="J876" i="15"/>
  <c r="I877" i="15"/>
  <c r="J877" i="15"/>
  <c r="I878" i="15"/>
  <c r="J878" i="15"/>
  <c r="I879" i="15"/>
  <c r="J879" i="15"/>
  <c r="I880" i="15"/>
  <c r="J880" i="15"/>
  <c r="I881" i="15"/>
  <c r="J881" i="15"/>
  <c r="I882" i="15"/>
  <c r="J882" i="15"/>
  <c r="I883" i="15"/>
  <c r="J883" i="15"/>
  <c r="I884" i="15"/>
  <c r="J884" i="15"/>
  <c r="I885" i="15"/>
  <c r="J885" i="15"/>
  <c r="I886" i="15"/>
  <c r="J886" i="15"/>
  <c r="I887" i="15"/>
  <c r="J887" i="15"/>
  <c r="I888" i="15"/>
  <c r="J888" i="15"/>
  <c r="I889" i="15"/>
  <c r="J889" i="15"/>
  <c r="I890" i="15"/>
  <c r="J890" i="15"/>
  <c r="I891" i="15"/>
  <c r="J891" i="15"/>
  <c r="I892" i="15"/>
  <c r="J892" i="15"/>
  <c r="I893" i="15"/>
  <c r="J893" i="15"/>
  <c r="I894" i="15"/>
  <c r="J894" i="15"/>
  <c r="I895" i="15"/>
  <c r="J895" i="15"/>
  <c r="I896" i="15"/>
  <c r="J896" i="15"/>
  <c r="I897" i="15"/>
  <c r="J897" i="15"/>
  <c r="I898" i="15"/>
  <c r="J898" i="15"/>
  <c r="I899" i="15"/>
  <c r="J899" i="15"/>
  <c r="I900" i="15"/>
  <c r="J900" i="15"/>
  <c r="I901" i="15"/>
  <c r="J901" i="15"/>
  <c r="I902" i="15"/>
  <c r="J902" i="15"/>
  <c r="I903" i="15"/>
  <c r="J903" i="15"/>
  <c r="I904" i="15"/>
  <c r="J904" i="15"/>
  <c r="I905" i="15"/>
  <c r="J905" i="15"/>
  <c r="I906" i="15"/>
  <c r="J906" i="15"/>
  <c r="I907" i="15"/>
  <c r="J907" i="15"/>
  <c r="I908" i="15"/>
  <c r="J908" i="15"/>
  <c r="I909" i="15"/>
  <c r="J909" i="15"/>
  <c r="I910" i="15"/>
  <c r="J910" i="15"/>
  <c r="I911" i="15"/>
  <c r="J911" i="15"/>
  <c r="I912" i="15"/>
  <c r="J912" i="15"/>
  <c r="I913" i="15"/>
  <c r="J913" i="15"/>
  <c r="I914" i="15"/>
  <c r="J914" i="15"/>
  <c r="I915" i="15"/>
  <c r="J915" i="15"/>
  <c r="I916" i="15"/>
  <c r="J916" i="15"/>
  <c r="I917" i="15"/>
  <c r="J917" i="15"/>
  <c r="I918" i="15"/>
  <c r="J918" i="15"/>
  <c r="I919" i="15"/>
  <c r="J919" i="15"/>
  <c r="I920" i="15"/>
  <c r="J920" i="15"/>
  <c r="I921" i="15"/>
  <c r="J921" i="15"/>
  <c r="I922" i="15"/>
  <c r="J922" i="15"/>
  <c r="I923" i="15"/>
  <c r="J923" i="15"/>
  <c r="I924" i="15"/>
  <c r="J924" i="15"/>
  <c r="I925" i="15"/>
  <c r="J925" i="15"/>
  <c r="I926" i="15"/>
  <c r="J926" i="15"/>
  <c r="I927" i="15"/>
  <c r="J927" i="15"/>
  <c r="I928" i="15"/>
  <c r="J928" i="15"/>
  <c r="I929" i="15"/>
  <c r="J929" i="15"/>
  <c r="I930" i="15"/>
  <c r="J930" i="15"/>
  <c r="I931" i="15"/>
  <c r="J931" i="15"/>
  <c r="I932" i="15"/>
  <c r="J932" i="15"/>
  <c r="I933" i="15"/>
  <c r="J933" i="15"/>
  <c r="I934" i="15"/>
  <c r="J934" i="15"/>
  <c r="I935" i="15"/>
  <c r="J935" i="15"/>
  <c r="I936" i="15"/>
  <c r="J936" i="15"/>
  <c r="I937" i="15"/>
  <c r="J937" i="15"/>
  <c r="I938" i="15"/>
  <c r="J938" i="15"/>
  <c r="I939" i="15"/>
  <c r="J939" i="15"/>
  <c r="I940" i="15"/>
  <c r="J940" i="15"/>
  <c r="I941" i="15"/>
  <c r="J941" i="15"/>
  <c r="I942" i="15"/>
  <c r="J942" i="15"/>
  <c r="I943" i="15"/>
  <c r="J943" i="15"/>
  <c r="I944" i="15"/>
  <c r="J944" i="15"/>
  <c r="I945" i="15"/>
  <c r="J945" i="15"/>
  <c r="I946" i="15"/>
  <c r="J946" i="15"/>
  <c r="I947" i="15"/>
  <c r="J947" i="15"/>
  <c r="I948" i="15"/>
  <c r="J948" i="15"/>
  <c r="I949" i="15"/>
  <c r="J949" i="15"/>
  <c r="I950" i="15"/>
  <c r="J950" i="15"/>
  <c r="I951" i="15"/>
  <c r="J951" i="15"/>
  <c r="I952" i="15"/>
  <c r="J952" i="15"/>
  <c r="I953" i="15"/>
  <c r="J953" i="15"/>
  <c r="I954" i="15"/>
  <c r="J954" i="15"/>
  <c r="I955" i="15"/>
  <c r="J955" i="15"/>
  <c r="I956" i="15"/>
  <c r="J956" i="15"/>
  <c r="I957" i="15"/>
  <c r="J957" i="15"/>
  <c r="I958" i="15"/>
  <c r="J958" i="15"/>
  <c r="I959" i="15"/>
  <c r="J959" i="15"/>
  <c r="I960" i="15"/>
  <c r="J960" i="15"/>
  <c r="I961" i="15"/>
  <c r="J961" i="15"/>
  <c r="I962" i="15"/>
  <c r="J962" i="15"/>
  <c r="I963" i="15"/>
  <c r="J963" i="15"/>
  <c r="I964" i="15"/>
  <c r="J964" i="15"/>
  <c r="I965" i="15"/>
  <c r="J965" i="15"/>
  <c r="I966" i="15"/>
  <c r="J966" i="15"/>
  <c r="I967" i="15"/>
  <c r="J967" i="15"/>
  <c r="I968" i="15"/>
  <c r="J968" i="15"/>
  <c r="I969" i="15"/>
  <c r="J969" i="15"/>
  <c r="I970" i="15"/>
  <c r="J970" i="15"/>
  <c r="I971" i="15"/>
  <c r="J971" i="15"/>
  <c r="I972" i="15"/>
  <c r="J972" i="15"/>
  <c r="I973" i="15"/>
  <c r="J973" i="15"/>
  <c r="I974" i="15"/>
  <c r="J974" i="15"/>
  <c r="I975" i="15"/>
  <c r="J975" i="15"/>
  <c r="I976" i="15"/>
  <c r="J976" i="15"/>
  <c r="I977" i="15"/>
  <c r="J977" i="15"/>
  <c r="I978" i="15"/>
  <c r="J978" i="15"/>
  <c r="I979" i="15"/>
  <c r="J979" i="15"/>
  <c r="I980" i="15"/>
  <c r="J980" i="15"/>
  <c r="I981" i="15"/>
  <c r="J981" i="15"/>
  <c r="I982" i="15"/>
  <c r="J982" i="15"/>
  <c r="I983" i="15"/>
  <c r="J983" i="15"/>
  <c r="I984" i="15"/>
  <c r="J984" i="15"/>
  <c r="I985" i="15"/>
  <c r="J985" i="15"/>
  <c r="I986" i="15"/>
  <c r="J986" i="15"/>
  <c r="I987" i="15"/>
  <c r="J987" i="15"/>
  <c r="I988" i="15"/>
  <c r="J988" i="15"/>
  <c r="I989" i="15"/>
  <c r="J989" i="15"/>
  <c r="I990" i="15"/>
  <c r="J990" i="15"/>
  <c r="I991" i="15"/>
  <c r="J991" i="15"/>
  <c r="I992" i="15"/>
  <c r="J992" i="15"/>
  <c r="I993" i="15"/>
  <c r="J993" i="15"/>
  <c r="I994" i="15"/>
  <c r="J994" i="15"/>
  <c r="I995" i="15"/>
  <c r="J995" i="15"/>
  <c r="I996" i="15"/>
  <c r="J996" i="15"/>
  <c r="I997" i="15"/>
  <c r="J997" i="15"/>
  <c r="I998" i="15"/>
  <c r="J998" i="15"/>
  <c r="I999" i="15"/>
  <c r="J999" i="15"/>
  <c r="I1000" i="15"/>
  <c r="J1000" i="15"/>
  <c r="I1001" i="15"/>
  <c r="J1001" i="15"/>
  <c r="I1002" i="15"/>
  <c r="J1002" i="15"/>
  <c r="I1003" i="15"/>
  <c r="J1003" i="15"/>
  <c r="I1004" i="15"/>
  <c r="J1004" i="15"/>
  <c r="I1005" i="15"/>
  <c r="J1005" i="15"/>
  <c r="I1006" i="15"/>
  <c r="J1006" i="15"/>
  <c r="I1007" i="15"/>
  <c r="J1007" i="15"/>
  <c r="I1008" i="15"/>
  <c r="J1008" i="15"/>
  <c r="I1009" i="15"/>
  <c r="J1009" i="15"/>
  <c r="I1010" i="15"/>
  <c r="J1010" i="15"/>
  <c r="I1011" i="15"/>
  <c r="J1011" i="15"/>
  <c r="I1012" i="15"/>
  <c r="J1012" i="15"/>
  <c r="I1013" i="15"/>
  <c r="J1013" i="15"/>
  <c r="I1014" i="15"/>
  <c r="J1014" i="15"/>
  <c r="I1015" i="15"/>
  <c r="J1015" i="15"/>
  <c r="I1016" i="15"/>
  <c r="J1016" i="15"/>
  <c r="I1017" i="15"/>
  <c r="J1017" i="15"/>
  <c r="I1018" i="15"/>
  <c r="J1018" i="15"/>
  <c r="I1019" i="15"/>
  <c r="J1019" i="15"/>
  <c r="I1020" i="15"/>
  <c r="J1020" i="15"/>
  <c r="I1021" i="15"/>
  <c r="J1021" i="15"/>
  <c r="I1022" i="15"/>
  <c r="J1022" i="15"/>
  <c r="I1023" i="15"/>
  <c r="J1023" i="15"/>
  <c r="I1024" i="15"/>
  <c r="J1024" i="15"/>
  <c r="I1025" i="15"/>
  <c r="J1025" i="15"/>
  <c r="I1026" i="15"/>
  <c r="J1026" i="15"/>
  <c r="I1027" i="15"/>
  <c r="J1027" i="15"/>
  <c r="I1028" i="15"/>
  <c r="J1028" i="15"/>
  <c r="I1029" i="15"/>
  <c r="J1029" i="15"/>
  <c r="I1030" i="15"/>
  <c r="J1030" i="15"/>
  <c r="I1031" i="15"/>
  <c r="J1031" i="15"/>
  <c r="I1032" i="15"/>
  <c r="J1032" i="15"/>
  <c r="I1033" i="15"/>
  <c r="J1033" i="15"/>
  <c r="I1034" i="15"/>
  <c r="J1034" i="15"/>
  <c r="I1035" i="15"/>
  <c r="J1035" i="15"/>
  <c r="I1036" i="15"/>
  <c r="J1036" i="15"/>
  <c r="I1037" i="15"/>
  <c r="J1037" i="15"/>
  <c r="I1038" i="15"/>
  <c r="J1038" i="15"/>
  <c r="I1039" i="15"/>
  <c r="J1039" i="15"/>
  <c r="I1040" i="15"/>
  <c r="J1040" i="15"/>
  <c r="I1041" i="15"/>
  <c r="J1041" i="15"/>
  <c r="I1042" i="15"/>
  <c r="J1042" i="15"/>
  <c r="I1043" i="15"/>
  <c r="J1043" i="15"/>
  <c r="I1044" i="15"/>
  <c r="J1044" i="15"/>
  <c r="I1045" i="15"/>
  <c r="J1045" i="15"/>
  <c r="I1046" i="15"/>
  <c r="J1046" i="15"/>
  <c r="I1047" i="15"/>
  <c r="J1047" i="15"/>
  <c r="I1048" i="15"/>
  <c r="J1048" i="15"/>
  <c r="I1049" i="15"/>
  <c r="J1049" i="15"/>
  <c r="I1050" i="15"/>
  <c r="J1050" i="15"/>
  <c r="I1051" i="15"/>
  <c r="J1051" i="15"/>
  <c r="I1052" i="15"/>
  <c r="J1052" i="15"/>
  <c r="I1053" i="15"/>
  <c r="J1053" i="15"/>
  <c r="I1054" i="15"/>
  <c r="J1054" i="15"/>
  <c r="I1055" i="15"/>
  <c r="J1055" i="15"/>
  <c r="I1056" i="15"/>
  <c r="J1056" i="15"/>
  <c r="I1057" i="15"/>
  <c r="J1057" i="15"/>
  <c r="I1058" i="15"/>
  <c r="J1058" i="15"/>
  <c r="I1059" i="15"/>
  <c r="J1059" i="15"/>
  <c r="I1060" i="15"/>
  <c r="J1060" i="15"/>
  <c r="I1061" i="15"/>
  <c r="J1061" i="15"/>
  <c r="I1062" i="15"/>
  <c r="J1062" i="15"/>
  <c r="I1063" i="15"/>
  <c r="J1063" i="15"/>
  <c r="I1064" i="15"/>
  <c r="J1064" i="15"/>
  <c r="I1065" i="15"/>
  <c r="J1065" i="15"/>
  <c r="I1066" i="15"/>
  <c r="J1066" i="15"/>
  <c r="I1067" i="15"/>
  <c r="J1067" i="15"/>
  <c r="I1068" i="15"/>
  <c r="J1068" i="15"/>
  <c r="I1069" i="15"/>
  <c r="J1069" i="15"/>
  <c r="I1070" i="15"/>
  <c r="J1070" i="15"/>
  <c r="I1071" i="15"/>
  <c r="J1071" i="15"/>
  <c r="I1072" i="15"/>
  <c r="J1072" i="15"/>
  <c r="I1073" i="15"/>
  <c r="J1073" i="15"/>
  <c r="I1074" i="15"/>
  <c r="J1074" i="15"/>
  <c r="I1075" i="15"/>
  <c r="J1075" i="15"/>
  <c r="I1076" i="15"/>
  <c r="J1076" i="15"/>
  <c r="I1077" i="15"/>
  <c r="J1077" i="15"/>
  <c r="I1078" i="15"/>
  <c r="J1078" i="15"/>
  <c r="I1079" i="15"/>
  <c r="J1079" i="15"/>
  <c r="I4" i="16"/>
  <c r="J4" i="16"/>
  <c r="I5" i="16"/>
  <c r="J5" i="16"/>
  <c r="I6" i="16"/>
  <c r="J6" i="16"/>
  <c r="I7" i="16"/>
  <c r="J7" i="16"/>
  <c r="I8" i="16"/>
  <c r="J8" i="16"/>
  <c r="I9" i="16"/>
  <c r="J9" i="16"/>
  <c r="I10" i="16"/>
  <c r="J10" i="16"/>
  <c r="I11" i="16"/>
  <c r="J11" i="16"/>
  <c r="I12" i="16"/>
  <c r="J12" i="16"/>
  <c r="I13" i="16"/>
  <c r="J13" i="16"/>
  <c r="I14" i="16"/>
  <c r="J14" i="16"/>
  <c r="I15" i="16"/>
  <c r="J15" i="16"/>
  <c r="I16" i="16"/>
  <c r="J16" i="16"/>
  <c r="I17" i="16"/>
  <c r="J17" i="16"/>
  <c r="I18" i="16"/>
  <c r="J18" i="16"/>
  <c r="I19" i="16"/>
  <c r="J19" i="16"/>
  <c r="I20" i="16"/>
  <c r="J20" i="16"/>
  <c r="I21" i="16"/>
  <c r="J21" i="16"/>
  <c r="I22" i="16"/>
  <c r="J22" i="16"/>
  <c r="I23" i="16"/>
  <c r="J23" i="16"/>
  <c r="I24" i="16"/>
  <c r="J24" i="16"/>
  <c r="I25" i="16"/>
  <c r="J25" i="16"/>
  <c r="I26" i="16"/>
  <c r="J26" i="16"/>
  <c r="I27" i="16"/>
  <c r="J27" i="16"/>
  <c r="I28" i="16"/>
  <c r="J28" i="16"/>
  <c r="I29" i="16"/>
  <c r="J29" i="16"/>
  <c r="I30" i="16"/>
  <c r="J30" i="16"/>
  <c r="I31" i="16"/>
  <c r="J31" i="16"/>
  <c r="I32" i="16"/>
  <c r="J32" i="16"/>
  <c r="I33" i="16"/>
  <c r="J33" i="16"/>
  <c r="I34" i="16"/>
  <c r="J34" i="16"/>
  <c r="I35" i="16"/>
  <c r="J35" i="16"/>
  <c r="I36" i="16"/>
  <c r="J36" i="16"/>
  <c r="I37" i="16"/>
  <c r="J37" i="16"/>
  <c r="I38" i="16"/>
  <c r="J38" i="16"/>
  <c r="I39" i="16"/>
  <c r="J39" i="16"/>
  <c r="I40" i="16"/>
  <c r="J40" i="16"/>
  <c r="I41" i="16"/>
  <c r="J41" i="16"/>
  <c r="I42" i="16"/>
  <c r="J42" i="16"/>
  <c r="I43" i="16"/>
  <c r="J43" i="16"/>
  <c r="I44" i="16"/>
  <c r="J44" i="16"/>
  <c r="I45" i="16"/>
  <c r="J45" i="16"/>
  <c r="I46" i="16"/>
  <c r="J46" i="16"/>
  <c r="I47" i="16"/>
  <c r="J47" i="16"/>
  <c r="I48" i="16"/>
  <c r="J48" i="16"/>
  <c r="I49" i="16"/>
  <c r="J49" i="16"/>
  <c r="I50" i="16"/>
  <c r="J50" i="16"/>
  <c r="I51" i="16"/>
  <c r="J51" i="16"/>
  <c r="I52" i="16"/>
  <c r="J52" i="16"/>
  <c r="I53" i="16"/>
  <c r="J53" i="16"/>
  <c r="I54" i="16"/>
  <c r="J54" i="16"/>
  <c r="I55" i="16"/>
  <c r="J55" i="16"/>
  <c r="I56" i="16"/>
  <c r="J56" i="16"/>
  <c r="I57" i="16"/>
  <c r="J57" i="16"/>
  <c r="I58" i="16"/>
  <c r="J58" i="16"/>
  <c r="I59" i="16"/>
  <c r="J59" i="16"/>
  <c r="I60" i="16"/>
  <c r="J60" i="16"/>
  <c r="I61" i="16"/>
  <c r="J61" i="16"/>
  <c r="I62" i="16"/>
  <c r="J62" i="16"/>
  <c r="I63" i="16"/>
  <c r="J63" i="16"/>
  <c r="I64" i="16"/>
  <c r="J64" i="16"/>
  <c r="I65" i="16"/>
  <c r="J65" i="16"/>
  <c r="I66" i="16"/>
  <c r="J66" i="16"/>
  <c r="I67" i="16"/>
  <c r="J67" i="16"/>
  <c r="I68" i="16"/>
  <c r="J68" i="16"/>
  <c r="I69" i="16"/>
  <c r="J69" i="16"/>
  <c r="I70" i="16"/>
  <c r="J70" i="16"/>
  <c r="I71" i="16"/>
  <c r="J71" i="16"/>
  <c r="I72" i="16"/>
  <c r="J72" i="16"/>
  <c r="I73" i="16"/>
  <c r="J73" i="16"/>
  <c r="I74" i="16"/>
  <c r="J74" i="16"/>
  <c r="I75" i="16"/>
  <c r="J75" i="16"/>
  <c r="I76" i="16"/>
  <c r="J76" i="16"/>
  <c r="I77" i="16"/>
  <c r="J77" i="16"/>
  <c r="I78" i="16"/>
  <c r="J78" i="16"/>
  <c r="I79" i="16"/>
  <c r="J79" i="16"/>
  <c r="I80" i="16"/>
  <c r="J80" i="16"/>
  <c r="I81" i="16"/>
  <c r="J81" i="16"/>
  <c r="I82" i="16"/>
  <c r="J82" i="16"/>
  <c r="I83" i="16"/>
  <c r="J83" i="16"/>
  <c r="I84" i="16"/>
  <c r="J84" i="16"/>
  <c r="I85" i="16"/>
  <c r="J85" i="16"/>
  <c r="I86" i="16"/>
  <c r="J86" i="16"/>
  <c r="I87" i="16"/>
  <c r="J87" i="16"/>
  <c r="I88" i="16"/>
  <c r="J88" i="16"/>
  <c r="I89" i="16"/>
  <c r="J89" i="16"/>
  <c r="I90" i="16"/>
  <c r="J90" i="16"/>
  <c r="I91" i="16"/>
  <c r="J91" i="16"/>
  <c r="I92" i="16"/>
  <c r="J92" i="16"/>
  <c r="I93" i="16"/>
  <c r="J93" i="16"/>
  <c r="I94" i="16"/>
  <c r="J94" i="16"/>
  <c r="I95" i="16"/>
  <c r="J95" i="16"/>
  <c r="I96" i="16"/>
  <c r="J96" i="16"/>
  <c r="I97" i="16"/>
  <c r="J97" i="16"/>
  <c r="I98" i="16"/>
  <c r="J98" i="16"/>
  <c r="I99" i="16"/>
  <c r="J99" i="16"/>
  <c r="I100" i="16"/>
  <c r="J100" i="16"/>
  <c r="I101" i="16"/>
  <c r="J101" i="16"/>
  <c r="I102" i="16"/>
  <c r="J102" i="16"/>
  <c r="I103" i="16"/>
  <c r="J103" i="16"/>
  <c r="I104" i="16"/>
  <c r="J104" i="16"/>
  <c r="I105" i="16"/>
  <c r="J105" i="16"/>
  <c r="I106" i="16"/>
  <c r="J106" i="16"/>
  <c r="I107" i="16"/>
  <c r="J107" i="16"/>
  <c r="I108" i="16"/>
  <c r="J108" i="16"/>
  <c r="I109" i="16"/>
  <c r="J109" i="16"/>
  <c r="I110" i="16"/>
  <c r="J110" i="16"/>
  <c r="I111" i="16"/>
  <c r="J111" i="16"/>
  <c r="I112" i="16"/>
  <c r="J112" i="16"/>
  <c r="I113" i="16"/>
  <c r="J113" i="16"/>
  <c r="I114" i="16"/>
  <c r="J114" i="16"/>
  <c r="I115" i="16"/>
  <c r="J115" i="16"/>
  <c r="I116" i="16"/>
  <c r="J116" i="16"/>
  <c r="I117" i="16"/>
  <c r="J117" i="16"/>
  <c r="I118" i="16"/>
  <c r="J118" i="16"/>
  <c r="I119" i="16"/>
  <c r="J119" i="16"/>
  <c r="I120" i="16"/>
  <c r="J120" i="16"/>
  <c r="I121" i="16"/>
  <c r="J121" i="16"/>
  <c r="I122" i="16"/>
  <c r="J122" i="16"/>
  <c r="I123" i="16"/>
  <c r="J123" i="16"/>
  <c r="I124" i="16"/>
  <c r="J124" i="16"/>
  <c r="I125" i="16"/>
  <c r="J125" i="16"/>
  <c r="I126" i="16"/>
  <c r="J126" i="16"/>
  <c r="I127" i="16"/>
  <c r="J127" i="16"/>
  <c r="I128" i="16"/>
  <c r="J128" i="16"/>
  <c r="I129" i="16"/>
  <c r="J129" i="16"/>
  <c r="I130" i="16"/>
  <c r="J130" i="16"/>
  <c r="I131" i="16"/>
  <c r="J131" i="16"/>
  <c r="I132" i="16"/>
  <c r="J132" i="16"/>
  <c r="I133" i="16"/>
  <c r="J133" i="16"/>
  <c r="I134" i="16"/>
  <c r="J134" i="16"/>
  <c r="I135" i="16"/>
  <c r="J135" i="16"/>
  <c r="I136" i="16"/>
  <c r="J136" i="16"/>
  <c r="I137" i="16"/>
  <c r="J137" i="16"/>
  <c r="I138" i="16"/>
  <c r="J138" i="16"/>
  <c r="I139" i="16"/>
  <c r="J139" i="16"/>
  <c r="I140" i="16"/>
  <c r="J140" i="16"/>
  <c r="I141" i="16"/>
  <c r="J141" i="16"/>
  <c r="I142" i="16"/>
  <c r="J142" i="16"/>
  <c r="I143" i="16"/>
  <c r="J143" i="16"/>
  <c r="I144" i="16"/>
  <c r="J144" i="16"/>
  <c r="I145" i="16"/>
  <c r="J145" i="16"/>
  <c r="I146" i="16"/>
  <c r="J146" i="16"/>
  <c r="I147" i="16"/>
  <c r="J147" i="16"/>
  <c r="I148" i="16"/>
  <c r="J148" i="16"/>
  <c r="I149" i="16"/>
  <c r="J149" i="16"/>
  <c r="I150" i="16"/>
  <c r="J150" i="16"/>
  <c r="I151" i="16"/>
  <c r="J151" i="16"/>
  <c r="I152" i="16"/>
  <c r="J152" i="16"/>
  <c r="I153" i="16"/>
  <c r="J153" i="16"/>
  <c r="I154" i="16"/>
  <c r="J154" i="16"/>
  <c r="I155" i="16"/>
  <c r="J155" i="16"/>
  <c r="I156" i="16"/>
  <c r="J156" i="16"/>
  <c r="I157" i="16"/>
  <c r="J157" i="16"/>
  <c r="I158" i="16"/>
  <c r="J158" i="16"/>
  <c r="I159" i="16"/>
  <c r="J159" i="16"/>
  <c r="I160" i="16"/>
  <c r="J160" i="16"/>
  <c r="I161" i="16"/>
  <c r="J161" i="16"/>
  <c r="I162" i="16"/>
  <c r="J162" i="16"/>
  <c r="I163" i="16"/>
  <c r="J163" i="16"/>
  <c r="I164" i="16"/>
  <c r="J164" i="16"/>
  <c r="I165" i="16"/>
  <c r="J165" i="16"/>
  <c r="I166" i="16"/>
  <c r="J166" i="16"/>
  <c r="I167" i="16"/>
  <c r="J167" i="16"/>
  <c r="I168" i="16"/>
  <c r="J168" i="16"/>
  <c r="I169" i="16"/>
  <c r="J169" i="16"/>
  <c r="I170" i="16"/>
  <c r="J170" i="16"/>
  <c r="I171" i="16"/>
  <c r="J171" i="16"/>
  <c r="I172" i="16"/>
  <c r="J172" i="16"/>
  <c r="I173" i="16"/>
  <c r="J173" i="16"/>
  <c r="I174" i="16"/>
  <c r="J174" i="16"/>
  <c r="I175" i="16"/>
  <c r="J175" i="16"/>
  <c r="I176" i="16"/>
  <c r="J176" i="16"/>
  <c r="I177" i="16"/>
  <c r="J177" i="16"/>
  <c r="I178" i="16"/>
  <c r="J178" i="16"/>
  <c r="I179" i="16"/>
  <c r="J179" i="16"/>
  <c r="I180" i="16"/>
  <c r="J180" i="16"/>
  <c r="I181" i="16"/>
  <c r="J181" i="16"/>
  <c r="I182" i="16"/>
  <c r="J182" i="16"/>
  <c r="I183" i="16"/>
  <c r="J183" i="16"/>
  <c r="I184" i="16"/>
  <c r="J184" i="16"/>
  <c r="I185" i="16"/>
  <c r="J185" i="16"/>
  <c r="I186" i="16"/>
  <c r="J186" i="16"/>
  <c r="I187" i="16"/>
  <c r="J187" i="16"/>
  <c r="I188" i="16"/>
  <c r="J188" i="16"/>
  <c r="I189" i="16"/>
  <c r="J189" i="16"/>
  <c r="I190" i="16"/>
  <c r="J190" i="16"/>
  <c r="I191" i="16"/>
  <c r="J191" i="16"/>
  <c r="I192" i="16"/>
  <c r="J192" i="16"/>
  <c r="I193" i="16"/>
  <c r="J193" i="16"/>
  <c r="I194" i="16"/>
  <c r="J194" i="16"/>
  <c r="I195" i="16"/>
  <c r="J195" i="16"/>
  <c r="I196" i="16"/>
  <c r="J196" i="16"/>
  <c r="I197" i="16"/>
  <c r="J197" i="16"/>
  <c r="I198" i="16"/>
  <c r="J198" i="16"/>
  <c r="I199" i="16"/>
  <c r="J199" i="16"/>
  <c r="I200" i="16"/>
  <c r="J200" i="16"/>
  <c r="I201" i="16"/>
  <c r="J201" i="16"/>
  <c r="I202" i="16"/>
  <c r="J202" i="16"/>
  <c r="I203" i="16"/>
  <c r="J203" i="16"/>
  <c r="I204" i="16"/>
  <c r="J204" i="16"/>
  <c r="I205" i="16"/>
  <c r="J205" i="16"/>
  <c r="I206" i="16"/>
  <c r="J206" i="16"/>
  <c r="I207" i="16"/>
  <c r="J207" i="16"/>
  <c r="I208" i="16"/>
  <c r="J208" i="16"/>
  <c r="I209" i="16"/>
  <c r="J209" i="16"/>
  <c r="I210" i="16"/>
  <c r="J210" i="16"/>
  <c r="I211" i="16"/>
  <c r="J211" i="16"/>
  <c r="I212" i="16"/>
  <c r="J212" i="16"/>
  <c r="I213" i="16"/>
  <c r="J213" i="16"/>
  <c r="I214" i="16"/>
  <c r="J214" i="16"/>
  <c r="I215" i="16"/>
  <c r="J215" i="16"/>
  <c r="I216" i="16"/>
  <c r="J216" i="16"/>
  <c r="I217" i="16"/>
  <c r="J217" i="16"/>
  <c r="I218" i="16"/>
  <c r="J218" i="16"/>
  <c r="I219" i="16"/>
  <c r="J219" i="16"/>
  <c r="I220" i="16"/>
  <c r="J220" i="16"/>
  <c r="I221" i="16"/>
  <c r="J221" i="16"/>
  <c r="I222" i="16"/>
  <c r="J222" i="16"/>
  <c r="I223" i="16"/>
  <c r="J223" i="16"/>
  <c r="I224" i="16"/>
  <c r="J224" i="16"/>
  <c r="I225" i="16"/>
  <c r="J225" i="16"/>
  <c r="I226" i="16"/>
  <c r="J226" i="16"/>
  <c r="I227" i="16"/>
  <c r="J227" i="16"/>
  <c r="I228" i="16"/>
  <c r="J228" i="16"/>
  <c r="I229" i="16"/>
  <c r="J229" i="16"/>
  <c r="I230" i="16"/>
  <c r="J230" i="16"/>
  <c r="I231" i="16"/>
  <c r="J231" i="16"/>
  <c r="I232" i="16"/>
  <c r="J232" i="16"/>
  <c r="I233" i="16"/>
  <c r="J233" i="16"/>
  <c r="I234" i="16"/>
  <c r="J234" i="16"/>
  <c r="I235" i="16"/>
  <c r="J235" i="16"/>
  <c r="I236" i="16"/>
  <c r="J236" i="16"/>
  <c r="I237" i="16"/>
  <c r="J237" i="16"/>
  <c r="I238" i="16"/>
  <c r="J238" i="16"/>
  <c r="I239" i="16"/>
  <c r="J239" i="16"/>
  <c r="I240" i="16"/>
  <c r="J240" i="16"/>
  <c r="I241" i="16"/>
  <c r="J241" i="16"/>
  <c r="I242" i="16"/>
  <c r="J242" i="16"/>
  <c r="I243" i="16"/>
  <c r="J243" i="16"/>
  <c r="I244" i="16"/>
  <c r="J244" i="16"/>
  <c r="I245" i="16"/>
  <c r="J245" i="16"/>
  <c r="I246" i="16"/>
  <c r="J246" i="16"/>
  <c r="I247" i="16"/>
  <c r="J247" i="16"/>
  <c r="I248" i="16"/>
  <c r="J248" i="16"/>
  <c r="I249" i="16"/>
  <c r="J249" i="16"/>
  <c r="I250" i="16"/>
  <c r="J250" i="16"/>
  <c r="I251" i="16"/>
  <c r="J251" i="16"/>
  <c r="I252" i="16"/>
  <c r="J252" i="16"/>
  <c r="I253" i="16"/>
  <c r="J253" i="16"/>
  <c r="I254" i="16"/>
  <c r="J254" i="16"/>
  <c r="I255" i="16"/>
  <c r="J255" i="16"/>
  <c r="I256" i="16"/>
  <c r="J256" i="16"/>
  <c r="I257" i="16"/>
  <c r="J257" i="16"/>
  <c r="I258" i="16"/>
  <c r="J258" i="16"/>
  <c r="I259" i="16"/>
  <c r="J259" i="16"/>
  <c r="I260" i="16"/>
  <c r="J260" i="16"/>
  <c r="I261" i="16"/>
  <c r="J261" i="16"/>
  <c r="I262" i="16"/>
  <c r="J262" i="16"/>
  <c r="I263" i="16"/>
  <c r="J263" i="16"/>
  <c r="I264" i="16"/>
  <c r="J264" i="16"/>
  <c r="I265" i="16"/>
  <c r="J265" i="16"/>
  <c r="I266" i="16"/>
  <c r="J266" i="16"/>
  <c r="I267" i="16"/>
  <c r="J267" i="16"/>
  <c r="I268" i="16"/>
  <c r="J268" i="16"/>
  <c r="I269" i="16"/>
  <c r="J269" i="16"/>
  <c r="I270" i="16"/>
  <c r="J270" i="16"/>
  <c r="I271" i="16"/>
  <c r="J271" i="16"/>
  <c r="I272" i="16"/>
  <c r="J272" i="16"/>
  <c r="I273" i="16"/>
  <c r="J273" i="16"/>
  <c r="I274" i="16"/>
  <c r="J274" i="16"/>
  <c r="I275" i="16"/>
  <c r="J275" i="16"/>
  <c r="I276" i="16"/>
  <c r="J276" i="16"/>
  <c r="I277" i="16"/>
  <c r="J277" i="16"/>
  <c r="I278" i="16"/>
  <c r="J278" i="16"/>
  <c r="I279" i="16"/>
  <c r="J279" i="16"/>
  <c r="I280" i="16"/>
  <c r="J280" i="16"/>
  <c r="I281" i="16"/>
  <c r="J281" i="16"/>
  <c r="I282" i="16"/>
  <c r="J282" i="16"/>
  <c r="I283" i="16"/>
  <c r="J283" i="16"/>
  <c r="I284" i="16"/>
  <c r="J284" i="16"/>
  <c r="I285" i="16"/>
  <c r="J285" i="16"/>
  <c r="I286" i="16"/>
  <c r="J286" i="16"/>
  <c r="I287" i="16"/>
  <c r="J287" i="16"/>
  <c r="I288" i="16"/>
  <c r="J288" i="16"/>
  <c r="I289" i="16"/>
  <c r="J289" i="16"/>
  <c r="I290" i="16"/>
  <c r="J290" i="16"/>
  <c r="I291" i="16"/>
  <c r="J291" i="16"/>
  <c r="I292" i="16"/>
  <c r="J292" i="16"/>
  <c r="I293" i="16"/>
  <c r="J293" i="16"/>
  <c r="I294" i="16"/>
  <c r="J294" i="16"/>
  <c r="I295" i="16"/>
  <c r="J295" i="16"/>
  <c r="I296" i="16"/>
  <c r="J296" i="16"/>
  <c r="I297" i="16"/>
  <c r="J297" i="16"/>
  <c r="I298" i="16"/>
  <c r="J298" i="16"/>
  <c r="I299" i="16"/>
  <c r="J299" i="16"/>
  <c r="I300" i="16"/>
  <c r="J300" i="16"/>
  <c r="I301" i="16"/>
  <c r="J301" i="16"/>
  <c r="I302" i="16"/>
  <c r="J302" i="16"/>
  <c r="I303" i="16"/>
  <c r="J303" i="16"/>
  <c r="I304" i="16"/>
  <c r="J304" i="16"/>
  <c r="I305" i="16"/>
  <c r="J305" i="16"/>
  <c r="I306" i="16"/>
  <c r="J306" i="16"/>
  <c r="I307" i="16"/>
  <c r="J307" i="16"/>
  <c r="I308" i="16"/>
  <c r="J308" i="16"/>
  <c r="I309" i="16"/>
  <c r="J309" i="16"/>
  <c r="I310" i="16"/>
  <c r="J310" i="16"/>
  <c r="I311" i="16"/>
  <c r="J311" i="16"/>
  <c r="I312" i="16"/>
  <c r="J312" i="16"/>
  <c r="I313" i="16"/>
  <c r="J313" i="16"/>
  <c r="I314" i="16"/>
  <c r="J314" i="16"/>
  <c r="I315" i="16"/>
  <c r="J315" i="16"/>
  <c r="I316" i="16"/>
  <c r="J316" i="16"/>
  <c r="I317" i="16"/>
  <c r="J317" i="16"/>
  <c r="I318" i="16"/>
  <c r="J318" i="16"/>
  <c r="I319" i="16"/>
  <c r="J319" i="16"/>
  <c r="I320" i="16"/>
  <c r="J320" i="16"/>
  <c r="I321" i="16"/>
  <c r="J321" i="16"/>
  <c r="I322" i="16"/>
  <c r="J322" i="16"/>
  <c r="I323" i="16"/>
  <c r="J323" i="16"/>
  <c r="I324" i="16"/>
  <c r="J324" i="16"/>
  <c r="I325" i="16"/>
  <c r="J325" i="16"/>
  <c r="I326" i="16"/>
  <c r="J326" i="16"/>
  <c r="I327" i="16"/>
  <c r="J327" i="16"/>
  <c r="I328" i="16"/>
  <c r="J328" i="16"/>
  <c r="I329" i="16"/>
  <c r="J329" i="16"/>
  <c r="I330" i="16"/>
  <c r="J330" i="16"/>
  <c r="I331" i="16"/>
  <c r="J331" i="16"/>
  <c r="I332" i="16"/>
  <c r="J332" i="16"/>
  <c r="I333" i="16"/>
  <c r="J333" i="16"/>
  <c r="I334" i="16"/>
  <c r="J334" i="16"/>
  <c r="I335" i="16"/>
  <c r="J335" i="16"/>
  <c r="I336" i="16"/>
  <c r="J336" i="16"/>
  <c r="I337" i="16"/>
  <c r="J337" i="16"/>
  <c r="I338" i="16"/>
  <c r="J338" i="16"/>
  <c r="I339" i="16"/>
  <c r="J339" i="16"/>
  <c r="I340" i="16"/>
  <c r="J340" i="16"/>
  <c r="I341" i="16"/>
  <c r="J341" i="16"/>
  <c r="I342" i="16"/>
  <c r="J342" i="16"/>
  <c r="I343" i="16"/>
  <c r="J343" i="16"/>
  <c r="I344" i="16"/>
  <c r="J344" i="16"/>
  <c r="I345" i="16"/>
  <c r="J345" i="16"/>
  <c r="I346" i="16"/>
  <c r="J346" i="16"/>
  <c r="I347" i="16"/>
  <c r="J347" i="16"/>
  <c r="I348" i="16"/>
  <c r="J348" i="16"/>
  <c r="I349" i="16"/>
  <c r="J349" i="16"/>
  <c r="I350" i="16"/>
  <c r="J350" i="16"/>
  <c r="I351" i="16"/>
  <c r="J351" i="16"/>
  <c r="I352" i="16"/>
  <c r="J352" i="16"/>
  <c r="I353" i="16"/>
  <c r="J353" i="16"/>
  <c r="I354" i="16"/>
  <c r="J354" i="16"/>
  <c r="I355" i="16"/>
  <c r="J355" i="16"/>
  <c r="I356" i="16"/>
  <c r="J356" i="16"/>
  <c r="I357" i="16"/>
  <c r="J357" i="16"/>
  <c r="I358" i="16"/>
  <c r="J358" i="16"/>
  <c r="I359" i="16"/>
  <c r="J359" i="16"/>
  <c r="I360" i="16"/>
  <c r="J360" i="16"/>
  <c r="I361" i="16"/>
  <c r="J361" i="16"/>
  <c r="I362" i="16"/>
  <c r="J362" i="16"/>
  <c r="I363" i="16"/>
  <c r="J363" i="16"/>
  <c r="I364" i="16"/>
  <c r="J364" i="16"/>
  <c r="I365" i="16"/>
  <c r="J365" i="16"/>
  <c r="I366" i="16"/>
  <c r="J366" i="16"/>
  <c r="I367" i="16"/>
  <c r="J367" i="16"/>
  <c r="I368" i="16"/>
  <c r="J368" i="16"/>
  <c r="I369" i="16"/>
  <c r="J369" i="16"/>
  <c r="I370" i="16"/>
  <c r="J370" i="16"/>
  <c r="I371" i="16"/>
  <c r="J371" i="16"/>
  <c r="I372" i="16"/>
  <c r="J372" i="16"/>
  <c r="I373" i="16"/>
  <c r="J373" i="16"/>
  <c r="I374" i="16"/>
  <c r="J374" i="16"/>
  <c r="I375" i="16"/>
  <c r="J375" i="16"/>
  <c r="I376" i="16"/>
  <c r="J376" i="16"/>
  <c r="I377" i="16"/>
  <c r="J377" i="16"/>
  <c r="I378" i="16"/>
  <c r="J378" i="16"/>
  <c r="I379" i="16"/>
  <c r="J379" i="16"/>
  <c r="I380" i="16"/>
  <c r="J380" i="16"/>
  <c r="I381" i="16"/>
  <c r="J381" i="16"/>
  <c r="I382" i="16"/>
  <c r="J382" i="16"/>
  <c r="I383" i="16"/>
  <c r="J383" i="16"/>
  <c r="I384" i="16"/>
  <c r="J384" i="16"/>
  <c r="I385" i="16"/>
  <c r="J385" i="16"/>
  <c r="I386" i="16"/>
  <c r="J386" i="16"/>
  <c r="I387" i="16"/>
  <c r="J387" i="16"/>
  <c r="I388" i="16"/>
  <c r="J388" i="16"/>
  <c r="I389" i="16"/>
  <c r="J389" i="16"/>
  <c r="I390" i="16"/>
  <c r="J390" i="16"/>
  <c r="I391" i="16"/>
  <c r="J391" i="16"/>
  <c r="I392" i="16"/>
  <c r="J392" i="16"/>
  <c r="I393" i="16"/>
  <c r="J393" i="16"/>
  <c r="I394" i="16"/>
  <c r="J394" i="16"/>
  <c r="I395" i="16"/>
  <c r="J395" i="16"/>
  <c r="I396" i="16"/>
  <c r="J396" i="16"/>
  <c r="I397" i="16"/>
  <c r="J397" i="16"/>
  <c r="I398" i="16"/>
  <c r="J398" i="16"/>
  <c r="I399" i="16"/>
  <c r="J399" i="16"/>
  <c r="I400" i="16"/>
  <c r="J400" i="16"/>
  <c r="I401" i="16"/>
  <c r="J401" i="16"/>
  <c r="I402" i="16"/>
  <c r="J402" i="16"/>
  <c r="I403" i="16"/>
  <c r="J403" i="16"/>
  <c r="I404" i="16"/>
  <c r="J404" i="16"/>
  <c r="I405" i="16"/>
  <c r="J405" i="16"/>
  <c r="I406" i="16"/>
  <c r="J406" i="16"/>
  <c r="I407" i="16"/>
  <c r="J407" i="16"/>
  <c r="I408" i="16"/>
  <c r="J408" i="16"/>
  <c r="I409" i="16"/>
  <c r="J409" i="16"/>
  <c r="I410" i="16"/>
  <c r="J410" i="16"/>
  <c r="I411" i="16"/>
  <c r="J411" i="16"/>
  <c r="I412" i="16"/>
  <c r="J412" i="16"/>
  <c r="I413" i="16"/>
  <c r="J413" i="16"/>
  <c r="I414" i="16"/>
  <c r="J414" i="16"/>
  <c r="I415" i="16"/>
  <c r="J415" i="16"/>
  <c r="I416" i="16"/>
  <c r="J416" i="16"/>
  <c r="I417" i="16"/>
  <c r="J417" i="16"/>
  <c r="I418" i="16"/>
  <c r="J418" i="16"/>
  <c r="I419" i="16"/>
  <c r="J419" i="16"/>
  <c r="I420" i="16"/>
  <c r="J420" i="16"/>
  <c r="I421" i="16"/>
  <c r="J421" i="16"/>
  <c r="I422" i="16"/>
  <c r="J422" i="16"/>
  <c r="I423" i="16"/>
  <c r="J423" i="16"/>
  <c r="I424" i="16"/>
  <c r="J424" i="16"/>
  <c r="I425" i="16"/>
  <c r="J425" i="16"/>
  <c r="I426" i="16"/>
  <c r="J426" i="16"/>
  <c r="I427" i="16"/>
  <c r="J427" i="16"/>
  <c r="I428" i="16"/>
  <c r="J428" i="16"/>
  <c r="I429" i="16"/>
  <c r="J429" i="16"/>
  <c r="I430" i="16"/>
  <c r="J430" i="16"/>
  <c r="I431" i="16"/>
  <c r="J431" i="16"/>
  <c r="I432" i="16"/>
  <c r="J432" i="16"/>
  <c r="I433" i="16"/>
  <c r="J433" i="16"/>
  <c r="I434" i="16"/>
  <c r="J434" i="16"/>
  <c r="I435" i="16"/>
  <c r="J435" i="16"/>
  <c r="I436" i="16"/>
  <c r="J436" i="16"/>
  <c r="I437" i="16"/>
  <c r="J437" i="16"/>
  <c r="I438" i="16"/>
  <c r="J438" i="16"/>
  <c r="I439" i="16"/>
  <c r="J439" i="16"/>
  <c r="I440" i="16"/>
  <c r="J440" i="16"/>
  <c r="I441" i="16"/>
  <c r="J441" i="16"/>
  <c r="I442" i="16"/>
  <c r="J442" i="16"/>
  <c r="I443" i="16"/>
  <c r="J443" i="16"/>
  <c r="I444" i="16"/>
  <c r="J444" i="16"/>
  <c r="I445" i="16"/>
  <c r="J445" i="16"/>
  <c r="I446" i="16"/>
  <c r="J446" i="16"/>
  <c r="I447" i="16"/>
  <c r="J447" i="16"/>
  <c r="I448" i="16"/>
  <c r="J448" i="16"/>
  <c r="I449" i="16"/>
  <c r="J449" i="16"/>
  <c r="I450" i="16"/>
  <c r="J450" i="16"/>
  <c r="I451" i="16"/>
  <c r="J451" i="16"/>
  <c r="I452" i="16"/>
  <c r="J452" i="16"/>
  <c r="I453" i="16"/>
  <c r="J453" i="16"/>
  <c r="I454" i="16"/>
  <c r="J454" i="16"/>
  <c r="I455" i="16"/>
  <c r="J455" i="16"/>
  <c r="I456" i="16"/>
  <c r="J456" i="16"/>
  <c r="I457" i="16"/>
  <c r="J457" i="16"/>
  <c r="I458" i="16"/>
  <c r="J458" i="16"/>
  <c r="I459" i="16"/>
  <c r="J459" i="16"/>
  <c r="I460" i="16"/>
  <c r="J460" i="16"/>
  <c r="I461" i="16"/>
  <c r="J461" i="16"/>
  <c r="I462" i="16"/>
  <c r="J462" i="16"/>
  <c r="I463" i="16"/>
  <c r="J463" i="16"/>
  <c r="I464" i="16"/>
  <c r="J464" i="16"/>
  <c r="I465" i="16"/>
  <c r="J465" i="16"/>
  <c r="I466" i="16"/>
  <c r="J466" i="16"/>
  <c r="I467" i="16"/>
  <c r="J467" i="16"/>
  <c r="I468" i="16"/>
  <c r="J468" i="16"/>
  <c r="I469" i="16"/>
  <c r="J469" i="16"/>
  <c r="I470" i="16"/>
  <c r="J470" i="16"/>
  <c r="I471" i="16"/>
  <c r="J471" i="16"/>
  <c r="I472" i="16"/>
  <c r="J472" i="16"/>
  <c r="I473" i="16"/>
  <c r="J473" i="16"/>
  <c r="I474" i="16"/>
  <c r="J474" i="16"/>
  <c r="I475" i="16"/>
  <c r="J475" i="16"/>
  <c r="I476" i="16"/>
  <c r="J476" i="16"/>
  <c r="I477" i="16"/>
  <c r="J477" i="16"/>
  <c r="I478" i="16"/>
  <c r="J478" i="16"/>
  <c r="I479" i="16"/>
  <c r="J479" i="16"/>
  <c r="I480" i="16"/>
  <c r="J480" i="16"/>
  <c r="I481" i="16"/>
  <c r="J481" i="16"/>
  <c r="I482" i="16"/>
  <c r="J482" i="16"/>
  <c r="I483" i="16"/>
  <c r="J483" i="16"/>
  <c r="I484" i="16"/>
  <c r="J484" i="16"/>
  <c r="I485" i="16"/>
  <c r="J485" i="16"/>
  <c r="I486" i="16"/>
  <c r="J486" i="16"/>
  <c r="I487" i="16"/>
  <c r="J487" i="16"/>
  <c r="I488" i="16"/>
  <c r="J488" i="16"/>
  <c r="I489" i="16"/>
  <c r="J489" i="16"/>
  <c r="I490" i="16"/>
  <c r="J490" i="16"/>
  <c r="I491" i="16"/>
  <c r="J491" i="16"/>
  <c r="I492" i="16"/>
  <c r="J492" i="16"/>
  <c r="I493" i="16"/>
  <c r="J493" i="16"/>
  <c r="I494" i="16"/>
  <c r="J494" i="16"/>
  <c r="I495" i="16"/>
  <c r="J495" i="16"/>
  <c r="I496" i="16"/>
  <c r="J496" i="16"/>
  <c r="I497" i="16"/>
  <c r="J497" i="16"/>
  <c r="I498" i="16"/>
  <c r="J498" i="16"/>
  <c r="I499" i="16"/>
  <c r="J499" i="16"/>
  <c r="I500" i="16"/>
  <c r="J500" i="16"/>
  <c r="I501" i="16"/>
  <c r="J501" i="16"/>
  <c r="I502" i="16"/>
  <c r="J502" i="16"/>
  <c r="I503" i="16"/>
  <c r="J503" i="16"/>
  <c r="I504" i="16"/>
  <c r="J504" i="16"/>
  <c r="I505" i="16"/>
  <c r="J505" i="16"/>
  <c r="I506" i="16"/>
  <c r="J506" i="16"/>
  <c r="I507" i="16"/>
  <c r="J507" i="16"/>
  <c r="I508" i="16"/>
  <c r="J508" i="16"/>
  <c r="I509" i="16"/>
  <c r="J509" i="16"/>
  <c r="I510" i="16"/>
  <c r="J510" i="16"/>
  <c r="I511" i="16"/>
  <c r="J511" i="16"/>
  <c r="I512" i="16"/>
  <c r="J512" i="16"/>
  <c r="I513" i="16"/>
  <c r="J513" i="16"/>
  <c r="I514" i="16"/>
  <c r="J514" i="16"/>
  <c r="I515" i="16"/>
  <c r="J515" i="16"/>
  <c r="I516" i="16"/>
  <c r="J516" i="16"/>
  <c r="I517" i="16"/>
  <c r="J517" i="16"/>
  <c r="I518" i="16"/>
  <c r="J518" i="16"/>
  <c r="I519" i="16"/>
  <c r="J519" i="16"/>
  <c r="I520" i="16"/>
  <c r="J520" i="16"/>
  <c r="I521" i="16"/>
  <c r="J521" i="16"/>
  <c r="I522" i="16"/>
  <c r="J522" i="16"/>
  <c r="I523" i="16"/>
  <c r="J523" i="16"/>
  <c r="I524" i="16"/>
  <c r="J524" i="16"/>
  <c r="I525" i="16"/>
  <c r="J525" i="16"/>
  <c r="I526" i="16"/>
  <c r="J526" i="16"/>
  <c r="I527" i="16"/>
  <c r="J527" i="16"/>
  <c r="I528" i="16"/>
  <c r="J528" i="16"/>
  <c r="I529" i="16"/>
  <c r="J529" i="16"/>
  <c r="I530" i="16"/>
  <c r="J530" i="16"/>
  <c r="I531" i="16"/>
  <c r="J531" i="16"/>
  <c r="I532" i="16"/>
  <c r="J532" i="16"/>
  <c r="I533" i="16"/>
  <c r="J533" i="16"/>
  <c r="I534" i="16"/>
  <c r="J534" i="16"/>
  <c r="I535" i="16"/>
  <c r="J535" i="16"/>
  <c r="I536" i="16"/>
  <c r="J536" i="16"/>
  <c r="I537" i="16"/>
  <c r="J537" i="16"/>
  <c r="I538" i="16"/>
  <c r="J538" i="16"/>
  <c r="I539" i="16"/>
  <c r="J539" i="16"/>
  <c r="I540" i="16"/>
  <c r="J540" i="16"/>
  <c r="I541" i="16"/>
  <c r="J541" i="16"/>
  <c r="I542" i="16"/>
  <c r="J542" i="16"/>
  <c r="I543" i="16"/>
  <c r="J543" i="16"/>
  <c r="I544" i="16"/>
  <c r="J544" i="16"/>
  <c r="I545" i="16"/>
  <c r="J545" i="16"/>
  <c r="I546" i="16"/>
  <c r="J546" i="16"/>
  <c r="I547" i="16"/>
  <c r="J547" i="16"/>
  <c r="I548" i="16"/>
  <c r="J548" i="16"/>
  <c r="I549" i="16"/>
  <c r="J549" i="16"/>
  <c r="I550" i="16"/>
  <c r="J550" i="16"/>
  <c r="I551" i="16"/>
  <c r="J551" i="16"/>
  <c r="I552" i="16"/>
  <c r="J552" i="16"/>
  <c r="I553" i="16"/>
  <c r="J553" i="16"/>
  <c r="I554" i="16"/>
  <c r="J554" i="16"/>
  <c r="I555" i="16"/>
  <c r="J555" i="16"/>
  <c r="I556" i="16"/>
  <c r="J556" i="16"/>
  <c r="I557" i="16"/>
  <c r="J557" i="16"/>
  <c r="I558" i="16"/>
  <c r="J558" i="16"/>
  <c r="I559" i="16"/>
  <c r="J559" i="16"/>
  <c r="I560" i="16"/>
  <c r="J560" i="16"/>
  <c r="I561" i="16"/>
  <c r="J561" i="16"/>
  <c r="I562" i="16"/>
  <c r="J562" i="16"/>
  <c r="I563" i="16"/>
  <c r="J563" i="16"/>
  <c r="I564" i="16"/>
  <c r="J564" i="16"/>
  <c r="I565" i="16"/>
  <c r="J565" i="16"/>
  <c r="I566" i="16"/>
  <c r="J566" i="16"/>
  <c r="I567" i="16"/>
  <c r="J567" i="16"/>
  <c r="I568" i="16"/>
  <c r="J568" i="16"/>
  <c r="I569" i="16"/>
  <c r="J569" i="16"/>
  <c r="I570" i="16"/>
  <c r="J570" i="16"/>
  <c r="I571" i="16"/>
  <c r="J571" i="16"/>
  <c r="I572" i="16"/>
  <c r="J572" i="16"/>
  <c r="I573" i="16"/>
  <c r="J573" i="16"/>
  <c r="I574" i="16"/>
  <c r="J574" i="16"/>
  <c r="I575" i="16"/>
  <c r="J575" i="16"/>
  <c r="I576" i="16"/>
  <c r="J576" i="16"/>
  <c r="I577" i="16"/>
  <c r="J577" i="16"/>
  <c r="I578" i="16"/>
  <c r="J578" i="16"/>
  <c r="I579" i="16"/>
  <c r="J579" i="16"/>
  <c r="I580" i="16"/>
  <c r="J580" i="16"/>
  <c r="I581" i="16"/>
  <c r="J581" i="16"/>
  <c r="I582" i="16"/>
  <c r="J582" i="16"/>
  <c r="I583" i="16"/>
  <c r="J583" i="16"/>
  <c r="I584" i="16"/>
  <c r="J584" i="16"/>
  <c r="I585" i="16"/>
  <c r="J585" i="16"/>
  <c r="I586" i="16"/>
  <c r="J586" i="16"/>
  <c r="I587" i="16"/>
  <c r="J587" i="16"/>
  <c r="I588" i="16"/>
  <c r="J588" i="16"/>
  <c r="I589" i="16"/>
  <c r="J589" i="16"/>
  <c r="I590" i="16"/>
  <c r="J590" i="16"/>
  <c r="I591" i="16"/>
  <c r="J591" i="16"/>
  <c r="I592" i="16"/>
  <c r="J592" i="16"/>
  <c r="I593" i="16"/>
  <c r="J593" i="16"/>
  <c r="I594" i="16"/>
  <c r="J594" i="16"/>
  <c r="I595" i="16"/>
  <c r="J595" i="16"/>
  <c r="I596" i="16"/>
  <c r="J596" i="16"/>
  <c r="I597" i="16"/>
  <c r="J597" i="16"/>
  <c r="I598" i="16"/>
  <c r="J598" i="16"/>
  <c r="I599" i="16"/>
  <c r="J599" i="16"/>
  <c r="I600" i="16"/>
  <c r="J600" i="16"/>
  <c r="I601" i="16"/>
  <c r="J601" i="16"/>
  <c r="I602" i="16"/>
  <c r="J602" i="16"/>
  <c r="I603" i="16"/>
  <c r="J603" i="16"/>
  <c r="I604" i="16"/>
  <c r="J604" i="16"/>
  <c r="I605" i="16"/>
  <c r="J605" i="16"/>
  <c r="I606" i="16"/>
  <c r="J606" i="16"/>
  <c r="I607" i="16"/>
  <c r="J607" i="16"/>
  <c r="I608" i="16"/>
  <c r="J608" i="16"/>
  <c r="I609" i="16"/>
  <c r="J609" i="16"/>
  <c r="I610" i="16"/>
  <c r="J610" i="16"/>
  <c r="I611" i="16"/>
  <c r="J611" i="16"/>
  <c r="I612" i="16"/>
  <c r="J612" i="16"/>
  <c r="I613" i="16"/>
  <c r="J613" i="16"/>
  <c r="I614" i="16"/>
  <c r="J614" i="16"/>
  <c r="I615" i="16"/>
  <c r="J615" i="16"/>
  <c r="I616" i="16"/>
  <c r="J616" i="16"/>
  <c r="I617" i="16"/>
  <c r="J617" i="16"/>
  <c r="I618" i="16"/>
  <c r="J618" i="16"/>
  <c r="I619" i="16"/>
  <c r="J619" i="16"/>
  <c r="I620" i="16"/>
  <c r="J620" i="16"/>
  <c r="I621" i="16"/>
  <c r="J621" i="16"/>
  <c r="I622" i="16"/>
  <c r="J622" i="16"/>
  <c r="I623" i="16"/>
  <c r="J623" i="16"/>
  <c r="I624" i="16"/>
  <c r="J624" i="16"/>
  <c r="I625" i="16"/>
  <c r="J625" i="16"/>
  <c r="I626" i="16"/>
  <c r="J626" i="16"/>
  <c r="I627" i="16"/>
  <c r="J627" i="16"/>
  <c r="I628" i="16"/>
  <c r="J628" i="16"/>
  <c r="I629" i="16"/>
  <c r="J629" i="16"/>
  <c r="I630" i="16"/>
  <c r="J630" i="16"/>
  <c r="I631" i="16"/>
  <c r="J631" i="16"/>
  <c r="I632" i="16"/>
  <c r="J632" i="16"/>
  <c r="I633" i="16"/>
  <c r="J633" i="16"/>
  <c r="I634" i="16"/>
  <c r="J634" i="16"/>
  <c r="I635" i="16"/>
  <c r="J635" i="16"/>
  <c r="I636" i="16"/>
  <c r="J636" i="16"/>
  <c r="I637" i="16"/>
  <c r="J637" i="16"/>
  <c r="I638" i="16"/>
  <c r="J638" i="16"/>
  <c r="I639" i="16"/>
  <c r="J639" i="16"/>
  <c r="I640" i="16"/>
  <c r="J640" i="16"/>
  <c r="I641" i="16"/>
  <c r="J641" i="16"/>
  <c r="I642" i="16"/>
  <c r="J642" i="16"/>
  <c r="I643" i="16"/>
  <c r="J643" i="16"/>
  <c r="I644" i="16"/>
  <c r="J644" i="16"/>
  <c r="I645" i="16"/>
  <c r="J645" i="16"/>
  <c r="I646" i="16"/>
  <c r="J646" i="16"/>
  <c r="I647" i="16"/>
  <c r="J647" i="16"/>
  <c r="I648" i="16"/>
  <c r="J648" i="16"/>
  <c r="I649" i="16"/>
  <c r="J649" i="16"/>
  <c r="I650" i="16"/>
  <c r="J650" i="16"/>
  <c r="I651" i="16"/>
  <c r="J651" i="16"/>
  <c r="I652" i="16"/>
  <c r="J652" i="16"/>
  <c r="I653" i="16"/>
  <c r="J653" i="16"/>
  <c r="I654" i="16"/>
  <c r="J654" i="16"/>
  <c r="I655" i="16"/>
  <c r="J655" i="16"/>
  <c r="I656" i="16"/>
  <c r="J656" i="16"/>
  <c r="I657" i="16"/>
  <c r="J657" i="16"/>
  <c r="I658" i="16"/>
  <c r="J658" i="16"/>
  <c r="I659" i="16"/>
  <c r="J659" i="16"/>
  <c r="I660" i="16"/>
  <c r="J660" i="16"/>
  <c r="I661" i="16"/>
  <c r="J661" i="16"/>
  <c r="I662" i="16"/>
  <c r="J662" i="16"/>
  <c r="I663" i="16"/>
  <c r="J663" i="16"/>
  <c r="I664" i="16"/>
  <c r="J664" i="16"/>
  <c r="I665" i="16"/>
  <c r="J665" i="16"/>
  <c r="I666" i="16"/>
  <c r="J666" i="16"/>
  <c r="I667" i="16"/>
  <c r="J667" i="16"/>
  <c r="I668" i="16"/>
  <c r="J668" i="16"/>
  <c r="I669" i="16"/>
  <c r="J669" i="16"/>
  <c r="I670" i="16"/>
  <c r="J670" i="16"/>
  <c r="I671" i="16"/>
  <c r="J671" i="16"/>
  <c r="I672" i="16"/>
  <c r="J672" i="16"/>
  <c r="I673" i="16"/>
  <c r="J673" i="16"/>
  <c r="I674" i="16"/>
  <c r="J674" i="16"/>
  <c r="I675" i="16"/>
  <c r="J675" i="16"/>
  <c r="I676" i="16"/>
  <c r="J676" i="16"/>
  <c r="I677" i="16"/>
  <c r="J677" i="16"/>
  <c r="I678" i="16"/>
  <c r="J678" i="16"/>
  <c r="I679" i="16"/>
  <c r="J679" i="16"/>
  <c r="I680" i="16"/>
  <c r="J680" i="16"/>
  <c r="I681" i="16"/>
  <c r="J681" i="16"/>
  <c r="I682" i="16"/>
  <c r="J682" i="16"/>
  <c r="I683" i="16"/>
  <c r="J683" i="16"/>
  <c r="I684" i="16"/>
  <c r="J684" i="16"/>
  <c r="I685" i="16"/>
  <c r="J685" i="16"/>
  <c r="I686" i="16"/>
  <c r="J686" i="16"/>
  <c r="I687" i="16"/>
  <c r="J687" i="16"/>
  <c r="I688" i="16"/>
  <c r="J688" i="16"/>
  <c r="I689" i="16"/>
  <c r="J689" i="16"/>
  <c r="I690" i="16"/>
  <c r="J690" i="16"/>
  <c r="I691" i="16"/>
  <c r="J691" i="16"/>
  <c r="I692" i="16"/>
  <c r="J692" i="16"/>
  <c r="I693" i="16"/>
  <c r="J693" i="16"/>
  <c r="I694" i="16"/>
  <c r="J694" i="16"/>
  <c r="I695" i="16"/>
  <c r="J695" i="16"/>
  <c r="I696" i="16"/>
  <c r="J696" i="16"/>
  <c r="I697" i="16"/>
  <c r="J697" i="16"/>
  <c r="I698" i="16"/>
  <c r="J698" i="16"/>
  <c r="I699" i="16"/>
  <c r="J699" i="16"/>
  <c r="I700" i="16"/>
  <c r="J700" i="16"/>
  <c r="I701" i="16"/>
  <c r="J701" i="16"/>
  <c r="I702" i="16"/>
  <c r="J702" i="16"/>
  <c r="I703" i="16"/>
  <c r="J703" i="16"/>
  <c r="I704" i="16"/>
  <c r="J704" i="16"/>
  <c r="I705" i="16"/>
  <c r="J705" i="16"/>
  <c r="I706" i="16"/>
  <c r="J706" i="16"/>
  <c r="I707" i="16"/>
  <c r="J707" i="16"/>
  <c r="I708" i="16"/>
  <c r="J708" i="16"/>
  <c r="I709" i="16"/>
  <c r="J709" i="16"/>
  <c r="I710" i="16"/>
  <c r="J710" i="16"/>
  <c r="I711" i="16"/>
  <c r="J711" i="16"/>
  <c r="I712" i="16"/>
  <c r="J712" i="16"/>
  <c r="I713" i="16"/>
  <c r="J713" i="16"/>
  <c r="I714" i="16"/>
  <c r="J714" i="16"/>
  <c r="I715" i="16"/>
  <c r="J715" i="16"/>
  <c r="I716" i="16"/>
  <c r="J716" i="16"/>
  <c r="I717" i="16"/>
  <c r="J717" i="16"/>
  <c r="I718" i="16"/>
  <c r="J718" i="16"/>
  <c r="I719" i="16"/>
  <c r="J719" i="16"/>
  <c r="I720" i="16"/>
  <c r="J720" i="16"/>
  <c r="I721" i="16"/>
  <c r="J721" i="16"/>
  <c r="I722" i="16"/>
  <c r="J722" i="16"/>
  <c r="I723" i="16"/>
  <c r="J723" i="16"/>
  <c r="I724" i="16"/>
  <c r="J724" i="16"/>
  <c r="I725" i="16"/>
  <c r="J725" i="16"/>
  <c r="I726" i="16"/>
  <c r="J726" i="16"/>
  <c r="I727" i="16"/>
  <c r="J727" i="16"/>
  <c r="I728" i="16"/>
  <c r="J728" i="16"/>
  <c r="I729" i="16"/>
  <c r="J729" i="16"/>
  <c r="I730" i="16"/>
  <c r="J730" i="16"/>
  <c r="I731" i="16"/>
  <c r="J731" i="16"/>
  <c r="I732" i="16"/>
  <c r="J732" i="16"/>
  <c r="I733" i="16"/>
  <c r="J733" i="16"/>
  <c r="I734" i="16"/>
  <c r="J734" i="16"/>
  <c r="I735" i="16"/>
  <c r="J735" i="16"/>
  <c r="I736" i="16"/>
  <c r="J736" i="16"/>
  <c r="I737" i="16"/>
  <c r="J737" i="16"/>
  <c r="I738" i="16"/>
  <c r="J738" i="16"/>
  <c r="I739" i="16"/>
  <c r="J739" i="16"/>
  <c r="I740" i="16"/>
  <c r="J740" i="16"/>
  <c r="I741" i="16"/>
  <c r="J741" i="16"/>
  <c r="I742" i="16"/>
  <c r="J742" i="16"/>
  <c r="I743" i="16"/>
  <c r="J743" i="16"/>
  <c r="I744" i="16"/>
  <c r="J744" i="16"/>
  <c r="I745" i="16"/>
  <c r="J745" i="16"/>
  <c r="I746" i="16"/>
  <c r="J746" i="16"/>
  <c r="I747" i="16"/>
  <c r="J747" i="16"/>
  <c r="I748" i="16"/>
  <c r="J748" i="16"/>
  <c r="I749" i="16"/>
  <c r="J749" i="16"/>
  <c r="I750" i="16"/>
  <c r="J750" i="16"/>
  <c r="I751" i="16"/>
  <c r="J751" i="16"/>
  <c r="I752" i="16"/>
  <c r="J752" i="16"/>
  <c r="I753" i="16"/>
  <c r="J753" i="16"/>
  <c r="I754" i="16"/>
  <c r="J754" i="16"/>
  <c r="I755" i="16"/>
  <c r="J755" i="16"/>
  <c r="I756" i="16"/>
  <c r="J756" i="16"/>
  <c r="I757" i="16"/>
  <c r="J757" i="16"/>
  <c r="I758" i="16"/>
  <c r="J758" i="16"/>
  <c r="I759" i="16"/>
  <c r="J759" i="16"/>
  <c r="I760" i="16"/>
  <c r="J760" i="16"/>
  <c r="I761" i="16"/>
  <c r="J761" i="16"/>
  <c r="I762" i="16"/>
  <c r="J762" i="16"/>
  <c r="I763" i="16"/>
  <c r="J763" i="16"/>
  <c r="I764" i="16"/>
  <c r="J764" i="16"/>
  <c r="I765" i="16"/>
  <c r="J765" i="16"/>
  <c r="I766" i="16"/>
  <c r="J766" i="16"/>
  <c r="I767" i="16"/>
  <c r="J767" i="16"/>
  <c r="I768" i="16"/>
  <c r="J768" i="16"/>
  <c r="I769" i="16"/>
  <c r="J769" i="16"/>
  <c r="I770" i="16"/>
  <c r="J770" i="16"/>
  <c r="I771" i="16"/>
  <c r="J771" i="16"/>
  <c r="I772" i="16"/>
  <c r="J772" i="16"/>
  <c r="I773" i="16"/>
  <c r="J773" i="16"/>
  <c r="I774" i="16"/>
  <c r="J774" i="16"/>
  <c r="I775" i="16"/>
  <c r="J775" i="16"/>
  <c r="I776" i="16"/>
  <c r="J776" i="16"/>
  <c r="I777" i="16"/>
  <c r="J777" i="16"/>
  <c r="I778" i="16"/>
  <c r="J778" i="16"/>
  <c r="I779" i="16"/>
  <c r="J779" i="16"/>
  <c r="I780" i="16"/>
  <c r="J780" i="16"/>
  <c r="I781" i="16"/>
  <c r="J781" i="16"/>
  <c r="I782" i="16"/>
  <c r="J782" i="16"/>
  <c r="I783" i="16"/>
  <c r="J783" i="16"/>
  <c r="I784" i="16"/>
  <c r="J784" i="16"/>
  <c r="I785" i="16"/>
  <c r="J785" i="16"/>
  <c r="I786" i="16"/>
  <c r="J786" i="16"/>
  <c r="I787" i="16"/>
  <c r="J787" i="16"/>
  <c r="I788" i="16"/>
  <c r="J788" i="16"/>
  <c r="I789" i="16"/>
  <c r="J789" i="16"/>
  <c r="I790" i="16"/>
  <c r="J790" i="16"/>
  <c r="I791" i="16"/>
  <c r="J791" i="16"/>
  <c r="I792" i="16"/>
  <c r="J792" i="16"/>
  <c r="I793" i="16"/>
  <c r="J793" i="16"/>
  <c r="I794" i="16"/>
  <c r="J794" i="16"/>
  <c r="I795" i="16"/>
  <c r="J795" i="16"/>
  <c r="I796" i="16"/>
  <c r="J796" i="16"/>
  <c r="I797" i="16"/>
  <c r="J797" i="16"/>
  <c r="I798" i="16"/>
  <c r="J798" i="16"/>
  <c r="I799" i="16"/>
  <c r="J799" i="16"/>
  <c r="I800" i="16"/>
  <c r="J800" i="16"/>
  <c r="I801" i="16"/>
  <c r="J801" i="16"/>
  <c r="I802" i="16"/>
  <c r="J802" i="16"/>
  <c r="I803" i="16"/>
  <c r="J803" i="16"/>
  <c r="I804" i="16"/>
  <c r="J804" i="16"/>
  <c r="I805" i="16"/>
  <c r="J805" i="16"/>
  <c r="I806" i="16"/>
  <c r="J806" i="16"/>
  <c r="I807" i="16"/>
  <c r="J807" i="16"/>
  <c r="I808" i="16"/>
  <c r="J808" i="16"/>
  <c r="I809" i="16"/>
  <c r="J809" i="16"/>
  <c r="I810" i="16"/>
  <c r="J810" i="16"/>
  <c r="I811" i="16"/>
  <c r="J811" i="16"/>
  <c r="I812" i="16"/>
  <c r="J812" i="16"/>
  <c r="I813" i="16"/>
  <c r="J813" i="16"/>
  <c r="I814" i="16"/>
  <c r="J814" i="16"/>
  <c r="I815" i="16"/>
  <c r="J815" i="16"/>
  <c r="I816" i="16"/>
  <c r="J816" i="16"/>
  <c r="I817" i="16"/>
  <c r="J817" i="16"/>
  <c r="I818" i="16"/>
  <c r="J818" i="16"/>
  <c r="I819" i="16"/>
  <c r="J819" i="16"/>
  <c r="I820" i="16"/>
  <c r="J820" i="16"/>
  <c r="I821" i="16"/>
  <c r="J821" i="16"/>
  <c r="I822" i="16"/>
  <c r="J822" i="16"/>
  <c r="I823" i="16"/>
  <c r="J823" i="16"/>
  <c r="I824" i="16"/>
  <c r="J824" i="16"/>
  <c r="I825" i="16"/>
  <c r="J825" i="16"/>
  <c r="I826" i="16"/>
  <c r="J826" i="16"/>
  <c r="I827" i="16"/>
  <c r="J827" i="16"/>
  <c r="I828" i="16"/>
  <c r="J828" i="16"/>
  <c r="I829" i="16"/>
  <c r="J829" i="16"/>
  <c r="I830" i="16"/>
  <c r="J830" i="16"/>
  <c r="I831" i="16"/>
  <c r="J831" i="16"/>
  <c r="I832" i="16"/>
  <c r="J832" i="16"/>
  <c r="I833" i="16"/>
  <c r="J833" i="16"/>
  <c r="I834" i="16"/>
  <c r="J834" i="16"/>
  <c r="I835" i="16"/>
  <c r="J835" i="16"/>
  <c r="I836" i="16"/>
  <c r="J836" i="16"/>
  <c r="I837" i="16"/>
  <c r="J837" i="16"/>
  <c r="I838" i="16"/>
  <c r="J838" i="16"/>
  <c r="I839" i="16"/>
  <c r="J839" i="16"/>
  <c r="I840" i="16"/>
  <c r="J840" i="16"/>
  <c r="I841" i="16"/>
  <c r="J841" i="16"/>
  <c r="I842" i="16"/>
  <c r="J842" i="16"/>
  <c r="I843" i="16"/>
  <c r="J843" i="16"/>
  <c r="I844" i="16"/>
  <c r="J844" i="16"/>
  <c r="I845" i="16"/>
  <c r="J845" i="16"/>
  <c r="I846" i="16"/>
  <c r="J846" i="16"/>
  <c r="I847" i="16"/>
  <c r="J847" i="16"/>
  <c r="I848" i="16"/>
  <c r="J848" i="16"/>
  <c r="I849" i="16"/>
  <c r="J849" i="16"/>
  <c r="I850" i="16"/>
  <c r="J850" i="16"/>
  <c r="I851" i="16"/>
  <c r="J851" i="16"/>
  <c r="I852" i="16"/>
  <c r="J852" i="16"/>
  <c r="I853" i="16"/>
  <c r="J853" i="16"/>
  <c r="I854" i="16"/>
  <c r="J854" i="16"/>
  <c r="I855" i="16"/>
  <c r="J855" i="16"/>
  <c r="I856" i="16"/>
  <c r="J856" i="16"/>
  <c r="I857" i="16"/>
  <c r="J857" i="16"/>
  <c r="I858" i="16"/>
  <c r="J858" i="16"/>
  <c r="I859" i="16"/>
  <c r="J859" i="16"/>
  <c r="I860" i="16"/>
  <c r="J860" i="16"/>
  <c r="I861" i="16"/>
  <c r="J861" i="16"/>
  <c r="I862" i="16"/>
  <c r="J862" i="16"/>
  <c r="I863" i="16"/>
  <c r="J863" i="16"/>
  <c r="I864" i="16"/>
  <c r="J864" i="16"/>
  <c r="I865" i="16"/>
  <c r="J865" i="16"/>
  <c r="I866" i="16"/>
  <c r="J866" i="16"/>
  <c r="I867" i="16"/>
  <c r="J867" i="16"/>
  <c r="I868" i="16"/>
  <c r="J868" i="16"/>
  <c r="I869" i="16"/>
  <c r="J869" i="16"/>
  <c r="I870" i="16"/>
  <c r="J870" i="16"/>
  <c r="I871" i="16"/>
  <c r="J871" i="16"/>
  <c r="I872" i="16"/>
  <c r="J872" i="16"/>
  <c r="I873" i="16"/>
  <c r="J873" i="16"/>
  <c r="I874" i="16"/>
  <c r="J874" i="16"/>
  <c r="I875" i="16"/>
  <c r="J875" i="16"/>
  <c r="I876" i="16"/>
  <c r="J876" i="16"/>
  <c r="I877" i="16"/>
  <c r="J877" i="16"/>
  <c r="I878" i="16"/>
  <c r="J878" i="16"/>
  <c r="I879" i="16"/>
  <c r="J879" i="16"/>
  <c r="I880" i="16"/>
  <c r="J880" i="16"/>
  <c r="I881" i="16"/>
  <c r="J881" i="16"/>
  <c r="I882" i="16"/>
  <c r="J882" i="16"/>
  <c r="I883" i="16"/>
  <c r="J883" i="16"/>
  <c r="I884" i="16"/>
  <c r="J884" i="16"/>
  <c r="I885" i="16"/>
  <c r="J885" i="16"/>
  <c r="I886" i="16"/>
  <c r="J886" i="16"/>
  <c r="I887" i="16"/>
  <c r="J887" i="16"/>
  <c r="I888" i="16"/>
  <c r="J888" i="16"/>
  <c r="I889" i="16"/>
  <c r="J889" i="16"/>
  <c r="I890" i="16"/>
  <c r="J890" i="16"/>
  <c r="I891" i="16"/>
  <c r="J891" i="16"/>
  <c r="I892" i="16"/>
  <c r="J892" i="16"/>
  <c r="I893" i="16"/>
  <c r="J893" i="16"/>
  <c r="I894" i="16"/>
  <c r="J894" i="16"/>
  <c r="I895" i="16"/>
  <c r="J895" i="16"/>
  <c r="I896" i="16"/>
  <c r="J896" i="16"/>
  <c r="I897" i="16"/>
  <c r="J897" i="16"/>
  <c r="I898" i="16"/>
  <c r="J898" i="16"/>
  <c r="I899" i="16"/>
  <c r="J899" i="16"/>
  <c r="I900" i="16"/>
  <c r="J900" i="16"/>
  <c r="I901" i="16"/>
  <c r="J901" i="16"/>
  <c r="I902" i="16"/>
  <c r="J902" i="16"/>
  <c r="I903" i="16"/>
  <c r="J903" i="16"/>
  <c r="I904" i="16"/>
  <c r="J904" i="16"/>
  <c r="I905" i="16"/>
  <c r="J905" i="16"/>
  <c r="I906" i="16"/>
  <c r="J906" i="16"/>
  <c r="I907" i="16"/>
  <c r="J907" i="16"/>
  <c r="I908" i="16"/>
  <c r="J908" i="16"/>
  <c r="I909" i="16"/>
  <c r="J909" i="16"/>
  <c r="I910" i="16"/>
  <c r="J910" i="16"/>
  <c r="I911" i="16"/>
  <c r="J911" i="16"/>
  <c r="I912" i="16"/>
  <c r="J912" i="16"/>
  <c r="I913" i="16"/>
  <c r="J913" i="16"/>
  <c r="I914" i="16"/>
  <c r="J914" i="16"/>
  <c r="I915" i="16"/>
  <c r="J915" i="16"/>
  <c r="I916" i="16"/>
  <c r="J916" i="16"/>
  <c r="I917" i="16"/>
  <c r="J917" i="16"/>
  <c r="I918" i="16"/>
  <c r="J918" i="16"/>
  <c r="I919" i="16"/>
  <c r="J919" i="16"/>
  <c r="I920" i="16"/>
  <c r="J920" i="16"/>
  <c r="I921" i="16"/>
  <c r="J921" i="16"/>
  <c r="I922" i="16"/>
  <c r="J922" i="16"/>
  <c r="I923" i="16"/>
  <c r="J923" i="16"/>
  <c r="I924" i="16"/>
  <c r="J924" i="16"/>
  <c r="I925" i="16"/>
  <c r="J925" i="16"/>
  <c r="I926" i="16"/>
  <c r="J926" i="16"/>
  <c r="I927" i="16"/>
  <c r="J927" i="16"/>
  <c r="I928" i="16"/>
  <c r="J928" i="16"/>
  <c r="I929" i="16"/>
  <c r="J929" i="16"/>
  <c r="I930" i="16"/>
  <c r="J930" i="16"/>
  <c r="I931" i="16"/>
  <c r="J931" i="16"/>
  <c r="I932" i="16"/>
  <c r="J932" i="16"/>
  <c r="I933" i="16"/>
  <c r="J933" i="16"/>
  <c r="I934" i="16"/>
  <c r="J934" i="16"/>
  <c r="I935" i="16"/>
  <c r="J935" i="16"/>
  <c r="I936" i="16"/>
  <c r="J936" i="16"/>
  <c r="I937" i="16"/>
  <c r="J937" i="16"/>
  <c r="I938" i="16"/>
  <c r="J938" i="16"/>
  <c r="I939" i="16"/>
  <c r="J939" i="16"/>
  <c r="I940" i="16"/>
  <c r="J940" i="16"/>
  <c r="I941" i="16"/>
  <c r="J941" i="16"/>
  <c r="I942" i="16"/>
  <c r="J942" i="16"/>
  <c r="I943" i="16"/>
  <c r="J943" i="16"/>
  <c r="I944" i="16"/>
  <c r="J944" i="16"/>
  <c r="I945" i="16"/>
  <c r="J945" i="16"/>
  <c r="I946" i="16"/>
  <c r="J946" i="16"/>
  <c r="I947" i="16"/>
  <c r="J947" i="16"/>
  <c r="I948" i="16"/>
  <c r="J948" i="16"/>
  <c r="I949" i="16"/>
  <c r="J949" i="16"/>
  <c r="I950" i="16"/>
  <c r="J950" i="16"/>
  <c r="I951" i="16"/>
  <c r="J951" i="16"/>
  <c r="I952" i="16"/>
  <c r="J952" i="16"/>
  <c r="I953" i="16"/>
  <c r="J953" i="16"/>
  <c r="I954" i="16"/>
  <c r="J954" i="16"/>
  <c r="I955" i="16"/>
  <c r="J955" i="16"/>
  <c r="I956" i="16"/>
  <c r="J956" i="16"/>
  <c r="I957" i="16"/>
  <c r="J957" i="16"/>
  <c r="I958" i="16"/>
  <c r="J958" i="16"/>
  <c r="I959" i="16"/>
  <c r="J959" i="16"/>
  <c r="I960" i="16"/>
  <c r="J960" i="16"/>
  <c r="I961" i="16"/>
  <c r="J961" i="16"/>
  <c r="I962" i="16"/>
  <c r="J962" i="16"/>
  <c r="I963" i="16"/>
  <c r="J963" i="16"/>
  <c r="I964" i="16"/>
  <c r="J964" i="16"/>
  <c r="I965" i="16"/>
  <c r="J965" i="16"/>
  <c r="I966" i="16"/>
  <c r="J966" i="16"/>
  <c r="I967" i="16"/>
  <c r="J967" i="16"/>
  <c r="I968" i="16"/>
  <c r="J968" i="16"/>
  <c r="I969" i="16"/>
  <c r="J969" i="16"/>
  <c r="I970" i="16"/>
  <c r="J970" i="16"/>
  <c r="I971" i="16"/>
  <c r="J971" i="16"/>
  <c r="I972" i="16"/>
  <c r="J972" i="16"/>
  <c r="I973" i="16"/>
  <c r="J973" i="16"/>
  <c r="I974" i="16"/>
  <c r="J974" i="16"/>
  <c r="I975" i="16"/>
  <c r="J975" i="16"/>
  <c r="I976" i="16"/>
  <c r="J976" i="16"/>
  <c r="I977" i="16"/>
  <c r="J977" i="16"/>
  <c r="I978" i="16"/>
  <c r="J978" i="16"/>
  <c r="I979" i="16"/>
  <c r="J979" i="16"/>
  <c r="I980" i="16"/>
  <c r="J980" i="16"/>
  <c r="I981" i="16"/>
  <c r="J981" i="16"/>
  <c r="I982" i="16"/>
  <c r="J982" i="16"/>
  <c r="I983" i="16"/>
  <c r="J983" i="16"/>
  <c r="I984" i="16"/>
  <c r="J984" i="16"/>
  <c r="I985" i="16"/>
  <c r="J985" i="16"/>
  <c r="I986" i="16"/>
  <c r="J986" i="16"/>
  <c r="I987" i="16"/>
  <c r="J987" i="16"/>
  <c r="I988" i="16"/>
  <c r="J988" i="16"/>
  <c r="I989" i="16"/>
  <c r="J989" i="16"/>
  <c r="I990" i="16"/>
  <c r="J990" i="16"/>
  <c r="I991" i="16"/>
  <c r="J991" i="16"/>
  <c r="I992" i="16"/>
  <c r="J992" i="16"/>
  <c r="I993" i="16"/>
  <c r="J993" i="16"/>
  <c r="I994" i="16"/>
  <c r="J994" i="16"/>
  <c r="I995" i="16"/>
  <c r="J995" i="16"/>
  <c r="I996" i="16"/>
  <c r="J996" i="16"/>
  <c r="I997" i="16"/>
  <c r="J997" i="16"/>
  <c r="I998" i="16"/>
  <c r="J998" i="16"/>
  <c r="I999" i="16"/>
  <c r="J999" i="16"/>
  <c r="I1000" i="16"/>
  <c r="J1000" i="16"/>
  <c r="I1001" i="16"/>
  <c r="J1001" i="16"/>
  <c r="I1002" i="16"/>
  <c r="J1002" i="16"/>
  <c r="I1003" i="16"/>
  <c r="J1003" i="16"/>
  <c r="I1004" i="16"/>
  <c r="J1004" i="16"/>
  <c r="I1005" i="16"/>
  <c r="J1005" i="16"/>
  <c r="I1006" i="16"/>
  <c r="J1006" i="16"/>
  <c r="I1007" i="16"/>
  <c r="J1007" i="16"/>
  <c r="I1008" i="16"/>
  <c r="J1008" i="16"/>
  <c r="I1009" i="16"/>
  <c r="J1009" i="16"/>
  <c r="I1010" i="16"/>
  <c r="J1010" i="16"/>
  <c r="I1011" i="16"/>
  <c r="J1011" i="16"/>
  <c r="I1012" i="16"/>
  <c r="J1012" i="16"/>
  <c r="I1013" i="16"/>
  <c r="J1013" i="16"/>
  <c r="I1014" i="16"/>
  <c r="J1014" i="16"/>
  <c r="I1015" i="16"/>
  <c r="J1015" i="16"/>
  <c r="I1016" i="16"/>
  <c r="J1016" i="16"/>
  <c r="I1017" i="16"/>
  <c r="J1017" i="16"/>
  <c r="I1018" i="16"/>
  <c r="J1018" i="16"/>
  <c r="I1019" i="16"/>
  <c r="J1019" i="16"/>
  <c r="I1020" i="16"/>
  <c r="J1020" i="16"/>
  <c r="I1021" i="16"/>
  <c r="J1021" i="16"/>
  <c r="I1022" i="16"/>
  <c r="J1022" i="16"/>
  <c r="I1023" i="16"/>
  <c r="J1023" i="16"/>
  <c r="I1024" i="16"/>
  <c r="J1024" i="16"/>
  <c r="I1025" i="16"/>
  <c r="J1025" i="16"/>
  <c r="I1026" i="16"/>
  <c r="J1026" i="16"/>
  <c r="I1027" i="16"/>
  <c r="J1027" i="16"/>
  <c r="I1028" i="16"/>
  <c r="J1028" i="16"/>
  <c r="I1029" i="16"/>
  <c r="J1029" i="16"/>
  <c r="I1030" i="16"/>
  <c r="J1030" i="16"/>
  <c r="I1031" i="16"/>
  <c r="J1031" i="16"/>
  <c r="I1032" i="16"/>
  <c r="J1032" i="16"/>
  <c r="I1033" i="16"/>
  <c r="J1033" i="16"/>
  <c r="I1034" i="16"/>
  <c r="J1034" i="16"/>
  <c r="I1035" i="16"/>
  <c r="J1035" i="16"/>
  <c r="I1036" i="16"/>
  <c r="J1036" i="16"/>
  <c r="I1037" i="16"/>
  <c r="J1037" i="16"/>
  <c r="I1038" i="16"/>
  <c r="J1038" i="16"/>
  <c r="I1039" i="16"/>
  <c r="J1039" i="16"/>
  <c r="I1040" i="16"/>
  <c r="J1040" i="16"/>
  <c r="I1041" i="16"/>
  <c r="J1041" i="16"/>
  <c r="I1042" i="16"/>
  <c r="J1042" i="16"/>
  <c r="I1043" i="16"/>
  <c r="J1043" i="16"/>
  <c r="I1044" i="16"/>
  <c r="J1044" i="16"/>
  <c r="I1045" i="16"/>
  <c r="J1045" i="16"/>
  <c r="I1046" i="16"/>
  <c r="J1046" i="16"/>
  <c r="I1047" i="16"/>
  <c r="J1047" i="16"/>
  <c r="I1048" i="16"/>
  <c r="J1048" i="16"/>
  <c r="I1049" i="16"/>
  <c r="J1049" i="16"/>
  <c r="I1050" i="16"/>
  <c r="J1050" i="16"/>
  <c r="I1051" i="16"/>
  <c r="J1051" i="16"/>
  <c r="I1052" i="16"/>
  <c r="J1052" i="16"/>
  <c r="I1053" i="16"/>
  <c r="J1053" i="16"/>
  <c r="I1054" i="16"/>
  <c r="J1054" i="16"/>
  <c r="I1055" i="16"/>
  <c r="J1055" i="16"/>
  <c r="I1056" i="16"/>
  <c r="J1056" i="16"/>
  <c r="I1057" i="16"/>
  <c r="J1057" i="16"/>
  <c r="I1058" i="16"/>
  <c r="J1058" i="16"/>
  <c r="I1059" i="16"/>
  <c r="J1059" i="16"/>
  <c r="I1060" i="16"/>
  <c r="J1060" i="16"/>
  <c r="I1061" i="16"/>
  <c r="J1061" i="16"/>
  <c r="I1062" i="16"/>
  <c r="J1062" i="16"/>
  <c r="I1063" i="16"/>
  <c r="J1063" i="16"/>
  <c r="I1064" i="16"/>
  <c r="J1064" i="16"/>
  <c r="I1065" i="16"/>
  <c r="J1065" i="16"/>
  <c r="I1066" i="16"/>
  <c r="J1066" i="16"/>
  <c r="I1067" i="16"/>
  <c r="J1067" i="16"/>
  <c r="I1068" i="16"/>
  <c r="J1068" i="16"/>
  <c r="I1069" i="16"/>
  <c r="J1069" i="16"/>
  <c r="I1070" i="16"/>
  <c r="J1070" i="16"/>
  <c r="I1071" i="16"/>
  <c r="J1071" i="16"/>
  <c r="I1072" i="16"/>
  <c r="J1072" i="16"/>
  <c r="I1073" i="16"/>
  <c r="J1073" i="16"/>
  <c r="I1074" i="16"/>
  <c r="J1074" i="16"/>
  <c r="I1075" i="16"/>
  <c r="J1075" i="16"/>
  <c r="I1076" i="16"/>
  <c r="J1076" i="16"/>
  <c r="I1077" i="16"/>
  <c r="J1077" i="16"/>
  <c r="I1078" i="16"/>
  <c r="J1078" i="16"/>
  <c r="I1079" i="16"/>
  <c r="J1079" i="16"/>
  <c r="J3" i="18"/>
  <c r="J3" i="17"/>
  <c r="J3" i="11"/>
  <c r="J3" i="12"/>
  <c r="J3" i="13"/>
  <c r="J3" i="14"/>
  <c r="J3" i="15"/>
  <c r="J3" i="16"/>
  <c r="I3" i="18"/>
  <c r="I3" i="17"/>
  <c r="I3" i="11"/>
  <c r="I3" i="12"/>
  <c r="I3" i="13"/>
  <c r="I3" i="14"/>
  <c r="I3" i="15"/>
  <c r="I3" i="16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727" i="18"/>
  <c r="A728" i="18"/>
  <c r="A729" i="18"/>
  <c r="A730" i="18"/>
  <c r="A731" i="18"/>
  <c r="A732" i="18"/>
  <c r="A733" i="18"/>
  <c r="A734" i="18"/>
  <c r="A735" i="18"/>
  <c r="A736" i="18"/>
  <c r="A737" i="18"/>
  <c r="A738" i="18"/>
  <c r="A739" i="18"/>
  <c r="A740" i="18"/>
  <c r="A741" i="18"/>
  <c r="A742" i="18"/>
  <c r="A743" i="18"/>
  <c r="A744" i="18"/>
  <c r="A745" i="18"/>
  <c r="A746" i="18"/>
  <c r="A747" i="18"/>
  <c r="A748" i="18"/>
  <c r="A749" i="18"/>
  <c r="A750" i="18"/>
  <c r="A751" i="18"/>
  <c r="A752" i="18"/>
  <c r="A753" i="18"/>
  <c r="A754" i="18"/>
  <c r="A755" i="18"/>
  <c r="A756" i="18"/>
  <c r="A757" i="18"/>
  <c r="A758" i="18"/>
  <c r="A759" i="18"/>
  <c r="A760" i="18"/>
  <c r="A761" i="18"/>
  <c r="A762" i="18"/>
  <c r="A763" i="18"/>
  <c r="A764" i="18"/>
  <c r="A765" i="18"/>
  <c r="A766" i="18"/>
  <c r="A767" i="18"/>
  <c r="A768" i="18"/>
  <c r="A769" i="18"/>
  <c r="A770" i="18"/>
  <c r="A771" i="18"/>
  <c r="A772" i="18"/>
  <c r="A773" i="18"/>
  <c r="A774" i="18"/>
  <c r="A775" i="18"/>
  <c r="A776" i="18"/>
  <c r="A777" i="18"/>
  <c r="A778" i="18"/>
  <c r="A779" i="18"/>
  <c r="A780" i="18"/>
  <c r="A781" i="18"/>
  <c r="A782" i="18"/>
  <c r="A783" i="18"/>
  <c r="A784" i="18"/>
  <c r="A785" i="18"/>
  <c r="A786" i="18"/>
  <c r="A787" i="18"/>
  <c r="A788" i="18"/>
  <c r="A789" i="18"/>
  <c r="A790" i="18"/>
  <c r="A791" i="18"/>
  <c r="A792" i="18"/>
  <c r="A793" i="18"/>
  <c r="A794" i="18"/>
  <c r="A795" i="18"/>
  <c r="A796" i="18"/>
  <c r="A797" i="18"/>
  <c r="A798" i="18"/>
  <c r="A799" i="18"/>
  <c r="A800" i="18"/>
  <c r="A801" i="18"/>
  <c r="A802" i="18"/>
  <c r="A803" i="18"/>
  <c r="A804" i="18"/>
  <c r="A805" i="18"/>
  <c r="A806" i="18"/>
  <c r="A807" i="18"/>
  <c r="A808" i="18"/>
  <c r="A809" i="18"/>
  <c r="A810" i="18"/>
  <c r="A811" i="18"/>
  <c r="A812" i="18"/>
  <c r="A813" i="18"/>
  <c r="A814" i="18"/>
  <c r="A815" i="18"/>
  <c r="A816" i="18"/>
  <c r="A817" i="18"/>
  <c r="A818" i="18"/>
  <c r="A819" i="18"/>
  <c r="A820" i="18"/>
  <c r="A821" i="18"/>
  <c r="A822" i="18"/>
  <c r="A823" i="18"/>
  <c r="A824" i="18"/>
  <c r="A825" i="18"/>
  <c r="A826" i="18"/>
  <c r="A827" i="18"/>
  <c r="A828" i="18"/>
  <c r="A829" i="18"/>
  <c r="A830" i="18"/>
  <c r="A831" i="18"/>
  <c r="A832" i="18"/>
  <c r="A833" i="18"/>
  <c r="A834" i="18"/>
  <c r="A835" i="18"/>
  <c r="A836" i="18"/>
  <c r="A837" i="18"/>
  <c r="A838" i="18"/>
  <c r="A839" i="18"/>
  <c r="A840" i="18"/>
  <c r="A841" i="18"/>
  <c r="A842" i="18"/>
  <c r="A843" i="18"/>
  <c r="A844" i="18"/>
  <c r="A845" i="18"/>
  <c r="A846" i="18"/>
  <c r="A847" i="18"/>
  <c r="A848" i="18"/>
  <c r="A849" i="18"/>
  <c r="A850" i="18"/>
  <c r="A851" i="18"/>
  <c r="A852" i="18"/>
  <c r="A853" i="18"/>
  <c r="A854" i="18"/>
  <c r="A855" i="18"/>
  <c r="A856" i="18"/>
  <c r="A857" i="18"/>
  <c r="A858" i="18"/>
  <c r="A859" i="18"/>
  <c r="A860" i="18"/>
  <c r="A861" i="18"/>
  <c r="A862" i="18"/>
  <c r="A863" i="18"/>
  <c r="A864" i="18"/>
  <c r="A865" i="18"/>
  <c r="A866" i="18"/>
  <c r="A867" i="18"/>
  <c r="A868" i="18"/>
  <c r="A869" i="18"/>
  <c r="A870" i="18"/>
  <c r="A871" i="18"/>
  <c r="A872" i="18"/>
  <c r="A873" i="18"/>
  <c r="A874" i="18"/>
  <c r="A875" i="18"/>
  <c r="A876" i="18"/>
  <c r="A877" i="18"/>
  <c r="A878" i="18"/>
  <c r="A879" i="18"/>
  <c r="A880" i="18"/>
  <c r="A881" i="18"/>
  <c r="A882" i="18"/>
  <c r="A883" i="18"/>
  <c r="A884" i="18"/>
  <c r="A885" i="18"/>
  <c r="A886" i="18"/>
  <c r="A887" i="18"/>
  <c r="A888" i="18"/>
  <c r="A889" i="18"/>
  <c r="A890" i="18"/>
  <c r="A891" i="18"/>
  <c r="A892" i="18"/>
  <c r="A893" i="18"/>
  <c r="A894" i="18"/>
  <c r="A895" i="18"/>
  <c r="A896" i="18"/>
  <c r="A897" i="18"/>
  <c r="A898" i="18"/>
  <c r="A899" i="18"/>
  <c r="A900" i="18"/>
  <c r="A901" i="18"/>
  <c r="A902" i="18"/>
  <c r="A903" i="18"/>
  <c r="A904" i="18"/>
  <c r="A905" i="18"/>
  <c r="A906" i="18"/>
  <c r="A907" i="18"/>
  <c r="A908" i="18"/>
  <c r="A909" i="18"/>
  <c r="A910" i="18"/>
  <c r="A911" i="18"/>
  <c r="A912" i="18"/>
  <c r="A913" i="18"/>
  <c r="A914" i="18"/>
  <c r="A915" i="18"/>
  <c r="A916" i="18"/>
  <c r="A917" i="18"/>
  <c r="A918" i="18"/>
  <c r="A919" i="18"/>
  <c r="A920" i="18"/>
  <c r="A921" i="18"/>
  <c r="A922" i="18"/>
  <c r="A923" i="18"/>
  <c r="A924" i="18"/>
  <c r="A925" i="18"/>
  <c r="A926" i="18"/>
  <c r="A927" i="18"/>
  <c r="A928" i="18"/>
  <c r="A929" i="18"/>
  <c r="A930" i="18"/>
  <c r="A931" i="18"/>
  <c r="A932" i="18"/>
  <c r="A933" i="18"/>
  <c r="A934" i="18"/>
  <c r="A935" i="18"/>
  <c r="A936" i="18"/>
  <c r="A937" i="18"/>
  <c r="A938" i="18"/>
  <c r="A939" i="18"/>
  <c r="A940" i="18"/>
  <c r="A941" i="18"/>
  <c r="A942" i="18"/>
  <c r="A943" i="18"/>
  <c r="A944" i="18"/>
  <c r="A945" i="18"/>
  <c r="A946" i="18"/>
  <c r="A947" i="18"/>
  <c r="A948" i="18"/>
  <c r="A949" i="18"/>
  <c r="A950" i="18"/>
  <c r="A951" i="18"/>
  <c r="A952" i="18"/>
  <c r="A953" i="18"/>
  <c r="A954" i="18"/>
  <c r="A955" i="18"/>
  <c r="A956" i="18"/>
  <c r="A957" i="18"/>
  <c r="A958" i="18"/>
  <c r="A959" i="18"/>
  <c r="A960" i="18"/>
  <c r="A961" i="18"/>
  <c r="A962" i="18"/>
  <c r="A963" i="18"/>
  <c r="A964" i="18"/>
  <c r="A965" i="18"/>
  <c r="A966" i="18"/>
  <c r="A967" i="18"/>
  <c r="A968" i="18"/>
  <c r="A969" i="18"/>
  <c r="A970" i="18"/>
  <c r="A971" i="18"/>
  <c r="A972" i="18"/>
  <c r="A973" i="18"/>
  <c r="A974" i="18"/>
  <c r="A975" i="18"/>
  <c r="A976" i="18"/>
  <c r="A977" i="18"/>
  <c r="A978" i="18"/>
  <c r="A979" i="18"/>
  <c r="A980" i="18"/>
  <c r="A981" i="18"/>
  <c r="A982" i="18"/>
  <c r="A983" i="18"/>
  <c r="A984" i="18"/>
  <c r="A985" i="18"/>
  <c r="A986" i="18"/>
  <c r="A987" i="18"/>
  <c r="A988" i="18"/>
  <c r="A989" i="18"/>
  <c r="A990" i="18"/>
  <c r="A991" i="18"/>
  <c r="A992" i="18"/>
  <c r="A993" i="18"/>
  <c r="A994" i="18"/>
  <c r="A995" i="18"/>
  <c r="A996" i="18"/>
  <c r="A997" i="18"/>
  <c r="A998" i="18"/>
  <c r="A999" i="18"/>
  <c r="A1000" i="18"/>
  <c r="A1001" i="18"/>
  <c r="A1002" i="18"/>
  <c r="A1003" i="18"/>
  <c r="A1004" i="18"/>
  <c r="A1005" i="18"/>
  <c r="A1006" i="18"/>
  <c r="A1007" i="18"/>
  <c r="A1008" i="18"/>
  <c r="A1009" i="18"/>
  <c r="A1010" i="18"/>
  <c r="A1011" i="18"/>
  <c r="A1012" i="18"/>
  <c r="A1013" i="18"/>
  <c r="A1014" i="18"/>
  <c r="A1015" i="18"/>
  <c r="A1016" i="18"/>
  <c r="A1017" i="18"/>
  <c r="A1018" i="18"/>
  <c r="A1019" i="18"/>
  <c r="A1020" i="18"/>
  <c r="A1021" i="18"/>
  <c r="A1022" i="18"/>
  <c r="A1023" i="18"/>
  <c r="A1024" i="18"/>
  <c r="A1025" i="18"/>
  <c r="A1026" i="18"/>
  <c r="A1027" i="18"/>
  <c r="A1028" i="18"/>
  <c r="A1029" i="18"/>
  <c r="A1030" i="18"/>
  <c r="A1031" i="18"/>
  <c r="A1032" i="18"/>
  <c r="A1033" i="18"/>
  <c r="A1034" i="18"/>
  <c r="A1035" i="18"/>
  <c r="A1036" i="18"/>
  <c r="A1037" i="18"/>
  <c r="A1038" i="18"/>
  <c r="A1039" i="18"/>
  <c r="A1040" i="18"/>
  <c r="A1041" i="18"/>
  <c r="A1042" i="18"/>
  <c r="A1043" i="18"/>
  <c r="A1044" i="18"/>
  <c r="A1045" i="18"/>
  <c r="A1046" i="18"/>
  <c r="A1047" i="18"/>
  <c r="A1048" i="18"/>
  <c r="A1049" i="18"/>
  <c r="A1050" i="18"/>
  <c r="A1051" i="18"/>
  <c r="A1052" i="18"/>
  <c r="A1053" i="18"/>
  <c r="A1054" i="18"/>
  <c r="A1055" i="18"/>
  <c r="A1056" i="18"/>
  <c r="A1057" i="18"/>
  <c r="A1058" i="18"/>
  <c r="A1059" i="18"/>
  <c r="A1060" i="18"/>
  <c r="A1061" i="18"/>
  <c r="A1062" i="18"/>
  <c r="A1063" i="18"/>
  <c r="A1064" i="18"/>
  <c r="A1065" i="18"/>
  <c r="A1066" i="18"/>
  <c r="A1067" i="18"/>
  <c r="A1068" i="18"/>
  <c r="A1069" i="18"/>
  <c r="A1070" i="18"/>
  <c r="A1071" i="18"/>
  <c r="A1072" i="18"/>
  <c r="A1073" i="18"/>
  <c r="A1074" i="18"/>
  <c r="A1075" i="18"/>
  <c r="A1076" i="18"/>
  <c r="A1077" i="18"/>
  <c r="A1078" i="18"/>
  <c r="A1079" i="18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A171" i="17"/>
  <c r="A172" i="17"/>
  <c r="A173" i="17"/>
  <c r="A174" i="17"/>
  <c r="A175" i="17"/>
  <c r="A176" i="17"/>
  <c r="A177" i="17"/>
  <c r="A178" i="17"/>
  <c r="A179" i="17"/>
  <c r="A180" i="17"/>
  <c r="A181" i="17"/>
  <c r="A182" i="17"/>
  <c r="A183" i="17"/>
  <c r="A184" i="17"/>
  <c r="A185" i="17"/>
  <c r="A186" i="17"/>
  <c r="A187" i="17"/>
  <c r="A188" i="17"/>
  <c r="A189" i="17"/>
  <c r="A190" i="17"/>
  <c r="A191" i="17"/>
  <c r="A192" i="17"/>
  <c r="A193" i="17"/>
  <c r="A194" i="17"/>
  <c r="A195" i="17"/>
  <c r="A196" i="17"/>
  <c r="A197" i="17"/>
  <c r="A198" i="17"/>
  <c r="A199" i="17"/>
  <c r="A200" i="17"/>
  <c r="A201" i="17"/>
  <c r="A202" i="17"/>
  <c r="A203" i="17"/>
  <c r="A204" i="17"/>
  <c r="A205" i="17"/>
  <c r="A206" i="17"/>
  <c r="A207" i="17"/>
  <c r="A208" i="17"/>
  <c r="A209" i="17"/>
  <c r="A210" i="17"/>
  <c r="A211" i="17"/>
  <c r="A212" i="17"/>
  <c r="A213" i="17"/>
  <c r="A214" i="17"/>
  <c r="A215" i="17"/>
  <c r="A216" i="17"/>
  <c r="A217" i="17"/>
  <c r="A218" i="17"/>
  <c r="A219" i="17"/>
  <c r="A220" i="17"/>
  <c r="A221" i="17"/>
  <c r="A222" i="17"/>
  <c r="A223" i="17"/>
  <c r="A224" i="17"/>
  <c r="A225" i="17"/>
  <c r="A226" i="17"/>
  <c r="A227" i="17"/>
  <c r="A228" i="17"/>
  <c r="A229" i="17"/>
  <c r="A230" i="17"/>
  <c r="A231" i="17"/>
  <c r="A232" i="17"/>
  <c r="A233" i="17"/>
  <c r="A234" i="17"/>
  <c r="A235" i="17"/>
  <c r="A236" i="17"/>
  <c r="A237" i="17"/>
  <c r="A238" i="17"/>
  <c r="A239" i="17"/>
  <c r="A240" i="17"/>
  <c r="A241" i="17"/>
  <c r="A242" i="17"/>
  <c r="A243" i="17"/>
  <c r="A244" i="17"/>
  <c r="A245" i="17"/>
  <c r="A246" i="17"/>
  <c r="A247" i="17"/>
  <c r="A248" i="17"/>
  <c r="A249" i="17"/>
  <c r="A250" i="17"/>
  <c r="A251" i="17"/>
  <c r="A252" i="17"/>
  <c r="A253" i="17"/>
  <c r="A254" i="17"/>
  <c r="A255" i="17"/>
  <c r="A256" i="17"/>
  <c r="A257" i="17"/>
  <c r="A258" i="17"/>
  <c r="A259" i="17"/>
  <c r="A260" i="17"/>
  <c r="A261" i="17"/>
  <c r="A262" i="17"/>
  <c r="A263" i="17"/>
  <c r="A264" i="17"/>
  <c r="A265" i="17"/>
  <c r="A266" i="17"/>
  <c r="A267" i="17"/>
  <c r="A268" i="17"/>
  <c r="A269" i="17"/>
  <c r="A270" i="17"/>
  <c r="A271" i="17"/>
  <c r="A272" i="17"/>
  <c r="A273" i="17"/>
  <c r="A274" i="17"/>
  <c r="A275" i="17"/>
  <c r="A276" i="17"/>
  <c r="A277" i="17"/>
  <c r="A278" i="17"/>
  <c r="A279" i="17"/>
  <c r="A280" i="17"/>
  <c r="A281" i="17"/>
  <c r="A282" i="17"/>
  <c r="A283" i="17"/>
  <c r="A284" i="17"/>
  <c r="A285" i="17"/>
  <c r="A286" i="17"/>
  <c r="A287" i="17"/>
  <c r="A288" i="17"/>
  <c r="A289" i="17"/>
  <c r="A290" i="17"/>
  <c r="A291" i="17"/>
  <c r="A292" i="17"/>
  <c r="A293" i="17"/>
  <c r="A294" i="17"/>
  <c r="A295" i="17"/>
  <c r="A296" i="17"/>
  <c r="A297" i="17"/>
  <c r="A298" i="17"/>
  <c r="A299" i="17"/>
  <c r="A300" i="17"/>
  <c r="A301" i="17"/>
  <c r="A302" i="17"/>
  <c r="A303" i="17"/>
  <c r="A304" i="17"/>
  <c r="A305" i="17"/>
  <c r="A306" i="17"/>
  <c r="A307" i="17"/>
  <c r="A308" i="17"/>
  <c r="A309" i="17"/>
  <c r="A310" i="17"/>
  <c r="A311" i="17"/>
  <c r="A312" i="17"/>
  <c r="A313" i="17"/>
  <c r="A314" i="17"/>
  <c r="A315" i="17"/>
  <c r="A316" i="17"/>
  <c r="A317" i="17"/>
  <c r="A318" i="17"/>
  <c r="A319" i="17"/>
  <c r="A320" i="17"/>
  <c r="A321" i="17"/>
  <c r="A322" i="17"/>
  <c r="A323" i="17"/>
  <c r="A324" i="17"/>
  <c r="A325" i="17"/>
  <c r="A326" i="17"/>
  <c r="A327" i="17"/>
  <c r="A328" i="17"/>
  <c r="A329" i="17"/>
  <c r="A330" i="17"/>
  <c r="A331" i="17"/>
  <c r="A332" i="17"/>
  <c r="A333" i="17"/>
  <c r="A334" i="17"/>
  <c r="A335" i="17"/>
  <c r="A336" i="17"/>
  <c r="A337" i="17"/>
  <c r="A338" i="17"/>
  <c r="A339" i="17"/>
  <c r="A340" i="17"/>
  <c r="A341" i="17"/>
  <c r="A342" i="17"/>
  <c r="A343" i="17"/>
  <c r="A344" i="17"/>
  <c r="A345" i="17"/>
  <c r="A346" i="17"/>
  <c r="A347" i="17"/>
  <c r="A348" i="17"/>
  <c r="A349" i="17"/>
  <c r="A350" i="17"/>
  <c r="A351" i="17"/>
  <c r="A352" i="17"/>
  <c r="A353" i="17"/>
  <c r="A354" i="17"/>
  <c r="A355" i="17"/>
  <c r="A356" i="17"/>
  <c r="A357" i="17"/>
  <c r="A358" i="17"/>
  <c r="A359" i="17"/>
  <c r="A360" i="17"/>
  <c r="A361" i="17"/>
  <c r="A362" i="17"/>
  <c r="A363" i="17"/>
  <c r="A364" i="17"/>
  <c r="A365" i="17"/>
  <c r="A366" i="17"/>
  <c r="A367" i="17"/>
  <c r="A368" i="17"/>
  <c r="A369" i="17"/>
  <c r="A370" i="17"/>
  <c r="A371" i="17"/>
  <c r="A372" i="17"/>
  <c r="A373" i="17"/>
  <c r="A374" i="17"/>
  <c r="A375" i="17"/>
  <c r="A376" i="17"/>
  <c r="A377" i="17"/>
  <c r="A378" i="17"/>
  <c r="A379" i="17"/>
  <c r="A380" i="17"/>
  <c r="A381" i="17"/>
  <c r="A382" i="17"/>
  <c r="A383" i="17"/>
  <c r="A384" i="17"/>
  <c r="A385" i="17"/>
  <c r="A386" i="17"/>
  <c r="A387" i="17"/>
  <c r="A388" i="17"/>
  <c r="A389" i="17"/>
  <c r="A390" i="17"/>
  <c r="A391" i="17"/>
  <c r="A392" i="17"/>
  <c r="A393" i="17"/>
  <c r="A394" i="17"/>
  <c r="A395" i="17"/>
  <c r="A396" i="17"/>
  <c r="A397" i="17"/>
  <c r="A398" i="17"/>
  <c r="A399" i="17"/>
  <c r="A400" i="17"/>
  <c r="A401" i="17"/>
  <c r="A402" i="17"/>
  <c r="A403" i="17"/>
  <c r="A404" i="17"/>
  <c r="A405" i="17"/>
  <c r="A406" i="17"/>
  <c r="A407" i="17"/>
  <c r="A408" i="17"/>
  <c r="A409" i="17"/>
  <c r="A410" i="17"/>
  <c r="A411" i="17"/>
  <c r="A412" i="17"/>
  <c r="A413" i="17"/>
  <c r="A414" i="17"/>
  <c r="A415" i="17"/>
  <c r="A416" i="17"/>
  <c r="A417" i="17"/>
  <c r="A418" i="17"/>
  <c r="A419" i="17"/>
  <c r="A420" i="17"/>
  <c r="A421" i="17"/>
  <c r="A422" i="17"/>
  <c r="A423" i="17"/>
  <c r="A424" i="17"/>
  <c r="A425" i="17"/>
  <c r="A426" i="17"/>
  <c r="A427" i="17"/>
  <c r="A428" i="17"/>
  <c r="A429" i="17"/>
  <c r="A430" i="17"/>
  <c r="A431" i="17"/>
  <c r="A432" i="17"/>
  <c r="A433" i="17"/>
  <c r="A434" i="17"/>
  <c r="A435" i="17"/>
  <c r="A436" i="17"/>
  <c r="A437" i="17"/>
  <c r="A438" i="17"/>
  <c r="A439" i="17"/>
  <c r="A440" i="17"/>
  <c r="A441" i="17"/>
  <c r="A442" i="17"/>
  <c r="A443" i="17"/>
  <c r="A444" i="17"/>
  <c r="A445" i="17"/>
  <c r="A446" i="17"/>
  <c r="A447" i="17"/>
  <c r="A448" i="17"/>
  <c r="A449" i="17"/>
  <c r="A450" i="17"/>
  <c r="A451" i="17"/>
  <c r="A452" i="17"/>
  <c r="A453" i="17"/>
  <c r="A454" i="17"/>
  <c r="A455" i="17"/>
  <c r="A456" i="17"/>
  <c r="A457" i="17"/>
  <c r="A458" i="17"/>
  <c r="A459" i="17"/>
  <c r="A460" i="17"/>
  <c r="A461" i="17"/>
  <c r="A462" i="17"/>
  <c r="A463" i="17"/>
  <c r="A464" i="17"/>
  <c r="A465" i="17"/>
  <c r="A466" i="17"/>
  <c r="A467" i="17"/>
  <c r="A468" i="17"/>
  <c r="A469" i="17"/>
  <c r="A470" i="17"/>
  <c r="A471" i="17"/>
  <c r="A472" i="17"/>
  <c r="A473" i="17"/>
  <c r="A474" i="17"/>
  <c r="A475" i="17"/>
  <c r="A476" i="17"/>
  <c r="A477" i="17"/>
  <c r="A478" i="17"/>
  <c r="A479" i="17"/>
  <c r="A480" i="17"/>
  <c r="A481" i="17"/>
  <c r="A482" i="17"/>
  <c r="A483" i="17"/>
  <c r="A484" i="17"/>
  <c r="A485" i="17"/>
  <c r="A486" i="17"/>
  <c r="A487" i="17"/>
  <c r="A488" i="17"/>
  <c r="A489" i="17"/>
  <c r="A490" i="17"/>
  <c r="A491" i="17"/>
  <c r="A492" i="17"/>
  <c r="A493" i="17"/>
  <c r="A494" i="17"/>
  <c r="A495" i="17"/>
  <c r="A496" i="17"/>
  <c r="A497" i="17"/>
  <c r="A498" i="17"/>
  <c r="A499" i="17"/>
  <c r="A500" i="17"/>
  <c r="A501" i="17"/>
  <c r="A502" i="17"/>
  <c r="A503" i="17"/>
  <c r="A504" i="17"/>
  <c r="A505" i="17"/>
  <c r="A506" i="17"/>
  <c r="A507" i="17"/>
  <c r="A508" i="17"/>
  <c r="A509" i="17"/>
  <c r="A510" i="17"/>
  <c r="A511" i="17"/>
  <c r="A512" i="17"/>
  <c r="A513" i="17"/>
  <c r="A514" i="17"/>
  <c r="A515" i="17"/>
  <c r="A516" i="17"/>
  <c r="A517" i="17"/>
  <c r="A518" i="17"/>
  <c r="A519" i="17"/>
  <c r="A520" i="17"/>
  <c r="A521" i="17"/>
  <c r="A522" i="17"/>
  <c r="A523" i="17"/>
  <c r="A524" i="17"/>
  <c r="A525" i="17"/>
  <c r="A526" i="17"/>
  <c r="A527" i="17"/>
  <c r="A528" i="17"/>
  <c r="A529" i="17"/>
  <c r="A530" i="17"/>
  <c r="A531" i="17"/>
  <c r="A532" i="17"/>
  <c r="A533" i="17"/>
  <c r="A534" i="17"/>
  <c r="A535" i="17"/>
  <c r="A536" i="17"/>
  <c r="A537" i="17"/>
  <c r="A538" i="17"/>
  <c r="A539" i="17"/>
  <c r="A540" i="17"/>
  <c r="A541" i="17"/>
  <c r="A542" i="17"/>
  <c r="A543" i="17"/>
  <c r="A544" i="17"/>
  <c r="A545" i="17"/>
  <c r="A546" i="17"/>
  <c r="A547" i="17"/>
  <c r="A548" i="17"/>
  <c r="A549" i="17"/>
  <c r="A550" i="17"/>
  <c r="A551" i="17"/>
  <c r="A552" i="17"/>
  <c r="A553" i="17"/>
  <c r="A554" i="17"/>
  <c r="A555" i="17"/>
  <c r="A556" i="17"/>
  <c r="A557" i="17"/>
  <c r="A558" i="17"/>
  <c r="A559" i="17"/>
  <c r="A560" i="17"/>
  <c r="A561" i="17"/>
  <c r="A562" i="17"/>
  <c r="A563" i="17"/>
  <c r="A564" i="17"/>
  <c r="A565" i="17"/>
  <c r="A566" i="17"/>
  <c r="A567" i="17"/>
  <c r="A568" i="17"/>
  <c r="A569" i="17"/>
  <c r="A570" i="17"/>
  <c r="A571" i="17"/>
  <c r="A572" i="17"/>
  <c r="A573" i="17"/>
  <c r="A574" i="17"/>
  <c r="A575" i="17"/>
  <c r="A576" i="17"/>
  <c r="A577" i="17"/>
  <c r="A578" i="17"/>
  <c r="A579" i="17"/>
  <c r="A580" i="17"/>
  <c r="A581" i="17"/>
  <c r="A582" i="17"/>
  <c r="A583" i="17"/>
  <c r="A584" i="17"/>
  <c r="A585" i="17"/>
  <c r="A586" i="17"/>
  <c r="A587" i="17"/>
  <c r="A588" i="17"/>
  <c r="A589" i="17"/>
  <c r="A590" i="17"/>
  <c r="A591" i="17"/>
  <c r="A592" i="17"/>
  <c r="A593" i="17"/>
  <c r="A594" i="17"/>
  <c r="A595" i="17"/>
  <c r="A596" i="17"/>
  <c r="A597" i="17"/>
  <c r="A598" i="17"/>
  <c r="A599" i="17"/>
  <c r="A600" i="17"/>
  <c r="A601" i="17"/>
  <c r="A602" i="17"/>
  <c r="A603" i="17"/>
  <c r="A604" i="17"/>
  <c r="A605" i="17"/>
  <c r="A606" i="17"/>
  <c r="A607" i="17"/>
  <c r="A608" i="17"/>
  <c r="A609" i="17"/>
  <c r="A610" i="17"/>
  <c r="A611" i="17"/>
  <c r="A612" i="17"/>
  <c r="A613" i="17"/>
  <c r="A614" i="17"/>
  <c r="A615" i="17"/>
  <c r="A616" i="17"/>
  <c r="A617" i="17"/>
  <c r="A618" i="17"/>
  <c r="A619" i="17"/>
  <c r="A620" i="17"/>
  <c r="A621" i="17"/>
  <c r="A622" i="17"/>
  <c r="A623" i="17"/>
  <c r="A624" i="17"/>
  <c r="A625" i="17"/>
  <c r="A626" i="17"/>
  <c r="A627" i="17"/>
  <c r="A628" i="17"/>
  <c r="A629" i="17"/>
  <c r="A630" i="17"/>
  <c r="A631" i="17"/>
  <c r="A632" i="17"/>
  <c r="A633" i="17"/>
  <c r="A634" i="17"/>
  <c r="A635" i="17"/>
  <c r="A636" i="17"/>
  <c r="A637" i="17"/>
  <c r="A638" i="17"/>
  <c r="A639" i="17"/>
  <c r="A640" i="17"/>
  <c r="A641" i="17"/>
  <c r="A642" i="17"/>
  <c r="A643" i="17"/>
  <c r="A644" i="17"/>
  <c r="A645" i="17"/>
  <c r="A646" i="17"/>
  <c r="A647" i="17"/>
  <c r="A648" i="17"/>
  <c r="A649" i="17"/>
  <c r="A650" i="17"/>
  <c r="A651" i="17"/>
  <c r="A652" i="17"/>
  <c r="A653" i="17"/>
  <c r="A654" i="17"/>
  <c r="A655" i="17"/>
  <c r="A656" i="17"/>
  <c r="A657" i="17"/>
  <c r="A658" i="17"/>
  <c r="A659" i="17"/>
  <c r="A660" i="17"/>
  <c r="A661" i="17"/>
  <c r="A662" i="17"/>
  <c r="A663" i="17"/>
  <c r="A664" i="17"/>
  <c r="A665" i="17"/>
  <c r="A666" i="17"/>
  <c r="A667" i="17"/>
  <c r="A668" i="17"/>
  <c r="A669" i="17"/>
  <c r="A670" i="17"/>
  <c r="A671" i="17"/>
  <c r="A672" i="17"/>
  <c r="A673" i="17"/>
  <c r="A674" i="17"/>
  <c r="A675" i="17"/>
  <c r="A676" i="17"/>
  <c r="A677" i="17"/>
  <c r="A678" i="17"/>
  <c r="A679" i="17"/>
  <c r="A680" i="17"/>
  <c r="A681" i="17"/>
  <c r="A682" i="17"/>
  <c r="A683" i="17"/>
  <c r="A684" i="17"/>
  <c r="A685" i="17"/>
  <c r="A686" i="17"/>
  <c r="A687" i="17"/>
  <c r="A688" i="17"/>
  <c r="A689" i="17"/>
  <c r="A690" i="17"/>
  <c r="A691" i="17"/>
  <c r="A692" i="17"/>
  <c r="A693" i="17"/>
  <c r="A694" i="17"/>
  <c r="A695" i="17"/>
  <c r="A696" i="17"/>
  <c r="A697" i="17"/>
  <c r="A698" i="17"/>
  <c r="A699" i="17"/>
  <c r="A700" i="17"/>
  <c r="A701" i="17"/>
  <c r="A702" i="17"/>
  <c r="A703" i="17"/>
  <c r="A704" i="17"/>
  <c r="A705" i="17"/>
  <c r="A706" i="17"/>
  <c r="A707" i="17"/>
  <c r="A708" i="17"/>
  <c r="A709" i="17"/>
  <c r="A710" i="17"/>
  <c r="A711" i="17"/>
  <c r="A712" i="17"/>
  <c r="A713" i="17"/>
  <c r="A714" i="17"/>
  <c r="A715" i="17"/>
  <c r="A716" i="17"/>
  <c r="A717" i="17"/>
  <c r="A718" i="17"/>
  <c r="A719" i="17"/>
  <c r="A720" i="17"/>
  <c r="A721" i="17"/>
  <c r="A722" i="17"/>
  <c r="A723" i="17"/>
  <c r="A724" i="17"/>
  <c r="A725" i="17"/>
  <c r="A726" i="17"/>
  <c r="A727" i="17"/>
  <c r="A728" i="17"/>
  <c r="A729" i="17"/>
  <c r="A730" i="17"/>
  <c r="A731" i="17"/>
  <c r="A732" i="17"/>
  <c r="A733" i="17"/>
  <c r="A734" i="17"/>
  <c r="A735" i="17"/>
  <c r="A736" i="17"/>
  <c r="A737" i="17"/>
  <c r="A738" i="17"/>
  <c r="A739" i="17"/>
  <c r="A740" i="17"/>
  <c r="A741" i="17"/>
  <c r="A742" i="17"/>
  <c r="A743" i="17"/>
  <c r="A744" i="17"/>
  <c r="A745" i="17"/>
  <c r="A746" i="17"/>
  <c r="A747" i="17"/>
  <c r="A748" i="17"/>
  <c r="A749" i="17"/>
  <c r="A750" i="17"/>
  <c r="A751" i="17"/>
  <c r="A752" i="17"/>
  <c r="A753" i="17"/>
  <c r="A754" i="17"/>
  <c r="A755" i="17"/>
  <c r="A756" i="17"/>
  <c r="A757" i="17"/>
  <c r="A758" i="17"/>
  <c r="A759" i="17"/>
  <c r="A760" i="17"/>
  <c r="A761" i="17"/>
  <c r="A762" i="17"/>
  <c r="A763" i="17"/>
  <c r="A764" i="17"/>
  <c r="A765" i="17"/>
  <c r="A766" i="17"/>
  <c r="A767" i="17"/>
  <c r="A768" i="17"/>
  <c r="A769" i="17"/>
  <c r="A770" i="17"/>
  <c r="A771" i="17"/>
  <c r="A772" i="17"/>
  <c r="A773" i="17"/>
  <c r="A774" i="17"/>
  <c r="A775" i="17"/>
  <c r="A776" i="17"/>
  <c r="A777" i="17"/>
  <c r="A778" i="17"/>
  <c r="A779" i="17"/>
  <c r="A780" i="17"/>
  <c r="A781" i="17"/>
  <c r="A782" i="17"/>
  <c r="A783" i="17"/>
  <c r="A784" i="17"/>
  <c r="A785" i="17"/>
  <c r="A786" i="17"/>
  <c r="A787" i="17"/>
  <c r="A788" i="17"/>
  <c r="A789" i="17"/>
  <c r="A790" i="17"/>
  <c r="A791" i="17"/>
  <c r="A792" i="17"/>
  <c r="A793" i="17"/>
  <c r="A794" i="17"/>
  <c r="A795" i="17"/>
  <c r="A796" i="17"/>
  <c r="A797" i="17"/>
  <c r="A798" i="17"/>
  <c r="A799" i="17"/>
  <c r="A800" i="17"/>
  <c r="A801" i="17"/>
  <c r="A802" i="17"/>
  <c r="A803" i="17"/>
  <c r="A804" i="17"/>
  <c r="A805" i="17"/>
  <c r="A806" i="17"/>
  <c r="A807" i="17"/>
  <c r="A808" i="17"/>
  <c r="A809" i="17"/>
  <c r="A810" i="17"/>
  <c r="A811" i="17"/>
  <c r="A812" i="17"/>
  <c r="A813" i="17"/>
  <c r="A814" i="17"/>
  <c r="A815" i="17"/>
  <c r="A816" i="17"/>
  <c r="A817" i="17"/>
  <c r="A818" i="17"/>
  <c r="A819" i="17"/>
  <c r="A820" i="17"/>
  <c r="A821" i="17"/>
  <c r="A822" i="17"/>
  <c r="A823" i="17"/>
  <c r="A824" i="17"/>
  <c r="A825" i="17"/>
  <c r="A826" i="17"/>
  <c r="A827" i="17"/>
  <c r="A828" i="17"/>
  <c r="A829" i="17"/>
  <c r="A830" i="17"/>
  <c r="A831" i="17"/>
  <c r="A832" i="17"/>
  <c r="A833" i="17"/>
  <c r="A834" i="17"/>
  <c r="A835" i="17"/>
  <c r="A836" i="17"/>
  <c r="A837" i="17"/>
  <c r="A838" i="17"/>
  <c r="A839" i="17"/>
  <c r="A840" i="17"/>
  <c r="A841" i="17"/>
  <c r="A842" i="17"/>
  <c r="A843" i="17"/>
  <c r="A844" i="17"/>
  <c r="A845" i="17"/>
  <c r="A846" i="17"/>
  <c r="A847" i="17"/>
  <c r="A848" i="17"/>
  <c r="A849" i="17"/>
  <c r="A850" i="17"/>
  <c r="A851" i="17"/>
  <c r="A852" i="17"/>
  <c r="A853" i="17"/>
  <c r="A854" i="17"/>
  <c r="A855" i="17"/>
  <c r="A856" i="17"/>
  <c r="A857" i="17"/>
  <c r="A858" i="17"/>
  <c r="A859" i="17"/>
  <c r="A860" i="17"/>
  <c r="A861" i="17"/>
  <c r="A862" i="17"/>
  <c r="A863" i="17"/>
  <c r="A864" i="17"/>
  <c r="A865" i="17"/>
  <c r="A866" i="17"/>
  <c r="A867" i="17"/>
  <c r="A868" i="17"/>
  <c r="A869" i="17"/>
  <c r="A870" i="17"/>
  <c r="A871" i="17"/>
  <c r="A872" i="17"/>
  <c r="A873" i="17"/>
  <c r="A874" i="17"/>
  <c r="A875" i="17"/>
  <c r="A876" i="17"/>
  <c r="A877" i="17"/>
  <c r="A878" i="17"/>
  <c r="A879" i="17"/>
  <c r="A880" i="17"/>
  <c r="A881" i="17"/>
  <c r="A882" i="17"/>
  <c r="A883" i="17"/>
  <c r="A884" i="17"/>
  <c r="A885" i="17"/>
  <c r="A886" i="17"/>
  <c r="A887" i="17"/>
  <c r="A888" i="17"/>
  <c r="A889" i="17"/>
  <c r="A890" i="17"/>
  <c r="A891" i="17"/>
  <c r="A892" i="17"/>
  <c r="A893" i="17"/>
  <c r="A894" i="17"/>
  <c r="A895" i="17"/>
  <c r="A896" i="17"/>
  <c r="A897" i="17"/>
  <c r="A898" i="17"/>
  <c r="A899" i="17"/>
  <c r="A900" i="17"/>
  <c r="A901" i="17"/>
  <c r="A902" i="17"/>
  <c r="A903" i="17"/>
  <c r="A904" i="17"/>
  <c r="A905" i="17"/>
  <c r="A906" i="17"/>
  <c r="A907" i="17"/>
  <c r="A908" i="17"/>
  <c r="A909" i="17"/>
  <c r="A910" i="17"/>
  <c r="A911" i="17"/>
  <c r="A912" i="17"/>
  <c r="A913" i="17"/>
  <c r="A914" i="17"/>
  <c r="A915" i="17"/>
  <c r="A916" i="17"/>
  <c r="A917" i="17"/>
  <c r="A918" i="17"/>
  <c r="A919" i="17"/>
  <c r="A920" i="17"/>
  <c r="A921" i="17"/>
  <c r="A922" i="17"/>
  <c r="A923" i="17"/>
  <c r="A924" i="17"/>
  <c r="A925" i="17"/>
  <c r="A926" i="17"/>
  <c r="A927" i="17"/>
  <c r="A928" i="17"/>
  <c r="A929" i="17"/>
  <c r="A930" i="17"/>
  <c r="A931" i="17"/>
  <c r="A932" i="17"/>
  <c r="A933" i="17"/>
  <c r="A934" i="17"/>
  <c r="A935" i="17"/>
  <c r="A936" i="17"/>
  <c r="A937" i="17"/>
  <c r="A938" i="17"/>
  <c r="A939" i="17"/>
  <c r="A940" i="17"/>
  <c r="A941" i="17"/>
  <c r="A942" i="17"/>
  <c r="A943" i="17"/>
  <c r="A944" i="17"/>
  <c r="A945" i="17"/>
  <c r="A946" i="17"/>
  <c r="A947" i="17"/>
  <c r="A948" i="17"/>
  <c r="A949" i="17"/>
  <c r="A950" i="17"/>
  <c r="A951" i="17"/>
  <c r="A952" i="17"/>
  <c r="A953" i="17"/>
  <c r="A954" i="17"/>
  <c r="A955" i="17"/>
  <c r="A956" i="17"/>
  <c r="A957" i="17"/>
  <c r="A958" i="17"/>
  <c r="A959" i="17"/>
  <c r="A960" i="17"/>
  <c r="A961" i="17"/>
  <c r="A962" i="17"/>
  <c r="A963" i="17"/>
  <c r="A964" i="17"/>
  <c r="A965" i="17"/>
  <c r="A966" i="17"/>
  <c r="A967" i="17"/>
  <c r="A968" i="17"/>
  <c r="A969" i="17"/>
  <c r="A970" i="17"/>
  <c r="A971" i="17"/>
  <c r="A972" i="17"/>
  <c r="A973" i="17"/>
  <c r="A974" i="17"/>
  <c r="A975" i="17"/>
  <c r="A976" i="17"/>
  <c r="A977" i="17"/>
  <c r="A978" i="17"/>
  <c r="A979" i="17"/>
  <c r="A980" i="17"/>
  <c r="A981" i="17"/>
  <c r="A982" i="17"/>
  <c r="A983" i="17"/>
  <c r="A984" i="17"/>
  <c r="A985" i="17"/>
  <c r="A986" i="17"/>
  <c r="A987" i="17"/>
  <c r="A988" i="17"/>
  <c r="A989" i="17"/>
  <c r="A990" i="17"/>
  <c r="A991" i="17"/>
  <c r="A992" i="17"/>
  <c r="A993" i="17"/>
  <c r="A994" i="17"/>
  <c r="A995" i="17"/>
  <c r="A996" i="17"/>
  <c r="A997" i="17"/>
  <c r="A998" i="17"/>
  <c r="A999" i="17"/>
  <c r="A1000" i="17"/>
  <c r="A1001" i="17"/>
  <c r="A1002" i="17"/>
  <c r="A1003" i="17"/>
  <c r="A1004" i="17"/>
  <c r="A1005" i="17"/>
  <c r="A1006" i="17"/>
  <c r="A1007" i="17"/>
  <c r="A1008" i="17"/>
  <c r="A1009" i="17"/>
  <c r="A1010" i="17"/>
  <c r="A1011" i="17"/>
  <c r="A1012" i="17"/>
  <c r="A1013" i="17"/>
  <c r="A1014" i="17"/>
  <c r="A1015" i="17"/>
  <c r="A1016" i="17"/>
  <c r="A1017" i="17"/>
  <c r="A1018" i="17"/>
  <c r="A1019" i="17"/>
  <c r="A1020" i="17"/>
  <c r="A1021" i="17"/>
  <c r="A1022" i="17"/>
  <c r="A1023" i="17"/>
  <c r="A1024" i="17"/>
  <c r="A1025" i="17"/>
  <c r="A1026" i="17"/>
  <c r="A1027" i="17"/>
  <c r="A1028" i="17"/>
  <c r="A1029" i="17"/>
  <c r="A1030" i="17"/>
  <c r="A1031" i="17"/>
  <c r="A1032" i="17"/>
  <c r="A1033" i="17"/>
  <c r="A1034" i="17"/>
  <c r="A1035" i="17"/>
  <c r="A1036" i="17"/>
  <c r="A1037" i="17"/>
  <c r="A1038" i="17"/>
  <c r="A1039" i="17"/>
  <c r="A1040" i="17"/>
  <c r="A1041" i="17"/>
  <c r="A1042" i="17"/>
  <c r="A1043" i="17"/>
  <c r="A1044" i="17"/>
  <c r="A1045" i="17"/>
  <c r="A1046" i="17"/>
  <c r="A1047" i="17"/>
  <c r="A1048" i="17"/>
  <c r="A1049" i="17"/>
  <c r="A1050" i="17"/>
  <c r="A1051" i="17"/>
  <c r="A1052" i="17"/>
  <c r="A1053" i="17"/>
  <c r="A1054" i="17"/>
  <c r="A1055" i="17"/>
  <c r="A1056" i="17"/>
  <c r="A1057" i="17"/>
  <c r="A1058" i="17"/>
  <c r="A1059" i="17"/>
  <c r="A1060" i="17"/>
  <c r="A1061" i="17"/>
  <c r="A1062" i="17"/>
  <c r="A1063" i="17"/>
  <c r="A1064" i="17"/>
  <c r="A1065" i="17"/>
  <c r="A1066" i="17"/>
  <c r="A1067" i="17"/>
  <c r="A1068" i="17"/>
  <c r="A1069" i="17"/>
  <c r="A1070" i="17"/>
  <c r="A1071" i="17"/>
  <c r="A1072" i="17"/>
  <c r="A1073" i="17"/>
  <c r="A1074" i="17"/>
  <c r="A1075" i="17"/>
  <c r="A1076" i="17"/>
  <c r="A1077" i="17"/>
  <c r="A1078" i="17"/>
  <c r="A1079" i="17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A185" i="16"/>
  <c r="A186" i="16"/>
  <c r="A187" i="16"/>
  <c r="A188" i="16"/>
  <c r="A189" i="16"/>
  <c r="A190" i="16"/>
  <c r="A191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A206" i="16"/>
  <c r="A207" i="16"/>
  <c r="A208" i="16"/>
  <c r="A209" i="16"/>
  <c r="A210" i="16"/>
  <c r="A211" i="16"/>
  <c r="A212" i="16"/>
  <c r="A213" i="16"/>
  <c r="A214" i="16"/>
  <c r="A215" i="16"/>
  <c r="A216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A231" i="16"/>
  <c r="A232" i="16"/>
  <c r="A233" i="16"/>
  <c r="A234" i="16"/>
  <c r="A235" i="16"/>
  <c r="A236" i="16"/>
  <c r="A237" i="16"/>
  <c r="A238" i="16"/>
  <c r="A239" i="16"/>
  <c r="A240" i="16"/>
  <c r="A241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54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A357" i="16"/>
  <c r="A358" i="16"/>
  <c r="A359" i="16"/>
  <c r="A360" i="16"/>
  <c r="A361" i="16"/>
  <c r="A362" i="16"/>
  <c r="A363" i="16"/>
  <c r="A364" i="16"/>
  <c r="A365" i="16"/>
  <c r="A366" i="16"/>
  <c r="A367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A382" i="16"/>
  <c r="A383" i="16"/>
  <c r="A384" i="16"/>
  <c r="A385" i="16"/>
  <c r="A386" i="16"/>
  <c r="A387" i="16"/>
  <c r="A388" i="16"/>
  <c r="A389" i="16"/>
  <c r="A390" i="16"/>
  <c r="A391" i="16"/>
  <c r="A392" i="16"/>
  <c r="A393" i="16"/>
  <c r="A394" i="16"/>
  <c r="A395" i="16"/>
  <c r="A396" i="16"/>
  <c r="A397" i="16"/>
  <c r="A398" i="16"/>
  <c r="A399" i="16"/>
  <c r="A400" i="16"/>
  <c r="A401" i="16"/>
  <c r="A402" i="16"/>
  <c r="A403" i="16"/>
  <c r="A404" i="16"/>
  <c r="A405" i="16"/>
  <c r="A406" i="16"/>
  <c r="A407" i="16"/>
  <c r="A408" i="16"/>
  <c r="A409" i="16"/>
  <c r="A410" i="16"/>
  <c r="A411" i="16"/>
  <c r="A412" i="16"/>
  <c r="A413" i="16"/>
  <c r="A414" i="16"/>
  <c r="A415" i="16"/>
  <c r="A416" i="16"/>
  <c r="A417" i="16"/>
  <c r="A418" i="16"/>
  <c r="A419" i="16"/>
  <c r="A420" i="16"/>
  <c r="A421" i="16"/>
  <c r="A422" i="16"/>
  <c r="A423" i="16"/>
  <c r="A424" i="16"/>
  <c r="A425" i="16"/>
  <c r="A426" i="16"/>
  <c r="A427" i="16"/>
  <c r="A428" i="16"/>
  <c r="A429" i="16"/>
  <c r="A430" i="16"/>
  <c r="A431" i="16"/>
  <c r="A432" i="16"/>
  <c r="A433" i="16"/>
  <c r="A434" i="16"/>
  <c r="A435" i="16"/>
  <c r="A436" i="16"/>
  <c r="A437" i="16"/>
  <c r="A438" i="16"/>
  <c r="A439" i="16"/>
  <c r="A440" i="16"/>
  <c r="A441" i="16"/>
  <c r="A442" i="16"/>
  <c r="A443" i="16"/>
  <c r="A444" i="16"/>
  <c r="A445" i="16"/>
  <c r="A446" i="16"/>
  <c r="A447" i="16"/>
  <c r="A448" i="16"/>
  <c r="A449" i="16"/>
  <c r="A450" i="16"/>
  <c r="A451" i="16"/>
  <c r="A452" i="16"/>
  <c r="A453" i="16"/>
  <c r="A454" i="16"/>
  <c r="A455" i="16"/>
  <c r="A456" i="16"/>
  <c r="A457" i="16"/>
  <c r="A458" i="16"/>
  <c r="A459" i="16"/>
  <c r="A460" i="16"/>
  <c r="A461" i="16"/>
  <c r="A462" i="16"/>
  <c r="A463" i="16"/>
  <c r="A464" i="16"/>
  <c r="A465" i="16"/>
  <c r="A466" i="16"/>
  <c r="A467" i="16"/>
  <c r="A468" i="16"/>
  <c r="A469" i="16"/>
  <c r="A470" i="16"/>
  <c r="A471" i="16"/>
  <c r="A472" i="16"/>
  <c r="A473" i="16"/>
  <c r="A474" i="16"/>
  <c r="A475" i="16"/>
  <c r="A476" i="16"/>
  <c r="A477" i="16"/>
  <c r="A478" i="16"/>
  <c r="A479" i="16"/>
  <c r="A480" i="16"/>
  <c r="A481" i="16"/>
  <c r="A482" i="16"/>
  <c r="A483" i="16"/>
  <c r="A484" i="16"/>
  <c r="A485" i="16"/>
  <c r="A486" i="16"/>
  <c r="A487" i="16"/>
  <c r="A488" i="16"/>
  <c r="A489" i="16"/>
  <c r="A490" i="16"/>
  <c r="A491" i="16"/>
  <c r="A492" i="16"/>
  <c r="A493" i="16"/>
  <c r="A494" i="16"/>
  <c r="A495" i="16"/>
  <c r="A496" i="16"/>
  <c r="A497" i="16"/>
  <c r="A498" i="16"/>
  <c r="A499" i="16"/>
  <c r="A500" i="16"/>
  <c r="A501" i="16"/>
  <c r="A502" i="16"/>
  <c r="A503" i="16"/>
  <c r="A504" i="16"/>
  <c r="A505" i="16"/>
  <c r="A506" i="16"/>
  <c r="A507" i="16"/>
  <c r="A508" i="16"/>
  <c r="A509" i="16"/>
  <c r="A510" i="16"/>
  <c r="A511" i="16"/>
  <c r="A512" i="16"/>
  <c r="A513" i="16"/>
  <c r="A514" i="16"/>
  <c r="A515" i="16"/>
  <c r="A516" i="16"/>
  <c r="A517" i="16"/>
  <c r="A518" i="16"/>
  <c r="A519" i="16"/>
  <c r="A520" i="16"/>
  <c r="A521" i="16"/>
  <c r="A522" i="16"/>
  <c r="A523" i="16"/>
  <c r="A524" i="16"/>
  <c r="A525" i="16"/>
  <c r="A526" i="16"/>
  <c r="A527" i="16"/>
  <c r="A528" i="16"/>
  <c r="A529" i="16"/>
  <c r="A530" i="16"/>
  <c r="A531" i="16"/>
  <c r="A532" i="16"/>
  <c r="A533" i="16"/>
  <c r="A534" i="16"/>
  <c r="A535" i="16"/>
  <c r="A536" i="16"/>
  <c r="A537" i="16"/>
  <c r="A538" i="16"/>
  <c r="A539" i="16"/>
  <c r="A540" i="16"/>
  <c r="A541" i="16"/>
  <c r="A542" i="16"/>
  <c r="A543" i="16"/>
  <c r="A544" i="16"/>
  <c r="A545" i="16"/>
  <c r="A546" i="16"/>
  <c r="A547" i="16"/>
  <c r="A548" i="16"/>
  <c r="A549" i="16"/>
  <c r="A550" i="16"/>
  <c r="A551" i="16"/>
  <c r="A552" i="16"/>
  <c r="A553" i="16"/>
  <c r="A554" i="16"/>
  <c r="A555" i="16"/>
  <c r="A556" i="16"/>
  <c r="A557" i="16"/>
  <c r="A558" i="16"/>
  <c r="A559" i="16"/>
  <c r="A560" i="16"/>
  <c r="A561" i="16"/>
  <c r="A562" i="16"/>
  <c r="A563" i="16"/>
  <c r="A564" i="16"/>
  <c r="A565" i="16"/>
  <c r="A566" i="16"/>
  <c r="A567" i="16"/>
  <c r="A568" i="16"/>
  <c r="A569" i="16"/>
  <c r="A570" i="16"/>
  <c r="A571" i="16"/>
  <c r="A572" i="16"/>
  <c r="A573" i="16"/>
  <c r="A574" i="16"/>
  <c r="A575" i="16"/>
  <c r="A576" i="16"/>
  <c r="A577" i="16"/>
  <c r="A578" i="16"/>
  <c r="A579" i="16"/>
  <c r="A580" i="16"/>
  <c r="A581" i="16"/>
  <c r="A582" i="16"/>
  <c r="A583" i="16"/>
  <c r="A584" i="16"/>
  <c r="A585" i="16"/>
  <c r="A586" i="16"/>
  <c r="A587" i="16"/>
  <c r="A588" i="16"/>
  <c r="A589" i="16"/>
  <c r="A590" i="16"/>
  <c r="A591" i="16"/>
  <c r="A592" i="16"/>
  <c r="A593" i="16"/>
  <c r="A594" i="16"/>
  <c r="A595" i="16"/>
  <c r="A596" i="16"/>
  <c r="A597" i="16"/>
  <c r="A598" i="16"/>
  <c r="A599" i="16"/>
  <c r="A600" i="16"/>
  <c r="A601" i="16"/>
  <c r="A602" i="16"/>
  <c r="A603" i="16"/>
  <c r="A604" i="16"/>
  <c r="A605" i="16"/>
  <c r="A606" i="16"/>
  <c r="A607" i="16"/>
  <c r="A608" i="16"/>
  <c r="A609" i="16"/>
  <c r="A610" i="16"/>
  <c r="A611" i="16"/>
  <c r="A612" i="16"/>
  <c r="A613" i="16"/>
  <c r="A614" i="16"/>
  <c r="A615" i="16"/>
  <c r="A616" i="16"/>
  <c r="A617" i="16"/>
  <c r="A618" i="16"/>
  <c r="A619" i="16"/>
  <c r="A620" i="16"/>
  <c r="A621" i="16"/>
  <c r="A622" i="16"/>
  <c r="A623" i="16"/>
  <c r="A624" i="16"/>
  <c r="A625" i="16"/>
  <c r="A626" i="16"/>
  <c r="A627" i="16"/>
  <c r="A628" i="16"/>
  <c r="A629" i="16"/>
  <c r="A630" i="16"/>
  <c r="A631" i="16"/>
  <c r="A632" i="16"/>
  <c r="A633" i="16"/>
  <c r="A634" i="16"/>
  <c r="A635" i="16"/>
  <c r="A636" i="16"/>
  <c r="A637" i="16"/>
  <c r="A638" i="16"/>
  <c r="A639" i="16"/>
  <c r="A640" i="16"/>
  <c r="A641" i="16"/>
  <c r="A642" i="16"/>
  <c r="A643" i="16"/>
  <c r="A644" i="16"/>
  <c r="A645" i="16"/>
  <c r="A646" i="16"/>
  <c r="A647" i="16"/>
  <c r="A648" i="16"/>
  <c r="A649" i="16"/>
  <c r="A650" i="16"/>
  <c r="A651" i="16"/>
  <c r="A652" i="16"/>
  <c r="A653" i="16"/>
  <c r="A654" i="16"/>
  <c r="A655" i="16"/>
  <c r="A656" i="16"/>
  <c r="A657" i="16"/>
  <c r="A658" i="16"/>
  <c r="A659" i="16"/>
  <c r="A660" i="16"/>
  <c r="A661" i="16"/>
  <c r="A662" i="16"/>
  <c r="A663" i="16"/>
  <c r="A664" i="16"/>
  <c r="A665" i="16"/>
  <c r="A666" i="16"/>
  <c r="A667" i="16"/>
  <c r="A668" i="16"/>
  <c r="A669" i="16"/>
  <c r="A670" i="16"/>
  <c r="A671" i="16"/>
  <c r="A672" i="16"/>
  <c r="A673" i="16"/>
  <c r="A674" i="16"/>
  <c r="A675" i="16"/>
  <c r="A676" i="16"/>
  <c r="A677" i="16"/>
  <c r="A678" i="16"/>
  <c r="A679" i="16"/>
  <c r="A680" i="16"/>
  <c r="A681" i="16"/>
  <c r="A682" i="16"/>
  <c r="A683" i="16"/>
  <c r="A684" i="16"/>
  <c r="A685" i="16"/>
  <c r="A686" i="16"/>
  <c r="A687" i="16"/>
  <c r="A688" i="16"/>
  <c r="A689" i="16"/>
  <c r="A690" i="16"/>
  <c r="A691" i="16"/>
  <c r="A692" i="16"/>
  <c r="A693" i="16"/>
  <c r="A694" i="16"/>
  <c r="A695" i="16"/>
  <c r="A696" i="16"/>
  <c r="A697" i="16"/>
  <c r="A698" i="16"/>
  <c r="A699" i="16"/>
  <c r="A700" i="16"/>
  <c r="A701" i="16"/>
  <c r="A702" i="16"/>
  <c r="A703" i="16"/>
  <c r="A704" i="16"/>
  <c r="A705" i="16"/>
  <c r="A706" i="16"/>
  <c r="A707" i="16"/>
  <c r="A708" i="16"/>
  <c r="A709" i="16"/>
  <c r="A710" i="16"/>
  <c r="A711" i="16"/>
  <c r="A712" i="16"/>
  <c r="A713" i="16"/>
  <c r="A714" i="16"/>
  <c r="A715" i="16"/>
  <c r="A716" i="16"/>
  <c r="A717" i="16"/>
  <c r="A718" i="16"/>
  <c r="A719" i="16"/>
  <c r="A720" i="16"/>
  <c r="A721" i="16"/>
  <c r="A722" i="16"/>
  <c r="A723" i="16"/>
  <c r="A724" i="16"/>
  <c r="A725" i="16"/>
  <c r="A726" i="16"/>
  <c r="A727" i="16"/>
  <c r="A728" i="16"/>
  <c r="A729" i="16"/>
  <c r="A730" i="16"/>
  <c r="A731" i="16"/>
  <c r="A732" i="16"/>
  <c r="A733" i="16"/>
  <c r="A734" i="16"/>
  <c r="A735" i="16"/>
  <c r="A736" i="16"/>
  <c r="A737" i="16"/>
  <c r="A738" i="16"/>
  <c r="A739" i="16"/>
  <c r="A740" i="16"/>
  <c r="A741" i="16"/>
  <c r="A742" i="16"/>
  <c r="A743" i="16"/>
  <c r="A744" i="16"/>
  <c r="A745" i="16"/>
  <c r="A746" i="16"/>
  <c r="A747" i="16"/>
  <c r="A748" i="16"/>
  <c r="A749" i="16"/>
  <c r="A750" i="16"/>
  <c r="A751" i="16"/>
  <c r="A752" i="16"/>
  <c r="A753" i="16"/>
  <c r="A754" i="16"/>
  <c r="A755" i="16"/>
  <c r="A756" i="16"/>
  <c r="A757" i="16"/>
  <c r="A758" i="16"/>
  <c r="A759" i="16"/>
  <c r="A760" i="16"/>
  <c r="A761" i="16"/>
  <c r="A762" i="16"/>
  <c r="A763" i="16"/>
  <c r="A764" i="16"/>
  <c r="A765" i="16"/>
  <c r="A766" i="16"/>
  <c r="A767" i="16"/>
  <c r="A768" i="16"/>
  <c r="A769" i="16"/>
  <c r="A770" i="16"/>
  <c r="A771" i="16"/>
  <c r="A772" i="16"/>
  <c r="A773" i="16"/>
  <c r="A774" i="16"/>
  <c r="A775" i="16"/>
  <c r="A776" i="16"/>
  <c r="A777" i="16"/>
  <c r="A778" i="16"/>
  <c r="A779" i="16"/>
  <c r="A780" i="16"/>
  <c r="A781" i="16"/>
  <c r="A782" i="16"/>
  <c r="A783" i="16"/>
  <c r="A784" i="16"/>
  <c r="A785" i="16"/>
  <c r="A786" i="16"/>
  <c r="A787" i="16"/>
  <c r="A788" i="16"/>
  <c r="A789" i="16"/>
  <c r="A790" i="16"/>
  <c r="A791" i="16"/>
  <c r="A792" i="16"/>
  <c r="A793" i="16"/>
  <c r="A794" i="16"/>
  <c r="A795" i="16"/>
  <c r="A796" i="16"/>
  <c r="A797" i="16"/>
  <c r="A798" i="16"/>
  <c r="A799" i="16"/>
  <c r="A800" i="16"/>
  <c r="A801" i="16"/>
  <c r="A802" i="16"/>
  <c r="A803" i="16"/>
  <c r="A804" i="16"/>
  <c r="A805" i="16"/>
  <c r="A806" i="16"/>
  <c r="A807" i="16"/>
  <c r="A808" i="16"/>
  <c r="A809" i="16"/>
  <c r="A810" i="16"/>
  <c r="A811" i="16"/>
  <c r="A812" i="16"/>
  <c r="A813" i="16"/>
  <c r="A814" i="16"/>
  <c r="A815" i="16"/>
  <c r="A816" i="16"/>
  <c r="A817" i="16"/>
  <c r="A818" i="16"/>
  <c r="A819" i="16"/>
  <c r="A820" i="16"/>
  <c r="A821" i="16"/>
  <c r="A822" i="16"/>
  <c r="A823" i="16"/>
  <c r="A824" i="16"/>
  <c r="A825" i="16"/>
  <c r="A826" i="16"/>
  <c r="A827" i="16"/>
  <c r="A828" i="16"/>
  <c r="A829" i="16"/>
  <c r="A830" i="16"/>
  <c r="A831" i="16"/>
  <c r="A832" i="16"/>
  <c r="A833" i="16"/>
  <c r="A834" i="16"/>
  <c r="A835" i="16"/>
  <c r="A836" i="16"/>
  <c r="A837" i="16"/>
  <c r="A838" i="16"/>
  <c r="A839" i="16"/>
  <c r="A840" i="16"/>
  <c r="A841" i="16"/>
  <c r="A842" i="16"/>
  <c r="A843" i="16"/>
  <c r="A844" i="16"/>
  <c r="A845" i="16"/>
  <c r="A846" i="16"/>
  <c r="A847" i="16"/>
  <c r="A848" i="16"/>
  <c r="A849" i="16"/>
  <c r="A850" i="16"/>
  <c r="A851" i="16"/>
  <c r="A852" i="16"/>
  <c r="A853" i="16"/>
  <c r="A854" i="16"/>
  <c r="A855" i="16"/>
  <c r="A856" i="16"/>
  <c r="A857" i="16"/>
  <c r="A858" i="16"/>
  <c r="A859" i="16"/>
  <c r="A860" i="16"/>
  <c r="A861" i="16"/>
  <c r="A862" i="16"/>
  <c r="A863" i="16"/>
  <c r="A864" i="16"/>
  <c r="A865" i="16"/>
  <c r="A866" i="16"/>
  <c r="A867" i="16"/>
  <c r="A868" i="16"/>
  <c r="A869" i="16"/>
  <c r="A870" i="16"/>
  <c r="A871" i="16"/>
  <c r="A872" i="16"/>
  <c r="A873" i="16"/>
  <c r="A874" i="16"/>
  <c r="A875" i="16"/>
  <c r="A876" i="16"/>
  <c r="A877" i="16"/>
  <c r="A878" i="16"/>
  <c r="A879" i="16"/>
  <c r="A880" i="16"/>
  <c r="A881" i="16"/>
  <c r="A882" i="16"/>
  <c r="A883" i="16"/>
  <c r="A884" i="16"/>
  <c r="A885" i="16"/>
  <c r="A886" i="16"/>
  <c r="A887" i="16"/>
  <c r="A888" i="16"/>
  <c r="A889" i="16"/>
  <c r="A890" i="16"/>
  <c r="A891" i="16"/>
  <c r="A892" i="16"/>
  <c r="A893" i="16"/>
  <c r="A894" i="16"/>
  <c r="A895" i="16"/>
  <c r="A896" i="16"/>
  <c r="A897" i="16"/>
  <c r="A898" i="16"/>
  <c r="A899" i="16"/>
  <c r="A900" i="16"/>
  <c r="A901" i="16"/>
  <c r="A902" i="16"/>
  <c r="A903" i="16"/>
  <c r="A904" i="16"/>
  <c r="A905" i="16"/>
  <c r="A906" i="16"/>
  <c r="A907" i="16"/>
  <c r="A908" i="16"/>
  <c r="A909" i="16"/>
  <c r="A910" i="16"/>
  <c r="A911" i="16"/>
  <c r="A912" i="16"/>
  <c r="A913" i="16"/>
  <c r="A914" i="16"/>
  <c r="A915" i="16"/>
  <c r="A916" i="16"/>
  <c r="A917" i="16"/>
  <c r="A918" i="16"/>
  <c r="A919" i="16"/>
  <c r="A920" i="16"/>
  <c r="A921" i="16"/>
  <c r="A922" i="16"/>
  <c r="A923" i="16"/>
  <c r="A924" i="16"/>
  <c r="A925" i="16"/>
  <c r="A926" i="16"/>
  <c r="A927" i="16"/>
  <c r="A928" i="16"/>
  <c r="A929" i="16"/>
  <c r="A930" i="16"/>
  <c r="A931" i="16"/>
  <c r="A932" i="16"/>
  <c r="A933" i="16"/>
  <c r="A934" i="16"/>
  <c r="A935" i="16"/>
  <c r="A936" i="16"/>
  <c r="A937" i="16"/>
  <c r="A938" i="16"/>
  <c r="A939" i="16"/>
  <c r="A940" i="16"/>
  <c r="A941" i="16"/>
  <c r="A942" i="16"/>
  <c r="A943" i="16"/>
  <c r="A944" i="16"/>
  <c r="A945" i="16"/>
  <c r="A946" i="16"/>
  <c r="A947" i="16"/>
  <c r="A948" i="16"/>
  <c r="A949" i="16"/>
  <c r="A950" i="16"/>
  <c r="A951" i="16"/>
  <c r="A952" i="16"/>
  <c r="A953" i="16"/>
  <c r="A954" i="16"/>
  <c r="A955" i="16"/>
  <c r="A956" i="16"/>
  <c r="A957" i="16"/>
  <c r="A958" i="16"/>
  <c r="A959" i="16"/>
  <c r="A960" i="16"/>
  <c r="A961" i="16"/>
  <c r="A962" i="16"/>
  <c r="A963" i="16"/>
  <c r="A964" i="16"/>
  <c r="A965" i="16"/>
  <c r="A966" i="16"/>
  <c r="A967" i="16"/>
  <c r="A968" i="16"/>
  <c r="A969" i="16"/>
  <c r="A970" i="16"/>
  <c r="A971" i="16"/>
  <c r="A972" i="16"/>
  <c r="A973" i="16"/>
  <c r="A974" i="16"/>
  <c r="A975" i="16"/>
  <c r="A976" i="16"/>
  <c r="A977" i="16"/>
  <c r="A978" i="16"/>
  <c r="A979" i="16"/>
  <c r="A980" i="16"/>
  <c r="A981" i="16"/>
  <c r="A982" i="16"/>
  <c r="A983" i="16"/>
  <c r="A984" i="16"/>
  <c r="A985" i="16"/>
  <c r="A986" i="16"/>
  <c r="A987" i="16"/>
  <c r="A988" i="16"/>
  <c r="A989" i="16"/>
  <c r="A990" i="16"/>
  <c r="A991" i="16"/>
  <c r="A992" i="16"/>
  <c r="A993" i="16"/>
  <c r="A994" i="16"/>
  <c r="A995" i="16"/>
  <c r="A996" i="16"/>
  <c r="A997" i="16"/>
  <c r="A998" i="16"/>
  <c r="A999" i="16"/>
  <c r="A1000" i="16"/>
  <c r="A1001" i="16"/>
  <c r="A1002" i="16"/>
  <c r="A1003" i="16"/>
  <c r="A1004" i="16"/>
  <c r="A1005" i="16"/>
  <c r="A1006" i="16"/>
  <c r="A1007" i="16"/>
  <c r="A1008" i="16"/>
  <c r="A1009" i="16"/>
  <c r="A1010" i="16"/>
  <c r="A1011" i="16"/>
  <c r="A1012" i="16"/>
  <c r="A1013" i="16"/>
  <c r="A1014" i="16"/>
  <c r="A1015" i="16"/>
  <c r="A1016" i="16"/>
  <c r="A1017" i="16"/>
  <c r="A1018" i="16"/>
  <c r="A1019" i="16"/>
  <c r="A1020" i="16"/>
  <c r="A1021" i="16"/>
  <c r="A1022" i="16"/>
  <c r="A1023" i="16"/>
  <c r="A1024" i="16"/>
  <c r="A1025" i="16"/>
  <c r="A1026" i="16"/>
  <c r="A1027" i="16"/>
  <c r="A1028" i="16"/>
  <c r="A1029" i="16"/>
  <c r="A1030" i="16"/>
  <c r="A1031" i="16"/>
  <c r="A1032" i="16"/>
  <c r="A1033" i="16"/>
  <c r="A1034" i="16"/>
  <c r="A1035" i="16"/>
  <c r="A1036" i="16"/>
  <c r="A1037" i="16"/>
  <c r="A1038" i="16"/>
  <c r="A1039" i="16"/>
  <c r="A1040" i="16"/>
  <c r="A1041" i="16"/>
  <c r="A1042" i="16"/>
  <c r="A1043" i="16"/>
  <c r="A1044" i="16"/>
  <c r="A1045" i="16"/>
  <c r="A1046" i="16"/>
  <c r="A1047" i="16"/>
  <c r="A1048" i="16"/>
  <c r="A1049" i="16"/>
  <c r="A1050" i="16"/>
  <c r="A1051" i="16"/>
  <c r="A1052" i="16"/>
  <c r="A1053" i="16"/>
  <c r="A1054" i="16"/>
  <c r="A1055" i="16"/>
  <c r="A1056" i="16"/>
  <c r="A1057" i="16"/>
  <c r="A1058" i="16"/>
  <c r="A1059" i="16"/>
  <c r="A1060" i="16"/>
  <c r="A1061" i="16"/>
  <c r="A1062" i="16"/>
  <c r="A1063" i="16"/>
  <c r="A1064" i="16"/>
  <c r="A1065" i="16"/>
  <c r="A1066" i="16"/>
  <c r="A1067" i="16"/>
  <c r="A1068" i="16"/>
  <c r="A1069" i="16"/>
  <c r="A1070" i="16"/>
  <c r="A1071" i="16"/>
  <c r="A1072" i="16"/>
  <c r="A1073" i="16"/>
  <c r="A1074" i="16"/>
  <c r="A1075" i="16"/>
  <c r="A1076" i="16"/>
  <c r="A1077" i="16"/>
  <c r="A1078" i="16"/>
  <c r="A1079" i="16"/>
  <c r="A2" i="18"/>
  <c r="A2" i="17"/>
  <c r="A2" i="11"/>
  <c r="A2" i="12"/>
  <c r="A2" i="13"/>
  <c r="A2" i="14"/>
  <c r="A2" i="15"/>
  <c r="A2" i="16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C1" i="11"/>
  <c r="A8" i="1"/>
  <c r="A9" i="1" s="1"/>
  <c r="A10" i="1" s="1"/>
  <c r="A11" i="1" s="1"/>
  <c r="A12" i="1" s="1"/>
  <c r="A13" i="1" s="1"/>
  <c r="A7" i="1"/>
  <c r="K5" i="19" l="1"/>
  <c r="G5" i="19"/>
  <c r="J5" i="19"/>
  <c r="F5" i="19"/>
  <c r="F6" i="19" s="1"/>
  <c r="I5" i="19"/>
  <c r="E5" i="19"/>
  <c r="H5" i="19"/>
  <c r="D5" i="19"/>
  <c r="J6" i="19" s="1"/>
  <c r="AJ64" i="19"/>
  <c r="AS64" i="19" s="1"/>
  <c r="AE64" i="19"/>
  <c r="AN64" i="19" s="1"/>
  <c r="U2" i="19"/>
  <c r="AI64" i="19"/>
  <c r="AR64" i="19" s="1"/>
  <c r="Y2" i="19"/>
  <c r="AB2" i="19"/>
  <c r="X2" i="19"/>
  <c r="AA2" i="19"/>
  <c r="W2" i="19"/>
  <c r="Z2" i="19"/>
  <c r="V2" i="19"/>
  <c r="AG64" i="19"/>
  <c r="AP64" i="19" s="1"/>
  <c r="AK64" i="19"/>
  <c r="AT64" i="19" s="1"/>
  <c r="AE906" i="19"/>
  <c r="AN906" i="19" s="1"/>
  <c r="AE778" i="19"/>
  <c r="AN778" i="19" s="1"/>
  <c r="AE746" i="19"/>
  <c r="AN746" i="19" s="1"/>
  <c r="AE714" i="19"/>
  <c r="AN714" i="19" s="1"/>
  <c r="AE682" i="19"/>
  <c r="AN682" i="19" s="1"/>
  <c r="AE762" i="19"/>
  <c r="AN762" i="19" s="1"/>
  <c r="AE730" i="19"/>
  <c r="AN730" i="19" s="1"/>
  <c r="AE706" i="19"/>
  <c r="AN706" i="19" s="1"/>
  <c r="AE655" i="19"/>
  <c r="AN655" i="19" s="1"/>
  <c r="AH637" i="19"/>
  <c r="AQ637" i="19" s="1"/>
  <c r="AH605" i="19"/>
  <c r="AQ605" i="19" s="1"/>
  <c r="AH573" i="19"/>
  <c r="AQ573" i="19" s="1"/>
  <c r="AH541" i="19"/>
  <c r="AQ541" i="19" s="1"/>
  <c r="AE874" i="19"/>
  <c r="AN874" i="19" s="1"/>
  <c r="AE938" i="19"/>
  <c r="AN938" i="19" s="1"/>
  <c r="AE842" i="19"/>
  <c r="AN842" i="19" s="1"/>
  <c r="AE754" i="19"/>
  <c r="AN754" i="19" s="1"/>
  <c r="AE738" i="19"/>
  <c r="AN738" i="19" s="1"/>
  <c r="AE722" i="19"/>
  <c r="AN722" i="19" s="1"/>
  <c r="AE698" i="19"/>
  <c r="AN698" i="19" s="1"/>
  <c r="AE690" i="19"/>
  <c r="AN690" i="19" s="1"/>
  <c r="AE674" i="19"/>
  <c r="AN674" i="19" s="1"/>
  <c r="AF1005" i="19"/>
  <c r="AO1005" i="19" s="1"/>
  <c r="AJ413" i="19"/>
  <c r="AS413" i="19" s="1"/>
  <c r="AJ381" i="19"/>
  <c r="AS381" i="19" s="1"/>
  <c r="AJ1080" i="19"/>
  <c r="AS1080" i="19" s="1"/>
  <c r="AF1080" i="19"/>
  <c r="AO1080" i="19" s="1"/>
  <c r="AJ1079" i="19"/>
  <c r="AS1079" i="19" s="1"/>
  <c r="AF1079" i="19"/>
  <c r="AO1079" i="19" s="1"/>
  <c r="AJ1078" i="19"/>
  <c r="AS1078" i="19" s="1"/>
  <c r="AF1078" i="19"/>
  <c r="AO1078" i="19" s="1"/>
  <c r="AJ1077" i="19"/>
  <c r="AS1077" i="19" s="1"/>
  <c r="AF1077" i="19"/>
  <c r="AO1077" i="19" s="1"/>
  <c r="AJ1076" i="19"/>
  <c r="AS1076" i="19" s="1"/>
  <c r="AF1076" i="19"/>
  <c r="AO1076" i="19" s="1"/>
  <c r="AJ1075" i="19"/>
  <c r="AS1075" i="19" s="1"/>
  <c r="AF1075" i="19"/>
  <c r="AO1075" i="19" s="1"/>
  <c r="AJ1074" i="19"/>
  <c r="AS1074" i="19" s="1"/>
  <c r="AF1074" i="19"/>
  <c r="AO1074" i="19" s="1"/>
  <c r="AJ1073" i="19"/>
  <c r="AS1073" i="19" s="1"/>
  <c r="AF1073" i="19"/>
  <c r="AO1073" i="19" s="1"/>
  <c r="AJ1072" i="19"/>
  <c r="AS1072" i="19" s="1"/>
  <c r="AF1072" i="19"/>
  <c r="AO1072" i="19" s="1"/>
  <c r="AJ1071" i="19"/>
  <c r="AS1071" i="19" s="1"/>
  <c r="AF1071" i="19"/>
  <c r="AO1071" i="19" s="1"/>
  <c r="AJ1070" i="19"/>
  <c r="AS1070" i="19" s="1"/>
  <c r="AF1070" i="19"/>
  <c r="AO1070" i="19" s="1"/>
  <c r="AJ1069" i="19"/>
  <c r="AS1069" i="19" s="1"/>
  <c r="AF1069" i="19"/>
  <c r="AO1069" i="19" s="1"/>
  <c r="AJ1068" i="19"/>
  <c r="AS1068" i="19" s="1"/>
  <c r="AF1068" i="19"/>
  <c r="AO1068" i="19" s="1"/>
  <c r="AJ1067" i="19"/>
  <c r="AS1067" i="19" s="1"/>
  <c r="AF1067" i="19"/>
  <c r="AO1067" i="19" s="1"/>
  <c r="AJ1066" i="19"/>
  <c r="AS1066" i="19" s="1"/>
  <c r="AF1066" i="19"/>
  <c r="AO1066" i="19" s="1"/>
  <c r="AJ1065" i="19"/>
  <c r="AS1065" i="19" s="1"/>
  <c r="AF1065" i="19"/>
  <c r="AO1065" i="19" s="1"/>
  <c r="AJ1064" i="19"/>
  <c r="AS1064" i="19" s="1"/>
  <c r="AF1064" i="19"/>
  <c r="AO1064" i="19" s="1"/>
  <c r="AJ1063" i="19"/>
  <c r="AS1063" i="19" s="1"/>
  <c r="AF1063" i="19"/>
  <c r="AO1063" i="19" s="1"/>
  <c r="AJ1062" i="19"/>
  <c r="AS1062" i="19" s="1"/>
  <c r="AF1062" i="19"/>
  <c r="AO1062" i="19" s="1"/>
  <c r="AJ1061" i="19"/>
  <c r="AS1061" i="19" s="1"/>
  <c r="AF1061" i="19"/>
  <c r="AO1061" i="19" s="1"/>
  <c r="AJ1060" i="19"/>
  <c r="AS1060" i="19" s="1"/>
  <c r="AF1060" i="19"/>
  <c r="AO1060" i="19" s="1"/>
  <c r="AJ1059" i="19"/>
  <c r="AS1059" i="19" s="1"/>
  <c r="AF1059" i="19"/>
  <c r="AO1059" i="19" s="1"/>
  <c r="AJ1058" i="19"/>
  <c r="AS1058" i="19" s="1"/>
  <c r="AF1058" i="19"/>
  <c r="AO1058" i="19" s="1"/>
  <c r="AJ1057" i="19"/>
  <c r="AS1057" i="19" s="1"/>
  <c r="AF1057" i="19"/>
  <c r="AO1057" i="19" s="1"/>
  <c r="AJ1056" i="19"/>
  <c r="AS1056" i="19" s="1"/>
  <c r="AF1056" i="19"/>
  <c r="AO1056" i="19" s="1"/>
  <c r="AJ1055" i="19"/>
  <c r="AS1055" i="19" s="1"/>
  <c r="AF1055" i="19"/>
  <c r="AO1055" i="19" s="1"/>
  <c r="AJ1054" i="19"/>
  <c r="AS1054" i="19" s="1"/>
  <c r="AF1054" i="19"/>
  <c r="AO1054" i="19" s="1"/>
  <c r="AJ1053" i="19"/>
  <c r="AS1053" i="19" s="1"/>
  <c r="AF1053" i="19"/>
  <c r="AO1053" i="19" s="1"/>
  <c r="AJ1052" i="19"/>
  <c r="AS1052" i="19" s="1"/>
  <c r="AF1052" i="19"/>
  <c r="AO1052" i="19" s="1"/>
  <c r="AJ1051" i="19"/>
  <c r="AS1051" i="19" s="1"/>
  <c r="AF1051" i="19"/>
  <c r="AO1051" i="19" s="1"/>
  <c r="AJ1050" i="19"/>
  <c r="AS1050" i="19" s="1"/>
  <c r="AF1050" i="19"/>
  <c r="AO1050" i="19" s="1"/>
  <c r="AJ1049" i="19"/>
  <c r="AS1049" i="19" s="1"/>
  <c r="AF1049" i="19"/>
  <c r="AO1049" i="19" s="1"/>
  <c r="AJ1048" i="19"/>
  <c r="AS1048" i="19" s="1"/>
  <c r="AF1048" i="19"/>
  <c r="AO1048" i="19" s="1"/>
  <c r="AJ1047" i="19"/>
  <c r="AS1047" i="19" s="1"/>
  <c r="AF1047" i="19"/>
  <c r="AO1047" i="19" s="1"/>
  <c r="AJ1046" i="19"/>
  <c r="AS1046" i="19" s="1"/>
  <c r="AF1046" i="19"/>
  <c r="AO1046" i="19" s="1"/>
  <c r="AJ1045" i="19"/>
  <c r="AS1045" i="19" s="1"/>
  <c r="AF1045" i="19"/>
  <c r="AO1045" i="19" s="1"/>
  <c r="AJ1044" i="19"/>
  <c r="AS1044" i="19" s="1"/>
  <c r="AF1044" i="19"/>
  <c r="AO1044" i="19" s="1"/>
  <c r="AJ1043" i="19"/>
  <c r="AS1043" i="19" s="1"/>
  <c r="AF1043" i="19"/>
  <c r="AO1043" i="19" s="1"/>
  <c r="AJ1042" i="19"/>
  <c r="AS1042" i="19" s="1"/>
  <c r="AF1042" i="19"/>
  <c r="AO1042" i="19" s="1"/>
  <c r="AJ1041" i="19"/>
  <c r="AS1041" i="19" s="1"/>
  <c r="AF1041" i="19"/>
  <c r="AO1041" i="19" s="1"/>
  <c r="AJ1040" i="19"/>
  <c r="AS1040" i="19" s="1"/>
  <c r="AF1040" i="19"/>
  <c r="AO1040" i="19" s="1"/>
  <c r="AJ1039" i="19"/>
  <c r="AS1039" i="19" s="1"/>
  <c r="AF1039" i="19"/>
  <c r="AO1039" i="19" s="1"/>
  <c r="AJ1038" i="19"/>
  <c r="AS1038" i="19" s="1"/>
  <c r="AF1038" i="19"/>
  <c r="AO1038" i="19" s="1"/>
  <c r="AJ1037" i="19"/>
  <c r="AS1037" i="19" s="1"/>
  <c r="AF1037" i="19"/>
  <c r="AO1037" i="19" s="1"/>
  <c r="AJ1036" i="19"/>
  <c r="AS1036" i="19" s="1"/>
  <c r="AF1036" i="19"/>
  <c r="AO1036" i="19" s="1"/>
  <c r="AJ1035" i="19"/>
  <c r="AS1035" i="19" s="1"/>
  <c r="AF1035" i="19"/>
  <c r="AO1035" i="19" s="1"/>
  <c r="AJ1034" i="19"/>
  <c r="AS1034" i="19" s="1"/>
  <c r="AF1034" i="19"/>
  <c r="AO1034" i="19" s="1"/>
  <c r="AJ1033" i="19"/>
  <c r="AS1033" i="19" s="1"/>
  <c r="AF1033" i="19"/>
  <c r="AO1033" i="19" s="1"/>
  <c r="AJ1032" i="19"/>
  <c r="AS1032" i="19" s="1"/>
  <c r="AF1032" i="19"/>
  <c r="AO1032" i="19" s="1"/>
  <c r="AJ1031" i="19"/>
  <c r="AS1031" i="19" s="1"/>
  <c r="AF1031" i="19"/>
  <c r="AO1031" i="19" s="1"/>
  <c r="AJ1030" i="19"/>
  <c r="AS1030" i="19" s="1"/>
  <c r="AF1030" i="19"/>
  <c r="AO1030" i="19" s="1"/>
  <c r="AJ1029" i="19"/>
  <c r="AS1029" i="19" s="1"/>
  <c r="AF1029" i="19"/>
  <c r="AO1029" i="19" s="1"/>
  <c r="AJ1028" i="19"/>
  <c r="AS1028" i="19" s="1"/>
  <c r="AF1028" i="19"/>
  <c r="AO1028" i="19" s="1"/>
  <c r="AJ1027" i="19"/>
  <c r="AS1027" i="19" s="1"/>
  <c r="AF1027" i="19"/>
  <c r="AO1027" i="19" s="1"/>
  <c r="AJ1026" i="19"/>
  <c r="AS1026" i="19" s="1"/>
  <c r="AF1026" i="19"/>
  <c r="AO1026" i="19" s="1"/>
  <c r="AJ1025" i="19"/>
  <c r="AS1025" i="19" s="1"/>
  <c r="AF1025" i="19"/>
  <c r="AO1025" i="19" s="1"/>
  <c r="AJ1024" i="19"/>
  <c r="AS1024" i="19" s="1"/>
  <c r="AF1024" i="19"/>
  <c r="AO1024" i="19" s="1"/>
  <c r="AJ1023" i="19"/>
  <c r="AS1023" i="19" s="1"/>
  <c r="AF1023" i="19"/>
  <c r="AO1023" i="19" s="1"/>
  <c r="AJ1022" i="19"/>
  <c r="AS1022" i="19" s="1"/>
  <c r="AF1022" i="19"/>
  <c r="AO1022" i="19" s="1"/>
  <c r="AJ1021" i="19"/>
  <c r="AS1021" i="19" s="1"/>
  <c r="AF1021" i="19"/>
  <c r="AO1021" i="19" s="1"/>
  <c r="AJ1020" i="19"/>
  <c r="AS1020" i="19" s="1"/>
  <c r="AF1020" i="19"/>
  <c r="AO1020" i="19" s="1"/>
  <c r="AJ1019" i="19"/>
  <c r="AS1019" i="19" s="1"/>
  <c r="AF1019" i="19"/>
  <c r="AO1019" i="19" s="1"/>
  <c r="AJ1018" i="19"/>
  <c r="AS1018" i="19" s="1"/>
  <c r="AF1018" i="19"/>
  <c r="AO1018" i="19" s="1"/>
  <c r="AJ1017" i="19"/>
  <c r="AS1017" i="19" s="1"/>
  <c r="AF1017" i="19"/>
  <c r="AO1017" i="19" s="1"/>
  <c r="AJ1016" i="19"/>
  <c r="AS1016" i="19" s="1"/>
  <c r="AF1016" i="19"/>
  <c r="AO1016" i="19" s="1"/>
  <c r="AJ1015" i="19"/>
  <c r="AS1015" i="19" s="1"/>
  <c r="AF1015" i="19"/>
  <c r="AO1015" i="19" s="1"/>
  <c r="AJ1014" i="19"/>
  <c r="AS1014" i="19" s="1"/>
  <c r="AF1014" i="19"/>
  <c r="AO1014" i="19" s="1"/>
  <c r="AJ1013" i="19"/>
  <c r="AS1013" i="19" s="1"/>
  <c r="AF1013" i="19"/>
  <c r="AO1013" i="19" s="1"/>
  <c r="AJ1012" i="19"/>
  <c r="AS1012" i="19" s="1"/>
  <c r="AF1012" i="19"/>
  <c r="AO1012" i="19" s="1"/>
  <c r="AJ1011" i="19"/>
  <c r="AS1011" i="19" s="1"/>
  <c r="AF1011" i="19"/>
  <c r="AO1011" i="19" s="1"/>
  <c r="AJ1010" i="19"/>
  <c r="AS1010" i="19" s="1"/>
  <c r="AF1010" i="19"/>
  <c r="AO1010" i="19" s="1"/>
  <c r="AJ1009" i="19"/>
  <c r="AS1009" i="19" s="1"/>
  <c r="AF1009" i="19"/>
  <c r="AO1009" i="19" s="1"/>
  <c r="AJ1008" i="19"/>
  <c r="AS1008" i="19" s="1"/>
  <c r="AF1008" i="19"/>
  <c r="AO1008" i="19" s="1"/>
  <c r="AJ1007" i="19"/>
  <c r="AS1007" i="19" s="1"/>
  <c r="AF1007" i="19"/>
  <c r="AO1007" i="19" s="1"/>
  <c r="AJ1006" i="19"/>
  <c r="AS1006" i="19" s="1"/>
  <c r="AF1006" i="19"/>
  <c r="AO1006" i="19" s="1"/>
  <c r="AJ1005" i="19"/>
  <c r="AS1005" i="19" s="1"/>
  <c r="AJ1003" i="19"/>
  <c r="AS1003" i="19" s="1"/>
  <c r="AJ1002" i="19"/>
  <c r="AS1002" i="19" s="1"/>
  <c r="AF1002" i="19"/>
  <c r="AO1002" i="19" s="1"/>
  <c r="AF1001" i="19"/>
  <c r="AO1001" i="19" s="1"/>
  <c r="AF1000" i="19"/>
  <c r="AO1000" i="19" s="1"/>
  <c r="AF999" i="19"/>
  <c r="AO999" i="19" s="1"/>
  <c r="AF998" i="19"/>
  <c r="AO998" i="19" s="1"/>
  <c r="AF997" i="19"/>
  <c r="AO997" i="19" s="1"/>
  <c r="AF996" i="19"/>
  <c r="AO996" i="19" s="1"/>
  <c r="AJ995" i="19"/>
  <c r="AS995" i="19" s="1"/>
  <c r="AJ994" i="19"/>
  <c r="AS994" i="19" s="1"/>
  <c r="AJ993" i="19"/>
  <c r="AS993" i="19" s="1"/>
  <c r="AF993" i="19"/>
  <c r="AO993" i="19" s="1"/>
  <c r="AF992" i="19"/>
  <c r="AO992" i="19" s="1"/>
  <c r="AJ990" i="19"/>
  <c r="AS990" i="19" s="1"/>
  <c r="AJ989" i="19"/>
  <c r="AS989" i="19" s="1"/>
  <c r="AF989" i="19"/>
  <c r="AO989" i="19" s="1"/>
  <c r="AF988" i="19"/>
  <c r="AO988" i="19" s="1"/>
  <c r="AF987" i="19"/>
  <c r="AO987" i="19" s="1"/>
  <c r="AF986" i="19"/>
  <c r="AO986" i="19" s="1"/>
  <c r="AJ985" i="19"/>
  <c r="AS985" i="19" s="1"/>
  <c r="AJ984" i="19"/>
  <c r="AS984" i="19" s="1"/>
  <c r="AJ983" i="19"/>
  <c r="AS983" i="19" s="1"/>
  <c r="AJ982" i="19"/>
  <c r="AS982" i="19" s="1"/>
  <c r="AF982" i="19"/>
  <c r="AO982" i="19" s="1"/>
  <c r="AF981" i="19"/>
  <c r="AO981" i="19" s="1"/>
  <c r="AF980" i="19"/>
  <c r="AO980" i="19" s="1"/>
  <c r="AF979" i="19"/>
  <c r="AO979" i="19" s="1"/>
  <c r="AF978" i="19"/>
  <c r="AO978" i="19" s="1"/>
  <c r="AF977" i="19"/>
  <c r="AO977" i="19" s="1"/>
  <c r="AJ976" i="19"/>
  <c r="AS976" i="19" s="1"/>
  <c r="AJ975" i="19"/>
  <c r="AS975" i="19" s="1"/>
  <c r="AF974" i="19"/>
  <c r="AO974" i="19" s="1"/>
  <c r="AJ973" i="19"/>
  <c r="AS973" i="19" s="1"/>
  <c r="AJ972" i="19"/>
  <c r="AS972" i="19" s="1"/>
  <c r="AJ971" i="19"/>
  <c r="AS971" i="19" s="1"/>
  <c r="AJ970" i="19"/>
  <c r="AS970" i="19" s="1"/>
  <c r="AJ969" i="19"/>
  <c r="AS969" i="19" s="1"/>
  <c r="AJ968" i="19"/>
  <c r="AS968" i="19" s="1"/>
  <c r="AJ967" i="19"/>
  <c r="AS967" i="19" s="1"/>
  <c r="AJ966" i="19"/>
  <c r="AS966" i="19" s="1"/>
  <c r="AF966" i="19"/>
  <c r="AO966" i="19" s="1"/>
  <c r="AF965" i="19"/>
  <c r="AO965" i="19" s="1"/>
  <c r="AF964" i="19"/>
  <c r="AO964" i="19" s="1"/>
  <c r="AF963" i="19"/>
  <c r="AO963" i="19" s="1"/>
  <c r="AF962" i="19"/>
  <c r="AO962" i="19" s="1"/>
  <c r="AF961" i="19"/>
  <c r="AO961" i="19" s="1"/>
  <c r="AJ960" i="19"/>
  <c r="AS960" i="19" s="1"/>
  <c r="AJ959" i="19"/>
  <c r="AS959" i="19" s="1"/>
  <c r="AF959" i="19"/>
  <c r="AO959" i="19" s="1"/>
  <c r="AJ1004" i="19"/>
  <c r="AS1004" i="19" s="1"/>
  <c r="AF1003" i="19"/>
  <c r="AO1003" i="19" s="1"/>
  <c r="AJ1001" i="19"/>
  <c r="AS1001" i="19" s="1"/>
  <c r="AJ1000" i="19"/>
  <c r="AS1000" i="19" s="1"/>
  <c r="AJ999" i="19"/>
  <c r="AS999" i="19" s="1"/>
  <c r="AJ998" i="19"/>
  <c r="AS998" i="19" s="1"/>
  <c r="AJ997" i="19"/>
  <c r="AS997" i="19" s="1"/>
  <c r="AJ996" i="19"/>
  <c r="AS996" i="19" s="1"/>
  <c r="AF995" i="19"/>
  <c r="AO995" i="19" s="1"/>
  <c r="AF994" i="19"/>
  <c r="AO994" i="19" s="1"/>
  <c r="AJ992" i="19"/>
  <c r="AS992" i="19" s="1"/>
  <c r="AJ991" i="19"/>
  <c r="AS991" i="19" s="1"/>
  <c r="AF991" i="19"/>
  <c r="AO991" i="19" s="1"/>
  <c r="AF990" i="19"/>
  <c r="AO990" i="19" s="1"/>
  <c r="AJ988" i="19"/>
  <c r="AS988" i="19" s="1"/>
  <c r="AJ987" i="19"/>
  <c r="AS987" i="19" s="1"/>
  <c r="AJ986" i="19"/>
  <c r="AS986" i="19" s="1"/>
  <c r="AF985" i="19"/>
  <c r="AO985" i="19" s="1"/>
  <c r="AF984" i="19"/>
  <c r="AO984" i="19" s="1"/>
  <c r="AF983" i="19"/>
  <c r="AO983" i="19" s="1"/>
  <c r="AJ981" i="19"/>
  <c r="AS981" i="19" s="1"/>
  <c r="AJ980" i="19"/>
  <c r="AS980" i="19" s="1"/>
  <c r="AJ979" i="19"/>
  <c r="AS979" i="19" s="1"/>
  <c r="AJ978" i="19"/>
  <c r="AS978" i="19" s="1"/>
  <c r="AJ977" i="19"/>
  <c r="AS977" i="19" s="1"/>
  <c r="AF976" i="19"/>
  <c r="AO976" i="19" s="1"/>
  <c r="AF975" i="19"/>
  <c r="AO975" i="19" s="1"/>
  <c r="AJ974" i="19"/>
  <c r="AS974" i="19" s="1"/>
  <c r="AF973" i="19"/>
  <c r="AO973" i="19" s="1"/>
  <c r="AF972" i="19"/>
  <c r="AO972" i="19" s="1"/>
  <c r="AF971" i="19"/>
  <c r="AO971" i="19" s="1"/>
  <c r="AF970" i="19"/>
  <c r="AO970" i="19" s="1"/>
  <c r="AF969" i="19"/>
  <c r="AO969" i="19" s="1"/>
  <c r="AF968" i="19"/>
  <c r="AO968" i="19" s="1"/>
  <c r="AF967" i="19"/>
  <c r="AO967" i="19" s="1"/>
  <c r="AJ965" i="19"/>
  <c r="AS965" i="19" s="1"/>
  <c r="AJ964" i="19"/>
  <c r="AS964" i="19" s="1"/>
  <c r="AJ963" i="19"/>
  <c r="AS963" i="19" s="1"/>
  <c r="AJ962" i="19"/>
  <c r="AS962" i="19" s="1"/>
  <c r="AJ961" i="19"/>
  <c r="AS961" i="19" s="1"/>
  <c r="AF960" i="19"/>
  <c r="AO960" i="19" s="1"/>
  <c r="AJ958" i="19"/>
  <c r="AS958" i="19" s="1"/>
  <c r="AF1004" i="19"/>
  <c r="AO1004" i="19" s="1"/>
  <c r="AK1080" i="19"/>
  <c r="AT1080" i="19" s="1"/>
  <c r="AG1080" i="19"/>
  <c r="AP1080" i="19" s="1"/>
  <c r="AK1079" i="19"/>
  <c r="AT1079" i="19" s="1"/>
  <c r="AG1079" i="19"/>
  <c r="AP1079" i="19" s="1"/>
  <c r="AK1078" i="19"/>
  <c r="AT1078" i="19" s="1"/>
  <c r="AG1078" i="19"/>
  <c r="AP1078" i="19" s="1"/>
  <c r="AK1077" i="19"/>
  <c r="AT1077" i="19" s="1"/>
  <c r="AG1077" i="19"/>
  <c r="AP1077" i="19" s="1"/>
  <c r="AK1076" i="19"/>
  <c r="AT1076" i="19" s="1"/>
  <c r="AG1076" i="19"/>
  <c r="AP1076" i="19" s="1"/>
  <c r="AK1075" i="19"/>
  <c r="AT1075" i="19" s="1"/>
  <c r="AG1075" i="19"/>
  <c r="AP1075" i="19" s="1"/>
  <c r="AK1074" i="19"/>
  <c r="AT1074" i="19" s="1"/>
  <c r="AG1074" i="19"/>
  <c r="AP1074" i="19" s="1"/>
  <c r="AK1073" i="19"/>
  <c r="AT1073" i="19" s="1"/>
  <c r="AG1073" i="19"/>
  <c r="AP1073" i="19" s="1"/>
  <c r="AK1072" i="19"/>
  <c r="AT1072" i="19" s="1"/>
  <c r="AG1072" i="19"/>
  <c r="AP1072" i="19" s="1"/>
  <c r="AK1071" i="19"/>
  <c r="AT1071" i="19" s="1"/>
  <c r="AG1071" i="19"/>
  <c r="AP1071" i="19" s="1"/>
  <c r="AK1070" i="19"/>
  <c r="AT1070" i="19" s="1"/>
  <c r="AG1070" i="19"/>
  <c r="AP1070" i="19" s="1"/>
  <c r="AK1069" i="19"/>
  <c r="AT1069" i="19" s="1"/>
  <c r="AG1069" i="19"/>
  <c r="AP1069" i="19" s="1"/>
  <c r="AK1068" i="19"/>
  <c r="AT1068" i="19" s="1"/>
  <c r="AG1068" i="19"/>
  <c r="AP1068" i="19" s="1"/>
  <c r="AK1067" i="19"/>
  <c r="AT1067" i="19" s="1"/>
  <c r="AF958" i="19"/>
  <c r="AO958" i="19" s="1"/>
  <c r="AJ957" i="19"/>
  <c r="AS957" i="19" s="1"/>
  <c r="AF957" i="19"/>
  <c r="AO957" i="19" s="1"/>
  <c r="AJ956" i="19"/>
  <c r="AS956" i="19" s="1"/>
  <c r="AF956" i="19"/>
  <c r="AO956" i="19" s="1"/>
  <c r="AJ955" i="19"/>
  <c r="AS955" i="19" s="1"/>
  <c r="AF955" i="19"/>
  <c r="AO955" i="19" s="1"/>
  <c r="AJ954" i="19"/>
  <c r="AS954" i="19" s="1"/>
  <c r="AF954" i="19"/>
  <c r="AO954" i="19" s="1"/>
  <c r="AJ953" i="19"/>
  <c r="AS953" i="19" s="1"/>
  <c r="AF953" i="19"/>
  <c r="AO953" i="19" s="1"/>
  <c r="AJ952" i="19"/>
  <c r="AS952" i="19" s="1"/>
  <c r="AF952" i="19"/>
  <c r="AO952" i="19" s="1"/>
  <c r="AJ951" i="19"/>
  <c r="AS951" i="19" s="1"/>
  <c r="AF951" i="19"/>
  <c r="AO951" i="19" s="1"/>
  <c r="AJ950" i="19"/>
  <c r="AS950" i="19" s="1"/>
  <c r="AF950" i="19"/>
  <c r="AO950" i="19" s="1"/>
  <c r="AJ949" i="19"/>
  <c r="AS949" i="19" s="1"/>
  <c r="AF949" i="19"/>
  <c r="AO949" i="19" s="1"/>
  <c r="AJ948" i="19"/>
  <c r="AS948" i="19" s="1"/>
  <c r="AF948" i="19"/>
  <c r="AO948" i="19" s="1"/>
  <c r="AJ947" i="19"/>
  <c r="AS947" i="19" s="1"/>
  <c r="AF947" i="19"/>
  <c r="AO947" i="19" s="1"/>
  <c r="AJ946" i="19"/>
  <c r="AS946" i="19" s="1"/>
  <c r="AF946" i="19"/>
  <c r="AO946" i="19" s="1"/>
  <c r="AJ945" i="19"/>
  <c r="AS945" i="19" s="1"/>
  <c r="AF945" i="19"/>
  <c r="AO945" i="19" s="1"/>
  <c r="AJ944" i="19"/>
  <c r="AS944" i="19" s="1"/>
  <c r="AF944" i="19"/>
  <c r="AO944" i="19" s="1"/>
  <c r="AJ943" i="19"/>
  <c r="AS943" i="19" s="1"/>
  <c r="AF943" i="19"/>
  <c r="AO943" i="19" s="1"/>
  <c r="AJ942" i="19"/>
  <c r="AS942" i="19" s="1"/>
  <c r="AF942" i="19"/>
  <c r="AO942" i="19" s="1"/>
  <c r="AJ941" i="19"/>
  <c r="AS941" i="19" s="1"/>
  <c r="AF941" i="19"/>
  <c r="AO941" i="19" s="1"/>
  <c r="AJ940" i="19"/>
  <c r="AS940" i="19" s="1"/>
  <c r="AF940" i="19"/>
  <c r="AO940" i="19" s="1"/>
  <c r="AJ939" i="19"/>
  <c r="AS939" i="19" s="1"/>
  <c r="AF939" i="19"/>
  <c r="AO939" i="19" s="1"/>
  <c r="AJ938" i="19"/>
  <c r="AS938" i="19" s="1"/>
  <c r="AF938" i="19"/>
  <c r="AO938" i="19" s="1"/>
  <c r="AJ937" i="19"/>
  <c r="AS937" i="19" s="1"/>
  <c r="AF937" i="19"/>
  <c r="AO937" i="19" s="1"/>
  <c r="AJ936" i="19"/>
  <c r="AS936" i="19" s="1"/>
  <c r="AF936" i="19"/>
  <c r="AO936" i="19" s="1"/>
  <c r="AJ935" i="19"/>
  <c r="AS935" i="19" s="1"/>
  <c r="AF935" i="19"/>
  <c r="AO935" i="19" s="1"/>
  <c r="AJ934" i="19"/>
  <c r="AS934" i="19" s="1"/>
  <c r="AF934" i="19"/>
  <c r="AO934" i="19" s="1"/>
  <c r="AJ933" i="19"/>
  <c r="AS933" i="19" s="1"/>
  <c r="AF933" i="19"/>
  <c r="AO933" i="19" s="1"/>
  <c r="AJ932" i="19"/>
  <c r="AS932" i="19" s="1"/>
  <c r="AF932" i="19"/>
  <c r="AO932" i="19" s="1"/>
  <c r="AJ931" i="19"/>
  <c r="AS931" i="19" s="1"/>
  <c r="AF931" i="19"/>
  <c r="AO931" i="19" s="1"/>
  <c r="AJ930" i="19"/>
  <c r="AS930" i="19" s="1"/>
  <c r="AF930" i="19"/>
  <c r="AO930" i="19" s="1"/>
  <c r="AJ929" i="19"/>
  <c r="AS929" i="19" s="1"/>
  <c r="AF929" i="19"/>
  <c r="AO929" i="19" s="1"/>
  <c r="AJ928" i="19"/>
  <c r="AS928" i="19" s="1"/>
  <c r="AF928" i="19"/>
  <c r="AO928" i="19" s="1"/>
  <c r="AJ927" i="19"/>
  <c r="AS927" i="19" s="1"/>
  <c r="AF927" i="19"/>
  <c r="AO927" i="19" s="1"/>
  <c r="AJ926" i="19"/>
  <c r="AS926" i="19" s="1"/>
  <c r="AF926" i="19"/>
  <c r="AO926" i="19" s="1"/>
  <c r="AJ925" i="19"/>
  <c r="AS925" i="19" s="1"/>
  <c r="AF925" i="19"/>
  <c r="AO925" i="19" s="1"/>
  <c r="AJ924" i="19"/>
  <c r="AS924" i="19" s="1"/>
  <c r="AF924" i="19"/>
  <c r="AO924" i="19" s="1"/>
  <c r="AJ923" i="19"/>
  <c r="AS923" i="19" s="1"/>
  <c r="AF923" i="19"/>
  <c r="AO923" i="19" s="1"/>
  <c r="AJ922" i="19"/>
  <c r="AS922" i="19" s="1"/>
  <c r="AF922" i="19"/>
  <c r="AO922" i="19" s="1"/>
  <c r="AJ921" i="19"/>
  <c r="AS921" i="19" s="1"/>
  <c r="AF921" i="19"/>
  <c r="AO921" i="19" s="1"/>
  <c r="AJ920" i="19"/>
  <c r="AS920" i="19" s="1"/>
  <c r="AF920" i="19"/>
  <c r="AO920" i="19" s="1"/>
  <c r="AJ919" i="19"/>
  <c r="AS919" i="19" s="1"/>
  <c r="AF919" i="19"/>
  <c r="AO919" i="19" s="1"/>
  <c r="AJ918" i="19"/>
  <c r="AS918" i="19" s="1"/>
  <c r="AF918" i="19"/>
  <c r="AO918" i="19" s="1"/>
  <c r="AJ917" i="19"/>
  <c r="AS917" i="19" s="1"/>
  <c r="AF917" i="19"/>
  <c r="AO917" i="19" s="1"/>
  <c r="AJ916" i="19"/>
  <c r="AS916" i="19" s="1"/>
  <c r="AF916" i="19"/>
  <c r="AO916" i="19" s="1"/>
  <c r="AJ915" i="19"/>
  <c r="AS915" i="19" s="1"/>
  <c r="AF915" i="19"/>
  <c r="AO915" i="19" s="1"/>
  <c r="AJ914" i="19"/>
  <c r="AS914" i="19" s="1"/>
  <c r="AF914" i="19"/>
  <c r="AO914" i="19" s="1"/>
  <c r="AJ913" i="19"/>
  <c r="AS913" i="19" s="1"/>
  <c r="AF913" i="19"/>
  <c r="AO913" i="19" s="1"/>
  <c r="AJ912" i="19"/>
  <c r="AS912" i="19" s="1"/>
  <c r="AF912" i="19"/>
  <c r="AO912" i="19" s="1"/>
  <c r="AJ911" i="19"/>
  <c r="AS911" i="19" s="1"/>
  <c r="AF911" i="19"/>
  <c r="AO911" i="19" s="1"/>
  <c r="AJ910" i="19"/>
  <c r="AS910" i="19" s="1"/>
  <c r="AF910" i="19"/>
  <c r="AO910" i="19" s="1"/>
  <c r="AJ909" i="19"/>
  <c r="AS909" i="19" s="1"/>
  <c r="AF909" i="19"/>
  <c r="AO909" i="19" s="1"/>
  <c r="AJ908" i="19"/>
  <c r="AS908" i="19" s="1"/>
  <c r="AF908" i="19"/>
  <c r="AO908" i="19" s="1"/>
  <c r="AJ907" i="19"/>
  <c r="AS907" i="19" s="1"/>
  <c r="AF907" i="19"/>
  <c r="AO907" i="19" s="1"/>
  <c r="AJ906" i="19"/>
  <c r="AS906" i="19" s="1"/>
  <c r="AF906" i="19"/>
  <c r="AO906" i="19" s="1"/>
  <c r="AJ905" i="19"/>
  <c r="AS905" i="19" s="1"/>
  <c r="AF905" i="19"/>
  <c r="AO905" i="19" s="1"/>
  <c r="AJ904" i="19"/>
  <c r="AS904" i="19" s="1"/>
  <c r="AF904" i="19"/>
  <c r="AO904" i="19" s="1"/>
  <c r="AJ903" i="19"/>
  <c r="AS903" i="19" s="1"/>
  <c r="AF903" i="19"/>
  <c r="AO903" i="19" s="1"/>
  <c r="AJ902" i="19"/>
  <c r="AS902" i="19" s="1"/>
  <c r="AF902" i="19"/>
  <c r="AO902" i="19" s="1"/>
  <c r="AJ901" i="19"/>
  <c r="AS901" i="19" s="1"/>
  <c r="AF901" i="19"/>
  <c r="AO901" i="19" s="1"/>
  <c r="AJ900" i="19"/>
  <c r="AS900" i="19" s="1"/>
  <c r="AF900" i="19"/>
  <c r="AO900" i="19" s="1"/>
  <c r="AJ899" i="19"/>
  <c r="AS899" i="19" s="1"/>
  <c r="AF899" i="19"/>
  <c r="AO899" i="19" s="1"/>
  <c r="AJ898" i="19"/>
  <c r="AS898" i="19" s="1"/>
  <c r="AF898" i="19"/>
  <c r="AO898" i="19" s="1"/>
  <c r="AJ897" i="19"/>
  <c r="AS897" i="19" s="1"/>
  <c r="AF897" i="19"/>
  <c r="AO897" i="19" s="1"/>
  <c r="AJ896" i="19"/>
  <c r="AS896" i="19" s="1"/>
  <c r="AF896" i="19"/>
  <c r="AO896" i="19" s="1"/>
  <c r="AJ895" i="19"/>
  <c r="AS895" i="19" s="1"/>
  <c r="AF895" i="19"/>
  <c r="AO895" i="19" s="1"/>
  <c r="AJ894" i="19"/>
  <c r="AS894" i="19" s="1"/>
  <c r="AF894" i="19"/>
  <c r="AO894" i="19" s="1"/>
  <c r="AJ893" i="19"/>
  <c r="AS893" i="19" s="1"/>
  <c r="AF893" i="19"/>
  <c r="AO893" i="19" s="1"/>
  <c r="AJ892" i="19"/>
  <c r="AS892" i="19" s="1"/>
  <c r="AF892" i="19"/>
  <c r="AO892" i="19" s="1"/>
  <c r="AJ891" i="19"/>
  <c r="AS891" i="19" s="1"/>
  <c r="AF891" i="19"/>
  <c r="AO891" i="19" s="1"/>
  <c r="AJ890" i="19"/>
  <c r="AS890" i="19" s="1"/>
  <c r="AF890" i="19"/>
  <c r="AO890" i="19" s="1"/>
  <c r="AJ889" i="19"/>
  <c r="AS889" i="19" s="1"/>
  <c r="AF889" i="19"/>
  <c r="AO889" i="19" s="1"/>
  <c r="AJ888" i="19"/>
  <c r="AS888" i="19" s="1"/>
  <c r="AF888" i="19"/>
  <c r="AO888" i="19" s="1"/>
  <c r="AJ887" i="19"/>
  <c r="AS887" i="19" s="1"/>
  <c r="AF887" i="19"/>
  <c r="AO887" i="19" s="1"/>
  <c r="AJ886" i="19"/>
  <c r="AS886" i="19" s="1"/>
  <c r="AF886" i="19"/>
  <c r="AO886" i="19" s="1"/>
  <c r="AJ885" i="19"/>
  <c r="AS885" i="19" s="1"/>
  <c r="AF885" i="19"/>
  <c r="AO885" i="19" s="1"/>
  <c r="AJ884" i="19"/>
  <c r="AS884" i="19" s="1"/>
  <c r="AF884" i="19"/>
  <c r="AO884" i="19" s="1"/>
  <c r="AJ883" i="19"/>
  <c r="AS883" i="19" s="1"/>
  <c r="AF883" i="19"/>
  <c r="AO883" i="19" s="1"/>
  <c r="AJ882" i="19"/>
  <c r="AS882" i="19" s="1"/>
  <c r="AF882" i="19"/>
  <c r="AO882" i="19" s="1"/>
  <c r="AJ881" i="19"/>
  <c r="AS881" i="19" s="1"/>
  <c r="AF881" i="19"/>
  <c r="AO881" i="19" s="1"/>
  <c r="AJ880" i="19"/>
  <c r="AS880" i="19" s="1"/>
  <c r="AF880" i="19"/>
  <c r="AO880" i="19" s="1"/>
  <c r="AJ879" i="19"/>
  <c r="AS879" i="19" s="1"/>
  <c r="AF879" i="19"/>
  <c r="AO879" i="19" s="1"/>
  <c r="AJ878" i="19"/>
  <c r="AS878" i="19" s="1"/>
  <c r="AF878" i="19"/>
  <c r="AO878" i="19" s="1"/>
  <c r="AJ877" i="19"/>
  <c r="AS877" i="19" s="1"/>
  <c r="AF877" i="19"/>
  <c r="AO877" i="19" s="1"/>
  <c r="AJ876" i="19"/>
  <c r="AS876" i="19" s="1"/>
  <c r="AF876" i="19"/>
  <c r="AO876" i="19" s="1"/>
  <c r="AJ875" i="19"/>
  <c r="AS875" i="19" s="1"/>
  <c r="AF875" i="19"/>
  <c r="AO875" i="19" s="1"/>
  <c r="AJ874" i="19"/>
  <c r="AS874" i="19" s="1"/>
  <c r="AF874" i="19"/>
  <c r="AO874" i="19" s="1"/>
  <c r="AJ873" i="19"/>
  <c r="AS873" i="19" s="1"/>
  <c r="AG1067" i="19"/>
  <c r="AP1067" i="19" s="1"/>
  <c r="AK1066" i="19"/>
  <c r="AT1066" i="19" s="1"/>
  <c r="AG1066" i="19"/>
  <c r="AP1066" i="19" s="1"/>
  <c r="AK1065" i="19"/>
  <c r="AT1065" i="19" s="1"/>
  <c r="AG1065" i="19"/>
  <c r="AP1065" i="19" s="1"/>
  <c r="AK1064" i="19"/>
  <c r="AT1064" i="19" s="1"/>
  <c r="AG1064" i="19"/>
  <c r="AP1064" i="19" s="1"/>
  <c r="AK1063" i="19"/>
  <c r="AT1063" i="19" s="1"/>
  <c r="AG1063" i="19"/>
  <c r="AP1063" i="19" s="1"/>
  <c r="AK1062" i="19"/>
  <c r="AT1062" i="19" s="1"/>
  <c r="AG1062" i="19"/>
  <c r="AP1062" i="19" s="1"/>
  <c r="AK1061" i="19"/>
  <c r="AT1061" i="19" s="1"/>
  <c r="AG1061" i="19"/>
  <c r="AP1061" i="19" s="1"/>
  <c r="AK1060" i="19"/>
  <c r="AT1060" i="19" s="1"/>
  <c r="AG1060" i="19"/>
  <c r="AP1060" i="19" s="1"/>
  <c r="AK1059" i="19"/>
  <c r="AT1059" i="19" s="1"/>
  <c r="AG1059" i="19"/>
  <c r="AP1059" i="19" s="1"/>
  <c r="AK1058" i="19"/>
  <c r="AT1058" i="19" s="1"/>
  <c r="AG1058" i="19"/>
  <c r="AP1058" i="19" s="1"/>
  <c r="AK1057" i="19"/>
  <c r="AT1057" i="19" s="1"/>
  <c r="AG1057" i="19"/>
  <c r="AP1057" i="19" s="1"/>
  <c r="AK1056" i="19"/>
  <c r="AT1056" i="19" s="1"/>
  <c r="AG1056" i="19"/>
  <c r="AP1056" i="19" s="1"/>
  <c r="AK1055" i="19"/>
  <c r="AT1055" i="19" s="1"/>
  <c r="AG1055" i="19"/>
  <c r="AP1055" i="19" s="1"/>
  <c r="AK1054" i="19"/>
  <c r="AT1054" i="19" s="1"/>
  <c r="AG1054" i="19"/>
  <c r="AP1054" i="19" s="1"/>
  <c r="AK1053" i="19"/>
  <c r="AT1053" i="19" s="1"/>
  <c r="AG1053" i="19"/>
  <c r="AP1053" i="19" s="1"/>
  <c r="AK1052" i="19"/>
  <c r="AT1052" i="19" s="1"/>
  <c r="AG1052" i="19"/>
  <c r="AP1052" i="19" s="1"/>
  <c r="AK1051" i="19"/>
  <c r="AT1051" i="19" s="1"/>
  <c r="AG1051" i="19"/>
  <c r="AP1051" i="19" s="1"/>
  <c r="AK1050" i="19"/>
  <c r="AT1050" i="19" s="1"/>
  <c r="AG1050" i="19"/>
  <c r="AP1050" i="19" s="1"/>
  <c r="AK1049" i="19"/>
  <c r="AT1049" i="19" s="1"/>
  <c r="AG1049" i="19"/>
  <c r="AP1049" i="19" s="1"/>
  <c r="AK1048" i="19"/>
  <c r="AT1048" i="19" s="1"/>
  <c r="AG1048" i="19"/>
  <c r="AP1048" i="19" s="1"/>
  <c r="AK1047" i="19"/>
  <c r="AT1047" i="19" s="1"/>
  <c r="AG1047" i="19"/>
  <c r="AP1047" i="19" s="1"/>
  <c r="AK1046" i="19"/>
  <c r="AT1046" i="19" s="1"/>
  <c r="AG1046" i="19"/>
  <c r="AP1046" i="19" s="1"/>
  <c r="AK1045" i="19"/>
  <c r="AT1045" i="19" s="1"/>
  <c r="AG1045" i="19"/>
  <c r="AP1045" i="19" s="1"/>
  <c r="AK1044" i="19"/>
  <c r="AT1044" i="19" s="1"/>
  <c r="AG1044" i="19"/>
  <c r="AP1044" i="19" s="1"/>
  <c r="AK1043" i="19"/>
  <c r="AT1043" i="19" s="1"/>
  <c r="AG1043" i="19"/>
  <c r="AP1043" i="19" s="1"/>
  <c r="AK1042" i="19"/>
  <c r="AT1042" i="19" s="1"/>
  <c r="AG1042" i="19"/>
  <c r="AP1042" i="19" s="1"/>
  <c r="AK1041" i="19"/>
  <c r="AT1041" i="19" s="1"/>
  <c r="AG1041" i="19"/>
  <c r="AP1041" i="19" s="1"/>
  <c r="AK1040" i="19"/>
  <c r="AT1040" i="19" s="1"/>
  <c r="AG1040" i="19"/>
  <c r="AP1040" i="19" s="1"/>
  <c r="AK1039" i="19"/>
  <c r="AT1039" i="19" s="1"/>
  <c r="AG1039" i="19"/>
  <c r="AP1039" i="19" s="1"/>
  <c r="AK1038" i="19"/>
  <c r="AT1038" i="19" s="1"/>
  <c r="AG1038" i="19"/>
  <c r="AP1038" i="19" s="1"/>
  <c r="AK1037" i="19"/>
  <c r="AT1037" i="19" s="1"/>
  <c r="AG1037" i="19"/>
  <c r="AP1037" i="19" s="1"/>
  <c r="AK1036" i="19"/>
  <c r="AT1036" i="19" s="1"/>
  <c r="AG1036" i="19"/>
  <c r="AP1036" i="19" s="1"/>
  <c r="AK1035" i="19"/>
  <c r="AT1035" i="19" s="1"/>
  <c r="AG1035" i="19"/>
  <c r="AP1035" i="19" s="1"/>
  <c r="AK1034" i="19"/>
  <c r="AT1034" i="19" s="1"/>
  <c r="AG1034" i="19"/>
  <c r="AP1034" i="19" s="1"/>
  <c r="AK1033" i="19"/>
  <c r="AT1033" i="19" s="1"/>
  <c r="AG1033" i="19"/>
  <c r="AP1033" i="19" s="1"/>
  <c r="AK1032" i="19"/>
  <c r="AT1032" i="19" s="1"/>
  <c r="AG1032" i="19"/>
  <c r="AP1032" i="19" s="1"/>
  <c r="AK1031" i="19"/>
  <c r="AT1031" i="19" s="1"/>
  <c r="AG1031" i="19"/>
  <c r="AP1031" i="19" s="1"/>
  <c r="AK1030" i="19"/>
  <c r="AT1030" i="19" s="1"/>
  <c r="AG1030" i="19"/>
  <c r="AP1030" i="19" s="1"/>
  <c r="AK1029" i="19"/>
  <c r="AT1029" i="19" s="1"/>
  <c r="AG1029" i="19"/>
  <c r="AP1029" i="19" s="1"/>
  <c r="AK1028" i="19"/>
  <c r="AT1028" i="19" s="1"/>
  <c r="AG1028" i="19"/>
  <c r="AP1028" i="19" s="1"/>
  <c r="AK1027" i="19"/>
  <c r="AT1027" i="19" s="1"/>
  <c r="AG1027" i="19"/>
  <c r="AP1027" i="19" s="1"/>
  <c r="AK1026" i="19"/>
  <c r="AT1026" i="19" s="1"/>
  <c r="AG1026" i="19"/>
  <c r="AP1026" i="19" s="1"/>
  <c r="AK1025" i="19"/>
  <c r="AT1025" i="19" s="1"/>
  <c r="AG1025" i="19"/>
  <c r="AP1025" i="19" s="1"/>
  <c r="AK1024" i="19"/>
  <c r="AT1024" i="19" s="1"/>
  <c r="AG1024" i="19"/>
  <c r="AP1024" i="19" s="1"/>
  <c r="AK1023" i="19"/>
  <c r="AT1023" i="19" s="1"/>
  <c r="AG1023" i="19"/>
  <c r="AP1023" i="19" s="1"/>
  <c r="AK1022" i="19"/>
  <c r="AT1022" i="19" s="1"/>
  <c r="AG1022" i="19"/>
  <c r="AP1022" i="19" s="1"/>
  <c r="AK1021" i="19"/>
  <c r="AT1021" i="19" s="1"/>
  <c r="AG1021" i="19"/>
  <c r="AP1021" i="19" s="1"/>
  <c r="AK1020" i="19"/>
  <c r="AT1020" i="19" s="1"/>
  <c r="AG1020" i="19"/>
  <c r="AP1020" i="19" s="1"/>
  <c r="AK1019" i="19"/>
  <c r="AT1019" i="19" s="1"/>
  <c r="AG1019" i="19"/>
  <c r="AP1019" i="19" s="1"/>
  <c r="AK1018" i="19"/>
  <c r="AT1018" i="19" s="1"/>
  <c r="AG1018" i="19"/>
  <c r="AP1018" i="19" s="1"/>
  <c r="AK1017" i="19"/>
  <c r="AT1017" i="19" s="1"/>
  <c r="AG1017" i="19"/>
  <c r="AP1017" i="19" s="1"/>
  <c r="AK1016" i="19"/>
  <c r="AT1016" i="19" s="1"/>
  <c r="AG1016" i="19"/>
  <c r="AP1016" i="19" s="1"/>
  <c r="AK1015" i="19"/>
  <c r="AT1015" i="19" s="1"/>
  <c r="AG1015" i="19"/>
  <c r="AP1015" i="19" s="1"/>
  <c r="AK1014" i="19"/>
  <c r="AT1014" i="19" s="1"/>
  <c r="AG1014" i="19"/>
  <c r="AP1014" i="19" s="1"/>
  <c r="AK1013" i="19"/>
  <c r="AT1013" i="19" s="1"/>
  <c r="AG1013" i="19"/>
  <c r="AP1013" i="19" s="1"/>
  <c r="AK1012" i="19"/>
  <c r="AT1012" i="19" s="1"/>
  <c r="AG1012" i="19"/>
  <c r="AP1012" i="19" s="1"/>
  <c r="AK1011" i="19"/>
  <c r="AT1011" i="19" s="1"/>
  <c r="AG1011" i="19"/>
  <c r="AP1011" i="19" s="1"/>
  <c r="AK1010" i="19"/>
  <c r="AT1010" i="19" s="1"/>
  <c r="AG1010" i="19"/>
  <c r="AP1010" i="19" s="1"/>
  <c r="AK1009" i="19"/>
  <c r="AT1009" i="19" s="1"/>
  <c r="AG1009" i="19"/>
  <c r="AP1009" i="19" s="1"/>
  <c r="AK1008" i="19"/>
  <c r="AT1008" i="19" s="1"/>
  <c r="AG1008" i="19"/>
  <c r="AP1008" i="19" s="1"/>
  <c r="AK1007" i="19"/>
  <c r="AT1007" i="19" s="1"/>
  <c r="AG1007" i="19"/>
  <c r="AP1007" i="19" s="1"/>
  <c r="AK1006" i="19"/>
  <c r="AT1006" i="19" s="1"/>
  <c r="AG1006" i="19"/>
  <c r="AP1006" i="19" s="1"/>
  <c r="AK1005" i="19"/>
  <c r="AT1005" i="19" s="1"/>
  <c r="AG1005" i="19"/>
  <c r="AP1005" i="19" s="1"/>
  <c r="AK1004" i="19"/>
  <c r="AT1004" i="19" s="1"/>
  <c r="AG1004" i="19"/>
  <c r="AP1004" i="19" s="1"/>
  <c r="AK1003" i="19"/>
  <c r="AT1003" i="19" s="1"/>
  <c r="AG1003" i="19"/>
  <c r="AP1003" i="19" s="1"/>
  <c r="AK1002" i="19"/>
  <c r="AT1002" i="19" s="1"/>
  <c r="AG1002" i="19"/>
  <c r="AP1002" i="19" s="1"/>
  <c r="AK1001" i="19"/>
  <c r="AT1001" i="19" s="1"/>
  <c r="AG1001" i="19"/>
  <c r="AP1001" i="19" s="1"/>
  <c r="AK1000" i="19"/>
  <c r="AT1000" i="19" s="1"/>
  <c r="AG1000" i="19"/>
  <c r="AP1000" i="19" s="1"/>
  <c r="AK999" i="19"/>
  <c r="AT999" i="19" s="1"/>
  <c r="AG999" i="19"/>
  <c r="AP999" i="19" s="1"/>
  <c r="AK998" i="19"/>
  <c r="AT998" i="19" s="1"/>
  <c r="AG998" i="19"/>
  <c r="AP998" i="19" s="1"/>
  <c r="AK997" i="19"/>
  <c r="AT997" i="19" s="1"/>
  <c r="AG997" i="19"/>
  <c r="AP997" i="19" s="1"/>
  <c r="AK996" i="19"/>
  <c r="AT996" i="19" s="1"/>
  <c r="AG996" i="19"/>
  <c r="AP996" i="19" s="1"/>
  <c r="AK995" i="19"/>
  <c r="AT995" i="19" s="1"/>
  <c r="AG995" i="19"/>
  <c r="AP995" i="19" s="1"/>
  <c r="AK994" i="19"/>
  <c r="AT994" i="19" s="1"/>
  <c r="AG994" i="19"/>
  <c r="AP994" i="19" s="1"/>
  <c r="AK993" i="19"/>
  <c r="AT993" i="19" s="1"/>
  <c r="AG993" i="19"/>
  <c r="AP993" i="19" s="1"/>
  <c r="AK992" i="19"/>
  <c r="AT992" i="19" s="1"/>
  <c r="AG992" i="19"/>
  <c r="AP992" i="19" s="1"/>
  <c r="AK991" i="19"/>
  <c r="AT991" i="19" s="1"/>
  <c r="AG991" i="19"/>
  <c r="AP991" i="19" s="1"/>
  <c r="AK990" i="19"/>
  <c r="AT990" i="19" s="1"/>
  <c r="AG990" i="19"/>
  <c r="AP990" i="19" s="1"/>
  <c r="AK989" i="19"/>
  <c r="AT989" i="19" s="1"/>
  <c r="AG989" i="19"/>
  <c r="AP989" i="19" s="1"/>
  <c r="AK988" i="19"/>
  <c r="AT988" i="19" s="1"/>
  <c r="AG988" i="19"/>
  <c r="AP988" i="19" s="1"/>
  <c r="AK987" i="19"/>
  <c r="AT987" i="19" s="1"/>
  <c r="AG987" i="19"/>
  <c r="AP987" i="19" s="1"/>
  <c r="AK986" i="19"/>
  <c r="AT986" i="19" s="1"/>
  <c r="AG986" i="19"/>
  <c r="AP986" i="19" s="1"/>
  <c r="AK985" i="19"/>
  <c r="AT985" i="19" s="1"/>
  <c r="AG985" i="19"/>
  <c r="AP985" i="19" s="1"/>
  <c r="AK984" i="19"/>
  <c r="AT984" i="19" s="1"/>
  <c r="AG984" i="19"/>
  <c r="AP984" i="19" s="1"/>
  <c r="AK983" i="19"/>
  <c r="AT983" i="19" s="1"/>
  <c r="AG983" i="19"/>
  <c r="AP983" i="19" s="1"/>
  <c r="AK982" i="19"/>
  <c r="AT982" i="19" s="1"/>
  <c r="AG982" i="19"/>
  <c r="AP982" i="19" s="1"/>
  <c r="AK981" i="19"/>
  <c r="AT981" i="19" s="1"/>
  <c r="AG981" i="19"/>
  <c r="AP981" i="19" s="1"/>
  <c r="AK980" i="19"/>
  <c r="AT980" i="19" s="1"/>
  <c r="AG980" i="19"/>
  <c r="AP980" i="19" s="1"/>
  <c r="AK979" i="19"/>
  <c r="AT979" i="19" s="1"/>
  <c r="AG979" i="19"/>
  <c r="AP979" i="19" s="1"/>
  <c r="AK978" i="19"/>
  <c r="AT978" i="19" s="1"/>
  <c r="AG978" i="19"/>
  <c r="AP978" i="19" s="1"/>
  <c r="AK977" i="19"/>
  <c r="AT977" i="19" s="1"/>
  <c r="AG977" i="19"/>
  <c r="AP977" i="19" s="1"/>
  <c r="AK976" i="19"/>
  <c r="AT976" i="19" s="1"/>
  <c r="AG976" i="19"/>
  <c r="AP976" i="19" s="1"/>
  <c r="AK975" i="19"/>
  <c r="AT975" i="19" s="1"/>
  <c r="AG975" i="19"/>
  <c r="AP975" i="19" s="1"/>
  <c r="AK974" i="19"/>
  <c r="AT974" i="19" s="1"/>
  <c r="AG974" i="19"/>
  <c r="AP974" i="19" s="1"/>
  <c r="AK973" i="19"/>
  <c r="AT973" i="19" s="1"/>
  <c r="AG973" i="19"/>
  <c r="AP973" i="19" s="1"/>
  <c r="AK972" i="19"/>
  <c r="AT972" i="19" s="1"/>
  <c r="AG972" i="19"/>
  <c r="AP972" i="19" s="1"/>
  <c r="AK971" i="19"/>
  <c r="AT971" i="19" s="1"/>
  <c r="AG971" i="19"/>
  <c r="AP971" i="19" s="1"/>
  <c r="AK970" i="19"/>
  <c r="AT970" i="19" s="1"/>
  <c r="AG970" i="19"/>
  <c r="AP970" i="19" s="1"/>
  <c r="AK969" i="19"/>
  <c r="AT969" i="19" s="1"/>
  <c r="AG969" i="19"/>
  <c r="AP969" i="19" s="1"/>
  <c r="AK968" i="19"/>
  <c r="AT968" i="19" s="1"/>
  <c r="AG968" i="19"/>
  <c r="AP968" i="19" s="1"/>
  <c r="AK967" i="19"/>
  <c r="AT967" i="19" s="1"/>
  <c r="AG967" i="19"/>
  <c r="AP967" i="19" s="1"/>
  <c r="AK966" i="19"/>
  <c r="AT966" i="19" s="1"/>
  <c r="AG966" i="19"/>
  <c r="AP966" i="19" s="1"/>
  <c r="AK965" i="19"/>
  <c r="AT965" i="19" s="1"/>
  <c r="AG965" i="19"/>
  <c r="AP965" i="19" s="1"/>
  <c r="AK964" i="19"/>
  <c r="AT964" i="19" s="1"/>
  <c r="AG964" i="19"/>
  <c r="AP964" i="19" s="1"/>
  <c r="AK963" i="19"/>
  <c r="AT963" i="19" s="1"/>
  <c r="AG963" i="19"/>
  <c r="AP963" i="19" s="1"/>
  <c r="AK962" i="19"/>
  <c r="AT962" i="19" s="1"/>
  <c r="AG962" i="19"/>
  <c r="AP962" i="19" s="1"/>
  <c r="AK961" i="19"/>
  <c r="AT961" i="19" s="1"/>
  <c r="AG961" i="19"/>
  <c r="AP961" i="19" s="1"/>
  <c r="AK960" i="19"/>
  <c r="AT960" i="19" s="1"/>
  <c r="AG960" i="19"/>
  <c r="AP960" i="19" s="1"/>
  <c r="AK959" i="19"/>
  <c r="AT959" i="19" s="1"/>
  <c r="AF873" i="19"/>
  <c r="AO873" i="19" s="1"/>
  <c r="AJ872" i="19"/>
  <c r="AS872" i="19" s="1"/>
  <c r="AF872" i="19"/>
  <c r="AO872" i="19" s="1"/>
  <c r="AJ871" i="19"/>
  <c r="AS871" i="19" s="1"/>
  <c r="AF871" i="19"/>
  <c r="AO871" i="19" s="1"/>
  <c r="AJ870" i="19"/>
  <c r="AS870" i="19" s="1"/>
  <c r="AF870" i="19"/>
  <c r="AO870" i="19" s="1"/>
  <c r="AJ869" i="19"/>
  <c r="AS869" i="19" s="1"/>
  <c r="AF869" i="19"/>
  <c r="AO869" i="19" s="1"/>
  <c r="AJ868" i="19"/>
  <c r="AS868" i="19" s="1"/>
  <c r="AF868" i="19"/>
  <c r="AO868" i="19" s="1"/>
  <c r="AJ867" i="19"/>
  <c r="AS867" i="19" s="1"/>
  <c r="AF867" i="19"/>
  <c r="AO867" i="19" s="1"/>
  <c r="AJ866" i="19"/>
  <c r="AS866" i="19" s="1"/>
  <c r="AF866" i="19"/>
  <c r="AO866" i="19" s="1"/>
  <c r="AJ865" i="19"/>
  <c r="AS865" i="19" s="1"/>
  <c r="AF865" i="19"/>
  <c r="AO865" i="19" s="1"/>
  <c r="AJ864" i="19"/>
  <c r="AS864" i="19" s="1"/>
  <c r="AF864" i="19"/>
  <c r="AO864" i="19" s="1"/>
  <c r="AJ863" i="19"/>
  <c r="AS863" i="19" s="1"/>
  <c r="AF863" i="19"/>
  <c r="AO863" i="19" s="1"/>
  <c r="AJ862" i="19"/>
  <c r="AS862" i="19" s="1"/>
  <c r="AF862" i="19"/>
  <c r="AO862" i="19" s="1"/>
  <c r="AJ861" i="19"/>
  <c r="AS861" i="19" s="1"/>
  <c r="AF861" i="19"/>
  <c r="AO861" i="19" s="1"/>
  <c r="AJ860" i="19"/>
  <c r="AS860" i="19" s="1"/>
  <c r="AF860" i="19"/>
  <c r="AO860" i="19" s="1"/>
  <c r="AJ859" i="19"/>
  <c r="AS859" i="19" s="1"/>
  <c r="AF859" i="19"/>
  <c r="AO859" i="19" s="1"/>
  <c r="AJ858" i="19"/>
  <c r="AS858" i="19" s="1"/>
  <c r="AF858" i="19"/>
  <c r="AO858" i="19" s="1"/>
  <c r="AJ857" i="19"/>
  <c r="AS857" i="19" s="1"/>
  <c r="AF857" i="19"/>
  <c r="AO857" i="19" s="1"/>
  <c r="AJ856" i="19"/>
  <c r="AS856" i="19" s="1"/>
  <c r="AF856" i="19"/>
  <c r="AO856" i="19" s="1"/>
  <c r="AJ855" i="19"/>
  <c r="AS855" i="19" s="1"/>
  <c r="AF855" i="19"/>
  <c r="AO855" i="19" s="1"/>
  <c r="AJ854" i="19"/>
  <c r="AS854" i="19" s="1"/>
  <c r="AF854" i="19"/>
  <c r="AO854" i="19" s="1"/>
  <c r="AJ853" i="19"/>
  <c r="AS853" i="19" s="1"/>
  <c r="AF853" i="19"/>
  <c r="AO853" i="19" s="1"/>
  <c r="AJ852" i="19"/>
  <c r="AS852" i="19" s="1"/>
  <c r="AF852" i="19"/>
  <c r="AO852" i="19" s="1"/>
  <c r="AJ851" i="19"/>
  <c r="AS851" i="19" s="1"/>
  <c r="AF851" i="19"/>
  <c r="AO851" i="19" s="1"/>
  <c r="AJ850" i="19"/>
  <c r="AS850" i="19" s="1"/>
  <c r="AF850" i="19"/>
  <c r="AO850" i="19" s="1"/>
  <c r="AJ849" i="19"/>
  <c r="AS849" i="19" s="1"/>
  <c r="AF849" i="19"/>
  <c r="AO849" i="19" s="1"/>
  <c r="AJ848" i="19"/>
  <c r="AS848" i="19" s="1"/>
  <c r="AF848" i="19"/>
  <c r="AO848" i="19" s="1"/>
  <c r="AJ847" i="19"/>
  <c r="AS847" i="19" s="1"/>
  <c r="AF847" i="19"/>
  <c r="AO847" i="19" s="1"/>
  <c r="AJ846" i="19"/>
  <c r="AS846" i="19" s="1"/>
  <c r="AF846" i="19"/>
  <c r="AO846" i="19" s="1"/>
  <c r="AJ845" i="19"/>
  <c r="AS845" i="19" s="1"/>
  <c r="AF845" i="19"/>
  <c r="AO845" i="19" s="1"/>
  <c r="AJ844" i="19"/>
  <c r="AS844" i="19" s="1"/>
  <c r="AF844" i="19"/>
  <c r="AO844" i="19" s="1"/>
  <c r="AJ843" i="19"/>
  <c r="AS843" i="19" s="1"/>
  <c r="AF843" i="19"/>
  <c r="AO843" i="19" s="1"/>
  <c r="AJ842" i="19"/>
  <c r="AS842" i="19" s="1"/>
  <c r="AF842" i="19"/>
  <c r="AO842" i="19" s="1"/>
  <c r="AJ841" i="19"/>
  <c r="AS841" i="19" s="1"/>
  <c r="AF841" i="19"/>
  <c r="AO841" i="19" s="1"/>
  <c r="AJ840" i="19"/>
  <c r="AS840" i="19" s="1"/>
  <c r="AF840" i="19"/>
  <c r="AO840" i="19" s="1"/>
  <c r="AJ839" i="19"/>
  <c r="AS839" i="19" s="1"/>
  <c r="AF839" i="19"/>
  <c r="AO839" i="19" s="1"/>
  <c r="AJ838" i="19"/>
  <c r="AS838" i="19" s="1"/>
  <c r="AF838" i="19"/>
  <c r="AO838" i="19" s="1"/>
  <c r="AJ837" i="19"/>
  <c r="AS837" i="19" s="1"/>
  <c r="AF837" i="19"/>
  <c r="AO837" i="19" s="1"/>
  <c r="AJ836" i="19"/>
  <c r="AS836" i="19" s="1"/>
  <c r="AF836" i="19"/>
  <c r="AO836" i="19" s="1"/>
  <c r="AJ835" i="19"/>
  <c r="AS835" i="19" s="1"/>
  <c r="AF835" i="19"/>
  <c r="AO835" i="19" s="1"/>
  <c r="AJ834" i="19"/>
  <c r="AS834" i="19" s="1"/>
  <c r="AF834" i="19"/>
  <c r="AO834" i="19" s="1"/>
  <c r="AJ833" i="19"/>
  <c r="AS833" i="19" s="1"/>
  <c r="AF833" i="19"/>
  <c r="AO833" i="19" s="1"/>
  <c r="AJ832" i="19"/>
  <c r="AS832" i="19" s="1"/>
  <c r="AF832" i="19"/>
  <c r="AO832" i="19" s="1"/>
  <c r="AJ831" i="19"/>
  <c r="AS831" i="19" s="1"/>
  <c r="AF831" i="19"/>
  <c r="AO831" i="19" s="1"/>
  <c r="AJ830" i="19"/>
  <c r="AS830" i="19" s="1"/>
  <c r="AF830" i="19"/>
  <c r="AO830" i="19" s="1"/>
  <c r="AJ829" i="19"/>
  <c r="AS829" i="19" s="1"/>
  <c r="AF829" i="19"/>
  <c r="AO829" i="19" s="1"/>
  <c r="AJ828" i="19"/>
  <c r="AS828" i="19" s="1"/>
  <c r="AF828" i="19"/>
  <c r="AO828" i="19" s="1"/>
  <c r="AJ827" i="19"/>
  <c r="AS827" i="19" s="1"/>
  <c r="AF827" i="19"/>
  <c r="AO827" i="19" s="1"/>
  <c r="AJ826" i="19"/>
  <c r="AS826" i="19" s="1"/>
  <c r="AF826" i="19"/>
  <c r="AO826" i="19" s="1"/>
  <c r="AJ825" i="19"/>
  <c r="AS825" i="19" s="1"/>
  <c r="AF825" i="19"/>
  <c r="AO825" i="19" s="1"/>
  <c r="AJ824" i="19"/>
  <c r="AS824" i="19" s="1"/>
  <c r="AF824" i="19"/>
  <c r="AO824" i="19" s="1"/>
  <c r="AJ823" i="19"/>
  <c r="AS823" i="19" s="1"/>
  <c r="AF823" i="19"/>
  <c r="AO823" i="19" s="1"/>
  <c r="AJ822" i="19"/>
  <c r="AS822" i="19" s="1"/>
  <c r="AF822" i="19"/>
  <c r="AO822" i="19" s="1"/>
  <c r="AJ821" i="19"/>
  <c r="AS821" i="19" s="1"/>
  <c r="AF821" i="19"/>
  <c r="AO821" i="19" s="1"/>
  <c r="AJ820" i="19"/>
  <c r="AS820" i="19" s="1"/>
  <c r="AF820" i="19"/>
  <c r="AO820" i="19" s="1"/>
  <c r="AJ819" i="19"/>
  <c r="AS819" i="19" s="1"/>
  <c r="AF819" i="19"/>
  <c r="AO819" i="19" s="1"/>
  <c r="AJ818" i="19"/>
  <c r="AS818" i="19" s="1"/>
  <c r="AF818" i="19"/>
  <c r="AO818" i="19" s="1"/>
  <c r="AJ817" i="19"/>
  <c r="AS817" i="19" s="1"/>
  <c r="AF817" i="19"/>
  <c r="AO817" i="19" s="1"/>
  <c r="AJ816" i="19"/>
  <c r="AS816" i="19" s="1"/>
  <c r="AF816" i="19"/>
  <c r="AO816" i="19" s="1"/>
  <c r="AJ815" i="19"/>
  <c r="AS815" i="19" s="1"/>
  <c r="AF815" i="19"/>
  <c r="AO815" i="19" s="1"/>
  <c r="AJ814" i="19"/>
  <c r="AS814" i="19" s="1"/>
  <c r="AF814" i="19"/>
  <c r="AO814" i="19" s="1"/>
  <c r="AJ813" i="19"/>
  <c r="AS813" i="19" s="1"/>
  <c r="AF813" i="19"/>
  <c r="AO813" i="19" s="1"/>
  <c r="AJ812" i="19"/>
  <c r="AS812" i="19" s="1"/>
  <c r="AF812" i="19"/>
  <c r="AO812" i="19" s="1"/>
  <c r="AJ811" i="19"/>
  <c r="AS811" i="19" s="1"/>
  <c r="AF811" i="19"/>
  <c r="AO811" i="19" s="1"/>
  <c r="AJ810" i="19"/>
  <c r="AS810" i="19" s="1"/>
  <c r="AF810" i="19"/>
  <c r="AO810" i="19" s="1"/>
  <c r="AJ809" i="19"/>
  <c r="AS809" i="19" s="1"/>
  <c r="AF809" i="19"/>
  <c r="AO809" i="19" s="1"/>
  <c r="AJ808" i="19"/>
  <c r="AS808" i="19" s="1"/>
  <c r="AF808" i="19"/>
  <c r="AO808" i="19" s="1"/>
  <c r="AJ807" i="19"/>
  <c r="AS807" i="19" s="1"/>
  <c r="AF807" i="19"/>
  <c r="AO807" i="19" s="1"/>
  <c r="AJ806" i="19"/>
  <c r="AS806" i="19" s="1"/>
  <c r="AF806" i="19"/>
  <c r="AO806" i="19" s="1"/>
  <c r="AJ805" i="19"/>
  <c r="AS805" i="19" s="1"/>
  <c r="AF805" i="19"/>
  <c r="AO805" i="19" s="1"/>
  <c r="AJ804" i="19"/>
  <c r="AS804" i="19" s="1"/>
  <c r="AF804" i="19"/>
  <c r="AO804" i="19" s="1"/>
  <c r="AJ803" i="19"/>
  <c r="AS803" i="19" s="1"/>
  <c r="AF803" i="19"/>
  <c r="AO803" i="19" s="1"/>
  <c r="AJ802" i="19"/>
  <c r="AS802" i="19" s="1"/>
  <c r="AF802" i="19"/>
  <c r="AO802" i="19" s="1"/>
  <c r="AJ801" i="19"/>
  <c r="AS801" i="19" s="1"/>
  <c r="AF801" i="19"/>
  <c r="AO801" i="19" s="1"/>
  <c r="AJ800" i="19"/>
  <c r="AS800" i="19" s="1"/>
  <c r="AF800" i="19"/>
  <c r="AO800" i="19" s="1"/>
  <c r="AJ799" i="19"/>
  <c r="AS799" i="19" s="1"/>
  <c r="AF799" i="19"/>
  <c r="AO799" i="19" s="1"/>
  <c r="AJ798" i="19"/>
  <c r="AS798" i="19" s="1"/>
  <c r="AF798" i="19"/>
  <c r="AO798" i="19" s="1"/>
  <c r="AJ797" i="19"/>
  <c r="AS797" i="19" s="1"/>
  <c r="AF797" i="19"/>
  <c r="AO797" i="19" s="1"/>
  <c r="AJ796" i="19"/>
  <c r="AS796" i="19" s="1"/>
  <c r="AF796" i="19"/>
  <c r="AO796" i="19" s="1"/>
  <c r="AJ795" i="19"/>
  <c r="AS795" i="19" s="1"/>
  <c r="AF795" i="19"/>
  <c r="AO795" i="19" s="1"/>
  <c r="AJ794" i="19"/>
  <c r="AS794" i="19" s="1"/>
  <c r="AF794" i="19"/>
  <c r="AO794" i="19" s="1"/>
  <c r="AJ793" i="19"/>
  <c r="AS793" i="19" s="1"/>
  <c r="AF793" i="19"/>
  <c r="AO793" i="19" s="1"/>
  <c r="AJ792" i="19"/>
  <c r="AS792" i="19" s="1"/>
  <c r="AF792" i="19"/>
  <c r="AO792" i="19" s="1"/>
  <c r="AJ791" i="19"/>
  <c r="AS791" i="19" s="1"/>
  <c r="AF791" i="19"/>
  <c r="AO791" i="19" s="1"/>
  <c r="AJ790" i="19"/>
  <c r="AS790" i="19" s="1"/>
  <c r="AF790" i="19"/>
  <c r="AO790" i="19" s="1"/>
  <c r="AJ789" i="19"/>
  <c r="AS789" i="19" s="1"/>
  <c r="AF789" i="19"/>
  <c r="AO789" i="19" s="1"/>
  <c r="AJ788" i="19"/>
  <c r="AS788" i="19" s="1"/>
  <c r="AF788" i="19"/>
  <c r="AO788" i="19" s="1"/>
  <c r="AJ787" i="19"/>
  <c r="AS787" i="19" s="1"/>
  <c r="AF787" i="19"/>
  <c r="AO787" i="19" s="1"/>
  <c r="AJ786" i="19"/>
  <c r="AS786" i="19" s="1"/>
  <c r="AF786" i="19"/>
  <c r="AO786" i="19" s="1"/>
  <c r="AJ785" i="19"/>
  <c r="AS785" i="19" s="1"/>
  <c r="AF785" i="19"/>
  <c r="AO785" i="19" s="1"/>
  <c r="AJ784" i="19"/>
  <c r="AS784" i="19" s="1"/>
  <c r="AF784" i="19"/>
  <c r="AO784" i="19" s="1"/>
  <c r="AJ783" i="19"/>
  <c r="AS783" i="19" s="1"/>
  <c r="AF783" i="19"/>
  <c r="AO783" i="19" s="1"/>
  <c r="AJ782" i="19"/>
  <c r="AS782" i="19" s="1"/>
  <c r="AF782" i="19"/>
  <c r="AO782" i="19" s="1"/>
  <c r="AJ781" i="19"/>
  <c r="AS781" i="19" s="1"/>
  <c r="AF781" i="19"/>
  <c r="AO781" i="19" s="1"/>
  <c r="AJ780" i="19"/>
  <c r="AS780" i="19" s="1"/>
  <c r="AF780" i="19"/>
  <c r="AO780" i="19" s="1"/>
  <c r="AJ779" i="19"/>
  <c r="AS779" i="19" s="1"/>
  <c r="AF779" i="19"/>
  <c r="AO779" i="19" s="1"/>
  <c r="AJ778" i="19"/>
  <c r="AS778" i="19" s="1"/>
  <c r="AF778" i="19"/>
  <c r="AO778" i="19" s="1"/>
  <c r="AJ777" i="19"/>
  <c r="AS777" i="19" s="1"/>
  <c r="AF777" i="19"/>
  <c r="AO777" i="19" s="1"/>
  <c r="AJ776" i="19"/>
  <c r="AS776" i="19" s="1"/>
  <c r="AF776" i="19"/>
  <c r="AO776" i="19" s="1"/>
  <c r="AJ775" i="19"/>
  <c r="AS775" i="19" s="1"/>
  <c r="AF775" i="19"/>
  <c r="AO775" i="19" s="1"/>
  <c r="AJ774" i="19"/>
  <c r="AS774" i="19" s="1"/>
  <c r="AF774" i="19"/>
  <c r="AO774" i="19" s="1"/>
  <c r="AJ773" i="19"/>
  <c r="AS773" i="19" s="1"/>
  <c r="AF773" i="19"/>
  <c r="AO773" i="19" s="1"/>
  <c r="AJ772" i="19"/>
  <c r="AS772" i="19" s="1"/>
  <c r="AF772" i="19"/>
  <c r="AO772" i="19" s="1"/>
  <c r="AJ771" i="19"/>
  <c r="AS771" i="19" s="1"/>
  <c r="AF771" i="19"/>
  <c r="AO771" i="19" s="1"/>
  <c r="AJ770" i="19"/>
  <c r="AS770" i="19" s="1"/>
  <c r="AF770" i="19"/>
  <c r="AO770" i="19" s="1"/>
  <c r="AJ769" i="19"/>
  <c r="AS769" i="19" s="1"/>
  <c r="AF769" i="19"/>
  <c r="AO769" i="19" s="1"/>
  <c r="AJ768" i="19"/>
  <c r="AS768" i="19" s="1"/>
  <c r="AF768" i="19"/>
  <c r="AO768" i="19" s="1"/>
  <c r="AJ767" i="19"/>
  <c r="AS767" i="19" s="1"/>
  <c r="AF767" i="19"/>
  <c r="AO767" i="19" s="1"/>
  <c r="AJ766" i="19"/>
  <c r="AS766" i="19" s="1"/>
  <c r="AF766" i="19"/>
  <c r="AO766" i="19" s="1"/>
  <c r="AJ765" i="19"/>
  <c r="AS765" i="19" s="1"/>
  <c r="AF765" i="19"/>
  <c r="AO765" i="19" s="1"/>
  <c r="AJ764" i="19"/>
  <c r="AS764" i="19" s="1"/>
  <c r="AF764" i="19"/>
  <c r="AO764" i="19" s="1"/>
  <c r="AJ763" i="19"/>
  <c r="AS763" i="19" s="1"/>
  <c r="AF763" i="19"/>
  <c r="AO763" i="19" s="1"/>
  <c r="AJ762" i="19"/>
  <c r="AS762" i="19" s="1"/>
  <c r="AF762" i="19"/>
  <c r="AO762" i="19" s="1"/>
  <c r="AJ761" i="19"/>
  <c r="AS761" i="19" s="1"/>
  <c r="AF761" i="19"/>
  <c r="AO761" i="19" s="1"/>
  <c r="AJ760" i="19"/>
  <c r="AS760" i="19" s="1"/>
  <c r="AF760" i="19"/>
  <c r="AO760" i="19" s="1"/>
  <c r="AJ759" i="19"/>
  <c r="AS759" i="19" s="1"/>
  <c r="AF759" i="19"/>
  <c r="AO759" i="19" s="1"/>
  <c r="AJ758" i="19"/>
  <c r="AS758" i="19" s="1"/>
  <c r="AF758" i="19"/>
  <c r="AO758" i="19" s="1"/>
  <c r="AJ757" i="19"/>
  <c r="AS757" i="19" s="1"/>
  <c r="AF757" i="19"/>
  <c r="AO757" i="19" s="1"/>
  <c r="AJ756" i="19"/>
  <c r="AS756" i="19" s="1"/>
  <c r="AF756" i="19"/>
  <c r="AO756" i="19" s="1"/>
  <c r="AJ755" i="19"/>
  <c r="AS755" i="19" s="1"/>
  <c r="AF755" i="19"/>
  <c r="AO755" i="19" s="1"/>
  <c r="AJ754" i="19"/>
  <c r="AS754" i="19" s="1"/>
  <c r="AF754" i="19"/>
  <c r="AO754" i="19" s="1"/>
  <c r="AJ753" i="19"/>
  <c r="AS753" i="19" s="1"/>
  <c r="AF753" i="19"/>
  <c r="AO753" i="19" s="1"/>
  <c r="AJ752" i="19"/>
  <c r="AS752" i="19" s="1"/>
  <c r="AF752" i="19"/>
  <c r="AO752" i="19" s="1"/>
  <c r="AJ751" i="19"/>
  <c r="AS751" i="19" s="1"/>
  <c r="AF751" i="19"/>
  <c r="AO751" i="19" s="1"/>
  <c r="AJ750" i="19"/>
  <c r="AS750" i="19" s="1"/>
  <c r="AF750" i="19"/>
  <c r="AO750" i="19" s="1"/>
  <c r="AJ749" i="19"/>
  <c r="AS749" i="19" s="1"/>
  <c r="AF749" i="19"/>
  <c r="AO749" i="19" s="1"/>
  <c r="AJ748" i="19"/>
  <c r="AS748" i="19" s="1"/>
  <c r="AF748" i="19"/>
  <c r="AO748" i="19" s="1"/>
  <c r="AJ747" i="19"/>
  <c r="AS747" i="19" s="1"/>
  <c r="AF747" i="19"/>
  <c r="AO747" i="19" s="1"/>
  <c r="AJ746" i="19"/>
  <c r="AS746" i="19" s="1"/>
  <c r="AF746" i="19"/>
  <c r="AO746" i="19" s="1"/>
  <c r="AJ745" i="19"/>
  <c r="AS745" i="19" s="1"/>
  <c r="AF745" i="19"/>
  <c r="AO745" i="19" s="1"/>
  <c r="AJ744" i="19"/>
  <c r="AS744" i="19" s="1"/>
  <c r="AF744" i="19"/>
  <c r="AO744" i="19" s="1"/>
  <c r="AJ743" i="19"/>
  <c r="AS743" i="19" s="1"/>
  <c r="AF743" i="19"/>
  <c r="AO743" i="19" s="1"/>
  <c r="AJ742" i="19"/>
  <c r="AS742" i="19" s="1"/>
  <c r="AF742" i="19"/>
  <c r="AO742" i="19" s="1"/>
  <c r="AJ741" i="19"/>
  <c r="AS741" i="19" s="1"/>
  <c r="AF741" i="19"/>
  <c r="AO741" i="19" s="1"/>
  <c r="AJ740" i="19"/>
  <c r="AS740" i="19" s="1"/>
  <c r="AF740" i="19"/>
  <c r="AO740" i="19" s="1"/>
  <c r="AJ739" i="19"/>
  <c r="AS739" i="19" s="1"/>
  <c r="AF739" i="19"/>
  <c r="AO739" i="19" s="1"/>
  <c r="AJ738" i="19"/>
  <c r="AS738" i="19" s="1"/>
  <c r="AF738" i="19"/>
  <c r="AO738" i="19" s="1"/>
  <c r="AJ737" i="19"/>
  <c r="AS737" i="19" s="1"/>
  <c r="AF737" i="19"/>
  <c r="AO737" i="19" s="1"/>
  <c r="AJ736" i="19"/>
  <c r="AS736" i="19" s="1"/>
  <c r="AF736" i="19"/>
  <c r="AO736" i="19" s="1"/>
  <c r="AJ735" i="19"/>
  <c r="AS735" i="19" s="1"/>
  <c r="AF735" i="19"/>
  <c r="AO735" i="19" s="1"/>
  <c r="AJ734" i="19"/>
  <c r="AS734" i="19" s="1"/>
  <c r="AF734" i="19"/>
  <c r="AO734" i="19" s="1"/>
  <c r="AJ733" i="19"/>
  <c r="AS733" i="19" s="1"/>
  <c r="AF733" i="19"/>
  <c r="AO733" i="19" s="1"/>
  <c r="AJ732" i="19"/>
  <c r="AS732" i="19" s="1"/>
  <c r="AF732" i="19"/>
  <c r="AO732" i="19" s="1"/>
  <c r="AJ731" i="19"/>
  <c r="AS731" i="19" s="1"/>
  <c r="AF731" i="19"/>
  <c r="AO731" i="19" s="1"/>
  <c r="AJ730" i="19"/>
  <c r="AS730" i="19" s="1"/>
  <c r="AF730" i="19"/>
  <c r="AO730" i="19" s="1"/>
  <c r="AJ729" i="19"/>
  <c r="AS729" i="19" s="1"/>
  <c r="AF729" i="19"/>
  <c r="AO729" i="19" s="1"/>
  <c r="AJ728" i="19"/>
  <c r="AS728" i="19" s="1"/>
  <c r="AF728" i="19"/>
  <c r="AO728" i="19" s="1"/>
  <c r="AJ727" i="19"/>
  <c r="AS727" i="19" s="1"/>
  <c r="AF727" i="19"/>
  <c r="AO727" i="19" s="1"/>
  <c r="AJ726" i="19"/>
  <c r="AS726" i="19" s="1"/>
  <c r="AF726" i="19"/>
  <c r="AO726" i="19" s="1"/>
  <c r="AJ725" i="19"/>
  <c r="AS725" i="19" s="1"/>
  <c r="AF725" i="19"/>
  <c r="AO725" i="19" s="1"/>
  <c r="AJ724" i="19"/>
  <c r="AS724" i="19" s="1"/>
  <c r="AF724" i="19"/>
  <c r="AO724" i="19" s="1"/>
  <c r="AJ723" i="19"/>
  <c r="AS723" i="19" s="1"/>
  <c r="AF723" i="19"/>
  <c r="AO723" i="19" s="1"/>
  <c r="AJ722" i="19"/>
  <c r="AS722" i="19" s="1"/>
  <c r="AF722" i="19"/>
  <c r="AO722" i="19" s="1"/>
  <c r="AJ721" i="19"/>
  <c r="AS721" i="19" s="1"/>
  <c r="AF721" i="19"/>
  <c r="AO721" i="19" s="1"/>
  <c r="AJ720" i="19"/>
  <c r="AS720" i="19" s="1"/>
  <c r="AF720" i="19"/>
  <c r="AO720" i="19" s="1"/>
  <c r="AJ719" i="19"/>
  <c r="AS719" i="19" s="1"/>
  <c r="AF719" i="19"/>
  <c r="AO719" i="19" s="1"/>
  <c r="AJ718" i="19"/>
  <c r="AS718" i="19" s="1"/>
  <c r="AF718" i="19"/>
  <c r="AO718" i="19" s="1"/>
  <c r="AJ717" i="19"/>
  <c r="AS717" i="19" s="1"/>
  <c r="AF717" i="19"/>
  <c r="AO717" i="19" s="1"/>
  <c r="AJ716" i="19"/>
  <c r="AS716" i="19" s="1"/>
  <c r="AF716" i="19"/>
  <c r="AO716" i="19" s="1"/>
  <c r="AJ715" i="19"/>
  <c r="AS715" i="19" s="1"/>
  <c r="AF715" i="19"/>
  <c r="AO715" i="19" s="1"/>
  <c r="AJ714" i="19"/>
  <c r="AS714" i="19" s="1"/>
  <c r="AF714" i="19"/>
  <c r="AO714" i="19" s="1"/>
  <c r="AJ713" i="19"/>
  <c r="AS713" i="19" s="1"/>
  <c r="AF713" i="19"/>
  <c r="AO713" i="19" s="1"/>
  <c r="AJ712" i="19"/>
  <c r="AS712" i="19" s="1"/>
  <c r="AF712" i="19"/>
  <c r="AO712" i="19" s="1"/>
  <c r="AJ711" i="19"/>
  <c r="AS711" i="19" s="1"/>
  <c r="AF711" i="19"/>
  <c r="AO711" i="19" s="1"/>
  <c r="AJ710" i="19"/>
  <c r="AS710" i="19" s="1"/>
  <c r="AF710" i="19"/>
  <c r="AO710" i="19" s="1"/>
  <c r="AJ709" i="19"/>
  <c r="AS709" i="19" s="1"/>
  <c r="AF709" i="19"/>
  <c r="AO709" i="19" s="1"/>
  <c r="AJ708" i="19"/>
  <c r="AS708" i="19" s="1"/>
  <c r="AF708" i="19"/>
  <c r="AO708" i="19" s="1"/>
  <c r="AJ707" i="19"/>
  <c r="AS707" i="19" s="1"/>
  <c r="AF707" i="19"/>
  <c r="AO707" i="19" s="1"/>
  <c r="AJ706" i="19"/>
  <c r="AS706" i="19" s="1"/>
  <c r="AF706" i="19"/>
  <c r="AO706" i="19" s="1"/>
  <c r="AJ705" i="19"/>
  <c r="AS705" i="19" s="1"/>
  <c r="AF705" i="19"/>
  <c r="AO705" i="19" s="1"/>
  <c r="AJ704" i="19"/>
  <c r="AS704" i="19" s="1"/>
  <c r="AF704" i="19"/>
  <c r="AO704" i="19" s="1"/>
  <c r="AJ703" i="19"/>
  <c r="AS703" i="19" s="1"/>
  <c r="AF703" i="19"/>
  <c r="AO703" i="19" s="1"/>
  <c r="AJ702" i="19"/>
  <c r="AS702" i="19" s="1"/>
  <c r="AF702" i="19"/>
  <c r="AO702" i="19" s="1"/>
  <c r="AJ701" i="19"/>
  <c r="AS701" i="19" s="1"/>
  <c r="AF701" i="19"/>
  <c r="AO701" i="19" s="1"/>
  <c r="AJ700" i="19"/>
  <c r="AS700" i="19" s="1"/>
  <c r="AF700" i="19"/>
  <c r="AO700" i="19" s="1"/>
  <c r="AJ699" i="19"/>
  <c r="AS699" i="19" s="1"/>
  <c r="AF699" i="19"/>
  <c r="AO699" i="19" s="1"/>
  <c r="AJ698" i="19"/>
  <c r="AS698" i="19" s="1"/>
  <c r="AF698" i="19"/>
  <c r="AO698" i="19" s="1"/>
  <c r="AJ697" i="19"/>
  <c r="AS697" i="19" s="1"/>
  <c r="AF697" i="19"/>
  <c r="AO697" i="19" s="1"/>
  <c r="AJ696" i="19"/>
  <c r="AS696" i="19" s="1"/>
  <c r="AF696" i="19"/>
  <c r="AO696" i="19" s="1"/>
  <c r="AJ695" i="19"/>
  <c r="AS695" i="19" s="1"/>
  <c r="AF695" i="19"/>
  <c r="AO695" i="19" s="1"/>
  <c r="AJ694" i="19"/>
  <c r="AS694" i="19" s="1"/>
  <c r="AF694" i="19"/>
  <c r="AO694" i="19" s="1"/>
  <c r="AJ693" i="19"/>
  <c r="AS693" i="19" s="1"/>
  <c r="AF693" i="19"/>
  <c r="AO693" i="19" s="1"/>
  <c r="AJ692" i="19"/>
  <c r="AS692" i="19" s="1"/>
  <c r="AF692" i="19"/>
  <c r="AO692" i="19" s="1"/>
  <c r="AJ691" i="19"/>
  <c r="AS691" i="19" s="1"/>
  <c r="AF691" i="19"/>
  <c r="AO691" i="19" s="1"/>
  <c r="AJ690" i="19"/>
  <c r="AS690" i="19" s="1"/>
  <c r="AF690" i="19"/>
  <c r="AO690" i="19" s="1"/>
  <c r="AJ689" i="19"/>
  <c r="AS689" i="19" s="1"/>
  <c r="AF689" i="19"/>
  <c r="AO689" i="19" s="1"/>
  <c r="AJ688" i="19"/>
  <c r="AS688" i="19" s="1"/>
  <c r="AF688" i="19"/>
  <c r="AO688" i="19" s="1"/>
  <c r="AJ687" i="19"/>
  <c r="AS687" i="19" s="1"/>
  <c r="AF687" i="19"/>
  <c r="AO687" i="19" s="1"/>
  <c r="AJ686" i="19"/>
  <c r="AS686" i="19" s="1"/>
  <c r="AF686" i="19"/>
  <c r="AO686" i="19" s="1"/>
  <c r="AJ685" i="19"/>
  <c r="AS685" i="19" s="1"/>
  <c r="AF685" i="19"/>
  <c r="AO685" i="19" s="1"/>
  <c r="AJ684" i="19"/>
  <c r="AS684" i="19" s="1"/>
  <c r="AF684" i="19"/>
  <c r="AO684" i="19" s="1"/>
  <c r="AJ683" i="19"/>
  <c r="AS683" i="19" s="1"/>
  <c r="AF683" i="19"/>
  <c r="AO683" i="19" s="1"/>
  <c r="AJ682" i="19"/>
  <c r="AS682" i="19" s="1"/>
  <c r="AF682" i="19"/>
  <c r="AO682" i="19" s="1"/>
  <c r="AJ681" i="19"/>
  <c r="AS681" i="19" s="1"/>
  <c r="AF681" i="19"/>
  <c r="AO681" i="19" s="1"/>
  <c r="AJ680" i="19"/>
  <c r="AS680" i="19" s="1"/>
  <c r="AF680" i="19"/>
  <c r="AO680" i="19" s="1"/>
  <c r="AJ679" i="19"/>
  <c r="AS679" i="19" s="1"/>
  <c r="AF679" i="19"/>
  <c r="AO679" i="19" s="1"/>
  <c r="AJ678" i="19"/>
  <c r="AS678" i="19" s="1"/>
  <c r="AF678" i="19"/>
  <c r="AO678" i="19" s="1"/>
  <c r="AJ677" i="19"/>
  <c r="AS677" i="19" s="1"/>
  <c r="AF677" i="19"/>
  <c r="AO677" i="19" s="1"/>
  <c r="AJ676" i="19"/>
  <c r="AS676" i="19" s="1"/>
  <c r="AF676" i="19"/>
  <c r="AO676" i="19" s="1"/>
  <c r="AJ675" i="19"/>
  <c r="AS675" i="19" s="1"/>
  <c r="AF675" i="19"/>
  <c r="AO675" i="19" s="1"/>
  <c r="AJ674" i="19"/>
  <c r="AS674" i="19" s="1"/>
  <c r="AF674" i="19"/>
  <c r="AO674" i="19" s="1"/>
  <c r="AJ673" i="19"/>
  <c r="AS673" i="19" s="1"/>
  <c r="AF673" i="19"/>
  <c r="AO673" i="19" s="1"/>
  <c r="AJ672" i="19"/>
  <c r="AS672" i="19" s="1"/>
  <c r="AF672" i="19"/>
  <c r="AO672" i="19" s="1"/>
  <c r="AJ671" i="19"/>
  <c r="AS671" i="19" s="1"/>
  <c r="AF671" i="19"/>
  <c r="AO671" i="19" s="1"/>
  <c r="AJ670" i="19"/>
  <c r="AS670" i="19" s="1"/>
  <c r="AF670" i="19"/>
  <c r="AO670" i="19" s="1"/>
  <c r="AJ669" i="19"/>
  <c r="AS669" i="19" s="1"/>
  <c r="AF669" i="19"/>
  <c r="AO669" i="19" s="1"/>
  <c r="AJ668" i="19"/>
  <c r="AS668" i="19" s="1"/>
  <c r="AF668" i="19"/>
  <c r="AO668" i="19" s="1"/>
  <c r="AJ667" i="19"/>
  <c r="AS667" i="19" s="1"/>
  <c r="AF667" i="19"/>
  <c r="AO667" i="19" s="1"/>
  <c r="AJ666" i="19"/>
  <c r="AS666" i="19" s="1"/>
  <c r="AF666" i="19"/>
  <c r="AO666" i="19" s="1"/>
  <c r="AJ665" i="19"/>
  <c r="AS665" i="19" s="1"/>
  <c r="AF665" i="19"/>
  <c r="AO665" i="19" s="1"/>
  <c r="AJ664" i="19"/>
  <c r="AS664" i="19" s="1"/>
  <c r="AF664" i="19"/>
  <c r="AO664" i="19" s="1"/>
  <c r="AJ663" i="19"/>
  <c r="AS663" i="19" s="1"/>
  <c r="AF663" i="19"/>
  <c r="AO663" i="19" s="1"/>
  <c r="AJ662" i="19"/>
  <c r="AS662" i="19" s="1"/>
  <c r="AF662" i="19"/>
  <c r="AO662" i="19" s="1"/>
  <c r="AJ661" i="19"/>
  <c r="AS661" i="19" s="1"/>
  <c r="AF661" i="19"/>
  <c r="AO661" i="19" s="1"/>
  <c r="AJ660" i="19"/>
  <c r="AS660" i="19" s="1"/>
  <c r="AF660" i="19"/>
  <c r="AO660" i="19" s="1"/>
  <c r="AJ659" i="19"/>
  <c r="AS659" i="19" s="1"/>
  <c r="AF659" i="19"/>
  <c r="AO659" i="19" s="1"/>
  <c r="AJ658" i="19"/>
  <c r="AS658" i="19" s="1"/>
  <c r="AF658" i="19"/>
  <c r="AO658" i="19" s="1"/>
  <c r="AJ657" i="19"/>
  <c r="AS657" i="19" s="1"/>
  <c r="AF657" i="19"/>
  <c r="AO657" i="19" s="1"/>
  <c r="AJ656" i="19"/>
  <c r="AS656" i="19" s="1"/>
  <c r="AF656" i="19"/>
  <c r="AO656" i="19" s="1"/>
  <c r="AJ655" i="19"/>
  <c r="AS655" i="19" s="1"/>
  <c r="AF655" i="19"/>
  <c r="AO655" i="19" s="1"/>
  <c r="AJ654" i="19"/>
  <c r="AS654" i="19" s="1"/>
  <c r="AF654" i="19"/>
  <c r="AO654" i="19" s="1"/>
  <c r="AJ653" i="19"/>
  <c r="AS653" i="19" s="1"/>
  <c r="AF653" i="19"/>
  <c r="AO653" i="19" s="1"/>
  <c r="AJ652" i="19"/>
  <c r="AS652" i="19" s="1"/>
  <c r="AF652" i="19"/>
  <c r="AO652" i="19" s="1"/>
  <c r="AJ651" i="19"/>
  <c r="AS651" i="19" s="1"/>
  <c r="AF651" i="19"/>
  <c r="AO651" i="19" s="1"/>
  <c r="AJ650" i="19"/>
  <c r="AS650" i="19" s="1"/>
  <c r="AF650" i="19"/>
  <c r="AO650" i="19" s="1"/>
  <c r="AJ649" i="19"/>
  <c r="AS649" i="19" s="1"/>
  <c r="AF649" i="19"/>
  <c r="AO649" i="19" s="1"/>
  <c r="AJ648" i="19"/>
  <c r="AS648" i="19" s="1"/>
  <c r="AF648" i="19"/>
  <c r="AO648" i="19" s="1"/>
  <c r="AJ647" i="19"/>
  <c r="AS647" i="19" s="1"/>
  <c r="AF647" i="19"/>
  <c r="AO647" i="19" s="1"/>
  <c r="AJ646" i="19"/>
  <c r="AS646" i="19" s="1"/>
  <c r="AF646" i="19"/>
  <c r="AO646" i="19" s="1"/>
  <c r="AJ645" i="19"/>
  <c r="AS645" i="19" s="1"/>
  <c r="AF645" i="19"/>
  <c r="AO645" i="19" s="1"/>
  <c r="AJ644" i="19"/>
  <c r="AS644" i="19" s="1"/>
  <c r="AF644" i="19"/>
  <c r="AO644" i="19" s="1"/>
  <c r="AJ643" i="19"/>
  <c r="AS643" i="19" s="1"/>
  <c r="AF643" i="19"/>
  <c r="AO643" i="19" s="1"/>
  <c r="AJ642" i="19"/>
  <c r="AS642" i="19" s="1"/>
  <c r="AF642" i="19"/>
  <c r="AO642" i="19" s="1"/>
  <c r="AJ641" i="19"/>
  <c r="AS641" i="19" s="1"/>
  <c r="AF641" i="19"/>
  <c r="AO641" i="19" s="1"/>
  <c r="AJ640" i="19"/>
  <c r="AS640" i="19" s="1"/>
  <c r="AF640" i="19"/>
  <c r="AO640" i="19" s="1"/>
  <c r="AJ639" i="19"/>
  <c r="AS639" i="19" s="1"/>
  <c r="AF639" i="19"/>
  <c r="AO639" i="19" s="1"/>
  <c r="AJ638" i="19"/>
  <c r="AS638" i="19" s="1"/>
  <c r="AF638" i="19"/>
  <c r="AO638" i="19" s="1"/>
  <c r="AJ637" i="19"/>
  <c r="AS637" i="19" s="1"/>
  <c r="AF637" i="19"/>
  <c r="AO637" i="19" s="1"/>
  <c r="AJ636" i="19"/>
  <c r="AS636" i="19" s="1"/>
  <c r="AF636" i="19"/>
  <c r="AO636" i="19" s="1"/>
  <c r="AJ635" i="19"/>
  <c r="AS635" i="19" s="1"/>
  <c r="AF635" i="19"/>
  <c r="AO635" i="19" s="1"/>
  <c r="AJ634" i="19"/>
  <c r="AS634" i="19" s="1"/>
  <c r="AF634" i="19"/>
  <c r="AO634" i="19" s="1"/>
  <c r="AJ633" i="19"/>
  <c r="AS633" i="19" s="1"/>
  <c r="AF633" i="19"/>
  <c r="AO633" i="19" s="1"/>
  <c r="AJ632" i="19"/>
  <c r="AS632" i="19" s="1"/>
  <c r="AF632" i="19"/>
  <c r="AO632" i="19" s="1"/>
  <c r="AJ631" i="19"/>
  <c r="AS631" i="19" s="1"/>
  <c r="AF631" i="19"/>
  <c r="AO631" i="19" s="1"/>
  <c r="AJ630" i="19"/>
  <c r="AS630" i="19" s="1"/>
  <c r="AF630" i="19"/>
  <c r="AO630" i="19" s="1"/>
  <c r="AJ629" i="19"/>
  <c r="AS629" i="19" s="1"/>
  <c r="AF629" i="19"/>
  <c r="AO629" i="19" s="1"/>
  <c r="AJ628" i="19"/>
  <c r="AS628" i="19" s="1"/>
  <c r="AF628" i="19"/>
  <c r="AO628" i="19" s="1"/>
  <c r="AJ627" i="19"/>
  <c r="AS627" i="19" s="1"/>
  <c r="AF627" i="19"/>
  <c r="AO627" i="19" s="1"/>
  <c r="AJ626" i="19"/>
  <c r="AS626" i="19" s="1"/>
  <c r="AF626" i="19"/>
  <c r="AO626" i="19" s="1"/>
  <c r="AJ625" i="19"/>
  <c r="AS625" i="19" s="1"/>
  <c r="AF625" i="19"/>
  <c r="AO625" i="19" s="1"/>
  <c r="AJ624" i="19"/>
  <c r="AS624" i="19" s="1"/>
  <c r="AF624" i="19"/>
  <c r="AO624" i="19" s="1"/>
  <c r="AJ623" i="19"/>
  <c r="AS623" i="19" s="1"/>
  <c r="AF623" i="19"/>
  <c r="AO623" i="19" s="1"/>
  <c r="AJ622" i="19"/>
  <c r="AS622" i="19" s="1"/>
  <c r="AF622" i="19"/>
  <c r="AO622" i="19" s="1"/>
  <c r="AJ621" i="19"/>
  <c r="AS621" i="19" s="1"/>
  <c r="AF621" i="19"/>
  <c r="AO621" i="19" s="1"/>
  <c r="AJ620" i="19"/>
  <c r="AS620" i="19" s="1"/>
  <c r="AF620" i="19"/>
  <c r="AO620" i="19" s="1"/>
  <c r="AJ619" i="19"/>
  <c r="AS619" i="19" s="1"/>
  <c r="AF619" i="19"/>
  <c r="AO619" i="19" s="1"/>
  <c r="AJ618" i="19"/>
  <c r="AS618" i="19" s="1"/>
  <c r="AF618" i="19"/>
  <c r="AO618" i="19" s="1"/>
  <c r="AJ617" i="19"/>
  <c r="AS617" i="19" s="1"/>
  <c r="AF617" i="19"/>
  <c r="AO617" i="19" s="1"/>
  <c r="AJ616" i="19"/>
  <c r="AS616" i="19" s="1"/>
  <c r="AF616" i="19"/>
  <c r="AO616" i="19" s="1"/>
  <c r="AJ615" i="19"/>
  <c r="AS615" i="19" s="1"/>
  <c r="AF615" i="19"/>
  <c r="AO615" i="19" s="1"/>
  <c r="AJ614" i="19"/>
  <c r="AS614" i="19" s="1"/>
  <c r="AF614" i="19"/>
  <c r="AO614" i="19" s="1"/>
  <c r="AJ613" i="19"/>
  <c r="AS613" i="19" s="1"/>
  <c r="AF613" i="19"/>
  <c r="AO613" i="19" s="1"/>
  <c r="AJ612" i="19"/>
  <c r="AS612" i="19" s="1"/>
  <c r="AF612" i="19"/>
  <c r="AO612" i="19" s="1"/>
  <c r="AJ611" i="19"/>
  <c r="AS611" i="19" s="1"/>
  <c r="AF611" i="19"/>
  <c r="AO611" i="19" s="1"/>
  <c r="AJ610" i="19"/>
  <c r="AS610" i="19" s="1"/>
  <c r="AF610" i="19"/>
  <c r="AO610" i="19" s="1"/>
  <c r="AJ609" i="19"/>
  <c r="AS609" i="19" s="1"/>
  <c r="AF609" i="19"/>
  <c r="AO609" i="19" s="1"/>
  <c r="AJ608" i="19"/>
  <c r="AS608" i="19" s="1"/>
  <c r="AF608" i="19"/>
  <c r="AO608" i="19" s="1"/>
  <c r="AJ607" i="19"/>
  <c r="AS607" i="19" s="1"/>
  <c r="AF607" i="19"/>
  <c r="AO607" i="19" s="1"/>
  <c r="AJ606" i="19"/>
  <c r="AS606" i="19" s="1"/>
  <c r="AF606" i="19"/>
  <c r="AO606" i="19" s="1"/>
  <c r="AJ605" i="19"/>
  <c r="AS605" i="19" s="1"/>
  <c r="AF605" i="19"/>
  <c r="AO605" i="19" s="1"/>
  <c r="AJ604" i="19"/>
  <c r="AS604" i="19" s="1"/>
  <c r="AF604" i="19"/>
  <c r="AO604" i="19" s="1"/>
  <c r="AJ603" i="19"/>
  <c r="AS603" i="19" s="1"/>
  <c r="AF603" i="19"/>
  <c r="AO603" i="19" s="1"/>
  <c r="AJ602" i="19"/>
  <c r="AS602" i="19" s="1"/>
  <c r="AF602" i="19"/>
  <c r="AO602" i="19" s="1"/>
  <c r="AJ601" i="19"/>
  <c r="AS601" i="19" s="1"/>
  <c r="AF601" i="19"/>
  <c r="AO601" i="19" s="1"/>
  <c r="AJ600" i="19"/>
  <c r="AS600" i="19" s="1"/>
  <c r="AF600" i="19"/>
  <c r="AO600" i="19" s="1"/>
  <c r="AJ599" i="19"/>
  <c r="AS599" i="19" s="1"/>
  <c r="AF599" i="19"/>
  <c r="AO599" i="19" s="1"/>
  <c r="AJ598" i="19"/>
  <c r="AS598" i="19" s="1"/>
  <c r="AF598" i="19"/>
  <c r="AO598" i="19" s="1"/>
  <c r="AJ597" i="19"/>
  <c r="AS597" i="19" s="1"/>
  <c r="AF597" i="19"/>
  <c r="AO597" i="19" s="1"/>
  <c r="AJ596" i="19"/>
  <c r="AS596" i="19" s="1"/>
  <c r="AF596" i="19"/>
  <c r="AO596" i="19" s="1"/>
  <c r="AJ595" i="19"/>
  <c r="AS595" i="19" s="1"/>
  <c r="AF595" i="19"/>
  <c r="AO595" i="19" s="1"/>
  <c r="AJ594" i="19"/>
  <c r="AS594" i="19" s="1"/>
  <c r="AF594" i="19"/>
  <c r="AO594" i="19" s="1"/>
  <c r="AJ593" i="19"/>
  <c r="AS593" i="19" s="1"/>
  <c r="AF593" i="19"/>
  <c r="AO593" i="19" s="1"/>
  <c r="AJ592" i="19"/>
  <c r="AS592" i="19" s="1"/>
  <c r="AF592" i="19"/>
  <c r="AO592" i="19" s="1"/>
  <c r="AJ591" i="19"/>
  <c r="AS591" i="19" s="1"/>
  <c r="AF591" i="19"/>
  <c r="AO591" i="19" s="1"/>
  <c r="AJ590" i="19"/>
  <c r="AS590" i="19" s="1"/>
  <c r="AF590" i="19"/>
  <c r="AO590" i="19" s="1"/>
  <c r="AJ589" i="19"/>
  <c r="AS589" i="19" s="1"/>
  <c r="AF589" i="19"/>
  <c r="AO589" i="19" s="1"/>
  <c r="AJ588" i="19"/>
  <c r="AS588" i="19" s="1"/>
  <c r="AF588" i="19"/>
  <c r="AO588" i="19" s="1"/>
  <c r="AJ587" i="19"/>
  <c r="AS587" i="19" s="1"/>
  <c r="AF587" i="19"/>
  <c r="AO587" i="19" s="1"/>
  <c r="AJ586" i="19"/>
  <c r="AS586" i="19" s="1"/>
  <c r="AF586" i="19"/>
  <c r="AO586" i="19" s="1"/>
  <c r="AJ585" i="19"/>
  <c r="AS585" i="19" s="1"/>
  <c r="AF585" i="19"/>
  <c r="AO585" i="19" s="1"/>
  <c r="AJ584" i="19"/>
  <c r="AS584" i="19" s="1"/>
  <c r="AF584" i="19"/>
  <c r="AO584" i="19" s="1"/>
  <c r="AJ583" i="19"/>
  <c r="AS583" i="19" s="1"/>
  <c r="AF583" i="19"/>
  <c r="AO583" i="19" s="1"/>
  <c r="AJ582" i="19"/>
  <c r="AS582" i="19" s="1"/>
  <c r="AF582" i="19"/>
  <c r="AO582" i="19" s="1"/>
  <c r="AJ581" i="19"/>
  <c r="AS581" i="19" s="1"/>
  <c r="AF581" i="19"/>
  <c r="AO581" i="19" s="1"/>
  <c r="AJ580" i="19"/>
  <c r="AS580" i="19" s="1"/>
  <c r="AF580" i="19"/>
  <c r="AO580" i="19" s="1"/>
  <c r="AJ579" i="19"/>
  <c r="AS579" i="19" s="1"/>
  <c r="AF579" i="19"/>
  <c r="AO579" i="19" s="1"/>
  <c r="AJ578" i="19"/>
  <c r="AS578" i="19" s="1"/>
  <c r="AF578" i="19"/>
  <c r="AO578" i="19" s="1"/>
  <c r="AJ577" i="19"/>
  <c r="AS577" i="19" s="1"/>
  <c r="AF577" i="19"/>
  <c r="AO577" i="19" s="1"/>
  <c r="AJ576" i="19"/>
  <c r="AS576" i="19" s="1"/>
  <c r="AF576" i="19"/>
  <c r="AO576" i="19" s="1"/>
  <c r="AJ575" i="19"/>
  <c r="AS575" i="19" s="1"/>
  <c r="AF575" i="19"/>
  <c r="AO575" i="19" s="1"/>
  <c r="AJ574" i="19"/>
  <c r="AS574" i="19" s="1"/>
  <c r="AF574" i="19"/>
  <c r="AO574" i="19" s="1"/>
  <c r="AJ573" i="19"/>
  <c r="AS573" i="19" s="1"/>
  <c r="AF573" i="19"/>
  <c r="AO573" i="19" s="1"/>
  <c r="AJ572" i="19"/>
  <c r="AS572" i="19" s="1"/>
  <c r="AF572" i="19"/>
  <c r="AO572" i="19" s="1"/>
  <c r="AJ571" i="19"/>
  <c r="AS571" i="19" s="1"/>
  <c r="AF571" i="19"/>
  <c r="AO571" i="19" s="1"/>
  <c r="AJ570" i="19"/>
  <c r="AS570" i="19" s="1"/>
  <c r="AF570" i="19"/>
  <c r="AO570" i="19" s="1"/>
  <c r="AJ569" i="19"/>
  <c r="AS569" i="19" s="1"/>
  <c r="AF569" i="19"/>
  <c r="AO569" i="19" s="1"/>
  <c r="AJ568" i="19"/>
  <c r="AS568" i="19" s="1"/>
  <c r="AF568" i="19"/>
  <c r="AO568" i="19" s="1"/>
  <c r="AJ567" i="19"/>
  <c r="AS567" i="19" s="1"/>
  <c r="AF567" i="19"/>
  <c r="AO567" i="19" s="1"/>
  <c r="AJ566" i="19"/>
  <c r="AS566" i="19" s="1"/>
  <c r="AF566" i="19"/>
  <c r="AO566" i="19" s="1"/>
  <c r="AJ565" i="19"/>
  <c r="AS565" i="19" s="1"/>
  <c r="AF565" i="19"/>
  <c r="AO565" i="19" s="1"/>
  <c r="AJ564" i="19"/>
  <c r="AS564" i="19" s="1"/>
  <c r="AF564" i="19"/>
  <c r="AO564" i="19" s="1"/>
  <c r="AJ563" i="19"/>
  <c r="AS563" i="19" s="1"/>
  <c r="AF563" i="19"/>
  <c r="AO563" i="19" s="1"/>
  <c r="AJ562" i="19"/>
  <c r="AS562" i="19" s="1"/>
  <c r="AF562" i="19"/>
  <c r="AO562" i="19" s="1"/>
  <c r="AJ561" i="19"/>
  <c r="AS561" i="19" s="1"/>
  <c r="AF561" i="19"/>
  <c r="AO561" i="19" s="1"/>
  <c r="AJ560" i="19"/>
  <c r="AS560" i="19" s="1"/>
  <c r="AF560" i="19"/>
  <c r="AO560" i="19" s="1"/>
  <c r="AJ559" i="19"/>
  <c r="AS559" i="19" s="1"/>
  <c r="AF559" i="19"/>
  <c r="AO559" i="19" s="1"/>
  <c r="AJ558" i="19"/>
  <c r="AS558" i="19" s="1"/>
  <c r="AF558" i="19"/>
  <c r="AO558" i="19" s="1"/>
  <c r="AJ557" i="19"/>
  <c r="AS557" i="19" s="1"/>
  <c r="AF557" i="19"/>
  <c r="AO557" i="19" s="1"/>
  <c r="AJ556" i="19"/>
  <c r="AS556" i="19" s="1"/>
  <c r="AF556" i="19"/>
  <c r="AO556" i="19" s="1"/>
  <c r="AJ555" i="19"/>
  <c r="AS555" i="19" s="1"/>
  <c r="AF555" i="19"/>
  <c r="AO555" i="19" s="1"/>
  <c r="AJ554" i="19"/>
  <c r="AS554" i="19" s="1"/>
  <c r="AF554" i="19"/>
  <c r="AO554" i="19" s="1"/>
  <c r="AJ553" i="19"/>
  <c r="AS553" i="19" s="1"/>
  <c r="AF553" i="19"/>
  <c r="AO553" i="19" s="1"/>
  <c r="AJ552" i="19"/>
  <c r="AS552" i="19" s="1"/>
  <c r="AF552" i="19"/>
  <c r="AO552" i="19" s="1"/>
  <c r="AJ551" i="19"/>
  <c r="AS551" i="19" s="1"/>
  <c r="AF551" i="19"/>
  <c r="AO551" i="19" s="1"/>
  <c r="AJ550" i="19"/>
  <c r="AS550" i="19" s="1"/>
  <c r="AF550" i="19"/>
  <c r="AO550" i="19" s="1"/>
  <c r="AJ549" i="19"/>
  <c r="AS549" i="19" s="1"/>
  <c r="AF549" i="19"/>
  <c r="AO549" i="19" s="1"/>
  <c r="AJ548" i="19"/>
  <c r="AS548" i="19" s="1"/>
  <c r="AF548" i="19"/>
  <c r="AO548" i="19" s="1"/>
  <c r="AJ547" i="19"/>
  <c r="AS547" i="19" s="1"/>
  <c r="AF547" i="19"/>
  <c r="AO547" i="19" s="1"/>
  <c r="AJ546" i="19"/>
  <c r="AS546" i="19" s="1"/>
  <c r="AF546" i="19"/>
  <c r="AO546" i="19" s="1"/>
  <c r="AJ545" i="19"/>
  <c r="AS545" i="19" s="1"/>
  <c r="AF545" i="19"/>
  <c r="AO545" i="19" s="1"/>
  <c r="AJ544" i="19"/>
  <c r="AS544" i="19" s="1"/>
  <c r="AF544" i="19"/>
  <c r="AO544" i="19" s="1"/>
  <c r="AJ543" i="19"/>
  <c r="AS543" i="19" s="1"/>
  <c r="AF543" i="19"/>
  <c r="AO543" i="19" s="1"/>
  <c r="AJ542" i="19"/>
  <c r="AS542" i="19" s="1"/>
  <c r="AF542" i="19"/>
  <c r="AO542" i="19" s="1"/>
  <c r="AJ541" i="19"/>
  <c r="AS541" i="19" s="1"/>
  <c r="AF541" i="19"/>
  <c r="AO541" i="19" s="1"/>
  <c r="AJ540" i="19"/>
  <c r="AS540" i="19" s="1"/>
  <c r="AF540" i="19"/>
  <c r="AO540" i="19" s="1"/>
  <c r="AJ539" i="19"/>
  <c r="AS539" i="19" s="1"/>
  <c r="AF539" i="19"/>
  <c r="AO539" i="19" s="1"/>
  <c r="AJ538" i="19"/>
  <c r="AS538" i="19" s="1"/>
  <c r="AF538" i="19"/>
  <c r="AO538" i="19" s="1"/>
  <c r="AJ537" i="19"/>
  <c r="AS537" i="19" s="1"/>
  <c r="AF537" i="19"/>
  <c r="AO537" i="19" s="1"/>
  <c r="AJ536" i="19"/>
  <c r="AS536" i="19" s="1"/>
  <c r="AF536" i="19"/>
  <c r="AO536" i="19" s="1"/>
  <c r="AJ535" i="19"/>
  <c r="AS535" i="19" s="1"/>
  <c r="AF535" i="19"/>
  <c r="AO535" i="19" s="1"/>
  <c r="AJ534" i="19"/>
  <c r="AS534" i="19" s="1"/>
  <c r="AF534" i="19"/>
  <c r="AO534" i="19" s="1"/>
  <c r="AJ533" i="19"/>
  <c r="AS533" i="19" s="1"/>
  <c r="AF533" i="19"/>
  <c r="AO533" i="19" s="1"/>
  <c r="AJ532" i="19"/>
  <c r="AS532" i="19" s="1"/>
  <c r="AF532" i="19"/>
  <c r="AO532" i="19" s="1"/>
  <c r="AJ531" i="19"/>
  <c r="AS531" i="19" s="1"/>
  <c r="AF531" i="19"/>
  <c r="AO531" i="19" s="1"/>
  <c r="AJ530" i="19"/>
  <c r="AS530" i="19" s="1"/>
  <c r="AF530" i="19"/>
  <c r="AO530" i="19" s="1"/>
  <c r="AJ529" i="19"/>
  <c r="AS529" i="19" s="1"/>
  <c r="AF529" i="19"/>
  <c r="AO529" i="19" s="1"/>
  <c r="AJ528" i="19"/>
  <c r="AS528" i="19" s="1"/>
  <c r="AF528" i="19"/>
  <c r="AO528" i="19" s="1"/>
  <c r="AJ527" i="19"/>
  <c r="AS527" i="19" s="1"/>
  <c r="AF527" i="19"/>
  <c r="AO527" i="19" s="1"/>
  <c r="AJ526" i="19"/>
  <c r="AS526" i="19" s="1"/>
  <c r="AF526" i="19"/>
  <c r="AO526" i="19" s="1"/>
  <c r="AJ525" i="19"/>
  <c r="AS525" i="19" s="1"/>
  <c r="AF525" i="19"/>
  <c r="AO525" i="19" s="1"/>
  <c r="AJ524" i="19"/>
  <c r="AS524" i="19" s="1"/>
  <c r="AF524" i="19"/>
  <c r="AO524" i="19" s="1"/>
  <c r="AJ523" i="19"/>
  <c r="AS523" i="19" s="1"/>
  <c r="AF523" i="19"/>
  <c r="AO523" i="19" s="1"/>
  <c r="AJ522" i="19"/>
  <c r="AS522" i="19" s="1"/>
  <c r="AF522" i="19"/>
  <c r="AO522" i="19" s="1"/>
  <c r="AJ521" i="19"/>
  <c r="AS521" i="19" s="1"/>
  <c r="AF521" i="19"/>
  <c r="AO521" i="19" s="1"/>
  <c r="AJ520" i="19"/>
  <c r="AS520" i="19" s="1"/>
  <c r="AF520" i="19"/>
  <c r="AO520" i="19" s="1"/>
  <c r="AJ519" i="19"/>
  <c r="AS519" i="19" s="1"/>
  <c r="AF519" i="19"/>
  <c r="AO519" i="19" s="1"/>
  <c r="AJ518" i="19"/>
  <c r="AS518" i="19" s="1"/>
  <c r="AF518" i="19"/>
  <c r="AO518" i="19" s="1"/>
  <c r="AJ517" i="19"/>
  <c r="AS517" i="19" s="1"/>
  <c r="AF517" i="19"/>
  <c r="AO517" i="19" s="1"/>
  <c r="AJ516" i="19"/>
  <c r="AS516" i="19" s="1"/>
  <c r="AF516" i="19"/>
  <c r="AO516" i="19" s="1"/>
  <c r="AJ515" i="19"/>
  <c r="AS515" i="19" s="1"/>
  <c r="AF515" i="19"/>
  <c r="AO515" i="19" s="1"/>
  <c r="AJ514" i="19"/>
  <c r="AS514" i="19" s="1"/>
  <c r="AF514" i="19"/>
  <c r="AO514" i="19" s="1"/>
  <c r="AJ513" i="19"/>
  <c r="AS513" i="19" s="1"/>
  <c r="AF513" i="19"/>
  <c r="AO513" i="19" s="1"/>
  <c r="AJ512" i="19"/>
  <c r="AS512" i="19" s="1"/>
  <c r="AF512" i="19"/>
  <c r="AO512" i="19" s="1"/>
  <c r="AJ511" i="19"/>
  <c r="AS511" i="19" s="1"/>
  <c r="AF511" i="19"/>
  <c r="AO511" i="19" s="1"/>
  <c r="AJ510" i="19"/>
  <c r="AS510" i="19" s="1"/>
  <c r="AF510" i="19"/>
  <c r="AO510" i="19" s="1"/>
  <c r="AJ509" i="19"/>
  <c r="AS509" i="19" s="1"/>
  <c r="AF509" i="19"/>
  <c r="AO509" i="19" s="1"/>
  <c r="AJ508" i="19"/>
  <c r="AS508" i="19" s="1"/>
  <c r="AF508" i="19"/>
  <c r="AO508" i="19" s="1"/>
  <c r="AJ507" i="19"/>
  <c r="AS507" i="19" s="1"/>
  <c r="AF507" i="19"/>
  <c r="AO507" i="19" s="1"/>
  <c r="AJ506" i="19"/>
  <c r="AS506" i="19" s="1"/>
  <c r="AF506" i="19"/>
  <c r="AO506" i="19" s="1"/>
  <c r="AJ505" i="19"/>
  <c r="AS505" i="19" s="1"/>
  <c r="AF505" i="19"/>
  <c r="AO505" i="19" s="1"/>
  <c r="AJ504" i="19"/>
  <c r="AS504" i="19" s="1"/>
  <c r="AF504" i="19"/>
  <c r="AO504" i="19" s="1"/>
  <c r="AJ503" i="19"/>
  <c r="AS503" i="19" s="1"/>
  <c r="AF503" i="19"/>
  <c r="AO503" i="19" s="1"/>
  <c r="AJ502" i="19"/>
  <c r="AS502" i="19" s="1"/>
  <c r="AF502" i="19"/>
  <c r="AO502" i="19" s="1"/>
  <c r="AJ501" i="19"/>
  <c r="AS501" i="19" s="1"/>
  <c r="AF501" i="19"/>
  <c r="AO501" i="19" s="1"/>
  <c r="AJ500" i="19"/>
  <c r="AS500" i="19" s="1"/>
  <c r="AF500" i="19"/>
  <c r="AO500" i="19" s="1"/>
  <c r="AJ499" i="19"/>
  <c r="AS499" i="19" s="1"/>
  <c r="AF499" i="19"/>
  <c r="AO499" i="19" s="1"/>
  <c r="AJ498" i="19"/>
  <c r="AS498" i="19" s="1"/>
  <c r="AF498" i="19"/>
  <c r="AO498" i="19" s="1"/>
  <c r="AJ497" i="19"/>
  <c r="AS497" i="19" s="1"/>
  <c r="AF497" i="19"/>
  <c r="AO497" i="19" s="1"/>
  <c r="AJ496" i="19"/>
  <c r="AS496" i="19" s="1"/>
  <c r="AF496" i="19"/>
  <c r="AO496" i="19" s="1"/>
  <c r="AJ495" i="19"/>
  <c r="AS495" i="19" s="1"/>
  <c r="AF495" i="19"/>
  <c r="AO495" i="19" s="1"/>
  <c r="AJ494" i="19"/>
  <c r="AS494" i="19" s="1"/>
  <c r="AF494" i="19"/>
  <c r="AO494" i="19" s="1"/>
  <c r="AJ493" i="19"/>
  <c r="AS493" i="19" s="1"/>
  <c r="AF493" i="19"/>
  <c r="AO493" i="19" s="1"/>
  <c r="AJ492" i="19"/>
  <c r="AS492" i="19" s="1"/>
  <c r="AF492" i="19"/>
  <c r="AO492" i="19" s="1"/>
  <c r="AJ491" i="19"/>
  <c r="AS491" i="19" s="1"/>
  <c r="AF491" i="19"/>
  <c r="AO491" i="19" s="1"/>
  <c r="AJ490" i="19"/>
  <c r="AS490" i="19" s="1"/>
  <c r="AF490" i="19"/>
  <c r="AO490" i="19" s="1"/>
  <c r="AJ489" i="19"/>
  <c r="AS489" i="19" s="1"/>
  <c r="AF489" i="19"/>
  <c r="AO489" i="19" s="1"/>
  <c r="AJ488" i="19"/>
  <c r="AS488" i="19" s="1"/>
  <c r="AF488" i="19"/>
  <c r="AO488" i="19" s="1"/>
  <c r="AJ487" i="19"/>
  <c r="AS487" i="19" s="1"/>
  <c r="AF487" i="19"/>
  <c r="AO487" i="19" s="1"/>
  <c r="AJ486" i="19"/>
  <c r="AS486" i="19" s="1"/>
  <c r="AF486" i="19"/>
  <c r="AO486" i="19" s="1"/>
  <c r="AJ485" i="19"/>
  <c r="AS485" i="19" s="1"/>
  <c r="AF485" i="19"/>
  <c r="AO485" i="19" s="1"/>
  <c r="AJ484" i="19"/>
  <c r="AS484" i="19" s="1"/>
  <c r="AF484" i="19"/>
  <c r="AO484" i="19" s="1"/>
  <c r="AJ483" i="19"/>
  <c r="AS483" i="19" s="1"/>
  <c r="AF483" i="19"/>
  <c r="AO483" i="19" s="1"/>
  <c r="AJ482" i="19"/>
  <c r="AS482" i="19" s="1"/>
  <c r="AF482" i="19"/>
  <c r="AO482" i="19" s="1"/>
  <c r="AJ481" i="19"/>
  <c r="AS481" i="19" s="1"/>
  <c r="AF481" i="19"/>
  <c r="AO481" i="19" s="1"/>
  <c r="AJ480" i="19"/>
  <c r="AS480" i="19" s="1"/>
  <c r="AF480" i="19"/>
  <c r="AO480" i="19" s="1"/>
  <c r="AJ479" i="19"/>
  <c r="AS479" i="19" s="1"/>
  <c r="AF479" i="19"/>
  <c r="AO479" i="19" s="1"/>
  <c r="AJ478" i="19"/>
  <c r="AS478" i="19" s="1"/>
  <c r="AF478" i="19"/>
  <c r="AO478" i="19" s="1"/>
  <c r="AJ477" i="19"/>
  <c r="AS477" i="19" s="1"/>
  <c r="AF477" i="19"/>
  <c r="AO477" i="19" s="1"/>
  <c r="AJ445" i="19"/>
  <c r="AS445" i="19" s="1"/>
  <c r="AI1080" i="19"/>
  <c r="AR1080" i="19" s="1"/>
  <c r="AE1080" i="19"/>
  <c r="AN1080" i="19" s="1"/>
  <c r="AI1079" i="19"/>
  <c r="AR1079" i="19" s="1"/>
  <c r="AE1079" i="19"/>
  <c r="AN1079" i="19" s="1"/>
  <c r="AI1078" i="19"/>
  <c r="AR1078" i="19" s="1"/>
  <c r="AE1078" i="19"/>
  <c r="AN1078" i="19" s="1"/>
  <c r="AI1077" i="19"/>
  <c r="AR1077" i="19" s="1"/>
  <c r="AE1077" i="19"/>
  <c r="AN1077" i="19" s="1"/>
  <c r="AI1076" i="19"/>
  <c r="AR1076" i="19" s="1"/>
  <c r="AE1076" i="19"/>
  <c r="AN1076" i="19" s="1"/>
  <c r="AI1075" i="19"/>
  <c r="AR1075" i="19" s="1"/>
  <c r="AE1075" i="19"/>
  <c r="AN1075" i="19" s="1"/>
  <c r="AI1074" i="19"/>
  <c r="AR1074" i="19" s="1"/>
  <c r="AE1074" i="19"/>
  <c r="AN1074" i="19" s="1"/>
  <c r="AI1073" i="19"/>
  <c r="AR1073" i="19" s="1"/>
  <c r="AE1073" i="19"/>
  <c r="AN1073" i="19" s="1"/>
  <c r="AI1072" i="19"/>
  <c r="AR1072" i="19" s="1"/>
  <c r="AE1072" i="19"/>
  <c r="AN1072" i="19" s="1"/>
  <c r="AI1071" i="19"/>
  <c r="AR1071" i="19" s="1"/>
  <c r="AE1071" i="19"/>
  <c r="AN1071" i="19" s="1"/>
  <c r="AI1070" i="19"/>
  <c r="AR1070" i="19" s="1"/>
  <c r="AE1070" i="19"/>
  <c r="AN1070" i="19" s="1"/>
  <c r="AI1069" i="19"/>
  <c r="AR1069" i="19" s="1"/>
  <c r="AE1069" i="19"/>
  <c r="AN1069" i="19" s="1"/>
  <c r="AI1068" i="19"/>
  <c r="AR1068" i="19" s="1"/>
  <c r="AE1068" i="19"/>
  <c r="AN1068" i="19" s="1"/>
  <c r="AI1067" i="19"/>
  <c r="AR1067" i="19" s="1"/>
  <c r="AE1067" i="19"/>
  <c r="AN1067" i="19" s="1"/>
  <c r="AI1066" i="19"/>
  <c r="AR1066" i="19" s="1"/>
  <c r="AE1066" i="19"/>
  <c r="AN1066" i="19" s="1"/>
  <c r="AI1065" i="19"/>
  <c r="AR1065" i="19" s="1"/>
  <c r="AE1065" i="19"/>
  <c r="AN1065" i="19" s="1"/>
  <c r="AI1064" i="19"/>
  <c r="AR1064" i="19" s="1"/>
  <c r="AE1064" i="19"/>
  <c r="AN1064" i="19" s="1"/>
  <c r="AI1063" i="19"/>
  <c r="AR1063" i="19" s="1"/>
  <c r="AE1063" i="19"/>
  <c r="AN1063" i="19" s="1"/>
  <c r="AI1062" i="19"/>
  <c r="AR1062" i="19" s="1"/>
  <c r="AE1062" i="19"/>
  <c r="AN1062" i="19" s="1"/>
  <c r="AI1061" i="19"/>
  <c r="AR1061" i="19" s="1"/>
  <c r="AE1061" i="19"/>
  <c r="AN1061" i="19" s="1"/>
  <c r="AI1060" i="19"/>
  <c r="AR1060" i="19" s="1"/>
  <c r="AE1060" i="19"/>
  <c r="AN1060" i="19" s="1"/>
  <c r="AI1059" i="19"/>
  <c r="AR1059" i="19" s="1"/>
  <c r="AE1059" i="19"/>
  <c r="AN1059" i="19" s="1"/>
  <c r="AI1058" i="19"/>
  <c r="AR1058" i="19" s="1"/>
  <c r="AE1058" i="19"/>
  <c r="AN1058" i="19" s="1"/>
  <c r="AI1057" i="19"/>
  <c r="AR1057" i="19" s="1"/>
  <c r="AE1057" i="19"/>
  <c r="AN1057" i="19" s="1"/>
  <c r="AI1056" i="19"/>
  <c r="AR1056" i="19" s="1"/>
  <c r="AE1056" i="19"/>
  <c r="AN1056" i="19" s="1"/>
  <c r="AI1055" i="19"/>
  <c r="AR1055" i="19" s="1"/>
  <c r="AE1055" i="19"/>
  <c r="AN1055" i="19" s="1"/>
  <c r="AI1054" i="19"/>
  <c r="AR1054" i="19" s="1"/>
  <c r="AE1054" i="19"/>
  <c r="AN1054" i="19" s="1"/>
  <c r="AI1053" i="19"/>
  <c r="AR1053" i="19" s="1"/>
  <c r="AE1053" i="19"/>
  <c r="AN1053" i="19" s="1"/>
  <c r="AI1052" i="19"/>
  <c r="AR1052" i="19" s="1"/>
  <c r="AE1052" i="19"/>
  <c r="AN1052" i="19" s="1"/>
  <c r="AI1051" i="19"/>
  <c r="AR1051" i="19" s="1"/>
  <c r="AE1051" i="19"/>
  <c r="AN1051" i="19" s="1"/>
  <c r="AI1050" i="19"/>
  <c r="AR1050" i="19" s="1"/>
  <c r="AE1050" i="19"/>
  <c r="AN1050" i="19" s="1"/>
  <c r="AI1049" i="19"/>
  <c r="AR1049" i="19" s="1"/>
  <c r="AE1049" i="19"/>
  <c r="AN1049" i="19" s="1"/>
  <c r="AI1048" i="19"/>
  <c r="AR1048" i="19" s="1"/>
  <c r="AE1048" i="19"/>
  <c r="AN1048" i="19" s="1"/>
  <c r="AI1047" i="19"/>
  <c r="AR1047" i="19" s="1"/>
  <c r="AE1047" i="19"/>
  <c r="AN1047" i="19" s="1"/>
  <c r="AI1046" i="19"/>
  <c r="AR1046" i="19" s="1"/>
  <c r="AE1046" i="19"/>
  <c r="AN1046" i="19" s="1"/>
  <c r="AI1045" i="19"/>
  <c r="AR1045" i="19" s="1"/>
  <c r="AE1045" i="19"/>
  <c r="AN1045" i="19" s="1"/>
  <c r="AI1044" i="19"/>
  <c r="AR1044" i="19" s="1"/>
  <c r="AE1044" i="19"/>
  <c r="AN1044" i="19" s="1"/>
  <c r="AI1043" i="19"/>
  <c r="AR1043" i="19" s="1"/>
  <c r="AE1043" i="19"/>
  <c r="AN1043" i="19" s="1"/>
  <c r="AI1042" i="19"/>
  <c r="AR1042" i="19" s="1"/>
  <c r="AE1042" i="19"/>
  <c r="AN1042" i="19" s="1"/>
  <c r="AI1041" i="19"/>
  <c r="AR1041" i="19" s="1"/>
  <c r="AE1041" i="19"/>
  <c r="AN1041" i="19" s="1"/>
  <c r="AI1040" i="19"/>
  <c r="AR1040" i="19" s="1"/>
  <c r="AE1040" i="19"/>
  <c r="AN1040" i="19" s="1"/>
  <c r="AI1039" i="19"/>
  <c r="AR1039" i="19" s="1"/>
  <c r="AE1039" i="19"/>
  <c r="AN1039" i="19" s="1"/>
  <c r="AI1038" i="19"/>
  <c r="AR1038" i="19" s="1"/>
  <c r="AE1038" i="19"/>
  <c r="AN1038" i="19" s="1"/>
  <c r="AI1037" i="19"/>
  <c r="AR1037" i="19" s="1"/>
  <c r="AE1037" i="19"/>
  <c r="AN1037" i="19" s="1"/>
  <c r="AI1036" i="19"/>
  <c r="AR1036" i="19" s="1"/>
  <c r="AE1036" i="19"/>
  <c r="AN1036" i="19" s="1"/>
  <c r="AI1035" i="19"/>
  <c r="AR1035" i="19" s="1"/>
  <c r="AE1035" i="19"/>
  <c r="AN1035" i="19" s="1"/>
  <c r="AI1034" i="19"/>
  <c r="AR1034" i="19" s="1"/>
  <c r="AE1034" i="19"/>
  <c r="AN1034" i="19" s="1"/>
  <c r="AI1033" i="19"/>
  <c r="AR1033" i="19" s="1"/>
  <c r="AE1033" i="19"/>
  <c r="AN1033" i="19" s="1"/>
  <c r="AI1032" i="19"/>
  <c r="AR1032" i="19" s="1"/>
  <c r="AE1032" i="19"/>
  <c r="AN1032" i="19" s="1"/>
  <c r="AI1031" i="19"/>
  <c r="AR1031" i="19" s="1"/>
  <c r="AE1031" i="19"/>
  <c r="AN1031" i="19" s="1"/>
  <c r="AI1030" i="19"/>
  <c r="AR1030" i="19" s="1"/>
  <c r="AE1030" i="19"/>
  <c r="AN1030" i="19" s="1"/>
  <c r="AI1029" i="19"/>
  <c r="AR1029" i="19" s="1"/>
  <c r="AE1029" i="19"/>
  <c r="AN1029" i="19" s="1"/>
  <c r="AI1028" i="19"/>
  <c r="AR1028" i="19" s="1"/>
  <c r="AE1028" i="19"/>
  <c r="AN1028" i="19" s="1"/>
  <c r="AI1027" i="19"/>
  <c r="AR1027" i="19" s="1"/>
  <c r="AE1027" i="19"/>
  <c r="AN1027" i="19" s="1"/>
  <c r="AI1026" i="19"/>
  <c r="AR1026" i="19" s="1"/>
  <c r="AE1026" i="19"/>
  <c r="AN1026" i="19" s="1"/>
  <c r="AI1025" i="19"/>
  <c r="AR1025" i="19" s="1"/>
  <c r="AE1025" i="19"/>
  <c r="AN1025" i="19" s="1"/>
  <c r="AI1024" i="19"/>
  <c r="AR1024" i="19" s="1"/>
  <c r="AE1024" i="19"/>
  <c r="AN1024" i="19" s="1"/>
  <c r="AI1023" i="19"/>
  <c r="AR1023" i="19" s="1"/>
  <c r="AE1023" i="19"/>
  <c r="AN1023" i="19" s="1"/>
  <c r="AI1022" i="19"/>
  <c r="AR1022" i="19" s="1"/>
  <c r="AE1022" i="19"/>
  <c r="AN1022" i="19" s="1"/>
  <c r="AI1021" i="19"/>
  <c r="AR1021" i="19" s="1"/>
  <c r="AE1021" i="19"/>
  <c r="AN1021" i="19" s="1"/>
  <c r="AI1020" i="19"/>
  <c r="AR1020" i="19" s="1"/>
  <c r="AE1020" i="19"/>
  <c r="AN1020" i="19" s="1"/>
  <c r="AI1019" i="19"/>
  <c r="AR1019" i="19" s="1"/>
  <c r="AE1019" i="19"/>
  <c r="AN1019" i="19" s="1"/>
  <c r="AI1018" i="19"/>
  <c r="AR1018" i="19" s="1"/>
  <c r="AE1018" i="19"/>
  <c r="AN1018" i="19" s="1"/>
  <c r="AI1017" i="19"/>
  <c r="AR1017" i="19" s="1"/>
  <c r="AE1017" i="19"/>
  <c r="AN1017" i="19" s="1"/>
  <c r="AI1016" i="19"/>
  <c r="AR1016" i="19" s="1"/>
  <c r="AE1016" i="19"/>
  <c r="AN1016" i="19" s="1"/>
  <c r="AI1015" i="19"/>
  <c r="AR1015" i="19" s="1"/>
  <c r="AE1015" i="19"/>
  <c r="AN1015" i="19" s="1"/>
  <c r="AI1014" i="19"/>
  <c r="AR1014" i="19" s="1"/>
  <c r="AE1014" i="19"/>
  <c r="AN1014" i="19" s="1"/>
  <c r="AI1013" i="19"/>
  <c r="AR1013" i="19" s="1"/>
  <c r="AE1013" i="19"/>
  <c r="AN1013" i="19" s="1"/>
  <c r="AI1012" i="19"/>
  <c r="AR1012" i="19" s="1"/>
  <c r="AE1012" i="19"/>
  <c r="AN1012" i="19" s="1"/>
  <c r="AI1011" i="19"/>
  <c r="AR1011" i="19" s="1"/>
  <c r="AE1011" i="19"/>
  <c r="AN1011" i="19" s="1"/>
  <c r="AI1010" i="19"/>
  <c r="AR1010" i="19" s="1"/>
  <c r="AE1010" i="19"/>
  <c r="AN1010" i="19" s="1"/>
  <c r="AI1009" i="19"/>
  <c r="AR1009" i="19" s="1"/>
  <c r="AE1009" i="19"/>
  <c r="AN1009" i="19" s="1"/>
  <c r="AI1008" i="19"/>
  <c r="AR1008" i="19" s="1"/>
  <c r="AE1008" i="19"/>
  <c r="AN1008" i="19" s="1"/>
  <c r="AI1007" i="19"/>
  <c r="AR1007" i="19" s="1"/>
  <c r="AE1007" i="19"/>
  <c r="AN1007" i="19" s="1"/>
  <c r="AI1006" i="19"/>
  <c r="AR1006" i="19" s="1"/>
  <c r="AE1006" i="19"/>
  <c r="AN1006" i="19" s="1"/>
  <c r="AI1005" i="19"/>
  <c r="AR1005" i="19" s="1"/>
  <c r="AE1005" i="19"/>
  <c r="AN1005" i="19" s="1"/>
  <c r="AI1004" i="19"/>
  <c r="AR1004" i="19" s="1"/>
  <c r="AE1004" i="19"/>
  <c r="AN1004" i="19" s="1"/>
  <c r="AI1003" i="19"/>
  <c r="AR1003" i="19" s="1"/>
  <c r="AE1003" i="19"/>
  <c r="AN1003" i="19" s="1"/>
  <c r="AI1002" i="19"/>
  <c r="AR1002" i="19" s="1"/>
  <c r="AE1002" i="19"/>
  <c r="AN1002" i="19" s="1"/>
  <c r="AI1001" i="19"/>
  <c r="AR1001" i="19" s="1"/>
  <c r="AE1001" i="19"/>
  <c r="AN1001" i="19" s="1"/>
  <c r="AI1000" i="19"/>
  <c r="AR1000" i="19" s="1"/>
  <c r="AE1000" i="19"/>
  <c r="AN1000" i="19" s="1"/>
  <c r="AI999" i="19"/>
  <c r="AR999" i="19" s="1"/>
  <c r="AE999" i="19"/>
  <c r="AN999" i="19" s="1"/>
  <c r="AI998" i="19"/>
  <c r="AR998" i="19" s="1"/>
  <c r="AE998" i="19"/>
  <c r="AN998" i="19" s="1"/>
  <c r="AI997" i="19"/>
  <c r="AR997" i="19" s="1"/>
  <c r="AE997" i="19"/>
  <c r="AN997" i="19" s="1"/>
  <c r="AI996" i="19"/>
  <c r="AR996" i="19" s="1"/>
  <c r="AE996" i="19"/>
  <c r="AN996" i="19" s="1"/>
  <c r="AI995" i="19"/>
  <c r="AR995" i="19" s="1"/>
  <c r="AE995" i="19"/>
  <c r="AN995" i="19" s="1"/>
  <c r="AI994" i="19"/>
  <c r="AR994" i="19" s="1"/>
  <c r="AE994" i="19"/>
  <c r="AN994" i="19" s="1"/>
  <c r="AI993" i="19"/>
  <c r="AR993" i="19" s="1"/>
  <c r="AE993" i="19"/>
  <c r="AN993" i="19" s="1"/>
  <c r="AI992" i="19"/>
  <c r="AR992" i="19" s="1"/>
  <c r="AE992" i="19"/>
  <c r="AN992" i="19" s="1"/>
  <c r="AI991" i="19"/>
  <c r="AR991" i="19" s="1"/>
  <c r="AE991" i="19"/>
  <c r="AN991" i="19" s="1"/>
  <c r="AI990" i="19"/>
  <c r="AR990" i="19" s="1"/>
  <c r="AE990" i="19"/>
  <c r="AN990" i="19" s="1"/>
  <c r="AI989" i="19"/>
  <c r="AR989" i="19" s="1"/>
  <c r="AE989" i="19"/>
  <c r="AN989" i="19" s="1"/>
  <c r="AI988" i="19"/>
  <c r="AR988" i="19" s="1"/>
  <c r="AE988" i="19"/>
  <c r="AN988" i="19" s="1"/>
  <c r="AI987" i="19"/>
  <c r="AR987" i="19" s="1"/>
  <c r="AE987" i="19"/>
  <c r="AN987" i="19" s="1"/>
  <c r="AI986" i="19"/>
  <c r="AR986" i="19" s="1"/>
  <c r="AE986" i="19"/>
  <c r="AN986" i="19" s="1"/>
  <c r="AI985" i="19"/>
  <c r="AR985" i="19" s="1"/>
  <c r="AE985" i="19"/>
  <c r="AN985" i="19" s="1"/>
  <c r="AI984" i="19"/>
  <c r="AR984" i="19" s="1"/>
  <c r="AE984" i="19"/>
  <c r="AN984" i="19" s="1"/>
  <c r="AI983" i="19"/>
  <c r="AR983" i="19" s="1"/>
  <c r="AE983" i="19"/>
  <c r="AN983" i="19" s="1"/>
  <c r="AI982" i="19"/>
  <c r="AR982" i="19" s="1"/>
  <c r="AE982" i="19"/>
  <c r="AN982" i="19" s="1"/>
  <c r="AI981" i="19"/>
  <c r="AR981" i="19" s="1"/>
  <c r="AE981" i="19"/>
  <c r="AN981" i="19" s="1"/>
  <c r="AI980" i="19"/>
  <c r="AR980" i="19" s="1"/>
  <c r="AE980" i="19"/>
  <c r="AN980" i="19" s="1"/>
  <c r="AI979" i="19"/>
  <c r="AR979" i="19" s="1"/>
  <c r="AE979" i="19"/>
  <c r="AN979" i="19" s="1"/>
  <c r="AI978" i="19"/>
  <c r="AR978" i="19" s="1"/>
  <c r="AE978" i="19"/>
  <c r="AN978" i="19" s="1"/>
  <c r="AI977" i="19"/>
  <c r="AR977" i="19" s="1"/>
  <c r="AE977" i="19"/>
  <c r="AN977" i="19" s="1"/>
  <c r="AI976" i="19"/>
  <c r="AR976" i="19" s="1"/>
  <c r="AE976" i="19"/>
  <c r="AN976" i="19" s="1"/>
  <c r="AI975" i="19"/>
  <c r="AR975" i="19" s="1"/>
  <c r="AE975" i="19"/>
  <c r="AN975" i="19" s="1"/>
  <c r="AI974" i="19"/>
  <c r="AR974" i="19" s="1"/>
  <c r="AE974" i="19"/>
  <c r="AN974" i="19" s="1"/>
  <c r="AI973" i="19"/>
  <c r="AR973" i="19" s="1"/>
  <c r="AE973" i="19"/>
  <c r="AN973" i="19" s="1"/>
  <c r="AI972" i="19"/>
  <c r="AR972" i="19" s="1"/>
  <c r="AE972" i="19"/>
  <c r="AN972" i="19" s="1"/>
  <c r="AI971" i="19"/>
  <c r="AR971" i="19" s="1"/>
  <c r="AE971" i="19"/>
  <c r="AN971" i="19" s="1"/>
  <c r="AI970" i="19"/>
  <c r="AR970" i="19" s="1"/>
  <c r="AE970" i="19"/>
  <c r="AN970" i="19" s="1"/>
  <c r="AI969" i="19"/>
  <c r="AR969" i="19" s="1"/>
  <c r="AE969" i="19"/>
  <c r="AN969" i="19" s="1"/>
  <c r="AI968" i="19"/>
  <c r="AR968" i="19" s="1"/>
  <c r="AE968" i="19"/>
  <c r="AN968" i="19" s="1"/>
  <c r="AI967" i="19"/>
  <c r="AR967" i="19" s="1"/>
  <c r="AE967" i="19"/>
  <c r="AN967" i="19" s="1"/>
  <c r="AI966" i="19"/>
  <c r="AR966" i="19" s="1"/>
  <c r="AE966" i="19"/>
  <c r="AN966" i="19" s="1"/>
  <c r="AI965" i="19"/>
  <c r="AR965" i="19" s="1"/>
  <c r="AE965" i="19"/>
  <c r="AN965" i="19" s="1"/>
  <c r="AI964" i="19"/>
  <c r="AR964" i="19" s="1"/>
  <c r="AE964" i="19"/>
  <c r="AN964" i="19" s="1"/>
  <c r="AI963" i="19"/>
  <c r="AR963" i="19" s="1"/>
  <c r="AE963" i="19"/>
  <c r="AN963" i="19" s="1"/>
  <c r="AI962" i="19"/>
  <c r="AR962" i="19" s="1"/>
  <c r="AE962" i="19"/>
  <c r="AN962" i="19" s="1"/>
  <c r="AI961" i="19"/>
  <c r="AR961" i="19" s="1"/>
  <c r="AE961" i="19"/>
  <c r="AN961" i="19" s="1"/>
  <c r="AI960" i="19"/>
  <c r="AR960" i="19" s="1"/>
  <c r="AE960" i="19"/>
  <c r="AN960" i="19" s="1"/>
  <c r="AI959" i="19"/>
  <c r="AR959" i="19" s="1"/>
  <c r="AE959" i="19"/>
  <c r="AN959" i="19" s="1"/>
  <c r="AI958" i="19"/>
  <c r="AR958" i="19" s="1"/>
  <c r="AE958" i="19"/>
  <c r="AN958" i="19" s="1"/>
  <c r="AI957" i="19"/>
  <c r="AR957" i="19" s="1"/>
  <c r="AE957" i="19"/>
  <c r="AN957" i="19" s="1"/>
  <c r="AI956" i="19"/>
  <c r="AR956" i="19" s="1"/>
  <c r="AE956" i="19"/>
  <c r="AN956" i="19" s="1"/>
  <c r="AI955" i="19"/>
  <c r="AR955" i="19" s="1"/>
  <c r="AE955" i="19"/>
  <c r="AN955" i="19" s="1"/>
  <c r="AI954" i="19"/>
  <c r="AR954" i="19" s="1"/>
  <c r="AE954" i="19"/>
  <c r="AN954" i="19" s="1"/>
  <c r="AI953" i="19"/>
  <c r="AR953" i="19" s="1"/>
  <c r="AE953" i="19"/>
  <c r="AN953" i="19" s="1"/>
  <c r="AI952" i="19"/>
  <c r="AR952" i="19" s="1"/>
  <c r="AE952" i="19"/>
  <c r="AN952" i="19" s="1"/>
  <c r="AI951" i="19"/>
  <c r="AR951" i="19" s="1"/>
  <c r="AE951" i="19"/>
  <c r="AN951" i="19" s="1"/>
  <c r="AI950" i="19"/>
  <c r="AR950" i="19" s="1"/>
  <c r="AE950" i="19"/>
  <c r="AN950" i="19" s="1"/>
  <c r="AI949" i="19"/>
  <c r="AR949" i="19" s="1"/>
  <c r="AE949" i="19"/>
  <c r="AN949" i="19" s="1"/>
  <c r="AI948" i="19"/>
  <c r="AR948" i="19" s="1"/>
  <c r="AE948" i="19"/>
  <c r="AN948" i="19" s="1"/>
  <c r="AI947" i="19"/>
  <c r="AR947" i="19" s="1"/>
  <c r="AE947" i="19"/>
  <c r="AN947" i="19" s="1"/>
  <c r="AI946" i="19"/>
  <c r="AR946" i="19" s="1"/>
  <c r="AE946" i="19"/>
  <c r="AN946" i="19" s="1"/>
  <c r="AI945" i="19"/>
  <c r="AR945" i="19" s="1"/>
  <c r="AE945" i="19"/>
  <c r="AN945" i="19" s="1"/>
  <c r="AI944" i="19"/>
  <c r="AR944" i="19" s="1"/>
  <c r="AE944" i="19"/>
  <c r="AN944" i="19" s="1"/>
  <c r="AI943" i="19"/>
  <c r="AR943" i="19" s="1"/>
  <c r="AE943" i="19"/>
  <c r="AN943" i="19" s="1"/>
  <c r="AI942" i="19"/>
  <c r="AR942" i="19" s="1"/>
  <c r="AE942" i="19"/>
  <c r="AN942" i="19" s="1"/>
  <c r="AI941" i="19"/>
  <c r="AR941" i="19" s="1"/>
  <c r="AE941" i="19"/>
  <c r="AN941" i="19" s="1"/>
  <c r="AI940" i="19"/>
  <c r="AR940" i="19" s="1"/>
  <c r="AE940" i="19"/>
  <c r="AN940" i="19" s="1"/>
  <c r="AI939" i="19"/>
  <c r="AR939" i="19" s="1"/>
  <c r="AE939" i="19"/>
  <c r="AN939" i="19" s="1"/>
  <c r="AI938" i="19"/>
  <c r="AR938" i="19" s="1"/>
  <c r="AI937" i="19"/>
  <c r="AR937" i="19" s="1"/>
  <c r="AE937" i="19"/>
  <c r="AN937" i="19" s="1"/>
  <c r="AI936" i="19"/>
  <c r="AR936" i="19" s="1"/>
  <c r="AE936" i="19"/>
  <c r="AN936" i="19" s="1"/>
  <c r="AI935" i="19"/>
  <c r="AR935" i="19" s="1"/>
  <c r="AE935" i="19"/>
  <c r="AN935" i="19" s="1"/>
  <c r="AI934" i="19"/>
  <c r="AR934" i="19" s="1"/>
  <c r="AE934" i="19"/>
  <c r="AN934" i="19" s="1"/>
  <c r="AI933" i="19"/>
  <c r="AR933" i="19" s="1"/>
  <c r="AE933" i="19"/>
  <c r="AN933" i="19" s="1"/>
  <c r="AI932" i="19"/>
  <c r="AR932" i="19" s="1"/>
  <c r="AE932" i="19"/>
  <c r="AN932" i="19" s="1"/>
  <c r="AI931" i="19"/>
  <c r="AR931" i="19" s="1"/>
  <c r="AE931" i="19"/>
  <c r="AN931" i="19" s="1"/>
  <c r="AI930" i="19"/>
  <c r="AR930" i="19" s="1"/>
  <c r="AE930" i="19"/>
  <c r="AN930" i="19" s="1"/>
  <c r="AI929" i="19"/>
  <c r="AR929" i="19" s="1"/>
  <c r="AE929" i="19"/>
  <c r="AN929" i="19" s="1"/>
  <c r="AI928" i="19"/>
  <c r="AR928" i="19" s="1"/>
  <c r="AE928" i="19"/>
  <c r="AN928" i="19" s="1"/>
  <c r="AI927" i="19"/>
  <c r="AR927" i="19" s="1"/>
  <c r="AE927" i="19"/>
  <c r="AN927" i="19" s="1"/>
  <c r="AI926" i="19"/>
  <c r="AR926" i="19" s="1"/>
  <c r="AE926" i="19"/>
  <c r="AN926" i="19" s="1"/>
  <c r="AI925" i="19"/>
  <c r="AR925" i="19" s="1"/>
  <c r="AE925" i="19"/>
  <c r="AN925" i="19" s="1"/>
  <c r="AI924" i="19"/>
  <c r="AR924" i="19" s="1"/>
  <c r="AE924" i="19"/>
  <c r="AN924" i="19" s="1"/>
  <c r="AI923" i="19"/>
  <c r="AR923" i="19" s="1"/>
  <c r="AE923" i="19"/>
  <c r="AN923" i="19" s="1"/>
  <c r="AI922" i="19"/>
  <c r="AR922" i="19" s="1"/>
  <c r="AE922" i="19"/>
  <c r="AN922" i="19" s="1"/>
  <c r="AI921" i="19"/>
  <c r="AR921" i="19" s="1"/>
  <c r="AE921" i="19"/>
  <c r="AN921" i="19" s="1"/>
  <c r="AI920" i="19"/>
  <c r="AR920" i="19" s="1"/>
  <c r="AE920" i="19"/>
  <c r="AN920" i="19" s="1"/>
  <c r="AI919" i="19"/>
  <c r="AR919" i="19" s="1"/>
  <c r="AE919" i="19"/>
  <c r="AN919" i="19" s="1"/>
  <c r="AI918" i="19"/>
  <c r="AR918" i="19" s="1"/>
  <c r="AE918" i="19"/>
  <c r="AN918" i="19" s="1"/>
  <c r="AI917" i="19"/>
  <c r="AR917" i="19" s="1"/>
  <c r="AE917" i="19"/>
  <c r="AN917" i="19" s="1"/>
  <c r="AI916" i="19"/>
  <c r="AR916" i="19" s="1"/>
  <c r="AE916" i="19"/>
  <c r="AN916" i="19" s="1"/>
  <c r="AI915" i="19"/>
  <c r="AR915" i="19" s="1"/>
  <c r="AE915" i="19"/>
  <c r="AN915" i="19" s="1"/>
  <c r="AI914" i="19"/>
  <c r="AR914" i="19" s="1"/>
  <c r="AE914" i="19"/>
  <c r="AN914" i="19" s="1"/>
  <c r="AI913" i="19"/>
  <c r="AR913" i="19" s="1"/>
  <c r="AE913" i="19"/>
  <c r="AN913" i="19" s="1"/>
  <c r="AI912" i="19"/>
  <c r="AR912" i="19" s="1"/>
  <c r="AE912" i="19"/>
  <c r="AN912" i="19" s="1"/>
  <c r="AI911" i="19"/>
  <c r="AR911" i="19" s="1"/>
  <c r="AE911" i="19"/>
  <c r="AN911" i="19" s="1"/>
  <c r="AI910" i="19"/>
  <c r="AR910" i="19" s="1"/>
  <c r="AE910" i="19"/>
  <c r="AN910" i="19" s="1"/>
  <c r="AI909" i="19"/>
  <c r="AR909" i="19" s="1"/>
  <c r="AE909" i="19"/>
  <c r="AN909" i="19" s="1"/>
  <c r="AI908" i="19"/>
  <c r="AR908" i="19" s="1"/>
  <c r="AE908" i="19"/>
  <c r="AN908" i="19" s="1"/>
  <c r="AI907" i="19"/>
  <c r="AR907" i="19" s="1"/>
  <c r="AE907" i="19"/>
  <c r="AN907" i="19" s="1"/>
  <c r="AI906" i="19"/>
  <c r="AR906" i="19" s="1"/>
  <c r="AI905" i="19"/>
  <c r="AR905" i="19" s="1"/>
  <c r="AE905" i="19"/>
  <c r="AN905" i="19" s="1"/>
  <c r="AI904" i="19"/>
  <c r="AR904" i="19" s="1"/>
  <c r="AE904" i="19"/>
  <c r="AN904" i="19" s="1"/>
  <c r="AI903" i="19"/>
  <c r="AR903" i="19" s="1"/>
  <c r="AE903" i="19"/>
  <c r="AN903" i="19" s="1"/>
  <c r="AI902" i="19"/>
  <c r="AR902" i="19" s="1"/>
  <c r="AE902" i="19"/>
  <c r="AN902" i="19" s="1"/>
  <c r="AI901" i="19"/>
  <c r="AR901" i="19" s="1"/>
  <c r="AE901" i="19"/>
  <c r="AN901" i="19" s="1"/>
  <c r="AI900" i="19"/>
  <c r="AR900" i="19" s="1"/>
  <c r="AE900" i="19"/>
  <c r="AN900" i="19" s="1"/>
  <c r="AI899" i="19"/>
  <c r="AR899" i="19" s="1"/>
  <c r="AE899" i="19"/>
  <c r="AN899" i="19" s="1"/>
  <c r="AI898" i="19"/>
  <c r="AR898" i="19" s="1"/>
  <c r="AE898" i="19"/>
  <c r="AN898" i="19" s="1"/>
  <c r="AI897" i="19"/>
  <c r="AR897" i="19" s="1"/>
  <c r="AE897" i="19"/>
  <c r="AN897" i="19" s="1"/>
  <c r="AI896" i="19"/>
  <c r="AR896" i="19" s="1"/>
  <c r="AE896" i="19"/>
  <c r="AN896" i="19" s="1"/>
  <c r="AI895" i="19"/>
  <c r="AR895" i="19" s="1"/>
  <c r="AE895" i="19"/>
  <c r="AN895" i="19" s="1"/>
  <c r="AI894" i="19"/>
  <c r="AR894" i="19" s="1"/>
  <c r="AE894" i="19"/>
  <c r="AN894" i="19" s="1"/>
  <c r="AI893" i="19"/>
  <c r="AR893" i="19" s="1"/>
  <c r="AE893" i="19"/>
  <c r="AN893" i="19" s="1"/>
  <c r="AI892" i="19"/>
  <c r="AR892" i="19" s="1"/>
  <c r="AE892" i="19"/>
  <c r="AN892" i="19" s="1"/>
  <c r="AI891" i="19"/>
  <c r="AR891" i="19" s="1"/>
  <c r="AE891" i="19"/>
  <c r="AN891" i="19" s="1"/>
  <c r="AI890" i="19"/>
  <c r="AR890" i="19" s="1"/>
  <c r="AE890" i="19"/>
  <c r="AN890" i="19" s="1"/>
  <c r="AI889" i="19"/>
  <c r="AR889" i="19" s="1"/>
  <c r="AE889" i="19"/>
  <c r="AN889" i="19" s="1"/>
  <c r="AI888" i="19"/>
  <c r="AR888" i="19" s="1"/>
  <c r="AE888" i="19"/>
  <c r="AN888" i="19" s="1"/>
  <c r="AI887" i="19"/>
  <c r="AR887" i="19" s="1"/>
  <c r="AE887" i="19"/>
  <c r="AN887" i="19" s="1"/>
  <c r="AI886" i="19"/>
  <c r="AR886" i="19" s="1"/>
  <c r="AE886" i="19"/>
  <c r="AN886" i="19" s="1"/>
  <c r="AI885" i="19"/>
  <c r="AR885" i="19" s="1"/>
  <c r="AE885" i="19"/>
  <c r="AN885" i="19" s="1"/>
  <c r="AI884" i="19"/>
  <c r="AR884" i="19" s="1"/>
  <c r="AE884" i="19"/>
  <c r="AN884" i="19" s="1"/>
  <c r="AI883" i="19"/>
  <c r="AR883" i="19" s="1"/>
  <c r="AE883" i="19"/>
  <c r="AN883" i="19" s="1"/>
  <c r="AI882" i="19"/>
  <c r="AR882" i="19" s="1"/>
  <c r="AE882" i="19"/>
  <c r="AN882" i="19" s="1"/>
  <c r="AI881" i="19"/>
  <c r="AR881" i="19" s="1"/>
  <c r="AE881" i="19"/>
  <c r="AN881" i="19" s="1"/>
  <c r="AI880" i="19"/>
  <c r="AR880" i="19" s="1"/>
  <c r="AE880" i="19"/>
  <c r="AN880" i="19" s="1"/>
  <c r="AI879" i="19"/>
  <c r="AR879" i="19" s="1"/>
  <c r="AE879" i="19"/>
  <c r="AN879" i="19" s="1"/>
  <c r="AI878" i="19"/>
  <c r="AR878" i="19" s="1"/>
  <c r="AE878" i="19"/>
  <c r="AN878" i="19" s="1"/>
  <c r="AI877" i="19"/>
  <c r="AR877" i="19" s="1"/>
  <c r="AE877" i="19"/>
  <c r="AN877" i="19" s="1"/>
  <c r="AI876" i="19"/>
  <c r="AR876" i="19" s="1"/>
  <c r="AE876" i="19"/>
  <c r="AN876" i="19" s="1"/>
  <c r="AI875" i="19"/>
  <c r="AR875" i="19" s="1"/>
  <c r="AE875" i="19"/>
  <c r="AN875" i="19" s="1"/>
  <c r="AI874" i="19"/>
  <c r="AR874" i="19" s="1"/>
  <c r="AI873" i="19"/>
  <c r="AR873" i="19" s="1"/>
  <c r="AE873" i="19"/>
  <c r="AN873" i="19" s="1"/>
  <c r="AI872" i="19"/>
  <c r="AR872" i="19" s="1"/>
  <c r="AE872" i="19"/>
  <c r="AN872" i="19" s="1"/>
  <c r="AI871" i="19"/>
  <c r="AR871" i="19" s="1"/>
  <c r="AE871" i="19"/>
  <c r="AN871" i="19" s="1"/>
  <c r="AI870" i="19"/>
  <c r="AR870" i="19" s="1"/>
  <c r="AE870" i="19"/>
  <c r="AN870" i="19" s="1"/>
  <c r="AI869" i="19"/>
  <c r="AR869" i="19" s="1"/>
  <c r="AE869" i="19"/>
  <c r="AN869" i="19" s="1"/>
  <c r="AI868" i="19"/>
  <c r="AR868" i="19" s="1"/>
  <c r="AE868" i="19"/>
  <c r="AN868" i="19" s="1"/>
  <c r="AI867" i="19"/>
  <c r="AR867" i="19" s="1"/>
  <c r="AE867" i="19"/>
  <c r="AN867" i="19" s="1"/>
  <c r="AI866" i="19"/>
  <c r="AR866" i="19" s="1"/>
  <c r="AE866" i="19"/>
  <c r="AN866" i="19" s="1"/>
  <c r="AI865" i="19"/>
  <c r="AR865" i="19" s="1"/>
  <c r="AE865" i="19"/>
  <c r="AN865" i="19" s="1"/>
  <c r="AI864" i="19"/>
  <c r="AR864" i="19" s="1"/>
  <c r="AE864" i="19"/>
  <c r="AN864" i="19" s="1"/>
  <c r="AI863" i="19"/>
  <c r="AR863" i="19" s="1"/>
  <c r="AE863" i="19"/>
  <c r="AN863" i="19" s="1"/>
  <c r="AI862" i="19"/>
  <c r="AR862" i="19" s="1"/>
  <c r="AE862" i="19"/>
  <c r="AN862" i="19" s="1"/>
  <c r="AI861" i="19"/>
  <c r="AR861" i="19" s="1"/>
  <c r="AE861" i="19"/>
  <c r="AN861" i="19" s="1"/>
  <c r="AI860" i="19"/>
  <c r="AR860" i="19" s="1"/>
  <c r="AE860" i="19"/>
  <c r="AN860" i="19" s="1"/>
  <c r="AI859" i="19"/>
  <c r="AR859" i="19" s="1"/>
  <c r="AE859" i="19"/>
  <c r="AN859" i="19" s="1"/>
  <c r="AI858" i="19"/>
  <c r="AR858" i="19" s="1"/>
  <c r="AE858" i="19"/>
  <c r="AN858" i="19" s="1"/>
  <c r="AI857" i="19"/>
  <c r="AR857" i="19" s="1"/>
  <c r="AE857" i="19"/>
  <c r="AN857" i="19" s="1"/>
  <c r="AI856" i="19"/>
  <c r="AR856" i="19" s="1"/>
  <c r="AE856" i="19"/>
  <c r="AN856" i="19" s="1"/>
  <c r="AI855" i="19"/>
  <c r="AR855" i="19" s="1"/>
  <c r="AE855" i="19"/>
  <c r="AN855" i="19" s="1"/>
  <c r="AI854" i="19"/>
  <c r="AR854" i="19" s="1"/>
  <c r="AE854" i="19"/>
  <c r="AN854" i="19" s="1"/>
  <c r="AI853" i="19"/>
  <c r="AR853" i="19" s="1"/>
  <c r="AE853" i="19"/>
  <c r="AN853" i="19" s="1"/>
  <c r="AI852" i="19"/>
  <c r="AR852" i="19" s="1"/>
  <c r="AE852" i="19"/>
  <c r="AN852" i="19" s="1"/>
  <c r="AI851" i="19"/>
  <c r="AR851" i="19" s="1"/>
  <c r="AE851" i="19"/>
  <c r="AN851" i="19" s="1"/>
  <c r="AI850" i="19"/>
  <c r="AR850" i="19" s="1"/>
  <c r="AE850" i="19"/>
  <c r="AN850" i="19" s="1"/>
  <c r="AI849" i="19"/>
  <c r="AR849" i="19" s="1"/>
  <c r="AE849" i="19"/>
  <c r="AN849" i="19" s="1"/>
  <c r="AI848" i="19"/>
  <c r="AR848" i="19" s="1"/>
  <c r="AE848" i="19"/>
  <c r="AN848" i="19" s="1"/>
  <c r="AI847" i="19"/>
  <c r="AR847" i="19" s="1"/>
  <c r="AE847" i="19"/>
  <c r="AN847" i="19" s="1"/>
  <c r="AI846" i="19"/>
  <c r="AR846" i="19" s="1"/>
  <c r="AE846" i="19"/>
  <c r="AN846" i="19" s="1"/>
  <c r="AI845" i="19"/>
  <c r="AR845" i="19" s="1"/>
  <c r="AE845" i="19"/>
  <c r="AN845" i="19" s="1"/>
  <c r="AI844" i="19"/>
  <c r="AR844" i="19" s="1"/>
  <c r="AE844" i="19"/>
  <c r="AN844" i="19" s="1"/>
  <c r="AI843" i="19"/>
  <c r="AR843" i="19" s="1"/>
  <c r="AE843" i="19"/>
  <c r="AN843" i="19" s="1"/>
  <c r="AI842" i="19"/>
  <c r="AR842" i="19" s="1"/>
  <c r="AI841" i="19"/>
  <c r="AR841" i="19" s="1"/>
  <c r="AE841" i="19"/>
  <c r="AN841" i="19" s="1"/>
  <c r="AI840" i="19"/>
  <c r="AR840" i="19" s="1"/>
  <c r="AE840" i="19"/>
  <c r="AN840" i="19" s="1"/>
  <c r="AI839" i="19"/>
  <c r="AR839" i="19" s="1"/>
  <c r="AE839" i="19"/>
  <c r="AN839" i="19" s="1"/>
  <c r="AI838" i="19"/>
  <c r="AR838" i="19" s="1"/>
  <c r="AE838" i="19"/>
  <c r="AN838" i="19" s="1"/>
  <c r="AI837" i="19"/>
  <c r="AR837" i="19" s="1"/>
  <c r="AE837" i="19"/>
  <c r="AN837" i="19" s="1"/>
  <c r="AI836" i="19"/>
  <c r="AR836" i="19" s="1"/>
  <c r="AE836" i="19"/>
  <c r="AN836" i="19" s="1"/>
  <c r="AI835" i="19"/>
  <c r="AR835" i="19" s="1"/>
  <c r="AE835" i="19"/>
  <c r="AN835" i="19" s="1"/>
  <c r="AI834" i="19"/>
  <c r="AR834" i="19" s="1"/>
  <c r="AE834" i="19"/>
  <c r="AN834" i="19" s="1"/>
  <c r="AI833" i="19"/>
  <c r="AR833" i="19" s="1"/>
  <c r="AE833" i="19"/>
  <c r="AN833" i="19" s="1"/>
  <c r="AI832" i="19"/>
  <c r="AR832" i="19" s="1"/>
  <c r="AE832" i="19"/>
  <c r="AN832" i="19" s="1"/>
  <c r="AI831" i="19"/>
  <c r="AR831" i="19" s="1"/>
  <c r="AE831" i="19"/>
  <c r="AN831" i="19" s="1"/>
  <c r="AI830" i="19"/>
  <c r="AR830" i="19" s="1"/>
  <c r="AE830" i="19"/>
  <c r="AN830" i="19" s="1"/>
  <c r="AI829" i="19"/>
  <c r="AR829" i="19" s="1"/>
  <c r="AE829" i="19"/>
  <c r="AN829" i="19" s="1"/>
  <c r="AI828" i="19"/>
  <c r="AR828" i="19" s="1"/>
  <c r="AE828" i="19"/>
  <c r="AN828" i="19" s="1"/>
  <c r="AE826" i="19"/>
  <c r="AN826" i="19" s="1"/>
  <c r="AE818" i="19"/>
  <c r="AN818" i="19" s="1"/>
  <c r="AE802" i="19"/>
  <c r="AN802" i="19" s="1"/>
  <c r="AE794" i="19"/>
  <c r="AN794" i="19" s="1"/>
  <c r="AE786" i="19"/>
  <c r="AN786" i="19" s="1"/>
  <c r="AE770" i="19"/>
  <c r="AN770" i="19" s="1"/>
  <c r="AH1080" i="19"/>
  <c r="AQ1080" i="19" s="1"/>
  <c r="AD1080" i="19"/>
  <c r="AM1080" i="19" s="1"/>
  <c r="AH1079" i="19"/>
  <c r="AQ1079" i="19" s="1"/>
  <c r="AD1079" i="19"/>
  <c r="AM1079" i="19" s="1"/>
  <c r="AH1078" i="19"/>
  <c r="AQ1078" i="19" s="1"/>
  <c r="AD1078" i="19"/>
  <c r="AM1078" i="19" s="1"/>
  <c r="AH1077" i="19"/>
  <c r="AQ1077" i="19" s="1"/>
  <c r="AD1077" i="19"/>
  <c r="AM1077" i="19" s="1"/>
  <c r="AH1076" i="19"/>
  <c r="AQ1076" i="19" s="1"/>
  <c r="AD1076" i="19"/>
  <c r="AM1076" i="19" s="1"/>
  <c r="AH1075" i="19"/>
  <c r="AQ1075" i="19" s="1"/>
  <c r="AD1075" i="19"/>
  <c r="AM1075" i="19" s="1"/>
  <c r="AH1074" i="19"/>
  <c r="AQ1074" i="19" s="1"/>
  <c r="AD1074" i="19"/>
  <c r="AM1074" i="19" s="1"/>
  <c r="AH1073" i="19"/>
  <c r="AQ1073" i="19" s="1"/>
  <c r="AD1073" i="19"/>
  <c r="AM1073" i="19" s="1"/>
  <c r="AH1072" i="19"/>
  <c r="AQ1072" i="19" s="1"/>
  <c r="AD1072" i="19"/>
  <c r="AM1072" i="19" s="1"/>
  <c r="AH1071" i="19"/>
  <c r="AQ1071" i="19" s="1"/>
  <c r="AD1071" i="19"/>
  <c r="AM1071" i="19" s="1"/>
  <c r="AH1070" i="19"/>
  <c r="AQ1070" i="19" s="1"/>
  <c r="AD1070" i="19"/>
  <c r="AM1070" i="19" s="1"/>
  <c r="AH1069" i="19"/>
  <c r="AQ1069" i="19" s="1"/>
  <c r="AD1069" i="19"/>
  <c r="AM1069" i="19" s="1"/>
  <c r="AH1068" i="19"/>
  <c r="AQ1068" i="19" s="1"/>
  <c r="AD1068" i="19"/>
  <c r="AM1068" i="19" s="1"/>
  <c r="AH1067" i="19"/>
  <c r="AQ1067" i="19" s="1"/>
  <c r="AD1067" i="19"/>
  <c r="AM1067" i="19" s="1"/>
  <c r="AH1066" i="19"/>
  <c r="AQ1066" i="19" s="1"/>
  <c r="AD1066" i="19"/>
  <c r="AM1066" i="19" s="1"/>
  <c r="AH1065" i="19"/>
  <c r="AQ1065" i="19" s="1"/>
  <c r="AD1065" i="19"/>
  <c r="AM1065" i="19" s="1"/>
  <c r="AH1064" i="19"/>
  <c r="AQ1064" i="19" s="1"/>
  <c r="AD1064" i="19"/>
  <c r="AM1064" i="19" s="1"/>
  <c r="AH1063" i="19"/>
  <c r="AQ1063" i="19" s="1"/>
  <c r="AD1063" i="19"/>
  <c r="AM1063" i="19" s="1"/>
  <c r="AH1062" i="19"/>
  <c r="AQ1062" i="19" s="1"/>
  <c r="AD1062" i="19"/>
  <c r="AM1062" i="19" s="1"/>
  <c r="AH1061" i="19"/>
  <c r="AQ1061" i="19" s="1"/>
  <c r="AD1061" i="19"/>
  <c r="AM1061" i="19" s="1"/>
  <c r="AH1060" i="19"/>
  <c r="AQ1060" i="19" s="1"/>
  <c r="AD1060" i="19"/>
  <c r="AM1060" i="19" s="1"/>
  <c r="AH1059" i="19"/>
  <c r="AQ1059" i="19" s="1"/>
  <c r="AD1059" i="19"/>
  <c r="AM1059" i="19" s="1"/>
  <c r="AH1058" i="19"/>
  <c r="AQ1058" i="19" s="1"/>
  <c r="AD1058" i="19"/>
  <c r="AM1058" i="19" s="1"/>
  <c r="AH1057" i="19"/>
  <c r="AQ1057" i="19" s="1"/>
  <c r="AD1057" i="19"/>
  <c r="AM1057" i="19" s="1"/>
  <c r="AH1056" i="19"/>
  <c r="AQ1056" i="19" s="1"/>
  <c r="AD1056" i="19"/>
  <c r="AM1056" i="19" s="1"/>
  <c r="AH1055" i="19"/>
  <c r="AQ1055" i="19" s="1"/>
  <c r="AD1055" i="19"/>
  <c r="AM1055" i="19" s="1"/>
  <c r="AH1054" i="19"/>
  <c r="AQ1054" i="19" s="1"/>
  <c r="AD1054" i="19"/>
  <c r="AM1054" i="19" s="1"/>
  <c r="AH1053" i="19"/>
  <c r="AQ1053" i="19" s="1"/>
  <c r="AD1053" i="19"/>
  <c r="AM1053" i="19" s="1"/>
  <c r="AH1052" i="19"/>
  <c r="AQ1052" i="19" s="1"/>
  <c r="AD1052" i="19"/>
  <c r="AM1052" i="19" s="1"/>
  <c r="AH1051" i="19"/>
  <c r="AQ1051" i="19" s="1"/>
  <c r="AD1051" i="19"/>
  <c r="AM1051" i="19" s="1"/>
  <c r="AH1050" i="19"/>
  <c r="AQ1050" i="19" s="1"/>
  <c r="AD1050" i="19"/>
  <c r="AM1050" i="19" s="1"/>
  <c r="AH1049" i="19"/>
  <c r="AQ1049" i="19" s="1"/>
  <c r="AD1049" i="19"/>
  <c r="AM1049" i="19" s="1"/>
  <c r="AH1048" i="19"/>
  <c r="AQ1048" i="19" s="1"/>
  <c r="AD1048" i="19"/>
  <c r="AM1048" i="19" s="1"/>
  <c r="AH1047" i="19"/>
  <c r="AQ1047" i="19" s="1"/>
  <c r="AD1047" i="19"/>
  <c r="AM1047" i="19" s="1"/>
  <c r="AH1046" i="19"/>
  <c r="AQ1046" i="19" s="1"/>
  <c r="AD1046" i="19"/>
  <c r="AM1046" i="19" s="1"/>
  <c r="AH1045" i="19"/>
  <c r="AQ1045" i="19" s="1"/>
  <c r="AD1045" i="19"/>
  <c r="AM1045" i="19" s="1"/>
  <c r="AH1044" i="19"/>
  <c r="AQ1044" i="19" s="1"/>
  <c r="AD1044" i="19"/>
  <c r="AM1044" i="19" s="1"/>
  <c r="AH1043" i="19"/>
  <c r="AQ1043" i="19" s="1"/>
  <c r="AD1043" i="19"/>
  <c r="AM1043" i="19" s="1"/>
  <c r="AH1042" i="19"/>
  <c r="AQ1042" i="19" s="1"/>
  <c r="AD1042" i="19"/>
  <c r="AM1042" i="19" s="1"/>
  <c r="AH1041" i="19"/>
  <c r="AQ1041" i="19" s="1"/>
  <c r="AD1041" i="19"/>
  <c r="AM1041" i="19" s="1"/>
  <c r="AH1040" i="19"/>
  <c r="AQ1040" i="19" s="1"/>
  <c r="AD1040" i="19"/>
  <c r="AM1040" i="19" s="1"/>
  <c r="AH1039" i="19"/>
  <c r="AQ1039" i="19" s="1"/>
  <c r="AD1039" i="19"/>
  <c r="AM1039" i="19" s="1"/>
  <c r="AH1038" i="19"/>
  <c r="AQ1038" i="19" s="1"/>
  <c r="AD1038" i="19"/>
  <c r="AM1038" i="19" s="1"/>
  <c r="AH1037" i="19"/>
  <c r="AQ1037" i="19" s="1"/>
  <c r="AD1037" i="19"/>
  <c r="AM1037" i="19" s="1"/>
  <c r="AH1036" i="19"/>
  <c r="AQ1036" i="19" s="1"/>
  <c r="AD1036" i="19"/>
  <c r="AM1036" i="19" s="1"/>
  <c r="AH1035" i="19"/>
  <c r="AQ1035" i="19" s="1"/>
  <c r="AD1035" i="19"/>
  <c r="AM1035" i="19" s="1"/>
  <c r="AH1034" i="19"/>
  <c r="AQ1034" i="19" s="1"/>
  <c r="AD1034" i="19"/>
  <c r="AM1034" i="19" s="1"/>
  <c r="AH1033" i="19"/>
  <c r="AQ1033" i="19" s="1"/>
  <c r="AD1033" i="19"/>
  <c r="AM1033" i="19" s="1"/>
  <c r="AH1032" i="19"/>
  <c r="AQ1032" i="19" s="1"/>
  <c r="AD1032" i="19"/>
  <c r="AM1032" i="19" s="1"/>
  <c r="AH1031" i="19"/>
  <c r="AQ1031" i="19" s="1"/>
  <c r="AD1031" i="19"/>
  <c r="AM1031" i="19" s="1"/>
  <c r="AH1030" i="19"/>
  <c r="AQ1030" i="19" s="1"/>
  <c r="AD1030" i="19"/>
  <c r="AM1030" i="19" s="1"/>
  <c r="AH1029" i="19"/>
  <c r="AQ1029" i="19" s="1"/>
  <c r="AD1029" i="19"/>
  <c r="AM1029" i="19" s="1"/>
  <c r="AH1028" i="19"/>
  <c r="AQ1028" i="19" s="1"/>
  <c r="AD1028" i="19"/>
  <c r="AM1028" i="19" s="1"/>
  <c r="AH1027" i="19"/>
  <c r="AQ1027" i="19" s="1"/>
  <c r="AD1027" i="19"/>
  <c r="AM1027" i="19" s="1"/>
  <c r="AH1026" i="19"/>
  <c r="AQ1026" i="19" s="1"/>
  <c r="AD1026" i="19"/>
  <c r="AM1026" i="19" s="1"/>
  <c r="AH1025" i="19"/>
  <c r="AQ1025" i="19" s="1"/>
  <c r="AD1025" i="19"/>
  <c r="AM1025" i="19" s="1"/>
  <c r="AH1024" i="19"/>
  <c r="AQ1024" i="19" s="1"/>
  <c r="AD1024" i="19"/>
  <c r="AM1024" i="19" s="1"/>
  <c r="AH1023" i="19"/>
  <c r="AQ1023" i="19" s="1"/>
  <c r="AD1023" i="19"/>
  <c r="AM1023" i="19" s="1"/>
  <c r="AH1022" i="19"/>
  <c r="AQ1022" i="19" s="1"/>
  <c r="AD1022" i="19"/>
  <c r="AM1022" i="19" s="1"/>
  <c r="AH1021" i="19"/>
  <c r="AQ1021" i="19" s="1"/>
  <c r="AD1021" i="19"/>
  <c r="AM1021" i="19" s="1"/>
  <c r="AH1020" i="19"/>
  <c r="AQ1020" i="19" s="1"/>
  <c r="AD1020" i="19"/>
  <c r="AM1020" i="19" s="1"/>
  <c r="AH1019" i="19"/>
  <c r="AQ1019" i="19" s="1"/>
  <c r="AD1019" i="19"/>
  <c r="AM1019" i="19" s="1"/>
  <c r="AH1018" i="19"/>
  <c r="AQ1018" i="19" s="1"/>
  <c r="AD1018" i="19"/>
  <c r="AM1018" i="19" s="1"/>
  <c r="AH1017" i="19"/>
  <c r="AQ1017" i="19" s="1"/>
  <c r="AD1017" i="19"/>
  <c r="AM1017" i="19" s="1"/>
  <c r="AH1016" i="19"/>
  <c r="AQ1016" i="19" s="1"/>
  <c r="AD1016" i="19"/>
  <c r="AM1016" i="19" s="1"/>
  <c r="AH1015" i="19"/>
  <c r="AQ1015" i="19" s="1"/>
  <c r="AD1015" i="19"/>
  <c r="AM1015" i="19" s="1"/>
  <c r="AH1014" i="19"/>
  <c r="AQ1014" i="19" s="1"/>
  <c r="AD1014" i="19"/>
  <c r="AM1014" i="19" s="1"/>
  <c r="AH1013" i="19"/>
  <c r="AQ1013" i="19" s="1"/>
  <c r="AD1013" i="19"/>
  <c r="AM1013" i="19" s="1"/>
  <c r="AH1012" i="19"/>
  <c r="AQ1012" i="19" s="1"/>
  <c r="AD1012" i="19"/>
  <c r="AM1012" i="19" s="1"/>
  <c r="AH1011" i="19"/>
  <c r="AQ1011" i="19" s="1"/>
  <c r="AD1011" i="19"/>
  <c r="AM1011" i="19" s="1"/>
  <c r="AH1010" i="19"/>
  <c r="AQ1010" i="19" s="1"/>
  <c r="AD1010" i="19"/>
  <c r="AM1010" i="19" s="1"/>
  <c r="AH1009" i="19"/>
  <c r="AQ1009" i="19" s="1"/>
  <c r="AD1009" i="19"/>
  <c r="AM1009" i="19" s="1"/>
  <c r="AH1008" i="19"/>
  <c r="AQ1008" i="19" s="1"/>
  <c r="AD1008" i="19"/>
  <c r="AM1008" i="19" s="1"/>
  <c r="AH1007" i="19"/>
  <c r="AQ1007" i="19" s="1"/>
  <c r="AD1007" i="19"/>
  <c r="AM1007" i="19" s="1"/>
  <c r="AH1006" i="19"/>
  <c r="AQ1006" i="19" s="1"/>
  <c r="AD1006" i="19"/>
  <c r="AM1006" i="19" s="1"/>
  <c r="AH1005" i="19"/>
  <c r="AQ1005" i="19" s="1"/>
  <c r="AD1005" i="19"/>
  <c r="AM1005" i="19" s="1"/>
  <c r="AH1004" i="19"/>
  <c r="AQ1004" i="19" s="1"/>
  <c r="AD1004" i="19"/>
  <c r="AM1004" i="19" s="1"/>
  <c r="AH1003" i="19"/>
  <c r="AQ1003" i="19" s="1"/>
  <c r="AD1003" i="19"/>
  <c r="AM1003" i="19" s="1"/>
  <c r="AH1002" i="19"/>
  <c r="AQ1002" i="19" s="1"/>
  <c r="AD1002" i="19"/>
  <c r="AM1002" i="19" s="1"/>
  <c r="AH1001" i="19"/>
  <c r="AQ1001" i="19" s="1"/>
  <c r="AD1001" i="19"/>
  <c r="AM1001" i="19" s="1"/>
  <c r="AH1000" i="19"/>
  <c r="AQ1000" i="19" s="1"/>
  <c r="AD1000" i="19"/>
  <c r="AM1000" i="19" s="1"/>
  <c r="AH999" i="19"/>
  <c r="AQ999" i="19" s="1"/>
  <c r="AD999" i="19"/>
  <c r="AM999" i="19" s="1"/>
  <c r="AH998" i="19"/>
  <c r="AQ998" i="19" s="1"/>
  <c r="AD998" i="19"/>
  <c r="AM998" i="19" s="1"/>
  <c r="AH997" i="19"/>
  <c r="AQ997" i="19" s="1"/>
  <c r="AD997" i="19"/>
  <c r="AM997" i="19" s="1"/>
  <c r="AH996" i="19"/>
  <c r="AQ996" i="19" s="1"/>
  <c r="AD996" i="19"/>
  <c r="AM996" i="19" s="1"/>
  <c r="AH995" i="19"/>
  <c r="AQ995" i="19" s="1"/>
  <c r="AD995" i="19"/>
  <c r="AM995" i="19" s="1"/>
  <c r="AH994" i="19"/>
  <c r="AQ994" i="19" s="1"/>
  <c r="AD994" i="19"/>
  <c r="AM994" i="19" s="1"/>
  <c r="AH993" i="19"/>
  <c r="AQ993" i="19" s="1"/>
  <c r="AD993" i="19"/>
  <c r="AM993" i="19" s="1"/>
  <c r="AH992" i="19"/>
  <c r="AQ992" i="19" s="1"/>
  <c r="AD992" i="19"/>
  <c r="AM992" i="19" s="1"/>
  <c r="AH991" i="19"/>
  <c r="AQ991" i="19" s="1"/>
  <c r="AD991" i="19"/>
  <c r="AM991" i="19" s="1"/>
  <c r="AH990" i="19"/>
  <c r="AQ990" i="19" s="1"/>
  <c r="AD990" i="19"/>
  <c r="AM990" i="19" s="1"/>
  <c r="AH989" i="19"/>
  <c r="AQ989" i="19" s="1"/>
  <c r="AD989" i="19"/>
  <c r="AM989" i="19" s="1"/>
  <c r="AH988" i="19"/>
  <c r="AQ988" i="19" s="1"/>
  <c r="AD988" i="19"/>
  <c r="AM988" i="19" s="1"/>
  <c r="AH987" i="19"/>
  <c r="AQ987" i="19" s="1"/>
  <c r="AD987" i="19"/>
  <c r="AM987" i="19" s="1"/>
  <c r="AH986" i="19"/>
  <c r="AQ986" i="19" s="1"/>
  <c r="AD986" i="19"/>
  <c r="AM986" i="19" s="1"/>
  <c r="AH985" i="19"/>
  <c r="AQ985" i="19" s="1"/>
  <c r="AD985" i="19"/>
  <c r="AM985" i="19" s="1"/>
  <c r="AH984" i="19"/>
  <c r="AQ984" i="19" s="1"/>
  <c r="AD984" i="19"/>
  <c r="AM984" i="19" s="1"/>
  <c r="AH983" i="19"/>
  <c r="AQ983" i="19" s="1"/>
  <c r="AD983" i="19"/>
  <c r="AM983" i="19" s="1"/>
  <c r="AH982" i="19"/>
  <c r="AQ982" i="19" s="1"/>
  <c r="AD982" i="19"/>
  <c r="AM982" i="19" s="1"/>
  <c r="AH981" i="19"/>
  <c r="AQ981" i="19" s="1"/>
  <c r="AD981" i="19"/>
  <c r="AM981" i="19" s="1"/>
  <c r="AH980" i="19"/>
  <c r="AQ980" i="19" s="1"/>
  <c r="AD980" i="19"/>
  <c r="AM980" i="19" s="1"/>
  <c r="AH979" i="19"/>
  <c r="AQ979" i="19" s="1"/>
  <c r="AD979" i="19"/>
  <c r="AM979" i="19" s="1"/>
  <c r="AH978" i="19"/>
  <c r="AQ978" i="19" s="1"/>
  <c r="AD978" i="19"/>
  <c r="AM978" i="19" s="1"/>
  <c r="AH977" i="19"/>
  <c r="AQ977" i="19" s="1"/>
  <c r="AD977" i="19"/>
  <c r="AM977" i="19" s="1"/>
  <c r="AH976" i="19"/>
  <c r="AQ976" i="19" s="1"/>
  <c r="AD976" i="19"/>
  <c r="AM976" i="19" s="1"/>
  <c r="AH975" i="19"/>
  <c r="AQ975" i="19" s="1"/>
  <c r="AD975" i="19"/>
  <c r="AM975" i="19" s="1"/>
  <c r="AH974" i="19"/>
  <c r="AQ974" i="19" s="1"/>
  <c r="AD974" i="19"/>
  <c r="AM974" i="19" s="1"/>
  <c r="AH973" i="19"/>
  <c r="AQ973" i="19" s="1"/>
  <c r="AD973" i="19"/>
  <c r="AM973" i="19" s="1"/>
  <c r="AH972" i="19"/>
  <c r="AQ972" i="19" s="1"/>
  <c r="AD972" i="19"/>
  <c r="AM972" i="19" s="1"/>
  <c r="AH971" i="19"/>
  <c r="AQ971" i="19" s="1"/>
  <c r="AD971" i="19"/>
  <c r="AM971" i="19" s="1"/>
  <c r="AH970" i="19"/>
  <c r="AQ970" i="19" s="1"/>
  <c r="AD970" i="19"/>
  <c r="AM970" i="19" s="1"/>
  <c r="AH969" i="19"/>
  <c r="AQ969" i="19" s="1"/>
  <c r="AD969" i="19"/>
  <c r="AM969" i="19" s="1"/>
  <c r="AH968" i="19"/>
  <c r="AQ968" i="19" s="1"/>
  <c r="AD968" i="19"/>
  <c r="AM968" i="19" s="1"/>
  <c r="AH967" i="19"/>
  <c r="AQ967" i="19" s="1"/>
  <c r="AD967" i="19"/>
  <c r="AM967" i="19" s="1"/>
  <c r="AH966" i="19"/>
  <c r="AQ966" i="19" s="1"/>
  <c r="AD966" i="19"/>
  <c r="AM966" i="19" s="1"/>
  <c r="AH965" i="19"/>
  <c r="AQ965" i="19" s="1"/>
  <c r="AD965" i="19"/>
  <c r="AM965" i="19" s="1"/>
  <c r="AH964" i="19"/>
  <c r="AQ964" i="19" s="1"/>
  <c r="AD964" i="19"/>
  <c r="AM964" i="19" s="1"/>
  <c r="AH963" i="19"/>
  <c r="AQ963" i="19" s="1"/>
  <c r="AD963" i="19"/>
  <c r="AM963" i="19" s="1"/>
  <c r="AH962" i="19"/>
  <c r="AQ962" i="19" s="1"/>
  <c r="AD962" i="19"/>
  <c r="AM962" i="19" s="1"/>
  <c r="AH961" i="19"/>
  <c r="AQ961" i="19" s="1"/>
  <c r="AD961" i="19"/>
  <c r="AM961" i="19" s="1"/>
  <c r="AH960" i="19"/>
  <c r="AQ960" i="19" s="1"/>
  <c r="AD960" i="19"/>
  <c r="AM960" i="19" s="1"/>
  <c r="AH959" i="19"/>
  <c r="AQ959" i="19" s="1"/>
  <c r="AD959" i="19"/>
  <c r="AM959" i="19" s="1"/>
  <c r="AH958" i="19"/>
  <c r="AQ958" i="19" s="1"/>
  <c r="AD958" i="19"/>
  <c r="AM958" i="19" s="1"/>
  <c r="AH957" i="19"/>
  <c r="AQ957" i="19" s="1"/>
  <c r="AD957" i="19"/>
  <c r="AM957" i="19" s="1"/>
  <c r="AH956" i="19"/>
  <c r="AQ956" i="19" s="1"/>
  <c r="AD956" i="19"/>
  <c r="AM956" i="19" s="1"/>
  <c r="AH955" i="19"/>
  <c r="AQ955" i="19" s="1"/>
  <c r="AD955" i="19"/>
  <c r="AM955" i="19" s="1"/>
  <c r="AH954" i="19"/>
  <c r="AQ954" i="19" s="1"/>
  <c r="AD954" i="19"/>
  <c r="AM954" i="19" s="1"/>
  <c r="AH953" i="19"/>
  <c r="AQ953" i="19" s="1"/>
  <c r="AD953" i="19"/>
  <c r="AM953" i="19" s="1"/>
  <c r="AH952" i="19"/>
  <c r="AQ952" i="19" s="1"/>
  <c r="AD952" i="19"/>
  <c r="AM952" i="19" s="1"/>
  <c r="AH951" i="19"/>
  <c r="AQ951" i="19" s="1"/>
  <c r="AD951" i="19"/>
  <c r="AM951" i="19" s="1"/>
  <c r="AH950" i="19"/>
  <c r="AQ950" i="19" s="1"/>
  <c r="AD950" i="19"/>
  <c r="AM950" i="19" s="1"/>
  <c r="AH949" i="19"/>
  <c r="AQ949" i="19" s="1"/>
  <c r="AD949" i="19"/>
  <c r="AM949" i="19" s="1"/>
  <c r="AH948" i="19"/>
  <c r="AQ948" i="19" s="1"/>
  <c r="AD948" i="19"/>
  <c r="AM948" i="19" s="1"/>
  <c r="AH947" i="19"/>
  <c r="AQ947" i="19" s="1"/>
  <c r="AD947" i="19"/>
  <c r="AM947" i="19" s="1"/>
  <c r="AH946" i="19"/>
  <c r="AQ946" i="19" s="1"/>
  <c r="AD946" i="19"/>
  <c r="AM946" i="19" s="1"/>
  <c r="AH945" i="19"/>
  <c r="AQ945" i="19" s="1"/>
  <c r="AD945" i="19"/>
  <c r="AM945" i="19" s="1"/>
  <c r="AH944" i="19"/>
  <c r="AQ944" i="19" s="1"/>
  <c r="AD944" i="19"/>
  <c r="AM944" i="19" s="1"/>
  <c r="AH943" i="19"/>
  <c r="AQ943" i="19" s="1"/>
  <c r="AD943" i="19"/>
  <c r="AM943" i="19" s="1"/>
  <c r="AH942" i="19"/>
  <c r="AQ942" i="19" s="1"/>
  <c r="AD942" i="19"/>
  <c r="AM942" i="19" s="1"/>
  <c r="AH941" i="19"/>
  <c r="AQ941" i="19" s="1"/>
  <c r="AD941" i="19"/>
  <c r="AM941" i="19" s="1"/>
  <c r="AH940" i="19"/>
  <c r="AQ940" i="19" s="1"/>
  <c r="AD940" i="19"/>
  <c r="AM940" i="19" s="1"/>
  <c r="AH939" i="19"/>
  <c r="AQ939" i="19" s="1"/>
  <c r="AD939" i="19"/>
  <c r="AM939" i="19" s="1"/>
  <c r="AH938" i="19"/>
  <c r="AQ938" i="19" s="1"/>
  <c r="AD938" i="19"/>
  <c r="AM938" i="19" s="1"/>
  <c r="AH937" i="19"/>
  <c r="AQ937" i="19" s="1"/>
  <c r="AD937" i="19"/>
  <c r="AM937" i="19" s="1"/>
  <c r="AH936" i="19"/>
  <c r="AQ936" i="19" s="1"/>
  <c r="AD936" i="19"/>
  <c r="AM936" i="19" s="1"/>
  <c r="AH935" i="19"/>
  <c r="AQ935" i="19" s="1"/>
  <c r="AD935" i="19"/>
  <c r="AM935" i="19" s="1"/>
  <c r="AH934" i="19"/>
  <c r="AQ934" i="19" s="1"/>
  <c r="AD934" i="19"/>
  <c r="AM934" i="19" s="1"/>
  <c r="AH933" i="19"/>
  <c r="AQ933" i="19" s="1"/>
  <c r="AD933" i="19"/>
  <c r="AM933" i="19" s="1"/>
  <c r="AH932" i="19"/>
  <c r="AQ932" i="19" s="1"/>
  <c r="AD932" i="19"/>
  <c r="AM932" i="19" s="1"/>
  <c r="AH931" i="19"/>
  <c r="AQ931" i="19" s="1"/>
  <c r="AD931" i="19"/>
  <c r="AM931" i="19" s="1"/>
  <c r="AH930" i="19"/>
  <c r="AQ930" i="19" s="1"/>
  <c r="AD930" i="19"/>
  <c r="AM930" i="19" s="1"/>
  <c r="AH929" i="19"/>
  <c r="AQ929" i="19" s="1"/>
  <c r="AD929" i="19"/>
  <c r="AM929" i="19" s="1"/>
  <c r="AH928" i="19"/>
  <c r="AQ928" i="19" s="1"/>
  <c r="AD928" i="19"/>
  <c r="AM928" i="19" s="1"/>
  <c r="AH927" i="19"/>
  <c r="AQ927" i="19" s="1"/>
  <c r="AD927" i="19"/>
  <c r="AM927" i="19" s="1"/>
  <c r="AH926" i="19"/>
  <c r="AQ926" i="19" s="1"/>
  <c r="AD926" i="19"/>
  <c r="AM926" i="19" s="1"/>
  <c r="AH925" i="19"/>
  <c r="AQ925" i="19" s="1"/>
  <c r="AD925" i="19"/>
  <c r="AM925" i="19" s="1"/>
  <c r="AH924" i="19"/>
  <c r="AQ924" i="19" s="1"/>
  <c r="AD924" i="19"/>
  <c r="AM924" i="19" s="1"/>
  <c r="AH923" i="19"/>
  <c r="AQ923" i="19" s="1"/>
  <c r="AD923" i="19"/>
  <c r="AM923" i="19" s="1"/>
  <c r="AH922" i="19"/>
  <c r="AQ922" i="19" s="1"/>
  <c r="AD922" i="19"/>
  <c r="AM922" i="19" s="1"/>
  <c r="AH921" i="19"/>
  <c r="AQ921" i="19" s="1"/>
  <c r="AD921" i="19"/>
  <c r="AM921" i="19" s="1"/>
  <c r="AH920" i="19"/>
  <c r="AQ920" i="19" s="1"/>
  <c r="AD920" i="19"/>
  <c r="AM920" i="19" s="1"/>
  <c r="AH919" i="19"/>
  <c r="AQ919" i="19" s="1"/>
  <c r="AD919" i="19"/>
  <c r="AM919" i="19" s="1"/>
  <c r="AH918" i="19"/>
  <c r="AQ918" i="19" s="1"/>
  <c r="AD918" i="19"/>
  <c r="AM918" i="19" s="1"/>
  <c r="AH917" i="19"/>
  <c r="AQ917" i="19" s="1"/>
  <c r="AD917" i="19"/>
  <c r="AM917" i="19" s="1"/>
  <c r="AH916" i="19"/>
  <c r="AQ916" i="19" s="1"/>
  <c r="AD916" i="19"/>
  <c r="AM916" i="19" s="1"/>
  <c r="AH915" i="19"/>
  <c r="AQ915" i="19" s="1"/>
  <c r="AD915" i="19"/>
  <c r="AM915" i="19" s="1"/>
  <c r="AH914" i="19"/>
  <c r="AQ914" i="19" s="1"/>
  <c r="AD914" i="19"/>
  <c r="AM914" i="19" s="1"/>
  <c r="AH913" i="19"/>
  <c r="AQ913" i="19" s="1"/>
  <c r="AD913" i="19"/>
  <c r="AM913" i="19" s="1"/>
  <c r="AH912" i="19"/>
  <c r="AQ912" i="19" s="1"/>
  <c r="AD912" i="19"/>
  <c r="AM912" i="19" s="1"/>
  <c r="AH911" i="19"/>
  <c r="AQ911" i="19" s="1"/>
  <c r="AD911" i="19"/>
  <c r="AM911" i="19" s="1"/>
  <c r="AH910" i="19"/>
  <c r="AQ910" i="19" s="1"/>
  <c r="AD910" i="19"/>
  <c r="AM910" i="19" s="1"/>
  <c r="AH909" i="19"/>
  <c r="AQ909" i="19" s="1"/>
  <c r="AD909" i="19"/>
  <c r="AM909" i="19" s="1"/>
  <c r="AH908" i="19"/>
  <c r="AQ908" i="19" s="1"/>
  <c r="AD908" i="19"/>
  <c r="AM908" i="19" s="1"/>
  <c r="AH907" i="19"/>
  <c r="AQ907" i="19" s="1"/>
  <c r="AD907" i="19"/>
  <c r="AM907" i="19" s="1"/>
  <c r="AH906" i="19"/>
  <c r="AQ906" i="19" s="1"/>
  <c r="AD906" i="19"/>
  <c r="AM906" i="19" s="1"/>
  <c r="AH905" i="19"/>
  <c r="AQ905" i="19" s="1"/>
  <c r="AD905" i="19"/>
  <c r="AM905" i="19" s="1"/>
  <c r="AH904" i="19"/>
  <c r="AQ904" i="19" s="1"/>
  <c r="AD904" i="19"/>
  <c r="AM904" i="19" s="1"/>
  <c r="AH903" i="19"/>
  <c r="AQ903" i="19" s="1"/>
  <c r="AD903" i="19"/>
  <c r="AM903" i="19" s="1"/>
  <c r="AH902" i="19"/>
  <c r="AQ902" i="19" s="1"/>
  <c r="AD902" i="19"/>
  <c r="AM902" i="19" s="1"/>
  <c r="AH901" i="19"/>
  <c r="AQ901" i="19" s="1"/>
  <c r="AD901" i="19"/>
  <c r="AM901" i="19" s="1"/>
  <c r="AH900" i="19"/>
  <c r="AQ900" i="19" s="1"/>
  <c r="AD900" i="19"/>
  <c r="AM900" i="19" s="1"/>
  <c r="AH899" i="19"/>
  <c r="AQ899" i="19" s="1"/>
  <c r="AD899" i="19"/>
  <c r="AM899" i="19" s="1"/>
  <c r="AH898" i="19"/>
  <c r="AQ898" i="19" s="1"/>
  <c r="AD898" i="19"/>
  <c r="AM898" i="19" s="1"/>
  <c r="AH897" i="19"/>
  <c r="AQ897" i="19" s="1"/>
  <c r="AD897" i="19"/>
  <c r="AM897" i="19" s="1"/>
  <c r="AH896" i="19"/>
  <c r="AQ896" i="19" s="1"/>
  <c r="AD896" i="19"/>
  <c r="AM896" i="19" s="1"/>
  <c r="AH895" i="19"/>
  <c r="AQ895" i="19" s="1"/>
  <c r="AD895" i="19"/>
  <c r="AM895" i="19" s="1"/>
  <c r="AH894" i="19"/>
  <c r="AQ894" i="19" s="1"/>
  <c r="AD894" i="19"/>
  <c r="AM894" i="19" s="1"/>
  <c r="AH893" i="19"/>
  <c r="AQ893" i="19" s="1"/>
  <c r="AD893" i="19"/>
  <c r="AM893" i="19" s="1"/>
  <c r="AH892" i="19"/>
  <c r="AQ892" i="19" s="1"/>
  <c r="AD892" i="19"/>
  <c r="AM892" i="19" s="1"/>
  <c r="AH891" i="19"/>
  <c r="AQ891" i="19" s="1"/>
  <c r="AD891" i="19"/>
  <c r="AM891" i="19" s="1"/>
  <c r="AH890" i="19"/>
  <c r="AQ890" i="19" s="1"/>
  <c r="AD890" i="19"/>
  <c r="AM890" i="19" s="1"/>
  <c r="AH889" i="19"/>
  <c r="AQ889" i="19" s="1"/>
  <c r="AD889" i="19"/>
  <c r="AM889" i="19" s="1"/>
  <c r="AH888" i="19"/>
  <c r="AQ888" i="19" s="1"/>
  <c r="AD888" i="19"/>
  <c r="AM888" i="19" s="1"/>
  <c r="AH887" i="19"/>
  <c r="AQ887" i="19" s="1"/>
  <c r="AD887" i="19"/>
  <c r="AM887" i="19" s="1"/>
  <c r="AH886" i="19"/>
  <c r="AQ886" i="19" s="1"/>
  <c r="AD886" i="19"/>
  <c r="AM886" i="19" s="1"/>
  <c r="AH885" i="19"/>
  <c r="AQ885" i="19" s="1"/>
  <c r="AD885" i="19"/>
  <c r="AM885" i="19" s="1"/>
  <c r="AH884" i="19"/>
  <c r="AQ884" i="19" s="1"/>
  <c r="AD884" i="19"/>
  <c r="AM884" i="19" s="1"/>
  <c r="AH883" i="19"/>
  <c r="AQ883" i="19" s="1"/>
  <c r="AD883" i="19"/>
  <c r="AM883" i="19" s="1"/>
  <c r="AH882" i="19"/>
  <c r="AQ882" i="19" s="1"/>
  <c r="AD882" i="19"/>
  <c r="AM882" i="19" s="1"/>
  <c r="AH881" i="19"/>
  <c r="AQ881" i="19" s="1"/>
  <c r="AD881" i="19"/>
  <c r="AM881" i="19" s="1"/>
  <c r="AH880" i="19"/>
  <c r="AQ880" i="19" s="1"/>
  <c r="AD880" i="19"/>
  <c r="AM880" i="19" s="1"/>
  <c r="AH879" i="19"/>
  <c r="AQ879" i="19" s="1"/>
  <c r="AD879" i="19"/>
  <c r="AM879" i="19" s="1"/>
  <c r="AH878" i="19"/>
  <c r="AQ878" i="19" s="1"/>
  <c r="AD878" i="19"/>
  <c r="AM878" i="19" s="1"/>
  <c r="AH877" i="19"/>
  <c r="AQ877" i="19" s="1"/>
  <c r="AD877" i="19"/>
  <c r="AM877" i="19" s="1"/>
  <c r="AH876" i="19"/>
  <c r="AQ876" i="19" s="1"/>
  <c r="AD876" i="19"/>
  <c r="AM876" i="19" s="1"/>
  <c r="AH875" i="19"/>
  <c r="AQ875" i="19" s="1"/>
  <c r="AD875" i="19"/>
  <c r="AM875" i="19" s="1"/>
  <c r="AH874" i="19"/>
  <c r="AQ874" i="19" s="1"/>
  <c r="AD874" i="19"/>
  <c r="AM874" i="19" s="1"/>
  <c r="AH873" i="19"/>
  <c r="AQ873" i="19" s="1"/>
  <c r="AD873" i="19"/>
  <c r="AM873" i="19" s="1"/>
  <c r="AH872" i="19"/>
  <c r="AQ872" i="19" s="1"/>
  <c r="AD872" i="19"/>
  <c r="AM872" i="19" s="1"/>
  <c r="AH871" i="19"/>
  <c r="AQ871" i="19" s="1"/>
  <c r="AD871" i="19"/>
  <c r="AM871" i="19" s="1"/>
  <c r="AH870" i="19"/>
  <c r="AQ870" i="19" s="1"/>
  <c r="AD870" i="19"/>
  <c r="AM870" i="19" s="1"/>
  <c r="AH869" i="19"/>
  <c r="AQ869" i="19" s="1"/>
  <c r="AD869" i="19"/>
  <c r="AM869" i="19" s="1"/>
  <c r="AH868" i="19"/>
  <c r="AQ868" i="19" s="1"/>
  <c r="AD868" i="19"/>
  <c r="AM868" i="19" s="1"/>
  <c r="AH867" i="19"/>
  <c r="AQ867" i="19" s="1"/>
  <c r="AD867" i="19"/>
  <c r="AM867" i="19" s="1"/>
  <c r="AH866" i="19"/>
  <c r="AQ866" i="19" s="1"/>
  <c r="AD866" i="19"/>
  <c r="AM866" i="19" s="1"/>
  <c r="AH865" i="19"/>
  <c r="AQ865" i="19" s="1"/>
  <c r="AD865" i="19"/>
  <c r="AM865" i="19" s="1"/>
  <c r="AH864" i="19"/>
  <c r="AQ864" i="19" s="1"/>
  <c r="AD864" i="19"/>
  <c r="AM864" i="19" s="1"/>
  <c r="AH863" i="19"/>
  <c r="AQ863" i="19" s="1"/>
  <c r="AD863" i="19"/>
  <c r="AM863" i="19" s="1"/>
  <c r="AH862" i="19"/>
  <c r="AQ862" i="19" s="1"/>
  <c r="AD862" i="19"/>
  <c r="AM862" i="19" s="1"/>
  <c r="AH861" i="19"/>
  <c r="AQ861" i="19" s="1"/>
  <c r="AD861" i="19"/>
  <c r="AM861" i="19" s="1"/>
  <c r="AH860" i="19"/>
  <c r="AQ860" i="19" s="1"/>
  <c r="AD860" i="19"/>
  <c r="AM860" i="19" s="1"/>
  <c r="AH859" i="19"/>
  <c r="AQ859" i="19" s="1"/>
  <c r="AD859" i="19"/>
  <c r="AM859" i="19" s="1"/>
  <c r="AH858" i="19"/>
  <c r="AQ858" i="19" s="1"/>
  <c r="AD858" i="19"/>
  <c r="AM858" i="19" s="1"/>
  <c r="AH857" i="19"/>
  <c r="AQ857" i="19" s="1"/>
  <c r="AD857" i="19"/>
  <c r="AM857" i="19" s="1"/>
  <c r="AH856" i="19"/>
  <c r="AQ856" i="19" s="1"/>
  <c r="AD856" i="19"/>
  <c r="AM856" i="19" s="1"/>
  <c r="AH855" i="19"/>
  <c r="AQ855" i="19" s="1"/>
  <c r="AD855" i="19"/>
  <c r="AM855" i="19" s="1"/>
  <c r="AH854" i="19"/>
  <c r="AQ854" i="19" s="1"/>
  <c r="AD854" i="19"/>
  <c r="AM854" i="19" s="1"/>
  <c r="AH853" i="19"/>
  <c r="AQ853" i="19" s="1"/>
  <c r="AD853" i="19"/>
  <c r="AM853" i="19" s="1"/>
  <c r="AH852" i="19"/>
  <c r="AQ852" i="19" s="1"/>
  <c r="AD852" i="19"/>
  <c r="AM852" i="19" s="1"/>
  <c r="AH851" i="19"/>
  <c r="AQ851" i="19" s="1"/>
  <c r="AD851" i="19"/>
  <c r="AM851" i="19" s="1"/>
  <c r="AH850" i="19"/>
  <c r="AQ850" i="19" s="1"/>
  <c r="AD850" i="19"/>
  <c r="AM850" i="19" s="1"/>
  <c r="AH849" i="19"/>
  <c r="AQ849" i="19" s="1"/>
  <c r="AD849" i="19"/>
  <c r="AM849" i="19" s="1"/>
  <c r="AH848" i="19"/>
  <c r="AQ848" i="19" s="1"/>
  <c r="AD848" i="19"/>
  <c r="AM848" i="19" s="1"/>
  <c r="AH847" i="19"/>
  <c r="AQ847" i="19" s="1"/>
  <c r="AD847" i="19"/>
  <c r="AM847" i="19" s="1"/>
  <c r="AH846" i="19"/>
  <c r="AQ846" i="19" s="1"/>
  <c r="AD846" i="19"/>
  <c r="AM846" i="19" s="1"/>
  <c r="AH845" i="19"/>
  <c r="AQ845" i="19" s="1"/>
  <c r="AD845" i="19"/>
  <c r="AM845" i="19" s="1"/>
  <c r="AH844" i="19"/>
  <c r="AQ844" i="19" s="1"/>
  <c r="AD844" i="19"/>
  <c r="AM844" i="19" s="1"/>
  <c r="AH843" i="19"/>
  <c r="AQ843" i="19" s="1"/>
  <c r="AD843" i="19"/>
  <c r="AM843" i="19" s="1"/>
  <c r="AH842" i="19"/>
  <c r="AQ842" i="19" s="1"/>
  <c r="AD842" i="19"/>
  <c r="AM842" i="19" s="1"/>
  <c r="AH841" i="19"/>
  <c r="AQ841" i="19" s="1"/>
  <c r="AD841" i="19"/>
  <c r="AM841" i="19" s="1"/>
  <c r="AH840" i="19"/>
  <c r="AQ840" i="19" s="1"/>
  <c r="AD840" i="19"/>
  <c r="AM840" i="19" s="1"/>
  <c r="AH839" i="19"/>
  <c r="AQ839" i="19" s="1"/>
  <c r="AD839" i="19"/>
  <c r="AM839" i="19" s="1"/>
  <c r="AH838" i="19"/>
  <c r="AQ838" i="19" s="1"/>
  <c r="AD838" i="19"/>
  <c r="AM838" i="19" s="1"/>
  <c r="AH837" i="19"/>
  <c r="AQ837" i="19" s="1"/>
  <c r="AD837" i="19"/>
  <c r="AM837" i="19" s="1"/>
  <c r="AH836" i="19"/>
  <c r="AQ836" i="19" s="1"/>
  <c r="AD836" i="19"/>
  <c r="AM836" i="19" s="1"/>
  <c r="AH835" i="19"/>
  <c r="AQ835" i="19" s="1"/>
  <c r="AD835" i="19"/>
  <c r="AM835" i="19" s="1"/>
  <c r="AH834" i="19"/>
  <c r="AQ834" i="19" s="1"/>
  <c r="AD834" i="19"/>
  <c r="AM834" i="19" s="1"/>
  <c r="AH833" i="19"/>
  <c r="AQ833" i="19" s="1"/>
  <c r="AD833" i="19"/>
  <c r="AM833" i="19" s="1"/>
  <c r="AH832" i="19"/>
  <c r="AQ832" i="19" s="1"/>
  <c r="AD832" i="19"/>
  <c r="AM832" i="19" s="1"/>
  <c r="AH831" i="19"/>
  <c r="AQ831" i="19" s="1"/>
  <c r="AD831" i="19"/>
  <c r="AM831" i="19" s="1"/>
  <c r="AH830" i="19"/>
  <c r="AQ830" i="19" s="1"/>
  <c r="AD830" i="19"/>
  <c r="AM830" i="19" s="1"/>
  <c r="AH829" i="19"/>
  <c r="AQ829" i="19" s="1"/>
  <c r="AD829" i="19"/>
  <c r="AM829" i="19" s="1"/>
  <c r="AH828" i="19"/>
  <c r="AQ828" i="19" s="1"/>
  <c r="AD828" i="19"/>
  <c r="AM828" i="19" s="1"/>
  <c r="AH827" i="19"/>
  <c r="AQ827" i="19" s="1"/>
  <c r="AD827" i="19"/>
  <c r="AM827" i="19" s="1"/>
  <c r="AH826" i="19"/>
  <c r="AQ826" i="19" s="1"/>
  <c r="AD826" i="19"/>
  <c r="AM826" i="19" s="1"/>
  <c r="AH825" i="19"/>
  <c r="AQ825" i="19" s="1"/>
  <c r="AD825" i="19"/>
  <c r="AM825" i="19" s="1"/>
  <c r="AH824" i="19"/>
  <c r="AQ824" i="19" s="1"/>
  <c r="AD824" i="19"/>
  <c r="AM824" i="19" s="1"/>
  <c r="AH823" i="19"/>
  <c r="AQ823" i="19" s="1"/>
  <c r="AD823" i="19"/>
  <c r="AM823" i="19" s="1"/>
  <c r="AH822" i="19"/>
  <c r="AQ822" i="19" s="1"/>
  <c r="AD822" i="19"/>
  <c r="AM822" i="19" s="1"/>
  <c r="AH821" i="19"/>
  <c r="AQ821" i="19" s="1"/>
  <c r="AD821" i="19"/>
  <c r="AM821" i="19" s="1"/>
  <c r="AH820" i="19"/>
  <c r="AQ820" i="19" s="1"/>
  <c r="AD820" i="19"/>
  <c r="AM820" i="19" s="1"/>
  <c r="AH819" i="19"/>
  <c r="AQ819" i="19" s="1"/>
  <c r="AD819" i="19"/>
  <c r="AM819" i="19" s="1"/>
  <c r="AH818" i="19"/>
  <c r="AQ818" i="19" s="1"/>
  <c r="AD818" i="19"/>
  <c r="AM818" i="19" s="1"/>
  <c r="AH817" i="19"/>
  <c r="AQ817" i="19" s="1"/>
  <c r="AD817" i="19"/>
  <c r="AM817" i="19" s="1"/>
  <c r="AH816" i="19"/>
  <c r="AQ816" i="19" s="1"/>
  <c r="AD816" i="19"/>
  <c r="AM816" i="19" s="1"/>
  <c r="AH815" i="19"/>
  <c r="AQ815" i="19" s="1"/>
  <c r="AD815" i="19"/>
  <c r="AM815" i="19" s="1"/>
  <c r="AH814" i="19"/>
  <c r="AQ814" i="19" s="1"/>
  <c r="AD814" i="19"/>
  <c r="AM814" i="19" s="1"/>
  <c r="AH813" i="19"/>
  <c r="AQ813" i="19" s="1"/>
  <c r="AD813" i="19"/>
  <c r="AM813" i="19" s="1"/>
  <c r="AH812" i="19"/>
  <c r="AQ812" i="19" s="1"/>
  <c r="AD812" i="19"/>
  <c r="AM812" i="19" s="1"/>
  <c r="AH811" i="19"/>
  <c r="AQ811" i="19" s="1"/>
  <c r="AD811" i="19"/>
  <c r="AM811" i="19" s="1"/>
  <c r="AH810" i="19"/>
  <c r="AQ810" i="19" s="1"/>
  <c r="AD810" i="19"/>
  <c r="AM810" i="19" s="1"/>
  <c r="AH809" i="19"/>
  <c r="AQ809" i="19" s="1"/>
  <c r="AD809" i="19"/>
  <c r="AM809" i="19" s="1"/>
  <c r="AH808" i="19"/>
  <c r="AQ808" i="19" s="1"/>
  <c r="AD808" i="19"/>
  <c r="AM808" i="19" s="1"/>
  <c r="AH807" i="19"/>
  <c r="AQ807" i="19" s="1"/>
  <c r="AD807" i="19"/>
  <c r="AM807" i="19" s="1"/>
  <c r="AH806" i="19"/>
  <c r="AQ806" i="19" s="1"/>
  <c r="AD806" i="19"/>
  <c r="AM806" i="19" s="1"/>
  <c r="AH805" i="19"/>
  <c r="AQ805" i="19" s="1"/>
  <c r="AD805" i="19"/>
  <c r="AM805" i="19" s="1"/>
  <c r="AH804" i="19"/>
  <c r="AQ804" i="19" s="1"/>
  <c r="AD804" i="19"/>
  <c r="AM804" i="19" s="1"/>
  <c r="AH803" i="19"/>
  <c r="AQ803" i="19" s="1"/>
  <c r="AD803" i="19"/>
  <c r="AM803" i="19" s="1"/>
  <c r="AH802" i="19"/>
  <c r="AQ802" i="19" s="1"/>
  <c r="AD802" i="19"/>
  <c r="AM802" i="19" s="1"/>
  <c r="AH801" i="19"/>
  <c r="AQ801" i="19" s="1"/>
  <c r="AD801" i="19"/>
  <c r="AM801" i="19" s="1"/>
  <c r="AH800" i="19"/>
  <c r="AQ800" i="19" s="1"/>
  <c r="AD800" i="19"/>
  <c r="AM800" i="19" s="1"/>
  <c r="AH799" i="19"/>
  <c r="AQ799" i="19" s="1"/>
  <c r="AD799" i="19"/>
  <c r="AM799" i="19" s="1"/>
  <c r="AH798" i="19"/>
  <c r="AQ798" i="19" s="1"/>
  <c r="AD798" i="19"/>
  <c r="AM798" i="19" s="1"/>
  <c r="AH797" i="19"/>
  <c r="AQ797" i="19" s="1"/>
  <c r="AD797" i="19"/>
  <c r="AM797" i="19" s="1"/>
  <c r="AH796" i="19"/>
  <c r="AQ796" i="19" s="1"/>
  <c r="AD796" i="19"/>
  <c r="AM796" i="19" s="1"/>
  <c r="AH795" i="19"/>
  <c r="AQ795" i="19" s="1"/>
  <c r="AD795" i="19"/>
  <c r="AM795" i="19" s="1"/>
  <c r="AH794" i="19"/>
  <c r="AQ794" i="19" s="1"/>
  <c r="AD794" i="19"/>
  <c r="AM794" i="19" s="1"/>
  <c r="AH793" i="19"/>
  <c r="AQ793" i="19" s="1"/>
  <c r="AD793" i="19"/>
  <c r="AM793" i="19" s="1"/>
  <c r="AH792" i="19"/>
  <c r="AQ792" i="19" s="1"/>
  <c r="AD792" i="19"/>
  <c r="AM792" i="19" s="1"/>
  <c r="AH791" i="19"/>
  <c r="AQ791" i="19" s="1"/>
  <c r="AD791" i="19"/>
  <c r="AM791" i="19" s="1"/>
  <c r="AH790" i="19"/>
  <c r="AQ790" i="19" s="1"/>
  <c r="AD790" i="19"/>
  <c r="AM790" i="19" s="1"/>
  <c r="AH789" i="19"/>
  <c r="AQ789" i="19" s="1"/>
  <c r="AD789" i="19"/>
  <c r="AM789" i="19" s="1"/>
  <c r="AH788" i="19"/>
  <c r="AQ788" i="19" s="1"/>
  <c r="AD788" i="19"/>
  <c r="AM788" i="19" s="1"/>
  <c r="AH787" i="19"/>
  <c r="AQ787" i="19" s="1"/>
  <c r="AD787" i="19"/>
  <c r="AM787" i="19" s="1"/>
  <c r="AH786" i="19"/>
  <c r="AQ786" i="19" s="1"/>
  <c r="AD786" i="19"/>
  <c r="AM786" i="19" s="1"/>
  <c r="AH785" i="19"/>
  <c r="AQ785" i="19" s="1"/>
  <c r="AD785" i="19"/>
  <c r="AM785" i="19" s="1"/>
  <c r="AH784" i="19"/>
  <c r="AQ784" i="19" s="1"/>
  <c r="AD784" i="19"/>
  <c r="AM784" i="19" s="1"/>
  <c r="AH783" i="19"/>
  <c r="AQ783" i="19" s="1"/>
  <c r="AD783" i="19"/>
  <c r="AM783" i="19" s="1"/>
  <c r="AH782" i="19"/>
  <c r="AQ782" i="19" s="1"/>
  <c r="AD782" i="19"/>
  <c r="AM782" i="19" s="1"/>
  <c r="AH781" i="19"/>
  <c r="AQ781" i="19" s="1"/>
  <c r="AD781" i="19"/>
  <c r="AM781" i="19" s="1"/>
  <c r="AH780" i="19"/>
  <c r="AQ780" i="19" s="1"/>
  <c r="AD780" i="19"/>
  <c r="AM780" i="19" s="1"/>
  <c r="AH779" i="19"/>
  <c r="AQ779" i="19" s="1"/>
  <c r="AD779" i="19"/>
  <c r="AM779" i="19" s="1"/>
  <c r="AH778" i="19"/>
  <c r="AQ778" i="19" s="1"/>
  <c r="AD778" i="19"/>
  <c r="AM778" i="19" s="1"/>
  <c r="AH777" i="19"/>
  <c r="AQ777" i="19" s="1"/>
  <c r="AD777" i="19"/>
  <c r="AM777" i="19" s="1"/>
  <c r="AH776" i="19"/>
  <c r="AQ776" i="19" s="1"/>
  <c r="AD776" i="19"/>
  <c r="AM776" i="19" s="1"/>
  <c r="AE810" i="19"/>
  <c r="AN810" i="19" s="1"/>
  <c r="AI827" i="19"/>
  <c r="AR827" i="19" s="1"/>
  <c r="AE827" i="19"/>
  <c r="AN827" i="19" s="1"/>
  <c r="AI826" i="19"/>
  <c r="AR826" i="19" s="1"/>
  <c r="AI825" i="19"/>
  <c r="AR825" i="19" s="1"/>
  <c r="AE825" i="19"/>
  <c r="AN825" i="19" s="1"/>
  <c r="AI824" i="19"/>
  <c r="AR824" i="19" s="1"/>
  <c r="AE824" i="19"/>
  <c r="AN824" i="19" s="1"/>
  <c r="AI823" i="19"/>
  <c r="AR823" i="19" s="1"/>
  <c r="AE823" i="19"/>
  <c r="AN823" i="19" s="1"/>
  <c r="AI822" i="19"/>
  <c r="AR822" i="19" s="1"/>
  <c r="AE822" i="19"/>
  <c r="AN822" i="19" s="1"/>
  <c r="AI821" i="19"/>
  <c r="AR821" i="19" s="1"/>
  <c r="AE821" i="19"/>
  <c r="AN821" i="19" s="1"/>
  <c r="AI820" i="19"/>
  <c r="AR820" i="19" s="1"/>
  <c r="AE820" i="19"/>
  <c r="AN820" i="19" s="1"/>
  <c r="AI819" i="19"/>
  <c r="AR819" i="19" s="1"/>
  <c r="AE819" i="19"/>
  <c r="AN819" i="19" s="1"/>
  <c r="AI818" i="19"/>
  <c r="AR818" i="19" s="1"/>
  <c r="AI817" i="19"/>
  <c r="AR817" i="19" s="1"/>
  <c r="AE817" i="19"/>
  <c r="AN817" i="19" s="1"/>
  <c r="AI816" i="19"/>
  <c r="AR816" i="19" s="1"/>
  <c r="AE816" i="19"/>
  <c r="AN816" i="19" s="1"/>
  <c r="AI815" i="19"/>
  <c r="AR815" i="19" s="1"/>
  <c r="AE815" i="19"/>
  <c r="AN815" i="19" s="1"/>
  <c r="AI814" i="19"/>
  <c r="AR814" i="19" s="1"/>
  <c r="AE814" i="19"/>
  <c r="AN814" i="19" s="1"/>
  <c r="AI813" i="19"/>
  <c r="AR813" i="19" s="1"/>
  <c r="AE813" i="19"/>
  <c r="AN813" i="19" s="1"/>
  <c r="AI812" i="19"/>
  <c r="AR812" i="19" s="1"/>
  <c r="AE812" i="19"/>
  <c r="AN812" i="19" s="1"/>
  <c r="AI811" i="19"/>
  <c r="AR811" i="19" s="1"/>
  <c r="AE811" i="19"/>
  <c r="AN811" i="19" s="1"/>
  <c r="AI810" i="19"/>
  <c r="AR810" i="19" s="1"/>
  <c r="AI809" i="19"/>
  <c r="AR809" i="19" s="1"/>
  <c r="AE809" i="19"/>
  <c r="AN809" i="19" s="1"/>
  <c r="AI808" i="19"/>
  <c r="AR808" i="19" s="1"/>
  <c r="AE808" i="19"/>
  <c r="AN808" i="19" s="1"/>
  <c r="AI807" i="19"/>
  <c r="AR807" i="19" s="1"/>
  <c r="AE807" i="19"/>
  <c r="AN807" i="19" s="1"/>
  <c r="AI806" i="19"/>
  <c r="AR806" i="19" s="1"/>
  <c r="AE806" i="19"/>
  <c r="AN806" i="19" s="1"/>
  <c r="AI805" i="19"/>
  <c r="AR805" i="19" s="1"/>
  <c r="AE805" i="19"/>
  <c r="AN805" i="19" s="1"/>
  <c r="AI804" i="19"/>
  <c r="AR804" i="19" s="1"/>
  <c r="AE804" i="19"/>
  <c r="AN804" i="19" s="1"/>
  <c r="AI803" i="19"/>
  <c r="AR803" i="19" s="1"/>
  <c r="AE803" i="19"/>
  <c r="AN803" i="19" s="1"/>
  <c r="AI802" i="19"/>
  <c r="AR802" i="19" s="1"/>
  <c r="AI801" i="19"/>
  <c r="AR801" i="19" s="1"/>
  <c r="AE801" i="19"/>
  <c r="AN801" i="19" s="1"/>
  <c r="AI800" i="19"/>
  <c r="AR800" i="19" s="1"/>
  <c r="AE800" i="19"/>
  <c r="AN800" i="19" s="1"/>
  <c r="AI799" i="19"/>
  <c r="AR799" i="19" s="1"/>
  <c r="AE799" i="19"/>
  <c r="AN799" i="19" s="1"/>
  <c r="AI798" i="19"/>
  <c r="AR798" i="19" s="1"/>
  <c r="AE798" i="19"/>
  <c r="AN798" i="19" s="1"/>
  <c r="AI797" i="19"/>
  <c r="AR797" i="19" s="1"/>
  <c r="AE797" i="19"/>
  <c r="AN797" i="19" s="1"/>
  <c r="AI796" i="19"/>
  <c r="AR796" i="19" s="1"/>
  <c r="AE796" i="19"/>
  <c r="AN796" i="19" s="1"/>
  <c r="AI795" i="19"/>
  <c r="AR795" i="19" s="1"/>
  <c r="AE795" i="19"/>
  <c r="AN795" i="19" s="1"/>
  <c r="AI794" i="19"/>
  <c r="AR794" i="19" s="1"/>
  <c r="AI793" i="19"/>
  <c r="AR793" i="19" s="1"/>
  <c r="AE793" i="19"/>
  <c r="AN793" i="19" s="1"/>
  <c r="AI792" i="19"/>
  <c r="AR792" i="19" s="1"/>
  <c r="AE792" i="19"/>
  <c r="AN792" i="19" s="1"/>
  <c r="AI791" i="19"/>
  <c r="AR791" i="19" s="1"/>
  <c r="AE791" i="19"/>
  <c r="AN791" i="19" s="1"/>
  <c r="AI790" i="19"/>
  <c r="AR790" i="19" s="1"/>
  <c r="AE790" i="19"/>
  <c r="AN790" i="19" s="1"/>
  <c r="AI789" i="19"/>
  <c r="AR789" i="19" s="1"/>
  <c r="AE789" i="19"/>
  <c r="AN789" i="19" s="1"/>
  <c r="AI788" i="19"/>
  <c r="AR788" i="19" s="1"/>
  <c r="AE788" i="19"/>
  <c r="AN788" i="19" s="1"/>
  <c r="AI787" i="19"/>
  <c r="AR787" i="19" s="1"/>
  <c r="AE787" i="19"/>
  <c r="AN787" i="19" s="1"/>
  <c r="AI786" i="19"/>
  <c r="AR786" i="19" s="1"/>
  <c r="AI785" i="19"/>
  <c r="AR785" i="19" s="1"/>
  <c r="AE785" i="19"/>
  <c r="AN785" i="19" s="1"/>
  <c r="AI784" i="19"/>
  <c r="AR784" i="19" s="1"/>
  <c r="AE784" i="19"/>
  <c r="AN784" i="19" s="1"/>
  <c r="AI783" i="19"/>
  <c r="AR783" i="19" s="1"/>
  <c r="AE783" i="19"/>
  <c r="AN783" i="19" s="1"/>
  <c r="AI782" i="19"/>
  <c r="AR782" i="19" s="1"/>
  <c r="AE782" i="19"/>
  <c r="AN782" i="19" s="1"/>
  <c r="AI781" i="19"/>
  <c r="AR781" i="19" s="1"/>
  <c r="AE781" i="19"/>
  <c r="AN781" i="19" s="1"/>
  <c r="AI780" i="19"/>
  <c r="AR780" i="19" s="1"/>
  <c r="AE780" i="19"/>
  <c r="AN780" i="19" s="1"/>
  <c r="AI779" i="19"/>
  <c r="AR779" i="19" s="1"/>
  <c r="AE779" i="19"/>
  <c r="AN779" i="19" s="1"/>
  <c r="AI778" i="19"/>
  <c r="AR778" i="19" s="1"/>
  <c r="AI777" i="19"/>
  <c r="AR777" i="19" s="1"/>
  <c r="AE777" i="19"/>
  <c r="AN777" i="19" s="1"/>
  <c r="AI776" i="19"/>
  <c r="AR776" i="19" s="1"/>
  <c r="AE776" i="19"/>
  <c r="AN776" i="19" s="1"/>
  <c r="AI775" i="19"/>
  <c r="AR775" i="19" s="1"/>
  <c r="AE775" i="19"/>
  <c r="AN775" i="19" s="1"/>
  <c r="AI774" i="19"/>
  <c r="AR774" i="19" s="1"/>
  <c r="AE774" i="19"/>
  <c r="AN774" i="19" s="1"/>
  <c r="AI773" i="19"/>
  <c r="AR773" i="19" s="1"/>
  <c r="AE773" i="19"/>
  <c r="AN773" i="19" s="1"/>
  <c r="AI772" i="19"/>
  <c r="AR772" i="19" s="1"/>
  <c r="AE772" i="19"/>
  <c r="AN772" i="19" s="1"/>
  <c r="AI771" i="19"/>
  <c r="AR771" i="19" s="1"/>
  <c r="AE771" i="19"/>
  <c r="AN771" i="19" s="1"/>
  <c r="AI770" i="19"/>
  <c r="AR770" i="19" s="1"/>
  <c r="AI769" i="19"/>
  <c r="AR769" i="19" s="1"/>
  <c r="AE769" i="19"/>
  <c r="AN769" i="19" s="1"/>
  <c r="AI768" i="19"/>
  <c r="AR768" i="19" s="1"/>
  <c r="AE768" i="19"/>
  <c r="AN768" i="19" s="1"/>
  <c r="AI767" i="19"/>
  <c r="AR767" i="19" s="1"/>
  <c r="AE767" i="19"/>
  <c r="AN767" i="19" s="1"/>
  <c r="AI766" i="19"/>
  <c r="AR766" i="19" s="1"/>
  <c r="AE766" i="19"/>
  <c r="AN766" i="19" s="1"/>
  <c r="AI765" i="19"/>
  <c r="AR765" i="19" s="1"/>
  <c r="AE765" i="19"/>
  <c r="AN765" i="19" s="1"/>
  <c r="AI764" i="19"/>
  <c r="AR764" i="19" s="1"/>
  <c r="AE764" i="19"/>
  <c r="AN764" i="19" s="1"/>
  <c r="AI763" i="19"/>
  <c r="AR763" i="19" s="1"/>
  <c r="AE763" i="19"/>
  <c r="AN763" i="19" s="1"/>
  <c r="AI762" i="19"/>
  <c r="AR762" i="19" s="1"/>
  <c r="AI761" i="19"/>
  <c r="AR761" i="19" s="1"/>
  <c r="AE761" i="19"/>
  <c r="AN761" i="19" s="1"/>
  <c r="AI760" i="19"/>
  <c r="AR760" i="19" s="1"/>
  <c r="AE760" i="19"/>
  <c r="AN760" i="19" s="1"/>
  <c r="AI759" i="19"/>
  <c r="AR759" i="19" s="1"/>
  <c r="AE759" i="19"/>
  <c r="AN759" i="19" s="1"/>
  <c r="AI758" i="19"/>
  <c r="AR758" i="19" s="1"/>
  <c r="AE758" i="19"/>
  <c r="AN758" i="19" s="1"/>
  <c r="AI757" i="19"/>
  <c r="AR757" i="19" s="1"/>
  <c r="AE757" i="19"/>
  <c r="AN757" i="19" s="1"/>
  <c r="AI756" i="19"/>
  <c r="AR756" i="19" s="1"/>
  <c r="AE756" i="19"/>
  <c r="AN756" i="19" s="1"/>
  <c r="AI755" i="19"/>
  <c r="AR755" i="19" s="1"/>
  <c r="AE755" i="19"/>
  <c r="AN755" i="19" s="1"/>
  <c r="AI754" i="19"/>
  <c r="AR754" i="19" s="1"/>
  <c r="AI753" i="19"/>
  <c r="AR753" i="19" s="1"/>
  <c r="AE753" i="19"/>
  <c r="AN753" i="19" s="1"/>
  <c r="AI752" i="19"/>
  <c r="AR752" i="19" s="1"/>
  <c r="AE752" i="19"/>
  <c r="AN752" i="19" s="1"/>
  <c r="AI751" i="19"/>
  <c r="AR751" i="19" s="1"/>
  <c r="AE751" i="19"/>
  <c r="AN751" i="19" s="1"/>
  <c r="AI750" i="19"/>
  <c r="AR750" i="19" s="1"/>
  <c r="AE750" i="19"/>
  <c r="AN750" i="19" s="1"/>
  <c r="AI749" i="19"/>
  <c r="AR749" i="19" s="1"/>
  <c r="AE749" i="19"/>
  <c r="AN749" i="19" s="1"/>
  <c r="AI748" i="19"/>
  <c r="AR748" i="19" s="1"/>
  <c r="AE748" i="19"/>
  <c r="AN748" i="19" s="1"/>
  <c r="AI747" i="19"/>
  <c r="AR747" i="19" s="1"/>
  <c r="AE747" i="19"/>
  <c r="AN747" i="19" s="1"/>
  <c r="AI746" i="19"/>
  <c r="AR746" i="19" s="1"/>
  <c r="AI745" i="19"/>
  <c r="AR745" i="19" s="1"/>
  <c r="AE745" i="19"/>
  <c r="AN745" i="19" s="1"/>
  <c r="AI744" i="19"/>
  <c r="AR744" i="19" s="1"/>
  <c r="AE744" i="19"/>
  <c r="AN744" i="19" s="1"/>
  <c r="AI743" i="19"/>
  <c r="AR743" i="19" s="1"/>
  <c r="AE743" i="19"/>
  <c r="AN743" i="19" s="1"/>
  <c r="AI742" i="19"/>
  <c r="AR742" i="19" s="1"/>
  <c r="AE742" i="19"/>
  <c r="AN742" i="19" s="1"/>
  <c r="AI741" i="19"/>
  <c r="AR741" i="19" s="1"/>
  <c r="AE741" i="19"/>
  <c r="AN741" i="19" s="1"/>
  <c r="AI740" i="19"/>
  <c r="AR740" i="19" s="1"/>
  <c r="AE740" i="19"/>
  <c r="AN740" i="19" s="1"/>
  <c r="AI739" i="19"/>
  <c r="AR739" i="19" s="1"/>
  <c r="AE739" i="19"/>
  <c r="AN739" i="19" s="1"/>
  <c r="AI738" i="19"/>
  <c r="AR738" i="19" s="1"/>
  <c r="AI737" i="19"/>
  <c r="AR737" i="19" s="1"/>
  <c r="AE737" i="19"/>
  <c r="AN737" i="19" s="1"/>
  <c r="AI736" i="19"/>
  <c r="AR736" i="19" s="1"/>
  <c r="AE736" i="19"/>
  <c r="AN736" i="19" s="1"/>
  <c r="AI735" i="19"/>
  <c r="AR735" i="19" s="1"/>
  <c r="AE735" i="19"/>
  <c r="AN735" i="19" s="1"/>
  <c r="AI734" i="19"/>
  <c r="AR734" i="19" s="1"/>
  <c r="AE734" i="19"/>
  <c r="AN734" i="19" s="1"/>
  <c r="AI733" i="19"/>
  <c r="AR733" i="19" s="1"/>
  <c r="AE733" i="19"/>
  <c r="AN733" i="19" s="1"/>
  <c r="AI732" i="19"/>
  <c r="AR732" i="19" s="1"/>
  <c r="AE732" i="19"/>
  <c r="AN732" i="19" s="1"/>
  <c r="AI731" i="19"/>
  <c r="AR731" i="19" s="1"/>
  <c r="AE731" i="19"/>
  <c r="AN731" i="19" s="1"/>
  <c r="AI730" i="19"/>
  <c r="AR730" i="19" s="1"/>
  <c r="AI729" i="19"/>
  <c r="AR729" i="19" s="1"/>
  <c r="AE729" i="19"/>
  <c r="AN729" i="19" s="1"/>
  <c r="AI728" i="19"/>
  <c r="AR728" i="19" s="1"/>
  <c r="AE728" i="19"/>
  <c r="AN728" i="19" s="1"/>
  <c r="AI727" i="19"/>
  <c r="AR727" i="19" s="1"/>
  <c r="AE727" i="19"/>
  <c r="AN727" i="19" s="1"/>
  <c r="AI726" i="19"/>
  <c r="AR726" i="19" s="1"/>
  <c r="AE726" i="19"/>
  <c r="AN726" i="19" s="1"/>
  <c r="AI725" i="19"/>
  <c r="AR725" i="19" s="1"/>
  <c r="AE725" i="19"/>
  <c r="AN725" i="19" s="1"/>
  <c r="AI724" i="19"/>
  <c r="AR724" i="19" s="1"/>
  <c r="AE724" i="19"/>
  <c r="AN724" i="19" s="1"/>
  <c r="AI723" i="19"/>
  <c r="AR723" i="19" s="1"/>
  <c r="AE723" i="19"/>
  <c r="AN723" i="19" s="1"/>
  <c r="AI722" i="19"/>
  <c r="AR722" i="19" s="1"/>
  <c r="AI721" i="19"/>
  <c r="AR721" i="19" s="1"/>
  <c r="AE721" i="19"/>
  <c r="AN721" i="19" s="1"/>
  <c r="AI720" i="19"/>
  <c r="AR720" i="19" s="1"/>
  <c r="AE720" i="19"/>
  <c r="AN720" i="19" s="1"/>
  <c r="AI719" i="19"/>
  <c r="AR719" i="19" s="1"/>
  <c r="AE719" i="19"/>
  <c r="AN719" i="19" s="1"/>
  <c r="AI718" i="19"/>
  <c r="AR718" i="19" s="1"/>
  <c r="AE718" i="19"/>
  <c r="AN718" i="19" s="1"/>
  <c r="AI717" i="19"/>
  <c r="AR717" i="19" s="1"/>
  <c r="AE717" i="19"/>
  <c r="AN717" i="19" s="1"/>
  <c r="AI716" i="19"/>
  <c r="AR716" i="19" s="1"/>
  <c r="AE716" i="19"/>
  <c r="AN716" i="19" s="1"/>
  <c r="AI715" i="19"/>
  <c r="AR715" i="19" s="1"/>
  <c r="AE715" i="19"/>
  <c r="AN715" i="19" s="1"/>
  <c r="AI714" i="19"/>
  <c r="AR714" i="19" s="1"/>
  <c r="AI713" i="19"/>
  <c r="AR713" i="19" s="1"/>
  <c r="AE713" i="19"/>
  <c r="AN713" i="19" s="1"/>
  <c r="AI712" i="19"/>
  <c r="AR712" i="19" s="1"/>
  <c r="AE712" i="19"/>
  <c r="AN712" i="19" s="1"/>
  <c r="AI711" i="19"/>
  <c r="AR711" i="19" s="1"/>
  <c r="AE711" i="19"/>
  <c r="AN711" i="19" s="1"/>
  <c r="AI710" i="19"/>
  <c r="AR710" i="19" s="1"/>
  <c r="AE710" i="19"/>
  <c r="AN710" i="19" s="1"/>
  <c r="AI709" i="19"/>
  <c r="AR709" i="19" s="1"/>
  <c r="AE709" i="19"/>
  <c r="AN709" i="19" s="1"/>
  <c r="AI708" i="19"/>
  <c r="AR708" i="19" s="1"/>
  <c r="AE708" i="19"/>
  <c r="AN708" i="19" s="1"/>
  <c r="AI707" i="19"/>
  <c r="AR707" i="19" s="1"/>
  <c r="AE707" i="19"/>
  <c r="AN707" i="19" s="1"/>
  <c r="AI706" i="19"/>
  <c r="AR706" i="19" s="1"/>
  <c r="AI705" i="19"/>
  <c r="AR705" i="19" s="1"/>
  <c r="AE705" i="19"/>
  <c r="AN705" i="19" s="1"/>
  <c r="AI704" i="19"/>
  <c r="AR704" i="19" s="1"/>
  <c r="AE704" i="19"/>
  <c r="AN704" i="19" s="1"/>
  <c r="AI703" i="19"/>
  <c r="AR703" i="19" s="1"/>
  <c r="AE703" i="19"/>
  <c r="AN703" i="19" s="1"/>
  <c r="AI702" i="19"/>
  <c r="AR702" i="19" s="1"/>
  <c r="AE702" i="19"/>
  <c r="AN702" i="19" s="1"/>
  <c r="AI701" i="19"/>
  <c r="AR701" i="19" s="1"/>
  <c r="AE701" i="19"/>
  <c r="AN701" i="19" s="1"/>
  <c r="AI700" i="19"/>
  <c r="AR700" i="19" s="1"/>
  <c r="AE700" i="19"/>
  <c r="AN700" i="19" s="1"/>
  <c r="AI699" i="19"/>
  <c r="AR699" i="19" s="1"/>
  <c r="AE699" i="19"/>
  <c r="AN699" i="19" s="1"/>
  <c r="AI698" i="19"/>
  <c r="AR698" i="19" s="1"/>
  <c r="AI697" i="19"/>
  <c r="AR697" i="19" s="1"/>
  <c r="AE697" i="19"/>
  <c r="AN697" i="19" s="1"/>
  <c r="AI696" i="19"/>
  <c r="AR696" i="19" s="1"/>
  <c r="AE696" i="19"/>
  <c r="AN696" i="19" s="1"/>
  <c r="AI695" i="19"/>
  <c r="AR695" i="19" s="1"/>
  <c r="AE695" i="19"/>
  <c r="AN695" i="19" s="1"/>
  <c r="AI694" i="19"/>
  <c r="AR694" i="19" s="1"/>
  <c r="AE694" i="19"/>
  <c r="AN694" i="19" s="1"/>
  <c r="AI693" i="19"/>
  <c r="AR693" i="19" s="1"/>
  <c r="AE693" i="19"/>
  <c r="AN693" i="19" s="1"/>
  <c r="AI692" i="19"/>
  <c r="AR692" i="19" s="1"/>
  <c r="AE692" i="19"/>
  <c r="AN692" i="19" s="1"/>
  <c r="AI691" i="19"/>
  <c r="AR691" i="19" s="1"/>
  <c r="AE691" i="19"/>
  <c r="AN691" i="19" s="1"/>
  <c r="AI690" i="19"/>
  <c r="AR690" i="19" s="1"/>
  <c r="AI689" i="19"/>
  <c r="AR689" i="19" s="1"/>
  <c r="AE689" i="19"/>
  <c r="AN689" i="19" s="1"/>
  <c r="AI688" i="19"/>
  <c r="AR688" i="19" s="1"/>
  <c r="AE688" i="19"/>
  <c r="AN688" i="19" s="1"/>
  <c r="AI687" i="19"/>
  <c r="AR687" i="19" s="1"/>
  <c r="AE687" i="19"/>
  <c r="AN687" i="19" s="1"/>
  <c r="AI686" i="19"/>
  <c r="AR686" i="19" s="1"/>
  <c r="AE686" i="19"/>
  <c r="AN686" i="19" s="1"/>
  <c r="AI685" i="19"/>
  <c r="AR685" i="19" s="1"/>
  <c r="AE685" i="19"/>
  <c r="AN685" i="19" s="1"/>
  <c r="AI684" i="19"/>
  <c r="AR684" i="19" s="1"/>
  <c r="AE684" i="19"/>
  <c r="AN684" i="19" s="1"/>
  <c r="AI683" i="19"/>
  <c r="AR683" i="19" s="1"/>
  <c r="AE683" i="19"/>
  <c r="AN683" i="19" s="1"/>
  <c r="AI682" i="19"/>
  <c r="AR682" i="19" s="1"/>
  <c r="AI681" i="19"/>
  <c r="AR681" i="19" s="1"/>
  <c r="AE681" i="19"/>
  <c r="AN681" i="19" s="1"/>
  <c r="AI680" i="19"/>
  <c r="AR680" i="19" s="1"/>
  <c r="AE680" i="19"/>
  <c r="AN680" i="19" s="1"/>
  <c r="AI679" i="19"/>
  <c r="AR679" i="19" s="1"/>
  <c r="AE679" i="19"/>
  <c r="AN679" i="19" s="1"/>
  <c r="AI678" i="19"/>
  <c r="AR678" i="19" s="1"/>
  <c r="AE678" i="19"/>
  <c r="AN678" i="19" s="1"/>
  <c r="AI677" i="19"/>
  <c r="AR677" i="19" s="1"/>
  <c r="AE677" i="19"/>
  <c r="AN677" i="19" s="1"/>
  <c r="AI676" i="19"/>
  <c r="AR676" i="19" s="1"/>
  <c r="AE676" i="19"/>
  <c r="AN676" i="19" s="1"/>
  <c r="AI675" i="19"/>
  <c r="AR675" i="19" s="1"/>
  <c r="AE675" i="19"/>
  <c r="AN675" i="19" s="1"/>
  <c r="AI674" i="19"/>
  <c r="AR674" i="19" s="1"/>
  <c r="AI673" i="19"/>
  <c r="AR673" i="19" s="1"/>
  <c r="AE673" i="19"/>
  <c r="AN673" i="19" s="1"/>
  <c r="AI672" i="19"/>
  <c r="AR672" i="19" s="1"/>
  <c r="AE672" i="19"/>
  <c r="AN672" i="19" s="1"/>
  <c r="AI671" i="19"/>
  <c r="AR671" i="19" s="1"/>
  <c r="AE671" i="19"/>
  <c r="AN671" i="19" s="1"/>
  <c r="AI670" i="19"/>
  <c r="AR670" i="19" s="1"/>
  <c r="AE670" i="19"/>
  <c r="AN670" i="19" s="1"/>
  <c r="AI669" i="19"/>
  <c r="AR669" i="19" s="1"/>
  <c r="AE669" i="19"/>
  <c r="AN669" i="19" s="1"/>
  <c r="AI668" i="19"/>
  <c r="AR668" i="19" s="1"/>
  <c r="AE668" i="19"/>
  <c r="AN668" i="19" s="1"/>
  <c r="AI667" i="19"/>
  <c r="AR667" i="19" s="1"/>
  <c r="AE667" i="19"/>
  <c r="AN667" i="19" s="1"/>
  <c r="AI666" i="19"/>
  <c r="AR666" i="19" s="1"/>
  <c r="AE666" i="19"/>
  <c r="AN666" i="19" s="1"/>
  <c r="AI665" i="19"/>
  <c r="AR665" i="19" s="1"/>
  <c r="AE665" i="19"/>
  <c r="AN665" i="19" s="1"/>
  <c r="AI664" i="19"/>
  <c r="AR664" i="19" s="1"/>
  <c r="AE664" i="19"/>
  <c r="AN664" i="19" s="1"/>
  <c r="AI663" i="19"/>
  <c r="AR663" i="19" s="1"/>
  <c r="AE663" i="19"/>
  <c r="AN663" i="19" s="1"/>
  <c r="AI662" i="19"/>
  <c r="AR662" i="19" s="1"/>
  <c r="AE662" i="19"/>
  <c r="AN662" i="19" s="1"/>
  <c r="AI661" i="19"/>
  <c r="AR661" i="19" s="1"/>
  <c r="AE661" i="19"/>
  <c r="AN661" i="19" s="1"/>
  <c r="AI660" i="19"/>
  <c r="AR660" i="19" s="1"/>
  <c r="AE660" i="19"/>
  <c r="AN660" i="19" s="1"/>
  <c r="AI659" i="19"/>
  <c r="AR659" i="19" s="1"/>
  <c r="AE659" i="19"/>
  <c r="AN659" i="19" s="1"/>
  <c r="AI658" i="19"/>
  <c r="AR658" i="19" s="1"/>
  <c r="AE658" i="19"/>
  <c r="AN658" i="19" s="1"/>
  <c r="AI657" i="19"/>
  <c r="AR657" i="19" s="1"/>
  <c r="AE657" i="19"/>
  <c r="AN657" i="19" s="1"/>
  <c r="AI656" i="19"/>
  <c r="AR656" i="19" s="1"/>
  <c r="AE656" i="19"/>
  <c r="AN656" i="19" s="1"/>
  <c r="AI655" i="19"/>
  <c r="AR655" i="19" s="1"/>
  <c r="AI654" i="19"/>
  <c r="AR654" i="19" s="1"/>
  <c r="AE654" i="19"/>
  <c r="AN654" i="19" s="1"/>
  <c r="AI653" i="19"/>
  <c r="AR653" i="19" s="1"/>
  <c r="AE653" i="19"/>
  <c r="AN653" i="19" s="1"/>
  <c r="AI652" i="19"/>
  <c r="AR652" i="19" s="1"/>
  <c r="AE652" i="19"/>
  <c r="AN652" i="19" s="1"/>
  <c r="AI651" i="19"/>
  <c r="AR651" i="19" s="1"/>
  <c r="AE651" i="19"/>
  <c r="AN651" i="19" s="1"/>
  <c r="AI650" i="19"/>
  <c r="AR650" i="19" s="1"/>
  <c r="AE650" i="19"/>
  <c r="AN650" i="19" s="1"/>
  <c r="AI649" i="19"/>
  <c r="AR649" i="19" s="1"/>
  <c r="AE649" i="19"/>
  <c r="AN649" i="19" s="1"/>
  <c r="AI648" i="19"/>
  <c r="AR648" i="19" s="1"/>
  <c r="AE648" i="19"/>
  <c r="AN648" i="19" s="1"/>
  <c r="AI647" i="19"/>
  <c r="AR647" i="19" s="1"/>
  <c r="AE647" i="19"/>
  <c r="AN647" i="19" s="1"/>
  <c r="AI646" i="19"/>
  <c r="AR646" i="19" s="1"/>
  <c r="AE646" i="19"/>
  <c r="AN646" i="19" s="1"/>
  <c r="AI645" i="19"/>
  <c r="AR645" i="19" s="1"/>
  <c r="AE645" i="19"/>
  <c r="AN645" i="19" s="1"/>
  <c r="AI644" i="19"/>
  <c r="AR644" i="19" s="1"/>
  <c r="AE644" i="19"/>
  <c r="AN644" i="19" s="1"/>
  <c r="AI643" i="19"/>
  <c r="AR643" i="19" s="1"/>
  <c r="AE643" i="19"/>
  <c r="AN643" i="19" s="1"/>
  <c r="AI642" i="19"/>
  <c r="AR642" i="19" s="1"/>
  <c r="AE642" i="19"/>
  <c r="AN642" i="19" s="1"/>
  <c r="AI641" i="19"/>
  <c r="AR641" i="19" s="1"/>
  <c r="AE641" i="19"/>
  <c r="AN641" i="19" s="1"/>
  <c r="AI640" i="19"/>
  <c r="AR640" i="19" s="1"/>
  <c r="AE640" i="19"/>
  <c r="AN640" i="19" s="1"/>
  <c r="AI639" i="19"/>
  <c r="AR639" i="19" s="1"/>
  <c r="AE639" i="19"/>
  <c r="AN639" i="19" s="1"/>
  <c r="AI638" i="19"/>
  <c r="AR638" i="19" s="1"/>
  <c r="AE638" i="19"/>
  <c r="AN638" i="19" s="1"/>
  <c r="AI637" i="19"/>
  <c r="AR637" i="19" s="1"/>
  <c r="AE637" i="19"/>
  <c r="AN637" i="19" s="1"/>
  <c r="AI636" i="19"/>
  <c r="AR636" i="19" s="1"/>
  <c r="AE636" i="19"/>
  <c r="AN636" i="19" s="1"/>
  <c r="AI635" i="19"/>
  <c r="AR635" i="19" s="1"/>
  <c r="AE635" i="19"/>
  <c r="AN635" i="19" s="1"/>
  <c r="AI634" i="19"/>
  <c r="AR634" i="19" s="1"/>
  <c r="AE634" i="19"/>
  <c r="AN634" i="19" s="1"/>
  <c r="AI633" i="19"/>
  <c r="AR633" i="19" s="1"/>
  <c r="AE633" i="19"/>
  <c r="AN633" i="19" s="1"/>
  <c r="AI632" i="19"/>
  <c r="AR632" i="19" s="1"/>
  <c r="AE632" i="19"/>
  <c r="AN632" i="19" s="1"/>
  <c r="AI631" i="19"/>
  <c r="AR631" i="19" s="1"/>
  <c r="AE631" i="19"/>
  <c r="AN631" i="19" s="1"/>
  <c r="AI630" i="19"/>
  <c r="AR630" i="19" s="1"/>
  <c r="AE630" i="19"/>
  <c r="AN630" i="19" s="1"/>
  <c r="AI629" i="19"/>
  <c r="AR629" i="19" s="1"/>
  <c r="AE629" i="19"/>
  <c r="AN629" i="19" s="1"/>
  <c r="AI628" i="19"/>
  <c r="AR628" i="19" s="1"/>
  <c r="AE628" i="19"/>
  <c r="AN628" i="19" s="1"/>
  <c r="AI627" i="19"/>
  <c r="AR627" i="19" s="1"/>
  <c r="AE627" i="19"/>
  <c r="AN627" i="19" s="1"/>
  <c r="AI626" i="19"/>
  <c r="AR626" i="19" s="1"/>
  <c r="AE626" i="19"/>
  <c r="AN626" i="19" s="1"/>
  <c r="AI625" i="19"/>
  <c r="AR625" i="19" s="1"/>
  <c r="AE625" i="19"/>
  <c r="AN625" i="19" s="1"/>
  <c r="AI624" i="19"/>
  <c r="AR624" i="19" s="1"/>
  <c r="AE624" i="19"/>
  <c r="AN624" i="19" s="1"/>
  <c r="AI623" i="19"/>
  <c r="AR623" i="19" s="1"/>
  <c r="AE623" i="19"/>
  <c r="AN623" i="19" s="1"/>
  <c r="AI622" i="19"/>
  <c r="AR622" i="19" s="1"/>
  <c r="AE622" i="19"/>
  <c r="AN622" i="19" s="1"/>
  <c r="AI621" i="19"/>
  <c r="AR621" i="19" s="1"/>
  <c r="AE621" i="19"/>
  <c r="AN621" i="19" s="1"/>
  <c r="AI620" i="19"/>
  <c r="AR620" i="19" s="1"/>
  <c r="AE620" i="19"/>
  <c r="AN620" i="19" s="1"/>
  <c r="AI619" i="19"/>
  <c r="AR619" i="19" s="1"/>
  <c r="AE619" i="19"/>
  <c r="AN619" i="19" s="1"/>
  <c r="AI618" i="19"/>
  <c r="AR618" i="19" s="1"/>
  <c r="AE618" i="19"/>
  <c r="AN618" i="19" s="1"/>
  <c r="AI617" i="19"/>
  <c r="AR617" i="19" s="1"/>
  <c r="AE617" i="19"/>
  <c r="AN617" i="19" s="1"/>
  <c r="AI616" i="19"/>
  <c r="AR616" i="19" s="1"/>
  <c r="AE616" i="19"/>
  <c r="AN616" i="19" s="1"/>
  <c r="AI615" i="19"/>
  <c r="AR615" i="19" s="1"/>
  <c r="AE615" i="19"/>
  <c r="AN615" i="19" s="1"/>
  <c r="AI614" i="19"/>
  <c r="AR614" i="19" s="1"/>
  <c r="AE614" i="19"/>
  <c r="AN614" i="19" s="1"/>
  <c r="AI613" i="19"/>
  <c r="AR613" i="19" s="1"/>
  <c r="AE613" i="19"/>
  <c r="AN613" i="19" s="1"/>
  <c r="AI612" i="19"/>
  <c r="AR612" i="19" s="1"/>
  <c r="AE612" i="19"/>
  <c r="AN612" i="19" s="1"/>
  <c r="AI611" i="19"/>
  <c r="AR611" i="19" s="1"/>
  <c r="AE611" i="19"/>
  <c r="AN611" i="19" s="1"/>
  <c r="AI610" i="19"/>
  <c r="AR610" i="19" s="1"/>
  <c r="AE610" i="19"/>
  <c r="AN610" i="19" s="1"/>
  <c r="AI609" i="19"/>
  <c r="AR609" i="19" s="1"/>
  <c r="AE609" i="19"/>
  <c r="AN609" i="19" s="1"/>
  <c r="AI608" i="19"/>
  <c r="AR608" i="19" s="1"/>
  <c r="AE608" i="19"/>
  <c r="AN608" i="19" s="1"/>
  <c r="AI607" i="19"/>
  <c r="AR607" i="19" s="1"/>
  <c r="AE607" i="19"/>
  <c r="AN607" i="19" s="1"/>
  <c r="AI606" i="19"/>
  <c r="AR606" i="19" s="1"/>
  <c r="AE606" i="19"/>
  <c r="AN606" i="19" s="1"/>
  <c r="AI605" i="19"/>
  <c r="AR605" i="19" s="1"/>
  <c r="AE605" i="19"/>
  <c r="AN605" i="19" s="1"/>
  <c r="AI604" i="19"/>
  <c r="AR604" i="19" s="1"/>
  <c r="AE604" i="19"/>
  <c r="AN604" i="19" s="1"/>
  <c r="AI603" i="19"/>
  <c r="AR603" i="19" s="1"/>
  <c r="AE603" i="19"/>
  <c r="AN603" i="19" s="1"/>
  <c r="AI602" i="19"/>
  <c r="AR602" i="19" s="1"/>
  <c r="AE602" i="19"/>
  <c r="AN602" i="19" s="1"/>
  <c r="AI601" i="19"/>
  <c r="AR601" i="19" s="1"/>
  <c r="AE601" i="19"/>
  <c r="AN601" i="19" s="1"/>
  <c r="AI600" i="19"/>
  <c r="AR600" i="19" s="1"/>
  <c r="AE600" i="19"/>
  <c r="AN600" i="19" s="1"/>
  <c r="AI599" i="19"/>
  <c r="AR599" i="19" s="1"/>
  <c r="AE599" i="19"/>
  <c r="AN599" i="19" s="1"/>
  <c r="AI598" i="19"/>
  <c r="AR598" i="19" s="1"/>
  <c r="AE598" i="19"/>
  <c r="AN598" i="19" s="1"/>
  <c r="AI597" i="19"/>
  <c r="AR597" i="19" s="1"/>
  <c r="AE597" i="19"/>
  <c r="AN597" i="19" s="1"/>
  <c r="AI596" i="19"/>
  <c r="AR596" i="19" s="1"/>
  <c r="AE596" i="19"/>
  <c r="AN596" i="19" s="1"/>
  <c r="AI595" i="19"/>
  <c r="AR595" i="19" s="1"/>
  <c r="AE595" i="19"/>
  <c r="AN595" i="19" s="1"/>
  <c r="AI594" i="19"/>
  <c r="AR594" i="19" s="1"/>
  <c r="AE594" i="19"/>
  <c r="AN594" i="19" s="1"/>
  <c r="AI593" i="19"/>
  <c r="AR593" i="19" s="1"/>
  <c r="AE593" i="19"/>
  <c r="AN593" i="19" s="1"/>
  <c r="AI592" i="19"/>
  <c r="AR592" i="19" s="1"/>
  <c r="AE592" i="19"/>
  <c r="AN592" i="19" s="1"/>
  <c r="AI591" i="19"/>
  <c r="AR591" i="19" s="1"/>
  <c r="AE591" i="19"/>
  <c r="AN591" i="19" s="1"/>
  <c r="AI590" i="19"/>
  <c r="AR590" i="19" s="1"/>
  <c r="AE590" i="19"/>
  <c r="AN590" i="19" s="1"/>
  <c r="AI589" i="19"/>
  <c r="AR589" i="19" s="1"/>
  <c r="AE589" i="19"/>
  <c r="AN589" i="19" s="1"/>
  <c r="AI588" i="19"/>
  <c r="AR588" i="19" s="1"/>
  <c r="AE588" i="19"/>
  <c r="AN588" i="19" s="1"/>
  <c r="AI587" i="19"/>
  <c r="AR587" i="19" s="1"/>
  <c r="AE587" i="19"/>
  <c r="AN587" i="19" s="1"/>
  <c r="AI586" i="19"/>
  <c r="AR586" i="19" s="1"/>
  <c r="AE586" i="19"/>
  <c r="AN586" i="19" s="1"/>
  <c r="AI585" i="19"/>
  <c r="AR585" i="19" s="1"/>
  <c r="AE585" i="19"/>
  <c r="AN585" i="19" s="1"/>
  <c r="AI584" i="19"/>
  <c r="AR584" i="19" s="1"/>
  <c r="AE584" i="19"/>
  <c r="AN584" i="19" s="1"/>
  <c r="AI583" i="19"/>
  <c r="AR583" i="19" s="1"/>
  <c r="AE583" i="19"/>
  <c r="AN583" i="19" s="1"/>
  <c r="AI582" i="19"/>
  <c r="AR582" i="19" s="1"/>
  <c r="AE582" i="19"/>
  <c r="AN582" i="19" s="1"/>
  <c r="AI581" i="19"/>
  <c r="AR581" i="19" s="1"/>
  <c r="AE581" i="19"/>
  <c r="AN581" i="19" s="1"/>
  <c r="AI580" i="19"/>
  <c r="AR580" i="19" s="1"/>
  <c r="AE580" i="19"/>
  <c r="AN580" i="19" s="1"/>
  <c r="AI579" i="19"/>
  <c r="AR579" i="19" s="1"/>
  <c r="AE579" i="19"/>
  <c r="AN579" i="19" s="1"/>
  <c r="AI578" i="19"/>
  <c r="AR578" i="19" s="1"/>
  <c r="AE578" i="19"/>
  <c r="AN578" i="19" s="1"/>
  <c r="AI577" i="19"/>
  <c r="AR577" i="19" s="1"/>
  <c r="AE577" i="19"/>
  <c r="AN577" i="19" s="1"/>
  <c r="AI576" i="19"/>
  <c r="AR576" i="19" s="1"/>
  <c r="AE576" i="19"/>
  <c r="AN576" i="19" s="1"/>
  <c r="AI575" i="19"/>
  <c r="AR575" i="19" s="1"/>
  <c r="AE575" i="19"/>
  <c r="AN575" i="19" s="1"/>
  <c r="AI574" i="19"/>
  <c r="AR574" i="19" s="1"/>
  <c r="AE574" i="19"/>
  <c r="AN574" i="19" s="1"/>
  <c r="AI573" i="19"/>
  <c r="AR573" i="19" s="1"/>
  <c r="AE573" i="19"/>
  <c r="AN573" i="19" s="1"/>
  <c r="AI572" i="19"/>
  <c r="AR572" i="19" s="1"/>
  <c r="AE572" i="19"/>
  <c r="AN572" i="19" s="1"/>
  <c r="AI571" i="19"/>
  <c r="AR571" i="19" s="1"/>
  <c r="AE571" i="19"/>
  <c r="AN571" i="19" s="1"/>
  <c r="AI570" i="19"/>
  <c r="AR570" i="19" s="1"/>
  <c r="AE570" i="19"/>
  <c r="AN570" i="19" s="1"/>
  <c r="AI569" i="19"/>
  <c r="AR569" i="19" s="1"/>
  <c r="AE569" i="19"/>
  <c r="AN569" i="19" s="1"/>
  <c r="AI568" i="19"/>
  <c r="AR568" i="19" s="1"/>
  <c r="AE568" i="19"/>
  <c r="AN568" i="19" s="1"/>
  <c r="AI567" i="19"/>
  <c r="AR567" i="19" s="1"/>
  <c r="AE567" i="19"/>
  <c r="AN567" i="19" s="1"/>
  <c r="AI566" i="19"/>
  <c r="AR566" i="19" s="1"/>
  <c r="AE566" i="19"/>
  <c r="AN566" i="19" s="1"/>
  <c r="AI565" i="19"/>
  <c r="AR565" i="19" s="1"/>
  <c r="AE565" i="19"/>
  <c r="AN565" i="19" s="1"/>
  <c r="AI564" i="19"/>
  <c r="AR564" i="19" s="1"/>
  <c r="AE564" i="19"/>
  <c r="AN564" i="19" s="1"/>
  <c r="AI563" i="19"/>
  <c r="AR563" i="19" s="1"/>
  <c r="AE563" i="19"/>
  <c r="AN563" i="19" s="1"/>
  <c r="AI562" i="19"/>
  <c r="AR562" i="19" s="1"/>
  <c r="AE562" i="19"/>
  <c r="AN562" i="19" s="1"/>
  <c r="AI561" i="19"/>
  <c r="AR561" i="19" s="1"/>
  <c r="AE561" i="19"/>
  <c r="AN561" i="19" s="1"/>
  <c r="AI560" i="19"/>
  <c r="AR560" i="19" s="1"/>
  <c r="AE560" i="19"/>
  <c r="AN560" i="19" s="1"/>
  <c r="AI559" i="19"/>
  <c r="AR559" i="19" s="1"/>
  <c r="AE559" i="19"/>
  <c r="AN559" i="19" s="1"/>
  <c r="AI558" i="19"/>
  <c r="AR558" i="19" s="1"/>
  <c r="AE558" i="19"/>
  <c r="AN558" i="19" s="1"/>
  <c r="AI557" i="19"/>
  <c r="AR557" i="19" s="1"/>
  <c r="AE557" i="19"/>
  <c r="AN557" i="19" s="1"/>
  <c r="AI556" i="19"/>
  <c r="AR556" i="19" s="1"/>
  <c r="AE556" i="19"/>
  <c r="AN556" i="19" s="1"/>
  <c r="AI555" i="19"/>
  <c r="AR555" i="19" s="1"/>
  <c r="AE555" i="19"/>
  <c r="AN555" i="19" s="1"/>
  <c r="AI554" i="19"/>
  <c r="AR554" i="19" s="1"/>
  <c r="AE554" i="19"/>
  <c r="AN554" i="19" s="1"/>
  <c r="AI553" i="19"/>
  <c r="AR553" i="19" s="1"/>
  <c r="AE553" i="19"/>
  <c r="AN553" i="19" s="1"/>
  <c r="AI552" i="19"/>
  <c r="AR552" i="19" s="1"/>
  <c r="AE552" i="19"/>
  <c r="AN552" i="19" s="1"/>
  <c r="AI551" i="19"/>
  <c r="AR551" i="19" s="1"/>
  <c r="AE551" i="19"/>
  <c r="AN551" i="19" s="1"/>
  <c r="AI550" i="19"/>
  <c r="AR550" i="19" s="1"/>
  <c r="AE550" i="19"/>
  <c r="AN550" i="19" s="1"/>
  <c r="AI549" i="19"/>
  <c r="AR549" i="19" s="1"/>
  <c r="AE549" i="19"/>
  <c r="AN549" i="19" s="1"/>
  <c r="AI548" i="19"/>
  <c r="AR548" i="19" s="1"/>
  <c r="AE548" i="19"/>
  <c r="AN548" i="19" s="1"/>
  <c r="AI547" i="19"/>
  <c r="AR547" i="19" s="1"/>
  <c r="AE547" i="19"/>
  <c r="AN547" i="19" s="1"/>
  <c r="AI546" i="19"/>
  <c r="AR546" i="19" s="1"/>
  <c r="AE546" i="19"/>
  <c r="AN546" i="19" s="1"/>
  <c r="AI545" i="19"/>
  <c r="AR545" i="19" s="1"/>
  <c r="AE545" i="19"/>
  <c r="AN545" i="19" s="1"/>
  <c r="AI544" i="19"/>
  <c r="AR544" i="19" s="1"/>
  <c r="AE544" i="19"/>
  <c r="AN544" i="19" s="1"/>
  <c r="AI543" i="19"/>
  <c r="AR543" i="19" s="1"/>
  <c r="AE543" i="19"/>
  <c r="AN543" i="19" s="1"/>
  <c r="AI542" i="19"/>
  <c r="AR542" i="19" s="1"/>
  <c r="AE542" i="19"/>
  <c r="AN542" i="19" s="1"/>
  <c r="AI541" i="19"/>
  <c r="AR541" i="19" s="1"/>
  <c r="AE541" i="19"/>
  <c r="AN541" i="19" s="1"/>
  <c r="AI540" i="19"/>
  <c r="AR540" i="19" s="1"/>
  <c r="AE540" i="19"/>
  <c r="AN540" i="19" s="1"/>
  <c r="AI539" i="19"/>
  <c r="AR539" i="19" s="1"/>
  <c r="AE539" i="19"/>
  <c r="AN539" i="19" s="1"/>
  <c r="AI538" i="19"/>
  <c r="AR538" i="19" s="1"/>
  <c r="AE538" i="19"/>
  <c r="AN538" i="19" s="1"/>
  <c r="AI537" i="19"/>
  <c r="AR537" i="19" s="1"/>
  <c r="AE537" i="19"/>
  <c r="AN537" i="19" s="1"/>
  <c r="AI536" i="19"/>
  <c r="AR536" i="19" s="1"/>
  <c r="AE536" i="19"/>
  <c r="AN536" i="19" s="1"/>
  <c r="AI535" i="19"/>
  <c r="AR535" i="19" s="1"/>
  <c r="AE535" i="19"/>
  <c r="AN535" i="19" s="1"/>
  <c r="AI534" i="19"/>
  <c r="AR534" i="19" s="1"/>
  <c r="AE534" i="19"/>
  <c r="AN534" i="19" s="1"/>
  <c r="AI533" i="19"/>
  <c r="AR533" i="19" s="1"/>
  <c r="AE533" i="19"/>
  <c r="AN533" i="19" s="1"/>
  <c r="AI532" i="19"/>
  <c r="AR532" i="19" s="1"/>
  <c r="AE532" i="19"/>
  <c r="AN532" i="19" s="1"/>
  <c r="AI531" i="19"/>
  <c r="AR531" i="19" s="1"/>
  <c r="AE531" i="19"/>
  <c r="AN531" i="19" s="1"/>
  <c r="AI530" i="19"/>
  <c r="AR530" i="19" s="1"/>
  <c r="AE530" i="19"/>
  <c r="AN530" i="19" s="1"/>
  <c r="AI529" i="19"/>
  <c r="AR529" i="19" s="1"/>
  <c r="AE529" i="19"/>
  <c r="AN529" i="19" s="1"/>
  <c r="AI528" i="19"/>
  <c r="AR528" i="19" s="1"/>
  <c r="AE528" i="19"/>
  <c r="AN528" i="19" s="1"/>
  <c r="AI527" i="19"/>
  <c r="AR527" i="19" s="1"/>
  <c r="AE527" i="19"/>
  <c r="AN527" i="19" s="1"/>
  <c r="AI526" i="19"/>
  <c r="AR526" i="19" s="1"/>
  <c r="AE526" i="19"/>
  <c r="AN526" i="19" s="1"/>
  <c r="AI525" i="19"/>
  <c r="AR525" i="19" s="1"/>
  <c r="AE525" i="19"/>
  <c r="AN525" i="19" s="1"/>
  <c r="AI524" i="19"/>
  <c r="AR524" i="19" s="1"/>
  <c r="AE524" i="19"/>
  <c r="AN524" i="19" s="1"/>
  <c r="AI523" i="19"/>
  <c r="AR523" i="19" s="1"/>
  <c r="AE523" i="19"/>
  <c r="AN523" i="19" s="1"/>
  <c r="AI522" i="19"/>
  <c r="AR522" i="19" s="1"/>
  <c r="AE522" i="19"/>
  <c r="AN522" i="19" s="1"/>
  <c r="AI521" i="19"/>
  <c r="AR521" i="19" s="1"/>
  <c r="AE521" i="19"/>
  <c r="AN521" i="19" s="1"/>
  <c r="AI520" i="19"/>
  <c r="AR520" i="19" s="1"/>
  <c r="AE520" i="19"/>
  <c r="AN520" i="19" s="1"/>
  <c r="AI519" i="19"/>
  <c r="AR519" i="19" s="1"/>
  <c r="AE519" i="19"/>
  <c r="AN519" i="19" s="1"/>
  <c r="AI518" i="19"/>
  <c r="AR518" i="19" s="1"/>
  <c r="AE518" i="19"/>
  <c r="AN518" i="19" s="1"/>
  <c r="AI517" i="19"/>
  <c r="AR517" i="19" s="1"/>
  <c r="AE517" i="19"/>
  <c r="AN517" i="19" s="1"/>
  <c r="AI516" i="19"/>
  <c r="AR516" i="19" s="1"/>
  <c r="AE516" i="19"/>
  <c r="AN516" i="19" s="1"/>
  <c r="AI515" i="19"/>
  <c r="AR515" i="19" s="1"/>
  <c r="AE515" i="19"/>
  <c r="AN515" i="19" s="1"/>
  <c r="AI514" i="19"/>
  <c r="AR514" i="19" s="1"/>
  <c r="AE514" i="19"/>
  <c r="AN514" i="19" s="1"/>
  <c r="AI513" i="19"/>
  <c r="AR513" i="19" s="1"/>
  <c r="AE513" i="19"/>
  <c r="AN513" i="19" s="1"/>
  <c r="AI512" i="19"/>
  <c r="AR512" i="19" s="1"/>
  <c r="AE512" i="19"/>
  <c r="AN512" i="19" s="1"/>
  <c r="AI511" i="19"/>
  <c r="AR511" i="19" s="1"/>
  <c r="AE511" i="19"/>
  <c r="AN511" i="19" s="1"/>
  <c r="AI510" i="19"/>
  <c r="AR510" i="19" s="1"/>
  <c r="AE510" i="19"/>
  <c r="AN510" i="19" s="1"/>
  <c r="AI509" i="19"/>
  <c r="AR509" i="19" s="1"/>
  <c r="AE509" i="19"/>
  <c r="AN509" i="19" s="1"/>
  <c r="AI508" i="19"/>
  <c r="AR508" i="19" s="1"/>
  <c r="AE508" i="19"/>
  <c r="AN508" i="19" s="1"/>
  <c r="AI507" i="19"/>
  <c r="AR507" i="19" s="1"/>
  <c r="AE507" i="19"/>
  <c r="AN507" i="19" s="1"/>
  <c r="AI506" i="19"/>
  <c r="AR506" i="19" s="1"/>
  <c r="AE506" i="19"/>
  <c r="AN506" i="19" s="1"/>
  <c r="AI505" i="19"/>
  <c r="AR505" i="19" s="1"/>
  <c r="AE505" i="19"/>
  <c r="AN505" i="19" s="1"/>
  <c r="AI504" i="19"/>
  <c r="AR504" i="19" s="1"/>
  <c r="AE504" i="19"/>
  <c r="AN504" i="19" s="1"/>
  <c r="AI503" i="19"/>
  <c r="AR503" i="19" s="1"/>
  <c r="AE503" i="19"/>
  <c r="AN503" i="19" s="1"/>
  <c r="AI502" i="19"/>
  <c r="AR502" i="19" s="1"/>
  <c r="AE502" i="19"/>
  <c r="AN502" i="19" s="1"/>
  <c r="AI501" i="19"/>
  <c r="AR501" i="19" s="1"/>
  <c r="AE501" i="19"/>
  <c r="AN501" i="19" s="1"/>
  <c r="AI500" i="19"/>
  <c r="AR500" i="19" s="1"/>
  <c r="AE500" i="19"/>
  <c r="AN500" i="19" s="1"/>
  <c r="AI499" i="19"/>
  <c r="AR499" i="19" s="1"/>
  <c r="AE499" i="19"/>
  <c r="AN499" i="19" s="1"/>
  <c r="AI498" i="19"/>
  <c r="AR498" i="19" s="1"/>
  <c r="AE498" i="19"/>
  <c r="AN498" i="19" s="1"/>
  <c r="AI497" i="19"/>
  <c r="AR497" i="19" s="1"/>
  <c r="AE497" i="19"/>
  <c r="AN497" i="19" s="1"/>
  <c r="AI496" i="19"/>
  <c r="AR496" i="19" s="1"/>
  <c r="AE496" i="19"/>
  <c r="AN496" i="19" s="1"/>
  <c r="AI495" i="19"/>
  <c r="AR495" i="19" s="1"/>
  <c r="AE495" i="19"/>
  <c r="AN495" i="19" s="1"/>
  <c r="AI494" i="19"/>
  <c r="AR494" i="19" s="1"/>
  <c r="AE494" i="19"/>
  <c r="AN494" i="19" s="1"/>
  <c r="AI493" i="19"/>
  <c r="AR493" i="19" s="1"/>
  <c r="AE493" i="19"/>
  <c r="AN493" i="19" s="1"/>
  <c r="AI492" i="19"/>
  <c r="AR492" i="19" s="1"/>
  <c r="AE492" i="19"/>
  <c r="AN492" i="19" s="1"/>
  <c r="AI491" i="19"/>
  <c r="AR491" i="19" s="1"/>
  <c r="AE491" i="19"/>
  <c r="AN491" i="19" s="1"/>
  <c r="AI490" i="19"/>
  <c r="AR490" i="19" s="1"/>
  <c r="AE490" i="19"/>
  <c r="AN490" i="19" s="1"/>
  <c r="AI489" i="19"/>
  <c r="AR489" i="19" s="1"/>
  <c r="AE489" i="19"/>
  <c r="AN489" i="19" s="1"/>
  <c r="AI488" i="19"/>
  <c r="AR488" i="19" s="1"/>
  <c r="AE488" i="19"/>
  <c r="AN488" i="19" s="1"/>
  <c r="AI487" i="19"/>
  <c r="AR487" i="19" s="1"/>
  <c r="AE487" i="19"/>
  <c r="AN487" i="19" s="1"/>
  <c r="AI486" i="19"/>
  <c r="AR486" i="19" s="1"/>
  <c r="AE486" i="19"/>
  <c r="AN486" i="19" s="1"/>
  <c r="AI485" i="19"/>
  <c r="AR485" i="19" s="1"/>
  <c r="AE485" i="19"/>
  <c r="AN485" i="19" s="1"/>
  <c r="AI484" i="19"/>
  <c r="AR484" i="19" s="1"/>
  <c r="AE484" i="19"/>
  <c r="AN484" i="19" s="1"/>
  <c r="AI483" i="19"/>
  <c r="AR483" i="19" s="1"/>
  <c r="AE483" i="19"/>
  <c r="AN483" i="19" s="1"/>
  <c r="AI482" i="19"/>
  <c r="AR482" i="19" s="1"/>
  <c r="AE482" i="19"/>
  <c r="AN482" i="19" s="1"/>
  <c r="AI481" i="19"/>
  <c r="AR481" i="19" s="1"/>
  <c r="AE481" i="19"/>
  <c r="AN481" i="19" s="1"/>
  <c r="AI480" i="19"/>
  <c r="AR480" i="19" s="1"/>
  <c r="AE480" i="19"/>
  <c r="AN480" i="19" s="1"/>
  <c r="AI479" i="19"/>
  <c r="AR479" i="19" s="1"/>
  <c r="AE479" i="19"/>
  <c r="AN479" i="19" s="1"/>
  <c r="AI478" i="19"/>
  <c r="AR478" i="19" s="1"/>
  <c r="AE478" i="19"/>
  <c r="AN478" i="19" s="1"/>
  <c r="AI477" i="19"/>
  <c r="AR477" i="19" s="1"/>
  <c r="AE477" i="19"/>
  <c r="AN477" i="19" s="1"/>
  <c r="AI476" i="19"/>
  <c r="AR476" i="19" s="1"/>
  <c r="AE476" i="19"/>
  <c r="AN476" i="19" s="1"/>
  <c r="AI475" i="19"/>
  <c r="AR475" i="19" s="1"/>
  <c r="AE475" i="19"/>
  <c r="AN475" i="19" s="1"/>
  <c r="AI474" i="19"/>
  <c r="AR474" i="19" s="1"/>
  <c r="AE474" i="19"/>
  <c r="AN474" i="19" s="1"/>
  <c r="AI473" i="19"/>
  <c r="AR473" i="19" s="1"/>
  <c r="AE473" i="19"/>
  <c r="AN473" i="19" s="1"/>
  <c r="AI472" i="19"/>
  <c r="AR472" i="19" s="1"/>
  <c r="AE472" i="19"/>
  <c r="AN472" i="19" s="1"/>
  <c r="AI471" i="19"/>
  <c r="AR471" i="19" s="1"/>
  <c r="AE471" i="19"/>
  <c r="AN471" i="19" s="1"/>
  <c r="AI470" i="19"/>
  <c r="AR470" i="19" s="1"/>
  <c r="AE470" i="19"/>
  <c r="AN470" i="19" s="1"/>
  <c r="AI469" i="19"/>
  <c r="AR469" i="19" s="1"/>
  <c r="AE469" i="19"/>
  <c r="AN469" i="19" s="1"/>
  <c r="AI468" i="19"/>
  <c r="AR468" i="19" s="1"/>
  <c r="AE468" i="19"/>
  <c r="AN468" i="19" s="1"/>
  <c r="AI467" i="19"/>
  <c r="AR467" i="19" s="1"/>
  <c r="AE467" i="19"/>
  <c r="AN467" i="19" s="1"/>
  <c r="AI466" i="19"/>
  <c r="AR466" i="19" s="1"/>
  <c r="AE466" i="19"/>
  <c r="AN466" i="19" s="1"/>
  <c r="AI465" i="19"/>
  <c r="AR465" i="19" s="1"/>
  <c r="AE465" i="19"/>
  <c r="AN465" i="19" s="1"/>
  <c r="AI464" i="19"/>
  <c r="AR464" i="19" s="1"/>
  <c r="AE464" i="19"/>
  <c r="AN464" i="19" s="1"/>
  <c r="AI463" i="19"/>
  <c r="AR463" i="19" s="1"/>
  <c r="AE463" i="19"/>
  <c r="AN463" i="19" s="1"/>
  <c r="AI462" i="19"/>
  <c r="AR462" i="19" s="1"/>
  <c r="AE462" i="19"/>
  <c r="AN462" i="19" s="1"/>
  <c r="AI461" i="19"/>
  <c r="AR461" i="19" s="1"/>
  <c r="AE461" i="19"/>
  <c r="AN461" i="19" s="1"/>
  <c r="AI460" i="19"/>
  <c r="AR460" i="19" s="1"/>
  <c r="AE460" i="19"/>
  <c r="AN460" i="19" s="1"/>
  <c r="AI459" i="19"/>
  <c r="AR459" i="19" s="1"/>
  <c r="AE459" i="19"/>
  <c r="AN459" i="19" s="1"/>
  <c r="AI458" i="19"/>
  <c r="AR458" i="19" s="1"/>
  <c r="AE458" i="19"/>
  <c r="AN458" i="19" s="1"/>
  <c r="AI457" i="19"/>
  <c r="AR457" i="19" s="1"/>
  <c r="AE457" i="19"/>
  <c r="AN457" i="19" s="1"/>
  <c r="AI456" i="19"/>
  <c r="AR456" i="19" s="1"/>
  <c r="AE456" i="19"/>
  <c r="AN456" i="19" s="1"/>
  <c r="AI455" i="19"/>
  <c r="AR455" i="19" s="1"/>
  <c r="AE455" i="19"/>
  <c r="AN455" i="19" s="1"/>
  <c r="AI454" i="19"/>
  <c r="AR454" i="19" s="1"/>
  <c r="AE454" i="19"/>
  <c r="AN454" i="19" s="1"/>
  <c r="AI453" i="19"/>
  <c r="AR453" i="19" s="1"/>
  <c r="AE453" i="19"/>
  <c r="AN453" i="19" s="1"/>
  <c r="AI452" i="19"/>
  <c r="AR452" i="19" s="1"/>
  <c r="AE452" i="19"/>
  <c r="AN452" i="19" s="1"/>
  <c r="AI451" i="19"/>
  <c r="AR451" i="19" s="1"/>
  <c r="AE451" i="19"/>
  <c r="AN451" i="19" s="1"/>
  <c r="AI450" i="19"/>
  <c r="AR450" i="19" s="1"/>
  <c r="AE450" i="19"/>
  <c r="AN450" i="19" s="1"/>
  <c r="AI449" i="19"/>
  <c r="AR449" i="19" s="1"/>
  <c r="AE449" i="19"/>
  <c r="AN449" i="19" s="1"/>
  <c r="AI448" i="19"/>
  <c r="AR448" i="19" s="1"/>
  <c r="AE448" i="19"/>
  <c r="AN448" i="19" s="1"/>
  <c r="AI447" i="19"/>
  <c r="AR447" i="19" s="1"/>
  <c r="AE447" i="19"/>
  <c r="AN447" i="19" s="1"/>
  <c r="AI446" i="19"/>
  <c r="AR446" i="19" s="1"/>
  <c r="AE446" i="19"/>
  <c r="AN446" i="19" s="1"/>
  <c r="AI445" i="19"/>
  <c r="AR445" i="19" s="1"/>
  <c r="AE445" i="19"/>
  <c r="AN445" i="19" s="1"/>
  <c r="AI444" i="19"/>
  <c r="AR444" i="19" s="1"/>
  <c r="AE444" i="19"/>
  <c r="AN444" i="19" s="1"/>
  <c r="AI443" i="19"/>
  <c r="AR443" i="19" s="1"/>
  <c r="AE443" i="19"/>
  <c r="AN443" i="19" s="1"/>
  <c r="AI442" i="19"/>
  <c r="AR442" i="19" s="1"/>
  <c r="AE442" i="19"/>
  <c r="AN442" i="19" s="1"/>
  <c r="AI441" i="19"/>
  <c r="AR441" i="19" s="1"/>
  <c r="AE441" i="19"/>
  <c r="AN441" i="19" s="1"/>
  <c r="AI440" i="19"/>
  <c r="AR440" i="19" s="1"/>
  <c r="AE440" i="19"/>
  <c r="AN440" i="19" s="1"/>
  <c r="AI439" i="19"/>
  <c r="AR439" i="19" s="1"/>
  <c r="AE439" i="19"/>
  <c r="AN439" i="19" s="1"/>
  <c r="AI438" i="19"/>
  <c r="AR438" i="19" s="1"/>
  <c r="AE438" i="19"/>
  <c r="AN438" i="19" s="1"/>
  <c r="AI437" i="19"/>
  <c r="AR437" i="19" s="1"/>
  <c r="AE437" i="19"/>
  <c r="AN437" i="19" s="1"/>
  <c r="AI436" i="19"/>
  <c r="AR436" i="19" s="1"/>
  <c r="AE436" i="19"/>
  <c r="AN436" i="19" s="1"/>
  <c r="AI435" i="19"/>
  <c r="AR435" i="19" s="1"/>
  <c r="AE435" i="19"/>
  <c r="AN435" i="19" s="1"/>
  <c r="AI434" i="19"/>
  <c r="AR434" i="19" s="1"/>
  <c r="AE434" i="19"/>
  <c r="AN434" i="19" s="1"/>
  <c r="AI433" i="19"/>
  <c r="AR433" i="19" s="1"/>
  <c r="AE433" i="19"/>
  <c r="AN433" i="19" s="1"/>
  <c r="AI432" i="19"/>
  <c r="AR432" i="19" s="1"/>
  <c r="AE432" i="19"/>
  <c r="AN432" i="19" s="1"/>
  <c r="AI431" i="19"/>
  <c r="AR431" i="19" s="1"/>
  <c r="AE431" i="19"/>
  <c r="AN431" i="19" s="1"/>
  <c r="AI430" i="19"/>
  <c r="AR430" i="19" s="1"/>
  <c r="AE430" i="19"/>
  <c r="AN430" i="19" s="1"/>
  <c r="AI429" i="19"/>
  <c r="AR429" i="19" s="1"/>
  <c r="AE429" i="19"/>
  <c r="AN429" i="19" s="1"/>
  <c r="AI428" i="19"/>
  <c r="AR428" i="19" s="1"/>
  <c r="AE428" i="19"/>
  <c r="AN428" i="19" s="1"/>
  <c r="AI427" i="19"/>
  <c r="AR427" i="19" s="1"/>
  <c r="AE427" i="19"/>
  <c r="AN427" i="19" s="1"/>
  <c r="AI426" i="19"/>
  <c r="AR426" i="19" s="1"/>
  <c r="AE426" i="19"/>
  <c r="AN426" i="19" s="1"/>
  <c r="AI425" i="19"/>
  <c r="AR425" i="19" s="1"/>
  <c r="AE425" i="19"/>
  <c r="AN425" i="19" s="1"/>
  <c r="AI424" i="19"/>
  <c r="AR424" i="19" s="1"/>
  <c r="AE424" i="19"/>
  <c r="AN424" i="19" s="1"/>
  <c r="AI423" i="19"/>
  <c r="AR423" i="19" s="1"/>
  <c r="AE423" i="19"/>
  <c r="AN423" i="19" s="1"/>
  <c r="AI422" i="19"/>
  <c r="AR422" i="19" s="1"/>
  <c r="AE422" i="19"/>
  <c r="AN422" i="19" s="1"/>
  <c r="AI421" i="19"/>
  <c r="AR421" i="19" s="1"/>
  <c r="AE421" i="19"/>
  <c r="AN421" i="19" s="1"/>
  <c r="AI420" i="19"/>
  <c r="AR420" i="19" s="1"/>
  <c r="AE420" i="19"/>
  <c r="AN420" i="19" s="1"/>
  <c r="AI419" i="19"/>
  <c r="AR419" i="19" s="1"/>
  <c r="AE419" i="19"/>
  <c r="AN419" i="19" s="1"/>
  <c r="AI418" i="19"/>
  <c r="AR418" i="19" s="1"/>
  <c r="AE418" i="19"/>
  <c r="AN418" i="19" s="1"/>
  <c r="AI417" i="19"/>
  <c r="AR417" i="19" s="1"/>
  <c r="AE417" i="19"/>
  <c r="AN417" i="19" s="1"/>
  <c r="AI416" i="19"/>
  <c r="AR416" i="19" s="1"/>
  <c r="AE416" i="19"/>
  <c r="AN416" i="19" s="1"/>
  <c r="AI415" i="19"/>
  <c r="AR415" i="19" s="1"/>
  <c r="AE415" i="19"/>
  <c r="AN415" i="19" s="1"/>
  <c r="AI414" i="19"/>
  <c r="AR414" i="19" s="1"/>
  <c r="AE414" i="19"/>
  <c r="AN414" i="19" s="1"/>
  <c r="AI413" i="19"/>
  <c r="AR413" i="19" s="1"/>
  <c r="AE413" i="19"/>
  <c r="AN413" i="19" s="1"/>
  <c r="AI412" i="19"/>
  <c r="AR412" i="19" s="1"/>
  <c r="AE412" i="19"/>
  <c r="AN412" i="19" s="1"/>
  <c r="AI411" i="19"/>
  <c r="AR411" i="19" s="1"/>
  <c r="AE411" i="19"/>
  <c r="AN411" i="19" s="1"/>
  <c r="AI410" i="19"/>
  <c r="AR410" i="19" s="1"/>
  <c r="AE410" i="19"/>
  <c r="AN410" i="19" s="1"/>
  <c r="AI409" i="19"/>
  <c r="AR409" i="19" s="1"/>
  <c r="AE409" i="19"/>
  <c r="AN409" i="19" s="1"/>
  <c r="AI408" i="19"/>
  <c r="AR408" i="19" s="1"/>
  <c r="AE408" i="19"/>
  <c r="AN408" i="19" s="1"/>
  <c r="AI407" i="19"/>
  <c r="AR407" i="19" s="1"/>
  <c r="AE407" i="19"/>
  <c r="AN407" i="19" s="1"/>
  <c r="AI406" i="19"/>
  <c r="AR406" i="19" s="1"/>
  <c r="AE406" i="19"/>
  <c r="AN406" i="19" s="1"/>
  <c r="AI405" i="19"/>
  <c r="AR405" i="19" s="1"/>
  <c r="AE405" i="19"/>
  <c r="AN405" i="19" s="1"/>
  <c r="AI404" i="19"/>
  <c r="AR404" i="19" s="1"/>
  <c r="AE404" i="19"/>
  <c r="AN404" i="19" s="1"/>
  <c r="AI403" i="19"/>
  <c r="AR403" i="19" s="1"/>
  <c r="AE403" i="19"/>
  <c r="AN403" i="19" s="1"/>
  <c r="AI402" i="19"/>
  <c r="AR402" i="19" s="1"/>
  <c r="AE402" i="19"/>
  <c r="AN402" i="19" s="1"/>
  <c r="AI401" i="19"/>
  <c r="AR401" i="19" s="1"/>
  <c r="AE401" i="19"/>
  <c r="AN401" i="19" s="1"/>
  <c r="AI400" i="19"/>
  <c r="AR400" i="19" s="1"/>
  <c r="AE400" i="19"/>
  <c r="AN400" i="19" s="1"/>
  <c r="AI399" i="19"/>
  <c r="AR399" i="19" s="1"/>
  <c r="AE399" i="19"/>
  <c r="AN399" i="19" s="1"/>
  <c r="AI398" i="19"/>
  <c r="AR398" i="19" s="1"/>
  <c r="AE398" i="19"/>
  <c r="AN398" i="19" s="1"/>
  <c r="AI397" i="19"/>
  <c r="AR397" i="19" s="1"/>
  <c r="AE397" i="19"/>
  <c r="AN397" i="19" s="1"/>
  <c r="AI396" i="19"/>
  <c r="AR396" i="19" s="1"/>
  <c r="AE396" i="19"/>
  <c r="AN396" i="19" s="1"/>
  <c r="AI395" i="19"/>
  <c r="AR395" i="19" s="1"/>
  <c r="AE395" i="19"/>
  <c r="AN395" i="19" s="1"/>
  <c r="AI394" i="19"/>
  <c r="AR394" i="19" s="1"/>
  <c r="AE394" i="19"/>
  <c r="AN394" i="19" s="1"/>
  <c r="AI393" i="19"/>
  <c r="AR393" i="19" s="1"/>
  <c r="AE393" i="19"/>
  <c r="AN393" i="19" s="1"/>
  <c r="AI392" i="19"/>
  <c r="AR392" i="19" s="1"/>
  <c r="AE392" i="19"/>
  <c r="AN392" i="19" s="1"/>
  <c r="AI391" i="19"/>
  <c r="AR391" i="19" s="1"/>
  <c r="AE391" i="19"/>
  <c r="AN391" i="19" s="1"/>
  <c r="AI390" i="19"/>
  <c r="AR390" i="19" s="1"/>
  <c r="AE390" i="19"/>
  <c r="AN390" i="19" s="1"/>
  <c r="AI389" i="19"/>
  <c r="AR389" i="19" s="1"/>
  <c r="AE389" i="19"/>
  <c r="AN389" i="19" s="1"/>
  <c r="AI388" i="19"/>
  <c r="AR388" i="19" s="1"/>
  <c r="AE388" i="19"/>
  <c r="AN388" i="19" s="1"/>
  <c r="AI387" i="19"/>
  <c r="AR387" i="19" s="1"/>
  <c r="AE387" i="19"/>
  <c r="AN387" i="19" s="1"/>
  <c r="AI386" i="19"/>
  <c r="AR386" i="19" s="1"/>
  <c r="AE386" i="19"/>
  <c r="AN386" i="19" s="1"/>
  <c r="AI385" i="19"/>
  <c r="AR385" i="19" s="1"/>
  <c r="AE385" i="19"/>
  <c r="AN385" i="19" s="1"/>
  <c r="AI384" i="19"/>
  <c r="AR384" i="19" s="1"/>
  <c r="AE384" i="19"/>
  <c r="AN384" i="19" s="1"/>
  <c r="AI383" i="19"/>
  <c r="AR383" i="19" s="1"/>
  <c r="AE383" i="19"/>
  <c r="AN383" i="19" s="1"/>
  <c r="AI382" i="19"/>
  <c r="AR382" i="19" s="1"/>
  <c r="AE382" i="19"/>
  <c r="AN382" i="19" s="1"/>
  <c r="AI381" i="19"/>
  <c r="AR381" i="19" s="1"/>
  <c r="AE381" i="19"/>
  <c r="AN381" i="19" s="1"/>
  <c r="AI380" i="19"/>
  <c r="AR380" i="19" s="1"/>
  <c r="AE380" i="19"/>
  <c r="AN380" i="19" s="1"/>
  <c r="AI379" i="19"/>
  <c r="AR379" i="19" s="1"/>
  <c r="AE379" i="19"/>
  <c r="AN379" i="19" s="1"/>
  <c r="AI378" i="19"/>
  <c r="AR378" i="19" s="1"/>
  <c r="AE378" i="19"/>
  <c r="AN378" i="19" s="1"/>
  <c r="AI377" i="19"/>
  <c r="AR377" i="19" s="1"/>
  <c r="AE377" i="19"/>
  <c r="AN377" i="19" s="1"/>
  <c r="AI376" i="19"/>
  <c r="AR376" i="19" s="1"/>
  <c r="AE376" i="19"/>
  <c r="AN376" i="19" s="1"/>
  <c r="AI375" i="19"/>
  <c r="AR375" i="19" s="1"/>
  <c r="AE375" i="19"/>
  <c r="AN375" i="19" s="1"/>
  <c r="AI374" i="19"/>
  <c r="AR374" i="19" s="1"/>
  <c r="AE374" i="19"/>
  <c r="AN374" i="19" s="1"/>
  <c r="AI373" i="19"/>
  <c r="AR373" i="19" s="1"/>
  <c r="AE373" i="19"/>
  <c r="AN373" i="19" s="1"/>
  <c r="AI372" i="19"/>
  <c r="AR372" i="19" s="1"/>
  <c r="AE372" i="19"/>
  <c r="AN372" i="19" s="1"/>
  <c r="AI371" i="19"/>
  <c r="AR371" i="19" s="1"/>
  <c r="AE371" i="19"/>
  <c r="AN371" i="19" s="1"/>
  <c r="AI370" i="19"/>
  <c r="AR370" i="19" s="1"/>
  <c r="AE370" i="19"/>
  <c r="AN370" i="19" s="1"/>
  <c r="AI369" i="19"/>
  <c r="AR369" i="19" s="1"/>
  <c r="AE369" i="19"/>
  <c r="AN369" i="19" s="1"/>
  <c r="AI368" i="19"/>
  <c r="AR368" i="19" s="1"/>
  <c r="AE368" i="19"/>
  <c r="AN368" i="19" s="1"/>
  <c r="AI367" i="19"/>
  <c r="AR367" i="19" s="1"/>
  <c r="AE367" i="19"/>
  <c r="AN367" i="19" s="1"/>
  <c r="AI366" i="19"/>
  <c r="AR366" i="19" s="1"/>
  <c r="AE366" i="19"/>
  <c r="AN366" i="19" s="1"/>
  <c r="AI365" i="19"/>
  <c r="AR365" i="19" s="1"/>
  <c r="AE365" i="19"/>
  <c r="AN365" i="19" s="1"/>
  <c r="AI364" i="19"/>
  <c r="AR364" i="19" s="1"/>
  <c r="AE364" i="19"/>
  <c r="AN364" i="19" s="1"/>
  <c r="AI363" i="19"/>
  <c r="AR363" i="19" s="1"/>
  <c r="AE363" i="19"/>
  <c r="AN363" i="19" s="1"/>
  <c r="AI362" i="19"/>
  <c r="AR362" i="19" s="1"/>
  <c r="AE362" i="19"/>
  <c r="AN362" i="19" s="1"/>
  <c r="AI361" i="19"/>
  <c r="AR361" i="19" s="1"/>
  <c r="AE361" i="19"/>
  <c r="AN361" i="19" s="1"/>
  <c r="AI360" i="19"/>
  <c r="AR360" i="19" s="1"/>
  <c r="AE360" i="19"/>
  <c r="AN360" i="19" s="1"/>
  <c r="AI359" i="19"/>
  <c r="AR359" i="19" s="1"/>
  <c r="AE359" i="19"/>
  <c r="AN359" i="19" s="1"/>
  <c r="AI358" i="19"/>
  <c r="AR358" i="19" s="1"/>
  <c r="AE358" i="19"/>
  <c r="AN358" i="19" s="1"/>
  <c r="AI357" i="19"/>
  <c r="AR357" i="19" s="1"/>
  <c r="AE357" i="19"/>
  <c r="AN357" i="19" s="1"/>
  <c r="AI356" i="19"/>
  <c r="AR356" i="19" s="1"/>
  <c r="AE356" i="19"/>
  <c r="AN356" i="19" s="1"/>
  <c r="AI355" i="19"/>
  <c r="AR355" i="19" s="1"/>
  <c r="AE355" i="19"/>
  <c r="AN355" i="19" s="1"/>
  <c r="AI354" i="19"/>
  <c r="AR354" i="19" s="1"/>
  <c r="AE354" i="19"/>
  <c r="AN354" i="19" s="1"/>
  <c r="AI353" i="19"/>
  <c r="AR353" i="19" s="1"/>
  <c r="AE353" i="19"/>
  <c r="AN353" i="19" s="1"/>
  <c r="AI352" i="19"/>
  <c r="AR352" i="19" s="1"/>
  <c r="AE352" i="19"/>
  <c r="AN352" i="19" s="1"/>
  <c r="AI351" i="19"/>
  <c r="AR351" i="19" s="1"/>
  <c r="AE351" i="19"/>
  <c r="AN351" i="19" s="1"/>
  <c r="AI350" i="19"/>
  <c r="AR350" i="19" s="1"/>
  <c r="AE350" i="19"/>
  <c r="AN350" i="19" s="1"/>
  <c r="AI349" i="19"/>
  <c r="AR349" i="19" s="1"/>
  <c r="AE349" i="19"/>
  <c r="AN349" i="19" s="1"/>
  <c r="AI348" i="19"/>
  <c r="AR348" i="19" s="1"/>
  <c r="AE348" i="19"/>
  <c r="AN348" i="19" s="1"/>
  <c r="AI347" i="19"/>
  <c r="AR347" i="19" s="1"/>
  <c r="AE347" i="19"/>
  <c r="AN347" i="19" s="1"/>
  <c r="AI346" i="19"/>
  <c r="AR346" i="19" s="1"/>
  <c r="AE346" i="19"/>
  <c r="AN346" i="19" s="1"/>
  <c r="AI345" i="19"/>
  <c r="AR345" i="19" s="1"/>
  <c r="AE345" i="19"/>
  <c r="AN345" i="19" s="1"/>
  <c r="AI344" i="19"/>
  <c r="AR344" i="19" s="1"/>
  <c r="AE344" i="19"/>
  <c r="AN344" i="19" s="1"/>
  <c r="AI343" i="19"/>
  <c r="AR343" i="19" s="1"/>
  <c r="AE343" i="19"/>
  <c r="AN343" i="19" s="1"/>
  <c r="AI342" i="19"/>
  <c r="AR342" i="19" s="1"/>
  <c r="AE342" i="19"/>
  <c r="AN342" i="19" s="1"/>
  <c r="AI341" i="19"/>
  <c r="AR341" i="19" s="1"/>
  <c r="AE341" i="19"/>
  <c r="AN341" i="19" s="1"/>
  <c r="AI340" i="19"/>
  <c r="AR340" i="19" s="1"/>
  <c r="AE340" i="19"/>
  <c r="AN340" i="19" s="1"/>
  <c r="AI339" i="19"/>
  <c r="AR339" i="19" s="1"/>
  <c r="AE339" i="19"/>
  <c r="AN339" i="19" s="1"/>
  <c r="AI338" i="19"/>
  <c r="AR338" i="19" s="1"/>
  <c r="AE338" i="19"/>
  <c r="AN338" i="19" s="1"/>
  <c r="AI337" i="19"/>
  <c r="AR337" i="19" s="1"/>
  <c r="AE337" i="19"/>
  <c r="AN337" i="19" s="1"/>
  <c r="AI336" i="19"/>
  <c r="AR336" i="19" s="1"/>
  <c r="AE336" i="19"/>
  <c r="AN336" i="19" s="1"/>
  <c r="AI335" i="19"/>
  <c r="AR335" i="19" s="1"/>
  <c r="AE335" i="19"/>
  <c r="AN335" i="19" s="1"/>
  <c r="AI334" i="19"/>
  <c r="AR334" i="19" s="1"/>
  <c r="AE334" i="19"/>
  <c r="AN334" i="19" s="1"/>
  <c r="AI333" i="19"/>
  <c r="AR333" i="19" s="1"/>
  <c r="AE333" i="19"/>
  <c r="AN333" i="19" s="1"/>
  <c r="AI332" i="19"/>
  <c r="AR332" i="19" s="1"/>
  <c r="AE332" i="19"/>
  <c r="AN332" i="19" s="1"/>
  <c r="AI331" i="19"/>
  <c r="AR331" i="19" s="1"/>
  <c r="AE331" i="19"/>
  <c r="AN331" i="19" s="1"/>
  <c r="AI330" i="19"/>
  <c r="AR330" i="19" s="1"/>
  <c r="AE330" i="19"/>
  <c r="AN330" i="19" s="1"/>
  <c r="AI329" i="19"/>
  <c r="AR329" i="19" s="1"/>
  <c r="AE329" i="19"/>
  <c r="AN329" i="19" s="1"/>
  <c r="AI328" i="19"/>
  <c r="AR328" i="19" s="1"/>
  <c r="AE328" i="19"/>
  <c r="AN328" i="19" s="1"/>
  <c r="AI327" i="19"/>
  <c r="AR327" i="19" s="1"/>
  <c r="AE327" i="19"/>
  <c r="AN327" i="19" s="1"/>
  <c r="AI326" i="19"/>
  <c r="AR326" i="19" s="1"/>
  <c r="AE326" i="19"/>
  <c r="AN326" i="19" s="1"/>
  <c r="AI325" i="19"/>
  <c r="AR325" i="19" s="1"/>
  <c r="AE325" i="19"/>
  <c r="AN325" i="19" s="1"/>
  <c r="AI324" i="19"/>
  <c r="AR324" i="19" s="1"/>
  <c r="AE324" i="19"/>
  <c r="AN324" i="19" s="1"/>
  <c r="AI323" i="19"/>
  <c r="AR323" i="19" s="1"/>
  <c r="AE323" i="19"/>
  <c r="AN323" i="19" s="1"/>
  <c r="AI322" i="19"/>
  <c r="AR322" i="19" s="1"/>
  <c r="AE322" i="19"/>
  <c r="AN322" i="19" s="1"/>
  <c r="AI321" i="19"/>
  <c r="AR321" i="19" s="1"/>
  <c r="AE321" i="19"/>
  <c r="AN321" i="19" s="1"/>
  <c r="AI320" i="19"/>
  <c r="AR320" i="19" s="1"/>
  <c r="AE320" i="19"/>
  <c r="AN320" i="19" s="1"/>
  <c r="AI319" i="19"/>
  <c r="AR319" i="19" s="1"/>
  <c r="AE319" i="19"/>
  <c r="AN319" i="19" s="1"/>
  <c r="AI318" i="19"/>
  <c r="AR318" i="19" s="1"/>
  <c r="AE318" i="19"/>
  <c r="AN318" i="19" s="1"/>
  <c r="AI317" i="19"/>
  <c r="AR317" i="19" s="1"/>
  <c r="AE317" i="19"/>
  <c r="AN317" i="19" s="1"/>
  <c r="AI316" i="19"/>
  <c r="AR316" i="19" s="1"/>
  <c r="AE316" i="19"/>
  <c r="AN316" i="19" s="1"/>
  <c r="AI315" i="19"/>
  <c r="AR315" i="19" s="1"/>
  <c r="AE315" i="19"/>
  <c r="AN315" i="19" s="1"/>
  <c r="AI314" i="19"/>
  <c r="AR314" i="19" s="1"/>
  <c r="AE314" i="19"/>
  <c r="AN314" i="19" s="1"/>
  <c r="AI313" i="19"/>
  <c r="AR313" i="19" s="1"/>
  <c r="AE313" i="19"/>
  <c r="AN313" i="19" s="1"/>
  <c r="AI312" i="19"/>
  <c r="AR312" i="19" s="1"/>
  <c r="AE312" i="19"/>
  <c r="AN312" i="19" s="1"/>
  <c r="AI311" i="19"/>
  <c r="AR311" i="19" s="1"/>
  <c r="AE311" i="19"/>
  <c r="AN311" i="19" s="1"/>
  <c r="AI310" i="19"/>
  <c r="AR310" i="19" s="1"/>
  <c r="AE310" i="19"/>
  <c r="AN310" i="19" s="1"/>
  <c r="AI309" i="19"/>
  <c r="AR309" i="19" s="1"/>
  <c r="AE309" i="19"/>
  <c r="AN309" i="19" s="1"/>
  <c r="AI308" i="19"/>
  <c r="AR308" i="19" s="1"/>
  <c r="AE308" i="19"/>
  <c r="AN308" i="19" s="1"/>
  <c r="AI307" i="19"/>
  <c r="AR307" i="19" s="1"/>
  <c r="AE307" i="19"/>
  <c r="AN307" i="19" s="1"/>
  <c r="AI306" i="19"/>
  <c r="AR306" i="19" s="1"/>
  <c r="AE306" i="19"/>
  <c r="AN306" i="19" s="1"/>
  <c r="AI305" i="19"/>
  <c r="AR305" i="19" s="1"/>
  <c r="AE305" i="19"/>
  <c r="AN305" i="19" s="1"/>
  <c r="AI304" i="19"/>
  <c r="AR304" i="19" s="1"/>
  <c r="AE304" i="19"/>
  <c r="AN304" i="19" s="1"/>
  <c r="AI303" i="19"/>
  <c r="AR303" i="19" s="1"/>
  <c r="AE303" i="19"/>
  <c r="AN303" i="19" s="1"/>
  <c r="AI302" i="19"/>
  <c r="AR302" i="19" s="1"/>
  <c r="AE302" i="19"/>
  <c r="AN302" i="19" s="1"/>
  <c r="AI301" i="19"/>
  <c r="AR301" i="19" s="1"/>
  <c r="AE301" i="19"/>
  <c r="AN301" i="19" s="1"/>
  <c r="AI300" i="19"/>
  <c r="AR300" i="19" s="1"/>
  <c r="AE300" i="19"/>
  <c r="AN300" i="19" s="1"/>
  <c r="AI299" i="19"/>
  <c r="AR299" i="19" s="1"/>
  <c r="AE299" i="19"/>
  <c r="AN299" i="19" s="1"/>
  <c r="AI298" i="19"/>
  <c r="AR298" i="19" s="1"/>
  <c r="AE298" i="19"/>
  <c r="AN298" i="19" s="1"/>
  <c r="AI297" i="19"/>
  <c r="AR297" i="19" s="1"/>
  <c r="AE297" i="19"/>
  <c r="AN297" i="19" s="1"/>
  <c r="AI296" i="19"/>
  <c r="AR296" i="19" s="1"/>
  <c r="AE296" i="19"/>
  <c r="AN296" i="19" s="1"/>
  <c r="AI295" i="19"/>
  <c r="AR295" i="19" s="1"/>
  <c r="AE295" i="19"/>
  <c r="AN295" i="19" s="1"/>
  <c r="AI294" i="19"/>
  <c r="AR294" i="19" s="1"/>
  <c r="AE294" i="19"/>
  <c r="AN294" i="19" s="1"/>
  <c r="AI293" i="19"/>
  <c r="AR293" i="19" s="1"/>
  <c r="AE293" i="19"/>
  <c r="AN293" i="19" s="1"/>
  <c r="AI292" i="19"/>
  <c r="AR292" i="19" s="1"/>
  <c r="AE292" i="19"/>
  <c r="AN292" i="19" s="1"/>
  <c r="AI291" i="19"/>
  <c r="AR291" i="19" s="1"/>
  <c r="AE291" i="19"/>
  <c r="AN291" i="19" s="1"/>
  <c r="AI290" i="19"/>
  <c r="AR290" i="19" s="1"/>
  <c r="AE290" i="19"/>
  <c r="AN290" i="19" s="1"/>
  <c r="AI289" i="19"/>
  <c r="AR289" i="19" s="1"/>
  <c r="AE289" i="19"/>
  <c r="AN289" i="19" s="1"/>
  <c r="AI288" i="19"/>
  <c r="AR288" i="19" s="1"/>
  <c r="AE288" i="19"/>
  <c r="AN288" i="19" s="1"/>
  <c r="AI287" i="19"/>
  <c r="AR287" i="19" s="1"/>
  <c r="AE287" i="19"/>
  <c r="AN287" i="19" s="1"/>
  <c r="AI286" i="19"/>
  <c r="AR286" i="19" s="1"/>
  <c r="AE286" i="19"/>
  <c r="AN286" i="19" s="1"/>
  <c r="AI285" i="19"/>
  <c r="AR285" i="19" s="1"/>
  <c r="AE285" i="19"/>
  <c r="AN285" i="19" s="1"/>
  <c r="AI284" i="19"/>
  <c r="AR284" i="19" s="1"/>
  <c r="AE284" i="19"/>
  <c r="AN284" i="19" s="1"/>
  <c r="AI283" i="19"/>
  <c r="AR283" i="19" s="1"/>
  <c r="AE283" i="19"/>
  <c r="AN283" i="19" s="1"/>
  <c r="AI282" i="19"/>
  <c r="AR282" i="19" s="1"/>
  <c r="AE282" i="19"/>
  <c r="AN282" i="19" s="1"/>
  <c r="AI281" i="19"/>
  <c r="AR281" i="19" s="1"/>
  <c r="AE281" i="19"/>
  <c r="AN281" i="19" s="1"/>
  <c r="AI280" i="19"/>
  <c r="AR280" i="19" s="1"/>
  <c r="AE280" i="19"/>
  <c r="AN280" i="19" s="1"/>
  <c r="AI279" i="19"/>
  <c r="AR279" i="19" s="1"/>
  <c r="AE279" i="19"/>
  <c r="AN279" i="19" s="1"/>
  <c r="AI278" i="19"/>
  <c r="AR278" i="19" s="1"/>
  <c r="AE278" i="19"/>
  <c r="AN278" i="19" s="1"/>
  <c r="AI277" i="19"/>
  <c r="AR277" i="19" s="1"/>
  <c r="AE277" i="19"/>
  <c r="AN277" i="19" s="1"/>
  <c r="AI276" i="19"/>
  <c r="AR276" i="19" s="1"/>
  <c r="AE276" i="19"/>
  <c r="AN276" i="19" s="1"/>
  <c r="AI275" i="19"/>
  <c r="AR275" i="19" s="1"/>
  <c r="AE275" i="19"/>
  <c r="AN275" i="19" s="1"/>
  <c r="AI274" i="19"/>
  <c r="AR274" i="19" s="1"/>
  <c r="AE274" i="19"/>
  <c r="AN274" i="19" s="1"/>
  <c r="AI273" i="19"/>
  <c r="AR273" i="19" s="1"/>
  <c r="AE273" i="19"/>
  <c r="AN273" i="19" s="1"/>
  <c r="AI272" i="19"/>
  <c r="AR272" i="19" s="1"/>
  <c r="AE272" i="19"/>
  <c r="AN272" i="19" s="1"/>
  <c r="AI271" i="19"/>
  <c r="AR271" i="19" s="1"/>
  <c r="AE271" i="19"/>
  <c r="AN271" i="19" s="1"/>
  <c r="AI270" i="19"/>
  <c r="AR270" i="19" s="1"/>
  <c r="AE270" i="19"/>
  <c r="AN270" i="19" s="1"/>
  <c r="AI269" i="19"/>
  <c r="AR269" i="19" s="1"/>
  <c r="AE269" i="19"/>
  <c r="AN269" i="19" s="1"/>
  <c r="AI268" i="19"/>
  <c r="AR268" i="19" s="1"/>
  <c r="AE268" i="19"/>
  <c r="AN268" i="19" s="1"/>
  <c r="AI267" i="19"/>
  <c r="AR267" i="19" s="1"/>
  <c r="AE267" i="19"/>
  <c r="AN267" i="19" s="1"/>
  <c r="AI266" i="19"/>
  <c r="AR266" i="19" s="1"/>
  <c r="AE266" i="19"/>
  <c r="AN266" i="19" s="1"/>
  <c r="AI265" i="19"/>
  <c r="AR265" i="19" s="1"/>
  <c r="AE265" i="19"/>
  <c r="AN265" i="19" s="1"/>
  <c r="AI264" i="19"/>
  <c r="AR264" i="19" s="1"/>
  <c r="AE264" i="19"/>
  <c r="AN264" i="19" s="1"/>
  <c r="AI263" i="19"/>
  <c r="AR263" i="19" s="1"/>
  <c r="AE263" i="19"/>
  <c r="AN263" i="19" s="1"/>
  <c r="AI262" i="19"/>
  <c r="AR262" i="19" s="1"/>
  <c r="AE262" i="19"/>
  <c r="AN262" i="19" s="1"/>
  <c r="AI261" i="19"/>
  <c r="AR261" i="19" s="1"/>
  <c r="AE261" i="19"/>
  <c r="AN261" i="19" s="1"/>
  <c r="AI260" i="19"/>
  <c r="AR260" i="19" s="1"/>
  <c r="AE260" i="19"/>
  <c r="AN260" i="19" s="1"/>
  <c r="AI259" i="19"/>
  <c r="AR259" i="19" s="1"/>
  <c r="AE259" i="19"/>
  <c r="AN259" i="19" s="1"/>
  <c r="AI258" i="19"/>
  <c r="AR258" i="19" s="1"/>
  <c r="AE258" i="19"/>
  <c r="AN258" i="19" s="1"/>
  <c r="AI257" i="19"/>
  <c r="AR257" i="19" s="1"/>
  <c r="AE257" i="19"/>
  <c r="AN257" i="19" s="1"/>
  <c r="AI256" i="19"/>
  <c r="AR256" i="19" s="1"/>
  <c r="AE256" i="19"/>
  <c r="AN256" i="19" s="1"/>
  <c r="AI255" i="19"/>
  <c r="AR255" i="19" s="1"/>
  <c r="AE255" i="19"/>
  <c r="AN255" i="19" s="1"/>
  <c r="AI254" i="19"/>
  <c r="AR254" i="19" s="1"/>
  <c r="AE254" i="19"/>
  <c r="AN254" i="19" s="1"/>
  <c r="AI253" i="19"/>
  <c r="AR253" i="19" s="1"/>
  <c r="AE253" i="19"/>
  <c r="AN253" i="19" s="1"/>
  <c r="AI252" i="19"/>
  <c r="AR252" i="19" s="1"/>
  <c r="AE252" i="19"/>
  <c r="AN252" i="19" s="1"/>
  <c r="AI251" i="19"/>
  <c r="AR251" i="19" s="1"/>
  <c r="AE251" i="19"/>
  <c r="AN251" i="19" s="1"/>
  <c r="AI250" i="19"/>
  <c r="AR250" i="19" s="1"/>
  <c r="AE250" i="19"/>
  <c r="AN250" i="19" s="1"/>
  <c r="AI249" i="19"/>
  <c r="AR249" i="19" s="1"/>
  <c r="AE249" i="19"/>
  <c r="AN249" i="19" s="1"/>
  <c r="AI248" i="19"/>
  <c r="AR248" i="19" s="1"/>
  <c r="AE248" i="19"/>
  <c r="AN248" i="19" s="1"/>
  <c r="AI247" i="19"/>
  <c r="AR247" i="19" s="1"/>
  <c r="AE247" i="19"/>
  <c r="AN247" i="19" s="1"/>
  <c r="AI246" i="19"/>
  <c r="AR246" i="19" s="1"/>
  <c r="AE246" i="19"/>
  <c r="AN246" i="19" s="1"/>
  <c r="AI245" i="19"/>
  <c r="AR245" i="19" s="1"/>
  <c r="AE245" i="19"/>
  <c r="AN245" i="19" s="1"/>
  <c r="AI244" i="19"/>
  <c r="AR244" i="19" s="1"/>
  <c r="AE244" i="19"/>
  <c r="AN244" i="19" s="1"/>
  <c r="AI243" i="19"/>
  <c r="AR243" i="19" s="1"/>
  <c r="AE243" i="19"/>
  <c r="AN243" i="19" s="1"/>
  <c r="AI242" i="19"/>
  <c r="AR242" i="19" s="1"/>
  <c r="AE242" i="19"/>
  <c r="AN242" i="19" s="1"/>
  <c r="AI241" i="19"/>
  <c r="AR241" i="19" s="1"/>
  <c r="AE241" i="19"/>
  <c r="AN241" i="19" s="1"/>
  <c r="AI240" i="19"/>
  <c r="AR240" i="19" s="1"/>
  <c r="AE240" i="19"/>
  <c r="AN240" i="19" s="1"/>
  <c r="AI239" i="19"/>
  <c r="AR239" i="19" s="1"/>
  <c r="AE239" i="19"/>
  <c r="AN239" i="19" s="1"/>
  <c r="AI238" i="19"/>
  <c r="AR238" i="19" s="1"/>
  <c r="AE238" i="19"/>
  <c r="AN238" i="19" s="1"/>
  <c r="AI237" i="19"/>
  <c r="AR237" i="19" s="1"/>
  <c r="AE237" i="19"/>
  <c r="AN237" i="19" s="1"/>
  <c r="AI236" i="19"/>
  <c r="AR236" i="19" s="1"/>
  <c r="AE236" i="19"/>
  <c r="AN236" i="19" s="1"/>
  <c r="AI235" i="19"/>
  <c r="AR235" i="19" s="1"/>
  <c r="AE235" i="19"/>
  <c r="AN235" i="19" s="1"/>
  <c r="AI234" i="19"/>
  <c r="AR234" i="19" s="1"/>
  <c r="AE234" i="19"/>
  <c r="AN234" i="19" s="1"/>
  <c r="AI233" i="19"/>
  <c r="AR233" i="19" s="1"/>
  <c r="AE233" i="19"/>
  <c r="AN233" i="19" s="1"/>
  <c r="AI232" i="19"/>
  <c r="AR232" i="19" s="1"/>
  <c r="AE232" i="19"/>
  <c r="AN232" i="19" s="1"/>
  <c r="AI231" i="19"/>
  <c r="AR231" i="19" s="1"/>
  <c r="AE231" i="19"/>
  <c r="AN231" i="19" s="1"/>
  <c r="AI230" i="19"/>
  <c r="AR230" i="19" s="1"/>
  <c r="AE230" i="19"/>
  <c r="AN230" i="19" s="1"/>
  <c r="AI229" i="19"/>
  <c r="AR229" i="19" s="1"/>
  <c r="AE229" i="19"/>
  <c r="AN229" i="19" s="1"/>
  <c r="AI228" i="19"/>
  <c r="AR228" i="19" s="1"/>
  <c r="AE228" i="19"/>
  <c r="AN228" i="19" s="1"/>
  <c r="AI227" i="19"/>
  <c r="AR227" i="19" s="1"/>
  <c r="AE227" i="19"/>
  <c r="AN227" i="19" s="1"/>
  <c r="AI226" i="19"/>
  <c r="AR226" i="19" s="1"/>
  <c r="AE226" i="19"/>
  <c r="AN226" i="19" s="1"/>
  <c r="AI225" i="19"/>
  <c r="AR225" i="19" s="1"/>
  <c r="AE225" i="19"/>
  <c r="AN225" i="19" s="1"/>
  <c r="AI224" i="19"/>
  <c r="AR224" i="19" s="1"/>
  <c r="AE224" i="19"/>
  <c r="AN224" i="19" s="1"/>
  <c r="AI223" i="19"/>
  <c r="AR223" i="19" s="1"/>
  <c r="AE223" i="19"/>
  <c r="AN223" i="19" s="1"/>
  <c r="AI222" i="19"/>
  <c r="AR222" i="19" s="1"/>
  <c r="AE222" i="19"/>
  <c r="AN222" i="19" s="1"/>
  <c r="AI221" i="19"/>
  <c r="AR221" i="19" s="1"/>
  <c r="AE221" i="19"/>
  <c r="AN221" i="19" s="1"/>
  <c r="AI220" i="19"/>
  <c r="AR220" i="19" s="1"/>
  <c r="AE220" i="19"/>
  <c r="AN220" i="19" s="1"/>
  <c r="AI219" i="19"/>
  <c r="AR219" i="19" s="1"/>
  <c r="AE219" i="19"/>
  <c r="AN219" i="19" s="1"/>
  <c r="AI218" i="19"/>
  <c r="AR218" i="19" s="1"/>
  <c r="AE218" i="19"/>
  <c r="AN218" i="19" s="1"/>
  <c r="AI217" i="19"/>
  <c r="AR217" i="19" s="1"/>
  <c r="AE217" i="19"/>
  <c r="AN217" i="19" s="1"/>
  <c r="AI216" i="19"/>
  <c r="AR216" i="19" s="1"/>
  <c r="AE216" i="19"/>
  <c r="AN216" i="19" s="1"/>
  <c r="AI215" i="19"/>
  <c r="AR215" i="19" s="1"/>
  <c r="AE215" i="19"/>
  <c r="AN215" i="19" s="1"/>
  <c r="AI214" i="19"/>
  <c r="AR214" i="19" s="1"/>
  <c r="AE214" i="19"/>
  <c r="AN214" i="19" s="1"/>
  <c r="AI213" i="19"/>
  <c r="AR213" i="19" s="1"/>
  <c r="AE213" i="19"/>
  <c r="AN213" i="19" s="1"/>
  <c r="AI212" i="19"/>
  <c r="AR212" i="19" s="1"/>
  <c r="AE212" i="19"/>
  <c r="AN212" i="19" s="1"/>
  <c r="AI211" i="19"/>
  <c r="AR211" i="19" s="1"/>
  <c r="AE211" i="19"/>
  <c r="AN211" i="19" s="1"/>
  <c r="AI210" i="19"/>
  <c r="AR210" i="19" s="1"/>
  <c r="AE210" i="19"/>
  <c r="AN210" i="19" s="1"/>
  <c r="AI209" i="19"/>
  <c r="AR209" i="19" s="1"/>
  <c r="AE209" i="19"/>
  <c r="AN209" i="19" s="1"/>
  <c r="AI208" i="19"/>
  <c r="AR208" i="19" s="1"/>
  <c r="AE208" i="19"/>
  <c r="AN208" i="19" s="1"/>
  <c r="AI207" i="19"/>
  <c r="AR207" i="19" s="1"/>
  <c r="AE207" i="19"/>
  <c r="AN207" i="19" s="1"/>
  <c r="AI206" i="19"/>
  <c r="AR206" i="19" s="1"/>
  <c r="AE206" i="19"/>
  <c r="AN206" i="19" s="1"/>
  <c r="AI205" i="19"/>
  <c r="AR205" i="19" s="1"/>
  <c r="AE205" i="19"/>
  <c r="AN205" i="19" s="1"/>
  <c r="AI204" i="19"/>
  <c r="AR204" i="19" s="1"/>
  <c r="AE204" i="19"/>
  <c r="AN204" i="19" s="1"/>
  <c r="AI203" i="19"/>
  <c r="AR203" i="19" s="1"/>
  <c r="AE203" i="19"/>
  <c r="AN203" i="19" s="1"/>
  <c r="AI202" i="19"/>
  <c r="AR202" i="19" s="1"/>
  <c r="AE202" i="19"/>
  <c r="AN202" i="19" s="1"/>
  <c r="AI201" i="19"/>
  <c r="AR201" i="19" s="1"/>
  <c r="AE201" i="19"/>
  <c r="AN201" i="19" s="1"/>
  <c r="AI200" i="19"/>
  <c r="AR200" i="19" s="1"/>
  <c r="AE200" i="19"/>
  <c r="AN200" i="19" s="1"/>
  <c r="AI199" i="19"/>
  <c r="AR199" i="19" s="1"/>
  <c r="AE199" i="19"/>
  <c r="AN199" i="19" s="1"/>
  <c r="AI198" i="19"/>
  <c r="AR198" i="19" s="1"/>
  <c r="AE198" i="19"/>
  <c r="AN198" i="19" s="1"/>
  <c r="AI197" i="19"/>
  <c r="AR197" i="19" s="1"/>
  <c r="AE197" i="19"/>
  <c r="AN197" i="19" s="1"/>
  <c r="AI196" i="19"/>
  <c r="AR196" i="19" s="1"/>
  <c r="AE196" i="19"/>
  <c r="AN196" i="19" s="1"/>
  <c r="AI195" i="19"/>
  <c r="AR195" i="19" s="1"/>
  <c r="AE195" i="19"/>
  <c r="AN195" i="19" s="1"/>
  <c r="AI194" i="19"/>
  <c r="AR194" i="19" s="1"/>
  <c r="AE194" i="19"/>
  <c r="AN194" i="19" s="1"/>
  <c r="AI193" i="19"/>
  <c r="AR193" i="19" s="1"/>
  <c r="AE193" i="19"/>
  <c r="AN193" i="19" s="1"/>
  <c r="AI192" i="19"/>
  <c r="AR192" i="19" s="1"/>
  <c r="AE192" i="19"/>
  <c r="AN192" i="19" s="1"/>
  <c r="AI191" i="19"/>
  <c r="AR191" i="19" s="1"/>
  <c r="AE191" i="19"/>
  <c r="AN191" i="19" s="1"/>
  <c r="AI190" i="19"/>
  <c r="AR190" i="19" s="1"/>
  <c r="AE190" i="19"/>
  <c r="AN190" i="19" s="1"/>
  <c r="AI189" i="19"/>
  <c r="AR189" i="19" s="1"/>
  <c r="AE189" i="19"/>
  <c r="AN189" i="19" s="1"/>
  <c r="AI188" i="19"/>
  <c r="AR188" i="19" s="1"/>
  <c r="AE188" i="19"/>
  <c r="AN188" i="19" s="1"/>
  <c r="AI187" i="19"/>
  <c r="AR187" i="19" s="1"/>
  <c r="AH775" i="19"/>
  <c r="AQ775" i="19" s="1"/>
  <c r="AD775" i="19"/>
  <c r="AM775" i="19" s="1"/>
  <c r="AH774" i="19"/>
  <c r="AQ774" i="19" s="1"/>
  <c r="AD774" i="19"/>
  <c r="AM774" i="19" s="1"/>
  <c r="AH773" i="19"/>
  <c r="AQ773" i="19" s="1"/>
  <c r="AD773" i="19"/>
  <c r="AM773" i="19" s="1"/>
  <c r="AH772" i="19"/>
  <c r="AQ772" i="19" s="1"/>
  <c r="AD772" i="19"/>
  <c r="AM772" i="19" s="1"/>
  <c r="AH771" i="19"/>
  <c r="AQ771" i="19" s="1"/>
  <c r="AD771" i="19"/>
  <c r="AM771" i="19" s="1"/>
  <c r="AH770" i="19"/>
  <c r="AQ770" i="19" s="1"/>
  <c r="AD770" i="19"/>
  <c r="AM770" i="19" s="1"/>
  <c r="AH769" i="19"/>
  <c r="AQ769" i="19" s="1"/>
  <c r="AD769" i="19"/>
  <c r="AM769" i="19" s="1"/>
  <c r="AH768" i="19"/>
  <c r="AQ768" i="19" s="1"/>
  <c r="AD768" i="19"/>
  <c r="AM768" i="19" s="1"/>
  <c r="AH767" i="19"/>
  <c r="AQ767" i="19" s="1"/>
  <c r="AD767" i="19"/>
  <c r="AM767" i="19" s="1"/>
  <c r="AH766" i="19"/>
  <c r="AQ766" i="19" s="1"/>
  <c r="AD766" i="19"/>
  <c r="AM766" i="19" s="1"/>
  <c r="AH765" i="19"/>
  <c r="AQ765" i="19" s="1"/>
  <c r="AD765" i="19"/>
  <c r="AM765" i="19" s="1"/>
  <c r="AH764" i="19"/>
  <c r="AQ764" i="19" s="1"/>
  <c r="AD764" i="19"/>
  <c r="AM764" i="19" s="1"/>
  <c r="AH763" i="19"/>
  <c r="AQ763" i="19" s="1"/>
  <c r="AD763" i="19"/>
  <c r="AM763" i="19" s="1"/>
  <c r="AH762" i="19"/>
  <c r="AQ762" i="19" s="1"/>
  <c r="AD762" i="19"/>
  <c r="AM762" i="19" s="1"/>
  <c r="AH761" i="19"/>
  <c r="AQ761" i="19" s="1"/>
  <c r="AD761" i="19"/>
  <c r="AM761" i="19" s="1"/>
  <c r="AH760" i="19"/>
  <c r="AQ760" i="19" s="1"/>
  <c r="AD760" i="19"/>
  <c r="AM760" i="19" s="1"/>
  <c r="AH759" i="19"/>
  <c r="AQ759" i="19" s="1"/>
  <c r="AD759" i="19"/>
  <c r="AM759" i="19" s="1"/>
  <c r="AH758" i="19"/>
  <c r="AQ758" i="19" s="1"/>
  <c r="AD758" i="19"/>
  <c r="AM758" i="19" s="1"/>
  <c r="AH757" i="19"/>
  <c r="AQ757" i="19" s="1"/>
  <c r="AD757" i="19"/>
  <c r="AM757" i="19" s="1"/>
  <c r="AH756" i="19"/>
  <c r="AQ756" i="19" s="1"/>
  <c r="AD756" i="19"/>
  <c r="AM756" i="19" s="1"/>
  <c r="AH755" i="19"/>
  <c r="AQ755" i="19" s="1"/>
  <c r="AD755" i="19"/>
  <c r="AM755" i="19" s="1"/>
  <c r="AH754" i="19"/>
  <c r="AQ754" i="19" s="1"/>
  <c r="AD754" i="19"/>
  <c r="AM754" i="19" s="1"/>
  <c r="AH753" i="19"/>
  <c r="AQ753" i="19" s="1"/>
  <c r="AD753" i="19"/>
  <c r="AM753" i="19" s="1"/>
  <c r="AH752" i="19"/>
  <c r="AQ752" i="19" s="1"/>
  <c r="AD752" i="19"/>
  <c r="AM752" i="19" s="1"/>
  <c r="AH751" i="19"/>
  <c r="AQ751" i="19" s="1"/>
  <c r="AD751" i="19"/>
  <c r="AM751" i="19" s="1"/>
  <c r="AH750" i="19"/>
  <c r="AQ750" i="19" s="1"/>
  <c r="AD750" i="19"/>
  <c r="AM750" i="19" s="1"/>
  <c r="AH749" i="19"/>
  <c r="AQ749" i="19" s="1"/>
  <c r="AD749" i="19"/>
  <c r="AM749" i="19" s="1"/>
  <c r="AH748" i="19"/>
  <c r="AQ748" i="19" s="1"/>
  <c r="AD748" i="19"/>
  <c r="AM748" i="19" s="1"/>
  <c r="AH747" i="19"/>
  <c r="AQ747" i="19" s="1"/>
  <c r="AD747" i="19"/>
  <c r="AM747" i="19" s="1"/>
  <c r="AH746" i="19"/>
  <c r="AQ746" i="19" s="1"/>
  <c r="AD746" i="19"/>
  <c r="AM746" i="19" s="1"/>
  <c r="AH745" i="19"/>
  <c r="AQ745" i="19" s="1"/>
  <c r="AD745" i="19"/>
  <c r="AM745" i="19" s="1"/>
  <c r="AH744" i="19"/>
  <c r="AQ744" i="19" s="1"/>
  <c r="AD744" i="19"/>
  <c r="AM744" i="19" s="1"/>
  <c r="AH743" i="19"/>
  <c r="AQ743" i="19" s="1"/>
  <c r="AD743" i="19"/>
  <c r="AM743" i="19" s="1"/>
  <c r="AH742" i="19"/>
  <c r="AQ742" i="19" s="1"/>
  <c r="AD742" i="19"/>
  <c r="AM742" i="19" s="1"/>
  <c r="AH741" i="19"/>
  <c r="AQ741" i="19" s="1"/>
  <c r="AD741" i="19"/>
  <c r="AM741" i="19" s="1"/>
  <c r="AH740" i="19"/>
  <c r="AQ740" i="19" s="1"/>
  <c r="AD740" i="19"/>
  <c r="AM740" i="19" s="1"/>
  <c r="AH739" i="19"/>
  <c r="AQ739" i="19" s="1"/>
  <c r="AD739" i="19"/>
  <c r="AM739" i="19" s="1"/>
  <c r="AH738" i="19"/>
  <c r="AQ738" i="19" s="1"/>
  <c r="AD738" i="19"/>
  <c r="AM738" i="19" s="1"/>
  <c r="AH737" i="19"/>
  <c r="AQ737" i="19" s="1"/>
  <c r="AD737" i="19"/>
  <c r="AM737" i="19" s="1"/>
  <c r="AH736" i="19"/>
  <c r="AQ736" i="19" s="1"/>
  <c r="AD736" i="19"/>
  <c r="AM736" i="19" s="1"/>
  <c r="AH735" i="19"/>
  <c r="AQ735" i="19" s="1"/>
  <c r="AD735" i="19"/>
  <c r="AM735" i="19" s="1"/>
  <c r="AH734" i="19"/>
  <c r="AQ734" i="19" s="1"/>
  <c r="AD734" i="19"/>
  <c r="AM734" i="19" s="1"/>
  <c r="AH733" i="19"/>
  <c r="AQ733" i="19" s="1"/>
  <c r="AD733" i="19"/>
  <c r="AM733" i="19" s="1"/>
  <c r="AH732" i="19"/>
  <c r="AQ732" i="19" s="1"/>
  <c r="AD732" i="19"/>
  <c r="AM732" i="19" s="1"/>
  <c r="AH731" i="19"/>
  <c r="AQ731" i="19" s="1"/>
  <c r="AD731" i="19"/>
  <c r="AM731" i="19" s="1"/>
  <c r="AH730" i="19"/>
  <c r="AQ730" i="19" s="1"/>
  <c r="AD730" i="19"/>
  <c r="AM730" i="19" s="1"/>
  <c r="AH729" i="19"/>
  <c r="AQ729" i="19" s="1"/>
  <c r="AD729" i="19"/>
  <c r="AM729" i="19" s="1"/>
  <c r="AH728" i="19"/>
  <c r="AQ728" i="19" s="1"/>
  <c r="AD728" i="19"/>
  <c r="AM728" i="19" s="1"/>
  <c r="AH727" i="19"/>
  <c r="AQ727" i="19" s="1"/>
  <c r="AD727" i="19"/>
  <c r="AM727" i="19" s="1"/>
  <c r="AH726" i="19"/>
  <c r="AQ726" i="19" s="1"/>
  <c r="AD726" i="19"/>
  <c r="AM726" i="19" s="1"/>
  <c r="AH725" i="19"/>
  <c r="AQ725" i="19" s="1"/>
  <c r="AD725" i="19"/>
  <c r="AM725" i="19" s="1"/>
  <c r="AH724" i="19"/>
  <c r="AQ724" i="19" s="1"/>
  <c r="AD724" i="19"/>
  <c r="AM724" i="19" s="1"/>
  <c r="AH723" i="19"/>
  <c r="AQ723" i="19" s="1"/>
  <c r="AD723" i="19"/>
  <c r="AM723" i="19" s="1"/>
  <c r="AH722" i="19"/>
  <c r="AQ722" i="19" s="1"/>
  <c r="AD722" i="19"/>
  <c r="AM722" i="19" s="1"/>
  <c r="AH721" i="19"/>
  <c r="AQ721" i="19" s="1"/>
  <c r="AD721" i="19"/>
  <c r="AM721" i="19" s="1"/>
  <c r="AH720" i="19"/>
  <c r="AQ720" i="19" s="1"/>
  <c r="AD720" i="19"/>
  <c r="AM720" i="19" s="1"/>
  <c r="AH719" i="19"/>
  <c r="AQ719" i="19" s="1"/>
  <c r="AD719" i="19"/>
  <c r="AM719" i="19" s="1"/>
  <c r="AH718" i="19"/>
  <c r="AQ718" i="19" s="1"/>
  <c r="AD718" i="19"/>
  <c r="AM718" i="19" s="1"/>
  <c r="AH717" i="19"/>
  <c r="AQ717" i="19" s="1"/>
  <c r="AD717" i="19"/>
  <c r="AM717" i="19" s="1"/>
  <c r="AH716" i="19"/>
  <c r="AQ716" i="19" s="1"/>
  <c r="AD716" i="19"/>
  <c r="AM716" i="19" s="1"/>
  <c r="AH715" i="19"/>
  <c r="AQ715" i="19" s="1"/>
  <c r="AD715" i="19"/>
  <c r="AM715" i="19" s="1"/>
  <c r="AH714" i="19"/>
  <c r="AQ714" i="19" s="1"/>
  <c r="AD714" i="19"/>
  <c r="AM714" i="19" s="1"/>
  <c r="AH713" i="19"/>
  <c r="AQ713" i="19" s="1"/>
  <c r="AD713" i="19"/>
  <c r="AM713" i="19" s="1"/>
  <c r="AH712" i="19"/>
  <c r="AQ712" i="19" s="1"/>
  <c r="AD712" i="19"/>
  <c r="AM712" i="19" s="1"/>
  <c r="AH711" i="19"/>
  <c r="AQ711" i="19" s="1"/>
  <c r="AD711" i="19"/>
  <c r="AM711" i="19" s="1"/>
  <c r="AH710" i="19"/>
  <c r="AQ710" i="19" s="1"/>
  <c r="AD710" i="19"/>
  <c r="AM710" i="19" s="1"/>
  <c r="AH709" i="19"/>
  <c r="AQ709" i="19" s="1"/>
  <c r="AD709" i="19"/>
  <c r="AM709" i="19" s="1"/>
  <c r="AH708" i="19"/>
  <c r="AQ708" i="19" s="1"/>
  <c r="AD708" i="19"/>
  <c r="AM708" i="19" s="1"/>
  <c r="AH707" i="19"/>
  <c r="AQ707" i="19" s="1"/>
  <c r="AD707" i="19"/>
  <c r="AM707" i="19" s="1"/>
  <c r="AH706" i="19"/>
  <c r="AQ706" i="19" s="1"/>
  <c r="AD706" i="19"/>
  <c r="AM706" i="19" s="1"/>
  <c r="AH705" i="19"/>
  <c r="AQ705" i="19" s="1"/>
  <c r="AD705" i="19"/>
  <c r="AM705" i="19" s="1"/>
  <c r="AH704" i="19"/>
  <c r="AQ704" i="19" s="1"/>
  <c r="AD704" i="19"/>
  <c r="AM704" i="19" s="1"/>
  <c r="AH703" i="19"/>
  <c r="AQ703" i="19" s="1"/>
  <c r="AD703" i="19"/>
  <c r="AM703" i="19" s="1"/>
  <c r="AH702" i="19"/>
  <c r="AQ702" i="19" s="1"/>
  <c r="AD702" i="19"/>
  <c r="AM702" i="19" s="1"/>
  <c r="AH701" i="19"/>
  <c r="AQ701" i="19" s="1"/>
  <c r="AD701" i="19"/>
  <c r="AM701" i="19" s="1"/>
  <c r="AH700" i="19"/>
  <c r="AQ700" i="19" s="1"/>
  <c r="AD700" i="19"/>
  <c r="AM700" i="19" s="1"/>
  <c r="AH699" i="19"/>
  <c r="AQ699" i="19" s="1"/>
  <c r="AD699" i="19"/>
  <c r="AM699" i="19" s="1"/>
  <c r="AH698" i="19"/>
  <c r="AQ698" i="19" s="1"/>
  <c r="AD698" i="19"/>
  <c r="AM698" i="19" s="1"/>
  <c r="AH697" i="19"/>
  <c r="AQ697" i="19" s="1"/>
  <c r="AD697" i="19"/>
  <c r="AM697" i="19" s="1"/>
  <c r="AH696" i="19"/>
  <c r="AQ696" i="19" s="1"/>
  <c r="AD696" i="19"/>
  <c r="AM696" i="19" s="1"/>
  <c r="AH695" i="19"/>
  <c r="AQ695" i="19" s="1"/>
  <c r="AD695" i="19"/>
  <c r="AM695" i="19" s="1"/>
  <c r="AH694" i="19"/>
  <c r="AQ694" i="19" s="1"/>
  <c r="AD694" i="19"/>
  <c r="AM694" i="19" s="1"/>
  <c r="AH693" i="19"/>
  <c r="AQ693" i="19" s="1"/>
  <c r="AD693" i="19"/>
  <c r="AM693" i="19" s="1"/>
  <c r="AH692" i="19"/>
  <c r="AQ692" i="19" s="1"/>
  <c r="AD692" i="19"/>
  <c r="AM692" i="19" s="1"/>
  <c r="AH691" i="19"/>
  <c r="AQ691" i="19" s="1"/>
  <c r="AD691" i="19"/>
  <c r="AM691" i="19" s="1"/>
  <c r="AH690" i="19"/>
  <c r="AQ690" i="19" s="1"/>
  <c r="AD690" i="19"/>
  <c r="AM690" i="19" s="1"/>
  <c r="AH689" i="19"/>
  <c r="AQ689" i="19" s="1"/>
  <c r="AD689" i="19"/>
  <c r="AM689" i="19" s="1"/>
  <c r="AH688" i="19"/>
  <c r="AQ688" i="19" s="1"/>
  <c r="AD688" i="19"/>
  <c r="AM688" i="19" s="1"/>
  <c r="AH687" i="19"/>
  <c r="AQ687" i="19" s="1"/>
  <c r="AD687" i="19"/>
  <c r="AM687" i="19" s="1"/>
  <c r="AH686" i="19"/>
  <c r="AQ686" i="19" s="1"/>
  <c r="AD686" i="19"/>
  <c r="AM686" i="19" s="1"/>
  <c r="AH685" i="19"/>
  <c r="AQ685" i="19" s="1"/>
  <c r="AD685" i="19"/>
  <c r="AM685" i="19" s="1"/>
  <c r="AH684" i="19"/>
  <c r="AQ684" i="19" s="1"/>
  <c r="AD684" i="19"/>
  <c r="AM684" i="19" s="1"/>
  <c r="AH683" i="19"/>
  <c r="AQ683" i="19" s="1"/>
  <c r="AD683" i="19"/>
  <c r="AM683" i="19" s="1"/>
  <c r="AH682" i="19"/>
  <c r="AQ682" i="19" s="1"/>
  <c r="AD682" i="19"/>
  <c r="AM682" i="19" s="1"/>
  <c r="AH681" i="19"/>
  <c r="AQ681" i="19" s="1"/>
  <c r="AD681" i="19"/>
  <c r="AM681" i="19" s="1"/>
  <c r="AH680" i="19"/>
  <c r="AQ680" i="19" s="1"/>
  <c r="AD680" i="19"/>
  <c r="AM680" i="19" s="1"/>
  <c r="AH679" i="19"/>
  <c r="AQ679" i="19" s="1"/>
  <c r="AD679" i="19"/>
  <c r="AM679" i="19" s="1"/>
  <c r="AH678" i="19"/>
  <c r="AQ678" i="19" s="1"/>
  <c r="AD678" i="19"/>
  <c r="AM678" i="19" s="1"/>
  <c r="AH677" i="19"/>
  <c r="AQ677" i="19" s="1"/>
  <c r="AD677" i="19"/>
  <c r="AM677" i="19" s="1"/>
  <c r="AH676" i="19"/>
  <c r="AQ676" i="19" s="1"/>
  <c r="AD676" i="19"/>
  <c r="AM676" i="19" s="1"/>
  <c r="AH675" i="19"/>
  <c r="AQ675" i="19" s="1"/>
  <c r="AD675" i="19"/>
  <c r="AM675" i="19" s="1"/>
  <c r="AH674" i="19"/>
  <c r="AQ674" i="19" s="1"/>
  <c r="AD674" i="19"/>
  <c r="AM674" i="19" s="1"/>
  <c r="AH673" i="19"/>
  <c r="AQ673" i="19" s="1"/>
  <c r="AD673" i="19"/>
  <c r="AM673" i="19" s="1"/>
  <c r="AH672" i="19"/>
  <c r="AQ672" i="19" s="1"/>
  <c r="AD672" i="19"/>
  <c r="AM672" i="19" s="1"/>
  <c r="AH671" i="19"/>
  <c r="AQ671" i="19" s="1"/>
  <c r="AD671" i="19"/>
  <c r="AM671" i="19" s="1"/>
  <c r="AH670" i="19"/>
  <c r="AQ670" i="19" s="1"/>
  <c r="AD670" i="19"/>
  <c r="AM670" i="19" s="1"/>
  <c r="AH669" i="19"/>
  <c r="AQ669" i="19" s="1"/>
  <c r="AD669" i="19"/>
  <c r="AM669" i="19" s="1"/>
  <c r="AH668" i="19"/>
  <c r="AQ668" i="19" s="1"/>
  <c r="AD668" i="19"/>
  <c r="AM668" i="19" s="1"/>
  <c r="AH667" i="19"/>
  <c r="AQ667" i="19" s="1"/>
  <c r="AD667" i="19"/>
  <c r="AM667" i="19" s="1"/>
  <c r="AH666" i="19"/>
  <c r="AQ666" i="19" s="1"/>
  <c r="AD666" i="19"/>
  <c r="AM666" i="19" s="1"/>
  <c r="AH665" i="19"/>
  <c r="AQ665" i="19" s="1"/>
  <c r="AD665" i="19"/>
  <c r="AM665" i="19" s="1"/>
  <c r="AH664" i="19"/>
  <c r="AQ664" i="19" s="1"/>
  <c r="AD664" i="19"/>
  <c r="AM664" i="19" s="1"/>
  <c r="AH663" i="19"/>
  <c r="AQ663" i="19" s="1"/>
  <c r="AD663" i="19"/>
  <c r="AM663" i="19" s="1"/>
  <c r="AH662" i="19"/>
  <c r="AQ662" i="19" s="1"/>
  <c r="AD662" i="19"/>
  <c r="AM662" i="19" s="1"/>
  <c r="AH661" i="19"/>
  <c r="AQ661" i="19" s="1"/>
  <c r="AD661" i="19"/>
  <c r="AM661" i="19" s="1"/>
  <c r="AH660" i="19"/>
  <c r="AQ660" i="19" s="1"/>
  <c r="AD660" i="19"/>
  <c r="AM660" i="19" s="1"/>
  <c r="AH659" i="19"/>
  <c r="AQ659" i="19" s="1"/>
  <c r="AD659" i="19"/>
  <c r="AM659" i="19" s="1"/>
  <c r="AH658" i="19"/>
  <c r="AQ658" i="19" s="1"/>
  <c r="AD658" i="19"/>
  <c r="AM658" i="19" s="1"/>
  <c r="AH657" i="19"/>
  <c r="AQ657" i="19" s="1"/>
  <c r="AD657" i="19"/>
  <c r="AM657" i="19" s="1"/>
  <c r="AH656" i="19"/>
  <c r="AQ656" i="19" s="1"/>
  <c r="AD656" i="19"/>
  <c r="AM656" i="19" s="1"/>
  <c r="AH655" i="19"/>
  <c r="AQ655" i="19" s="1"/>
  <c r="AD655" i="19"/>
  <c r="AM655" i="19" s="1"/>
  <c r="AH654" i="19"/>
  <c r="AQ654" i="19" s="1"/>
  <c r="AD654" i="19"/>
  <c r="AM654" i="19" s="1"/>
  <c r="AH653" i="19"/>
  <c r="AQ653" i="19" s="1"/>
  <c r="AD653" i="19"/>
  <c r="AM653" i="19" s="1"/>
  <c r="AH652" i="19"/>
  <c r="AQ652" i="19" s="1"/>
  <c r="AD652" i="19"/>
  <c r="AM652" i="19" s="1"/>
  <c r="AH651" i="19"/>
  <c r="AQ651" i="19" s="1"/>
  <c r="AD651" i="19"/>
  <c r="AM651" i="19" s="1"/>
  <c r="AH650" i="19"/>
  <c r="AQ650" i="19" s="1"/>
  <c r="AD650" i="19"/>
  <c r="AM650" i="19" s="1"/>
  <c r="AH649" i="19"/>
  <c r="AQ649" i="19" s="1"/>
  <c r="AD649" i="19"/>
  <c r="AM649" i="19" s="1"/>
  <c r="AH648" i="19"/>
  <c r="AQ648" i="19" s="1"/>
  <c r="AD648" i="19"/>
  <c r="AM648" i="19" s="1"/>
  <c r="AH647" i="19"/>
  <c r="AQ647" i="19" s="1"/>
  <c r="AD647" i="19"/>
  <c r="AM647" i="19" s="1"/>
  <c r="AH646" i="19"/>
  <c r="AQ646" i="19" s="1"/>
  <c r="AD646" i="19"/>
  <c r="AM646" i="19" s="1"/>
  <c r="AH645" i="19"/>
  <c r="AQ645" i="19" s="1"/>
  <c r="AD645" i="19"/>
  <c r="AM645" i="19" s="1"/>
  <c r="AH644" i="19"/>
  <c r="AQ644" i="19" s="1"/>
  <c r="AD644" i="19"/>
  <c r="AM644" i="19" s="1"/>
  <c r="AH643" i="19"/>
  <c r="AQ643" i="19" s="1"/>
  <c r="AD643" i="19"/>
  <c r="AM643" i="19" s="1"/>
  <c r="AH642" i="19"/>
  <c r="AQ642" i="19" s="1"/>
  <c r="AD642" i="19"/>
  <c r="AM642" i="19" s="1"/>
  <c r="AH641" i="19"/>
  <c r="AQ641" i="19" s="1"/>
  <c r="AD641" i="19"/>
  <c r="AM641" i="19" s="1"/>
  <c r="AH640" i="19"/>
  <c r="AQ640" i="19" s="1"/>
  <c r="AD640" i="19"/>
  <c r="AM640" i="19" s="1"/>
  <c r="AH639" i="19"/>
  <c r="AQ639" i="19" s="1"/>
  <c r="AD639" i="19"/>
  <c r="AM639" i="19" s="1"/>
  <c r="AH638" i="19"/>
  <c r="AQ638" i="19" s="1"/>
  <c r="AD638" i="19"/>
  <c r="AM638" i="19" s="1"/>
  <c r="AD637" i="19"/>
  <c r="AM637" i="19" s="1"/>
  <c r="AH636" i="19"/>
  <c r="AQ636" i="19" s="1"/>
  <c r="AD636" i="19"/>
  <c r="AM636" i="19" s="1"/>
  <c r="AH635" i="19"/>
  <c r="AQ635" i="19" s="1"/>
  <c r="AD635" i="19"/>
  <c r="AM635" i="19" s="1"/>
  <c r="AH634" i="19"/>
  <c r="AQ634" i="19" s="1"/>
  <c r="AD634" i="19"/>
  <c r="AM634" i="19" s="1"/>
  <c r="AH633" i="19"/>
  <c r="AQ633" i="19" s="1"/>
  <c r="AD633" i="19"/>
  <c r="AM633" i="19" s="1"/>
  <c r="AH632" i="19"/>
  <c r="AQ632" i="19" s="1"/>
  <c r="AD632" i="19"/>
  <c r="AM632" i="19" s="1"/>
  <c r="AH631" i="19"/>
  <c r="AQ631" i="19" s="1"/>
  <c r="AD631" i="19"/>
  <c r="AM631" i="19" s="1"/>
  <c r="AH630" i="19"/>
  <c r="AQ630" i="19" s="1"/>
  <c r="AD630" i="19"/>
  <c r="AM630" i="19" s="1"/>
  <c r="AH629" i="19"/>
  <c r="AQ629" i="19" s="1"/>
  <c r="AD629" i="19"/>
  <c r="AM629" i="19" s="1"/>
  <c r="AH628" i="19"/>
  <c r="AQ628" i="19" s="1"/>
  <c r="AD628" i="19"/>
  <c r="AM628" i="19" s="1"/>
  <c r="AH627" i="19"/>
  <c r="AQ627" i="19" s="1"/>
  <c r="AD627" i="19"/>
  <c r="AM627" i="19" s="1"/>
  <c r="AH626" i="19"/>
  <c r="AQ626" i="19" s="1"/>
  <c r="AD626" i="19"/>
  <c r="AM626" i="19" s="1"/>
  <c r="AH625" i="19"/>
  <c r="AQ625" i="19" s="1"/>
  <c r="AD625" i="19"/>
  <c r="AM625" i="19" s="1"/>
  <c r="AH624" i="19"/>
  <c r="AQ624" i="19" s="1"/>
  <c r="AD624" i="19"/>
  <c r="AM624" i="19" s="1"/>
  <c r="AH623" i="19"/>
  <c r="AQ623" i="19" s="1"/>
  <c r="AD623" i="19"/>
  <c r="AM623" i="19" s="1"/>
  <c r="AH622" i="19"/>
  <c r="AQ622" i="19" s="1"/>
  <c r="AD622" i="19"/>
  <c r="AM622" i="19" s="1"/>
  <c r="AH621" i="19"/>
  <c r="AQ621" i="19" s="1"/>
  <c r="AD621" i="19"/>
  <c r="AM621" i="19" s="1"/>
  <c r="AH620" i="19"/>
  <c r="AQ620" i="19" s="1"/>
  <c r="AD620" i="19"/>
  <c r="AM620" i="19" s="1"/>
  <c r="AH619" i="19"/>
  <c r="AQ619" i="19" s="1"/>
  <c r="AD619" i="19"/>
  <c r="AM619" i="19" s="1"/>
  <c r="AH618" i="19"/>
  <c r="AQ618" i="19" s="1"/>
  <c r="AD618" i="19"/>
  <c r="AM618" i="19" s="1"/>
  <c r="AH617" i="19"/>
  <c r="AQ617" i="19" s="1"/>
  <c r="AD617" i="19"/>
  <c r="AM617" i="19" s="1"/>
  <c r="AH616" i="19"/>
  <c r="AQ616" i="19" s="1"/>
  <c r="AD616" i="19"/>
  <c r="AM616" i="19" s="1"/>
  <c r="AH615" i="19"/>
  <c r="AQ615" i="19" s="1"/>
  <c r="AD615" i="19"/>
  <c r="AM615" i="19" s="1"/>
  <c r="AH614" i="19"/>
  <c r="AQ614" i="19" s="1"/>
  <c r="AD614" i="19"/>
  <c r="AM614" i="19" s="1"/>
  <c r="AH613" i="19"/>
  <c r="AQ613" i="19" s="1"/>
  <c r="AD613" i="19"/>
  <c r="AM613" i="19" s="1"/>
  <c r="AH612" i="19"/>
  <c r="AQ612" i="19" s="1"/>
  <c r="AD612" i="19"/>
  <c r="AM612" i="19" s="1"/>
  <c r="AH611" i="19"/>
  <c r="AQ611" i="19" s="1"/>
  <c r="AD611" i="19"/>
  <c r="AM611" i="19" s="1"/>
  <c r="AH610" i="19"/>
  <c r="AQ610" i="19" s="1"/>
  <c r="AD610" i="19"/>
  <c r="AM610" i="19" s="1"/>
  <c r="AH609" i="19"/>
  <c r="AQ609" i="19" s="1"/>
  <c r="AD609" i="19"/>
  <c r="AM609" i="19" s="1"/>
  <c r="AH608" i="19"/>
  <c r="AQ608" i="19" s="1"/>
  <c r="AD608" i="19"/>
  <c r="AM608" i="19" s="1"/>
  <c r="AH607" i="19"/>
  <c r="AQ607" i="19" s="1"/>
  <c r="AD607" i="19"/>
  <c r="AM607" i="19" s="1"/>
  <c r="AH606" i="19"/>
  <c r="AQ606" i="19" s="1"/>
  <c r="AD606" i="19"/>
  <c r="AM606" i="19" s="1"/>
  <c r="AD605" i="19"/>
  <c r="AM605" i="19" s="1"/>
  <c r="AH604" i="19"/>
  <c r="AQ604" i="19" s="1"/>
  <c r="AD604" i="19"/>
  <c r="AM604" i="19" s="1"/>
  <c r="AH603" i="19"/>
  <c r="AQ603" i="19" s="1"/>
  <c r="AD603" i="19"/>
  <c r="AM603" i="19" s="1"/>
  <c r="AH602" i="19"/>
  <c r="AQ602" i="19" s="1"/>
  <c r="AD602" i="19"/>
  <c r="AM602" i="19" s="1"/>
  <c r="AH601" i="19"/>
  <c r="AQ601" i="19" s="1"/>
  <c r="AD601" i="19"/>
  <c r="AM601" i="19" s="1"/>
  <c r="AH600" i="19"/>
  <c r="AQ600" i="19" s="1"/>
  <c r="AD600" i="19"/>
  <c r="AM600" i="19" s="1"/>
  <c r="AH599" i="19"/>
  <c r="AQ599" i="19" s="1"/>
  <c r="AD599" i="19"/>
  <c r="AM599" i="19" s="1"/>
  <c r="AH598" i="19"/>
  <c r="AQ598" i="19" s="1"/>
  <c r="AD598" i="19"/>
  <c r="AM598" i="19" s="1"/>
  <c r="AH597" i="19"/>
  <c r="AQ597" i="19" s="1"/>
  <c r="AD597" i="19"/>
  <c r="AM597" i="19" s="1"/>
  <c r="AH596" i="19"/>
  <c r="AQ596" i="19" s="1"/>
  <c r="AD596" i="19"/>
  <c r="AM596" i="19" s="1"/>
  <c r="AH595" i="19"/>
  <c r="AQ595" i="19" s="1"/>
  <c r="AD595" i="19"/>
  <c r="AM595" i="19" s="1"/>
  <c r="AH594" i="19"/>
  <c r="AQ594" i="19" s="1"/>
  <c r="AD594" i="19"/>
  <c r="AM594" i="19" s="1"/>
  <c r="AH593" i="19"/>
  <c r="AQ593" i="19" s="1"/>
  <c r="AD593" i="19"/>
  <c r="AM593" i="19" s="1"/>
  <c r="AH592" i="19"/>
  <c r="AQ592" i="19" s="1"/>
  <c r="AD592" i="19"/>
  <c r="AM592" i="19" s="1"/>
  <c r="AH591" i="19"/>
  <c r="AQ591" i="19" s="1"/>
  <c r="AD591" i="19"/>
  <c r="AM591" i="19" s="1"/>
  <c r="AH590" i="19"/>
  <c r="AQ590" i="19" s="1"/>
  <c r="AD590" i="19"/>
  <c r="AM590" i="19" s="1"/>
  <c r="AH589" i="19"/>
  <c r="AQ589" i="19" s="1"/>
  <c r="AD589" i="19"/>
  <c r="AM589" i="19" s="1"/>
  <c r="AH588" i="19"/>
  <c r="AQ588" i="19" s="1"/>
  <c r="AD588" i="19"/>
  <c r="AM588" i="19" s="1"/>
  <c r="AH587" i="19"/>
  <c r="AQ587" i="19" s="1"/>
  <c r="AD587" i="19"/>
  <c r="AM587" i="19" s="1"/>
  <c r="AH586" i="19"/>
  <c r="AQ586" i="19" s="1"/>
  <c r="AD586" i="19"/>
  <c r="AM586" i="19" s="1"/>
  <c r="AH585" i="19"/>
  <c r="AQ585" i="19" s="1"/>
  <c r="AD585" i="19"/>
  <c r="AM585" i="19" s="1"/>
  <c r="AH584" i="19"/>
  <c r="AQ584" i="19" s="1"/>
  <c r="AD584" i="19"/>
  <c r="AM584" i="19" s="1"/>
  <c r="AH583" i="19"/>
  <c r="AQ583" i="19" s="1"/>
  <c r="AD583" i="19"/>
  <c r="AM583" i="19" s="1"/>
  <c r="AH582" i="19"/>
  <c r="AQ582" i="19" s="1"/>
  <c r="AD582" i="19"/>
  <c r="AM582" i="19" s="1"/>
  <c r="AH581" i="19"/>
  <c r="AQ581" i="19" s="1"/>
  <c r="AD581" i="19"/>
  <c r="AM581" i="19" s="1"/>
  <c r="AH580" i="19"/>
  <c r="AQ580" i="19" s="1"/>
  <c r="AD580" i="19"/>
  <c r="AM580" i="19" s="1"/>
  <c r="AH579" i="19"/>
  <c r="AQ579" i="19" s="1"/>
  <c r="AD579" i="19"/>
  <c r="AM579" i="19" s="1"/>
  <c r="AH578" i="19"/>
  <c r="AQ578" i="19" s="1"/>
  <c r="AD578" i="19"/>
  <c r="AM578" i="19" s="1"/>
  <c r="AH577" i="19"/>
  <c r="AQ577" i="19" s="1"/>
  <c r="AD577" i="19"/>
  <c r="AM577" i="19" s="1"/>
  <c r="AH576" i="19"/>
  <c r="AQ576" i="19" s="1"/>
  <c r="AD576" i="19"/>
  <c r="AM576" i="19" s="1"/>
  <c r="AH575" i="19"/>
  <c r="AQ575" i="19" s="1"/>
  <c r="AD575" i="19"/>
  <c r="AM575" i="19" s="1"/>
  <c r="AH574" i="19"/>
  <c r="AQ574" i="19" s="1"/>
  <c r="AD574" i="19"/>
  <c r="AM574" i="19" s="1"/>
  <c r="AD573" i="19"/>
  <c r="AM573" i="19" s="1"/>
  <c r="AH572" i="19"/>
  <c r="AQ572" i="19" s="1"/>
  <c r="AD572" i="19"/>
  <c r="AM572" i="19" s="1"/>
  <c r="AH571" i="19"/>
  <c r="AQ571" i="19" s="1"/>
  <c r="AD571" i="19"/>
  <c r="AM571" i="19" s="1"/>
  <c r="AH570" i="19"/>
  <c r="AQ570" i="19" s="1"/>
  <c r="AD570" i="19"/>
  <c r="AM570" i="19" s="1"/>
  <c r="AH569" i="19"/>
  <c r="AQ569" i="19" s="1"/>
  <c r="AD569" i="19"/>
  <c r="AM569" i="19" s="1"/>
  <c r="AH568" i="19"/>
  <c r="AQ568" i="19" s="1"/>
  <c r="AD568" i="19"/>
  <c r="AM568" i="19" s="1"/>
  <c r="AH567" i="19"/>
  <c r="AQ567" i="19" s="1"/>
  <c r="AD567" i="19"/>
  <c r="AM567" i="19" s="1"/>
  <c r="AH566" i="19"/>
  <c r="AQ566" i="19" s="1"/>
  <c r="AD566" i="19"/>
  <c r="AM566" i="19" s="1"/>
  <c r="AH565" i="19"/>
  <c r="AQ565" i="19" s="1"/>
  <c r="AD565" i="19"/>
  <c r="AM565" i="19" s="1"/>
  <c r="AH564" i="19"/>
  <c r="AQ564" i="19" s="1"/>
  <c r="AD564" i="19"/>
  <c r="AM564" i="19" s="1"/>
  <c r="AH563" i="19"/>
  <c r="AQ563" i="19" s="1"/>
  <c r="AD563" i="19"/>
  <c r="AM563" i="19" s="1"/>
  <c r="AH562" i="19"/>
  <c r="AQ562" i="19" s="1"/>
  <c r="AD562" i="19"/>
  <c r="AM562" i="19" s="1"/>
  <c r="AH561" i="19"/>
  <c r="AQ561" i="19" s="1"/>
  <c r="AD561" i="19"/>
  <c r="AM561" i="19" s="1"/>
  <c r="AH560" i="19"/>
  <c r="AQ560" i="19" s="1"/>
  <c r="AD560" i="19"/>
  <c r="AM560" i="19" s="1"/>
  <c r="AH559" i="19"/>
  <c r="AQ559" i="19" s="1"/>
  <c r="AD559" i="19"/>
  <c r="AM559" i="19" s="1"/>
  <c r="AH558" i="19"/>
  <c r="AQ558" i="19" s="1"/>
  <c r="AD558" i="19"/>
  <c r="AM558" i="19" s="1"/>
  <c r="AH557" i="19"/>
  <c r="AQ557" i="19" s="1"/>
  <c r="AD557" i="19"/>
  <c r="AM557" i="19" s="1"/>
  <c r="AH556" i="19"/>
  <c r="AQ556" i="19" s="1"/>
  <c r="AD556" i="19"/>
  <c r="AM556" i="19" s="1"/>
  <c r="AH555" i="19"/>
  <c r="AQ555" i="19" s="1"/>
  <c r="AD555" i="19"/>
  <c r="AM555" i="19" s="1"/>
  <c r="AH554" i="19"/>
  <c r="AQ554" i="19" s="1"/>
  <c r="AD554" i="19"/>
  <c r="AM554" i="19" s="1"/>
  <c r="AH553" i="19"/>
  <c r="AQ553" i="19" s="1"/>
  <c r="AD553" i="19"/>
  <c r="AM553" i="19" s="1"/>
  <c r="AH552" i="19"/>
  <c r="AQ552" i="19" s="1"/>
  <c r="AD552" i="19"/>
  <c r="AM552" i="19" s="1"/>
  <c r="AH551" i="19"/>
  <c r="AQ551" i="19" s="1"/>
  <c r="AD551" i="19"/>
  <c r="AM551" i="19" s="1"/>
  <c r="AH550" i="19"/>
  <c r="AQ550" i="19" s="1"/>
  <c r="AD550" i="19"/>
  <c r="AM550" i="19" s="1"/>
  <c r="AH549" i="19"/>
  <c r="AQ549" i="19" s="1"/>
  <c r="AD549" i="19"/>
  <c r="AM549" i="19" s="1"/>
  <c r="AH548" i="19"/>
  <c r="AQ548" i="19" s="1"/>
  <c r="AD548" i="19"/>
  <c r="AM548" i="19" s="1"/>
  <c r="AH547" i="19"/>
  <c r="AQ547" i="19" s="1"/>
  <c r="AD547" i="19"/>
  <c r="AM547" i="19" s="1"/>
  <c r="AH546" i="19"/>
  <c r="AQ546" i="19" s="1"/>
  <c r="AD546" i="19"/>
  <c r="AM546" i="19" s="1"/>
  <c r="AH545" i="19"/>
  <c r="AQ545" i="19" s="1"/>
  <c r="AD545" i="19"/>
  <c r="AM545" i="19" s="1"/>
  <c r="AH544" i="19"/>
  <c r="AQ544" i="19" s="1"/>
  <c r="AD544" i="19"/>
  <c r="AM544" i="19" s="1"/>
  <c r="AH543" i="19"/>
  <c r="AQ543" i="19" s="1"/>
  <c r="AD543" i="19"/>
  <c r="AM543" i="19" s="1"/>
  <c r="AH542" i="19"/>
  <c r="AQ542" i="19" s="1"/>
  <c r="AD542" i="19"/>
  <c r="AM542" i="19" s="1"/>
  <c r="AD541" i="19"/>
  <c r="AM541" i="19" s="1"/>
  <c r="AH540" i="19"/>
  <c r="AQ540" i="19" s="1"/>
  <c r="AD540" i="19"/>
  <c r="AM540" i="19" s="1"/>
  <c r="AH539" i="19"/>
  <c r="AQ539" i="19" s="1"/>
  <c r="AD539" i="19"/>
  <c r="AM539" i="19" s="1"/>
  <c r="AH538" i="19"/>
  <c r="AQ538" i="19" s="1"/>
  <c r="AD538" i="19"/>
  <c r="AM538" i="19" s="1"/>
  <c r="AH537" i="19"/>
  <c r="AQ537" i="19" s="1"/>
  <c r="AD537" i="19"/>
  <c r="AM537" i="19" s="1"/>
  <c r="AH536" i="19"/>
  <c r="AQ536" i="19" s="1"/>
  <c r="AD536" i="19"/>
  <c r="AM536" i="19" s="1"/>
  <c r="AH535" i="19"/>
  <c r="AQ535" i="19" s="1"/>
  <c r="AD535" i="19"/>
  <c r="AM535" i="19" s="1"/>
  <c r="AH534" i="19"/>
  <c r="AQ534" i="19" s="1"/>
  <c r="AD534" i="19"/>
  <c r="AM534" i="19" s="1"/>
  <c r="AH533" i="19"/>
  <c r="AQ533" i="19" s="1"/>
  <c r="AD533" i="19"/>
  <c r="AM533" i="19" s="1"/>
  <c r="AH532" i="19"/>
  <c r="AQ532" i="19" s="1"/>
  <c r="AD532" i="19"/>
  <c r="AM532" i="19" s="1"/>
  <c r="AH531" i="19"/>
  <c r="AQ531" i="19" s="1"/>
  <c r="AD531" i="19"/>
  <c r="AM531" i="19" s="1"/>
  <c r="AH530" i="19"/>
  <c r="AQ530" i="19" s="1"/>
  <c r="AD530" i="19"/>
  <c r="AM530" i="19" s="1"/>
  <c r="AH529" i="19"/>
  <c r="AQ529" i="19" s="1"/>
  <c r="AD529" i="19"/>
  <c r="AM529" i="19" s="1"/>
  <c r="AH528" i="19"/>
  <c r="AQ528" i="19" s="1"/>
  <c r="AD528" i="19"/>
  <c r="AM528" i="19" s="1"/>
  <c r="AH527" i="19"/>
  <c r="AQ527" i="19" s="1"/>
  <c r="AD527" i="19"/>
  <c r="AM527" i="19" s="1"/>
  <c r="AH526" i="19"/>
  <c r="AQ526" i="19" s="1"/>
  <c r="AD526" i="19"/>
  <c r="AM526" i="19" s="1"/>
  <c r="AH525" i="19"/>
  <c r="AQ525" i="19" s="1"/>
  <c r="AD525" i="19"/>
  <c r="AM525" i="19" s="1"/>
  <c r="AH524" i="19"/>
  <c r="AQ524" i="19" s="1"/>
  <c r="AD524" i="19"/>
  <c r="AM524" i="19" s="1"/>
  <c r="AH523" i="19"/>
  <c r="AQ523" i="19" s="1"/>
  <c r="AD523" i="19"/>
  <c r="AM523" i="19" s="1"/>
  <c r="AH522" i="19"/>
  <c r="AQ522" i="19" s="1"/>
  <c r="AD522" i="19"/>
  <c r="AM522" i="19" s="1"/>
  <c r="AH521" i="19"/>
  <c r="AQ521" i="19" s="1"/>
  <c r="AD521" i="19"/>
  <c r="AM521" i="19" s="1"/>
  <c r="AH520" i="19"/>
  <c r="AQ520" i="19" s="1"/>
  <c r="AD520" i="19"/>
  <c r="AM520" i="19" s="1"/>
  <c r="AH519" i="19"/>
  <c r="AQ519" i="19" s="1"/>
  <c r="AD519" i="19"/>
  <c r="AM519" i="19" s="1"/>
  <c r="AH518" i="19"/>
  <c r="AQ518" i="19" s="1"/>
  <c r="AD518" i="19"/>
  <c r="AM518" i="19" s="1"/>
  <c r="AH517" i="19"/>
  <c r="AQ517" i="19" s="1"/>
  <c r="AD517" i="19"/>
  <c r="AM517" i="19" s="1"/>
  <c r="AH516" i="19"/>
  <c r="AQ516" i="19" s="1"/>
  <c r="AD516" i="19"/>
  <c r="AM516" i="19" s="1"/>
  <c r="AH515" i="19"/>
  <c r="AQ515" i="19" s="1"/>
  <c r="AD515" i="19"/>
  <c r="AM515" i="19" s="1"/>
  <c r="AH514" i="19"/>
  <c r="AQ514" i="19" s="1"/>
  <c r="AD514" i="19"/>
  <c r="AM514" i="19" s="1"/>
  <c r="AH513" i="19"/>
  <c r="AQ513" i="19" s="1"/>
  <c r="AD513" i="19"/>
  <c r="AM513" i="19" s="1"/>
  <c r="AH512" i="19"/>
  <c r="AQ512" i="19" s="1"/>
  <c r="AD512" i="19"/>
  <c r="AM512" i="19" s="1"/>
  <c r="AH511" i="19"/>
  <c r="AQ511" i="19" s="1"/>
  <c r="AD511" i="19"/>
  <c r="AM511" i="19" s="1"/>
  <c r="AH510" i="19"/>
  <c r="AQ510" i="19" s="1"/>
  <c r="AD510" i="19"/>
  <c r="AM510" i="19" s="1"/>
  <c r="AH509" i="19"/>
  <c r="AQ509" i="19" s="1"/>
  <c r="AD509" i="19"/>
  <c r="AM509" i="19" s="1"/>
  <c r="AH508" i="19"/>
  <c r="AQ508" i="19" s="1"/>
  <c r="AD508" i="19"/>
  <c r="AM508" i="19" s="1"/>
  <c r="AH507" i="19"/>
  <c r="AQ507" i="19" s="1"/>
  <c r="AD507" i="19"/>
  <c r="AM507" i="19" s="1"/>
  <c r="AH506" i="19"/>
  <c r="AQ506" i="19" s="1"/>
  <c r="AD506" i="19"/>
  <c r="AM506" i="19" s="1"/>
  <c r="AH505" i="19"/>
  <c r="AQ505" i="19" s="1"/>
  <c r="AD505" i="19"/>
  <c r="AM505" i="19" s="1"/>
  <c r="AH504" i="19"/>
  <c r="AQ504" i="19" s="1"/>
  <c r="AD504" i="19"/>
  <c r="AM504" i="19" s="1"/>
  <c r="AH503" i="19"/>
  <c r="AQ503" i="19" s="1"/>
  <c r="AD503" i="19"/>
  <c r="AM503" i="19" s="1"/>
  <c r="AH502" i="19"/>
  <c r="AQ502" i="19" s="1"/>
  <c r="AD502" i="19"/>
  <c r="AM502" i="19" s="1"/>
  <c r="AH501" i="19"/>
  <c r="AQ501" i="19" s="1"/>
  <c r="AD501" i="19"/>
  <c r="AM501" i="19" s="1"/>
  <c r="AH500" i="19"/>
  <c r="AQ500" i="19" s="1"/>
  <c r="AD500" i="19"/>
  <c r="AM500" i="19" s="1"/>
  <c r="AH499" i="19"/>
  <c r="AQ499" i="19" s="1"/>
  <c r="AD499" i="19"/>
  <c r="AM499" i="19" s="1"/>
  <c r="AH498" i="19"/>
  <c r="AQ498" i="19" s="1"/>
  <c r="AD498" i="19"/>
  <c r="AM498" i="19" s="1"/>
  <c r="AH497" i="19"/>
  <c r="AQ497" i="19" s="1"/>
  <c r="AD497" i="19"/>
  <c r="AM497" i="19" s="1"/>
  <c r="AH496" i="19"/>
  <c r="AQ496" i="19" s="1"/>
  <c r="AD496" i="19"/>
  <c r="AM496" i="19" s="1"/>
  <c r="AH495" i="19"/>
  <c r="AQ495" i="19" s="1"/>
  <c r="AD495" i="19"/>
  <c r="AM495" i="19" s="1"/>
  <c r="AH494" i="19"/>
  <c r="AQ494" i="19" s="1"/>
  <c r="AD494" i="19"/>
  <c r="AM494" i="19" s="1"/>
  <c r="AH493" i="19"/>
  <c r="AQ493" i="19" s="1"/>
  <c r="AD493" i="19"/>
  <c r="AM493" i="19" s="1"/>
  <c r="AH492" i="19"/>
  <c r="AQ492" i="19" s="1"/>
  <c r="AD492" i="19"/>
  <c r="AM492" i="19" s="1"/>
  <c r="AH491" i="19"/>
  <c r="AQ491" i="19" s="1"/>
  <c r="AD491" i="19"/>
  <c r="AM491" i="19" s="1"/>
  <c r="AH490" i="19"/>
  <c r="AQ490" i="19" s="1"/>
  <c r="AD490" i="19"/>
  <c r="AM490" i="19" s="1"/>
  <c r="AH489" i="19"/>
  <c r="AQ489" i="19" s="1"/>
  <c r="AD489" i="19"/>
  <c r="AM489" i="19" s="1"/>
  <c r="AH488" i="19"/>
  <c r="AQ488" i="19" s="1"/>
  <c r="AD488" i="19"/>
  <c r="AM488" i="19" s="1"/>
  <c r="AH487" i="19"/>
  <c r="AQ487" i="19" s="1"/>
  <c r="AD487" i="19"/>
  <c r="AM487" i="19" s="1"/>
  <c r="AH486" i="19"/>
  <c r="AQ486" i="19" s="1"/>
  <c r="AD486" i="19"/>
  <c r="AM486" i="19" s="1"/>
  <c r="AH485" i="19"/>
  <c r="AQ485" i="19" s="1"/>
  <c r="AD485" i="19"/>
  <c r="AM485" i="19" s="1"/>
  <c r="AH484" i="19"/>
  <c r="AQ484" i="19" s="1"/>
  <c r="AD484" i="19"/>
  <c r="AM484" i="19" s="1"/>
  <c r="AH483" i="19"/>
  <c r="AQ483" i="19" s="1"/>
  <c r="AD483" i="19"/>
  <c r="AM483" i="19" s="1"/>
  <c r="AH482" i="19"/>
  <c r="AQ482" i="19" s="1"/>
  <c r="AD482" i="19"/>
  <c r="AM482" i="19" s="1"/>
  <c r="AH481" i="19"/>
  <c r="AQ481" i="19" s="1"/>
  <c r="AD481" i="19"/>
  <c r="AM481" i="19" s="1"/>
  <c r="AH480" i="19"/>
  <c r="AQ480" i="19" s="1"/>
  <c r="AD480" i="19"/>
  <c r="AM480" i="19" s="1"/>
  <c r="AH479" i="19"/>
  <c r="AQ479" i="19" s="1"/>
  <c r="AD479" i="19"/>
  <c r="AM479" i="19" s="1"/>
  <c r="AH478" i="19"/>
  <c r="AQ478" i="19" s="1"/>
  <c r="AD478" i="19"/>
  <c r="AM478" i="19" s="1"/>
  <c r="AH477" i="19"/>
  <c r="AQ477" i="19" s="1"/>
  <c r="AD477" i="19"/>
  <c r="AM477" i="19" s="1"/>
  <c r="AH476" i="19"/>
  <c r="AQ476" i="19" s="1"/>
  <c r="AD476" i="19"/>
  <c r="AM476" i="19" s="1"/>
  <c r="AH475" i="19"/>
  <c r="AQ475" i="19" s="1"/>
  <c r="AD475" i="19"/>
  <c r="AM475" i="19" s="1"/>
  <c r="AH474" i="19"/>
  <c r="AQ474" i="19" s="1"/>
  <c r="AD474" i="19"/>
  <c r="AM474" i="19" s="1"/>
  <c r="AH473" i="19"/>
  <c r="AQ473" i="19" s="1"/>
  <c r="AD473" i="19"/>
  <c r="AM473" i="19" s="1"/>
  <c r="AH472" i="19"/>
  <c r="AQ472" i="19" s="1"/>
  <c r="AD472" i="19"/>
  <c r="AM472" i="19" s="1"/>
  <c r="AH471" i="19"/>
  <c r="AQ471" i="19" s="1"/>
  <c r="AD471" i="19"/>
  <c r="AM471" i="19" s="1"/>
  <c r="AH470" i="19"/>
  <c r="AQ470" i="19" s="1"/>
  <c r="AD470" i="19"/>
  <c r="AM470" i="19" s="1"/>
  <c r="AH469" i="19"/>
  <c r="AQ469" i="19" s="1"/>
  <c r="AD469" i="19"/>
  <c r="AM469" i="19" s="1"/>
  <c r="AH468" i="19"/>
  <c r="AQ468" i="19" s="1"/>
  <c r="AD468" i="19"/>
  <c r="AM468" i="19" s="1"/>
  <c r="AH467" i="19"/>
  <c r="AQ467" i="19" s="1"/>
  <c r="AD467" i="19"/>
  <c r="AM467" i="19" s="1"/>
  <c r="AH466" i="19"/>
  <c r="AQ466" i="19" s="1"/>
  <c r="AD466" i="19"/>
  <c r="AM466" i="19" s="1"/>
  <c r="AH465" i="19"/>
  <c r="AQ465" i="19" s="1"/>
  <c r="AD465" i="19"/>
  <c r="AM465" i="19" s="1"/>
  <c r="AH464" i="19"/>
  <c r="AQ464" i="19" s="1"/>
  <c r="AD464" i="19"/>
  <c r="AM464" i="19" s="1"/>
  <c r="AH463" i="19"/>
  <c r="AQ463" i="19" s="1"/>
  <c r="AD463" i="19"/>
  <c r="AM463" i="19" s="1"/>
  <c r="AH462" i="19"/>
  <c r="AQ462" i="19" s="1"/>
  <c r="AD462" i="19"/>
  <c r="AM462" i="19" s="1"/>
  <c r="AH461" i="19"/>
  <c r="AQ461" i="19" s="1"/>
  <c r="AD461" i="19"/>
  <c r="AM461" i="19" s="1"/>
  <c r="AH460" i="19"/>
  <c r="AQ460" i="19" s="1"/>
  <c r="AD460" i="19"/>
  <c r="AM460" i="19" s="1"/>
  <c r="AH459" i="19"/>
  <c r="AQ459" i="19" s="1"/>
  <c r="AD459" i="19"/>
  <c r="AM459" i="19" s="1"/>
  <c r="AH458" i="19"/>
  <c r="AQ458" i="19" s="1"/>
  <c r="AD458" i="19"/>
  <c r="AM458" i="19" s="1"/>
  <c r="AH457" i="19"/>
  <c r="AQ457" i="19" s="1"/>
  <c r="AD457" i="19"/>
  <c r="AM457" i="19" s="1"/>
  <c r="AH456" i="19"/>
  <c r="AQ456" i="19" s="1"/>
  <c r="AD456" i="19"/>
  <c r="AM456" i="19" s="1"/>
  <c r="AH455" i="19"/>
  <c r="AQ455" i="19" s="1"/>
  <c r="AD455" i="19"/>
  <c r="AM455" i="19" s="1"/>
  <c r="AH454" i="19"/>
  <c r="AQ454" i="19" s="1"/>
  <c r="AD454" i="19"/>
  <c r="AM454" i="19" s="1"/>
  <c r="AH453" i="19"/>
  <c r="AQ453" i="19" s="1"/>
  <c r="AD453" i="19"/>
  <c r="AM453" i="19" s="1"/>
  <c r="AH452" i="19"/>
  <c r="AQ452" i="19" s="1"/>
  <c r="AD452" i="19"/>
  <c r="AM452" i="19" s="1"/>
  <c r="AH451" i="19"/>
  <c r="AQ451" i="19" s="1"/>
  <c r="AD451" i="19"/>
  <c r="AM451" i="19" s="1"/>
  <c r="AH450" i="19"/>
  <c r="AQ450" i="19" s="1"/>
  <c r="AD450" i="19"/>
  <c r="AM450" i="19" s="1"/>
  <c r="AH449" i="19"/>
  <c r="AQ449" i="19" s="1"/>
  <c r="AD449" i="19"/>
  <c r="AM449" i="19" s="1"/>
  <c r="AH448" i="19"/>
  <c r="AQ448" i="19" s="1"/>
  <c r="AD448" i="19"/>
  <c r="AM448" i="19" s="1"/>
  <c r="AH447" i="19"/>
  <c r="AQ447" i="19" s="1"/>
  <c r="AD447" i="19"/>
  <c r="AM447" i="19" s="1"/>
  <c r="AH446" i="19"/>
  <c r="AQ446" i="19" s="1"/>
  <c r="AD446" i="19"/>
  <c r="AM446" i="19" s="1"/>
  <c r="AH445" i="19"/>
  <c r="AQ445" i="19" s="1"/>
  <c r="AD445" i="19"/>
  <c r="AM445" i="19" s="1"/>
  <c r="AH444" i="19"/>
  <c r="AQ444" i="19" s="1"/>
  <c r="AD444" i="19"/>
  <c r="AM444" i="19" s="1"/>
  <c r="AH443" i="19"/>
  <c r="AQ443" i="19" s="1"/>
  <c r="AD443" i="19"/>
  <c r="AM443" i="19" s="1"/>
  <c r="AH442" i="19"/>
  <c r="AQ442" i="19" s="1"/>
  <c r="AD442" i="19"/>
  <c r="AM442" i="19" s="1"/>
  <c r="AH441" i="19"/>
  <c r="AQ441" i="19" s="1"/>
  <c r="AD441" i="19"/>
  <c r="AM441" i="19" s="1"/>
  <c r="AH440" i="19"/>
  <c r="AQ440" i="19" s="1"/>
  <c r="AD440" i="19"/>
  <c r="AM440" i="19" s="1"/>
  <c r="AH439" i="19"/>
  <c r="AQ439" i="19" s="1"/>
  <c r="AD439" i="19"/>
  <c r="AM439" i="19" s="1"/>
  <c r="AH438" i="19"/>
  <c r="AQ438" i="19" s="1"/>
  <c r="AD438" i="19"/>
  <c r="AM438" i="19" s="1"/>
  <c r="AH437" i="19"/>
  <c r="AQ437" i="19" s="1"/>
  <c r="AD437" i="19"/>
  <c r="AM437" i="19" s="1"/>
  <c r="AH436" i="19"/>
  <c r="AQ436" i="19" s="1"/>
  <c r="AD436" i="19"/>
  <c r="AM436" i="19" s="1"/>
  <c r="AH435" i="19"/>
  <c r="AQ435" i="19" s="1"/>
  <c r="AD435" i="19"/>
  <c r="AM435" i="19" s="1"/>
  <c r="AH434" i="19"/>
  <c r="AQ434" i="19" s="1"/>
  <c r="AD434" i="19"/>
  <c r="AM434" i="19" s="1"/>
  <c r="AH433" i="19"/>
  <c r="AQ433" i="19" s="1"/>
  <c r="AD433" i="19"/>
  <c r="AM433" i="19" s="1"/>
  <c r="AH432" i="19"/>
  <c r="AQ432" i="19" s="1"/>
  <c r="AD432" i="19"/>
  <c r="AM432" i="19" s="1"/>
  <c r="AH431" i="19"/>
  <c r="AQ431" i="19" s="1"/>
  <c r="AD431" i="19"/>
  <c r="AM431" i="19" s="1"/>
  <c r="AH430" i="19"/>
  <c r="AQ430" i="19" s="1"/>
  <c r="AD430" i="19"/>
  <c r="AM430" i="19" s="1"/>
  <c r="AH429" i="19"/>
  <c r="AQ429" i="19" s="1"/>
  <c r="AD429" i="19"/>
  <c r="AM429" i="19" s="1"/>
  <c r="AH428" i="19"/>
  <c r="AQ428" i="19" s="1"/>
  <c r="AD428" i="19"/>
  <c r="AM428" i="19" s="1"/>
  <c r="AH427" i="19"/>
  <c r="AQ427" i="19" s="1"/>
  <c r="AD427" i="19"/>
  <c r="AM427" i="19" s="1"/>
  <c r="AH426" i="19"/>
  <c r="AQ426" i="19" s="1"/>
  <c r="AD426" i="19"/>
  <c r="AM426" i="19" s="1"/>
  <c r="AH425" i="19"/>
  <c r="AQ425" i="19" s="1"/>
  <c r="AD425" i="19"/>
  <c r="AM425" i="19" s="1"/>
  <c r="AH424" i="19"/>
  <c r="AQ424" i="19" s="1"/>
  <c r="AD424" i="19"/>
  <c r="AM424" i="19" s="1"/>
  <c r="AH423" i="19"/>
  <c r="AQ423" i="19" s="1"/>
  <c r="AD423" i="19"/>
  <c r="AM423" i="19" s="1"/>
  <c r="AH422" i="19"/>
  <c r="AQ422" i="19" s="1"/>
  <c r="AD422" i="19"/>
  <c r="AM422" i="19" s="1"/>
  <c r="AH421" i="19"/>
  <c r="AQ421" i="19" s="1"/>
  <c r="AD421" i="19"/>
  <c r="AM421" i="19" s="1"/>
  <c r="AH420" i="19"/>
  <c r="AQ420" i="19" s="1"/>
  <c r="AD420" i="19"/>
  <c r="AM420" i="19" s="1"/>
  <c r="AH419" i="19"/>
  <c r="AQ419" i="19" s="1"/>
  <c r="AD419" i="19"/>
  <c r="AM419" i="19" s="1"/>
  <c r="AH418" i="19"/>
  <c r="AQ418" i="19" s="1"/>
  <c r="AD418" i="19"/>
  <c r="AM418" i="19" s="1"/>
  <c r="AH417" i="19"/>
  <c r="AQ417" i="19" s="1"/>
  <c r="AD417" i="19"/>
  <c r="AM417" i="19" s="1"/>
  <c r="AH416" i="19"/>
  <c r="AQ416" i="19" s="1"/>
  <c r="AD416" i="19"/>
  <c r="AM416" i="19" s="1"/>
  <c r="AH415" i="19"/>
  <c r="AQ415" i="19" s="1"/>
  <c r="AD415" i="19"/>
  <c r="AM415" i="19" s="1"/>
  <c r="AH414" i="19"/>
  <c r="AQ414" i="19" s="1"/>
  <c r="AD414" i="19"/>
  <c r="AM414" i="19" s="1"/>
  <c r="AH413" i="19"/>
  <c r="AQ413" i="19" s="1"/>
  <c r="AD413" i="19"/>
  <c r="AM413" i="19" s="1"/>
  <c r="AH412" i="19"/>
  <c r="AQ412" i="19" s="1"/>
  <c r="AD412" i="19"/>
  <c r="AM412" i="19" s="1"/>
  <c r="AH411" i="19"/>
  <c r="AQ411" i="19" s="1"/>
  <c r="AD411" i="19"/>
  <c r="AM411" i="19" s="1"/>
  <c r="AH410" i="19"/>
  <c r="AQ410" i="19" s="1"/>
  <c r="AD410" i="19"/>
  <c r="AM410" i="19" s="1"/>
  <c r="AH409" i="19"/>
  <c r="AQ409" i="19" s="1"/>
  <c r="AD409" i="19"/>
  <c r="AM409" i="19" s="1"/>
  <c r="AH408" i="19"/>
  <c r="AQ408" i="19" s="1"/>
  <c r="AD408" i="19"/>
  <c r="AM408" i="19" s="1"/>
  <c r="AH407" i="19"/>
  <c r="AQ407" i="19" s="1"/>
  <c r="AD407" i="19"/>
  <c r="AM407" i="19" s="1"/>
  <c r="AH406" i="19"/>
  <c r="AQ406" i="19" s="1"/>
  <c r="AD406" i="19"/>
  <c r="AM406" i="19" s="1"/>
  <c r="AH405" i="19"/>
  <c r="AQ405" i="19" s="1"/>
  <c r="AD405" i="19"/>
  <c r="AM405" i="19" s="1"/>
  <c r="AH404" i="19"/>
  <c r="AQ404" i="19" s="1"/>
  <c r="AD404" i="19"/>
  <c r="AM404" i="19" s="1"/>
  <c r="AH403" i="19"/>
  <c r="AQ403" i="19" s="1"/>
  <c r="AD403" i="19"/>
  <c r="AM403" i="19" s="1"/>
  <c r="AH402" i="19"/>
  <c r="AQ402" i="19" s="1"/>
  <c r="AD402" i="19"/>
  <c r="AM402" i="19" s="1"/>
  <c r="AH401" i="19"/>
  <c r="AQ401" i="19" s="1"/>
  <c r="AD401" i="19"/>
  <c r="AM401" i="19" s="1"/>
  <c r="AH400" i="19"/>
  <c r="AQ400" i="19" s="1"/>
  <c r="AD400" i="19"/>
  <c r="AM400" i="19" s="1"/>
  <c r="AH399" i="19"/>
  <c r="AQ399" i="19" s="1"/>
  <c r="AD399" i="19"/>
  <c r="AM399" i="19" s="1"/>
  <c r="AH398" i="19"/>
  <c r="AQ398" i="19" s="1"/>
  <c r="AD398" i="19"/>
  <c r="AM398" i="19" s="1"/>
  <c r="AH397" i="19"/>
  <c r="AQ397" i="19" s="1"/>
  <c r="AD397" i="19"/>
  <c r="AM397" i="19" s="1"/>
  <c r="AH396" i="19"/>
  <c r="AQ396" i="19" s="1"/>
  <c r="AD396" i="19"/>
  <c r="AM396" i="19" s="1"/>
  <c r="AH395" i="19"/>
  <c r="AQ395" i="19" s="1"/>
  <c r="AD395" i="19"/>
  <c r="AM395" i="19" s="1"/>
  <c r="AH394" i="19"/>
  <c r="AQ394" i="19" s="1"/>
  <c r="AD394" i="19"/>
  <c r="AM394" i="19" s="1"/>
  <c r="AH393" i="19"/>
  <c r="AQ393" i="19" s="1"/>
  <c r="AD393" i="19"/>
  <c r="AM393" i="19" s="1"/>
  <c r="AH392" i="19"/>
  <c r="AQ392" i="19" s="1"/>
  <c r="AD392" i="19"/>
  <c r="AM392" i="19" s="1"/>
  <c r="AH391" i="19"/>
  <c r="AQ391" i="19" s="1"/>
  <c r="AD391" i="19"/>
  <c r="AM391" i="19" s="1"/>
  <c r="AH390" i="19"/>
  <c r="AQ390" i="19" s="1"/>
  <c r="AD390" i="19"/>
  <c r="AM390" i="19" s="1"/>
  <c r="AH389" i="19"/>
  <c r="AQ389" i="19" s="1"/>
  <c r="AD389" i="19"/>
  <c r="AM389" i="19" s="1"/>
  <c r="AH388" i="19"/>
  <c r="AQ388" i="19" s="1"/>
  <c r="AD388" i="19"/>
  <c r="AM388" i="19" s="1"/>
  <c r="AH387" i="19"/>
  <c r="AQ387" i="19" s="1"/>
  <c r="AD387" i="19"/>
  <c r="AM387" i="19" s="1"/>
  <c r="AH386" i="19"/>
  <c r="AQ386" i="19" s="1"/>
  <c r="AD386" i="19"/>
  <c r="AM386" i="19" s="1"/>
  <c r="AH385" i="19"/>
  <c r="AQ385" i="19" s="1"/>
  <c r="AD385" i="19"/>
  <c r="AM385" i="19" s="1"/>
  <c r="AH384" i="19"/>
  <c r="AQ384" i="19" s="1"/>
  <c r="AD384" i="19"/>
  <c r="AM384" i="19" s="1"/>
  <c r="AH383" i="19"/>
  <c r="AQ383" i="19" s="1"/>
  <c r="AD383" i="19"/>
  <c r="AM383" i="19" s="1"/>
  <c r="AH382" i="19"/>
  <c r="AQ382" i="19" s="1"/>
  <c r="AD382" i="19"/>
  <c r="AM382" i="19" s="1"/>
  <c r="AH381" i="19"/>
  <c r="AQ381" i="19" s="1"/>
  <c r="AD381" i="19"/>
  <c r="AM381" i="19" s="1"/>
  <c r="AH380" i="19"/>
  <c r="AQ380" i="19" s="1"/>
  <c r="AD380" i="19"/>
  <c r="AM380" i="19" s="1"/>
  <c r="AH379" i="19"/>
  <c r="AQ379" i="19" s="1"/>
  <c r="AD379" i="19"/>
  <c r="AM379" i="19" s="1"/>
  <c r="AH378" i="19"/>
  <c r="AQ378" i="19" s="1"/>
  <c r="AD378" i="19"/>
  <c r="AM378" i="19" s="1"/>
  <c r="AH377" i="19"/>
  <c r="AQ377" i="19" s="1"/>
  <c r="AD377" i="19"/>
  <c r="AM377" i="19" s="1"/>
  <c r="AH376" i="19"/>
  <c r="AQ376" i="19" s="1"/>
  <c r="AD376" i="19"/>
  <c r="AM376" i="19" s="1"/>
  <c r="AH375" i="19"/>
  <c r="AQ375" i="19" s="1"/>
  <c r="AD375" i="19"/>
  <c r="AM375" i="19" s="1"/>
  <c r="AH374" i="19"/>
  <c r="AQ374" i="19" s="1"/>
  <c r="AD374" i="19"/>
  <c r="AM374" i="19" s="1"/>
  <c r="AH373" i="19"/>
  <c r="AQ373" i="19" s="1"/>
  <c r="AD373" i="19"/>
  <c r="AM373" i="19" s="1"/>
  <c r="AH372" i="19"/>
  <c r="AQ372" i="19" s="1"/>
  <c r="AD372" i="19"/>
  <c r="AM372" i="19" s="1"/>
  <c r="AH371" i="19"/>
  <c r="AQ371" i="19" s="1"/>
  <c r="AD371" i="19"/>
  <c r="AM371" i="19" s="1"/>
  <c r="AH370" i="19"/>
  <c r="AQ370" i="19" s="1"/>
  <c r="AD370" i="19"/>
  <c r="AM370" i="19" s="1"/>
  <c r="AH369" i="19"/>
  <c r="AQ369" i="19" s="1"/>
  <c r="AD369" i="19"/>
  <c r="AM369" i="19" s="1"/>
  <c r="AH368" i="19"/>
  <c r="AQ368" i="19" s="1"/>
  <c r="AD368" i="19"/>
  <c r="AM368" i="19" s="1"/>
  <c r="AH367" i="19"/>
  <c r="AQ367" i="19" s="1"/>
  <c r="AD367" i="19"/>
  <c r="AM367" i="19" s="1"/>
  <c r="AH366" i="19"/>
  <c r="AQ366" i="19" s="1"/>
  <c r="AD366" i="19"/>
  <c r="AM366" i="19" s="1"/>
  <c r="AH365" i="19"/>
  <c r="AQ365" i="19" s="1"/>
  <c r="AD365" i="19"/>
  <c r="AM365" i="19" s="1"/>
  <c r="AH364" i="19"/>
  <c r="AQ364" i="19" s="1"/>
  <c r="AD364" i="19"/>
  <c r="AM364" i="19" s="1"/>
  <c r="AH363" i="19"/>
  <c r="AQ363" i="19" s="1"/>
  <c r="AD363" i="19"/>
  <c r="AM363" i="19" s="1"/>
  <c r="AH362" i="19"/>
  <c r="AQ362" i="19" s="1"/>
  <c r="AD362" i="19"/>
  <c r="AM362" i="19" s="1"/>
  <c r="AH361" i="19"/>
  <c r="AQ361" i="19" s="1"/>
  <c r="AD361" i="19"/>
  <c r="AM361" i="19" s="1"/>
  <c r="AH360" i="19"/>
  <c r="AQ360" i="19" s="1"/>
  <c r="AD360" i="19"/>
  <c r="AM360" i="19" s="1"/>
  <c r="AH359" i="19"/>
  <c r="AQ359" i="19" s="1"/>
  <c r="AD359" i="19"/>
  <c r="AM359" i="19" s="1"/>
  <c r="AH358" i="19"/>
  <c r="AQ358" i="19" s="1"/>
  <c r="AD358" i="19"/>
  <c r="AM358" i="19" s="1"/>
  <c r="AH357" i="19"/>
  <c r="AQ357" i="19" s="1"/>
  <c r="AD357" i="19"/>
  <c r="AM357" i="19" s="1"/>
  <c r="AH356" i="19"/>
  <c r="AQ356" i="19" s="1"/>
  <c r="AD356" i="19"/>
  <c r="AM356" i="19" s="1"/>
  <c r="AH355" i="19"/>
  <c r="AQ355" i="19" s="1"/>
  <c r="AD355" i="19"/>
  <c r="AM355" i="19" s="1"/>
  <c r="AH354" i="19"/>
  <c r="AQ354" i="19" s="1"/>
  <c r="AD354" i="19"/>
  <c r="AM354" i="19" s="1"/>
  <c r="AH353" i="19"/>
  <c r="AQ353" i="19" s="1"/>
  <c r="AD353" i="19"/>
  <c r="AM353" i="19" s="1"/>
  <c r="AH352" i="19"/>
  <c r="AQ352" i="19" s="1"/>
  <c r="AD352" i="19"/>
  <c r="AM352" i="19" s="1"/>
  <c r="AH351" i="19"/>
  <c r="AQ351" i="19" s="1"/>
  <c r="AD351" i="19"/>
  <c r="AM351" i="19" s="1"/>
  <c r="AH350" i="19"/>
  <c r="AQ350" i="19" s="1"/>
  <c r="AD350" i="19"/>
  <c r="AM350" i="19" s="1"/>
  <c r="AH349" i="19"/>
  <c r="AQ349" i="19" s="1"/>
  <c r="AD349" i="19"/>
  <c r="AM349" i="19" s="1"/>
  <c r="AH348" i="19"/>
  <c r="AQ348" i="19" s="1"/>
  <c r="AD348" i="19"/>
  <c r="AM348" i="19" s="1"/>
  <c r="AH347" i="19"/>
  <c r="AQ347" i="19" s="1"/>
  <c r="AD347" i="19"/>
  <c r="AM347" i="19" s="1"/>
  <c r="AH346" i="19"/>
  <c r="AQ346" i="19" s="1"/>
  <c r="AD346" i="19"/>
  <c r="AM346" i="19" s="1"/>
  <c r="AH345" i="19"/>
  <c r="AQ345" i="19" s="1"/>
  <c r="AD345" i="19"/>
  <c r="AM345" i="19" s="1"/>
  <c r="AH344" i="19"/>
  <c r="AQ344" i="19" s="1"/>
  <c r="AD344" i="19"/>
  <c r="AM344" i="19" s="1"/>
  <c r="AH343" i="19"/>
  <c r="AQ343" i="19" s="1"/>
  <c r="AD343" i="19"/>
  <c r="AM343" i="19" s="1"/>
  <c r="AH342" i="19"/>
  <c r="AQ342" i="19" s="1"/>
  <c r="AD342" i="19"/>
  <c r="AM342" i="19" s="1"/>
  <c r="AH341" i="19"/>
  <c r="AQ341" i="19" s="1"/>
  <c r="AD341" i="19"/>
  <c r="AM341" i="19" s="1"/>
  <c r="AH340" i="19"/>
  <c r="AQ340" i="19" s="1"/>
  <c r="AD340" i="19"/>
  <c r="AM340" i="19" s="1"/>
  <c r="AH339" i="19"/>
  <c r="AQ339" i="19" s="1"/>
  <c r="AD339" i="19"/>
  <c r="AM339" i="19" s="1"/>
  <c r="AH338" i="19"/>
  <c r="AQ338" i="19" s="1"/>
  <c r="AD338" i="19"/>
  <c r="AM338" i="19" s="1"/>
  <c r="AH337" i="19"/>
  <c r="AQ337" i="19" s="1"/>
  <c r="AD337" i="19"/>
  <c r="AM337" i="19" s="1"/>
  <c r="AH336" i="19"/>
  <c r="AQ336" i="19" s="1"/>
  <c r="AD336" i="19"/>
  <c r="AM336" i="19" s="1"/>
  <c r="AH335" i="19"/>
  <c r="AQ335" i="19" s="1"/>
  <c r="AD335" i="19"/>
  <c r="AM335" i="19" s="1"/>
  <c r="AH334" i="19"/>
  <c r="AQ334" i="19" s="1"/>
  <c r="AD334" i="19"/>
  <c r="AM334" i="19" s="1"/>
  <c r="AH333" i="19"/>
  <c r="AQ333" i="19" s="1"/>
  <c r="AD333" i="19"/>
  <c r="AM333" i="19" s="1"/>
  <c r="AH332" i="19"/>
  <c r="AQ332" i="19" s="1"/>
  <c r="AD332" i="19"/>
  <c r="AM332" i="19" s="1"/>
  <c r="AH331" i="19"/>
  <c r="AQ331" i="19" s="1"/>
  <c r="AD331" i="19"/>
  <c r="AM331" i="19" s="1"/>
  <c r="AH330" i="19"/>
  <c r="AQ330" i="19" s="1"/>
  <c r="AD330" i="19"/>
  <c r="AM330" i="19" s="1"/>
  <c r="AH329" i="19"/>
  <c r="AQ329" i="19" s="1"/>
  <c r="AD329" i="19"/>
  <c r="AM329" i="19" s="1"/>
  <c r="AH328" i="19"/>
  <c r="AQ328" i="19" s="1"/>
  <c r="AD328" i="19"/>
  <c r="AM328" i="19" s="1"/>
  <c r="AH327" i="19"/>
  <c r="AQ327" i="19" s="1"/>
  <c r="AD327" i="19"/>
  <c r="AM327" i="19" s="1"/>
  <c r="AH326" i="19"/>
  <c r="AQ326" i="19" s="1"/>
  <c r="AD326" i="19"/>
  <c r="AM326" i="19" s="1"/>
  <c r="AH325" i="19"/>
  <c r="AQ325" i="19" s="1"/>
  <c r="AD325" i="19"/>
  <c r="AM325" i="19" s="1"/>
  <c r="AH324" i="19"/>
  <c r="AQ324" i="19" s="1"/>
  <c r="AD324" i="19"/>
  <c r="AM324" i="19" s="1"/>
  <c r="AH323" i="19"/>
  <c r="AQ323" i="19" s="1"/>
  <c r="AD323" i="19"/>
  <c r="AM323" i="19" s="1"/>
  <c r="AH322" i="19"/>
  <c r="AQ322" i="19" s="1"/>
  <c r="AD322" i="19"/>
  <c r="AM322" i="19" s="1"/>
  <c r="AH321" i="19"/>
  <c r="AQ321" i="19" s="1"/>
  <c r="AD321" i="19"/>
  <c r="AM321" i="19" s="1"/>
  <c r="AH320" i="19"/>
  <c r="AQ320" i="19" s="1"/>
  <c r="AD320" i="19"/>
  <c r="AM320" i="19" s="1"/>
  <c r="AH319" i="19"/>
  <c r="AQ319" i="19" s="1"/>
  <c r="AD319" i="19"/>
  <c r="AM319" i="19" s="1"/>
  <c r="AH318" i="19"/>
  <c r="AQ318" i="19" s="1"/>
  <c r="AD318" i="19"/>
  <c r="AM318" i="19" s="1"/>
  <c r="AH317" i="19"/>
  <c r="AQ317" i="19" s="1"/>
  <c r="AD317" i="19"/>
  <c r="AM317" i="19" s="1"/>
  <c r="AH316" i="19"/>
  <c r="AQ316" i="19" s="1"/>
  <c r="AD316" i="19"/>
  <c r="AM316" i="19" s="1"/>
  <c r="AH315" i="19"/>
  <c r="AQ315" i="19" s="1"/>
  <c r="AD315" i="19"/>
  <c r="AM315" i="19" s="1"/>
  <c r="AH314" i="19"/>
  <c r="AQ314" i="19" s="1"/>
  <c r="AD314" i="19"/>
  <c r="AM314" i="19" s="1"/>
  <c r="AH313" i="19"/>
  <c r="AQ313" i="19" s="1"/>
  <c r="AD313" i="19"/>
  <c r="AM313" i="19" s="1"/>
  <c r="AH312" i="19"/>
  <c r="AQ312" i="19" s="1"/>
  <c r="AD312" i="19"/>
  <c r="AM312" i="19" s="1"/>
  <c r="AH311" i="19"/>
  <c r="AQ311" i="19" s="1"/>
  <c r="AD311" i="19"/>
  <c r="AM311" i="19" s="1"/>
  <c r="AH310" i="19"/>
  <c r="AQ310" i="19" s="1"/>
  <c r="AD310" i="19"/>
  <c r="AM310" i="19" s="1"/>
  <c r="AH309" i="19"/>
  <c r="AQ309" i="19" s="1"/>
  <c r="AD309" i="19"/>
  <c r="AM309" i="19" s="1"/>
  <c r="AH308" i="19"/>
  <c r="AQ308" i="19" s="1"/>
  <c r="AD308" i="19"/>
  <c r="AM308" i="19" s="1"/>
  <c r="AH307" i="19"/>
  <c r="AQ307" i="19" s="1"/>
  <c r="AD307" i="19"/>
  <c r="AM307" i="19" s="1"/>
  <c r="AH306" i="19"/>
  <c r="AQ306" i="19" s="1"/>
  <c r="AD306" i="19"/>
  <c r="AM306" i="19" s="1"/>
  <c r="AH305" i="19"/>
  <c r="AQ305" i="19" s="1"/>
  <c r="AD305" i="19"/>
  <c r="AM305" i="19" s="1"/>
  <c r="AH304" i="19"/>
  <c r="AQ304" i="19" s="1"/>
  <c r="AD304" i="19"/>
  <c r="AM304" i="19" s="1"/>
  <c r="AH303" i="19"/>
  <c r="AQ303" i="19" s="1"/>
  <c r="AD303" i="19"/>
  <c r="AM303" i="19" s="1"/>
  <c r="AH302" i="19"/>
  <c r="AQ302" i="19" s="1"/>
  <c r="AD302" i="19"/>
  <c r="AM302" i="19" s="1"/>
  <c r="AH301" i="19"/>
  <c r="AQ301" i="19" s="1"/>
  <c r="AD301" i="19"/>
  <c r="AM301" i="19" s="1"/>
  <c r="AH300" i="19"/>
  <c r="AQ300" i="19" s="1"/>
  <c r="AD300" i="19"/>
  <c r="AM300" i="19" s="1"/>
  <c r="AH299" i="19"/>
  <c r="AQ299" i="19" s="1"/>
  <c r="AD299" i="19"/>
  <c r="AM299" i="19" s="1"/>
  <c r="AH298" i="19"/>
  <c r="AQ298" i="19" s="1"/>
  <c r="AD298" i="19"/>
  <c r="AM298" i="19" s="1"/>
  <c r="AH297" i="19"/>
  <c r="AQ297" i="19" s="1"/>
  <c r="AD297" i="19"/>
  <c r="AM297" i="19" s="1"/>
  <c r="AH296" i="19"/>
  <c r="AQ296" i="19" s="1"/>
  <c r="AD296" i="19"/>
  <c r="AM296" i="19" s="1"/>
  <c r="AH295" i="19"/>
  <c r="AQ295" i="19" s="1"/>
  <c r="AD295" i="19"/>
  <c r="AM295" i="19" s="1"/>
  <c r="AH294" i="19"/>
  <c r="AQ294" i="19" s="1"/>
  <c r="AD294" i="19"/>
  <c r="AM294" i="19" s="1"/>
  <c r="AH293" i="19"/>
  <c r="AQ293" i="19" s="1"/>
  <c r="AD293" i="19"/>
  <c r="AM293" i="19" s="1"/>
  <c r="AH292" i="19"/>
  <c r="AQ292" i="19" s="1"/>
  <c r="AD292" i="19"/>
  <c r="AM292" i="19" s="1"/>
  <c r="AH291" i="19"/>
  <c r="AQ291" i="19" s="1"/>
  <c r="AD291" i="19"/>
  <c r="AM291" i="19" s="1"/>
  <c r="AH290" i="19"/>
  <c r="AQ290" i="19" s="1"/>
  <c r="AD290" i="19"/>
  <c r="AM290" i="19" s="1"/>
  <c r="AH289" i="19"/>
  <c r="AQ289" i="19" s="1"/>
  <c r="AD289" i="19"/>
  <c r="AM289" i="19" s="1"/>
  <c r="AH288" i="19"/>
  <c r="AQ288" i="19" s="1"/>
  <c r="AD288" i="19"/>
  <c r="AM288" i="19" s="1"/>
  <c r="AH287" i="19"/>
  <c r="AQ287" i="19" s="1"/>
  <c r="AD287" i="19"/>
  <c r="AM287" i="19" s="1"/>
  <c r="AH286" i="19"/>
  <c r="AQ286" i="19" s="1"/>
  <c r="AD286" i="19"/>
  <c r="AM286" i="19" s="1"/>
  <c r="AH285" i="19"/>
  <c r="AQ285" i="19" s="1"/>
  <c r="AD285" i="19"/>
  <c r="AM285" i="19" s="1"/>
  <c r="AH284" i="19"/>
  <c r="AQ284" i="19" s="1"/>
  <c r="AD284" i="19"/>
  <c r="AM284" i="19" s="1"/>
  <c r="AH283" i="19"/>
  <c r="AQ283" i="19" s="1"/>
  <c r="AD283" i="19"/>
  <c r="AM283" i="19" s="1"/>
  <c r="AH282" i="19"/>
  <c r="AQ282" i="19" s="1"/>
  <c r="AD282" i="19"/>
  <c r="AM282" i="19" s="1"/>
  <c r="AH281" i="19"/>
  <c r="AQ281" i="19" s="1"/>
  <c r="AD281" i="19"/>
  <c r="AM281" i="19" s="1"/>
  <c r="AH280" i="19"/>
  <c r="AQ280" i="19" s="1"/>
  <c r="AD280" i="19"/>
  <c r="AM280" i="19" s="1"/>
  <c r="AH279" i="19"/>
  <c r="AQ279" i="19" s="1"/>
  <c r="AD279" i="19"/>
  <c r="AM279" i="19" s="1"/>
  <c r="AH278" i="19"/>
  <c r="AQ278" i="19" s="1"/>
  <c r="AD278" i="19"/>
  <c r="AM278" i="19" s="1"/>
  <c r="AH277" i="19"/>
  <c r="AQ277" i="19" s="1"/>
  <c r="AD277" i="19"/>
  <c r="AM277" i="19" s="1"/>
  <c r="AH276" i="19"/>
  <c r="AQ276" i="19" s="1"/>
  <c r="AD276" i="19"/>
  <c r="AM276" i="19" s="1"/>
  <c r="AH275" i="19"/>
  <c r="AQ275" i="19" s="1"/>
  <c r="AD275" i="19"/>
  <c r="AM275" i="19" s="1"/>
  <c r="AH274" i="19"/>
  <c r="AQ274" i="19" s="1"/>
  <c r="AD274" i="19"/>
  <c r="AM274" i="19" s="1"/>
  <c r="AH273" i="19"/>
  <c r="AQ273" i="19" s="1"/>
  <c r="AD273" i="19"/>
  <c r="AM273" i="19" s="1"/>
  <c r="AH272" i="19"/>
  <c r="AQ272" i="19" s="1"/>
  <c r="AD272" i="19"/>
  <c r="AM272" i="19" s="1"/>
  <c r="AH271" i="19"/>
  <c r="AQ271" i="19" s="1"/>
  <c r="AD271" i="19"/>
  <c r="AM271" i="19" s="1"/>
  <c r="AH270" i="19"/>
  <c r="AQ270" i="19" s="1"/>
  <c r="AD270" i="19"/>
  <c r="AM270" i="19" s="1"/>
  <c r="AH269" i="19"/>
  <c r="AQ269" i="19" s="1"/>
  <c r="AD269" i="19"/>
  <c r="AM269" i="19" s="1"/>
  <c r="AH268" i="19"/>
  <c r="AQ268" i="19" s="1"/>
  <c r="AD268" i="19"/>
  <c r="AM268" i="19" s="1"/>
  <c r="AH267" i="19"/>
  <c r="AQ267" i="19" s="1"/>
  <c r="AD267" i="19"/>
  <c r="AM267" i="19" s="1"/>
  <c r="AH266" i="19"/>
  <c r="AQ266" i="19" s="1"/>
  <c r="AD266" i="19"/>
  <c r="AM266" i="19" s="1"/>
  <c r="AH265" i="19"/>
  <c r="AQ265" i="19" s="1"/>
  <c r="AD265" i="19"/>
  <c r="AM265" i="19" s="1"/>
  <c r="AH264" i="19"/>
  <c r="AQ264" i="19" s="1"/>
  <c r="AD264" i="19"/>
  <c r="AM264" i="19" s="1"/>
  <c r="AH263" i="19"/>
  <c r="AQ263" i="19" s="1"/>
  <c r="AD263" i="19"/>
  <c r="AM263" i="19" s="1"/>
  <c r="AH262" i="19"/>
  <c r="AQ262" i="19" s="1"/>
  <c r="AD262" i="19"/>
  <c r="AM262" i="19" s="1"/>
  <c r="AH261" i="19"/>
  <c r="AQ261" i="19" s="1"/>
  <c r="AD261" i="19"/>
  <c r="AM261" i="19" s="1"/>
  <c r="AH260" i="19"/>
  <c r="AQ260" i="19" s="1"/>
  <c r="AD260" i="19"/>
  <c r="AM260" i="19" s="1"/>
  <c r="AH259" i="19"/>
  <c r="AQ259" i="19" s="1"/>
  <c r="AD259" i="19"/>
  <c r="AM259" i="19" s="1"/>
  <c r="AH258" i="19"/>
  <c r="AQ258" i="19" s="1"/>
  <c r="AD258" i="19"/>
  <c r="AM258" i="19" s="1"/>
  <c r="AH257" i="19"/>
  <c r="AQ257" i="19" s="1"/>
  <c r="AD257" i="19"/>
  <c r="AM257" i="19" s="1"/>
  <c r="AH256" i="19"/>
  <c r="AQ256" i="19" s="1"/>
  <c r="AD256" i="19"/>
  <c r="AM256" i="19" s="1"/>
  <c r="AH255" i="19"/>
  <c r="AQ255" i="19" s="1"/>
  <c r="AD255" i="19"/>
  <c r="AM255" i="19" s="1"/>
  <c r="AH254" i="19"/>
  <c r="AQ254" i="19" s="1"/>
  <c r="AD254" i="19"/>
  <c r="AM254" i="19" s="1"/>
  <c r="AH253" i="19"/>
  <c r="AQ253" i="19" s="1"/>
  <c r="AD253" i="19"/>
  <c r="AM253" i="19" s="1"/>
  <c r="AH252" i="19"/>
  <c r="AQ252" i="19" s="1"/>
  <c r="AD252" i="19"/>
  <c r="AM252" i="19" s="1"/>
  <c r="AH251" i="19"/>
  <c r="AQ251" i="19" s="1"/>
  <c r="AD251" i="19"/>
  <c r="AM251" i="19" s="1"/>
  <c r="AH250" i="19"/>
  <c r="AQ250" i="19" s="1"/>
  <c r="AD250" i="19"/>
  <c r="AM250" i="19" s="1"/>
  <c r="AH249" i="19"/>
  <c r="AQ249" i="19" s="1"/>
  <c r="AD249" i="19"/>
  <c r="AM249" i="19" s="1"/>
  <c r="AH248" i="19"/>
  <c r="AQ248" i="19" s="1"/>
  <c r="AD248" i="19"/>
  <c r="AM248" i="19" s="1"/>
  <c r="AH247" i="19"/>
  <c r="AQ247" i="19" s="1"/>
  <c r="AD247" i="19"/>
  <c r="AM247" i="19" s="1"/>
  <c r="AH246" i="19"/>
  <c r="AQ246" i="19" s="1"/>
  <c r="AD246" i="19"/>
  <c r="AM246" i="19" s="1"/>
  <c r="AH245" i="19"/>
  <c r="AQ245" i="19" s="1"/>
  <c r="AD245" i="19"/>
  <c r="AM245" i="19" s="1"/>
  <c r="AH244" i="19"/>
  <c r="AQ244" i="19" s="1"/>
  <c r="AD244" i="19"/>
  <c r="AM244" i="19" s="1"/>
  <c r="AH243" i="19"/>
  <c r="AQ243" i="19" s="1"/>
  <c r="AD243" i="19"/>
  <c r="AM243" i="19" s="1"/>
  <c r="AH242" i="19"/>
  <c r="AQ242" i="19" s="1"/>
  <c r="AD242" i="19"/>
  <c r="AM242" i="19" s="1"/>
  <c r="AH241" i="19"/>
  <c r="AQ241" i="19" s="1"/>
  <c r="AD241" i="19"/>
  <c r="AM241" i="19" s="1"/>
  <c r="AH240" i="19"/>
  <c r="AQ240" i="19" s="1"/>
  <c r="AD240" i="19"/>
  <c r="AM240" i="19" s="1"/>
  <c r="AH239" i="19"/>
  <c r="AQ239" i="19" s="1"/>
  <c r="AD239" i="19"/>
  <c r="AM239" i="19" s="1"/>
  <c r="AH238" i="19"/>
  <c r="AQ238" i="19" s="1"/>
  <c r="AD238" i="19"/>
  <c r="AM238" i="19" s="1"/>
  <c r="AH237" i="19"/>
  <c r="AQ237" i="19" s="1"/>
  <c r="AD237" i="19"/>
  <c r="AM237" i="19" s="1"/>
  <c r="AH236" i="19"/>
  <c r="AQ236" i="19" s="1"/>
  <c r="AD236" i="19"/>
  <c r="AM236" i="19" s="1"/>
  <c r="AH235" i="19"/>
  <c r="AQ235" i="19" s="1"/>
  <c r="AD235" i="19"/>
  <c r="AM235" i="19" s="1"/>
  <c r="AH234" i="19"/>
  <c r="AQ234" i="19" s="1"/>
  <c r="AD234" i="19"/>
  <c r="AM234" i="19" s="1"/>
  <c r="AH233" i="19"/>
  <c r="AQ233" i="19" s="1"/>
  <c r="AD233" i="19"/>
  <c r="AM233" i="19" s="1"/>
  <c r="AH232" i="19"/>
  <c r="AQ232" i="19" s="1"/>
  <c r="AD232" i="19"/>
  <c r="AM232" i="19" s="1"/>
  <c r="AH231" i="19"/>
  <c r="AQ231" i="19" s="1"/>
  <c r="AD231" i="19"/>
  <c r="AM231" i="19" s="1"/>
  <c r="AH230" i="19"/>
  <c r="AQ230" i="19" s="1"/>
  <c r="AD230" i="19"/>
  <c r="AM230" i="19" s="1"/>
  <c r="AH229" i="19"/>
  <c r="AQ229" i="19" s="1"/>
  <c r="AD229" i="19"/>
  <c r="AM229" i="19" s="1"/>
  <c r="AH228" i="19"/>
  <c r="AQ228" i="19" s="1"/>
  <c r="AD228" i="19"/>
  <c r="AM228" i="19" s="1"/>
  <c r="AH227" i="19"/>
  <c r="AQ227" i="19" s="1"/>
  <c r="AD227" i="19"/>
  <c r="AM227" i="19" s="1"/>
  <c r="AH226" i="19"/>
  <c r="AQ226" i="19" s="1"/>
  <c r="AD226" i="19"/>
  <c r="AM226" i="19" s="1"/>
  <c r="AH225" i="19"/>
  <c r="AQ225" i="19" s="1"/>
  <c r="AD225" i="19"/>
  <c r="AM225" i="19" s="1"/>
  <c r="AH224" i="19"/>
  <c r="AQ224" i="19" s="1"/>
  <c r="AD224" i="19"/>
  <c r="AM224" i="19" s="1"/>
  <c r="AH223" i="19"/>
  <c r="AQ223" i="19" s="1"/>
  <c r="AD223" i="19"/>
  <c r="AM223" i="19" s="1"/>
  <c r="AH222" i="19"/>
  <c r="AQ222" i="19" s="1"/>
  <c r="AD222" i="19"/>
  <c r="AM222" i="19" s="1"/>
  <c r="AH221" i="19"/>
  <c r="AQ221" i="19" s="1"/>
  <c r="AD221" i="19"/>
  <c r="AM221" i="19" s="1"/>
  <c r="AH220" i="19"/>
  <c r="AQ220" i="19" s="1"/>
  <c r="AD220" i="19"/>
  <c r="AM220" i="19" s="1"/>
  <c r="AH219" i="19"/>
  <c r="AQ219" i="19" s="1"/>
  <c r="AD219" i="19"/>
  <c r="AM219" i="19" s="1"/>
  <c r="AH218" i="19"/>
  <c r="AQ218" i="19" s="1"/>
  <c r="AD218" i="19"/>
  <c r="AM218" i="19" s="1"/>
  <c r="AH217" i="19"/>
  <c r="AQ217" i="19" s="1"/>
  <c r="AD217" i="19"/>
  <c r="AM217" i="19" s="1"/>
  <c r="AH216" i="19"/>
  <c r="AQ216" i="19" s="1"/>
  <c r="AD216" i="19"/>
  <c r="AM216" i="19" s="1"/>
  <c r="AH215" i="19"/>
  <c r="AQ215" i="19" s="1"/>
  <c r="AD215" i="19"/>
  <c r="AM215" i="19" s="1"/>
  <c r="AH214" i="19"/>
  <c r="AQ214" i="19" s="1"/>
  <c r="AD214" i="19"/>
  <c r="AM214" i="19" s="1"/>
  <c r="AH213" i="19"/>
  <c r="AQ213" i="19" s="1"/>
  <c r="AD213" i="19"/>
  <c r="AM213" i="19" s="1"/>
  <c r="AH212" i="19"/>
  <c r="AQ212" i="19" s="1"/>
  <c r="AD212" i="19"/>
  <c r="AM212" i="19" s="1"/>
  <c r="AH211" i="19"/>
  <c r="AQ211" i="19" s="1"/>
  <c r="AD211" i="19"/>
  <c r="AM211" i="19" s="1"/>
  <c r="AH210" i="19"/>
  <c r="AQ210" i="19" s="1"/>
  <c r="AD210" i="19"/>
  <c r="AM210" i="19" s="1"/>
  <c r="AH209" i="19"/>
  <c r="AQ209" i="19" s="1"/>
  <c r="AD209" i="19"/>
  <c r="AM209" i="19" s="1"/>
  <c r="AH208" i="19"/>
  <c r="AQ208" i="19" s="1"/>
  <c r="AD208" i="19"/>
  <c r="AM208" i="19" s="1"/>
  <c r="AH207" i="19"/>
  <c r="AQ207" i="19" s="1"/>
  <c r="AD207" i="19"/>
  <c r="AM207" i="19" s="1"/>
  <c r="AH206" i="19"/>
  <c r="AQ206" i="19" s="1"/>
  <c r="AD206" i="19"/>
  <c r="AM206" i="19" s="1"/>
  <c r="AH205" i="19"/>
  <c r="AQ205" i="19" s="1"/>
  <c r="AD205" i="19"/>
  <c r="AM205" i="19" s="1"/>
  <c r="AH204" i="19"/>
  <c r="AQ204" i="19" s="1"/>
  <c r="AD204" i="19"/>
  <c r="AM204" i="19" s="1"/>
  <c r="AH203" i="19"/>
  <c r="AQ203" i="19" s="1"/>
  <c r="AD203" i="19"/>
  <c r="AM203" i="19" s="1"/>
  <c r="AH202" i="19"/>
  <c r="AQ202" i="19" s="1"/>
  <c r="AD202" i="19"/>
  <c r="AM202" i="19" s="1"/>
  <c r="AH201" i="19"/>
  <c r="AQ201" i="19" s="1"/>
  <c r="AD201" i="19"/>
  <c r="AM201" i="19" s="1"/>
  <c r="AH200" i="19"/>
  <c r="AQ200" i="19" s="1"/>
  <c r="AD200" i="19"/>
  <c r="AM200" i="19" s="1"/>
  <c r="AH199" i="19"/>
  <c r="AQ199" i="19" s="1"/>
  <c r="AD199" i="19"/>
  <c r="AM199" i="19" s="1"/>
  <c r="AH198" i="19"/>
  <c r="AQ198" i="19" s="1"/>
  <c r="AD198" i="19"/>
  <c r="AM198" i="19" s="1"/>
  <c r="AH197" i="19"/>
  <c r="AQ197" i="19" s="1"/>
  <c r="AD197" i="19"/>
  <c r="AM197" i="19" s="1"/>
  <c r="AH196" i="19"/>
  <c r="AQ196" i="19" s="1"/>
  <c r="AD196" i="19"/>
  <c r="AM196" i="19" s="1"/>
  <c r="AH195" i="19"/>
  <c r="AQ195" i="19" s="1"/>
  <c r="AD195" i="19"/>
  <c r="AM195" i="19" s="1"/>
  <c r="AH194" i="19"/>
  <c r="AQ194" i="19" s="1"/>
  <c r="AD194" i="19"/>
  <c r="AM194" i="19" s="1"/>
  <c r="AH193" i="19"/>
  <c r="AQ193" i="19" s="1"/>
  <c r="AD193" i="19"/>
  <c r="AM193" i="19" s="1"/>
  <c r="AH192" i="19"/>
  <c r="AQ192" i="19" s="1"/>
  <c r="AD192" i="19"/>
  <c r="AM192" i="19" s="1"/>
  <c r="AH191" i="19"/>
  <c r="AQ191" i="19" s="1"/>
  <c r="AD191" i="19"/>
  <c r="AM191" i="19" s="1"/>
  <c r="AH190" i="19"/>
  <c r="AQ190" i="19" s="1"/>
  <c r="AD190" i="19"/>
  <c r="AM190" i="19" s="1"/>
  <c r="AH189" i="19"/>
  <c r="AQ189" i="19" s="1"/>
  <c r="AD189" i="19"/>
  <c r="AM189" i="19" s="1"/>
  <c r="AH188" i="19"/>
  <c r="AQ188" i="19" s="1"/>
  <c r="AD188" i="19"/>
  <c r="AM188" i="19" s="1"/>
  <c r="AH187" i="19"/>
  <c r="AQ187" i="19" s="1"/>
  <c r="AD187" i="19"/>
  <c r="AM187" i="19" s="1"/>
  <c r="AH186" i="19"/>
  <c r="AQ186" i="19" s="1"/>
  <c r="AD186" i="19"/>
  <c r="AM186" i="19" s="1"/>
  <c r="AH185" i="19"/>
  <c r="AQ185" i="19" s="1"/>
  <c r="AD185" i="19"/>
  <c r="AM185" i="19" s="1"/>
  <c r="AH184" i="19"/>
  <c r="AQ184" i="19" s="1"/>
  <c r="AD184" i="19"/>
  <c r="AM184" i="19" s="1"/>
  <c r="AH183" i="19"/>
  <c r="AQ183" i="19" s="1"/>
  <c r="AD183" i="19"/>
  <c r="AM183" i="19" s="1"/>
  <c r="AH182" i="19"/>
  <c r="AQ182" i="19" s="1"/>
  <c r="AD182" i="19"/>
  <c r="AM182" i="19" s="1"/>
  <c r="AH181" i="19"/>
  <c r="AQ181" i="19" s="1"/>
  <c r="AD181" i="19"/>
  <c r="AM181" i="19" s="1"/>
  <c r="AH180" i="19"/>
  <c r="AQ180" i="19" s="1"/>
  <c r="AD180" i="19"/>
  <c r="AM180" i="19" s="1"/>
  <c r="AH179" i="19"/>
  <c r="AQ179" i="19" s="1"/>
  <c r="AD179" i="19"/>
  <c r="AM179" i="19" s="1"/>
  <c r="AH178" i="19"/>
  <c r="AQ178" i="19" s="1"/>
  <c r="AD178" i="19"/>
  <c r="AM178" i="19" s="1"/>
  <c r="AH177" i="19"/>
  <c r="AQ177" i="19" s="1"/>
  <c r="AD177" i="19"/>
  <c r="AM177" i="19" s="1"/>
  <c r="AH176" i="19"/>
  <c r="AQ176" i="19" s="1"/>
  <c r="AD176" i="19"/>
  <c r="AM176" i="19" s="1"/>
  <c r="AH175" i="19"/>
  <c r="AQ175" i="19" s="1"/>
  <c r="AD175" i="19"/>
  <c r="AM175" i="19" s="1"/>
  <c r="AH174" i="19"/>
  <c r="AQ174" i="19" s="1"/>
  <c r="AD174" i="19"/>
  <c r="AM174" i="19" s="1"/>
  <c r="AH173" i="19"/>
  <c r="AQ173" i="19" s="1"/>
  <c r="AD173" i="19"/>
  <c r="AM173" i="19" s="1"/>
  <c r="AH172" i="19"/>
  <c r="AQ172" i="19" s="1"/>
  <c r="AD172" i="19"/>
  <c r="AM172" i="19" s="1"/>
  <c r="AH171" i="19"/>
  <c r="AQ171" i="19" s="1"/>
  <c r="AD171" i="19"/>
  <c r="AM171" i="19" s="1"/>
  <c r="AH170" i="19"/>
  <c r="AQ170" i="19" s="1"/>
  <c r="AD170" i="19"/>
  <c r="AM170" i="19" s="1"/>
  <c r="AH169" i="19"/>
  <c r="AQ169" i="19" s="1"/>
  <c r="AD169" i="19"/>
  <c r="AM169" i="19" s="1"/>
  <c r="AH168" i="19"/>
  <c r="AQ168" i="19" s="1"/>
  <c r="AD168" i="19"/>
  <c r="AM168" i="19" s="1"/>
  <c r="AH167" i="19"/>
  <c r="AQ167" i="19" s="1"/>
  <c r="AD167" i="19"/>
  <c r="AM167" i="19" s="1"/>
  <c r="AH166" i="19"/>
  <c r="AQ166" i="19" s="1"/>
  <c r="AD166" i="19"/>
  <c r="AM166" i="19" s="1"/>
  <c r="AH165" i="19"/>
  <c r="AQ165" i="19" s="1"/>
  <c r="AD165" i="19"/>
  <c r="AM165" i="19" s="1"/>
  <c r="AH164" i="19"/>
  <c r="AQ164" i="19" s="1"/>
  <c r="AD164" i="19"/>
  <c r="AM164" i="19" s="1"/>
  <c r="AH163" i="19"/>
  <c r="AQ163" i="19" s="1"/>
  <c r="AD163" i="19"/>
  <c r="AM163" i="19" s="1"/>
  <c r="AH162" i="19"/>
  <c r="AQ162" i="19" s="1"/>
  <c r="AD162" i="19"/>
  <c r="AM162" i="19" s="1"/>
  <c r="AH161" i="19"/>
  <c r="AQ161" i="19" s="1"/>
  <c r="AD161" i="19"/>
  <c r="AM161" i="19" s="1"/>
  <c r="AH160" i="19"/>
  <c r="AQ160" i="19" s="1"/>
  <c r="AD160" i="19"/>
  <c r="AM160" i="19" s="1"/>
  <c r="AH159" i="19"/>
  <c r="AQ159" i="19" s="1"/>
  <c r="AD159" i="19"/>
  <c r="AM159" i="19" s="1"/>
  <c r="AH158" i="19"/>
  <c r="AQ158" i="19" s="1"/>
  <c r="AD158" i="19"/>
  <c r="AM158" i="19" s="1"/>
  <c r="AH157" i="19"/>
  <c r="AQ157" i="19" s="1"/>
  <c r="AD157" i="19"/>
  <c r="AM157" i="19" s="1"/>
  <c r="AH156" i="19"/>
  <c r="AQ156" i="19" s="1"/>
  <c r="AD156" i="19"/>
  <c r="AM156" i="19" s="1"/>
  <c r="AH155" i="19"/>
  <c r="AQ155" i="19" s="1"/>
  <c r="AD155" i="19"/>
  <c r="AM155" i="19" s="1"/>
  <c r="AH154" i="19"/>
  <c r="AQ154" i="19" s="1"/>
  <c r="AD154" i="19"/>
  <c r="AM154" i="19" s="1"/>
  <c r="AH153" i="19"/>
  <c r="AQ153" i="19" s="1"/>
  <c r="AD153" i="19"/>
  <c r="AM153" i="19" s="1"/>
  <c r="AH152" i="19"/>
  <c r="AQ152" i="19" s="1"/>
  <c r="AD152" i="19"/>
  <c r="AM152" i="19" s="1"/>
  <c r="AH151" i="19"/>
  <c r="AQ151" i="19" s="1"/>
  <c r="AD151" i="19"/>
  <c r="AM151" i="19" s="1"/>
  <c r="AH150" i="19"/>
  <c r="AQ150" i="19" s="1"/>
  <c r="AD150" i="19"/>
  <c r="AM150" i="19" s="1"/>
  <c r="AH149" i="19"/>
  <c r="AQ149" i="19" s="1"/>
  <c r="AD149" i="19"/>
  <c r="AM149" i="19" s="1"/>
  <c r="AH148" i="19"/>
  <c r="AQ148" i="19" s="1"/>
  <c r="AD148" i="19"/>
  <c r="AM148" i="19" s="1"/>
  <c r="AH147" i="19"/>
  <c r="AQ147" i="19" s="1"/>
  <c r="AD147" i="19"/>
  <c r="AM147" i="19" s="1"/>
  <c r="AH146" i="19"/>
  <c r="AQ146" i="19" s="1"/>
  <c r="AD146" i="19"/>
  <c r="AM146" i="19" s="1"/>
  <c r="AH145" i="19"/>
  <c r="AQ145" i="19" s="1"/>
  <c r="AD145" i="19"/>
  <c r="AM145" i="19" s="1"/>
  <c r="AH144" i="19"/>
  <c r="AQ144" i="19" s="1"/>
  <c r="AD144" i="19"/>
  <c r="AM144" i="19" s="1"/>
  <c r="AH143" i="19"/>
  <c r="AQ143" i="19" s="1"/>
  <c r="AD143" i="19"/>
  <c r="AM143" i="19" s="1"/>
  <c r="AH142" i="19"/>
  <c r="AQ142" i="19" s="1"/>
  <c r="AD142" i="19"/>
  <c r="AM142" i="19" s="1"/>
  <c r="AH141" i="19"/>
  <c r="AQ141" i="19" s="1"/>
  <c r="AD141" i="19"/>
  <c r="AM141" i="19" s="1"/>
  <c r="AH140" i="19"/>
  <c r="AQ140" i="19" s="1"/>
  <c r="AD140" i="19"/>
  <c r="AM140" i="19" s="1"/>
  <c r="AH139" i="19"/>
  <c r="AQ139" i="19" s="1"/>
  <c r="AD139" i="19"/>
  <c r="AM139" i="19" s="1"/>
  <c r="AH138" i="19"/>
  <c r="AQ138" i="19" s="1"/>
  <c r="AD138" i="19"/>
  <c r="AM138" i="19" s="1"/>
  <c r="AH137" i="19"/>
  <c r="AQ137" i="19" s="1"/>
  <c r="AD137" i="19"/>
  <c r="AM137" i="19" s="1"/>
  <c r="AH136" i="19"/>
  <c r="AQ136" i="19" s="1"/>
  <c r="AD136" i="19"/>
  <c r="AM136" i="19" s="1"/>
  <c r="AH135" i="19"/>
  <c r="AQ135" i="19" s="1"/>
  <c r="AD135" i="19"/>
  <c r="AM135" i="19" s="1"/>
  <c r="AH134" i="19"/>
  <c r="AQ134" i="19" s="1"/>
  <c r="AD134" i="19"/>
  <c r="AM134" i="19" s="1"/>
  <c r="AH133" i="19"/>
  <c r="AQ133" i="19" s="1"/>
  <c r="AD133" i="19"/>
  <c r="AM133" i="19" s="1"/>
  <c r="AH132" i="19"/>
  <c r="AQ132" i="19" s="1"/>
  <c r="AD132" i="19"/>
  <c r="AM132" i="19" s="1"/>
  <c r="AH131" i="19"/>
  <c r="AQ131" i="19" s="1"/>
  <c r="AD131" i="19"/>
  <c r="AM131" i="19" s="1"/>
  <c r="AH130" i="19"/>
  <c r="AQ130" i="19" s="1"/>
  <c r="AD130" i="19"/>
  <c r="AM130" i="19" s="1"/>
  <c r="AH129" i="19"/>
  <c r="AQ129" i="19" s="1"/>
  <c r="AD129" i="19"/>
  <c r="AM129" i="19" s="1"/>
  <c r="AH128" i="19"/>
  <c r="AQ128" i="19" s="1"/>
  <c r="AD128" i="19"/>
  <c r="AM128" i="19" s="1"/>
  <c r="AH127" i="19"/>
  <c r="AQ127" i="19" s="1"/>
  <c r="AD127" i="19"/>
  <c r="AM127" i="19" s="1"/>
  <c r="AH126" i="19"/>
  <c r="AQ126" i="19" s="1"/>
  <c r="AD126" i="19"/>
  <c r="AM126" i="19" s="1"/>
  <c r="AH125" i="19"/>
  <c r="AQ125" i="19" s="1"/>
  <c r="AD125" i="19"/>
  <c r="AM125" i="19" s="1"/>
  <c r="AH124" i="19"/>
  <c r="AQ124" i="19" s="1"/>
  <c r="AD124" i="19"/>
  <c r="AM124" i="19" s="1"/>
  <c r="AH123" i="19"/>
  <c r="AQ123" i="19" s="1"/>
  <c r="AD123" i="19"/>
  <c r="AM123" i="19" s="1"/>
  <c r="AH122" i="19"/>
  <c r="AQ122" i="19" s="1"/>
  <c r="AD122" i="19"/>
  <c r="AM122" i="19" s="1"/>
  <c r="AH121" i="19"/>
  <c r="AQ121" i="19" s="1"/>
  <c r="AD121" i="19"/>
  <c r="AM121" i="19" s="1"/>
  <c r="AH120" i="19"/>
  <c r="AQ120" i="19" s="1"/>
  <c r="AD120" i="19"/>
  <c r="AM120" i="19" s="1"/>
  <c r="AH119" i="19"/>
  <c r="AQ119" i="19" s="1"/>
  <c r="AD119" i="19"/>
  <c r="AM119" i="19" s="1"/>
  <c r="AH118" i="19"/>
  <c r="AQ118" i="19" s="1"/>
  <c r="AD118" i="19"/>
  <c r="AM118" i="19" s="1"/>
  <c r="AH117" i="19"/>
  <c r="AQ117" i="19" s="1"/>
  <c r="AD117" i="19"/>
  <c r="AM117" i="19" s="1"/>
  <c r="AH116" i="19"/>
  <c r="AQ116" i="19" s="1"/>
  <c r="AD116" i="19"/>
  <c r="AM116" i="19" s="1"/>
  <c r="AH115" i="19"/>
  <c r="AQ115" i="19" s="1"/>
  <c r="AD115" i="19"/>
  <c r="AM115" i="19" s="1"/>
  <c r="AH114" i="19"/>
  <c r="AQ114" i="19" s="1"/>
  <c r="AD114" i="19"/>
  <c r="AM114" i="19" s="1"/>
  <c r="AH113" i="19"/>
  <c r="AQ113" i="19" s="1"/>
  <c r="AD113" i="19"/>
  <c r="AM113" i="19" s="1"/>
  <c r="AH112" i="19"/>
  <c r="AQ112" i="19" s="1"/>
  <c r="AD112" i="19"/>
  <c r="AM112" i="19" s="1"/>
  <c r="AG959" i="19"/>
  <c r="AP959" i="19" s="1"/>
  <c r="AK958" i="19"/>
  <c r="AT958" i="19" s="1"/>
  <c r="AG958" i="19"/>
  <c r="AP958" i="19" s="1"/>
  <c r="AK957" i="19"/>
  <c r="AT957" i="19" s="1"/>
  <c r="AG957" i="19"/>
  <c r="AP957" i="19" s="1"/>
  <c r="AK956" i="19"/>
  <c r="AT956" i="19" s="1"/>
  <c r="AG956" i="19"/>
  <c r="AP956" i="19" s="1"/>
  <c r="AK955" i="19"/>
  <c r="AT955" i="19" s="1"/>
  <c r="AG955" i="19"/>
  <c r="AP955" i="19" s="1"/>
  <c r="AK954" i="19"/>
  <c r="AT954" i="19" s="1"/>
  <c r="AG954" i="19"/>
  <c r="AP954" i="19" s="1"/>
  <c r="AK953" i="19"/>
  <c r="AT953" i="19" s="1"/>
  <c r="AG953" i="19"/>
  <c r="AP953" i="19" s="1"/>
  <c r="AK952" i="19"/>
  <c r="AT952" i="19" s="1"/>
  <c r="AG952" i="19"/>
  <c r="AP952" i="19" s="1"/>
  <c r="AK951" i="19"/>
  <c r="AT951" i="19" s="1"/>
  <c r="AG951" i="19"/>
  <c r="AP951" i="19" s="1"/>
  <c r="AK950" i="19"/>
  <c r="AT950" i="19" s="1"/>
  <c r="AG950" i="19"/>
  <c r="AP950" i="19" s="1"/>
  <c r="AK949" i="19"/>
  <c r="AT949" i="19" s="1"/>
  <c r="AG949" i="19"/>
  <c r="AP949" i="19" s="1"/>
  <c r="AK948" i="19"/>
  <c r="AT948" i="19" s="1"/>
  <c r="AG948" i="19"/>
  <c r="AP948" i="19" s="1"/>
  <c r="AK947" i="19"/>
  <c r="AT947" i="19" s="1"/>
  <c r="AG947" i="19"/>
  <c r="AP947" i="19" s="1"/>
  <c r="AK946" i="19"/>
  <c r="AT946" i="19" s="1"/>
  <c r="AG946" i="19"/>
  <c r="AP946" i="19" s="1"/>
  <c r="AK945" i="19"/>
  <c r="AT945" i="19" s="1"/>
  <c r="AG945" i="19"/>
  <c r="AP945" i="19" s="1"/>
  <c r="AK944" i="19"/>
  <c r="AT944" i="19" s="1"/>
  <c r="AG944" i="19"/>
  <c r="AP944" i="19" s="1"/>
  <c r="AK943" i="19"/>
  <c r="AT943" i="19" s="1"/>
  <c r="AG943" i="19"/>
  <c r="AP943" i="19" s="1"/>
  <c r="AK942" i="19"/>
  <c r="AT942" i="19" s="1"/>
  <c r="AG942" i="19"/>
  <c r="AP942" i="19" s="1"/>
  <c r="AK941" i="19"/>
  <c r="AT941" i="19" s="1"/>
  <c r="AG941" i="19"/>
  <c r="AP941" i="19" s="1"/>
  <c r="AK940" i="19"/>
  <c r="AT940" i="19" s="1"/>
  <c r="AG940" i="19"/>
  <c r="AP940" i="19" s="1"/>
  <c r="AK939" i="19"/>
  <c r="AT939" i="19" s="1"/>
  <c r="AG939" i="19"/>
  <c r="AP939" i="19" s="1"/>
  <c r="AK938" i="19"/>
  <c r="AT938" i="19" s="1"/>
  <c r="AG938" i="19"/>
  <c r="AP938" i="19" s="1"/>
  <c r="AK937" i="19"/>
  <c r="AT937" i="19" s="1"/>
  <c r="AG937" i="19"/>
  <c r="AP937" i="19" s="1"/>
  <c r="AK936" i="19"/>
  <c r="AT936" i="19" s="1"/>
  <c r="AG936" i="19"/>
  <c r="AP936" i="19" s="1"/>
  <c r="AK935" i="19"/>
  <c r="AT935" i="19" s="1"/>
  <c r="AG935" i="19"/>
  <c r="AP935" i="19" s="1"/>
  <c r="AK934" i="19"/>
  <c r="AT934" i="19" s="1"/>
  <c r="AG934" i="19"/>
  <c r="AP934" i="19" s="1"/>
  <c r="AK933" i="19"/>
  <c r="AT933" i="19" s="1"/>
  <c r="AG933" i="19"/>
  <c r="AP933" i="19" s="1"/>
  <c r="AK932" i="19"/>
  <c r="AT932" i="19" s="1"/>
  <c r="AG932" i="19"/>
  <c r="AP932" i="19" s="1"/>
  <c r="AK931" i="19"/>
  <c r="AT931" i="19" s="1"/>
  <c r="AG931" i="19"/>
  <c r="AP931" i="19" s="1"/>
  <c r="AK930" i="19"/>
  <c r="AT930" i="19" s="1"/>
  <c r="AG930" i="19"/>
  <c r="AP930" i="19" s="1"/>
  <c r="AK929" i="19"/>
  <c r="AT929" i="19" s="1"/>
  <c r="AG929" i="19"/>
  <c r="AP929" i="19" s="1"/>
  <c r="AK928" i="19"/>
  <c r="AT928" i="19" s="1"/>
  <c r="AG928" i="19"/>
  <c r="AP928" i="19" s="1"/>
  <c r="AK927" i="19"/>
  <c r="AT927" i="19" s="1"/>
  <c r="AG927" i="19"/>
  <c r="AP927" i="19" s="1"/>
  <c r="AK926" i="19"/>
  <c r="AT926" i="19" s="1"/>
  <c r="AG926" i="19"/>
  <c r="AP926" i="19" s="1"/>
  <c r="AK925" i="19"/>
  <c r="AT925" i="19" s="1"/>
  <c r="AG925" i="19"/>
  <c r="AP925" i="19" s="1"/>
  <c r="AK924" i="19"/>
  <c r="AT924" i="19" s="1"/>
  <c r="AG924" i="19"/>
  <c r="AP924" i="19" s="1"/>
  <c r="AK923" i="19"/>
  <c r="AT923" i="19" s="1"/>
  <c r="AG923" i="19"/>
  <c r="AP923" i="19" s="1"/>
  <c r="AK922" i="19"/>
  <c r="AT922" i="19" s="1"/>
  <c r="AG922" i="19"/>
  <c r="AP922" i="19" s="1"/>
  <c r="AK921" i="19"/>
  <c r="AT921" i="19" s="1"/>
  <c r="AG921" i="19"/>
  <c r="AP921" i="19" s="1"/>
  <c r="AK920" i="19"/>
  <c r="AT920" i="19" s="1"/>
  <c r="AG920" i="19"/>
  <c r="AP920" i="19" s="1"/>
  <c r="AK919" i="19"/>
  <c r="AT919" i="19" s="1"/>
  <c r="AG919" i="19"/>
  <c r="AP919" i="19" s="1"/>
  <c r="AK918" i="19"/>
  <c r="AT918" i="19" s="1"/>
  <c r="AG918" i="19"/>
  <c r="AP918" i="19" s="1"/>
  <c r="AK917" i="19"/>
  <c r="AT917" i="19" s="1"/>
  <c r="AG917" i="19"/>
  <c r="AP917" i="19" s="1"/>
  <c r="AK916" i="19"/>
  <c r="AT916" i="19" s="1"/>
  <c r="AG916" i="19"/>
  <c r="AP916" i="19" s="1"/>
  <c r="AK915" i="19"/>
  <c r="AT915" i="19" s="1"/>
  <c r="AG915" i="19"/>
  <c r="AP915" i="19" s="1"/>
  <c r="AK914" i="19"/>
  <c r="AT914" i="19" s="1"/>
  <c r="AG914" i="19"/>
  <c r="AP914" i="19" s="1"/>
  <c r="AK913" i="19"/>
  <c r="AT913" i="19" s="1"/>
  <c r="AG913" i="19"/>
  <c r="AP913" i="19" s="1"/>
  <c r="AK912" i="19"/>
  <c r="AT912" i="19" s="1"/>
  <c r="AG912" i="19"/>
  <c r="AP912" i="19" s="1"/>
  <c r="AK911" i="19"/>
  <c r="AT911" i="19" s="1"/>
  <c r="AG911" i="19"/>
  <c r="AP911" i="19" s="1"/>
  <c r="AK910" i="19"/>
  <c r="AT910" i="19" s="1"/>
  <c r="AG910" i="19"/>
  <c r="AP910" i="19" s="1"/>
  <c r="AK909" i="19"/>
  <c r="AT909" i="19" s="1"/>
  <c r="AG909" i="19"/>
  <c r="AP909" i="19" s="1"/>
  <c r="AK908" i="19"/>
  <c r="AT908" i="19" s="1"/>
  <c r="AG908" i="19"/>
  <c r="AP908" i="19" s="1"/>
  <c r="AK907" i="19"/>
  <c r="AT907" i="19" s="1"/>
  <c r="AG907" i="19"/>
  <c r="AP907" i="19" s="1"/>
  <c r="AK906" i="19"/>
  <c r="AT906" i="19" s="1"/>
  <c r="AG906" i="19"/>
  <c r="AP906" i="19" s="1"/>
  <c r="AK905" i="19"/>
  <c r="AT905" i="19" s="1"/>
  <c r="AG905" i="19"/>
  <c r="AP905" i="19" s="1"/>
  <c r="AK904" i="19"/>
  <c r="AT904" i="19" s="1"/>
  <c r="AG904" i="19"/>
  <c r="AP904" i="19" s="1"/>
  <c r="AK903" i="19"/>
  <c r="AT903" i="19" s="1"/>
  <c r="AG903" i="19"/>
  <c r="AP903" i="19" s="1"/>
  <c r="AK902" i="19"/>
  <c r="AT902" i="19" s="1"/>
  <c r="AG902" i="19"/>
  <c r="AP902" i="19" s="1"/>
  <c r="AK901" i="19"/>
  <c r="AT901" i="19" s="1"/>
  <c r="AG901" i="19"/>
  <c r="AP901" i="19" s="1"/>
  <c r="AK900" i="19"/>
  <c r="AT900" i="19" s="1"/>
  <c r="AG900" i="19"/>
  <c r="AP900" i="19" s="1"/>
  <c r="AK899" i="19"/>
  <c r="AT899" i="19" s="1"/>
  <c r="AG899" i="19"/>
  <c r="AP899" i="19" s="1"/>
  <c r="AK898" i="19"/>
  <c r="AT898" i="19" s="1"/>
  <c r="AG898" i="19"/>
  <c r="AP898" i="19" s="1"/>
  <c r="AK897" i="19"/>
  <c r="AT897" i="19" s="1"/>
  <c r="AG897" i="19"/>
  <c r="AP897" i="19" s="1"/>
  <c r="AK896" i="19"/>
  <c r="AT896" i="19" s="1"/>
  <c r="AG896" i="19"/>
  <c r="AP896" i="19" s="1"/>
  <c r="AK895" i="19"/>
  <c r="AT895" i="19" s="1"/>
  <c r="AG895" i="19"/>
  <c r="AP895" i="19" s="1"/>
  <c r="AK894" i="19"/>
  <c r="AT894" i="19" s="1"/>
  <c r="AG894" i="19"/>
  <c r="AP894" i="19" s="1"/>
  <c r="AK893" i="19"/>
  <c r="AT893" i="19" s="1"/>
  <c r="AG893" i="19"/>
  <c r="AP893" i="19" s="1"/>
  <c r="AK892" i="19"/>
  <c r="AT892" i="19" s="1"/>
  <c r="AG892" i="19"/>
  <c r="AP892" i="19" s="1"/>
  <c r="AK891" i="19"/>
  <c r="AT891" i="19" s="1"/>
  <c r="AG891" i="19"/>
  <c r="AP891" i="19" s="1"/>
  <c r="AK890" i="19"/>
  <c r="AT890" i="19" s="1"/>
  <c r="AG890" i="19"/>
  <c r="AP890" i="19" s="1"/>
  <c r="AK889" i="19"/>
  <c r="AT889" i="19" s="1"/>
  <c r="AG889" i="19"/>
  <c r="AP889" i="19" s="1"/>
  <c r="AK888" i="19"/>
  <c r="AT888" i="19" s="1"/>
  <c r="AG888" i="19"/>
  <c r="AP888" i="19" s="1"/>
  <c r="AK887" i="19"/>
  <c r="AT887" i="19" s="1"/>
  <c r="AG887" i="19"/>
  <c r="AP887" i="19" s="1"/>
  <c r="AK886" i="19"/>
  <c r="AT886" i="19" s="1"/>
  <c r="AG886" i="19"/>
  <c r="AP886" i="19" s="1"/>
  <c r="AK885" i="19"/>
  <c r="AT885" i="19" s="1"/>
  <c r="AG885" i="19"/>
  <c r="AP885" i="19" s="1"/>
  <c r="AK884" i="19"/>
  <c r="AT884" i="19" s="1"/>
  <c r="AG884" i="19"/>
  <c r="AP884" i="19" s="1"/>
  <c r="AK883" i="19"/>
  <c r="AT883" i="19" s="1"/>
  <c r="AG883" i="19"/>
  <c r="AP883" i="19" s="1"/>
  <c r="AK882" i="19"/>
  <c r="AT882" i="19" s="1"/>
  <c r="AG882" i="19"/>
  <c r="AP882" i="19" s="1"/>
  <c r="AK881" i="19"/>
  <c r="AT881" i="19" s="1"/>
  <c r="AG881" i="19"/>
  <c r="AP881" i="19" s="1"/>
  <c r="AK880" i="19"/>
  <c r="AT880" i="19" s="1"/>
  <c r="AG880" i="19"/>
  <c r="AP880" i="19" s="1"/>
  <c r="AK879" i="19"/>
  <c r="AT879" i="19" s="1"/>
  <c r="AG879" i="19"/>
  <c r="AP879" i="19" s="1"/>
  <c r="AK878" i="19"/>
  <c r="AT878" i="19" s="1"/>
  <c r="AG878" i="19"/>
  <c r="AP878" i="19" s="1"/>
  <c r="AK877" i="19"/>
  <c r="AT877" i="19" s="1"/>
  <c r="AG877" i="19"/>
  <c r="AP877" i="19" s="1"/>
  <c r="AK876" i="19"/>
  <c r="AT876" i="19" s="1"/>
  <c r="AG876" i="19"/>
  <c r="AP876" i="19" s="1"/>
  <c r="AK875" i="19"/>
  <c r="AT875" i="19" s="1"/>
  <c r="AG875" i="19"/>
  <c r="AP875" i="19" s="1"/>
  <c r="AK874" i="19"/>
  <c r="AT874" i="19" s="1"/>
  <c r="AG874" i="19"/>
  <c r="AP874" i="19" s="1"/>
  <c r="AK873" i="19"/>
  <c r="AT873" i="19" s="1"/>
  <c r="AG873" i="19"/>
  <c r="AP873" i="19" s="1"/>
  <c r="AK872" i="19"/>
  <c r="AT872" i="19" s="1"/>
  <c r="AG872" i="19"/>
  <c r="AP872" i="19" s="1"/>
  <c r="AK871" i="19"/>
  <c r="AT871" i="19" s="1"/>
  <c r="AG871" i="19"/>
  <c r="AP871" i="19" s="1"/>
  <c r="AK870" i="19"/>
  <c r="AT870" i="19" s="1"/>
  <c r="AG870" i="19"/>
  <c r="AP870" i="19" s="1"/>
  <c r="AK869" i="19"/>
  <c r="AT869" i="19" s="1"/>
  <c r="AG869" i="19"/>
  <c r="AP869" i="19" s="1"/>
  <c r="AK868" i="19"/>
  <c r="AT868" i="19" s="1"/>
  <c r="AG868" i="19"/>
  <c r="AP868" i="19" s="1"/>
  <c r="AK867" i="19"/>
  <c r="AT867" i="19" s="1"/>
  <c r="AG867" i="19"/>
  <c r="AP867" i="19" s="1"/>
  <c r="AK866" i="19"/>
  <c r="AT866" i="19" s="1"/>
  <c r="AG866" i="19"/>
  <c r="AP866" i="19" s="1"/>
  <c r="AK865" i="19"/>
  <c r="AT865" i="19" s="1"/>
  <c r="AG865" i="19"/>
  <c r="AP865" i="19" s="1"/>
  <c r="AK864" i="19"/>
  <c r="AT864" i="19" s="1"/>
  <c r="AG864" i="19"/>
  <c r="AP864" i="19" s="1"/>
  <c r="AK863" i="19"/>
  <c r="AT863" i="19" s="1"/>
  <c r="AG863" i="19"/>
  <c r="AP863" i="19" s="1"/>
  <c r="AK862" i="19"/>
  <c r="AT862" i="19" s="1"/>
  <c r="AG862" i="19"/>
  <c r="AP862" i="19" s="1"/>
  <c r="AK861" i="19"/>
  <c r="AT861" i="19" s="1"/>
  <c r="AG861" i="19"/>
  <c r="AP861" i="19" s="1"/>
  <c r="AK860" i="19"/>
  <c r="AT860" i="19" s="1"/>
  <c r="AG860" i="19"/>
  <c r="AP860" i="19" s="1"/>
  <c r="AK859" i="19"/>
  <c r="AT859" i="19" s="1"/>
  <c r="AG859" i="19"/>
  <c r="AP859" i="19" s="1"/>
  <c r="AK858" i="19"/>
  <c r="AT858" i="19" s="1"/>
  <c r="AG858" i="19"/>
  <c r="AP858" i="19" s="1"/>
  <c r="AK857" i="19"/>
  <c r="AT857" i="19" s="1"/>
  <c r="AG857" i="19"/>
  <c r="AP857" i="19" s="1"/>
  <c r="AK856" i="19"/>
  <c r="AT856" i="19" s="1"/>
  <c r="AG856" i="19"/>
  <c r="AP856" i="19" s="1"/>
  <c r="AK855" i="19"/>
  <c r="AT855" i="19" s="1"/>
  <c r="AG855" i="19"/>
  <c r="AP855" i="19" s="1"/>
  <c r="AK854" i="19"/>
  <c r="AT854" i="19" s="1"/>
  <c r="AG854" i="19"/>
  <c r="AP854" i="19" s="1"/>
  <c r="AK853" i="19"/>
  <c r="AT853" i="19" s="1"/>
  <c r="AG853" i="19"/>
  <c r="AP853" i="19" s="1"/>
  <c r="AK852" i="19"/>
  <c r="AT852" i="19" s="1"/>
  <c r="AG852" i="19"/>
  <c r="AP852" i="19" s="1"/>
  <c r="AK851" i="19"/>
  <c r="AT851" i="19" s="1"/>
  <c r="AG851" i="19"/>
  <c r="AP851" i="19" s="1"/>
  <c r="AK850" i="19"/>
  <c r="AT850" i="19" s="1"/>
  <c r="AG850" i="19"/>
  <c r="AP850" i="19" s="1"/>
  <c r="AK849" i="19"/>
  <c r="AT849" i="19" s="1"/>
  <c r="AG849" i="19"/>
  <c r="AP849" i="19" s="1"/>
  <c r="AK848" i="19"/>
  <c r="AT848" i="19" s="1"/>
  <c r="AG848" i="19"/>
  <c r="AP848" i="19" s="1"/>
  <c r="AK847" i="19"/>
  <c r="AT847" i="19" s="1"/>
  <c r="AG847" i="19"/>
  <c r="AP847" i="19" s="1"/>
  <c r="AK846" i="19"/>
  <c r="AT846" i="19" s="1"/>
  <c r="AG846" i="19"/>
  <c r="AP846" i="19" s="1"/>
  <c r="AK845" i="19"/>
  <c r="AT845" i="19" s="1"/>
  <c r="AG845" i="19"/>
  <c r="AP845" i="19" s="1"/>
  <c r="AK844" i="19"/>
  <c r="AT844" i="19" s="1"/>
  <c r="AG844" i="19"/>
  <c r="AP844" i="19" s="1"/>
  <c r="AK843" i="19"/>
  <c r="AT843" i="19" s="1"/>
  <c r="AG843" i="19"/>
  <c r="AP843" i="19" s="1"/>
  <c r="AK842" i="19"/>
  <c r="AT842" i="19" s="1"/>
  <c r="AG842" i="19"/>
  <c r="AP842" i="19" s="1"/>
  <c r="AK841" i="19"/>
  <c r="AT841" i="19" s="1"/>
  <c r="AG841" i="19"/>
  <c r="AP841" i="19" s="1"/>
  <c r="AK840" i="19"/>
  <c r="AT840" i="19" s="1"/>
  <c r="AG840" i="19"/>
  <c r="AP840" i="19" s="1"/>
  <c r="AK839" i="19"/>
  <c r="AT839" i="19" s="1"/>
  <c r="AG839" i="19"/>
  <c r="AP839" i="19" s="1"/>
  <c r="AK838" i="19"/>
  <c r="AT838" i="19" s="1"/>
  <c r="AG838" i="19"/>
  <c r="AP838" i="19" s="1"/>
  <c r="AK837" i="19"/>
  <c r="AT837" i="19" s="1"/>
  <c r="AG837" i="19"/>
  <c r="AP837" i="19" s="1"/>
  <c r="AK836" i="19"/>
  <c r="AT836" i="19" s="1"/>
  <c r="AG836" i="19"/>
  <c r="AP836" i="19" s="1"/>
  <c r="AK835" i="19"/>
  <c r="AT835" i="19" s="1"/>
  <c r="AG835" i="19"/>
  <c r="AP835" i="19" s="1"/>
  <c r="AK834" i="19"/>
  <c r="AT834" i="19" s="1"/>
  <c r="AG834" i="19"/>
  <c r="AP834" i="19" s="1"/>
  <c r="AK833" i="19"/>
  <c r="AT833" i="19" s="1"/>
  <c r="AG833" i="19"/>
  <c r="AP833" i="19" s="1"/>
  <c r="AK832" i="19"/>
  <c r="AT832" i="19" s="1"/>
  <c r="AG832" i="19"/>
  <c r="AP832" i="19" s="1"/>
  <c r="AK831" i="19"/>
  <c r="AT831" i="19" s="1"/>
  <c r="AG831" i="19"/>
  <c r="AP831" i="19" s="1"/>
  <c r="AK830" i="19"/>
  <c r="AT830" i="19" s="1"/>
  <c r="AG830" i="19"/>
  <c r="AP830" i="19" s="1"/>
  <c r="AK829" i="19"/>
  <c r="AT829" i="19" s="1"/>
  <c r="AG829" i="19"/>
  <c r="AP829" i="19" s="1"/>
  <c r="AK828" i="19"/>
  <c r="AT828" i="19" s="1"/>
  <c r="AG828" i="19"/>
  <c r="AP828" i="19" s="1"/>
  <c r="AK827" i="19"/>
  <c r="AT827" i="19" s="1"/>
  <c r="AG827" i="19"/>
  <c r="AP827" i="19" s="1"/>
  <c r="AK826" i="19"/>
  <c r="AT826" i="19" s="1"/>
  <c r="AG826" i="19"/>
  <c r="AP826" i="19" s="1"/>
  <c r="AK825" i="19"/>
  <c r="AT825" i="19" s="1"/>
  <c r="AG825" i="19"/>
  <c r="AP825" i="19" s="1"/>
  <c r="AK824" i="19"/>
  <c r="AT824" i="19" s="1"/>
  <c r="AG824" i="19"/>
  <c r="AP824" i="19" s="1"/>
  <c r="AK823" i="19"/>
  <c r="AT823" i="19" s="1"/>
  <c r="AG823" i="19"/>
  <c r="AP823" i="19" s="1"/>
  <c r="AK822" i="19"/>
  <c r="AT822" i="19" s="1"/>
  <c r="AG822" i="19"/>
  <c r="AP822" i="19" s="1"/>
  <c r="AK821" i="19"/>
  <c r="AT821" i="19" s="1"/>
  <c r="AG821" i="19"/>
  <c r="AP821" i="19" s="1"/>
  <c r="AK820" i="19"/>
  <c r="AT820" i="19" s="1"/>
  <c r="AG820" i="19"/>
  <c r="AP820" i="19" s="1"/>
  <c r="AK819" i="19"/>
  <c r="AT819" i="19" s="1"/>
  <c r="AG819" i="19"/>
  <c r="AP819" i="19" s="1"/>
  <c r="AK818" i="19"/>
  <c r="AT818" i="19" s="1"/>
  <c r="AG818" i="19"/>
  <c r="AP818" i="19" s="1"/>
  <c r="AK817" i="19"/>
  <c r="AT817" i="19" s="1"/>
  <c r="AG817" i="19"/>
  <c r="AP817" i="19" s="1"/>
  <c r="AK816" i="19"/>
  <c r="AT816" i="19" s="1"/>
  <c r="AG816" i="19"/>
  <c r="AP816" i="19" s="1"/>
  <c r="AK815" i="19"/>
  <c r="AT815" i="19" s="1"/>
  <c r="AG815" i="19"/>
  <c r="AP815" i="19" s="1"/>
  <c r="AK814" i="19"/>
  <c r="AT814" i="19" s="1"/>
  <c r="AG814" i="19"/>
  <c r="AP814" i="19" s="1"/>
  <c r="AK813" i="19"/>
  <c r="AT813" i="19" s="1"/>
  <c r="AG813" i="19"/>
  <c r="AP813" i="19" s="1"/>
  <c r="AK812" i="19"/>
  <c r="AT812" i="19" s="1"/>
  <c r="AG812" i="19"/>
  <c r="AP812" i="19" s="1"/>
  <c r="AK811" i="19"/>
  <c r="AT811" i="19" s="1"/>
  <c r="AG811" i="19"/>
  <c r="AP811" i="19" s="1"/>
  <c r="AK810" i="19"/>
  <c r="AT810" i="19" s="1"/>
  <c r="AG810" i="19"/>
  <c r="AP810" i="19" s="1"/>
  <c r="AK809" i="19"/>
  <c r="AT809" i="19" s="1"/>
  <c r="AG809" i="19"/>
  <c r="AP809" i="19" s="1"/>
  <c r="AK808" i="19"/>
  <c r="AT808" i="19" s="1"/>
  <c r="AG808" i="19"/>
  <c r="AP808" i="19" s="1"/>
  <c r="AK807" i="19"/>
  <c r="AT807" i="19" s="1"/>
  <c r="AG807" i="19"/>
  <c r="AP807" i="19" s="1"/>
  <c r="AK806" i="19"/>
  <c r="AT806" i="19" s="1"/>
  <c r="AG806" i="19"/>
  <c r="AP806" i="19" s="1"/>
  <c r="AK805" i="19"/>
  <c r="AT805" i="19" s="1"/>
  <c r="AG805" i="19"/>
  <c r="AP805" i="19" s="1"/>
  <c r="AK804" i="19"/>
  <c r="AT804" i="19" s="1"/>
  <c r="AG804" i="19"/>
  <c r="AP804" i="19" s="1"/>
  <c r="AK803" i="19"/>
  <c r="AT803" i="19" s="1"/>
  <c r="AG803" i="19"/>
  <c r="AP803" i="19" s="1"/>
  <c r="AK802" i="19"/>
  <c r="AT802" i="19" s="1"/>
  <c r="AG802" i="19"/>
  <c r="AP802" i="19" s="1"/>
  <c r="AK801" i="19"/>
  <c r="AT801" i="19" s="1"/>
  <c r="AG801" i="19"/>
  <c r="AP801" i="19" s="1"/>
  <c r="AK800" i="19"/>
  <c r="AT800" i="19" s="1"/>
  <c r="AG800" i="19"/>
  <c r="AP800" i="19" s="1"/>
  <c r="AK799" i="19"/>
  <c r="AT799" i="19" s="1"/>
  <c r="AG799" i="19"/>
  <c r="AP799" i="19" s="1"/>
  <c r="AK798" i="19"/>
  <c r="AT798" i="19" s="1"/>
  <c r="AG798" i="19"/>
  <c r="AP798" i="19" s="1"/>
  <c r="AK797" i="19"/>
  <c r="AT797" i="19" s="1"/>
  <c r="AG797" i="19"/>
  <c r="AP797" i="19" s="1"/>
  <c r="AK796" i="19"/>
  <c r="AT796" i="19" s="1"/>
  <c r="AG796" i="19"/>
  <c r="AP796" i="19" s="1"/>
  <c r="AK795" i="19"/>
  <c r="AT795" i="19" s="1"/>
  <c r="AG795" i="19"/>
  <c r="AP795" i="19" s="1"/>
  <c r="AK794" i="19"/>
  <c r="AT794" i="19" s="1"/>
  <c r="AG794" i="19"/>
  <c r="AP794" i="19" s="1"/>
  <c r="AK793" i="19"/>
  <c r="AT793" i="19" s="1"/>
  <c r="AG793" i="19"/>
  <c r="AP793" i="19" s="1"/>
  <c r="AK792" i="19"/>
  <c r="AT792" i="19" s="1"/>
  <c r="AG792" i="19"/>
  <c r="AP792" i="19" s="1"/>
  <c r="AK791" i="19"/>
  <c r="AT791" i="19" s="1"/>
  <c r="AG791" i="19"/>
  <c r="AP791" i="19" s="1"/>
  <c r="AK790" i="19"/>
  <c r="AT790" i="19" s="1"/>
  <c r="AG790" i="19"/>
  <c r="AP790" i="19" s="1"/>
  <c r="AK789" i="19"/>
  <c r="AT789" i="19" s="1"/>
  <c r="AG789" i="19"/>
  <c r="AP789" i="19" s="1"/>
  <c r="AK788" i="19"/>
  <c r="AT788" i="19" s="1"/>
  <c r="AG788" i="19"/>
  <c r="AP788" i="19" s="1"/>
  <c r="AK787" i="19"/>
  <c r="AT787" i="19" s="1"/>
  <c r="AG787" i="19"/>
  <c r="AP787" i="19" s="1"/>
  <c r="AK786" i="19"/>
  <c r="AT786" i="19" s="1"/>
  <c r="AG786" i="19"/>
  <c r="AP786" i="19" s="1"/>
  <c r="AK785" i="19"/>
  <c r="AT785" i="19" s="1"/>
  <c r="AG785" i="19"/>
  <c r="AP785" i="19" s="1"/>
  <c r="AK784" i="19"/>
  <c r="AT784" i="19" s="1"/>
  <c r="AG784" i="19"/>
  <c r="AP784" i="19" s="1"/>
  <c r="AK783" i="19"/>
  <c r="AT783" i="19" s="1"/>
  <c r="AG783" i="19"/>
  <c r="AP783" i="19" s="1"/>
  <c r="AK782" i="19"/>
  <c r="AT782" i="19" s="1"/>
  <c r="AG782" i="19"/>
  <c r="AP782" i="19" s="1"/>
  <c r="AK781" i="19"/>
  <c r="AT781" i="19" s="1"/>
  <c r="AG781" i="19"/>
  <c r="AP781" i="19" s="1"/>
  <c r="AK780" i="19"/>
  <c r="AT780" i="19" s="1"/>
  <c r="AG780" i="19"/>
  <c r="AP780" i="19" s="1"/>
  <c r="AK779" i="19"/>
  <c r="AT779" i="19" s="1"/>
  <c r="AG779" i="19"/>
  <c r="AP779" i="19" s="1"/>
  <c r="AK778" i="19"/>
  <c r="AT778" i="19" s="1"/>
  <c r="AG778" i="19"/>
  <c r="AP778" i="19" s="1"/>
  <c r="AK777" i="19"/>
  <c r="AT777" i="19" s="1"/>
  <c r="AG777" i="19"/>
  <c r="AP777" i="19" s="1"/>
  <c r="AK776" i="19"/>
  <c r="AT776" i="19" s="1"/>
  <c r="AG776" i="19"/>
  <c r="AP776" i="19" s="1"/>
  <c r="AK775" i="19"/>
  <c r="AT775" i="19" s="1"/>
  <c r="AG775" i="19"/>
  <c r="AP775" i="19" s="1"/>
  <c r="AK774" i="19"/>
  <c r="AT774" i="19" s="1"/>
  <c r="AG774" i="19"/>
  <c r="AP774" i="19" s="1"/>
  <c r="AK773" i="19"/>
  <c r="AT773" i="19" s="1"/>
  <c r="AG773" i="19"/>
  <c r="AP773" i="19" s="1"/>
  <c r="AK772" i="19"/>
  <c r="AT772" i="19" s="1"/>
  <c r="AG772" i="19"/>
  <c r="AP772" i="19" s="1"/>
  <c r="AK771" i="19"/>
  <c r="AT771" i="19" s="1"/>
  <c r="AG771" i="19"/>
  <c r="AP771" i="19" s="1"/>
  <c r="AK770" i="19"/>
  <c r="AT770" i="19" s="1"/>
  <c r="AG770" i="19"/>
  <c r="AP770" i="19" s="1"/>
  <c r="AK769" i="19"/>
  <c r="AT769" i="19" s="1"/>
  <c r="AG769" i="19"/>
  <c r="AP769" i="19" s="1"/>
  <c r="AK768" i="19"/>
  <c r="AT768" i="19" s="1"/>
  <c r="AG768" i="19"/>
  <c r="AP768" i="19" s="1"/>
  <c r="AK767" i="19"/>
  <c r="AT767" i="19" s="1"/>
  <c r="AG767" i="19"/>
  <c r="AP767" i="19" s="1"/>
  <c r="AK766" i="19"/>
  <c r="AT766" i="19" s="1"/>
  <c r="AG766" i="19"/>
  <c r="AP766" i="19" s="1"/>
  <c r="AK765" i="19"/>
  <c r="AT765" i="19" s="1"/>
  <c r="AG765" i="19"/>
  <c r="AP765" i="19" s="1"/>
  <c r="AK764" i="19"/>
  <c r="AT764" i="19" s="1"/>
  <c r="AG764" i="19"/>
  <c r="AP764" i="19" s="1"/>
  <c r="AK763" i="19"/>
  <c r="AT763" i="19" s="1"/>
  <c r="AG763" i="19"/>
  <c r="AP763" i="19" s="1"/>
  <c r="AK762" i="19"/>
  <c r="AT762" i="19" s="1"/>
  <c r="AG762" i="19"/>
  <c r="AP762" i="19" s="1"/>
  <c r="AK761" i="19"/>
  <c r="AT761" i="19" s="1"/>
  <c r="AG761" i="19"/>
  <c r="AP761" i="19" s="1"/>
  <c r="AK760" i="19"/>
  <c r="AT760" i="19" s="1"/>
  <c r="AG760" i="19"/>
  <c r="AP760" i="19" s="1"/>
  <c r="AK759" i="19"/>
  <c r="AT759" i="19" s="1"/>
  <c r="AG759" i="19"/>
  <c r="AP759" i="19" s="1"/>
  <c r="AK758" i="19"/>
  <c r="AT758" i="19" s="1"/>
  <c r="AG758" i="19"/>
  <c r="AP758" i="19" s="1"/>
  <c r="AK757" i="19"/>
  <c r="AT757" i="19" s="1"/>
  <c r="AG757" i="19"/>
  <c r="AP757" i="19" s="1"/>
  <c r="AK756" i="19"/>
  <c r="AT756" i="19" s="1"/>
  <c r="AG756" i="19"/>
  <c r="AP756" i="19" s="1"/>
  <c r="AK755" i="19"/>
  <c r="AT755" i="19" s="1"/>
  <c r="AG755" i="19"/>
  <c r="AP755" i="19" s="1"/>
  <c r="AK754" i="19"/>
  <c r="AT754" i="19" s="1"/>
  <c r="AG754" i="19"/>
  <c r="AP754" i="19" s="1"/>
  <c r="AK753" i="19"/>
  <c r="AT753" i="19" s="1"/>
  <c r="AG753" i="19"/>
  <c r="AP753" i="19" s="1"/>
  <c r="AK752" i="19"/>
  <c r="AT752" i="19" s="1"/>
  <c r="AG752" i="19"/>
  <c r="AP752" i="19" s="1"/>
  <c r="AK751" i="19"/>
  <c r="AT751" i="19" s="1"/>
  <c r="AG751" i="19"/>
  <c r="AP751" i="19" s="1"/>
  <c r="AK750" i="19"/>
  <c r="AT750" i="19" s="1"/>
  <c r="AG750" i="19"/>
  <c r="AP750" i="19" s="1"/>
  <c r="AK749" i="19"/>
  <c r="AT749" i="19" s="1"/>
  <c r="AG749" i="19"/>
  <c r="AP749" i="19" s="1"/>
  <c r="AK748" i="19"/>
  <c r="AT748" i="19" s="1"/>
  <c r="AG748" i="19"/>
  <c r="AP748" i="19" s="1"/>
  <c r="AK747" i="19"/>
  <c r="AT747" i="19" s="1"/>
  <c r="AG747" i="19"/>
  <c r="AP747" i="19" s="1"/>
  <c r="AK746" i="19"/>
  <c r="AT746" i="19" s="1"/>
  <c r="AG746" i="19"/>
  <c r="AP746" i="19" s="1"/>
  <c r="AK745" i="19"/>
  <c r="AT745" i="19" s="1"/>
  <c r="AG745" i="19"/>
  <c r="AP745" i="19" s="1"/>
  <c r="AK744" i="19"/>
  <c r="AT744" i="19" s="1"/>
  <c r="AG744" i="19"/>
  <c r="AP744" i="19" s="1"/>
  <c r="AK743" i="19"/>
  <c r="AT743" i="19" s="1"/>
  <c r="AG743" i="19"/>
  <c r="AP743" i="19" s="1"/>
  <c r="AK742" i="19"/>
  <c r="AT742" i="19" s="1"/>
  <c r="AG742" i="19"/>
  <c r="AP742" i="19" s="1"/>
  <c r="AK741" i="19"/>
  <c r="AT741" i="19" s="1"/>
  <c r="AG741" i="19"/>
  <c r="AP741" i="19" s="1"/>
  <c r="AK740" i="19"/>
  <c r="AT740" i="19" s="1"/>
  <c r="AG740" i="19"/>
  <c r="AP740" i="19" s="1"/>
  <c r="AK739" i="19"/>
  <c r="AT739" i="19" s="1"/>
  <c r="AG739" i="19"/>
  <c r="AP739" i="19" s="1"/>
  <c r="AK738" i="19"/>
  <c r="AT738" i="19" s="1"/>
  <c r="AG738" i="19"/>
  <c r="AP738" i="19" s="1"/>
  <c r="AK737" i="19"/>
  <c r="AT737" i="19" s="1"/>
  <c r="AG737" i="19"/>
  <c r="AP737" i="19" s="1"/>
  <c r="AK736" i="19"/>
  <c r="AT736" i="19" s="1"/>
  <c r="AG736" i="19"/>
  <c r="AP736" i="19" s="1"/>
  <c r="AK735" i="19"/>
  <c r="AT735" i="19" s="1"/>
  <c r="AG735" i="19"/>
  <c r="AP735" i="19" s="1"/>
  <c r="AK734" i="19"/>
  <c r="AT734" i="19" s="1"/>
  <c r="AG734" i="19"/>
  <c r="AP734" i="19" s="1"/>
  <c r="AK733" i="19"/>
  <c r="AT733" i="19" s="1"/>
  <c r="AG733" i="19"/>
  <c r="AP733" i="19" s="1"/>
  <c r="AK732" i="19"/>
  <c r="AT732" i="19" s="1"/>
  <c r="AG732" i="19"/>
  <c r="AP732" i="19" s="1"/>
  <c r="AK731" i="19"/>
  <c r="AT731" i="19" s="1"/>
  <c r="AG731" i="19"/>
  <c r="AP731" i="19" s="1"/>
  <c r="AK730" i="19"/>
  <c r="AT730" i="19" s="1"/>
  <c r="AG730" i="19"/>
  <c r="AP730" i="19" s="1"/>
  <c r="AK729" i="19"/>
  <c r="AT729" i="19" s="1"/>
  <c r="AG729" i="19"/>
  <c r="AP729" i="19" s="1"/>
  <c r="AK728" i="19"/>
  <c r="AT728" i="19" s="1"/>
  <c r="AG728" i="19"/>
  <c r="AP728" i="19" s="1"/>
  <c r="AK727" i="19"/>
  <c r="AT727" i="19" s="1"/>
  <c r="AG727" i="19"/>
  <c r="AP727" i="19" s="1"/>
  <c r="AK726" i="19"/>
  <c r="AT726" i="19" s="1"/>
  <c r="AG726" i="19"/>
  <c r="AP726" i="19" s="1"/>
  <c r="AK725" i="19"/>
  <c r="AT725" i="19" s="1"/>
  <c r="AG725" i="19"/>
  <c r="AP725" i="19" s="1"/>
  <c r="AK724" i="19"/>
  <c r="AT724" i="19" s="1"/>
  <c r="AG724" i="19"/>
  <c r="AP724" i="19" s="1"/>
  <c r="AK723" i="19"/>
  <c r="AT723" i="19" s="1"/>
  <c r="AG723" i="19"/>
  <c r="AP723" i="19" s="1"/>
  <c r="AK722" i="19"/>
  <c r="AT722" i="19" s="1"/>
  <c r="AG722" i="19"/>
  <c r="AP722" i="19" s="1"/>
  <c r="AK721" i="19"/>
  <c r="AT721" i="19" s="1"/>
  <c r="AG721" i="19"/>
  <c r="AP721" i="19" s="1"/>
  <c r="AK720" i="19"/>
  <c r="AT720" i="19" s="1"/>
  <c r="AG720" i="19"/>
  <c r="AP720" i="19" s="1"/>
  <c r="AK719" i="19"/>
  <c r="AT719" i="19" s="1"/>
  <c r="AG719" i="19"/>
  <c r="AP719" i="19" s="1"/>
  <c r="AK718" i="19"/>
  <c r="AT718" i="19" s="1"/>
  <c r="AG718" i="19"/>
  <c r="AP718" i="19" s="1"/>
  <c r="AK717" i="19"/>
  <c r="AT717" i="19" s="1"/>
  <c r="AG717" i="19"/>
  <c r="AP717" i="19" s="1"/>
  <c r="AK716" i="19"/>
  <c r="AT716" i="19" s="1"/>
  <c r="AG716" i="19"/>
  <c r="AP716" i="19" s="1"/>
  <c r="AK715" i="19"/>
  <c r="AT715" i="19" s="1"/>
  <c r="AG715" i="19"/>
  <c r="AP715" i="19" s="1"/>
  <c r="AK714" i="19"/>
  <c r="AT714" i="19" s="1"/>
  <c r="AG714" i="19"/>
  <c r="AP714" i="19" s="1"/>
  <c r="AK713" i="19"/>
  <c r="AT713" i="19" s="1"/>
  <c r="AG713" i="19"/>
  <c r="AP713" i="19" s="1"/>
  <c r="AK712" i="19"/>
  <c r="AT712" i="19" s="1"/>
  <c r="AG712" i="19"/>
  <c r="AP712" i="19" s="1"/>
  <c r="AK711" i="19"/>
  <c r="AT711" i="19" s="1"/>
  <c r="AG711" i="19"/>
  <c r="AP711" i="19" s="1"/>
  <c r="AK710" i="19"/>
  <c r="AT710" i="19" s="1"/>
  <c r="AG710" i="19"/>
  <c r="AP710" i="19" s="1"/>
  <c r="AK709" i="19"/>
  <c r="AT709" i="19" s="1"/>
  <c r="AG709" i="19"/>
  <c r="AP709" i="19" s="1"/>
  <c r="AK708" i="19"/>
  <c r="AT708" i="19" s="1"/>
  <c r="AG708" i="19"/>
  <c r="AP708" i="19" s="1"/>
  <c r="AK707" i="19"/>
  <c r="AT707" i="19" s="1"/>
  <c r="AG707" i="19"/>
  <c r="AP707" i="19" s="1"/>
  <c r="AK706" i="19"/>
  <c r="AT706" i="19" s="1"/>
  <c r="AG706" i="19"/>
  <c r="AP706" i="19" s="1"/>
  <c r="AK705" i="19"/>
  <c r="AT705" i="19" s="1"/>
  <c r="AG705" i="19"/>
  <c r="AP705" i="19" s="1"/>
  <c r="AK704" i="19"/>
  <c r="AT704" i="19" s="1"/>
  <c r="AG704" i="19"/>
  <c r="AP704" i="19" s="1"/>
  <c r="AK703" i="19"/>
  <c r="AT703" i="19" s="1"/>
  <c r="AG703" i="19"/>
  <c r="AP703" i="19" s="1"/>
  <c r="AK702" i="19"/>
  <c r="AT702" i="19" s="1"/>
  <c r="AG702" i="19"/>
  <c r="AP702" i="19" s="1"/>
  <c r="AK701" i="19"/>
  <c r="AT701" i="19" s="1"/>
  <c r="AG701" i="19"/>
  <c r="AP701" i="19" s="1"/>
  <c r="AK700" i="19"/>
  <c r="AT700" i="19" s="1"/>
  <c r="AG700" i="19"/>
  <c r="AP700" i="19" s="1"/>
  <c r="AK699" i="19"/>
  <c r="AT699" i="19" s="1"/>
  <c r="AG699" i="19"/>
  <c r="AP699" i="19" s="1"/>
  <c r="AK698" i="19"/>
  <c r="AT698" i="19" s="1"/>
  <c r="AG698" i="19"/>
  <c r="AP698" i="19" s="1"/>
  <c r="AK697" i="19"/>
  <c r="AT697" i="19" s="1"/>
  <c r="AG697" i="19"/>
  <c r="AP697" i="19" s="1"/>
  <c r="AK696" i="19"/>
  <c r="AT696" i="19" s="1"/>
  <c r="AG696" i="19"/>
  <c r="AP696" i="19" s="1"/>
  <c r="AK695" i="19"/>
  <c r="AT695" i="19" s="1"/>
  <c r="AG695" i="19"/>
  <c r="AP695" i="19" s="1"/>
  <c r="AK694" i="19"/>
  <c r="AT694" i="19" s="1"/>
  <c r="AG694" i="19"/>
  <c r="AP694" i="19" s="1"/>
  <c r="AK693" i="19"/>
  <c r="AT693" i="19" s="1"/>
  <c r="AG693" i="19"/>
  <c r="AP693" i="19" s="1"/>
  <c r="AK692" i="19"/>
  <c r="AT692" i="19" s="1"/>
  <c r="AG692" i="19"/>
  <c r="AP692" i="19" s="1"/>
  <c r="AK691" i="19"/>
  <c r="AT691" i="19" s="1"/>
  <c r="AG691" i="19"/>
  <c r="AP691" i="19" s="1"/>
  <c r="AK690" i="19"/>
  <c r="AT690" i="19" s="1"/>
  <c r="AG690" i="19"/>
  <c r="AP690" i="19" s="1"/>
  <c r="AK689" i="19"/>
  <c r="AT689" i="19" s="1"/>
  <c r="AG689" i="19"/>
  <c r="AP689" i="19" s="1"/>
  <c r="AK688" i="19"/>
  <c r="AT688" i="19" s="1"/>
  <c r="AG688" i="19"/>
  <c r="AP688" i="19" s="1"/>
  <c r="AK687" i="19"/>
  <c r="AT687" i="19" s="1"/>
  <c r="AG687" i="19"/>
  <c r="AP687" i="19" s="1"/>
  <c r="AK686" i="19"/>
  <c r="AT686" i="19" s="1"/>
  <c r="AG686" i="19"/>
  <c r="AP686" i="19" s="1"/>
  <c r="AK685" i="19"/>
  <c r="AT685" i="19" s="1"/>
  <c r="AG685" i="19"/>
  <c r="AP685" i="19" s="1"/>
  <c r="AK684" i="19"/>
  <c r="AT684" i="19" s="1"/>
  <c r="AG684" i="19"/>
  <c r="AP684" i="19" s="1"/>
  <c r="AK683" i="19"/>
  <c r="AT683" i="19" s="1"/>
  <c r="AG683" i="19"/>
  <c r="AP683" i="19" s="1"/>
  <c r="AK682" i="19"/>
  <c r="AT682" i="19" s="1"/>
  <c r="AG682" i="19"/>
  <c r="AP682" i="19" s="1"/>
  <c r="AK681" i="19"/>
  <c r="AT681" i="19" s="1"/>
  <c r="AG681" i="19"/>
  <c r="AP681" i="19" s="1"/>
  <c r="AK680" i="19"/>
  <c r="AT680" i="19" s="1"/>
  <c r="AG680" i="19"/>
  <c r="AP680" i="19" s="1"/>
  <c r="AK679" i="19"/>
  <c r="AT679" i="19" s="1"/>
  <c r="AG679" i="19"/>
  <c r="AP679" i="19" s="1"/>
  <c r="AK678" i="19"/>
  <c r="AT678" i="19" s="1"/>
  <c r="AG678" i="19"/>
  <c r="AP678" i="19" s="1"/>
  <c r="AK677" i="19"/>
  <c r="AT677" i="19" s="1"/>
  <c r="AG677" i="19"/>
  <c r="AP677" i="19" s="1"/>
  <c r="AK676" i="19"/>
  <c r="AT676" i="19" s="1"/>
  <c r="AG676" i="19"/>
  <c r="AP676" i="19" s="1"/>
  <c r="AK675" i="19"/>
  <c r="AT675" i="19" s="1"/>
  <c r="AG675" i="19"/>
  <c r="AP675" i="19" s="1"/>
  <c r="AK674" i="19"/>
  <c r="AT674" i="19" s="1"/>
  <c r="AG674" i="19"/>
  <c r="AP674" i="19" s="1"/>
  <c r="AK673" i="19"/>
  <c r="AT673" i="19" s="1"/>
  <c r="AG673" i="19"/>
  <c r="AP673" i="19" s="1"/>
  <c r="AK672" i="19"/>
  <c r="AT672" i="19" s="1"/>
  <c r="AG672" i="19"/>
  <c r="AP672" i="19" s="1"/>
  <c r="AK671" i="19"/>
  <c r="AT671" i="19" s="1"/>
  <c r="AG671" i="19"/>
  <c r="AP671" i="19" s="1"/>
  <c r="AK670" i="19"/>
  <c r="AT670" i="19" s="1"/>
  <c r="AG670" i="19"/>
  <c r="AP670" i="19" s="1"/>
  <c r="AK669" i="19"/>
  <c r="AT669" i="19" s="1"/>
  <c r="AG669" i="19"/>
  <c r="AP669" i="19" s="1"/>
  <c r="AK668" i="19"/>
  <c r="AT668" i="19" s="1"/>
  <c r="AG668" i="19"/>
  <c r="AP668" i="19" s="1"/>
  <c r="AK667" i="19"/>
  <c r="AT667" i="19" s="1"/>
  <c r="AG667" i="19"/>
  <c r="AP667" i="19" s="1"/>
  <c r="AK666" i="19"/>
  <c r="AT666" i="19" s="1"/>
  <c r="AG666" i="19"/>
  <c r="AP666" i="19" s="1"/>
  <c r="AK665" i="19"/>
  <c r="AT665" i="19" s="1"/>
  <c r="AG665" i="19"/>
  <c r="AP665" i="19" s="1"/>
  <c r="AK664" i="19"/>
  <c r="AT664" i="19" s="1"/>
  <c r="AG664" i="19"/>
  <c r="AP664" i="19" s="1"/>
  <c r="AK663" i="19"/>
  <c r="AT663" i="19" s="1"/>
  <c r="AG663" i="19"/>
  <c r="AP663" i="19" s="1"/>
  <c r="AK662" i="19"/>
  <c r="AT662" i="19" s="1"/>
  <c r="AG662" i="19"/>
  <c r="AP662" i="19" s="1"/>
  <c r="AK661" i="19"/>
  <c r="AT661" i="19" s="1"/>
  <c r="AG661" i="19"/>
  <c r="AP661" i="19" s="1"/>
  <c r="AK660" i="19"/>
  <c r="AT660" i="19" s="1"/>
  <c r="AG660" i="19"/>
  <c r="AP660" i="19" s="1"/>
  <c r="AK659" i="19"/>
  <c r="AT659" i="19" s="1"/>
  <c r="AG659" i="19"/>
  <c r="AP659" i="19" s="1"/>
  <c r="AK658" i="19"/>
  <c r="AT658" i="19" s="1"/>
  <c r="AG658" i="19"/>
  <c r="AP658" i="19" s="1"/>
  <c r="AK657" i="19"/>
  <c r="AT657" i="19" s="1"/>
  <c r="AG657" i="19"/>
  <c r="AP657" i="19" s="1"/>
  <c r="AK656" i="19"/>
  <c r="AT656" i="19" s="1"/>
  <c r="AG656" i="19"/>
  <c r="AP656" i="19" s="1"/>
  <c r="AK655" i="19"/>
  <c r="AT655" i="19" s="1"/>
  <c r="AG655" i="19"/>
  <c r="AP655" i="19" s="1"/>
  <c r="AK654" i="19"/>
  <c r="AT654" i="19" s="1"/>
  <c r="AG654" i="19"/>
  <c r="AP654" i="19" s="1"/>
  <c r="AK653" i="19"/>
  <c r="AT653" i="19" s="1"/>
  <c r="AG653" i="19"/>
  <c r="AP653" i="19" s="1"/>
  <c r="AK652" i="19"/>
  <c r="AT652" i="19" s="1"/>
  <c r="AG652" i="19"/>
  <c r="AP652" i="19" s="1"/>
  <c r="AK651" i="19"/>
  <c r="AT651" i="19" s="1"/>
  <c r="AG651" i="19"/>
  <c r="AP651" i="19" s="1"/>
  <c r="AK650" i="19"/>
  <c r="AT650" i="19" s="1"/>
  <c r="AG650" i="19"/>
  <c r="AP650" i="19" s="1"/>
  <c r="AK649" i="19"/>
  <c r="AT649" i="19" s="1"/>
  <c r="AG649" i="19"/>
  <c r="AP649" i="19" s="1"/>
  <c r="AK648" i="19"/>
  <c r="AT648" i="19" s="1"/>
  <c r="AG648" i="19"/>
  <c r="AP648" i="19" s="1"/>
  <c r="AK647" i="19"/>
  <c r="AT647" i="19" s="1"/>
  <c r="AG647" i="19"/>
  <c r="AP647" i="19" s="1"/>
  <c r="AK646" i="19"/>
  <c r="AT646" i="19" s="1"/>
  <c r="AG646" i="19"/>
  <c r="AP646" i="19" s="1"/>
  <c r="AK645" i="19"/>
  <c r="AT645" i="19" s="1"/>
  <c r="AG645" i="19"/>
  <c r="AP645" i="19" s="1"/>
  <c r="AK644" i="19"/>
  <c r="AT644" i="19" s="1"/>
  <c r="AG644" i="19"/>
  <c r="AP644" i="19" s="1"/>
  <c r="AK643" i="19"/>
  <c r="AT643" i="19" s="1"/>
  <c r="AG643" i="19"/>
  <c r="AP643" i="19" s="1"/>
  <c r="AK642" i="19"/>
  <c r="AT642" i="19" s="1"/>
  <c r="AG642" i="19"/>
  <c r="AP642" i="19" s="1"/>
  <c r="AK641" i="19"/>
  <c r="AT641" i="19" s="1"/>
  <c r="AG641" i="19"/>
  <c r="AP641" i="19" s="1"/>
  <c r="AK640" i="19"/>
  <c r="AT640" i="19" s="1"/>
  <c r="AG640" i="19"/>
  <c r="AP640" i="19" s="1"/>
  <c r="AK639" i="19"/>
  <c r="AT639" i="19" s="1"/>
  <c r="AG639" i="19"/>
  <c r="AP639" i="19" s="1"/>
  <c r="AK638" i="19"/>
  <c r="AT638" i="19" s="1"/>
  <c r="AG638" i="19"/>
  <c r="AP638" i="19" s="1"/>
  <c r="AK637" i="19"/>
  <c r="AT637" i="19" s="1"/>
  <c r="AG637" i="19"/>
  <c r="AP637" i="19" s="1"/>
  <c r="AK636" i="19"/>
  <c r="AT636" i="19" s="1"/>
  <c r="AG636" i="19"/>
  <c r="AP636" i="19" s="1"/>
  <c r="AK635" i="19"/>
  <c r="AT635" i="19" s="1"/>
  <c r="AG635" i="19"/>
  <c r="AP635" i="19" s="1"/>
  <c r="AK634" i="19"/>
  <c r="AT634" i="19" s="1"/>
  <c r="AG634" i="19"/>
  <c r="AP634" i="19" s="1"/>
  <c r="AK633" i="19"/>
  <c r="AT633" i="19" s="1"/>
  <c r="AG633" i="19"/>
  <c r="AP633" i="19" s="1"/>
  <c r="AK632" i="19"/>
  <c r="AT632" i="19" s="1"/>
  <c r="AG632" i="19"/>
  <c r="AP632" i="19" s="1"/>
  <c r="AK631" i="19"/>
  <c r="AT631" i="19" s="1"/>
  <c r="AG631" i="19"/>
  <c r="AP631" i="19" s="1"/>
  <c r="AK630" i="19"/>
  <c r="AT630" i="19" s="1"/>
  <c r="AG630" i="19"/>
  <c r="AP630" i="19" s="1"/>
  <c r="AK629" i="19"/>
  <c r="AT629" i="19" s="1"/>
  <c r="AG629" i="19"/>
  <c r="AP629" i="19" s="1"/>
  <c r="AK628" i="19"/>
  <c r="AT628" i="19" s="1"/>
  <c r="AG628" i="19"/>
  <c r="AP628" i="19" s="1"/>
  <c r="AK627" i="19"/>
  <c r="AT627" i="19" s="1"/>
  <c r="AG627" i="19"/>
  <c r="AP627" i="19" s="1"/>
  <c r="AK626" i="19"/>
  <c r="AT626" i="19" s="1"/>
  <c r="AG626" i="19"/>
  <c r="AP626" i="19" s="1"/>
  <c r="AK625" i="19"/>
  <c r="AT625" i="19" s="1"/>
  <c r="AG625" i="19"/>
  <c r="AP625" i="19" s="1"/>
  <c r="AK624" i="19"/>
  <c r="AT624" i="19" s="1"/>
  <c r="AG624" i="19"/>
  <c r="AP624" i="19" s="1"/>
  <c r="AK623" i="19"/>
  <c r="AT623" i="19" s="1"/>
  <c r="AG623" i="19"/>
  <c r="AP623" i="19" s="1"/>
  <c r="AK622" i="19"/>
  <c r="AT622" i="19" s="1"/>
  <c r="AG622" i="19"/>
  <c r="AP622" i="19" s="1"/>
  <c r="AK621" i="19"/>
  <c r="AT621" i="19" s="1"/>
  <c r="AG621" i="19"/>
  <c r="AP621" i="19" s="1"/>
  <c r="AK620" i="19"/>
  <c r="AT620" i="19" s="1"/>
  <c r="AG620" i="19"/>
  <c r="AP620" i="19" s="1"/>
  <c r="AK619" i="19"/>
  <c r="AT619" i="19" s="1"/>
  <c r="AG619" i="19"/>
  <c r="AP619" i="19" s="1"/>
  <c r="AK618" i="19"/>
  <c r="AT618" i="19" s="1"/>
  <c r="AG618" i="19"/>
  <c r="AP618" i="19" s="1"/>
  <c r="AK617" i="19"/>
  <c r="AT617" i="19" s="1"/>
  <c r="AG617" i="19"/>
  <c r="AP617" i="19" s="1"/>
  <c r="AK616" i="19"/>
  <c r="AT616" i="19" s="1"/>
  <c r="AG616" i="19"/>
  <c r="AP616" i="19" s="1"/>
  <c r="AK615" i="19"/>
  <c r="AT615" i="19" s="1"/>
  <c r="AG615" i="19"/>
  <c r="AP615" i="19" s="1"/>
  <c r="AK614" i="19"/>
  <c r="AT614" i="19" s="1"/>
  <c r="AG614" i="19"/>
  <c r="AP614" i="19" s="1"/>
  <c r="AK613" i="19"/>
  <c r="AT613" i="19" s="1"/>
  <c r="AG613" i="19"/>
  <c r="AP613" i="19" s="1"/>
  <c r="AK612" i="19"/>
  <c r="AT612" i="19" s="1"/>
  <c r="AG612" i="19"/>
  <c r="AP612" i="19" s="1"/>
  <c r="AK611" i="19"/>
  <c r="AT611" i="19" s="1"/>
  <c r="AG611" i="19"/>
  <c r="AP611" i="19" s="1"/>
  <c r="AK610" i="19"/>
  <c r="AT610" i="19" s="1"/>
  <c r="AG610" i="19"/>
  <c r="AP610" i="19" s="1"/>
  <c r="AK609" i="19"/>
  <c r="AT609" i="19" s="1"/>
  <c r="AG609" i="19"/>
  <c r="AP609" i="19" s="1"/>
  <c r="AK608" i="19"/>
  <c r="AT608" i="19" s="1"/>
  <c r="AG608" i="19"/>
  <c r="AP608" i="19" s="1"/>
  <c r="AK607" i="19"/>
  <c r="AT607" i="19" s="1"/>
  <c r="AG607" i="19"/>
  <c r="AP607" i="19" s="1"/>
  <c r="AK606" i="19"/>
  <c r="AT606" i="19" s="1"/>
  <c r="AG606" i="19"/>
  <c r="AP606" i="19" s="1"/>
  <c r="AK605" i="19"/>
  <c r="AT605" i="19" s="1"/>
  <c r="AG605" i="19"/>
  <c r="AP605" i="19" s="1"/>
  <c r="AK604" i="19"/>
  <c r="AT604" i="19" s="1"/>
  <c r="AG604" i="19"/>
  <c r="AP604" i="19" s="1"/>
  <c r="AK603" i="19"/>
  <c r="AT603" i="19" s="1"/>
  <c r="AG603" i="19"/>
  <c r="AP603" i="19" s="1"/>
  <c r="AK602" i="19"/>
  <c r="AT602" i="19" s="1"/>
  <c r="AG602" i="19"/>
  <c r="AP602" i="19" s="1"/>
  <c r="AK601" i="19"/>
  <c r="AT601" i="19" s="1"/>
  <c r="AG601" i="19"/>
  <c r="AP601" i="19" s="1"/>
  <c r="AK600" i="19"/>
  <c r="AT600" i="19" s="1"/>
  <c r="AG600" i="19"/>
  <c r="AP600" i="19" s="1"/>
  <c r="AK599" i="19"/>
  <c r="AT599" i="19" s="1"/>
  <c r="AG599" i="19"/>
  <c r="AP599" i="19" s="1"/>
  <c r="AK598" i="19"/>
  <c r="AT598" i="19" s="1"/>
  <c r="AG598" i="19"/>
  <c r="AP598" i="19" s="1"/>
  <c r="AK597" i="19"/>
  <c r="AT597" i="19" s="1"/>
  <c r="AG597" i="19"/>
  <c r="AP597" i="19" s="1"/>
  <c r="AK596" i="19"/>
  <c r="AT596" i="19" s="1"/>
  <c r="AG596" i="19"/>
  <c r="AP596" i="19" s="1"/>
  <c r="AK595" i="19"/>
  <c r="AT595" i="19" s="1"/>
  <c r="AG595" i="19"/>
  <c r="AP595" i="19" s="1"/>
  <c r="AK594" i="19"/>
  <c r="AT594" i="19" s="1"/>
  <c r="AG594" i="19"/>
  <c r="AP594" i="19" s="1"/>
  <c r="AK593" i="19"/>
  <c r="AT593" i="19" s="1"/>
  <c r="AG593" i="19"/>
  <c r="AP593" i="19" s="1"/>
  <c r="AK592" i="19"/>
  <c r="AT592" i="19" s="1"/>
  <c r="AG592" i="19"/>
  <c r="AP592" i="19" s="1"/>
  <c r="AK591" i="19"/>
  <c r="AT591" i="19" s="1"/>
  <c r="AG591" i="19"/>
  <c r="AP591" i="19" s="1"/>
  <c r="AK590" i="19"/>
  <c r="AT590" i="19" s="1"/>
  <c r="AG590" i="19"/>
  <c r="AP590" i="19" s="1"/>
  <c r="AK589" i="19"/>
  <c r="AT589" i="19" s="1"/>
  <c r="AG589" i="19"/>
  <c r="AP589" i="19" s="1"/>
  <c r="AK588" i="19"/>
  <c r="AT588" i="19" s="1"/>
  <c r="AG588" i="19"/>
  <c r="AP588" i="19" s="1"/>
  <c r="AK587" i="19"/>
  <c r="AT587" i="19" s="1"/>
  <c r="AG587" i="19"/>
  <c r="AP587" i="19" s="1"/>
  <c r="AK586" i="19"/>
  <c r="AT586" i="19" s="1"/>
  <c r="AG586" i="19"/>
  <c r="AP586" i="19" s="1"/>
  <c r="AK585" i="19"/>
  <c r="AT585" i="19" s="1"/>
  <c r="AG585" i="19"/>
  <c r="AP585" i="19" s="1"/>
  <c r="AK584" i="19"/>
  <c r="AT584" i="19" s="1"/>
  <c r="AG584" i="19"/>
  <c r="AP584" i="19" s="1"/>
  <c r="AK583" i="19"/>
  <c r="AT583" i="19" s="1"/>
  <c r="AG583" i="19"/>
  <c r="AP583" i="19" s="1"/>
  <c r="AK582" i="19"/>
  <c r="AT582" i="19" s="1"/>
  <c r="AG582" i="19"/>
  <c r="AP582" i="19" s="1"/>
  <c r="AK581" i="19"/>
  <c r="AT581" i="19" s="1"/>
  <c r="AG581" i="19"/>
  <c r="AP581" i="19" s="1"/>
  <c r="AK580" i="19"/>
  <c r="AT580" i="19" s="1"/>
  <c r="AG580" i="19"/>
  <c r="AP580" i="19" s="1"/>
  <c r="AK579" i="19"/>
  <c r="AT579" i="19" s="1"/>
  <c r="AG579" i="19"/>
  <c r="AP579" i="19" s="1"/>
  <c r="AK578" i="19"/>
  <c r="AT578" i="19" s="1"/>
  <c r="AG578" i="19"/>
  <c r="AP578" i="19" s="1"/>
  <c r="AK577" i="19"/>
  <c r="AT577" i="19" s="1"/>
  <c r="AG577" i="19"/>
  <c r="AP577" i="19" s="1"/>
  <c r="AK576" i="19"/>
  <c r="AT576" i="19" s="1"/>
  <c r="AG576" i="19"/>
  <c r="AP576" i="19" s="1"/>
  <c r="AK575" i="19"/>
  <c r="AT575" i="19" s="1"/>
  <c r="AG575" i="19"/>
  <c r="AP575" i="19" s="1"/>
  <c r="AK574" i="19"/>
  <c r="AT574" i="19" s="1"/>
  <c r="AG574" i="19"/>
  <c r="AP574" i="19" s="1"/>
  <c r="AK573" i="19"/>
  <c r="AT573" i="19" s="1"/>
  <c r="AG573" i="19"/>
  <c r="AP573" i="19" s="1"/>
  <c r="AK572" i="19"/>
  <c r="AT572" i="19" s="1"/>
  <c r="AG572" i="19"/>
  <c r="AP572" i="19" s="1"/>
  <c r="AK571" i="19"/>
  <c r="AT571" i="19" s="1"/>
  <c r="AG571" i="19"/>
  <c r="AP571" i="19" s="1"/>
  <c r="AK570" i="19"/>
  <c r="AT570" i="19" s="1"/>
  <c r="AG570" i="19"/>
  <c r="AP570" i="19" s="1"/>
  <c r="AK569" i="19"/>
  <c r="AT569" i="19" s="1"/>
  <c r="AG569" i="19"/>
  <c r="AP569" i="19" s="1"/>
  <c r="AK568" i="19"/>
  <c r="AT568" i="19" s="1"/>
  <c r="AG568" i="19"/>
  <c r="AP568" i="19" s="1"/>
  <c r="AK567" i="19"/>
  <c r="AT567" i="19" s="1"/>
  <c r="AG567" i="19"/>
  <c r="AP567" i="19" s="1"/>
  <c r="AK566" i="19"/>
  <c r="AT566" i="19" s="1"/>
  <c r="AG566" i="19"/>
  <c r="AP566" i="19" s="1"/>
  <c r="AK565" i="19"/>
  <c r="AT565" i="19" s="1"/>
  <c r="AG565" i="19"/>
  <c r="AP565" i="19" s="1"/>
  <c r="AK564" i="19"/>
  <c r="AT564" i="19" s="1"/>
  <c r="AG564" i="19"/>
  <c r="AP564" i="19" s="1"/>
  <c r="AK563" i="19"/>
  <c r="AT563" i="19" s="1"/>
  <c r="AG563" i="19"/>
  <c r="AP563" i="19" s="1"/>
  <c r="AK562" i="19"/>
  <c r="AT562" i="19" s="1"/>
  <c r="AG562" i="19"/>
  <c r="AP562" i="19" s="1"/>
  <c r="AK561" i="19"/>
  <c r="AT561" i="19" s="1"/>
  <c r="AG561" i="19"/>
  <c r="AP561" i="19" s="1"/>
  <c r="AK560" i="19"/>
  <c r="AT560" i="19" s="1"/>
  <c r="AG560" i="19"/>
  <c r="AP560" i="19" s="1"/>
  <c r="AK559" i="19"/>
  <c r="AT559" i="19" s="1"/>
  <c r="AG559" i="19"/>
  <c r="AP559" i="19" s="1"/>
  <c r="AK558" i="19"/>
  <c r="AT558" i="19" s="1"/>
  <c r="AG558" i="19"/>
  <c r="AP558" i="19" s="1"/>
  <c r="AK557" i="19"/>
  <c r="AT557" i="19" s="1"/>
  <c r="AG557" i="19"/>
  <c r="AP557" i="19" s="1"/>
  <c r="AK556" i="19"/>
  <c r="AT556" i="19" s="1"/>
  <c r="AG556" i="19"/>
  <c r="AP556" i="19" s="1"/>
  <c r="AK555" i="19"/>
  <c r="AT555" i="19" s="1"/>
  <c r="AG555" i="19"/>
  <c r="AP555" i="19" s="1"/>
  <c r="AK554" i="19"/>
  <c r="AT554" i="19" s="1"/>
  <c r="AG554" i="19"/>
  <c r="AP554" i="19" s="1"/>
  <c r="AK553" i="19"/>
  <c r="AT553" i="19" s="1"/>
  <c r="AG553" i="19"/>
  <c r="AP553" i="19" s="1"/>
  <c r="AK552" i="19"/>
  <c r="AT552" i="19" s="1"/>
  <c r="AG552" i="19"/>
  <c r="AP552" i="19" s="1"/>
  <c r="AK551" i="19"/>
  <c r="AT551" i="19" s="1"/>
  <c r="AG551" i="19"/>
  <c r="AP551" i="19" s="1"/>
  <c r="AK550" i="19"/>
  <c r="AT550" i="19" s="1"/>
  <c r="AG550" i="19"/>
  <c r="AP550" i="19" s="1"/>
  <c r="AK549" i="19"/>
  <c r="AT549" i="19" s="1"/>
  <c r="AG549" i="19"/>
  <c r="AP549" i="19" s="1"/>
  <c r="AK548" i="19"/>
  <c r="AT548" i="19" s="1"/>
  <c r="AG548" i="19"/>
  <c r="AP548" i="19" s="1"/>
  <c r="AK547" i="19"/>
  <c r="AT547" i="19" s="1"/>
  <c r="AG547" i="19"/>
  <c r="AP547" i="19" s="1"/>
  <c r="AK546" i="19"/>
  <c r="AT546" i="19" s="1"/>
  <c r="AG546" i="19"/>
  <c r="AP546" i="19" s="1"/>
  <c r="AK545" i="19"/>
  <c r="AT545" i="19" s="1"/>
  <c r="AG545" i="19"/>
  <c r="AP545" i="19" s="1"/>
  <c r="AK544" i="19"/>
  <c r="AT544" i="19" s="1"/>
  <c r="AG544" i="19"/>
  <c r="AP544" i="19" s="1"/>
  <c r="AK543" i="19"/>
  <c r="AT543" i="19" s="1"/>
  <c r="AG543" i="19"/>
  <c r="AP543" i="19" s="1"/>
  <c r="AK542" i="19"/>
  <c r="AT542" i="19" s="1"/>
  <c r="AG542" i="19"/>
  <c r="AP542" i="19" s="1"/>
  <c r="AK541" i="19"/>
  <c r="AT541" i="19" s="1"/>
  <c r="AG541" i="19"/>
  <c r="AP541" i="19" s="1"/>
  <c r="AK540" i="19"/>
  <c r="AT540" i="19" s="1"/>
  <c r="AG540" i="19"/>
  <c r="AP540" i="19" s="1"/>
  <c r="AK539" i="19"/>
  <c r="AT539" i="19" s="1"/>
  <c r="AG539" i="19"/>
  <c r="AP539" i="19" s="1"/>
  <c r="AK538" i="19"/>
  <c r="AT538" i="19" s="1"/>
  <c r="AG538" i="19"/>
  <c r="AP538" i="19" s="1"/>
  <c r="AK537" i="19"/>
  <c r="AT537" i="19" s="1"/>
  <c r="AG537" i="19"/>
  <c r="AP537" i="19" s="1"/>
  <c r="AK536" i="19"/>
  <c r="AT536" i="19" s="1"/>
  <c r="AG536" i="19"/>
  <c r="AP536" i="19" s="1"/>
  <c r="AK535" i="19"/>
  <c r="AT535" i="19" s="1"/>
  <c r="AG535" i="19"/>
  <c r="AP535" i="19" s="1"/>
  <c r="AK534" i="19"/>
  <c r="AT534" i="19" s="1"/>
  <c r="AG534" i="19"/>
  <c r="AP534" i="19" s="1"/>
  <c r="AK533" i="19"/>
  <c r="AT533" i="19" s="1"/>
  <c r="AG533" i="19"/>
  <c r="AP533" i="19" s="1"/>
  <c r="AK532" i="19"/>
  <c r="AT532" i="19" s="1"/>
  <c r="AG532" i="19"/>
  <c r="AP532" i="19" s="1"/>
  <c r="AK531" i="19"/>
  <c r="AT531" i="19" s="1"/>
  <c r="AG531" i="19"/>
  <c r="AP531" i="19" s="1"/>
  <c r="AK530" i="19"/>
  <c r="AT530" i="19" s="1"/>
  <c r="AG530" i="19"/>
  <c r="AP530" i="19" s="1"/>
  <c r="AK529" i="19"/>
  <c r="AT529" i="19" s="1"/>
  <c r="AG529" i="19"/>
  <c r="AP529" i="19" s="1"/>
  <c r="AK528" i="19"/>
  <c r="AT528" i="19" s="1"/>
  <c r="AG528" i="19"/>
  <c r="AP528" i="19" s="1"/>
  <c r="AK527" i="19"/>
  <c r="AT527" i="19" s="1"/>
  <c r="AG527" i="19"/>
  <c r="AP527" i="19" s="1"/>
  <c r="AK526" i="19"/>
  <c r="AT526" i="19" s="1"/>
  <c r="AG526" i="19"/>
  <c r="AP526" i="19" s="1"/>
  <c r="AK525" i="19"/>
  <c r="AT525" i="19" s="1"/>
  <c r="AG525" i="19"/>
  <c r="AP525" i="19" s="1"/>
  <c r="AK524" i="19"/>
  <c r="AT524" i="19" s="1"/>
  <c r="AG524" i="19"/>
  <c r="AP524" i="19" s="1"/>
  <c r="AK523" i="19"/>
  <c r="AT523" i="19" s="1"/>
  <c r="AG523" i="19"/>
  <c r="AP523" i="19" s="1"/>
  <c r="AK522" i="19"/>
  <c r="AT522" i="19" s="1"/>
  <c r="AG522" i="19"/>
  <c r="AP522" i="19" s="1"/>
  <c r="AK521" i="19"/>
  <c r="AT521" i="19" s="1"/>
  <c r="AG521" i="19"/>
  <c r="AP521" i="19" s="1"/>
  <c r="AK520" i="19"/>
  <c r="AT520" i="19" s="1"/>
  <c r="AG520" i="19"/>
  <c r="AP520" i="19" s="1"/>
  <c r="AK519" i="19"/>
  <c r="AT519" i="19" s="1"/>
  <c r="AG519" i="19"/>
  <c r="AP519" i="19" s="1"/>
  <c r="AK518" i="19"/>
  <c r="AT518" i="19" s="1"/>
  <c r="AG518" i="19"/>
  <c r="AP518" i="19" s="1"/>
  <c r="AK517" i="19"/>
  <c r="AT517" i="19" s="1"/>
  <c r="AG517" i="19"/>
  <c r="AP517" i="19" s="1"/>
  <c r="AK516" i="19"/>
  <c r="AT516" i="19" s="1"/>
  <c r="AG516" i="19"/>
  <c r="AP516" i="19" s="1"/>
  <c r="AK515" i="19"/>
  <c r="AT515" i="19" s="1"/>
  <c r="AG515" i="19"/>
  <c r="AP515" i="19" s="1"/>
  <c r="AK514" i="19"/>
  <c r="AT514" i="19" s="1"/>
  <c r="AG514" i="19"/>
  <c r="AP514" i="19" s="1"/>
  <c r="AK513" i="19"/>
  <c r="AT513" i="19" s="1"/>
  <c r="AG513" i="19"/>
  <c r="AP513" i="19" s="1"/>
  <c r="AK512" i="19"/>
  <c r="AT512" i="19" s="1"/>
  <c r="AG512" i="19"/>
  <c r="AP512" i="19" s="1"/>
  <c r="AK511" i="19"/>
  <c r="AT511" i="19" s="1"/>
  <c r="AG511" i="19"/>
  <c r="AP511" i="19" s="1"/>
  <c r="AK510" i="19"/>
  <c r="AT510" i="19" s="1"/>
  <c r="AG510" i="19"/>
  <c r="AP510" i="19" s="1"/>
  <c r="AK509" i="19"/>
  <c r="AT509" i="19" s="1"/>
  <c r="AG509" i="19"/>
  <c r="AP509" i="19" s="1"/>
  <c r="AK508" i="19"/>
  <c r="AT508" i="19" s="1"/>
  <c r="AG508" i="19"/>
  <c r="AP508" i="19" s="1"/>
  <c r="AK507" i="19"/>
  <c r="AT507" i="19" s="1"/>
  <c r="AG507" i="19"/>
  <c r="AP507" i="19" s="1"/>
  <c r="AK506" i="19"/>
  <c r="AT506" i="19" s="1"/>
  <c r="AG506" i="19"/>
  <c r="AP506" i="19" s="1"/>
  <c r="AK505" i="19"/>
  <c r="AT505" i="19" s="1"/>
  <c r="AG505" i="19"/>
  <c r="AP505" i="19" s="1"/>
  <c r="AK504" i="19"/>
  <c r="AT504" i="19" s="1"/>
  <c r="AG504" i="19"/>
  <c r="AP504" i="19" s="1"/>
  <c r="AK503" i="19"/>
  <c r="AT503" i="19" s="1"/>
  <c r="AG503" i="19"/>
  <c r="AP503" i="19" s="1"/>
  <c r="AK502" i="19"/>
  <c r="AT502" i="19" s="1"/>
  <c r="AG502" i="19"/>
  <c r="AP502" i="19" s="1"/>
  <c r="AK501" i="19"/>
  <c r="AT501" i="19" s="1"/>
  <c r="AG501" i="19"/>
  <c r="AP501" i="19" s="1"/>
  <c r="AK500" i="19"/>
  <c r="AT500" i="19" s="1"/>
  <c r="AG500" i="19"/>
  <c r="AP500" i="19" s="1"/>
  <c r="AK499" i="19"/>
  <c r="AT499" i="19" s="1"/>
  <c r="AG499" i="19"/>
  <c r="AP499" i="19" s="1"/>
  <c r="AK498" i="19"/>
  <c r="AT498" i="19" s="1"/>
  <c r="AG498" i="19"/>
  <c r="AP498" i="19" s="1"/>
  <c r="AK497" i="19"/>
  <c r="AT497" i="19" s="1"/>
  <c r="AG497" i="19"/>
  <c r="AP497" i="19" s="1"/>
  <c r="AK496" i="19"/>
  <c r="AT496" i="19" s="1"/>
  <c r="AG496" i="19"/>
  <c r="AP496" i="19" s="1"/>
  <c r="AK495" i="19"/>
  <c r="AT495" i="19" s="1"/>
  <c r="AG495" i="19"/>
  <c r="AP495" i="19" s="1"/>
  <c r="AK494" i="19"/>
  <c r="AT494" i="19" s="1"/>
  <c r="AG494" i="19"/>
  <c r="AP494" i="19" s="1"/>
  <c r="AK493" i="19"/>
  <c r="AT493" i="19" s="1"/>
  <c r="AG493" i="19"/>
  <c r="AP493" i="19" s="1"/>
  <c r="AK492" i="19"/>
  <c r="AT492" i="19" s="1"/>
  <c r="AG492" i="19"/>
  <c r="AP492" i="19" s="1"/>
  <c r="AK491" i="19"/>
  <c r="AT491" i="19" s="1"/>
  <c r="AG491" i="19"/>
  <c r="AP491" i="19" s="1"/>
  <c r="AK490" i="19"/>
  <c r="AT490" i="19" s="1"/>
  <c r="AG490" i="19"/>
  <c r="AP490" i="19" s="1"/>
  <c r="AK489" i="19"/>
  <c r="AT489" i="19" s="1"/>
  <c r="AG489" i="19"/>
  <c r="AP489" i="19" s="1"/>
  <c r="AK488" i="19"/>
  <c r="AT488" i="19" s="1"/>
  <c r="AG488" i="19"/>
  <c r="AP488" i="19" s="1"/>
  <c r="AK487" i="19"/>
  <c r="AT487" i="19" s="1"/>
  <c r="AG487" i="19"/>
  <c r="AP487" i="19" s="1"/>
  <c r="AK486" i="19"/>
  <c r="AT486" i="19" s="1"/>
  <c r="AG486" i="19"/>
  <c r="AP486" i="19" s="1"/>
  <c r="AK485" i="19"/>
  <c r="AT485" i="19" s="1"/>
  <c r="AG485" i="19"/>
  <c r="AP485" i="19" s="1"/>
  <c r="AK484" i="19"/>
  <c r="AT484" i="19" s="1"/>
  <c r="AG484" i="19"/>
  <c r="AP484" i="19" s="1"/>
  <c r="AK483" i="19"/>
  <c r="AT483" i="19" s="1"/>
  <c r="AG483" i="19"/>
  <c r="AP483" i="19" s="1"/>
  <c r="AK482" i="19"/>
  <c r="AT482" i="19" s="1"/>
  <c r="AG482" i="19"/>
  <c r="AP482" i="19" s="1"/>
  <c r="AK481" i="19"/>
  <c r="AT481" i="19" s="1"/>
  <c r="AG481" i="19"/>
  <c r="AP481" i="19" s="1"/>
  <c r="AK480" i="19"/>
  <c r="AT480" i="19" s="1"/>
  <c r="AG480" i="19"/>
  <c r="AP480" i="19" s="1"/>
  <c r="AK479" i="19"/>
  <c r="AT479" i="19" s="1"/>
  <c r="AG479" i="19"/>
  <c r="AP479" i="19" s="1"/>
  <c r="AK478" i="19"/>
  <c r="AT478" i="19" s="1"/>
  <c r="AG478" i="19"/>
  <c r="AP478" i="19" s="1"/>
  <c r="AK477" i="19"/>
  <c r="AT477" i="19" s="1"/>
  <c r="AG477" i="19"/>
  <c r="AP477" i="19" s="1"/>
  <c r="AK476" i="19"/>
  <c r="AT476" i="19" s="1"/>
  <c r="AG476" i="19"/>
  <c r="AP476" i="19" s="1"/>
  <c r="AK475" i="19"/>
  <c r="AT475" i="19" s="1"/>
  <c r="AG475" i="19"/>
  <c r="AP475" i="19" s="1"/>
  <c r="AK474" i="19"/>
  <c r="AT474" i="19" s="1"/>
  <c r="AG474" i="19"/>
  <c r="AP474" i="19" s="1"/>
  <c r="AK473" i="19"/>
  <c r="AT473" i="19" s="1"/>
  <c r="AG473" i="19"/>
  <c r="AP473" i="19" s="1"/>
  <c r="AK472" i="19"/>
  <c r="AT472" i="19" s="1"/>
  <c r="AG472" i="19"/>
  <c r="AP472" i="19" s="1"/>
  <c r="AK471" i="19"/>
  <c r="AT471" i="19" s="1"/>
  <c r="AG471" i="19"/>
  <c r="AP471" i="19" s="1"/>
  <c r="AK470" i="19"/>
  <c r="AT470" i="19" s="1"/>
  <c r="AG470" i="19"/>
  <c r="AP470" i="19" s="1"/>
  <c r="AK469" i="19"/>
  <c r="AT469" i="19" s="1"/>
  <c r="AG469" i="19"/>
  <c r="AP469" i="19" s="1"/>
  <c r="AK468" i="19"/>
  <c r="AT468" i="19" s="1"/>
  <c r="AG468" i="19"/>
  <c r="AP468" i="19" s="1"/>
  <c r="AK467" i="19"/>
  <c r="AT467" i="19" s="1"/>
  <c r="AG467" i="19"/>
  <c r="AP467" i="19" s="1"/>
  <c r="AK466" i="19"/>
  <c r="AT466" i="19" s="1"/>
  <c r="AG466" i="19"/>
  <c r="AP466" i="19" s="1"/>
  <c r="AK465" i="19"/>
  <c r="AT465" i="19" s="1"/>
  <c r="AG465" i="19"/>
  <c r="AP465" i="19" s="1"/>
  <c r="AK464" i="19"/>
  <c r="AT464" i="19" s="1"/>
  <c r="AG464" i="19"/>
  <c r="AP464" i="19" s="1"/>
  <c r="AK463" i="19"/>
  <c r="AT463" i="19" s="1"/>
  <c r="AG463" i="19"/>
  <c r="AP463" i="19" s="1"/>
  <c r="AK462" i="19"/>
  <c r="AT462" i="19" s="1"/>
  <c r="AG462" i="19"/>
  <c r="AP462" i="19" s="1"/>
  <c r="AK461" i="19"/>
  <c r="AT461" i="19" s="1"/>
  <c r="AG461" i="19"/>
  <c r="AP461" i="19" s="1"/>
  <c r="AK460" i="19"/>
  <c r="AT460" i="19" s="1"/>
  <c r="AG460" i="19"/>
  <c r="AP460" i="19" s="1"/>
  <c r="AK459" i="19"/>
  <c r="AT459" i="19" s="1"/>
  <c r="AG459" i="19"/>
  <c r="AP459" i="19" s="1"/>
  <c r="AK458" i="19"/>
  <c r="AT458" i="19" s="1"/>
  <c r="AG458" i="19"/>
  <c r="AP458" i="19" s="1"/>
  <c r="AK457" i="19"/>
  <c r="AT457" i="19" s="1"/>
  <c r="AG457" i="19"/>
  <c r="AP457" i="19" s="1"/>
  <c r="AK456" i="19"/>
  <c r="AT456" i="19" s="1"/>
  <c r="AG456" i="19"/>
  <c r="AP456" i="19" s="1"/>
  <c r="AK455" i="19"/>
  <c r="AT455" i="19" s="1"/>
  <c r="AG455" i="19"/>
  <c r="AP455" i="19" s="1"/>
  <c r="AK454" i="19"/>
  <c r="AT454" i="19" s="1"/>
  <c r="AG454" i="19"/>
  <c r="AP454" i="19" s="1"/>
  <c r="AK453" i="19"/>
  <c r="AT453" i="19" s="1"/>
  <c r="AG453" i="19"/>
  <c r="AP453" i="19" s="1"/>
  <c r="AK452" i="19"/>
  <c r="AT452" i="19" s="1"/>
  <c r="AG452" i="19"/>
  <c r="AP452" i="19" s="1"/>
  <c r="AK451" i="19"/>
  <c r="AT451" i="19" s="1"/>
  <c r="AG451" i="19"/>
  <c r="AP451" i="19" s="1"/>
  <c r="AK450" i="19"/>
  <c r="AT450" i="19" s="1"/>
  <c r="AG450" i="19"/>
  <c r="AP450" i="19" s="1"/>
  <c r="AK449" i="19"/>
  <c r="AT449" i="19" s="1"/>
  <c r="AG449" i="19"/>
  <c r="AP449" i="19" s="1"/>
  <c r="AK448" i="19"/>
  <c r="AT448" i="19" s="1"/>
  <c r="AG448" i="19"/>
  <c r="AP448" i="19" s="1"/>
  <c r="AK447" i="19"/>
  <c r="AT447" i="19" s="1"/>
  <c r="AG447" i="19"/>
  <c r="AP447" i="19" s="1"/>
  <c r="AK446" i="19"/>
  <c r="AT446" i="19" s="1"/>
  <c r="AG446" i="19"/>
  <c r="AP446" i="19" s="1"/>
  <c r="AK445" i="19"/>
  <c r="AT445" i="19" s="1"/>
  <c r="AG445" i="19"/>
  <c r="AP445" i="19" s="1"/>
  <c r="AK444" i="19"/>
  <c r="AT444" i="19" s="1"/>
  <c r="AG444" i="19"/>
  <c r="AP444" i="19" s="1"/>
  <c r="AK443" i="19"/>
  <c r="AT443" i="19" s="1"/>
  <c r="AG443" i="19"/>
  <c r="AP443" i="19" s="1"/>
  <c r="AK442" i="19"/>
  <c r="AT442" i="19" s="1"/>
  <c r="AG442" i="19"/>
  <c r="AP442" i="19" s="1"/>
  <c r="AK441" i="19"/>
  <c r="AT441" i="19" s="1"/>
  <c r="AG441" i="19"/>
  <c r="AP441" i="19" s="1"/>
  <c r="AK440" i="19"/>
  <c r="AT440" i="19" s="1"/>
  <c r="AG440" i="19"/>
  <c r="AP440" i="19" s="1"/>
  <c r="AK439" i="19"/>
  <c r="AT439" i="19" s="1"/>
  <c r="AG439" i="19"/>
  <c r="AP439" i="19" s="1"/>
  <c r="AK438" i="19"/>
  <c r="AT438" i="19" s="1"/>
  <c r="AG438" i="19"/>
  <c r="AP438" i="19" s="1"/>
  <c r="AK437" i="19"/>
  <c r="AT437" i="19" s="1"/>
  <c r="AG437" i="19"/>
  <c r="AP437" i="19" s="1"/>
  <c r="AK436" i="19"/>
  <c r="AT436" i="19" s="1"/>
  <c r="AG436" i="19"/>
  <c r="AP436" i="19" s="1"/>
  <c r="AK435" i="19"/>
  <c r="AT435" i="19" s="1"/>
  <c r="AG435" i="19"/>
  <c r="AP435" i="19" s="1"/>
  <c r="AK434" i="19"/>
  <c r="AT434" i="19" s="1"/>
  <c r="AG434" i="19"/>
  <c r="AP434" i="19" s="1"/>
  <c r="AK433" i="19"/>
  <c r="AT433" i="19" s="1"/>
  <c r="AG433" i="19"/>
  <c r="AP433" i="19" s="1"/>
  <c r="AK432" i="19"/>
  <c r="AT432" i="19" s="1"/>
  <c r="AG432" i="19"/>
  <c r="AP432" i="19" s="1"/>
  <c r="AK431" i="19"/>
  <c r="AT431" i="19" s="1"/>
  <c r="AG431" i="19"/>
  <c r="AP431" i="19" s="1"/>
  <c r="AK430" i="19"/>
  <c r="AT430" i="19" s="1"/>
  <c r="AG430" i="19"/>
  <c r="AP430" i="19" s="1"/>
  <c r="AK429" i="19"/>
  <c r="AT429" i="19" s="1"/>
  <c r="AG429" i="19"/>
  <c r="AP429" i="19" s="1"/>
  <c r="AK428" i="19"/>
  <c r="AT428" i="19" s="1"/>
  <c r="AG428" i="19"/>
  <c r="AP428" i="19" s="1"/>
  <c r="AK427" i="19"/>
  <c r="AT427" i="19" s="1"/>
  <c r="AG427" i="19"/>
  <c r="AP427" i="19" s="1"/>
  <c r="AK426" i="19"/>
  <c r="AT426" i="19" s="1"/>
  <c r="AG426" i="19"/>
  <c r="AP426" i="19" s="1"/>
  <c r="AK425" i="19"/>
  <c r="AT425" i="19" s="1"/>
  <c r="AG425" i="19"/>
  <c r="AP425" i="19" s="1"/>
  <c r="AK424" i="19"/>
  <c r="AT424" i="19" s="1"/>
  <c r="AG424" i="19"/>
  <c r="AP424" i="19" s="1"/>
  <c r="AK423" i="19"/>
  <c r="AT423" i="19" s="1"/>
  <c r="AG423" i="19"/>
  <c r="AP423" i="19" s="1"/>
  <c r="AK422" i="19"/>
  <c r="AT422" i="19" s="1"/>
  <c r="AG422" i="19"/>
  <c r="AP422" i="19" s="1"/>
  <c r="AK421" i="19"/>
  <c r="AT421" i="19" s="1"/>
  <c r="AG421" i="19"/>
  <c r="AP421" i="19" s="1"/>
  <c r="AK420" i="19"/>
  <c r="AT420" i="19" s="1"/>
  <c r="AG420" i="19"/>
  <c r="AP420" i="19" s="1"/>
  <c r="AK419" i="19"/>
  <c r="AT419" i="19" s="1"/>
  <c r="AG419" i="19"/>
  <c r="AP419" i="19" s="1"/>
  <c r="AK418" i="19"/>
  <c r="AT418" i="19" s="1"/>
  <c r="AG418" i="19"/>
  <c r="AP418" i="19" s="1"/>
  <c r="AK417" i="19"/>
  <c r="AT417" i="19" s="1"/>
  <c r="AG417" i="19"/>
  <c r="AP417" i="19" s="1"/>
  <c r="AK416" i="19"/>
  <c r="AT416" i="19" s="1"/>
  <c r="AG416" i="19"/>
  <c r="AP416" i="19" s="1"/>
  <c r="AK415" i="19"/>
  <c r="AT415" i="19" s="1"/>
  <c r="AG415" i="19"/>
  <c r="AP415" i="19" s="1"/>
  <c r="AK414" i="19"/>
  <c r="AT414" i="19" s="1"/>
  <c r="AG414" i="19"/>
  <c r="AP414" i="19" s="1"/>
  <c r="AK413" i="19"/>
  <c r="AT413" i="19" s="1"/>
  <c r="AG413" i="19"/>
  <c r="AP413" i="19" s="1"/>
  <c r="AK412" i="19"/>
  <c r="AT412" i="19" s="1"/>
  <c r="AG412" i="19"/>
  <c r="AP412" i="19" s="1"/>
  <c r="AK411" i="19"/>
  <c r="AT411" i="19" s="1"/>
  <c r="AG411" i="19"/>
  <c r="AP411" i="19" s="1"/>
  <c r="AK410" i="19"/>
  <c r="AT410" i="19" s="1"/>
  <c r="AG410" i="19"/>
  <c r="AP410" i="19" s="1"/>
  <c r="AK409" i="19"/>
  <c r="AT409" i="19" s="1"/>
  <c r="AG409" i="19"/>
  <c r="AP409" i="19" s="1"/>
  <c r="AK408" i="19"/>
  <c r="AT408" i="19" s="1"/>
  <c r="AG408" i="19"/>
  <c r="AP408" i="19" s="1"/>
  <c r="AK407" i="19"/>
  <c r="AT407" i="19" s="1"/>
  <c r="AG407" i="19"/>
  <c r="AP407" i="19" s="1"/>
  <c r="AK406" i="19"/>
  <c r="AT406" i="19" s="1"/>
  <c r="AG406" i="19"/>
  <c r="AP406" i="19" s="1"/>
  <c r="AK405" i="19"/>
  <c r="AT405" i="19" s="1"/>
  <c r="AG405" i="19"/>
  <c r="AP405" i="19" s="1"/>
  <c r="AK404" i="19"/>
  <c r="AT404" i="19" s="1"/>
  <c r="AG404" i="19"/>
  <c r="AP404" i="19" s="1"/>
  <c r="AK403" i="19"/>
  <c r="AT403" i="19" s="1"/>
  <c r="AG403" i="19"/>
  <c r="AP403" i="19" s="1"/>
  <c r="AK402" i="19"/>
  <c r="AT402" i="19" s="1"/>
  <c r="AG402" i="19"/>
  <c r="AP402" i="19" s="1"/>
  <c r="AK401" i="19"/>
  <c r="AT401" i="19" s="1"/>
  <c r="AG401" i="19"/>
  <c r="AP401" i="19" s="1"/>
  <c r="AK400" i="19"/>
  <c r="AT400" i="19" s="1"/>
  <c r="AG400" i="19"/>
  <c r="AP400" i="19" s="1"/>
  <c r="AK399" i="19"/>
  <c r="AT399" i="19" s="1"/>
  <c r="AG399" i="19"/>
  <c r="AP399" i="19" s="1"/>
  <c r="AK398" i="19"/>
  <c r="AT398" i="19" s="1"/>
  <c r="AG398" i="19"/>
  <c r="AP398" i="19" s="1"/>
  <c r="AK397" i="19"/>
  <c r="AT397" i="19" s="1"/>
  <c r="AG397" i="19"/>
  <c r="AP397" i="19" s="1"/>
  <c r="AK396" i="19"/>
  <c r="AT396" i="19" s="1"/>
  <c r="AG396" i="19"/>
  <c r="AP396" i="19" s="1"/>
  <c r="AK395" i="19"/>
  <c r="AT395" i="19" s="1"/>
  <c r="AG395" i="19"/>
  <c r="AP395" i="19" s="1"/>
  <c r="AK394" i="19"/>
  <c r="AT394" i="19" s="1"/>
  <c r="AG394" i="19"/>
  <c r="AP394" i="19" s="1"/>
  <c r="AK393" i="19"/>
  <c r="AT393" i="19" s="1"/>
  <c r="AG393" i="19"/>
  <c r="AP393" i="19" s="1"/>
  <c r="AK392" i="19"/>
  <c r="AT392" i="19" s="1"/>
  <c r="AG392" i="19"/>
  <c r="AP392" i="19" s="1"/>
  <c r="AK391" i="19"/>
  <c r="AT391" i="19" s="1"/>
  <c r="AG391" i="19"/>
  <c r="AP391" i="19" s="1"/>
  <c r="AK390" i="19"/>
  <c r="AT390" i="19" s="1"/>
  <c r="AG390" i="19"/>
  <c r="AP390" i="19" s="1"/>
  <c r="AK389" i="19"/>
  <c r="AT389" i="19" s="1"/>
  <c r="AG389" i="19"/>
  <c r="AP389" i="19" s="1"/>
  <c r="AK388" i="19"/>
  <c r="AT388" i="19" s="1"/>
  <c r="AG388" i="19"/>
  <c r="AP388" i="19" s="1"/>
  <c r="AK387" i="19"/>
  <c r="AT387" i="19" s="1"/>
  <c r="AG387" i="19"/>
  <c r="AP387" i="19" s="1"/>
  <c r="AK386" i="19"/>
  <c r="AT386" i="19" s="1"/>
  <c r="AG386" i="19"/>
  <c r="AP386" i="19" s="1"/>
  <c r="AK385" i="19"/>
  <c r="AT385" i="19" s="1"/>
  <c r="AG385" i="19"/>
  <c r="AP385" i="19" s="1"/>
  <c r="AK384" i="19"/>
  <c r="AT384" i="19" s="1"/>
  <c r="AG384" i="19"/>
  <c r="AP384" i="19" s="1"/>
  <c r="AK383" i="19"/>
  <c r="AT383" i="19" s="1"/>
  <c r="AG383" i="19"/>
  <c r="AP383" i="19" s="1"/>
  <c r="AK382" i="19"/>
  <c r="AT382" i="19" s="1"/>
  <c r="AG382" i="19"/>
  <c r="AP382" i="19" s="1"/>
  <c r="AK381" i="19"/>
  <c r="AT381" i="19" s="1"/>
  <c r="AG381" i="19"/>
  <c r="AP381" i="19" s="1"/>
  <c r="AK380" i="19"/>
  <c r="AT380" i="19" s="1"/>
  <c r="AG380" i="19"/>
  <c r="AP380" i="19" s="1"/>
  <c r="AK379" i="19"/>
  <c r="AT379" i="19" s="1"/>
  <c r="AG379" i="19"/>
  <c r="AP379" i="19" s="1"/>
  <c r="AK378" i="19"/>
  <c r="AT378" i="19" s="1"/>
  <c r="AG378" i="19"/>
  <c r="AP378" i="19" s="1"/>
  <c r="AK377" i="19"/>
  <c r="AT377" i="19" s="1"/>
  <c r="AG377" i="19"/>
  <c r="AP377" i="19" s="1"/>
  <c r="AK376" i="19"/>
  <c r="AT376" i="19" s="1"/>
  <c r="AG376" i="19"/>
  <c r="AP376" i="19" s="1"/>
  <c r="AK375" i="19"/>
  <c r="AT375" i="19" s="1"/>
  <c r="AG375" i="19"/>
  <c r="AP375" i="19" s="1"/>
  <c r="AK374" i="19"/>
  <c r="AT374" i="19" s="1"/>
  <c r="AG374" i="19"/>
  <c r="AP374" i="19" s="1"/>
  <c r="AK373" i="19"/>
  <c r="AT373" i="19" s="1"/>
  <c r="AG373" i="19"/>
  <c r="AP373" i="19" s="1"/>
  <c r="AK372" i="19"/>
  <c r="AT372" i="19" s="1"/>
  <c r="AG372" i="19"/>
  <c r="AP372" i="19" s="1"/>
  <c r="AK371" i="19"/>
  <c r="AT371" i="19" s="1"/>
  <c r="AG371" i="19"/>
  <c r="AP371" i="19" s="1"/>
  <c r="AK370" i="19"/>
  <c r="AT370" i="19" s="1"/>
  <c r="AG370" i="19"/>
  <c r="AP370" i="19" s="1"/>
  <c r="AK369" i="19"/>
  <c r="AT369" i="19" s="1"/>
  <c r="AG369" i="19"/>
  <c r="AP369" i="19" s="1"/>
  <c r="AK368" i="19"/>
  <c r="AT368" i="19" s="1"/>
  <c r="AG368" i="19"/>
  <c r="AP368" i="19" s="1"/>
  <c r="AK367" i="19"/>
  <c r="AT367" i="19" s="1"/>
  <c r="AG367" i="19"/>
  <c r="AP367" i="19" s="1"/>
  <c r="AK366" i="19"/>
  <c r="AT366" i="19" s="1"/>
  <c r="AG366" i="19"/>
  <c r="AP366" i="19" s="1"/>
  <c r="AK365" i="19"/>
  <c r="AT365" i="19" s="1"/>
  <c r="AG365" i="19"/>
  <c r="AP365" i="19" s="1"/>
  <c r="AK364" i="19"/>
  <c r="AT364" i="19" s="1"/>
  <c r="AG364" i="19"/>
  <c r="AP364" i="19" s="1"/>
  <c r="AK363" i="19"/>
  <c r="AT363" i="19" s="1"/>
  <c r="AG363" i="19"/>
  <c r="AP363" i="19" s="1"/>
  <c r="AK362" i="19"/>
  <c r="AT362" i="19" s="1"/>
  <c r="AG362" i="19"/>
  <c r="AP362" i="19" s="1"/>
  <c r="AK361" i="19"/>
  <c r="AT361" i="19" s="1"/>
  <c r="AG361" i="19"/>
  <c r="AP361" i="19" s="1"/>
  <c r="AK360" i="19"/>
  <c r="AT360" i="19" s="1"/>
  <c r="AG360" i="19"/>
  <c r="AP360" i="19" s="1"/>
  <c r="AK359" i="19"/>
  <c r="AT359" i="19" s="1"/>
  <c r="AG359" i="19"/>
  <c r="AP359" i="19" s="1"/>
  <c r="AK358" i="19"/>
  <c r="AT358" i="19" s="1"/>
  <c r="AG358" i="19"/>
  <c r="AP358" i="19" s="1"/>
  <c r="AK357" i="19"/>
  <c r="AT357" i="19" s="1"/>
  <c r="AG357" i="19"/>
  <c r="AP357" i="19" s="1"/>
  <c r="AK356" i="19"/>
  <c r="AT356" i="19" s="1"/>
  <c r="AG356" i="19"/>
  <c r="AP356" i="19" s="1"/>
  <c r="AK355" i="19"/>
  <c r="AT355" i="19" s="1"/>
  <c r="AG355" i="19"/>
  <c r="AP355" i="19" s="1"/>
  <c r="AK354" i="19"/>
  <c r="AT354" i="19" s="1"/>
  <c r="AG354" i="19"/>
  <c r="AP354" i="19" s="1"/>
  <c r="AK353" i="19"/>
  <c r="AT353" i="19" s="1"/>
  <c r="AG353" i="19"/>
  <c r="AP353" i="19" s="1"/>
  <c r="AK352" i="19"/>
  <c r="AT352" i="19" s="1"/>
  <c r="AG352" i="19"/>
  <c r="AP352" i="19" s="1"/>
  <c r="AK351" i="19"/>
  <c r="AT351" i="19" s="1"/>
  <c r="AG351" i="19"/>
  <c r="AP351" i="19" s="1"/>
  <c r="AK350" i="19"/>
  <c r="AT350" i="19" s="1"/>
  <c r="AG350" i="19"/>
  <c r="AP350" i="19" s="1"/>
  <c r="AK349" i="19"/>
  <c r="AT349" i="19" s="1"/>
  <c r="AG349" i="19"/>
  <c r="AP349" i="19" s="1"/>
  <c r="AK348" i="19"/>
  <c r="AT348" i="19" s="1"/>
  <c r="AG348" i="19"/>
  <c r="AP348" i="19" s="1"/>
  <c r="AK347" i="19"/>
  <c r="AT347" i="19" s="1"/>
  <c r="AG347" i="19"/>
  <c r="AP347" i="19" s="1"/>
  <c r="AK346" i="19"/>
  <c r="AT346" i="19" s="1"/>
  <c r="AG346" i="19"/>
  <c r="AP346" i="19" s="1"/>
  <c r="AK345" i="19"/>
  <c r="AT345" i="19" s="1"/>
  <c r="AG345" i="19"/>
  <c r="AP345" i="19" s="1"/>
  <c r="AK344" i="19"/>
  <c r="AT344" i="19" s="1"/>
  <c r="AG344" i="19"/>
  <c r="AP344" i="19" s="1"/>
  <c r="AK343" i="19"/>
  <c r="AT343" i="19" s="1"/>
  <c r="AG343" i="19"/>
  <c r="AP343" i="19" s="1"/>
  <c r="AK342" i="19"/>
  <c r="AT342" i="19" s="1"/>
  <c r="AG342" i="19"/>
  <c r="AP342" i="19" s="1"/>
  <c r="AK341" i="19"/>
  <c r="AT341" i="19" s="1"/>
  <c r="AG341" i="19"/>
  <c r="AP341" i="19" s="1"/>
  <c r="AK340" i="19"/>
  <c r="AT340" i="19" s="1"/>
  <c r="AG340" i="19"/>
  <c r="AP340" i="19" s="1"/>
  <c r="AK339" i="19"/>
  <c r="AT339" i="19" s="1"/>
  <c r="AG339" i="19"/>
  <c r="AP339" i="19" s="1"/>
  <c r="AK338" i="19"/>
  <c r="AT338" i="19" s="1"/>
  <c r="AG338" i="19"/>
  <c r="AP338" i="19" s="1"/>
  <c r="AK337" i="19"/>
  <c r="AT337" i="19" s="1"/>
  <c r="AG337" i="19"/>
  <c r="AP337" i="19" s="1"/>
  <c r="AK336" i="19"/>
  <c r="AT336" i="19" s="1"/>
  <c r="AG336" i="19"/>
  <c r="AP336" i="19" s="1"/>
  <c r="AK335" i="19"/>
  <c r="AT335" i="19" s="1"/>
  <c r="AG335" i="19"/>
  <c r="AP335" i="19" s="1"/>
  <c r="AK334" i="19"/>
  <c r="AT334" i="19" s="1"/>
  <c r="AG334" i="19"/>
  <c r="AP334" i="19" s="1"/>
  <c r="AK333" i="19"/>
  <c r="AT333" i="19" s="1"/>
  <c r="AG333" i="19"/>
  <c r="AP333" i="19" s="1"/>
  <c r="AK332" i="19"/>
  <c r="AT332" i="19" s="1"/>
  <c r="AG332" i="19"/>
  <c r="AP332" i="19" s="1"/>
  <c r="AK331" i="19"/>
  <c r="AT331" i="19" s="1"/>
  <c r="AG331" i="19"/>
  <c r="AP331" i="19" s="1"/>
  <c r="AK330" i="19"/>
  <c r="AT330" i="19" s="1"/>
  <c r="AG330" i="19"/>
  <c r="AP330" i="19" s="1"/>
  <c r="AK329" i="19"/>
  <c r="AT329" i="19" s="1"/>
  <c r="AG329" i="19"/>
  <c r="AP329" i="19" s="1"/>
  <c r="AK328" i="19"/>
  <c r="AT328" i="19" s="1"/>
  <c r="AG328" i="19"/>
  <c r="AP328" i="19" s="1"/>
  <c r="AK327" i="19"/>
  <c r="AT327" i="19" s="1"/>
  <c r="AG327" i="19"/>
  <c r="AP327" i="19" s="1"/>
  <c r="AK326" i="19"/>
  <c r="AT326" i="19" s="1"/>
  <c r="AG326" i="19"/>
  <c r="AP326" i="19" s="1"/>
  <c r="AK325" i="19"/>
  <c r="AT325" i="19" s="1"/>
  <c r="AG325" i="19"/>
  <c r="AP325" i="19" s="1"/>
  <c r="AK324" i="19"/>
  <c r="AT324" i="19" s="1"/>
  <c r="AG324" i="19"/>
  <c r="AP324" i="19" s="1"/>
  <c r="AK323" i="19"/>
  <c r="AT323" i="19" s="1"/>
  <c r="AG323" i="19"/>
  <c r="AP323" i="19" s="1"/>
  <c r="AK322" i="19"/>
  <c r="AT322" i="19" s="1"/>
  <c r="AG322" i="19"/>
  <c r="AP322" i="19" s="1"/>
  <c r="AK321" i="19"/>
  <c r="AT321" i="19" s="1"/>
  <c r="AG321" i="19"/>
  <c r="AP321" i="19" s="1"/>
  <c r="AK320" i="19"/>
  <c r="AT320" i="19" s="1"/>
  <c r="AG320" i="19"/>
  <c r="AP320" i="19" s="1"/>
  <c r="AK319" i="19"/>
  <c r="AT319" i="19" s="1"/>
  <c r="AG319" i="19"/>
  <c r="AP319" i="19" s="1"/>
  <c r="AK318" i="19"/>
  <c r="AT318" i="19" s="1"/>
  <c r="AG318" i="19"/>
  <c r="AP318" i="19" s="1"/>
  <c r="AK317" i="19"/>
  <c r="AT317" i="19" s="1"/>
  <c r="AG317" i="19"/>
  <c r="AP317" i="19" s="1"/>
  <c r="AK316" i="19"/>
  <c r="AT316" i="19" s="1"/>
  <c r="AG316" i="19"/>
  <c r="AP316" i="19" s="1"/>
  <c r="AK315" i="19"/>
  <c r="AT315" i="19" s="1"/>
  <c r="AG315" i="19"/>
  <c r="AP315" i="19" s="1"/>
  <c r="AK314" i="19"/>
  <c r="AT314" i="19" s="1"/>
  <c r="AG314" i="19"/>
  <c r="AP314" i="19" s="1"/>
  <c r="AK313" i="19"/>
  <c r="AT313" i="19" s="1"/>
  <c r="AG313" i="19"/>
  <c r="AP313" i="19" s="1"/>
  <c r="AK312" i="19"/>
  <c r="AT312" i="19" s="1"/>
  <c r="AG312" i="19"/>
  <c r="AP312" i="19" s="1"/>
  <c r="AK311" i="19"/>
  <c r="AT311" i="19" s="1"/>
  <c r="AG311" i="19"/>
  <c r="AP311" i="19" s="1"/>
  <c r="AK310" i="19"/>
  <c r="AT310" i="19" s="1"/>
  <c r="AG310" i="19"/>
  <c r="AP310" i="19" s="1"/>
  <c r="AK309" i="19"/>
  <c r="AT309" i="19" s="1"/>
  <c r="AG309" i="19"/>
  <c r="AP309" i="19" s="1"/>
  <c r="AK308" i="19"/>
  <c r="AT308" i="19" s="1"/>
  <c r="AG308" i="19"/>
  <c r="AP308" i="19" s="1"/>
  <c r="AK307" i="19"/>
  <c r="AT307" i="19" s="1"/>
  <c r="AG307" i="19"/>
  <c r="AP307" i="19" s="1"/>
  <c r="AK306" i="19"/>
  <c r="AT306" i="19" s="1"/>
  <c r="AG306" i="19"/>
  <c r="AP306" i="19" s="1"/>
  <c r="AK305" i="19"/>
  <c r="AT305" i="19" s="1"/>
  <c r="AG305" i="19"/>
  <c r="AP305" i="19" s="1"/>
  <c r="AK304" i="19"/>
  <c r="AT304" i="19" s="1"/>
  <c r="AG304" i="19"/>
  <c r="AP304" i="19" s="1"/>
  <c r="AK303" i="19"/>
  <c r="AT303" i="19" s="1"/>
  <c r="AG303" i="19"/>
  <c r="AP303" i="19" s="1"/>
  <c r="AK302" i="19"/>
  <c r="AT302" i="19" s="1"/>
  <c r="AG302" i="19"/>
  <c r="AP302" i="19" s="1"/>
  <c r="AK301" i="19"/>
  <c r="AT301" i="19" s="1"/>
  <c r="AG301" i="19"/>
  <c r="AP301" i="19" s="1"/>
  <c r="AK300" i="19"/>
  <c r="AT300" i="19" s="1"/>
  <c r="AG300" i="19"/>
  <c r="AP300" i="19" s="1"/>
  <c r="AK299" i="19"/>
  <c r="AT299" i="19" s="1"/>
  <c r="AG299" i="19"/>
  <c r="AP299" i="19" s="1"/>
  <c r="AK298" i="19"/>
  <c r="AT298" i="19" s="1"/>
  <c r="AH111" i="19"/>
  <c r="AQ111" i="19" s="1"/>
  <c r="AD111" i="19"/>
  <c r="AM111" i="19" s="1"/>
  <c r="AH110" i="19"/>
  <c r="AQ110" i="19" s="1"/>
  <c r="AD110" i="19"/>
  <c r="AM110" i="19" s="1"/>
  <c r="AH109" i="19"/>
  <c r="AQ109" i="19" s="1"/>
  <c r="AD109" i="19"/>
  <c r="AM109" i="19" s="1"/>
  <c r="AH108" i="19"/>
  <c r="AQ108" i="19" s="1"/>
  <c r="AD108" i="19"/>
  <c r="AM108" i="19" s="1"/>
  <c r="AH107" i="19"/>
  <c r="AQ107" i="19" s="1"/>
  <c r="AD107" i="19"/>
  <c r="AM107" i="19" s="1"/>
  <c r="AH106" i="19"/>
  <c r="AQ106" i="19" s="1"/>
  <c r="AD106" i="19"/>
  <c r="AM106" i="19" s="1"/>
  <c r="AH105" i="19"/>
  <c r="AQ105" i="19" s="1"/>
  <c r="AD105" i="19"/>
  <c r="AM105" i="19" s="1"/>
  <c r="AH104" i="19"/>
  <c r="AQ104" i="19" s="1"/>
  <c r="AD104" i="19"/>
  <c r="AM104" i="19" s="1"/>
  <c r="AH103" i="19"/>
  <c r="AQ103" i="19" s="1"/>
  <c r="AD103" i="19"/>
  <c r="AM103" i="19" s="1"/>
  <c r="AH102" i="19"/>
  <c r="AQ102" i="19" s="1"/>
  <c r="AD102" i="19"/>
  <c r="AM102" i="19" s="1"/>
  <c r="AH101" i="19"/>
  <c r="AQ101" i="19" s="1"/>
  <c r="AD101" i="19"/>
  <c r="AM101" i="19" s="1"/>
  <c r="AH100" i="19"/>
  <c r="AQ100" i="19" s="1"/>
  <c r="AD100" i="19"/>
  <c r="AM100" i="19" s="1"/>
  <c r="AH99" i="19"/>
  <c r="AQ99" i="19" s="1"/>
  <c r="AD99" i="19"/>
  <c r="AM99" i="19" s="1"/>
  <c r="AH98" i="19"/>
  <c r="AQ98" i="19" s="1"/>
  <c r="AD98" i="19"/>
  <c r="AM98" i="19" s="1"/>
  <c r="AH97" i="19"/>
  <c r="AQ97" i="19" s="1"/>
  <c r="AD97" i="19"/>
  <c r="AM97" i="19" s="1"/>
  <c r="AH96" i="19"/>
  <c r="AQ96" i="19" s="1"/>
  <c r="AD96" i="19"/>
  <c r="AM96" i="19" s="1"/>
  <c r="AH95" i="19"/>
  <c r="AQ95" i="19" s="1"/>
  <c r="AD95" i="19"/>
  <c r="AM95" i="19" s="1"/>
  <c r="AH94" i="19"/>
  <c r="AQ94" i="19" s="1"/>
  <c r="AD94" i="19"/>
  <c r="AM94" i="19" s="1"/>
  <c r="AH93" i="19"/>
  <c r="AQ93" i="19" s="1"/>
  <c r="AD93" i="19"/>
  <c r="AM93" i="19" s="1"/>
  <c r="AH92" i="19"/>
  <c r="AQ92" i="19" s="1"/>
  <c r="AD92" i="19"/>
  <c r="AM92" i="19" s="1"/>
  <c r="AH91" i="19"/>
  <c r="AQ91" i="19" s="1"/>
  <c r="AD91" i="19"/>
  <c r="AM91" i="19" s="1"/>
  <c r="AH90" i="19"/>
  <c r="AQ90" i="19" s="1"/>
  <c r="AD90" i="19"/>
  <c r="AM90" i="19" s="1"/>
  <c r="AH89" i="19"/>
  <c r="AQ89" i="19" s="1"/>
  <c r="AD89" i="19"/>
  <c r="AM89" i="19" s="1"/>
  <c r="AH88" i="19"/>
  <c r="AQ88" i="19" s="1"/>
  <c r="AD88" i="19"/>
  <c r="AM88" i="19" s="1"/>
  <c r="AH87" i="19"/>
  <c r="AQ87" i="19" s="1"/>
  <c r="AD87" i="19"/>
  <c r="AM87" i="19" s="1"/>
  <c r="AH86" i="19"/>
  <c r="AQ86" i="19" s="1"/>
  <c r="AD86" i="19"/>
  <c r="AM86" i="19" s="1"/>
  <c r="AH85" i="19"/>
  <c r="AQ85" i="19" s="1"/>
  <c r="AD85" i="19"/>
  <c r="AM85" i="19" s="1"/>
  <c r="AH84" i="19"/>
  <c r="AQ84" i="19" s="1"/>
  <c r="AD84" i="19"/>
  <c r="AM84" i="19" s="1"/>
  <c r="AH83" i="19"/>
  <c r="AQ83" i="19" s="1"/>
  <c r="AD83" i="19"/>
  <c r="AM83" i="19" s="1"/>
  <c r="AH82" i="19"/>
  <c r="AQ82" i="19" s="1"/>
  <c r="AD82" i="19"/>
  <c r="AM82" i="19" s="1"/>
  <c r="AH81" i="19"/>
  <c r="AQ81" i="19" s="1"/>
  <c r="AD81" i="19"/>
  <c r="AM81" i="19" s="1"/>
  <c r="AH80" i="19"/>
  <c r="AQ80" i="19" s="1"/>
  <c r="AD80" i="19"/>
  <c r="AM80" i="19" s="1"/>
  <c r="AH79" i="19"/>
  <c r="AQ79" i="19" s="1"/>
  <c r="AD79" i="19"/>
  <c r="AM79" i="19" s="1"/>
  <c r="AH78" i="19"/>
  <c r="AQ78" i="19" s="1"/>
  <c r="AD78" i="19"/>
  <c r="AM78" i="19" s="1"/>
  <c r="AH77" i="19"/>
  <c r="AQ77" i="19" s="1"/>
  <c r="AD77" i="19"/>
  <c r="AM77" i="19" s="1"/>
  <c r="AH76" i="19"/>
  <c r="AQ76" i="19" s="1"/>
  <c r="AD76" i="19"/>
  <c r="AM76" i="19" s="1"/>
  <c r="AH75" i="19"/>
  <c r="AQ75" i="19" s="1"/>
  <c r="AD75" i="19"/>
  <c r="AM75" i="19" s="1"/>
  <c r="AH74" i="19"/>
  <c r="AQ74" i="19" s="1"/>
  <c r="AD74" i="19"/>
  <c r="AM74" i="19" s="1"/>
  <c r="AH73" i="19"/>
  <c r="AQ73" i="19" s="1"/>
  <c r="AD73" i="19"/>
  <c r="AM73" i="19" s="1"/>
  <c r="AH72" i="19"/>
  <c r="AQ72" i="19" s="1"/>
  <c r="AD72" i="19"/>
  <c r="AM72" i="19" s="1"/>
  <c r="AH71" i="19"/>
  <c r="AQ71" i="19" s="1"/>
  <c r="AD71" i="19"/>
  <c r="AM71" i="19" s="1"/>
  <c r="AH70" i="19"/>
  <c r="AQ70" i="19" s="1"/>
  <c r="AD70" i="19"/>
  <c r="AM70" i="19" s="1"/>
  <c r="AH69" i="19"/>
  <c r="AQ69" i="19" s="1"/>
  <c r="AD69" i="19"/>
  <c r="AM69" i="19" s="1"/>
  <c r="AH68" i="19"/>
  <c r="AQ68" i="19" s="1"/>
  <c r="AD68" i="19"/>
  <c r="AM68" i="19" s="1"/>
  <c r="AH67" i="19"/>
  <c r="AQ67" i="19" s="1"/>
  <c r="AD67" i="19"/>
  <c r="AM67" i="19" s="1"/>
  <c r="AH66" i="19"/>
  <c r="AQ66" i="19" s="1"/>
  <c r="AD66" i="19"/>
  <c r="AM66" i="19" s="1"/>
  <c r="AH65" i="19"/>
  <c r="AQ65" i="19" s="1"/>
  <c r="AD65" i="19"/>
  <c r="AM65" i="19" s="1"/>
  <c r="AG298" i="19"/>
  <c r="AP298" i="19" s="1"/>
  <c r="AK297" i="19"/>
  <c r="AT297" i="19" s="1"/>
  <c r="AG297" i="19"/>
  <c r="AP297" i="19" s="1"/>
  <c r="AK296" i="19"/>
  <c r="AT296" i="19" s="1"/>
  <c r="AG296" i="19"/>
  <c r="AP296" i="19" s="1"/>
  <c r="AK295" i="19"/>
  <c r="AT295" i="19" s="1"/>
  <c r="AG295" i="19"/>
  <c r="AP295" i="19" s="1"/>
  <c r="AK294" i="19"/>
  <c r="AT294" i="19" s="1"/>
  <c r="AG294" i="19"/>
  <c r="AP294" i="19" s="1"/>
  <c r="AK293" i="19"/>
  <c r="AT293" i="19" s="1"/>
  <c r="AG293" i="19"/>
  <c r="AP293" i="19" s="1"/>
  <c r="AK292" i="19"/>
  <c r="AT292" i="19" s="1"/>
  <c r="AG292" i="19"/>
  <c r="AP292" i="19" s="1"/>
  <c r="AK291" i="19"/>
  <c r="AT291" i="19" s="1"/>
  <c r="AG291" i="19"/>
  <c r="AP291" i="19" s="1"/>
  <c r="AK290" i="19"/>
  <c r="AT290" i="19" s="1"/>
  <c r="AG290" i="19"/>
  <c r="AP290" i="19" s="1"/>
  <c r="AK289" i="19"/>
  <c r="AT289" i="19" s="1"/>
  <c r="AG289" i="19"/>
  <c r="AP289" i="19" s="1"/>
  <c r="AK288" i="19"/>
  <c r="AT288" i="19" s="1"/>
  <c r="AG288" i="19"/>
  <c r="AP288" i="19" s="1"/>
  <c r="AK287" i="19"/>
  <c r="AT287" i="19" s="1"/>
  <c r="AG287" i="19"/>
  <c r="AP287" i="19" s="1"/>
  <c r="AK286" i="19"/>
  <c r="AT286" i="19" s="1"/>
  <c r="AG286" i="19"/>
  <c r="AP286" i="19" s="1"/>
  <c r="AK285" i="19"/>
  <c r="AT285" i="19" s="1"/>
  <c r="AG285" i="19"/>
  <c r="AP285" i="19" s="1"/>
  <c r="AK284" i="19"/>
  <c r="AT284" i="19" s="1"/>
  <c r="AG284" i="19"/>
  <c r="AP284" i="19" s="1"/>
  <c r="AK283" i="19"/>
  <c r="AT283" i="19" s="1"/>
  <c r="AG283" i="19"/>
  <c r="AP283" i="19" s="1"/>
  <c r="AK282" i="19"/>
  <c r="AT282" i="19" s="1"/>
  <c r="AG282" i="19"/>
  <c r="AP282" i="19" s="1"/>
  <c r="AK281" i="19"/>
  <c r="AT281" i="19" s="1"/>
  <c r="AG281" i="19"/>
  <c r="AP281" i="19" s="1"/>
  <c r="AK280" i="19"/>
  <c r="AT280" i="19" s="1"/>
  <c r="AG280" i="19"/>
  <c r="AP280" i="19" s="1"/>
  <c r="AK279" i="19"/>
  <c r="AT279" i="19" s="1"/>
  <c r="AG279" i="19"/>
  <c r="AP279" i="19" s="1"/>
  <c r="AK278" i="19"/>
  <c r="AT278" i="19" s="1"/>
  <c r="AG278" i="19"/>
  <c r="AP278" i="19" s="1"/>
  <c r="AK277" i="19"/>
  <c r="AT277" i="19" s="1"/>
  <c r="AG277" i="19"/>
  <c r="AP277" i="19" s="1"/>
  <c r="AK276" i="19"/>
  <c r="AT276" i="19" s="1"/>
  <c r="AG276" i="19"/>
  <c r="AP276" i="19" s="1"/>
  <c r="AK275" i="19"/>
  <c r="AT275" i="19" s="1"/>
  <c r="AG275" i="19"/>
  <c r="AP275" i="19" s="1"/>
  <c r="AK274" i="19"/>
  <c r="AT274" i="19" s="1"/>
  <c r="AG274" i="19"/>
  <c r="AP274" i="19" s="1"/>
  <c r="AK273" i="19"/>
  <c r="AT273" i="19" s="1"/>
  <c r="AG273" i="19"/>
  <c r="AP273" i="19" s="1"/>
  <c r="AK272" i="19"/>
  <c r="AT272" i="19" s="1"/>
  <c r="AG272" i="19"/>
  <c r="AP272" i="19" s="1"/>
  <c r="AK271" i="19"/>
  <c r="AT271" i="19" s="1"/>
  <c r="AG271" i="19"/>
  <c r="AP271" i="19" s="1"/>
  <c r="AK270" i="19"/>
  <c r="AT270" i="19" s="1"/>
  <c r="AG270" i="19"/>
  <c r="AP270" i="19" s="1"/>
  <c r="AK269" i="19"/>
  <c r="AT269" i="19" s="1"/>
  <c r="AG269" i="19"/>
  <c r="AP269" i="19" s="1"/>
  <c r="AK268" i="19"/>
  <c r="AT268" i="19" s="1"/>
  <c r="AG268" i="19"/>
  <c r="AP268" i="19" s="1"/>
  <c r="AK267" i="19"/>
  <c r="AT267" i="19" s="1"/>
  <c r="AG267" i="19"/>
  <c r="AP267" i="19" s="1"/>
  <c r="AK266" i="19"/>
  <c r="AT266" i="19" s="1"/>
  <c r="AG266" i="19"/>
  <c r="AP266" i="19" s="1"/>
  <c r="AK265" i="19"/>
  <c r="AT265" i="19" s="1"/>
  <c r="AG265" i="19"/>
  <c r="AP265" i="19" s="1"/>
  <c r="AK264" i="19"/>
  <c r="AT264" i="19" s="1"/>
  <c r="AG264" i="19"/>
  <c r="AP264" i="19" s="1"/>
  <c r="AK263" i="19"/>
  <c r="AT263" i="19" s="1"/>
  <c r="AG263" i="19"/>
  <c r="AP263" i="19" s="1"/>
  <c r="AK262" i="19"/>
  <c r="AT262" i="19" s="1"/>
  <c r="AG262" i="19"/>
  <c r="AP262" i="19" s="1"/>
  <c r="AK261" i="19"/>
  <c r="AT261" i="19" s="1"/>
  <c r="AG261" i="19"/>
  <c r="AP261" i="19" s="1"/>
  <c r="AK260" i="19"/>
  <c r="AT260" i="19" s="1"/>
  <c r="AG260" i="19"/>
  <c r="AP260" i="19" s="1"/>
  <c r="AK259" i="19"/>
  <c r="AT259" i="19" s="1"/>
  <c r="AG259" i="19"/>
  <c r="AP259" i="19" s="1"/>
  <c r="AK258" i="19"/>
  <c r="AT258" i="19" s="1"/>
  <c r="AG258" i="19"/>
  <c r="AP258" i="19" s="1"/>
  <c r="AK257" i="19"/>
  <c r="AT257" i="19" s="1"/>
  <c r="AG257" i="19"/>
  <c r="AP257" i="19" s="1"/>
  <c r="AK256" i="19"/>
  <c r="AT256" i="19" s="1"/>
  <c r="AG256" i="19"/>
  <c r="AP256" i="19" s="1"/>
  <c r="AK255" i="19"/>
  <c r="AT255" i="19" s="1"/>
  <c r="AG255" i="19"/>
  <c r="AP255" i="19" s="1"/>
  <c r="AK254" i="19"/>
  <c r="AT254" i="19" s="1"/>
  <c r="AG254" i="19"/>
  <c r="AP254" i="19" s="1"/>
  <c r="AK253" i="19"/>
  <c r="AT253" i="19" s="1"/>
  <c r="AG253" i="19"/>
  <c r="AP253" i="19" s="1"/>
  <c r="AK252" i="19"/>
  <c r="AT252" i="19" s="1"/>
  <c r="AG252" i="19"/>
  <c r="AP252" i="19" s="1"/>
  <c r="AK251" i="19"/>
  <c r="AT251" i="19" s="1"/>
  <c r="AG251" i="19"/>
  <c r="AP251" i="19" s="1"/>
  <c r="AK250" i="19"/>
  <c r="AT250" i="19" s="1"/>
  <c r="AG250" i="19"/>
  <c r="AP250" i="19" s="1"/>
  <c r="AK249" i="19"/>
  <c r="AT249" i="19" s="1"/>
  <c r="AG249" i="19"/>
  <c r="AP249" i="19" s="1"/>
  <c r="AK248" i="19"/>
  <c r="AT248" i="19" s="1"/>
  <c r="AG248" i="19"/>
  <c r="AP248" i="19" s="1"/>
  <c r="AK247" i="19"/>
  <c r="AT247" i="19" s="1"/>
  <c r="AG247" i="19"/>
  <c r="AP247" i="19" s="1"/>
  <c r="AK246" i="19"/>
  <c r="AT246" i="19" s="1"/>
  <c r="AG246" i="19"/>
  <c r="AP246" i="19" s="1"/>
  <c r="AK245" i="19"/>
  <c r="AT245" i="19" s="1"/>
  <c r="AG245" i="19"/>
  <c r="AP245" i="19" s="1"/>
  <c r="AK244" i="19"/>
  <c r="AT244" i="19" s="1"/>
  <c r="AG244" i="19"/>
  <c r="AP244" i="19" s="1"/>
  <c r="AK243" i="19"/>
  <c r="AT243" i="19" s="1"/>
  <c r="AG243" i="19"/>
  <c r="AP243" i="19" s="1"/>
  <c r="AK242" i="19"/>
  <c r="AT242" i="19" s="1"/>
  <c r="AG242" i="19"/>
  <c r="AP242" i="19" s="1"/>
  <c r="AK241" i="19"/>
  <c r="AT241" i="19" s="1"/>
  <c r="AG241" i="19"/>
  <c r="AP241" i="19" s="1"/>
  <c r="AK240" i="19"/>
  <c r="AT240" i="19" s="1"/>
  <c r="AG240" i="19"/>
  <c r="AP240" i="19" s="1"/>
  <c r="AK239" i="19"/>
  <c r="AT239" i="19" s="1"/>
  <c r="AG239" i="19"/>
  <c r="AP239" i="19" s="1"/>
  <c r="AK238" i="19"/>
  <c r="AT238" i="19" s="1"/>
  <c r="AG238" i="19"/>
  <c r="AP238" i="19" s="1"/>
  <c r="AK237" i="19"/>
  <c r="AT237" i="19" s="1"/>
  <c r="AG237" i="19"/>
  <c r="AP237" i="19" s="1"/>
  <c r="AK236" i="19"/>
  <c r="AT236" i="19" s="1"/>
  <c r="AG236" i="19"/>
  <c r="AP236" i="19" s="1"/>
  <c r="AK235" i="19"/>
  <c r="AT235" i="19" s="1"/>
  <c r="AG235" i="19"/>
  <c r="AP235" i="19" s="1"/>
  <c r="AK234" i="19"/>
  <c r="AT234" i="19" s="1"/>
  <c r="AG234" i="19"/>
  <c r="AP234" i="19" s="1"/>
  <c r="AK233" i="19"/>
  <c r="AT233" i="19" s="1"/>
  <c r="AG233" i="19"/>
  <c r="AP233" i="19" s="1"/>
  <c r="AK232" i="19"/>
  <c r="AT232" i="19" s="1"/>
  <c r="AG232" i="19"/>
  <c r="AP232" i="19" s="1"/>
  <c r="AK231" i="19"/>
  <c r="AT231" i="19" s="1"/>
  <c r="AG231" i="19"/>
  <c r="AP231" i="19" s="1"/>
  <c r="AK230" i="19"/>
  <c r="AT230" i="19" s="1"/>
  <c r="AG230" i="19"/>
  <c r="AP230" i="19" s="1"/>
  <c r="AK229" i="19"/>
  <c r="AT229" i="19" s="1"/>
  <c r="AG229" i="19"/>
  <c r="AP229" i="19" s="1"/>
  <c r="AK228" i="19"/>
  <c r="AT228" i="19" s="1"/>
  <c r="AG228" i="19"/>
  <c r="AP228" i="19" s="1"/>
  <c r="AK227" i="19"/>
  <c r="AT227" i="19" s="1"/>
  <c r="AG227" i="19"/>
  <c r="AP227" i="19" s="1"/>
  <c r="AK226" i="19"/>
  <c r="AT226" i="19" s="1"/>
  <c r="AG226" i="19"/>
  <c r="AP226" i="19" s="1"/>
  <c r="AK225" i="19"/>
  <c r="AT225" i="19" s="1"/>
  <c r="AG225" i="19"/>
  <c r="AP225" i="19" s="1"/>
  <c r="AK224" i="19"/>
  <c r="AT224" i="19" s="1"/>
  <c r="AG224" i="19"/>
  <c r="AP224" i="19" s="1"/>
  <c r="AK223" i="19"/>
  <c r="AT223" i="19" s="1"/>
  <c r="AG223" i="19"/>
  <c r="AP223" i="19" s="1"/>
  <c r="AK222" i="19"/>
  <c r="AT222" i="19" s="1"/>
  <c r="AG222" i="19"/>
  <c r="AP222" i="19" s="1"/>
  <c r="AK221" i="19"/>
  <c r="AT221" i="19" s="1"/>
  <c r="AG221" i="19"/>
  <c r="AP221" i="19" s="1"/>
  <c r="AK220" i="19"/>
  <c r="AT220" i="19" s="1"/>
  <c r="AG220" i="19"/>
  <c r="AP220" i="19" s="1"/>
  <c r="AK219" i="19"/>
  <c r="AT219" i="19" s="1"/>
  <c r="AG219" i="19"/>
  <c r="AP219" i="19" s="1"/>
  <c r="AK218" i="19"/>
  <c r="AT218" i="19" s="1"/>
  <c r="AG218" i="19"/>
  <c r="AP218" i="19" s="1"/>
  <c r="AK217" i="19"/>
  <c r="AT217" i="19" s="1"/>
  <c r="AG217" i="19"/>
  <c r="AP217" i="19" s="1"/>
  <c r="AK216" i="19"/>
  <c r="AT216" i="19" s="1"/>
  <c r="AG216" i="19"/>
  <c r="AP216" i="19" s="1"/>
  <c r="AK215" i="19"/>
  <c r="AT215" i="19" s="1"/>
  <c r="AG215" i="19"/>
  <c r="AP215" i="19" s="1"/>
  <c r="AK214" i="19"/>
  <c r="AT214" i="19" s="1"/>
  <c r="AG214" i="19"/>
  <c r="AP214" i="19" s="1"/>
  <c r="AK213" i="19"/>
  <c r="AT213" i="19" s="1"/>
  <c r="AG213" i="19"/>
  <c r="AP213" i="19" s="1"/>
  <c r="AK212" i="19"/>
  <c r="AT212" i="19" s="1"/>
  <c r="AG212" i="19"/>
  <c r="AP212" i="19" s="1"/>
  <c r="AK211" i="19"/>
  <c r="AT211" i="19" s="1"/>
  <c r="AG211" i="19"/>
  <c r="AP211" i="19" s="1"/>
  <c r="AK210" i="19"/>
  <c r="AT210" i="19" s="1"/>
  <c r="AG210" i="19"/>
  <c r="AP210" i="19" s="1"/>
  <c r="AK209" i="19"/>
  <c r="AT209" i="19" s="1"/>
  <c r="AG209" i="19"/>
  <c r="AP209" i="19" s="1"/>
  <c r="AK208" i="19"/>
  <c r="AT208" i="19" s="1"/>
  <c r="AG208" i="19"/>
  <c r="AP208" i="19" s="1"/>
  <c r="AK207" i="19"/>
  <c r="AT207" i="19" s="1"/>
  <c r="AG207" i="19"/>
  <c r="AP207" i="19" s="1"/>
  <c r="AK206" i="19"/>
  <c r="AT206" i="19" s="1"/>
  <c r="AG206" i="19"/>
  <c r="AP206" i="19" s="1"/>
  <c r="AK205" i="19"/>
  <c r="AT205" i="19" s="1"/>
  <c r="AG205" i="19"/>
  <c r="AP205" i="19" s="1"/>
  <c r="AK204" i="19"/>
  <c r="AT204" i="19" s="1"/>
  <c r="AG204" i="19"/>
  <c r="AP204" i="19" s="1"/>
  <c r="AK203" i="19"/>
  <c r="AT203" i="19" s="1"/>
  <c r="AG203" i="19"/>
  <c r="AP203" i="19" s="1"/>
  <c r="AK202" i="19"/>
  <c r="AT202" i="19" s="1"/>
  <c r="AG202" i="19"/>
  <c r="AP202" i="19" s="1"/>
  <c r="AK201" i="19"/>
  <c r="AT201" i="19" s="1"/>
  <c r="AG201" i="19"/>
  <c r="AP201" i="19" s="1"/>
  <c r="AK200" i="19"/>
  <c r="AT200" i="19" s="1"/>
  <c r="AG200" i="19"/>
  <c r="AP200" i="19" s="1"/>
  <c r="AK199" i="19"/>
  <c r="AT199" i="19" s="1"/>
  <c r="AG199" i="19"/>
  <c r="AP199" i="19" s="1"/>
  <c r="AK198" i="19"/>
  <c r="AT198" i="19" s="1"/>
  <c r="AG198" i="19"/>
  <c r="AP198" i="19" s="1"/>
  <c r="AK197" i="19"/>
  <c r="AT197" i="19" s="1"/>
  <c r="AG197" i="19"/>
  <c r="AP197" i="19" s="1"/>
  <c r="AK196" i="19"/>
  <c r="AT196" i="19" s="1"/>
  <c r="AG196" i="19"/>
  <c r="AP196" i="19" s="1"/>
  <c r="AK195" i="19"/>
  <c r="AT195" i="19" s="1"/>
  <c r="AG195" i="19"/>
  <c r="AP195" i="19" s="1"/>
  <c r="AK194" i="19"/>
  <c r="AT194" i="19" s="1"/>
  <c r="AG194" i="19"/>
  <c r="AP194" i="19" s="1"/>
  <c r="AK193" i="19"/>
  <c r="AT193" i="19" s="1"/>
  <c r="AG193" i="19"/>
  <c r="AP193" i="19" s="1"/>
  <c r="AK192" i="19"/>
  <c r="AT192" i="19" s="1"/>
  <c r="AG192" i="19"/>
  <c r="AP192" i="19" s="1"/>
  <c r="AK191" i="19"/>
  <c r="AT191" i="19" s="1"/>
  <c r="AG191" i="19"/>
  <c r="AP191" i="19" s="1"/>
  <c r="AK190" i="19"/>
  <c r="AT190" i="19" s="1"/>
  <c r="AG190" i="19"/>
  <c r="AP190" i="19" s="1"/>
  <c r="AK189" i="19"/>
  <c r="AT189" i="19" s="1"/>
  <c r="AG189" i="19"/>
  <c r="AP189" i="19" s="1"/>
  <c r="AK188" i="19"/>
  <c r="AT188" i="19" s="1"/>
  <c r="AG188" i="19"/>
  <c r="AP188" i="19" s="1"/>
  <c r="AK187" i="19"/>
  <c r="AT187" i="19" s="1"/>
  <c r="AG187" i="19"/>
  <c r="AP187" i="19" s="1"/>
  <c r="AK186" i="19"/>
  <c r="AT186" i="19" s="1"/>
  <c r="AG186" i="19"/>
  <c r="AP186" i="19" s="1"/>
  <c r="AK185" i="19"/>
  <c r="AT185" i="19" s="1"/>
  <c r="AG185" i="19"/>
  <c r="AP185" i="19" s="1"/>
  <c r="AK184" i="19"/>
  <c r="AT184" i="19" s="1"/>
  <c r="AG184" i="19"/>
  <c r="AP184" i="19" s="1"/>
  <c r="AK183" i="19"/>
  <c r="AT183" i="19" s="1"/>
  <c r="AG183" i="19"/>
  <c r="AP183" i="19" s="1"/>
  <c r="AK182" i="19"/>
  <c r="AT182" i="19" s="1"/>
  <c r="AG182" i="19"/>
  <c r="AP182" i="19" s="1"/>
  <c r="AK181" i="19"/>
  <c r="AT181" i="19" s="1"/>
  <c r="AG181" i="19"/>
  <c r="AP181" i="19" s="1"/>
  <c r="AK180" i="19"/>
  <c r="AT180" i="19" s="1"/>
  <c r="AG180" i="19"/>
  <c r="AP180" i="19" s="1"/>
  <c r="AK179" i="19"/>
  <c r="AT179" i="19" s="1"/>
  <c r="AG179" i="19"/>
  <c r="AP179" i="19" s="1"/>
  <c r="AK178" i="19"/>
  <c r="AT178" i="19" s="1"/>
  <c r="AG178" i="19"/>
  <c r="AP178" i="19" s="1"/>
  <c r="AK177" i="19"/>
  <c r="AT177" i="19" s="1"/>
  <c r="AG177" i="19"/>
  <c r="AP177" i="19" s="1"/>
  <c r="AK176" i="19"/>
  <c r="AT176" i="19" s="1"/>
  <c r="AG176" i="19"/>
  <c r="AP176" i="19" s="1"/>
  <c r="AK175" i="19"/>
  <c r="AT175" i="19" s="1"/>
  <c r="AG175" i="19"/>
  <c r="AP175" i="19" s="1"/>
  <c r="AK174" i="19"/>
  <c r="AT174" i="19" s="1"/>
  <c r="AG174" i="19"/>
  <c r="AP174" i="19" s="1"/>
  <c r="AK173" i="19"/>
  <c r="AT173" i="19" s="1"/>
  <c r="AG173" i="19"/>
  <c r="AP173" i="19" s="1"/>
  <c r="AK172" i="19"/>
  <c r="AT172" i="19" s="1"/>
  <c r="AG172" i="19"/>
  <c r="AP172" i="19" s="1"/>
  <c r="AK171" i="19"/>
  <c r="AT171" i="19" s="1"/>
  <c r="AG171" i="19"/>
  <c r="AP171" i="19" s="1"/>
  <c r="AK170" i="19"/>
  <c r="AT170" i="19" s="1"/>
  <c r="AG170" i="19"/>
  <c r="AP170" i="19" s="1"/>
  <c r="AK169" i="19"/>
  <c r="AT169" i="19" s="1"/>
  <c r="AG169" i="19"/>
  <c r="AP169" i="19" s="1"/>
  <c r="AK168" i="19"/>
  <c r="AT168" i="19" s="1"/>
  <c r="AG168" i="19"/>
  <c r="AP168" i="19" s="1"/>
  <c r="AK167" i="19"/>
  <c r="AT167" i="19" s="1"/>
  <c r="AG167" i="19"/>
  <c r="AP167" i="19" s="1"/>
  <c r="AK166" i="19"/>
  <c r="AT166" i="19" s="1"/>
  <c r="AG166" i="19"/>
  <c r="AP166" i="19" s="1"/>
  <c r="AK165" i="19"/>
  <c r="AT165" i="19" s="1"/>
  <c r="AG165" i="19"/>
  <c r="AP165" i="19" s="1"/>
  <c r="AK164" i="19"/>
  <c r="AT164" i="19" s="1"/>
  <c r="AG164" i="19"/>
  <c r="AP164" i="19" s="1"/>
  <c r="AK163" i="19"/>
  <c r="AT163" i="19" s="1"/>
  <c r="AG163" i="19"/>
  <c r="AP163" i="19" s="1"/>
  <c r="AK162" i="19"/>
  <c r="AT162" i="19" s="1"/>
  <c r="AG162" i="19"/>
  <c r="AP162" i="19" s="1"/>
  <c r="AK161" i="19"/>
  <c r="AT161" i="19" s="1"/>
  <c r="AG161" i="19"/>
  <c r="AP161" i="19" s="1"/>
  <c r="AK160" i="19"/>
  <c r="AT160" i="19" s="1"/>
  <c r="AG160" i="19"/>
  <c r="AP160" i="19" s="1"/>
  <c r="AK159" i="19"/>
  <c r="AT159" i="19" s="1"/>
  <c r="AG159" i="19"/>
  <c r="AP159" i="19" s="1"/>
  <c r="AK158" i="19"/>
  <c r="AT158" i="19" s="1"/>
  <c r="AG158" i="19"/>
  <c r="AP158" i="19" s="1"/>
  <c r="AK157" i="19"/>
  <c r="AT157" i="19" s="1"/>
  <c r="AG157" i="19"/>
  <c r="AP157" i="19" s="1"/>
  <c r="AK156" i="19"/>
  <c r="AT156" i="19" s="1"/>
  <c r="AG156" i="19"/>
  <c r="AP156" i="19" s="1"/>
  <c r="AK155" i="19"/>
  <c r="AT155" i="19" s="1"/>
  <c r="AG155" i="19"/>
  <c r="AP155" i="19" s="1"/>
  <c r="AK154" i="19"/>
  <c r="AT154" i="19" s="1"/>
  <c r="AG154" i="19"/>
  <c r="AP154" i="19" s="1"/>
  <c r="AK153" i="19"/>
  <c r="AT153" i="19" s="1"/>
  <c r="AG153" i="19"/>
  <c r="AP153" i="19" s="1"/>
  <c r="AK152" i="19"/>
  <c r="AT152" i="19" s="1"/>
  <c r="AG152" i="19"/>
  <c r="AP152" i="19" s="1"/>
  <c r="AK151" i="19"/>
  <c r="AT151" i="19" s="1"/>
  <c r="AG151" i="19"/>
  <c r="AP151" i="19" s="1"/>
  <c r="AK150" i="19"/>
  <c r="AT150" i="19" s="1"/>
  <c r="AG150" i="19"/>
  <c r="AP150" i="19" s="1"/>
  <c r="AK149" i="19"/>
  <c r="AT149" i="19" s="1"/>
  <c r="AG149" i="19"/>
  <c r="AP149" i="19" s="1"/>
  <c r="AK148" i="19"/>
  <c r="AT148" i="19" s="1"/>
  <c r="AG148" i="19"/>
  <c r="AP148" i="19" s="1"/>
  <c r="AK147" i="19"/>
  <c r="AT147" i="19" s="1"/>
  <c r="AG147" i="19"/>
  <c r="AP147" i="19" s="1"/>
  <c r="AK146" i="19"/>
  <c r="AT146" i="19" s="1"/>
  <c r="AG146" i="19"/>
  <c r="AP146" i="19" s="1"/>
  <c r="AK145" i="19"/>
  <c r="AT145" i="19" s="1"/>
  <c r="AG145" i="19"/>
  <c r="AP145" i="19" s="1"/>
  <c r="AK144" i="19"/>
  <c r="AT144" i="19" s="1"/>
  <c r="AG144" i="19"/>
  <c r="AP144" i="19" s="1"/>
  <c r="AK143" i="19"/>
  <c r="AT143" i="19" s="1"/>
  <c r="AG143" i="19"/>
  <c r="AP143" i="19" s="1"/>
  <c r="AK142" i="19"/>
  <c r="AT142" i="19" s="1"/>
  <c r="AG142" i="19"/>
  <c r="AP142" i="19" s="1"/>
  <c r="AK141" i="19"/>
  <c r="AT141" i="19" s="1"/>
  <c r="AG141" i="19"/>
  <c r="AP141" i="19" s="1"/>
  <c r="AK140" i="19"/>
  <c r="AT140" i="19" s="1"/>
  <c r="AG140" i="19"/>
  <c r="AP140" i="19" s="1"/>
  <c r="AK139" i="19"/>
  <c r="AT139" i="19" s="1"/>
  <c r="AG139" i="19"/>
  <c r="AP139" i="19" s="1"/>
  <c r="AK138" i="19"/>
  <c r="AT138" i="19" s="1"/>
  <c r="AG138" i="19"/>
  <c r="AP138" i="19" s="1"/>
  <c r="AK137" i="19"/>
  <c r="AT137" i="19" s="1"/>
  <c r="AG137" i="19"/>
  <c r="AP137" i="19" s="1"/>
  <c r="AK136" i="19"/>
  <c r="AT136" i="19" s="1"/>
  <c r="AG136" i="19"/>
  <c r="AP136" i="19" s="1"/>
  <c r="AK135" i="19"/>
  <c r="AT135" i="19" s="1"/>
  <c r="AG135" i="19"/>
  <c r="AP135" i="19" s="1"/>
  <c r="AK134" i="19"/>
  <c r="AT134" i="19" s="1"/>
  <c r="AG134" i="19"/>
  <c r="AP134" i="19" s="1"/>
  <c r="AK133" i="19"/>
  <c r="AT133" i="19" s="1"/>
  <c r="AG133" i="19"/>
  <c r="AP133" i="19" s="1"/>
  <c r="AK132" i="19"/>
  <c r="AT132" i="19" s="1"/>
  <c r="AG132" i="19"/>
  <c r="AP132" i="19" s="1"/>
  <c r="AK131" i="19"/>
  <c r="AT131" i="19" s="1"/>
  <c r="AG131" i="19"/>
  <c r="AP131" i="19" s="1"/>
  <c r="AK130" i="19"/>
  <c r="AT130" i="19" s="1"/>
  <c r="AG130" i="19"/>
  <c r="AP130" i="19" s="1"/>
  <c r="AK129" i="19"/>
  <c r="AT129" i="19" s="1"/>
  <c r="AG129" i="19"/>
  <c r="AP129" i="19" s="1"/>
  <c r="AK128" i="19"/>
  <c r="AT128" i="19" s="1"/>
  <c r="AG128" i="19"/>
  <c r="AP128" i="19" s="1"/>
  <c r="AK127" i="19"/>
  <c r="AT127" i="19" s="1"/>
  <c r="AG127" i="19"/>
  <c r="AP127" i="19" s="1"/>
  <c r="AK126" i="19"/>
  <c r="AT126" i="19" s="1"/>
  <c r="AG126" i="19"/>
  <c r="AP126" i="19" s="1"/>
  <c r="AK125" i="19"/>
  <c r="AT125" i="19" s="1"/>
  <c r="AG125" i="19"/>
  <c r="AP125" i="19" s="1"/>
  <c r="AK124" i="19"/>
  <c r="AT124" i="19" s="1"/>
  <c r="AG124" i="19"/>
  <c r="AP124" i="19" s="1"/>
  <c r="AK123" i="19"/>
  <c r="AT123" i="19" s="1"/>
  <c r="AG123" i="19"/>
  <c r="AP123" i="19" s="1"/>
  <c r="AK122" i="19"/>
  <c r="AT122" i="19" s="1"/>
  <c r="AG122" i="19"/>
  <c r="AP122" i="19" s="1"/>
  <c r="AK121" i="19"/>
  <c r="AT121" i="19" s="1"/>
  <c r="AG121" i="19"/>
  <c r="AP121" i="19" s="1"/>
  <c r="AK120" i="19"/>
  <c r="AT120" i="19" s="1"/>
  <c r="AG120" i="19"/>
  <c r="AP120" i="19" s="1"/>
  <c r="AK119" i="19"/>
  <c r="AT119" i="19" s="1"/>
  <c r="AG119" i="19"/>
  <c r="AP119" i="19" s="1"/>
  <c r="AK118" i="19"/>
  <c r="AT118" i="19" s="1"/>
  <c r="AG118" i="19"/>
  <c r="AP118" i="19" s="1"/>
  <c r="AK117" i="19"/>
  <c r="AT117" i="19" s="1"/>
  <c r="AG117" i="19"/>
  <c r="AP117" i="19" s="1"/>
  <c r="AK116" i="19"/>
  <c r="AT116" i="19" s="1"/>
  <c r="AG116" i="19"/>
  <c r="AP116" i="19" s="1"/>
  <c r="AK115" i="19"/>
  <c r="AT115" i="19" s="1"/>
  <c r="AG115" i="19"/>
  <c r="AP115" i="19" s="1"/>
  <c r="AK114" i="19"/>
  <c r="AT114" i="19" s="1"/>
  <c r="AG114" i="19"/>
  <c r="AP114" i="19" s="1"/>
  <c r="AK113" i="19"/>
  <c r="AT113" i="19" s="1"/>
  <c r="AG113" i="19"/>
  <c r="AP113" i="19" s="1"/>
  <c r="AK112" i="19"/>
  <c r="AT112" i="19" s="1"/>
  <c r="AG112" i="19"/>
  <c r="AP112" i="19" s="1"/>
  <c r="AK111" i="19"/>
  <c r="AT111" i="19" s="1"/>
  <c r="AG111" i="19"/>
  <c r="AP111" i="19" s="1"/>
  <c r="AK110" i="19"/>
  <c r="AT110" i="19" s="1"/>
  <c r="AG110" i="19"/>
  <c r="AP110" i="19" s="1"/>
  <c r="AK109" i="19"/>
  <c r="AT109" i="19" s="1"/>
  <c r="AG109" i="19"/>
  <c r="AP109" i="19" s="1"/>
  <c r="AK108" i="19"/>
  <c r="AT108" i="19" s="1"/>
  <c r="AG108" i="19"/>
  <c r="AP108" i="19" s="1"/>
  <c r="AK107" i="19"/>
  <c r="AT107" i="19" s="1"/>
  <c r="AG107" i="19"/>
  <c r="AP107" i="19" s="1"/>
  <c r="AK106" i="19"/>
  <c r="AT106" i="19" s="1"/>
  <c r="AG106" i="19"/>
  <c r="AP106" i="19" s="1"/>
  <c r="AK105" i="19"/>
  <c r="AT105" i="19" s="1"/>
  <c r="AG105" i="19"/>
  <c r="AP105" i="19" s="1"/>
  <c r="AK104" i="19"/>
  <c r="AT104" i="19" s="1"/>
  <c r="AG104" i="19"/>
  <c r="AP104" i="19" s="1"/>
  <c r="AK103" i="19"/>
  <c r="AT103" i="19" s="1"/>
  <c r="AG103" i="19"/>
  <c r="AP103" i="19" s="1"/>
  <c r="AK102" i="19"/>
  <c r="AT102" i="19" s="1"/>
  <c r="AG102" i="19"/>
  <c r="AP102" i="19" s="1"/>
  <c r="AK101" i="19"/>
  <c r="AT101" i="19" s="1"/>
  <c r="AG101" i="19"/>
  <c r="AP101" i="19" s="1"/>
  <c r="AK100" i="19"/>
  <c r="AT100" i="19" s="1"/>
  <c r="AG100" i="19"/>
  <c r="AP100" i="19" s="1"/>
  <c r="AK99" i="19"/>
  <c r="AT99" i="19" s="1"/>
  <c r="AG99" i="19"/>
  <c r="AP99" i="19" s="1"/>
  <c r="AK98" i="19"/>
  <c r="AT98" i="19" s="1"/>
  <c r="AG98" i="19"/>
  <c r="AP98" i="19" s="1"/>
  <c r="AK97" i="19"/>
  <c r="AT97" i="19" s="1"/>
  <c r="AG97" i="19"/>
  <c r="AP97" i="19" s="1"/>
  <c r="AK96" i="19"/>
  <c r="AT96" i="19" s="1"/>
  <c r="AG96" i="19"/>
  <c r="AP96" i="19" s="1"/>
  <c r="AK95" i="19"/>
  <c r="AT95" i="19" s="1"/>
  <c r="AG95" i="19"/>
  <c r="AP95" i="19" s="1"/>
  <c r="AK94" i="19"/>
  <c r="AT94" i="19" s="1"/>
  <c r="AG94" i="19"/>
  <c r="AP94" i="19" s="1"/>
  <c r="AK93" i="19"/>
  <c r="AT93" i="19" s="1"/>
  <c r="AG93" i="19"/>
  <c r="AP93" i="19" s="1"/>
  <c r="AK92" i="19"/>
  <c r="AT92" i="19" s="1"/>
  <c r="AG92" i="19"/>
  <c r="AP92" i="19" s="1"/>
  <c r="AK91" i="19"/>
  <c r="AT91" i="19" s="1"/>
  <c r="AG91" i="19"/>
  <c r="AP91" i="19" s="1"/>
  <c r="AK90" i="19"/>
  <c r="AT90" i="19" s="1"/>
  <c r="AG90" i="19"/>
  <c r="AP90" i="19" s="1"/>
  <c r="AK89" i="19"/>
  <c r="AT89" i="19" s="1"/>
  <c r="AG89" i="19"/>
  <c r="AP89" i="19" s="1"/>
  <c r="AK88" i="19"/>
  <c r="AT88" i="19" s="1"/>
  <c r="AG88" i="19"/>
  <c r="AP88" i="19" s="1"/>
  <c r="AK87" i="19"/>
  <c r="AT87" i="19" s="1"/>
  <c r="AG87" i="19"/>
  <c r="AP87" i="19" s="1"/>
  <c r="AK86" i="19"/>
  <c r="AT86" i="19" s="1"/>
  <c r="AG86" i="19"/>
  <c r="AP86" i="19" s="1"/>
  <c r="AK85" i="19"/>
  <c r="AT85" i="19" s="1"/>
  <c r="AG85" i="19"/>
  <c r="AP85" i="19" s="1"/>
  <c r="AK84" i="19"/>
  <c r="AT84" i="19" s="1"/>
  <c r="AG84" i="19"/>
  <c r="AP84" i="19" s="1"/>
  <c r="AK83" i="19"/>
  <c r="AT83" i="19" s="1"/>
  <c r="AG83" i="19"/>
  <c r="AP83" i="19" s="1"/>
  <c r="AK82" i="19"/>
  <c r="AT82" i="19" s="1"/>
  <c r="AG82" i="19"/>
  <c r="AP82" i="19" s="1"/>
  <c r="AK81" i="19"/>
  <c r="AT81" i="19" s="1"/>
  <c r="AG81" i="19"/>
  <c r="AP81" i="19" s="1"/>
  <c r="AK80" i="19"/>
  <c r="AT80" i="19" s="1"/>
  <c r="AG80" i="19"/>
  <c r="AP80" i="19" s="1"/>
  <c r="AK79" i="19"/>
  <c r="AT79" i="19" s="1"/>
  <c r="AG79" i="19"/>
  <c r="AP79" i="19" s="1"/>
  <c r="AK78" i="19"/>
  <c r="AT78" i="19" s="1"/>
  <c r="AG78" i="19"/>
  <c r="AP78" i="19" s="1"/>
  <c r="AK77" i="19"/>
  <c r="AT77" i="19" s="1"/>
  <c r="AG77" i="19"/>
  <c r="AP77" i="19" s="1"/>
  <c r="AK76" i="19"/>
  <c r="AT76" i="19" s="1"/>
  <c r="AG76" i="19"/>
  <c r="AP76" i="19" s="1"/>
  <c r="AK75" i="19"/>
  <c r="AT75" i="19" s="1"/>
  <c r="AG75" i="19"/>
  <c r="AP75" i="19" s="1"/>
  <c r="AK74" i="19"/>
  <c r="AT74" i="19" s="1"/>
  <c r="AG74" i="19"/>
  <c r="AP74" i="19" s="1"/>
  <c r="AK73" i="19"/>
  <c r="AT73" i="19" s="1"/>
  <c r="AG73" i="19"/>
  <c r="AP73" i="19" s="1"/>
  <c r="AK72" i="19"/>
  <c r="AT72" i="19" s="1"/>
  <c r="AG72" i="19"/>
  <c r="AP72" i="19" s="1"/>
  <c r="AK71" i="19"/>
  <c r="AT71" i="19" s="1"/>
  <c r="AG71" i="19"/>
  <c r="AP71" i="19" s="1"/>
  <c r="AK70" i="19"/>
  <c r="AT70" i="19" s="1"/>
  <c r="AG70" i="19"/>
  <c r="AP70" i="19" s="1"/>
  <c r="AK69" i="19"/>
  <c r="AT69" i="19" s="1"/>
  <c r="AG69" i="19"/>
  <c r="AP69" i="19" s="1"/>
  <c r="AK68" i="19"/>
  <c r="AT68" i="19" s="1"/>
  <c r="AG68" i="19"/>
  <c r="AP68" i="19" s="1"/>
  <c r="AK67" i="19"/>
  <c r="AT67" i="19" s="1"/>
  <c r="AG67" i="19"/>
  <c r="AP67" i="19" s="1"/>
  <c r="AK66" i="19"/>
  <c r="AT66" i="19" s="1"/>
  <c r="AG66" i="19"/>
  <c r="AP66" i="19" s="1"/>
  <c r="AK65" i="19"/>
  <c r="AT65" i="19" s="1"/>
  <c r="AG65" i="19"/>
  <c r="AP65" i="19" s="1"/>
  <c r="AJ476" i="19"/>
  <c r="AS476" i="19" s="1"/>
  <c r="AF476" i="19"/>
  <c r="AO476" i="19" s="1"/>
  <c r="AJ475" i="19"/>
  <c r="AS475" i="19" s="1"/>
  <c r="AF475" i="19"/>
  <c r="AO475" i="19" s="1"/>
  <c r="AJ474" i="19"/>
  <c r="AS474" i="19" s="1"/>
  <c r="AF474" i="19"/>
  <c r="AO474" i="19" s="1"/>
  <c r="AJ473" i="19"/>
  <c r="AS473" i="19" s="1"/>
  <c r="AF473" i="19"/>
  <c r="AO473" i="19" s="1"/>
  <c r="AJ472" i="19"/>
  <c r="AS472" i="19" s="1"/>
  <c r="AF472" i="19"/>
  <c r="AO472" i="19" s="1"/>
  <c r="AJ471" i="19"/>
  <c r="AS471" i="19" s="1"/>
  <c r="AF471" i="19"/>
  <c r="AO471" i="19" s="1"/>
  <c r="AJ470" i="19"/>
  <c r="AS470" i="19" s="1"/>
  <c r="AF470" i="19"/>
  <c r="AO470" i="19" s="1"/>
  <c r="AJ469" i="19"/>
  <c r="AS469" i="19" s="1"/>
  <c r="AF469" i="19"/>
  <c r="AO469" i="19" s="1"/>
  <c r="AJ468" i="19"/>
  <c r="AS468" i="19" s="1"/>
  <c r="AF468" i="19"/>
  <c r="AO468" i="19" s="1"/>
  <c r="AJ467" i="19"/>
  <c r="AS467" i="19" s="1"/>
  <c r="AF467" i="19"/>
  <c r="AO467" i="19" s="1"/>
  <c r="AJ466" i="19"/>
  <c r="AS466" i="19" s="1"/>
  <c r="AF466" i="19"/>
  <c r="AO466" i="19" s="1"/>
  <c r="AJ465" i="19"/>
  <c r="AS465" i="19" s="1"/>
  <c r="AF465" i="19"/>
  <c r="AO465" i="19" s="1"/>
  <c r="AJ464" i="19"/>
  <c r="AS464" i="19" s="1"/>
  <c r="AF464" i="19"/>
  <c r="AO464" i="19" s="1"/>
  <c r="AJ463" i="19"/>
  <c r="AS463" i="19" s="1"/>
  <c r="AF463" i="19"/>
  <c r="AO463" i="19" s="1"/>
  <c r="AJ462" i="19"/>
  <c r="AS462" i="19" s="1"/>
  <c r="AF462" i="19"/>
  <c r="AO462" i="19" s="1"/>
  <c r="AJ461" i="19"/>
  <c r="AS461" i="19" s="1"/>
  <c r="AF461" i="19"/>
  <c r="AO461" i="19" s="1"/>
  <c r="AJ460" i="19"/>
  <c r="AS460" i="19" s="1"/>
  <c r="AF460" i="19"/>
  <c r="AO460" i="19" s="1"/>
  <c r="AJ459" i="19"/>
  <c r="AS459" i="19" s="1"/>
  <c r="AF459" i="19"/>
  <c r="AO459" i="19" s="1"/>
  <c r="AJ458" i="19"/>
  <c r="AS458" i="19" s="1"/>
  <c r="AF458" i="19"/>
  <c r="AO458" i="19" s="1"/>
  <c r="AJ457" i="19"/>
  <c r="AS457" i="19" s="1"/>
  <c r="AF457" i="19"/>
  <c r="AO457" i="19" s="1"/>
  <c r="AJ456" i="19"/>
  <c r="AS456" i="19" s="1"/>
  <c r="AF456" i="19"/>
  <c r="AO456" i="19" s="1"/>
  <c r="AJ455" i="19"/>
  <c r="AS455" i="19" s="1"/>
  <c r="AF455" i="19"/>
  <c r="AO455" i="19" s="1"/>
  <c r="AJ454" i="19"/>
  <c r="AS454" i="19" s="1"/>
  <c r="AF454" i="19"/>
  <c r="AO454" i="19" s="1"/>
  <c r="AJ453" i="19"/>
  <c r="AS453" i="19" s="1"/>
  <c r="AF453" i="19"/>
  <c r="AO453" i="19" s="1"/>
  <c r="AJ452" i="19"/>
  <c r="AS452" i="19" s="1"/>
  <c r="AF452" i="19"/>
  <c r="AO452" i="19" s="1"/>
  <c r="AJ451" i="19"/>
  <c r="AS451" i="19" s="1"/>
  <c r="AF451" i="19"/>
  <c r="AO451" i="19" s="1"/>
  <c r="AJ450" i="19"/>
  <c r="AS450" i="19" s="1"/>
  <c r="AF450" i="19"/>
  <c r="AO450" i="19" s="1"/>
  <c r="AJ449" i="19"/>
  <c r="AS449" i="19" s="1"/>
  <c r="AF449" i="19"/>
  <c r="AO449" i="19" s="1"/>
  <c r="AJ448" i="19"/>
  <c r="AS448" i="19" s="1"/>
  <c r="AF448" i="19"/>
  <c r="AO448" i="19" s="1"/>
  <c r="AJ447" i="19"/>
  <c r="AS447" i="19" s="1"/>
  <c r="AF447" i="19"/>
  <c r="AO447" i="19" s="1"/>
  <c r="AJ446" i="19"/>
  <c r="AS446" i="19" s="1"/>
  <c r="AF446" i="19"/>
  <c r="AO446" i="19" s="1"/>
  <c r="AF445" i="19"/>
  <c r="AO445" i="19" s="1"/>
  <c r="AJ444" i="19"/>
  <c r="AS444" i="19" s="1"/>
  <c r="AF444" i="19"/>
  <c r="AO444" i="19" s="1"/>
  <c r="AJ443" i="19"/>
  <c r="AS443" i="19" s="1"/>
  <c r="AF443" i="19"/>
  <c r="AO443" i="19" s="1"/>
  <c r="AJ442" i="19"/>
  <c r="AS442" i="19" s="1"/>
  <c r="AF442" i="19"/>
  <c r="AO442" i="19" s="1"/>
  <c r="AJ441" i="19"/>
  <c r="AS441" i="19" s="1"/>
  <c r="AF441" i="19"/>
  <c r="AO441" i="19" s="1"/>
  <c r="AJ440" i="19"/>
  <c r="AS440" i="19" s="1"/>
  <c r="AF440" i="19"/>
  <c r="AO440" i="19" s="1"/>
  <c r="AJ439" i="19"/>
  <c r="AS439" i="19" s="1"/>
  <c r="AF439" i="19"/>
  <c r="AO439" i="19" s="1"/>
  <c r="AJ438" i="19"/>
  <c r="AS438" i="19" s="1"/>
  <c r="AF438" i="19"/>
  <c r="AO438" i="19" s="1"/>
  <c r="AJ437" i="19"/>
  <c r="AS437" i="19" s="1"/>
  <c r="AF437" i="19"/>
  <c r="AO437" i="19" s="1"/>
  <c r="AJ436" i="19"/>
  <c r="AS436" i="19" s="1"/>
  <c r="AF436" i="19"/>
  <c r="AO436" i="19" s="1"/>
  <c r="AJ435" i="19"/>
  <c r="AS435" i="19" s="1"/>
  <c r="AF435" i="19"/>
  <c r="AO435" i="19" s="1"/>
  <c r="AJ434" i="19"/>
  <c r="AS434" i="19" s="1"/>
  <c r="AF434" i="19"/>
  <c r="AO434" i="19" s="1"/>
  <c r="AJ433" i="19"/>
  <c r="AS433" i="19" s="1"/>
  <c r="AF433" i="19"/>
  <c r="AO433" i="19" s="1"/>
  <c r="AJ432" i="19"/>
  <c r="AS432" i="19" s="1"/>
  <c r="AF432" i="19"/>
  <c r="AO432" i="19" s="1"/>
  <c r="AJ431" i="19"/>
  <c r="AS431" i="19" s="1"/>
  <c r="AF431" i="19"/>
  <c r="AO431" i="19" s="1"/>
  <c r="AJ430" i="19"/>
  <c r="AS430" i="19" s="1"/>
  <c r="AF430" i="19"/>
  <c r="AO430" i="19" s="1"/>
  <c r="AJ429" i="19"/>
  <c r="AS429" i="19" s="1"/>
  <c r="AF429" i="19"/>
  <c r="AO429" i="19" s="1"/>
  <c r="AJ428" i="19"/>
  <c r="AS428" i="19" s="1"/>
  <c r="AF428" i="19"/>
  <c r="AO428" i="19" s="1"/>
  <c r="AJ427" i="19"/>
  <c r="AS427" i="19" s="1"/>
  <c r="AF427" i="19"/>
  <c r="AO427" i="19" s="1"/>
  <c r="AJ426" i="19"/>
  <c r="AS426" i="19" s="1"/>
  <c r="AF426" i="19"/>
  <c r="AO426" i="19" s="1"/>
  <c r="AJ425" i="19"/>
  <c r="AS425" i="19" s="1"/>
  <c r="AF425" i="19"/>
  <c r="AO425" i="19" s="1"/>
  <c r="AJ424" i="19"/>
  <c r="AS424" i="19" s="1"/>
  <c r="AF424" i="19"/>
  <c r="AO424" i="19" s="1"/>
  <c r="AJ423" i="19"/>
  <c r="AS423" i="19" s="1"/>
  <c r="AF423" i="19"/>
  <c r="AO423" i="19" s="1"/>
  <c r="AJ422" i="19"/>
  <c r="AS422" i="19" s="1"/>
  <c r="AF422" i="19"/>
  <c r="AO422" i="19" s="1"/>
  <c r="AJ421" i="19"/>
  <c r="AS421" i="19" s="1"/>
  <c r="AF421" i="19"/>
  <c r="AO421" i="19" s="1"/>
  <c r="AJ420" i="19"/>
  <c r="AS420" i="19" s="1"/>
  <c r="AF420" i="19"/>
  <c r="AO420" i="19" s="1"/>
  <c r="AJ419" i="19"/>
  <c r="AS419" i="19" s="1"/>
  <c r="AF419" i="19"/>
  <c r="AO419" i="19" s="1"/>
  <c r="AJ418" i="19"/>
  <c r="AS418" i="19" s="1"/>
  <c r="AF418" i="19"/>
  <c r="AO418" i="19" s="1"/>
  <c r="AJ417" i="19"/>
  <c r="AS417" i="19" s="1"/>
  <c r="AF417" i="19"/>
  <c r="AO417" i="19" s="1"/>
  <c r="AJ416" i="19"/>
  <c r="AS416" i="19" s="1"/>
  <c r="AF416" i="19"/>
  <c r="AO416" i="19" s="1"/>
  <c r="AJ415" i="19"/>
  <c r="AS415" i="19" s="1"/>
  <c r="AF415" i="19"/>
  <c r="AO415" i="19" s="1"/>
  <c r="AJ414" i="19"/>
  <c r="AS414" i="19" s="1"/>
  <c r="AF414" i="19"/>
  <c r="AO414" i="19" s="1"/>
  <c r="AF413" i="19"/>
  <c r="AO413" i="19" s="1"/>
  <c r="AJ412" i="19"/>
  <c r="AS412" i="19" s="1"/>
  <c r="AF412" i="19"/>
  <c r="AO412" i="19" s="1"/>
  <c r="AJ411" i="19"/>
  <c r="AS411" i="19" s="1"/>
  <c r="AF411" i="19"/>
  <c r="AO411" i="19" s="1"/>
  <c r="AJ410" i="19"/>
  <c r="AS410" i="19" s="1"/>
  <c r="AF410" i="19"/>
  <c r="AO410" i="19" s="1"/>
  <c r="AJ409" i="19"/>
  <c r="AS409" i="19" s="1"/>
  <c r="AF409" i="19"/>
  <c r="AO409" i="19" s="1"/>
  <c r="AJ408" i="19"/>
  <c r="AS408" i="19" s="1"/>
  <c r="AF408" i="19"/>
  <c r="AO408" i="19" s="1"/>
  <c r="AJ407" i="19"/>
  <c r="AS407" i="19" s="1"/>
  <c r="AF407" i="19"/>
  <c r="AO407" i="19" s="1"/>
  <c r="AJ406" i="19"/>
  <c r="AS406" i="19" s="1"/>
  <c r="AF406" i="19"/>
  <c r="AO406" i="19" s="1"/>
  <c r="AJ405" i="19"/>
  <c r="AS405" i="19" s="1"/>
  <c r="AF405" i="19"/>
  <c r="AO405" i="19" s="1"/>
  <c r="AJ404" i="19"/>
  <c r="AS404" i="19" s="1"/>
  <c r="AF404" i="19"/>
  <c r="AO404" i="19" s="1"/>
  <c r="AJ403" i="19"/>
  <c r="AS403" i="19" s="1"/>
  <c r="AF403" i="19"/>
  <c r="AO403" i="19" s="1"/>
  <c r="AJ402" i="19"/>
  <c r="AS402" i="19" s="1"/>
  <c r="AF402" i="19"/>
  <c r="AO402" i="19" s="1"/>
  <c r="AJ401" i="19"/>
  <c r="AS401" i="19" s="1"/>
  <c r="AF401" i="19"/>
  <c r="AO401" i="19" s="1"/>
  <c r="AJ400" i="19"/>
  <c r="AS400" i="19" s="1"/>
  <c r="AF400" i="19"/>
  <c r="AO400" i="19" s="1"/>
  <c r="AJ399" i="19"/>
  <c r="AS399" i="19" s="1"/>
  <c r="AF399" i="19"/>
  <c r="AO399" i="19" s="1"/>
  <c r="AJ398" i="19"/>
  <c r="AS398" i="19" s="1"/>
  <c r="AF398" i="19"/>
  <c r="AO398" i="19" s="1"/>
  <c r="AJ397" i="19"/>
  <c r="AS397" i="19" s="1"/>
  <c r="AF397" i="19"/>
  <c r="AO397" i="19" s="1"/>
  <c r="AJ396" i="19"/>
  <c r="AS396" i="19" s="1"/>
  <c r="AF396" i="19"/>
  <c r="AO396" i="19" s="1"/>
  <c r="AJ395" i="19"/>
  <c r="AS395" i="19" s="1"/>
  <c r="AF395" i="19"/>
  <c r="AO395" i="19" s="1"/>
  <c r="AJ394" i="19"/>
  <c r="AS394" i="19" s="1"/>
  <c r="AF394" i="19"/>
  <c r="AO394" i="19" s="1"/>
  <c r="AJ393" i="19"/>
  <c r="AS393" i="19" s="1"/>
  <c r="AF393" i="19"/>
  <c r="AO393" i="19" s="1"/>
  <c r="AJ392" i="19"/>
  <c r="AS392" i="19" s="1"/>
  <c r="AF392" i="19"/>
  <c r="AO392" i="19" s="1"/>
  <c r="AJ391" i="19"/>
  <c r="AS391" i="19" s="1"/>
  <c r="AF391" i="19"/>
  <c r="AO391" i="19" s="1"/>
  <c r="AJ390" i="19"/>
  <c r="AS390" i="19" s="1"/>
  <c r="AF390" i="19"/>
  <c r="AO390" i="19" s="1"/>
  <c r="AJ389" i="19"/>
  <c r="AS389" i="19" s="1"/>
  <c r="AF389" i="19"/>
  <c r="AO389" i="19" s="1"/>
  <c r="AJ388" i="19"/>
  <c r="AS388" i="19" s="1"/>
  <c r="AF388" i="19"/>
  <c r="AO388" i="19" s="1"/>
  <c r="AJ387" i="19"/>
  <c r="AS387" i="19" s="1"/>
  <c r="AF387" i="19"/>
  <c r="AO387" i="19" s="1"/>
  <c r="AJ386" i="19"/>
  <c r="AS386" i="19" s="1"/>
  <c r="AF386" i="19"/>
  <c r="AO386" i="19" s="1"/>
  <c r="AJ385" i="19"/>
  <c r="AS385" i="19" s="1"/>
  <c r="AF385" i="19"/>
  <c r="AO385" i="19" s="1"/>
  <c r="AJ384" i="19"/>
  <c r="AS384" i="19" s="1"/>
  <c r="AF384" i="19"/>
  <c r="AO384" i="19" s="1"/>
  <c r="AJ383" i="19"/>
  <c r="AS383" i="19" s="1"/>
  <c r="AF383" i="19"/>
  <c r="AO383" i="19" s="1"/>
  <c r="AJ382" i="19"/>
  <c r="AS382" i="19" s="1"/>
  <c r="AF382" i="19"/>
  <c r="AO382" i="19" s="1"/>
  <c r="AF381" i="19"/>
  <c r="AO381" i="19" s="1"/>
  <c r="AJ380" i="19"/>
  <c r="AS380" i="19" s="1"/>
  <c r="AF380" i="19"/>
  <c r="AO380" i="19" s="1"/>
  <c r="AJ379" i="19"/>
  <c r="AS379" i="19" s="1"/>
  <c r="AF379" i="19"/>
  <c r="AO379" i="19" s="1"/>
  <c r="AJ378" i="19"/>
  <c r="AS378" i="19" s="1"/>
  <c r="AF378" i="19"/>
  <c r="AO378" i="19" s="1"/>
  <c r="AJ377" i="19"/>
  <c r="AS377" i="19" s="1"/>
  <c r="AF377" i="19"/>
  <c r="AO377" i="19" s="1"/>
  <c r="AJ376" i="19"/>
  <c r="AS376" i="19" s="1"/>
  <c r="AF376" i="19"/>
  <c r="AO376" i="19" s="1"/>
  <c r="AJ375" i="19"/>
  <c r="AS375" i="19" s="1"/>
  <c r="AF375" i="19"/>
  <c r="AO375" i="19" s="1"/>
  <c r="AJ374" i="19"/>
  <c r="AS374" i="19" s="1"/>
  <c r="AF374" i="19"/>
  <c r="AO374" i="19" s="1"/>
  <c r="AJ373" i="19"/>
  <c r="AS373" i="19" s="1"/>
  <c r="AF373" i="19"/>
  <c r="AO373" i="19" s="1"/>
  <c r="AJ372" i="19"/>
  <c r="AS372" i="19" s="1"/>
  <c r="AF372" i="19"/>
  <c r="AO372" i="19" s="1"/>
  <c r="AJ371" i="19"/>
  <c r="AS371" i="19" s="1"/>
  <c r="AF371" i="19"/>
  <c r="AO371" i="19" s="1"/>
  <c r="AJ370" i="19"/>
  <c r="AS370" i="19" s="1"/>
  <c r="AF370" i="19"/>
  <c r="AO370" i="19" s="1"/>
  <c r="AJ369" i="19"/>
  <c r="AS369" i="19" s="1"/>
  <c r="AF369" i="19"/>
  <c r="AO369" i="19" s="1"/>
  <c r="AJ368" i="19"/>
  <c r="AS368" i="19" s="1"/>
  <c r="AF368" i="19"/>
  <c r="AO368" i="19" s="1"/>
  <c r="AJ367" i="19"/>
  <c r="AS367" i="19" s="1"/>
  <c r="AF367" i="19"/>
  <c r="AO367" i="19" s="1"/>
  <c r="AJ366" i="19"/>
  <c r="AS366" i="19" s="1"/>
  <c r="AF366" i="19"/>
  <c r="AO366" i="19" s="1"/>
  <c r="AJ365" i="19"/>
  <c r="AS365" i="19" s="1"/>
  <c r="AF365" i="19"/>
  <c r="AO365" i="19" s="1"/>
  <c r="AJ364" i="19"/>
  <c r="AS364" i="19" s="1"/>
  <c r="AF364" i="19"/>
  <c r="AO364" i="19" s="1"/>
  <c r="AJ363" i="19"/>
  <c r="AS363" i="19" s="1"/>
  <c r="AF363" i="19"/>
  <c r="AO363" i="19" s="1"/>
  <c r="AJ362" i="19"/>
  <c r="AS362" i="19" s="1"/>
  <c r="AF362" i="19"/>
  <c r="AO362" i="19" s="1"/>
  <c r="AJ361" i="19"/>
  <c r="AS361" i="19" s="1"/>
  <c r="AF361" i="19"/>
  <c r="AO361" i="19" s="1"/>
  <c r="AJ360" i="19"/>
  <c r="AS360" i="19" s="1"/>
  <c r="AF360" i="19"/>
  <c r="AO360" i="19" s="1"/>
  <c r="AJ359" i="19"/>
  <c r="AS359" i="19" s="1"/>
  <c r="AF359" i="19"/>
  <c r="AO359" i="19" s="1"/>
  <c r="AJ358" i="19"/>
  <c r="AS358" i="19" s="1"/>
  <c r="AF358" i="19"/>
  <c r="AO358" i="19" s="1"/>
  <c r="AJ357" i="19"/>
  <c r="AS357" i="19" s="1"/>
  <c r="AF357" i="19"/>
  <c r="AO357" i="19" s="1"/>
  <c r="AJ356" i="19"/>
  <c r="AS356" i="19" s="1"/>
  <c r="AF356" i="19"/>
  <c r="AO356" i="19" s="1"/>
  <c r="AJ355" i="19"/>
  <c r="AS355" i="19" s="1"/>
  <c r="AF355" i="19"/>
  <c r="AO355" i="19" s="1"/>
  <c r="AJ354" i="19"/>
  <c r="AS354" i="19" s="1"/>
  <c r="AF354" i="19"/>
  <c r="AO354" i="19" s="1"/>
  <c r="AJ353" i="19"/>
  <c r="AS353" i="19" s="1"/>
  <c r="AF353" i="19"/>
  <c r="AO353" i="19" s="1"/>
  <c r="AJ352" i="19"/>
  <c r="AS352" i="19" s="1"/>
  <c r="AF352" i="19"/>
  <c r="AO352" i="19" s="1"/>
  <c r="AJ351" i="19"/>
  <c r="AS351" i="19" s="1"/>
  <c r="AF351" i="19"/>
  <c r="AO351" i="19" s="1"/>
  <c r="AJ350" i="19"/>
  <c r="AS350" i="19" s="1"/>
  <c r="AF350" i="19"/>
  <c r="AO350" i="19" s="1"/>
  <c r="AJ349" i="19"/>
  <c r="AS349" i="19" s="1"/>
  <c r="AF349" i="19"/>
  <c r="AO349" i="19" s="1"/>
  <c r="AJ348" i="19"/>
  <c r="AS348" i="19" s="1"/>
  <c r="AF348" i="19"/>
  <c r="AO348" i="19" s="1"/>
  <c r="AJ347" i="19"/>
  <c r="AS347" i="19" s="1"/>
  <c r="AF347" i="19"/>
  <c r="AO347" i="19" s="1"/>
  <c r="AJ346" i="19"/>
  <c r="AS346" i="19" s="1"/>
  <c r="AF346" i="19"/>
  <c r="AO346" i="19" s="1"/>
  <c r="AJ345" i="19"/>
  <c r="AS345" i="19" s="1"/>
  <c r="AF345" i="19"/>
  <c r="AO345" i="19" s="1"/>
  <c r="AJ344" i="19"/>
  <c r="AS344" i="19" s="1"/>
  <c r="AF344" i="19"/>
  <c r="AO344" i="19" s="1"/>
  <c r="AJ343" i="19"/>
  <c r="AS343" i="19" s="1"/>
  <c r="AF343" i="19"/>
  <c r="AO343" i="19" s="1"/>
  <c r="AJ342" i="19"/>
  <c r="AS342" i="19" s="1"/>
  <c r="AF342" i="19"/>
  <c r="AO342" i="19" s="1"/>
  <c r="AJ341" i="19"/>
  <c r="AS341" i="19" s="1"/>
  <c r="AF341" i="19"/>
  <c r="AO341" i="19" s="1"/>
  <c r="AJ340" i="19"/>
  <c r="AS340" i="19" s="1"/>
  <c r="AF340" i="19"/>
  <c r="AO340" i="19" s="1"/>
  <c r="AJ339" i="19"/>
  <c r="AS339" i="19" s="1"/>
  <c r="AF339" i="19"/>
  <c r="AO339" i="19" s="1"/>
  <c r="AJ338" i="19"/>
  <c r="AS338" i="19" s="1"/>
  <c r="AF338" i="19"/>
  <c r="AO338" i="19" s="1"/>
  <c r="AJ337" i="19"/>
  <c r="AS337" i="19" s="1"/>
  <c r="AF337" i="19"/>
  <c r="AO337" i="19" s="1"/>
  <c r="AJ336" i="19"/>
  <c r="AS336" i="19" s="1"/>
  <c r="AF336" i="19"/>
  <c r="AO336" i="19" s="1"/>
  <c r="AJ335" i="19"/>
  <c r="AS335" i="19" s="1"/>
  <c r="AF335" i="19"/>
  <c r="AO335" i="19" s="1"/>
  <c r="AJ334" i="19"/>
  <c r="AS334" i="19" s="1"/>
  <c r="AF334" i="19"/>
  <c r="AO334" i="19" s="1"/>
  <c r="AJ333" i="19"/>
  <c r="AS333" i="19" s="1"/>
  <c r="AF333" i="19"/>
  <c r="AO333" i="19" s="1"/>
  <c r="AJ332" i="19"/>
  <c r="AS332" i="19" s="1"/>
  <c r="AF332" i="19"/>
  <c r="AO332" i="19" s="1"/>
  <c r="AJ331" i="19"/>
  <c r="AS331" i="19" s="1"/>
  <c r="AF331" i="19"/>
  <c r="AO331" i="19" s="1"/>
  <c r="AJ330" i="19"/>
  <c r="AS330" i="19" s="1"/>
  <c r="AF330" i="19"/>
  <c r="AO330" i="19" s="1"/>
  <c r="AJ329" i="19"/>
  <c r="AS329" i="19" s="1"/>
  <c r="AF329" i="19"/>
  <c r="AO329" i="19" s="1"/>
  <c r="AJ328" i="19"/>
  <c r="AS328" i="19" s="1"/>
  <c r="AF328" i="19"/>
  <c r="AO328" i="19" s="1"/>
  <c r="AJ327" i="19"/>
  <c r="AS327" i="19" s="1"/>
  <c r="AF327" i="19"/>
  <c r="AO327" i="19" s="1"/>
  <c r="AJ326" i="19"/>
  <c r="AS326" i="19" s="1"/>
  <c r="AF326" i="19"/>
  <c r="AO326" i="19" s="1"/>
  <c r="AJ325" i="19"/>
  <c r="AS325" i="19" s="1"/>
  <c r="AF325" i="19"/>
  <c r="AO325" i="19" s="1"/>
  <c r="AJ324" i="19"/>
  <c r="AS324" i="19" s="1"/>
  <c r="AF324" i="19"/>
  <c r="AO324" i="19" s="1"/>
  <c r="AJ323" i="19"/>
  <c r="AS323" i="19" s="1"/>
  <c r="AF323" i="19"/>
  <c r="AO323" i="19" s="1"/>
  <c r="AJ322" i="19"/>
  <c r="AS322" i="19" s="1"/>
  <c r="AF322" i="19"/>
  <c r="AO322" i="19" s="1"/>
  <c r="AJ321" i="19"/>
  <c r="AS321" i="19" s="1"/>
  <c r="AF321" i="19"/>
  <c r="AO321" i="19" s="1"/>
  <c r="AJ320" i="19"/>
  <c r="AS320" i="19" s="1"/>
  <c r="AF320" i="19"/>
  <c r="AO320" i="19" s="1"/>
  <c r="AJ319" i="19"/>
  <c r="AS319" i="19" s="1"/>
  <c r="AF319" i="19"/>
  <c r="AO319" i="19" s="1"/>
  <c r="AJ318" i="19"/>
  <c r="AS318" i="19" s="1"/>
  <c r="AF318" i="19"/>
  <c r="AO318" i="19" s="1"/>
  <c r="AJ317" i="19"/>
  <c r="AS317" i="19" s="1"/>
  <c r="AF317" i="19"/>
  <c r="AO317" i="19" s="1"/>
  <c r="AJ316" i="19"/>
  <c r="AS316" i="19" s="1"/>
  <c r="AF316" i="19"/>
  <c r="AO316" i="19" s="1"/>
  <c r="AJ315" i="19"/>
  <c r="AS315" i="19" s="1"/>
  <c r="AF315" i="19"/>
  <c r="AO315" i="19" s="1"/>
  <c r="AJ314" i="19"/>
  <c r="AS314" i="19" s="1"/>
  <c r="AF314" i="19"/>
  <c r="AO314" i="19" s="1"/>
  <c r="AJ313" i="19"/>
  <c r="AS313" i="19" s="1"/>
  <c r="AF313" i="19"/>
  <c r="AO313" i="19" s="1"/>
  <c r="AJ312" i="19"/>
  <c r="AS312" i="19" s="1"/>
  <c r="AF312" i="19"/>
  <c r="AO312" i="19" s="1"/>
  <c r="AJ311" i="19"/>
  <c r="AS311" i="19" s="1"/>
  <c r="AF311" i="19"/>
  <c r="AO311" i="19" s="1"/>
  <c r="AJ310" i="19"/>
  <c r="AS310" i="19" s="1"/>
  <c r="AF310" i="19"/>
  <c r="AO310" i="19" s="1"/>
  <c r="AJ309" i="19"/>
  <c r="AS309" i="19" s="1"/>
  <c r="AF309" i="19"/>
  <c r="AO309" i="19" s="1"/>
  <c r="AJ308" i="19"/>
  <c r="AS308" i="19" s="1"/>
  <c r="AF308" i="19"/>
  <c r="AO308" i="19" s="1"/>
  <c r="AJ307" i="19"/>
  <c r="AS307" i="19" s="1"/>
  <c r="AF307" i="19"/>
  <c r="AO307" i="19" s="1"/>
  <c r="AJ306" i="19"/>
  <c r="AS306" i="19" s="1"/>
  <c r="AF306" i="19"/>
  <c r="AO306" i="19" s="1"/>
  <c r="AJ305" i="19"/>
  <c r="AS305" i="19" s="1"/>
  <c r="AF305" i="19"/>
  <c r="AO305" i="19" s="1"/>
  <c r="AJ304" i="19"/>
  <c r="AS304" i="19" s="1"/>
  <c r="AF304" i="19"/>
  <c r="AO304" i="19" s="1"/>
  <c r="AJ303" i="19"/>
  <c r="AS303" i="19" s="1"/>
  <c r="AF303" i="19"/>
  <c r="AO303" i="19" s="1"/>
  <c r="AJ302" i="19"/>
  <c r="AS302" i="19" s="1"/>
  <c r="AF302" i="19"/>
  <c r="AO302" i="19" s="1"/>
  <c r="AJ301" i="19"/>
  <c r="AS301" i="19" s="1"/>
  <c r="AF301" i="19"/>
  <c r="AO301" i="19" s="1"/>
  <c r="AJ300" i="19"/>
  <c r="AS300" i="19" s="1"/>
  <c r="AF300" i="19"/>
  <c r="AO300" i="19" s="1"/>
  <c r="AJ299" i="19"/>
  <c r="AS299" i="19" s="1"/>
  <c r="AF299" i="19"/>
  <c r="AO299" i="19" s="1"/>
  <c r="AJ298" i="19"/>
  <c r="AS298" i="19" s="1"/>
  <c r="AF298" i="19"/>
  <c r="AO298" i="19" s="1"/>
  <c r="AJ297" i="19"/>
  <c r="AS297" i="19" s="1"/>
  <c r="AF297" i="19"/>
  <c r="AO297" i="19" s="1"/>
  <c r="AJ296" i="19"/>
  <c r="AS296" i="19" s="1"/>
  <c r="AF296" i="19"/>
  <c r="AO296" i="19" s="1"/>
  <c r="AJ295" i="19"/>
  <c r="AS295" i="19" s="1"/>
  <c r="AF295" i="19"/>
  <c r="AO295" i="19" s="1"/>
  <c r="AJ294" i="19"/>
  <c r="AS294" i="19" s="1"/>
  <c r="AF294" i="19"/>
  <c r="AO294" i="19" s="1"/>
  <c r="AJ293" i="19"/>
  <c r="AS293" i="19" s="1"/>
  <c r="AF293" i="19"/>
  <c r="AO293" i="19" s="1"/>
  <c r="AJ292" i="19"/>
  <c r="AS292" i="19" s="1"/>
  <c r="AF292" i="19"/>
  <c r="AO292" i="19" s="1"/>
  <c r="AJ291" i="19"/>
  <c r="AS291" i="19" s="1"/>
  <c r="AF291" i="19"/>
  <c r="AO291" i="19" s="1"/>
  <c r="AJ290" i="19"/>
  <c r="AS290" i="19" s="1"/>
  <c r="AF290" i="19"/>
  <c r="AO290" i="19" s="1"/>
  <c r="AJ289" i="19"/>
  <c r="AS289" i="19" s="1"/>
  <c r="AF289" i="19"/>
  <c r="AO289" i="19" s="1"/>
  <c r="AJ288" i="19"/>
  <c r="AS288" i="19" s="1"/>
  <c r="AF288" i="19"/>
  <c r="AO288" i="19" s="1"/>
  <c r="AJ287" i="19"/>
  <c r="AS287" i="19" s="1"/>
  <c r="AF287" i="19"/>
  <c r="AO287" i="19" s="1"/>
  <c r="AJ286" i="19"/>
  <c r="AS286" i="19" s="1"/>
  <c r="AF286" i="19"/>
  <c r="AO286" i="19" s="1"/>
  <c r="AJ285" i="19"/>
  <c r="AS285" i="19" s="1"/>
  <c r="AF285" i="19"/>
  <c r="AO285" i="19" s="1"/>
  <c r="AJ284" i="19"/>
  <c r="AS284" i="19" s="1"/>
  <c r="AF284" i="19"/>
  <c r="AO284" i="19" s="1"/>
  <c r="AJ283" i="19"/>
  <c r="AS283" i="19" s="1"/>
  <c r="AF283" i="19"/>
  <c r="AO283" i="19" s="1"/>
  <c r="AJ282" i="19"/>
  <c r="AS282" i="19" s="1"/>
  <c r="AF282" i="19"/>
  <c r="AO282" i="19" s="1"/>
  <c r="AJ281" i="19"/>
  <c r="AS281" i="19" s="1"/>
  <c r="AF281" i="19"/>
  <c r="AO281" i="19" s="1"/>
  <c r="AJ280" i="19"/>
  <c r="AS280" i="19" s="1"/>
  <c r="AF280" i="19"/>
  <c r="AO280" i="19" s="1"/>
  <c r="AJ279" i="19"/>
  <c r="AS279" i="19" s="1"/>
  <c r="AF279" i="19"/>
  <c r="AO279" i="19" s="1"/>
  <c r="AJ278" i="19"/>
  <c r="AS278" i="19" s="1"/>
  <c r="AF278" i="19"/>
  <c r="AO278" i="19" s="1"/>
  <c r="AJ277" i="19"/>
  <c r="AS277" i="19" s="1"/>
  <c r="AF277" i="19"/>
  <c r="AO277" i="19" s="1"/>
  <c r="AJ276" i="19"/>
  <c r="AS276" i="19" s="1"/>
  <c r="AF276" i="19"/>
  <c r="AO276" i="19" s="1"/>
  <c r="AJ275" i="19"/>
  <c r="AS275" i="19" s="1"/>
  <c r="AF275" i="19"/>
  <c r="AO275" i="19" s="1"/>
  <c r="AJ274" i="19"/>
  <c r="AS274" i="19" s="1"/>
  <c r="AF274" i="19"/>
  <c r="AO274" i="19" s="1"/>
  <c r="AJ273" i="19"/>
  <c r="AS273" i="19" s="1"/>
  <c r="AF273" i="19"/>
  <c r="AO273" i="19" s="1"/>
  <c r="AJ272" i="19"/>
  <c r="AS272" i="19" s="1"/>
  <c r="AF272" i="19"/>
  <c r="AO272" i="19" s="1"/>
  <c r="AJ271" i="19"/>
  <c r="AS271" i="19" s="1"/>
  <c r="AF271" i="19"/>
  <c r="AO271" i="19" s="1"/>
  <c r="AJ270" i="19"/>
  <c r="AS270" i="19" s="1"/>
  <c r="AF270" i="19"/>
  <c r="AO270" i="19" s="1"/>
  <c r="AJ269" i="19"/>
  <c r="AS269" i="19" s="1"/>
  <c r="AF269" i="19"/>
  <c r="AO269" i="19" s="1"/>
  <c r="AJ268" i="19"/>
  <c r="AS268" i="19" s="1"/>
  <c r="AF268" i="19"/>
  <c r="AO268" i="19" s="1"/>
  <c r="AJ267" i="19"/>
  <c r="AS267" i="19" s="1"/>
  <c r="AF267" i="19"/>
  <c r="AO267" i="19" s="1"/>
  <c r="AJ266" i="19"/>
  <c r="AS266" i="19" s="1"/>
  <c r="AF266" i="19"/>
  <c r="AO266" i="19" s="1"/>
  <c r="AJ265" i="19"/>
  <c r="AS265" i="19" s="1"/>
  <c r="AF265" i="19"/>
  <c r="AO265" i="19" s="1"/>
  <c r="AJ264" i="19"/>
  <c r="AS264" i="19" s="1"/>
  <c r="AF264" i="19"/>
  <c r="AO264" i="19" s="1"/>
  <c r="AJ263" i="19"/>
  <c r="AS263" i="19" s="1"/>
  <c r="AF263" i="19"/>
  <c r="AO263" i="19" s="1"/>
  <c r="AJ262" i="19"/>
  <c r="AS262" i="19" s="1"/>
  <c r="AF262" i="19"/>
  <c r="AO262" i="19" s="1"/>
  <c r="AJ261" i="19"/>
  <c r="AS261" i="19" s="1"/>
  <c r="AF261" i="19"/>
  <c r="AO261" i="19" s="1"/>
  <c r="AJ260" i="19"/>
  <c r="AS260" i="19" s="1"/>
  <c r="AF260" i="19"/>
  <c r="AO260" i="19" s="1"/>
  <c r="AJ259" i="19"/>
  <c r="AS259" i="19" s="1"/>
  <c r="AF259" i="19"/>
  <c r="AO259" i="19" s="1"/>
  <c r="AJ258" i="19"/>
  <c r="AS258" i="19" s="1"/>
  <c r="AF258" i="19"/>
  <c r="AO258" i="19" s="1"/>
  <c r="AJ257" i="19"/>
  <c r="AS257" i="19" s="1"/>
  <c r="AF257" i="19"/>
  <c r="AO257" i="19" s="1"/>
  <c r="AJ256" i="19"/>
  <c r="AS256" i="19" s="1"/>
  <c r="AF256" i="19"/>
  <c r="AO256" i="19" s="1"/>
  <c r="AJ255" i="19"/>
  <c r="AS255" i="19" s="1"/>
  <c r="AF255" i="19"/>
  <c r="AO255" i="19" s="1"/>
  <c r="AJ254" i="19"/>
  <c r="AS254" i="19" s="1"/>
  <c r="AF254" i="19"/>
  <c r="AO254" i="19" s="1"/>
  <c r="AJ253" i="19"/>
  <c r="AS253" i="19" s="1"/>
  <c r="AF253" i="19"/>
  <c r="AO253" i="19" s="1"/>
  <c r="AJ252" i="19"/>
  <c r="AS252" i="19" s="1"/>
  <c r="AF252" i="19"/>
  <c r="AO252" i="19" s="1"/>
  <c r="AJ251" i="19"/>
  <c r="AS251" i="19" s="1"/>
  <c r="AF251" i="19"/>
  <c r="AO251" i="19" s="1"/>
  <c r="AJ250" i="19"/>
  <c r="AS250" i="19" s="1"/>
  <c r="AF250" i="19"/>
  <c r="AO250" i="19" s="1"/>
  <c r="AJ249" i="19"/>
  <c r="AS249" i="19" s="1"/>
  <c r="AF249" i="19"/>
  <c r="AO249" i="19" s="1"/>
  <c r="AJ248" i="19"/>
  <c r="AS248" i="19" s="1"/>
  <c r="AF248" i="19"/>
  <c r="AO248" i="19" s="1"/>
  <c r="AJ247" i="19"/>
  <c r="AS247" i="19" s="1"/>
  <c r="AF247" i="19"/>
  <c r="AO247" i="19" s="1"/>
  <c r="AJ246" i="19"/>
  <c r="AS246" i="19" s="1"/>
  <c r="AF246" i="19"/>
  <c r="AO246" i="19" s="1"/>
  <c r="AJ245" i="19"/>
  <c r="AS245" i="19" s="1"/>
  <c r="AF245" i="19"/>
  <c r="AO245" i="19" s="1"/>
  <c r="AJ244" i="19"/>
  <c r="AS244" i="19" s="1"/>
  <c r="AF244" i="19"/>
  <c r="AO244" i="19" s="1"/>
  <c r="AJ243" i="19"/>
  <c r="AS243" i="19" s="1"/>
  <c r="AF243" i="19"/>
  <c r="AO243" i="19" s="1"/>
  <c r="AJ242" i="19"/>
  <c r="AS242" i="19" s="1"/>
  <c r="AF242" i="19"/>
  <c r="AO242" i="19" s="1"/>
  <c r="AJ241" i="19"/>
  <c r="AS241" i="19" s="1"/>
  <c r="AF241" i="19"/>
  <c r="AO241" i="19" s="1"/>
  <c r="AJ240" i="19"/>
  <c r="AS240" i="19" s="1"/>
  <c r="AF240" i="19"/>
  <c r="AO240" i="19" s="1"/>
  <c r="AJ239" i="19"/>
  <c r="AS239" i="19" s="1"/>
  <c r="AF239" i="19"/>
  <c r="AO239" i="19" s="1"/>
  <c r="AJ238" i="19"/>
  <c r="AS238" i="19" s="1"/>
  <c r="AF238" i="19"/>
  <c r="AO238" i="19" s="1"/>
  <c r="AJ237" i="19"/>
  <c r="AS237" i="19" s="1"/>
  <c r="AF237" i="19"/>
  <c r="AO237" i="19" s="1"/>
  <c r="AJ236" i="19"/>
  <c r="AS236" i="19" s="1"/>
  <c r="AF236" i="19"/>
  <c r="AO236" i="19" s="1"/>
  <c r="AJ235" i="19"/>
  <c r="AS235" i="19" s="1"/>
  <c r="AF235" i="19"/>
  <c r="AO235" i="19" s="1"/>
  <c r="AJ234" i="19"/>
  <c r="AS234" i="19" s="1"/>
  <c r="AF234" i="19"/>
  <c r="AO234" i="19" s="1"/>
  <c r="AJ233" i="19"/>
  <c r="AS233" i="19" s="1"/>
  <c r="AF233" i="19"/>
  <c r="AO233" i="19" s="1"/>
  <c r="AJ232" i="19"/>
  <c r="AS232" i="19" s="1"/>
  <c r="AF232" i="19"/>
  <c r="AO232" i="19" s="1"/>
  <c r="AJ231" i="19"/>
  <c r="AS231" i="19" s="1"/>
  <c r="AF231" i="19"/>
  <c r="AO231" i="19" s="1"/>
  <c r="AJ230" i="19"/>
  <c r="AS230" i="19" s="1"/>
  <c r="AF230" i="19"/>
  <c r="AO230" i="19" s="1"/>
  <c r="AJ229" i="19"/>
  <c r="AS229" i="19" s="1"/>
  <c r="AF229" i="19"/>
  <c r="AO229" i="19" s="1"/>
  <c r="AJ228" i="19"/>
  <c r="AS228" i="19" s="1"/>
  <c r="AF228" i="19"/>
  <c r="AO228" i="19" s="1"/>
  <c r="AJ227" i="19"/>
  <c r="AS227" i="19" s="1"/>
  <c r="AF227" i="19"/>
  <c r="AO227" i="19" s="1"/>
  <c r="AJ226" i="19"/>
  <c r="AS226" i="19" s="1"/>
  <c r="AF226" i="19"/>
  <c r="AO226" i="19" s="1"/>
  <c r="AJ225" i="19"/>
  <c r="AS225" i="19" s="1"/>
  <c r="AF225" i="19"/>
  <c r="AO225" i="19" s="1"/>
  <c r="AJ224" i="19"/>
  <c r="AS224" i="19" s="1"/>
  <c r="AF224" i="19"/>
  <c r="AO224" i="19" s="1"/>
  <c r="AJ223" i="19"/>
  <c r="AS223" i="19" s="1"/>
  <c r="AF223" i="19"/>
  <c r="AO223" i="19" s="1"/>
  <c r="AJ222" i="19"/>
  <c r="AS222" i="19" s="1"/>
  <c r="AF222" i="19"/>
  <c r="AO222" i="19" s="1"/>
  <c r="AJ221" i="19"/>
  <c r="AS221" i="19" s="1"/>
  <c r="AF221" i="19"/>
  <c r="AO221" i="19" s="1"/>
  <c r="AJ220" i="19"/>
  <c r="AS220" i="19" s="1"/>
  <c r="AF220" i="19"/>
  <c r="AO220" i="19" s="1"/>
  <c r="AJ219" i="19"/>
  <c r="AS219" i="19" s="1"/>
  <c r="AF219" i="19"/>
  <c r="AO219" i="19" s="1"/>
  <c r="AJ218" i="19"/>
  <c r="AS218" i="19" s="1"/>
  <c r="AF218" i="19"/>
  <c r="AO218" i="19" s="1"/>
  <c r="AJ217" i="19"/>
  <c r="AS217" i="19" s="1"/>
  <c r="AF217" i="19"/>
  <c r="AO217" i="19" s="1"/>
  <c r="AJ216" i="19"/>
  <c r="AS216" i="19" s="1"/>
  <c r="AF216" i="19"/>
  <c r="AO216" i="19" s="1"/>
  <c r="AJ215" i="19"/>
  <c r="AS215" i="19" s="1"/>
  <c r="AF215" i="19"/>
  <c r="AO215" i="19" s="1"/>
  <c r="AJ214" i="19"/>
  <c r="AS214" i="19" s="1"/>
  <c r="AF214" i="19"/>
  <c r="AO214" i="19" s="1"/>
  <c r="AJ213" i="19"/>
  <c r="AS213" i="19" s="1"/>
  <c r="AF213" i="19"/>
  <c r="AO213" i="19" s="1"/>
  <c r="AJ212" i="19"/>
  <c r="AS212" i="19" s="1"/>
  <c r="AF212" i="19"/>
  <c r="AO212" i="19" s="1"/>
  <c r="AJ211" i="19"/>
  <c r="AS211" i="19" s="1"/>
  <c r="AF211" i="19"/>
  <c r="AO211" i="19" s="1"/>
  <c r="AJ210" i="19"/>
  <c r="AS210" i="19" s="1"/>
  <c r="AF210" i="19"/>
  <c r="AO210" i="19" s="1"/>
  <c r="AJ209" i="19"/>
  <c r="AS209" i="19" s="1"/>
  <c r="AF209" i="19"/>
  <c r="AO209" i="19" s="1"/>
  <c r="AJ208" i="19"/>
  <c r="AS208" i="19" s="1"/>
  <c r="AF208" i="19"/>
  <c r="AO208" i="19" s="1"/>
  <c r="AJ207" i="19"/>
  <c r="AS207" i="19" s="1"/>
  <c r="AF207" i="19"/>
  <c r="AO207" i="19" s="1"/>
  <c r="AJ206" i="19"/>
  <c r="AS206" i="19" s="1"/>
  <c r="AF206" i="19"/>
  <c r="AO206" i="19" s="1"/>
  <c r="AJ205" i="19"/>
  <c r="AS205" i="19" s="1"/>
  <c r="AF205" i="19"/>
  <c r="AO205" i="19" s="1"/>
  <c r="AJ204" i="19"/>
  <c r="AS204" i="19" s="1"/>
  <c r="AF204" i="19"/>
  <c r="AO204" i="19" s="1"/>
  <c r="AJ203" i="19"/>
  <c r="AS203" i="19" s="1"/>
  <c r="AF203" i="19"/>
  <c r="AO203" i="19" s="1"/>
  <c r="AJ202" i="19"/>
  <c r="AS202" i="19" s="1"/>
  <c r="AF202" i="19"/>
  <c r="AO202" i="19" s="1"/>
  <c r="AJ201" i="19"/>
  <c r="AS201" i="19" s="1"/>
  <c r="AF201" i="19"/>
  <c r="AO201" i="19" s="1"/>
  <c r="AJ200" i="19"/>
  <c r="AS200" i="19" s="1"/>
  <c r="AF200" i="19"/>
  <c r="AO200" i="19" s="1"/>
  <c r="AJ199" i="19"/>
  <c r="AS199" i="19" s="1"/>
  <c r="AF199" i="19"/>
  <c r="AO199" i="19" s="1"/>
  <c r="AJ198" i="19"/>
  <c r="AS198" i="19" s="1"/>
  <c r="AF198" i="19"/>
  <c r="AO198" i="19" s="1"/>
  <c r="AJ197" i="19"/>
  <c r="AS197" i="19" s="1"/>
  <c r="AF197" i="19"/>
  <c r="AO197" i="19" s="1"/>
  <c r="AJ196" i="19"/>
  <c r="AS196" i="19" s="1"/>
  <c r="AF196" i="19"/>
  <c r="AO196" i="19" s="1"/>
  <c r="AJ195" i="19"/>
  <c r="AS195" i="19" s="1"/>
  <c r="AF195" i="19"/>
  <c r="AO195" i="19" s="1"/>
  <c r="AJ194" i="19"/>
  <c r="AS194" i="19" s="1"/>
  <c r="AF194" i="19"/>
  <c r="AO194" i="19" s="1"/>
  <c r="AJ193" i="19"/>
  <c r="AS193" i="19" s="1"/>
  <c r="AF193" i="19"/>
  <c r="AO193" i="19" s="1"/>
  <c r="AJ192" i="19"/>
  <c r="AS192" i="19" s="1"/>
  <c r="AF192" i="19"/>
  <c r="AO192" i="19" s="1"/>
  <c r="AJ191" i="19"/>
  <c r="AS191" i="19" s="1"/>
  <c r="AF191" i="19"/>
  <c r="AO191" i="19" s="1"/>
  <c r="AJ190" i="19"/>
  <c r="AS190" i="19" s="1"/>
  <c r="AF190" i="19"/>
  <c r="AO190" i="19" s="1"/>
  <c r="AJ189" i="19"/>
  <c r="AS189" i="19" s="1"/>
  <c r="AF189" i="19"/>
  <c r="AO189" i="19" s="1"/>
  <c r="AJ188" i="19"/>
  <c r="AS188" i="19" s="1"/>
  <c r="AF188" i="19"/>
  <c r="AO188" i="19" s="1"/>
  <c r="AJ187" i="19"/>
  <c r="AS187" i="19" s="1"/>
  <c r="AF187" i="19"/>
  <c r="AO187" i="19" s="1"/>
  <c r="AJ186" i="19"/>
  <c r="AS186" i="19" s="1"/>
  <c r="AF186" i="19"/>
  <c r="AO186" i="19" s="1"/>
  <c r="AJ185" i="19"/>
  <c r="AS185" i="19" s="1"/>
  <c r="AF185" i="19"/>
  <c r="AO185" i="19" s="1"/>
  <c r="AJ184" i="19"/>
  <c r="AS184" i="19" s="1"/>
  <c r="AF184" i="19"/>
  <c r="AO184" i="19" s="1"/>
  <c r="AJ183" i="19"/>
  <c r="AS183" i="19" s="1"/>
  <c r="AF183" i="19"/>
  <c r="AO183" i="19" s="1"/>
  <c r="AJ182" i="19"/>
  <c r="AS182" i="19" s="1"/>
  <c r="AF182" i="19"/>
  <c r="AO182" i="19" s="1"/>
  <c r="AJ181" i="19"/>
  <c r="AS181" i="19" s="1"/>
  <c r="AF181" i="19"/>
  <c r="AO181" i="19" s="1"/>
  <c r="AJ180" i="19"/>
  <c r="AS180" i="19" s="1"/>
  <c r="AF180" i="19"/>
  <c r="AO180" i="19" s="1"/>
  <c r="AJ179" i="19"/>
  <c r="AS179" i="19" s="1"/>
  <c r="AF179" i="19"/>
  <c r="AO179" i="19" s="1"/>
  <c r="AJ178" i="19"/>
  <c r="AS178" i="19" s="1"/>
  <c r="AF178" i="19"/>
  <c r="AO178" i="19" s="1"/>
  <c r="AJ177" i="19"/>
  <c r="AS177" i="19" s="1"/>
  <c r="AF177" i="19"/>
  <c r="AO177" i="19" s="1"/>
  <c r="AJ176" i="19"/>
  <c r="AS176" i="19" s="1"/>
  <c r="AF176" i="19"/>
  <c r="AO176" i="19" s="1"/>
  <c r="AJ175" i="19"/>
  <c r="AS175" i="19" s="1"/>
  <c r="AF175" i="19"/>
  <c r="AO175" i="19" s="1"/>
  <c r="AJ174" i="19"/>
  <c r="AS174" i="19" s="1"/>
  <c r="AF174" i="19"/>
  <c r="AO174" i="19" s="1"/>
  <c r="AJ173" i="19"/>
  <c r="AS173" i="19" s="1"/>
  <c r="AF173" i="19"/>
  <c r="AO173" i="19" s="1"/>
  <c r="AJ172" i="19"/>
  <c r="AS172" i="19" s="1"/>
  <c r="AF172" i="19"/>
  <c r="AO172" i="19" s="1"/>
  <c r="AJ171" i="19"/>
  <c r="AS171" i="19" s="1"/>
  <c r="AF171" i="19"/>
  <c r="AO171" i="19" s="1"/>
  <c r="AJ170" i="19"/>
  <c r="AS170" i="19" s="1"/>
  <c r="AF170" i="19"/>
  <c r="AO170" i="19" s="1"/>
  <c r="AJ169" i="19"/>
  <c r="AS169" i="19" s="1"/>
  <c r="AF169" i="19"/>
  <c r="AO169" i="19" s="1"/>
  <c r="AJ168" i="19"/>
  <c r="AS168" i="19" s="1"/>
  <c r="AF168" i="19"/>
  <c r="AO168" i="19" s="1"/>
  <c r="AJ167" i="19"/>
  <c r="AS167" i="19" s="1"/>
  <c r="AF167" i="19"/>
  <c r="AO167" i="19" s="1"/>
  <c r="AJ166" i="19"/>
  <c r="AS166" i="19" s="1"/>
  <c r="AF166" i="19"/>
  <c r="AO166" i="19" s="1"/>
  <c r="AJ165" i="19"/>
  <c r="AS165" i="19" s="1"/>
  <c r="AF165" i="19"/>
  <c r="AO165" i="19" s="1"/>
  <c r="AJ164" i="19"/>
  <c r="AS164" i="19" s="1"/>
  <c r="AF164" i="19"/>
  <c r="AO164" i="19" s="1"/>
  <c r="AJ163" i="19"/>
  <c r="AS163" i="19" s="1"/>
  <c r="AF163" i="19"/>
  <c r="AO163" i="19" s="1"/>
  <c r="AJ162" i="19"/>
  <c r="AS162" i="19" s="1"/>
  <c r="AF162" i="19"/>
  <c r="AO162" i="19" s="1"/>
  <c r="AJ161" i="19"/>
  <c r="AS161" i="19" s="1"/>
  <c r="AF161" i="19"/>
  <c r="AO161" i="19" s="1"/>
  <c r="AJ160" i="19"/>
  <c r="AS160" i="19" s="1"/>
  <c r="AF160" i="19"/>
  <c r="AO160" i="19" s="1"/>
  <c r="AJ159" i="19"/>
  <c r="AS159" i="19" s="1"/>
  <c r="AF159" i="19"/>
  <c r="AO159" i="19" s="1"/>
  <c r="AJ158" i="19"/>
  <c r="AS158" i="19" s="1"/>
  <c r="AF158" i="19"/>
  <c r="AO158" i="19" s="1"/>
  <c r="AJ157" i="19"/>
  <c r="AS157" i="19" s="1"/>
  <c r="AF157" i="19"/>
  <c r="AO157" i="19" s="1"/>
  <c r="AJ156" i="19"/>
  <c r="AS156" i="19" s="1"/>
  <c r="AF156" i="19"/>
  <c r="AO156" i="19" s="1"/>
  <c r="AJ155" i="19"/>
  <c r="AS155" i="19" s="1"/>
  <c r="AF155" i="19"/>
  <c r="AO155" i="19" s="1"/>
  <c r="AJ154" i="19"/>
  <c r="AS154" i="19" s="1"/>
  <c r="AF154" i="19"/>
  <c r="AO154" i="19" s="1"/>
  <c r="AJ153" i="19"/>
  <c r="AS153" i="19" s="1"/>
  <c r="AF153" i="19"/>
  <c r="AO153" i="19" s="1"/>
  <c r="AJ152" i="19"/>
  <c r="AS152" i="19" s="1"/>
  <c r="AF152" i="19"/>
  <c r="AO152" i="19" s="1"/>
  <c r="AJ151" i="19"/>
  <c r="AS151" i="19" s="1"/>
  <c r="AF151" i="19"/>
  <c r="AO151" i="19" s="1"/>
  <c r="AJ150" i="19"/>
  <c r="AS150" i="19" s="1"/>
  <c r="AF150" i="19"/>
  <c r="AO150" i="19" s="1"/>
  <c r="AJ149" i="19"/>
  <c r="AS149" i="19" s="1"/>
  <c r="AF149" i="19"/>
  <c r="AO149" i="19" s="1"/>
  <c r="AJ148" i="19"/>
  <c r="AS148" i="19" s="1"/>
  <c r="AF148" i="19"/>
  <c r="AO148" i="19" s="1"/>
  <c r="AJ147" i="19"/>
  <c r="AS147" i="19" s="1"/>
  <c r="AF147" i="19"/>
  <c r="AO147" i="19" s="1"/>
  <c r="AJ146" i="19"/>
  <c r="AS146" i="19" s="1"/>
  <c r="AF146" i="19"/>
  <c r="AO146" i="19" s="1"/>
  <c r="AJ145" i="19"/>
  <c r="AS145" i="19" s="1"/>
  <c r="AF145" i="19"/>
  <c r="AO145" i="19" s="1"/>
  <c r="AJ144" i="19"/>
  <c r="AS144" i="19" s="1"/>
  <c r="AF144" i="19"/>
  <c r="AO144" i="19" s="1"/>
  <c r="AJ143" i="19"/>
  <c r="AS143" i="19" s="1"/>
  <c r="AF143" i="19"/>
  <c r="AO143" i="19" s="1"/>
  <c r="AJ142" i="19"/>
  <c r="AS142" i="19" s="1"/>
  <c r="AF142" i="19"/>
  <c r="AO142" i="19" s="1"/>
  <c r="AJ141" i="19"/>
  <c r="AS141" i="19" s="1"/>
  <c r="AF141" i="19"/>
  <c r="AO141" i="19" s="1"/>
  <c r="AJ140" i="19"/>
  <c r="AS140" i="19" s="1"/>
  <c r="AF140" i="19"/>
  <c r="AO140" i="19" s="1"/>
  <c r="AJ139" i="19"/>
  <c r="AS139" i="19" s="1"/>
  <c r="AF139" i="19"/>
  <c r="AO139" i="19" s="1"/>
  <c r="AJ138" i="19"/>
  <c r="AS138" i="19" s="1"/>
  <c r="AF138" i="19"/>
  <c r="AO138" i="19" s="1"/>
  <c r="AJ137" i="19"/>
  <c r="AS137" i="19" s="1"/>
  <c r="AF137" i="19"/>
  <c r="AO137" i="19" s="1"/>
  <c r="AJ136" i="19"/>
  <c r="AS136" i="19" s="1"/>
  <c r="AF136" i="19"/>
  <c r="AO136" i="19" s="1"/>
  <c r="AJ135" i="19"/>
  <c r="AS135" i="19" s="1"/>
  <c r="AF135" i="19"/>
  <c r="AO135" i="19" s="1"/>
  <c r="AJ134" i="19"/>
  <c r="AS134" i="19" s="1"/>
  <c r="AF134" i="19"/>
  <c r="AO134" i="19" s="1"/>
  <c r="AJ133" i="19"/>
  <c r="AS133" i="19" s="1"/>
  <c r="AF133" i="19"/>
  <c r="AO133" i="19" s="1"/>
  <c r="AJ132" i="19"/>
  <c r="AS132" i="19" s="1"/>
  <c r="AF132" i="19"/>
  <c r="AO132" i="19" s="1"/>
  <c r="AJ131" i="19"/>
  <c r="AS131" i="19" s="1"/>
  <c r="AF131" i="19"/>
  <c r="AO131" i="19" s="1"/>
  <c r="AJ130" i="19"/>
  <c r="AS130" i="19" s="1"/>
  <c r="AF130" i="19"/>
  <c r="AO130" i="19" s="1"/>
  <c r="AJ129" i="19"/>
  <c r="AS129" i="19" s="1"/>
  <c r="AF129" i="19"/>
  <c r="AO129" i="19" s="1"/>
  <c r="AJ128" i="19"/>
  <c r="AS128" i="19" s="1"/>
  <c r="AF128" i="19"/>
  <c r="AO128" i="19" s="1"/>
  <c r="AJ127" i="19"/>
  <c r="AS127" i="19" s="1"/>
  <c r="AF127" i="19"/>
  <c r="AO127" i="19" s="1"/>
  <c r="AJ126" i="19"/>
  <c r="AS126" i="19" s="1"/>
  <c r="AF126" i="19"/>
  <c r="AO126" i="19" s="1"/>
  <c r="AJ125" i="19"/>
  <c r="AS125" i="19" s="1"/>
  <c r="AF125" i="19"/>
  <c r="AO125" i="19" s="1"/>
  <c r="AJ124" i="19"/>
  <c r="AS124" i="19" s="1"/>
  <c r="AF124" i="19"/>
  <c r="AO124" i="19" s="1"/>
  <c r="AJ123" i="19"/>
  <c r="AS123" i="19" s="1"/>
  <c r="AF123" i="19"/>
  <c r="AO123" i="19" s="1"/>
  <c r="AJ122" i="19"/>
  <c r="AS122" i="19" s="1"/>
  <c r="AF122" i="19"/>
  <c r="AO122" i="19" s="1"/>
  <c r="AJ121" i="19"/>
  <c r="AS121" i="19" s="1"/>
  <c r="AF121" i="19"/>
  <c r="AO121" i="19" s="1"/>
  <c r="AJ120" i="19"/>
  <c r="AS120" i="19" s="1"/>
  <c r="AF120" i="19"/>
  <c r="AO120" i="19" s="1"/>
  <c r="AJ119" i="19"/>
  <c r="AS119" i="19" s="1"/>
  <c r="AF119" i="19"/>
  <c r="AO119" i="19" s="1"/>
  <c r="AJ118" i="19"/>
  <c r="AS118" i="19" s="1"/>
  <c r="AF118" i="19"/>
  <c r="AO118" i="19" s="1"/>
  <c r="AJ117" i="19"/>
  <c r="AS117" i="19" s="1"/>
  <c r="AF117" i="19"/>
  <c r="AO117" i="19" s="1"/>
  <c r="AJ116" i="19"/>
  <c r="AS116" i="19" s="1"/>
  <c r="AF116" i="19"/>
  <c r="AO116" i="19" s="1"/>
  <c r="AJ115" i="19"/>
  <c r="AS115" i="19" s="1"/>
  <c r="AF115" i="19"/>
  <c r="AO115" i="19" s="1"/>
  <c r="AJ114" i="19"/>
  <c r="AS114" i="19" s="1"/>
  <c r="AF114" i="19"/>
  <c r="AO114" i="19" s="1"/>
  <c r="AJ113" i="19"/>
  <c r="AS113" i="19" s="1"/>
  <c r="AF113" i="19"/>
  <c r="AO113" i="19" s="1"/>
  <c r="AJ112" i="19"/>
  <c r="AS112" i="19" s="1"/>
  <c r="AF112" i="19"/>
  <c r="AO112" i="19" s="1"/>
  <c r="AJ111" i="19"/>
  <c r="AS111" i="19" s="1"/>
  <c r="AF111" i="19"/>
  <c r="AO111" i="19" s="1"/>
  <c r="AJ110" i="19"/>
  <c r="AS110" i="19" s="1"/>
  <c r="AF110" i="19"/>
  <c r="AO110" i="19" s="1"/>
  <c r="AJ109" i="19"/>
  <c r="AS109" i="19" s="1"/>
  <c r="AF109" i="19"/>
  <c r="AO109" i="19" s="1"/>
  <c r="AJ108" i="19"/>
  <c r="AS108" i="19" s="1"/>
  <c r="AF108" i="19"/>
  <c r="AO108" i="19" s="1"/>
  <c r="AJ107" i="19"/>
  <c r="AS107" i="19" s="1"/>
  <c r="AF107" i="19"/>
  <c r="AO107" i="19" s="1"/>
  <c r="AJ106" i="19"/>
  <c r="AS106" i="19" s="1"/>
  <c r="AF106" i="19"/>
  <c r="AO106" i="19" s="1"/>
  <c r="AJ105" i="19"/>
  <c r="AS105" i="19" s="1"/>
  <c r="AF105" i="19"/>
  <c r="AO105" i="19" s="1"/>
  <c r="AJ104" i="19"/>
  <c r="AS104" i="19" s="1"/>
  <c r="AF104" i="19"/>
  <c r="AO104" i="19" s="1"/>
  <c r="AJ103" i="19"/>
  <c r="AS103" i="19" s="1"/>
  <c r="AF103" i="19"/>
  <c r="AO103" i="19" s="1"/>
  <c r="AJ102" i="19"/>
  <c r="AS102" i="19" s="1"/>
  <c r="AF102" i="19"/>
  <c r="AO102" i="19" s="1"/>
  <c r="AJ101" i="19"/>
  <c r="AS101" i="19" s="1"/>
  <c r="AF101" i="19"/>
  <c r="AO101" i="19" s="1"/>
  <c r="AJ100" i="19"/>
  <c r="AS100" i="19" s="1"/>
  <c r="AF100" i="19"/>
  <c r="AO100" i="19" s="1"/>
  <c r="AJ99" i="19"/>
  <c r="AS99" i="19" s="1"/>
  <c r="AF99" i="19"/>
  <c r="AO99" i="19" s="1"/>
  <c r="AJ98" i="19"/>
  <c r="AS98" i="19" s="1"/>
  <c r="AF98" i="19"/>
  <c r="AO98" i="19" s="1"/>
  <c r="AJ97" i="19"/>
  <c r="AS97" i="19" s="1"/>
  <c r="AF97" i="19"/>
  <c r="AO97" i="19" s="1"/>
  <c r="AJ96" i="19"/>
  <c r="AS96" i="19" s="1"/>
  <c r="AF96" i="19"/>
  <c r="AO96" i="19" s="1"/>
  <c r="AJ95" i="19"/>
  <c r="AS95" i="19" s="1"/>
  <c r="AF95" i="19"/>
  <c r="AO95" i="19" s="1"/>
  <c r="AJ94" i="19"/>
  <c r="AS94" i="19" s="1"/>
  <c r="AF94" i="19"/>
  <c r="AO94" i="19" s="1"/>
  <c r="AJ93" i="19"/>
  <c r="AS93" i="19" s="1"/>
  <c r="AF93" i="19"/>
  <c r="AO93" i="19" s="1"/>
  <c r="AJ92" i="19"/>
  <c r="AS92" i="19" s="1"/>
  <c r="AF92" i="19"/>
  <c r="AO92" i="19" s="1"/>
  <c r="AJ91" i="19"/>
  <c r="AS91" i="19" s="1"/>
  <c r="AF91" i="19"/>
  <c r="AO91" i="19" s="1"/>
  <c r="AJ90" i="19"/>
  <c r="AS90" i="19" s="1"/>
  <c r="AF90" i="19"/>
  <c r="AO90" i="19" s="1"/>
  <c r="AJ89" i="19"/>
  <c r="AS89" i="19" s="1"/>
  <c r="AF89" i="19"/>
  <c r="AO89" i="19" s="1"/>
  <c r="AJ88" i="19"/>
  <c r="AS88" i="19" s="1"/>
  <c r="AF88" i="19"/>
  <c r="AO88" i="19" s="1"/>
  <c r="AJ87" i="19"/>
  <c r="AS87" i="19" s="1"/>
  <c r="AF87" i="19"/>
  <c r="AO87" i="19" s="1"/>
  <c r="AJ86" i="19"/>
  <c r="AS86" i="19" s="1"/>
  <c r="AF86" i="19"/>
  <c r="AO86" i="19" s="1"/>
  <c r="AJ85" i="19"/>
  <c r="AS85" i="19" s="1"/>
  <c r="AF85" i="19"/>
  <c r="AO85" i="19" s="1"/>
  <c r="AJ84" i="19"/>
  <c r="AS84" i="19" s="1"/>
  <c r="AF84" i="19"/>
  <c r="AO84" i="19" s="1"/>
  <c r="AJ83" i="19"/>
  <c r="AS83" i="19" s="1"/>
  <c r="AF83" i="19"/>
  <c r="AO83" i="19" s="1"/>
  <c r="AJ82" i="19"/>
  <c r="AS82" i="19" s="1"/>
  <c r="AF82" i="19"/>
  <c r="AO82" i="19" s="1"/>
  <c r="AJ81" i="19"/>
  <c r="AS81" i="19" s="1"/>
  <c r="AF81" i="19"/>
  <c r="AO81" i="19" s="1"/>
  <c r="AJ80" i="19"/>
  <c r="AS80" i="19" s="1"/>
  <c r="AF80" i="19"/>
  <c r="AO80" i="19" s="1"/>
  <c r="AJ79" i="19"/>
  <c r="AS79" i="19" s="1"/>
  <c r="AF79" i="19"/>
  <c r="AO79" i="19" s="1"/>
  <c r="AJ78" i="19"/>
  <c r="AS78" i="19" s="1"/>
  <c r="AF78" i="19"/>
  <c r="AO78" i="19" s="1"/>
  <c r="AJ77" i="19"/>
  <c r="AS77" i="19" s="1"/>
  <c r="AF77" i="19"/>
  <c r="AO77" i="19" s="1"/>
  <c r="AJ76" i="19"/>
  <c r="AS76" i="19" s="1"/>
  <c r="AF76" i="19"/>
  <c r="AO76" i="19" s="1"/>
  <c r="AJ75" i="19"/>
  <c r="AS75" i="19" s="1"/>
  <c r="AF75" i="19"/>
  <c r="AO75" i="19" s="1"/>
  <c r="AJ74" i="19"/>
  <c r="AS74" i="19" s="1"/>
  <c r="AF74" i="19"/>
  <c r="AO74" i="19" s="1"/>
  <c r="AJ73" i="19"/>
  <c r="AS73" i="19" s="1"/>
  <c r="AF73" i="19"/>
  <c r="AO73" i="19" s="1"/>
  <c r="AJ72" i="19"/>
  <c r="AS72" i="19" s="1"/>
  <c r="AF72" i="19"/>
  <c r="AO72" i="19" s="1"/>
  <c r="AJ71" i="19"/>
  <c r="AS71" i="19" s="1"/>
  <c r="AF71" i="19"/>
  <c r="AO71" i="19" s="1"/>
  <c r="AJ70" i="19"/>
  <c r="AS70" i="19" s="1"/>
  <c r="AF70" i="19"/>
  <c r="AO70" i="19" s="1"/>
  <c r="AJ69" i="19"/>
  <c r="AS69" i="19" s="1"/>
  <c r="AF69" i="19"/>
  <c r="AO69" i="19" s="1"/>
  <c r="AJ68" i="19"/>
  <c r="AS68" i="19" s="1"/>
  <c r="AF68" i="19"/>
  <c r="AO68" i="19" s="1"/>
  <c r="AJ67" i="19"/>
  <c r="AS67" i="19" s="1"/>
  <c r="AF67" i="19"/>
  <c r="AO67" i="19" s="1"/>
  <c r="AJ66" i="19"/>
  <c r="AS66" i="19" s="1"/>
  <c r="AF66" i="19"/>
  <c r="AO66" i="19" s="1"/>
  <c r="AJ65" i="19"/>
  <c r="AS65" i="19" s="1"/>
  <c r="AF65" i="19"/>
  <c r="AO65" i="19" s="1"/>
  <c r="AE187" i="19"/>
  <c r="AN187" i="19" s="1"/>
  <c r="AI186" i="19"/>
  <c r="AR186" i="19" s="1"/>
  <c r="AE186" i="19"/>
  <c r="AN186" i="19" s="1"/>
  <c r="AI185" i="19"/>
  <c r="AR185" i="19" s="1"/>
  <c r="AE185" i="19"/>
  <c r="AN185" i="19" s="1"/>
  <c r="AI184" i="19"/>
  <c r="AR184" i="19" s="1"/>
  <c r="AE184" i="19"/>
  <c r="AN184" i="19" s="1"/>
  <c r="AI183" i="19"/>
  <c r="AR183" i="19" s="1"/>
  <c r="AE183" i="19"/>
  <c r="AN183" i="19" s="1"/>
  <c r="AI182" i="19"/>
  <c r="AR182" i="19" s="1"/>
  <c r="AE182" i="19"/>
  <c r="AN182" i="19" s="1"/>
  <c r="AI181" i="19"/>
  <c r="AR181" i="19" s="1"/>
  <c r="AE181" i="19"/>
  <c r="AN181" i="19" s="1"/>
  <c r="AI180" i="19"/>
  <c r="AR180" i="19" s="1"/>
  <c r="AE180" i="19"/>
  <c r="AN180" i="19" s="1"/>
  <c r="AI179" i="19"/>
  <c r="AR179" i="19" s="1"/>
  <c r="AE179" i="19"/>
  <c r="AN179" i="19" s="1"/>
  <c r="AI178" i="19"/>
  <c r="AR178" i="19" s="1"/>
  <c r="AE178" i="19"/>
  <c r="AN178" i="19" s="1"/>
  <c r="AI177" i="19"/>
  <c r="AR177" i="19" s="1"/>
  <c r="AE177" i="19"/>
  <c r="AN177" i="19" s="1"/>
  <c r="AI176" i="19"/>
  <c r="AR176" i="19" s="1"/>
  <c r="AE176" i="19"/>
  <c r="AN176" i="19" s="1"/>
  <c r="AI175" i="19"/>
  <c r="AR175" i="19" s="1"/>
  <c r="AE175" i="19"/>
  <c r="AN175" i="19" s="1"/>
  <c r="AI174" i="19"/>
  <c r="AR174" i="19" s="1"/>
  <c r="AE174" i="19"/>
  <c r="AN174" i="19" s="1"/>
  <c r="AI173" i="19"/>
  <c r="AR173" i="19" s="1"/>
  <c r="AE173" i="19"/>
  <c r="AN173" i="19" s="1"/>
  <c r="AI172" i="19"/>
  <c r="AR172" i="19" s="1"/>
  <c r="AE172" i="19"/>
  <c r="AN172" i="19" s="1"/>
  <c r="AI171" i="19"/>
  <c r="AR171" i="19" s="1"/>
  <c r="AE171" i="19"/>
  <c r="AN171" i="19" s="1"/>
  <c r="AI170" i="19"/>
  <c r="AR170" i="19" s="1"/>
  <c r="AE170" i="19"/>
  <c r="AN170" i="19" s="1"/>
  <c r="AI169" i="19"/>
  <c r="AR169" i="19" s="1"/>
  <c r="AE169" i="19"/>
  <c r="AN169" i="19" s="1"/>
  <c r="AI168" i="19"/>
  <c r="AR168" i="19" s="1"/>
  <c r="AE168" i="19"/>
  <c r="AN168" i="19" s="1"/>
  <c r="AI167" i="19"/>
  <c r="AR167" i="19" s="1"/>
  <c r="AE167" i="19"/>
  <c r="AN167" i="19" s="1"/>
  <c r="AI166" i="19"/>
  <c r="AR166" i="19" s="1"/>
  <c r="AE166" i="19"/>
  <c r="AN166" i="19" s="1"/>
  <c r="AI165" i="19"/>
  <c r="AR165" i="19" s="1"/>
  <c r="AE165" i="19"/>
  <c r="AN165" i="19" s="1"/>
  <c r="AI164" i="19"/>
  <c r="AR164" i="19" s="1"/>
  <c r="AE164" i="19"/>
  <c r="AN164" i="19" s="1"/>
  <c r="AI163" i="19"/>
  <c r="AR163" i="19" s="1"/>
  <c r="AE163" i="19"/>
  <c r="AN163" i="19" s="1"/>
  <c r="AI162" i="19"/>
  <c r="AR162" i="19" s="1"/>
  <c r="AE162" i="19"/>
  <c r="AN162" i="19" s="1"/>
  <c r="AI161" i="19"/>
  <c r="AR161" i="19" s="1"/>
  <c r="AE161" i="19"/>
  <c r="AN161" i="19" s="1"/>
  <c r="AI160" i="19"/>
  <c r="AR160" i="19" s="1"/>
  <c r="AE160" i="19"/>
  <c r="AN160" i="19" s="1"/>
  <c r="AI159" i="19"/>
  <c r="AR159" i="19" s="1"/>
  <c r="AE159" i="19"/>
  <c r="AN159" i="19" s="1"/>
  <c r="AI158" i="19"/>
  <c r="AR158" i="19" s="1"/>
  <c r="AE158" i="19"/>
  <c r="AN158" i="19" s="1"/>
  <c r="AI157" i="19"/>
  <c r="AR157" i="19" s="1"/>
  <c r="AE157" i="19"/>
  <c r="AN157" i="19" s="1"/>
  <c r="AI156" i="19"/>
  <c r="AR156" i="19" s="1"/>
  <c r="AE156" i="19"/>
  <c r="AN156" i="19" s="1"/>
  <c r="AI155" i="19"/>
  <c r="AR155" i="19" s="1"/>
  <c r="AE155" i="19"/>
  <c r="AN155" i="19" s="1"/>
  <c r="AI154" i="19"/>
  <c r="AR154" i="19" s="1"/>
  <c r="AE154" i="19"/>
  <c r="AN154" i="19" s="1"/>
  <c r="AI153" i="19"/>
  <c r="AR153" i="19" s="1"/>
  <c r="AE153" i="19"/>
  <c r="AN153" i="19" s="1"/>
  <c r="AI152" i="19"/>
  <c r="AR152" i="19" s="1"/>
  <c r="AE152" i="19"/>
  <c r="AN152" i="19" s="1"/>
  <c r="AI151" i="19"/>
  <c r="AR151" i="19" s="1"/>
  <c r="AE151" i="19"/>
  <c r="AN151" i="19" s="1"/>
  <c r="AI150" i="19"/>
  <c r="AR150" i="19" s="1"/>
  <c r="AE150" i="19"/>
  <c r="AN150" i="19" s="1"/>
  <c r="AI149" i="19"/>
  <c r="AR149" i="19" s="1"/>
  <c r="AE149" i="19"/>
  <c r="AN149" i="19" s="1"/>
  <c r="AI148" i="19"/>
  <c r="AR148" i="19" s="1"/>
  <c r="AE148" i="19"/>
  <c r="AN148" i="19" s="1"/>
  <c r="AI147" i="19"/>
  <c r="AR147" i="19" s="1"/>
  <c r="AE147" i="19"/>
  <c r="AN147" i="19" s="1"/>
  <c r="AI146" i="19"/>
  <c r="AR146" i="19" s="1"/>
  <c r="AE146" i="19"/>
  <c r="AN146" i="19" s="1"/>
  <c r="AI145" i="19"/>
  <c r="AR145" i="19" s="1"/>
  <c r="AE145" i="19"/>
  <c r="AN145" i="19" s="1"/>
  <c r="AI144" i="19"/>
  <c r="AR144" i="19" s="1"/>
  <c r="AE144" i="19"/>
  <c r="AN144" i="19" s="1"/>
  <c r="AI143" i="19"/>
  <c r="AR143" i="19" s="1"/>
  <c r="AE143" i="19"/>
  <c r="AN143" i="19" s="1"/>
  <c r="AI142" i="19"/>
  <c r="AR142" i="19" s="1"/>
  <c r="AE142" i="19"/>
  <c r="AN142" i="19" s="1"/>
  <c r="AI141" i="19"/>
  <c r="AR141" i="19" s="1"/>
  <c r="AE141" i="19"/>
  <c r="AN141" i="19" s="1"/>
  <c r="AI140" i="19"/>
  <c r="AR140" i="19" s="1"/>
  <c r="AE140" i="19"/>
  <c r="AN140" i="19" s="1"/>
  <c r="AI139" i="19"/>
  <c r="AR139" i="19" s="1"/>
  <c r="AE139" i="19"/>
  <c r="AN139" i="19" s="1"/>
  <c r="AI138" i="19"/>
  <c r="AR138" i="19" s="1"/>
  <c r="AE138" i="19"/>
  <c r="AN138" i="19" s="1"/>
  <c r="AI137" i="19"/>
  <c r="AR137" i="19" s="1"/>
  <c r="AE137" i="19"/>
  <c r="AN137" i="19" s="1"/>
  <c r="AI136" i="19"/>
  <c r="AR136" i="19" s="1"/>
  <c r="AE136" i="19"/>
  <c r="AN136" i="19" s="1"/>
  <c r="AI135" i="19"/>
  <c r="AR135" i="19" s="1"/>
  <c r="AE135" i="19"/>
  <c r="AN135" i="19" s="1"/>
  <c r="AI134" i="19"/>
  <c r="AR134" i="19" s="1"/>
  <c r="AE134" i="19"/>
  <c r="AN134" i="19" s="1"/>
  <c r="AI133" i="19"/>
  <c r="AR133" i="19" s="1"/>
  <c r="AE133" i="19"/>
  <c r="AN133" i="19" s="1"/>
  <c r="AI132" i="19"/>
  <c r="AR132" i="19" s="1"/>
  <c r="AE132" i="19"/>
  <c r="AN132" i="19" s="1"/>
  <c r="AI131" i="19"/>
  <c r="AR131" i="19" s="1"/>
  <c r="AE131" i="19"/>
  <c r="AN131" i="19" s="1"/>
  <c r="AI130" i="19"/>
  <c r="AR130" i="19" s="1"/>
  <c r="AE130" i="19"/>
  <c r="AN130" i="19" s="1"/>
  <c r="AI129" i="19"/>
  <c r="AR129" i="19" s="1"/>
  <c r="AE129" i="19"/>
  <c r="AN129" i="19" s="1"/>
  <c r="AI128" i="19"/>
  <c r="AR128" i="19" s="1"/>
  <c r="AE128" i="19"/>
  <c r="AN128" i="19" s="1"/>
  <c r="AI127" i="19"/>
  <c r="AR127" i="19" s="1"/>
  <c r="AE127" i="19"/>
  <c r="AN127" i="19" s="1"/>
  <c r="AI126" i="19"/>
  <c r="AR126" i="19" s="1"/>
  <c r="AE126" i="19"/>
  <c r="AN126" i="19" s="1"/>
  <c r="AI125" i="19"/>
  <c r="AR125" i="19" s="1"/>
  <c r="AE125" i="19"/>
  <c r="AN125" i="19" s="1"/>
  <c r="AI124" i="19"/>
  <c r="AR124" i="19" s="1"/>
  <c r="AE124" i="19"/>
  <c r="AN124" i="19" s="1"/>
  <c r="AI123" i="19"/>
  <c r="AR123" i="19" s="1"/>
  <c r="AE123" i="19"/>
  <c r="AN123" i="19" s="1"/>
  <c r="AI122" i="19"/>
  <c r="AR122" i="19" s="1"/>
  <c r="AE122" i="19"/>
  <c r="AN122" i="19" s="1"/>
  <c r="AI121" i="19"/>
  <c r="AR121" i="19" s="1"/>
  <c r="AE121" i="19"/>
  <c r="AN121" i="19" s="1"/>
  <c r="AI120" i="19"/>
  <c r="AR120" i="19" s="1"/>
  <c r="AE120" i="19"/>
  <c r="AN120" i="19" s="1"/>
  <c r="AI119" i="19"/>
  <c r="AR119" i="19" s="1"/>
  <c r="AE119" i="19"/>
  <c r="AN119" i="19" s="1"/>
  <c r="AI118" i="19"/>
  <c r="AR118" i="19" s="1"/>
  <c r="AE118" i="19"/>
  <c r="AN118" i="19" s="1"/>
  <c r="AI117" i="19"/>
  <c r="AR117" i="19" s="1"/>
  <c r="AE117" i="19"/>
  <c r="AN117" i="19" s="1"/>
  <c r="AI116" i="19"/>
  <c r="AR116" i="19" s="1"/>
  <c r="AE116" i="19"/>
  <c r="AN116" i="19" s="1"/>
  <c r="AI115" i="19"/>
  <c r="AR115" i="19" s="1"/>
  <c r="AE115" i="19"/>
  <c r="AN115" i="19" s="1"/>
  <c r="AI114" i="19"/>
  <c r="AR114" i="19" s="1"/>
  <c r="AE114" i="19"/>
  <c r="AN114" i="19" s="1"/>
  <c r="AI113" i="19"/>
  <c r="AR113" i="19" s="1"/>
  <c r="AE113" i="19"/>
  <c r="AN113" i="19" s="1"/>
  <c r="AI112" i="19"/>
  <c r="AR112" i="19" s="1"/>
  <c r="AE112" i="19"/>
  <c r="AN112" i="19" s="1"/>
  <c r="AI111" i="19"/>
  <c r="AR111" i="19" s="1"/>
  <c r="AE111" i="19"/>
  <c r="AN111" i="19" s="1"/>
  <c r="AI110" i="19"/>
  <c r="AR110" i="19" s="1"/>
  <c r="AE110" i="19"/>
  <c r="AN110" i="19" s="1"/>
  <c r="AI109" i="19"/>
  <c r="AR109" i="19" s="1"/>
  <c r="AE109" i="19"/>
  <c r="AN109" i="19" s="1"/>
  <c r="AI108" i="19"/>
  <c r="AR108" i="19" s="1"/>
  <c r="AE108" i="19"/>
  <c r="AN108" i="19" s="1"/>
  <c r="AI107" i="19"/>
  <c r="AR107" i="19" s="1"/>
  <c r="AE107" i="19"/>
  <c r="AN107" i="19" s="1"/>
  <c r="AI106" i="19"/>
  <c r="AR106" i="19" s="1"/>
  <c r="AE106" i="19"/>
  <c r="AN106" i="19" s="1"/>
  <c r="AI105" i="19"/>
  <c r="AR105" i="19" s="1"/>
  <c r="AE105" i="19"/>
  <c r="AN105" i="19" s="1"/>
  <c r="AI104" i="19"/>
  <c r="AR104" i="19" s="1"/>
  <c r="AE104" i="19"/>
  <c r="AN104" i="19" s="1"/>
  <c r="AI103" i="19"/>
  <c r="AR103" i="19" s="1"/>
  <c r="AE103" i="19"/>
  <c r="AN103" i="19" s="1"/>
  <c r="AI102" i="19"/>
  <c r="AR102" i="19" s="1"/>
  <c r="AE102" i="19"/>
  <c r="AN102" i="19" s="1"/>
  <c r="AI101" i="19"/>
  <c r="AR101" i="19" s="1"/>
  <c r="AE101" i="19"/>
  <c r="AN101" i="19" s="1"/>
  <c r="AI100" i="19"/>
  <c r="AR100" i="19" s="1"/>
  <c r="AE100" i="19"/>
  <c r="AN100" i="19" s="1"/>
  <c r="AI99" i="19"/>
  <c r="AR99" i="19" s="1"/>
  <c r="AE99" i="19"/>
  <c r="AN99" i="19" s="1"/>
  <c r="AI98" i="19"/>
  <c r="AR98" i="19" s="1"/>
  <c r="AE98" i="19"/>
  <c r="AN98" i="19" s="1"/>
  <c r="AI97" i="19"/>
  <c r="AR97" i="19" s="1"/>
  <c r="AE97" i="19"/>
  <c r="AN97" i="19" s="1"/>
  <c r="AI96" i="19"/>
  <c r="AR96" i="19" s="1"/>
  <c r="AE96" i="19"/>
  <c r="AN96" i="19" s="1"/>
  <c r="AI95" i="19"/>
  <c r="AR95" i="19" s="1"/>
  <c r="AE95" i="19"/>
  <c r="AN95" i="19" s="1"/>
  <c r="AI94" i="19"/>
  <c r="AR94" i="19" s="1"/>
  <c r="AE94" i="19"/>
  <c r="AN94" i="19" s="1"/>
  <c r="AI93" i="19"/>
  <c r="AR93" i="19" s="1"/>
  <c r="AE93" i="19"/>
  <c r="AN93" i="19" s="1"/>
  <c r="AI92" i="19"/>
  <c r="AR92" i="19" s="1"/>
  <c r="AE92" i="19"/>
  <c r="AN92" i="19" s="1"/>
  <c r="AI91" i="19"/>
  <c r="AR91" i="19" s="1"/>
  <c r="AE91" i="19"/>
  <c r="AN91" i="19" s="1"/>
  <c r="AI90" i="19"/>
  <c r="AR90" i="19" s="1"/>
  <c r="AE90" i="19"/>
  <c r="AN90" i="19" s="1"/>
  <c r="AI89" i="19"/>
  <c r="AR89" i="19" s="1"/>
  <c r="AE89" i="19"/>
  <c r="AN89" i="19" s="1"/>
  <c r="AI88" i="19"/>
  <c r="AR88" i="19" s="1"/>
  <c r="AE88" i="19"/>
  <c r="AN88" i="19" s="1"/>
  <c r="AI87" i="19"/>
  <c r="AR87" i="19" s="1"/>
  <c r="AE87" i="19"/>
  <c r="AN87" i="19" s="1"/>
  <c r="AI86" i="19"/>
  <c r="AR86" i="19" s="1"/>
  <c r="AE86" i="19"/>
  <c r="AN86" i="19" s="1"/>
  <c r="AI85" i="19"/>
  <c r="AR85" i="19" s="1"/>
  <c r="AE85" i="19"/>
  <c r="AN85" i="19" s="1"/>
  <c r="AI84" i="19"/>
  <c r="AR84" i="19" s="1"/>
  <c r="AE84" i="19"/>
  <c r="AN84" i="19" s="1"/>
  <c r="AI83" i="19"/>
  <c r="AR83" i="19" s="1"/>
  <c r="AE83" i="19"/>
  <c r="AN83" i="19" s="1"/>
  <c r="AI82" i="19"/>
  <c r="AR82" i="19" s="1"/>
  <c r="AE82" i="19"/>
  <c r="AN82" i="19" s="1"/>
  <c r="AI81" i="19"/>
  <c r="AR81" i="19" s="1"/>
  <c r="AE81" i="19"/>
  <c r="AN81" i="19" s="1"/>
  <c r="AI80" i="19"/>
  <c r="AR80" i="19" s="1"/>
  <c r="AE80" i="19"/>
  <c r="AN80" i="19" s="1"/>
  <c r="AI79" i="19"/>
  <c r="AR79" i="19" s="1"/>
  <c r="AE79" i="19"/>
  <c r="AN79" i="19" s="1"/>
  <c r="AI78" i="19"/>
  <c r="AR78" i="19" s="1"/>
  <c r="AE78" i="19"/>
  <c r="AN78" i="19" s="1"/>
  <c r="AI77" i="19"/>
  <c r="AR77" i="19" s="1"/>
  <c r="AE77" i="19"/>
  <c r="AN77" i="19" s="1"/>
  <c r="AI76" i="19"/>
  <c r="AR76" i="19" s="1"/>
  <c r="AE76" i="19"/>
  <c r="AN76" i="19" s="1"/>
  <c r="AI75" i="19"/>
  <c r="AR75" i="19" s="1"/>
  <c r="AE75" i="19"/>
  <c r="AN75" i="19" s="1"/>
  <c r="AI74" i="19"/>
  <c r="AR74" i="19" s="1"/>
  <c r="AE74" i="19"/>
  <c r="AN74" i="19" s="1"/>
  <c r="AI73" i="19"/>
  <c r="AR73" i="19" s="1"/>
  <c r="AE73" i="19"/>
  <c r="AN73" i="19" s="1"/>
  <c r="AI72" i="19"/>
  <c r="AR72" i="19" s="1"/>
  <c r="AE72" i="19"/>
  <c r="AN72" i="19" s="1"/>
  <c r="AI71" i="19"/>
  <c r="AR71" i="19" s="1"/>
  <c r="AE71" i="19"/>
  <c r="AN71" i="19" s="1"/>
  <c r="AI70" i="19"/>
  <c r="AR70" i="19" s="1"/>
  <c r="AE70" i="19"/>
  <c r="AN70" i="19" s="1"/>
  <c r="AI69" i="19"/>
  <c r="AR69" i="19" s="1"/>
  <c r="AE69" i="19"/>
  <c r="AN69" i="19" s="1"/>
  <c r="AI68" i="19"/>
  <c r="AR68" i="19" s="1"/>
  <c r="AE68" i="19"/>
  <c r="AN68" i="19" s="1"/>
  <c r="AI67" i="19"/>
  <c r="AR67" i="19" s="1"/>
  <c r="AE67" i="19"/>
  <c r="AN67" i="19" s="1"/>
  <c r="AI66" i="19"/>
  <c r="AR66" i="19" s="1"/>
  <c r="AE66" i="19"/>
  <c r="AN66" i="19" s="1"/>
  <c r="AI65" i="19"/>
  <c r="AR65" i="19" s="1"/>
  <c r="AE65" i="19"/>
  <c r="AN65" i="19" s="1"/>
  <c r="AD64" i="19"/>
  <c r="AM64" i="19" s="1"/>
  <c r="BE4" i="19"/>
  <c r="E6" i="19" l="1"/>
  <c r="I6" i="19"/>
  <c r="D6" i="19"/>
  <c r="H6" i="19"/>
  <c r="G6" i="19"/>
  <c r="C6" i="19"/>
  <c r="K6" i="19"/>
  <c r="G7" i="19"/>
  <c r="I310" i="19"/>
  <c r="I374" i="19"/>
  <c r="C969" i="19"/>
  <c r="C991" i="19"/>
  <c r="C1011" i="19"/>
  <c r="C1031" i="19"/>
  <c r="C1071" i="19"/>
  <c r="D125" i="19"/>
  <c r="D167" i="19"/>
  <c r="I82" i="19"/>
  <c r="I104" i="19"/>
  <c r="I146" i="19"/>
  <c r="I188" i="19"/>
  <c r="I208" i="19"/>
  <c r="I230" i="19"/>
  <c r="I250" i="19"/>
  <c r="I272" i="19"/>
  <c r="I417" i="19"/>
  <c r="I435" i="19"/>
  <c r="E456" i="19"/>
  <c r="F495" i="19"/>
  <c r="F557" i="19"/>
  <c r="F617" i="19"/>
  <c r="F679" i="19"/>
  <c r="F699" i="19"/>
  <c r="F719" i="19"/>
  <c r="F763" i="19"/>
  <c r="F783" i="19"/>
  <c r="F841" i="19"/>
  <c r="F863" i="19"/>
  <c r="F907" i="19"/>
  <c r="F929" i="19"/>
  <c r="C1080" i="19"/>
  <c r="F331" i="19"/>
  <c r="F353" i="19"/>
  <c r="F475" i="19"/>
  <c r="G291" i="19"/>
  <c r="G576" i="19"/>
  <c r="G598" i="19"/>
  <c r="D740" i="19"/>
  <c r="D804" i="19"/>
  <c r="D886" i="19"/>
  <c r="E396" i="19"/>
  <c r="I518" i="19"/>
  <c r="I538" i="19"/>
  <c r="I640" i="19"/>
  <c r="I660" i="19"/>
  <c r="I822" i="19"/>
  <c r="J1052" i="19"/>
  <c r="I950" i="19"/>
  <c r="F146" i="19"/>
  <c r="F272" i="19"/>
  <c r="F417" i="19"/>
  <c r="G353" i="19"/>
  <c r="G435" i="19"/>
  <c r="G719" i="19"/>
  <c r="G763" i="19"/>
  <c r="D331" i="19"/>
  <c r="D353" i="19"/>
  <c r="D435" i="19"/>
  <c r="D617" i="19"/>
  <c r="H763" i="19"/>
  <c r="C841" i="19"/>
  <c r="C863" i="19"/>
  <c r="C907" i="19"/>
  <c r="C929" i="19"/>
  <c r="D969" i="19"/>
  <c r="D991" i="19"/>
  <c r="D1071" i="19"/>
  <c r="I804" i="19"/>
  <c r="I886" i="19"/>
  <c r="H125" i="19"/>
  <c r="E125" i="19"/>
  <c r="E291" i="19"/>
  <c r="E331" i="19"/>
  <c r="E353" i="19"/>
  <c r="I456" i="19"/>
  <c r="J82" i="19"/>
  <c r="J104" i="19"/>
  <c r="J146" i="19"/>
  <c r="J188" i="19"/>
  <c r="J208" i="19"/>
  <c r="J230" i="19"/>
  <c r="J250" i="19"/>
  <c r="J272" i="19"/>
  <c r="J331" i="19"/>
  <c r="J353" i="19"/>
  <c r="J417" i="19"/>
  <c r="J435" i="19"/>
  <c r="J475" i="19"/>
  <c r="J495" i="19"/>
  <c r="J557" i="19"/>
  <c r="J617" i="19"/>
  <c r="J679" i="19"/>
  <c r="J699" i="19"/>
  <c r="J719" i="19"/>
  <c r="J763" i="19"/>
  <c r="J783" i="19"/>
  <c r="J841" i="19"/>
  <c r="J863" i="19"/>
  <c r="J907" i="19"/>
  <c r="F82" i="19"/>
  <c r="F208" i="19"/>
  <c r="F250" i="19"/>
  <c r="G82" i="19"/>
  <c r="G104" i="19"/>
  <c r="G125" i="19"/>
  <c r="G331" i="19"/>
  <c r="G417" i="19"/>
  <c r="G475" i="19"/>
  <c r="G495" i="19"/>
  <c r="G699" i="19"/>
  <c r="D417" i="19"/>
  <c r="D495" i="19"/>
  <c r="H699" i="19"/>
  <c r="D1031" i="19"/>
  <c r="I740" i="19"/>
  <c r="D82" i="19"/>
  <c r="D104" i="19"/>
  <c r="I125" i="19"/>
  <c r="I167" i="19"/>
  <c r="I291" i="19"/>
  <c r="I331" i="19"/>
  <c r="I353" i="19"/>
  <c r="E475" i="19"/>
  <c r="F125" i="19"/>
  <c r="F167" i="19"/>
  <c r="F291" i="19"/>
  <c r="F310" i="19"/>
  <c r="F374" i="19"/>
  <c r="F396" i="19"/>
  <c r="F456" i="19"/>
  <c r="F518" i="19"/>
  <c r="F538" i="19"/>
  <c r="F576" i="19"/>
  <c r="F598" i="19"/>
  <c r="F640" i="19"/>
  <c r="F660" i="19"/>
  <c r="F740" i="19"/>
  <c r="F804" i="19"/>
  <c r="F822" i="19"/>
  <c r="F104" i="19"/>
  <c r="F188" i="19"/>
  <c r="F230" i="19"/>
  <c r="F435" i="19"/>
  <c r="G167" i="19"/>
  <c r="C617" i="19"/>
  <c r="G679" i="19"/>
  <c r="D291" i="19"/>
  <c r="D475" i="19"/>
  <c r="D557" i="19"/>
  <c r="C783" i="19"/>
  <c r="D841" i="19"/>
  <c r="H863" i="19"/>
  <c r="D1011" i="19"/>
  <c r="I576" i="19"/>
  <c r="I598" i="19"/>
  <c r="J1071" i="19"/>
  <c r="H167" i="19"/>
  <c r="E167" i="19"/>
  <c r="D146" i="19"/>
  <c r="H82" i="19"/>
  <c r="H104" i="19"/>
  <c r="H146" i="19"/>
  <c r="E82" i="19"/>
  <c r="E104" i="19"/>
  <c r="E146" i="19"/>
  <c r="E188" i="19"/>
  <c r="E208" i="19"/>
  <c r="E230" i="19"/>
  <c r="E250" i="19"/>
  <c r="E272" i="19"/>
  <c r="E310" i="19"/>
  <c r="E374" i="19"/>
  <c r="I396" i="19"/>
  <c r="E417" i="19"/>
  <c r="E435" i="19"/>
  <c r="I475" i="19"/>
  <c r="J125" i="19"/>
  <c r="J167" i="19"/>
  <c r="J291" i="19"/>
  <c r="C82" i="19"/>
  <c r="C104" i="19"/>
  <c r="J310" i="19"/>
  <c r="J374" i="19"/>
  <c r="J396" i="19"/>
  <c r="J456" i="19"/>
  <c r="J518" i="19"/>
  <c r="J538" i="19"/>
  <c r="J576" i="19"/>
  <c r="J598" i="19"/>
  <c r="J640" i="19"/>
  <c r="J660" i="19"/>
  <c r="J740" i="19"/>
  <c r="I1011" i="19"/>
  <c r="I1031" i="19"/>
  <c r="I1071" i="19"/>
  <c r="J929" i="19"/>
  <c r="C146" i="19"/>
  <c r="C188" i="19"/>
  <c r="C208" i="19"/>
  <c r="C230" i="19"/>
  <c r="C250" i="19"/>
  <c r="C272" i="19"/>
  <c r="C310" i="19"/>
  <c r="C374" i="19"/>
  <c r="C396" i="19"/>
  <c r="C456" i="19"/>
  <c r="C518" i="19"/>
  <c r="C538" i="19"/>
  <c r="G617" i="19"/>
  <c r="C640" i="19"/>
  <c r="C660" i="19"/>
  <c r="C740" i="19"/>
  <c r="H291" i="19"/>
  <c r="H331" i="19"/>
  <c r="H353" i="19"/>
  <c r="H417" i="19"/>
  <c r="H435" i="19"/>
  <c r="H475" i="19"/>
  <c r="H495" i="19"/>
  <c r="H557" i="19"/>
  <c r="H617" i="19"/>
  <c r="D660" i="19"/>
  <c r="D719" i="19"/>
  <c r="H740" i="19"/>
  <c r="D783" i="19"/>
  <c r="H804" i="19"/>
  <c r="G783" i="19"/>
  <c r="G841" i="19"/>
  <c r="G863" i="19"/>
  <c r="F886" i="19"/>
  <c r="F950" i="19"/>
  <c r="G146" i="19"/>
  <c r="G188" i="19"/>
  <c r="G208" i="19"/>
  <c r="G230" i="19"/>
  <c r="G250" i="19"/>
  <c r="G272" i="19"/>
  <c r="G310" i="19"/>
  <c r="G374" i="19"/>
  <c r="G396" i="19"/>
  <c r="G456" i="19"/>
  <c r="G518" i="19"/>
  <c r="G538" i="19"/>
  <c r="C557" i="19"/>
  <c r="G640" i="19"/>
  <c r="G660" i="19"/>
  <c r="G740" i="19"/>
  <c r="D188" i="19"/>
  <c r="D208" i="19"/>
  <c r="D230" i="19"/>
  <c r="D250" i="19"/>
  <c r="D272" i="19"/>
  <c r="D310" i="19"/>
  <c r="D374" i="19"/>
  <c r="D396" i="19"/>
  <c r="D456" i="19"/>
  <c r="D518" i="19"/>
  <c r="D538" i="19"/>
  <c r="D576" i="19"/>
  <c r="D598" i="19"/>
  <c r="D640" i="19"/>
  <c r="H660" i="19"/>
  <c r="D679" i="19"/>
  <c r="H719" i="19"/>
  <c r="H783" i="19"/>
  <c r="D822" i="19"/>
  <c r="C804" i="19"/>
  <c r="C822" i="19"/>
  <c r="J804" i="19"/>
  <c r="J822" i="19"/>
  <c r="J886" i="19"/>
  <c r="J950" i="19"/>
  <c r="C125" i="19"/>
  <c r="C167" i="19"/>
  <c r="C291" i="19"/>
  <c r="C331" i="19"/>
  <c r="C353" i="19"/>
  <c r="C417" i="19"/>
  <c r="C435" i="19"/>
  <c r="C475" i="19"/>
  <c r="C495" i="19"/>
  <c r="G557" i="19"/>
  <c r="C576" i="19"/>
  <c r="C598" i="19"/>
  <c r="C679" i="19"/>
  <c r="C699" i="19"/>
  <c r="C719" i="19"/>
  <c r="C763" i="19"/>
  <c r="H188" i="19"/>
  <c r="H208" i="19"/>
  <c r="H230" i="19"/>
  <c r="H250" i="19"/>
  <c r="H272" i="19"/>
  <c r="H310" i="19"/>
  <c r="H374" i="19"/>
  <c r="H396" i="19"/>
  <c r="H456" i="19"/>
  <c r="H518" i="19"/>
  <c r="H538" i="19"/>
  <c r="H576" i="19"/>
  <c r="H598" i="19"/>
  <c r="H640" i="19"/>
  <c r="H679" i="19"/>
  <c r="D699" i="19"/>
  <c r="D763" i="19"/>
  <c r="G907" i="19"/>
  <c r="G929" i="19"/>
  <c r="G969" i="19"/>
  <c r="G991" i="19"/>
  <c r="G1011" i="19"/>
  <c r="G1031" i="19"/>
  <c r="G1071" i="19"/>
  <c r="H841" i="19"/>
  <c r="H886" i="19"/>
  <c r="D907" i="19"/>
  <c r="D929" i="19"/>
  <c r="H969" i="19"/>
  <c r="H991" i="19"/>
  <c r="H1011" i="19"/>
  <c r="H1031" i="19"/>
  <c r="H1071" i="19"/>
  <c r="E495" i="19"/>
  <c r="E557" i="19"/>
  <c r="E617" i="19"/>
  <c r="E679" i="19"/>
  <c r="E699" i="19"/>
  <c r="E719" i="19"/>
  <c r="E763" i="19"/>
  <c r="E783" i="19"/>
  <c r="E841" i="19"/>
  <c r="E863" i="19"/>
  <c r="F969" i="19"/>
  <c r="F991" i="19"/>
  <c r="F1011" i="19"/>
  <c r="F1031" i="19"/>
  <c r="E907" i="19"/>
  <c r="E929" i="19"/>
  <c r="F1080" i="19"/>
  <c r="E969" i="19"/>
  <c r="E991" i="19"/>
  <c r="E1052" i="19"/>
  <c r="E1080" i="19"/>
  <c r="C886" i="19"/>
  <c r="C950" i="19"/>
  <c r="C1052" i="19"/>
  <c r="H907" i="19"/>
  <c r="H929" i="19"/>
  <c r="D950" i="19"/>
  <c r="D1052" i="19"/>
  <c r="D1080" i="19"/>
  <c r="I495" i="19"/>
  <c r="I557" i="19"/>
  <c r="I617" i="19"/>
  <c r="I679" i="19"/>
  <c r="I699" i="19"/>
  <c r="I719" i="19"/>
  <c r="I763" i="19"/>
  <c r="I783" i="19"/>
  <c r="I841" i="19"/>
  <c r="I863" i="19"/>
  <c r="J969" i="19"/>
  <c r="J991" i="19"/>
  <c r="J1011" i="19"/>
  <c r="J1031" i="19"/>
  <c r="I907" i="19"/>
  <c r="I929" i="19"/>
  <c r="J1080" i="19"/>
  <c r="I991" i="19"/>
  <c r="I969" i="19"/>
  <c r="I1052" i="19"/>
  <c r="I1080" i="19"/>
  <c r="H822" i="19"/>
  <c r="G804" i="19"/>
  <c r="G822" i="19"/>
  <c r="G886" i="19"/>
  <c r="G950" i="19"/>
  <c r="G1052" i="19"/>
  <c r="G1080" i="19"/>
  <c r="D863" i="19"/>
  <c r="H950" i="19"/>
  <c r="H1052" i="19"/>
  <c r="H1080" i="19"/>
  <c r="E518" i="19"/>
  <c r="E538" i="19"/>
  <c r="E576" i="19"/>
  <c r="E598" i="19"/>
  <c r="E640" i="19"/>
  <c r="E660" i="19"/>
  <c r="E740" i="19"/>
  <c r="E804" i="19"/>
  <c r="E822" i="19"/>
  <c r="F1052" i="19"/>
  <c r="E886" i="19"/>
  <c r="E950" i="19"/>
  <c r="F1071" i="19"/>
  <c r="E1011" i="19"/>
  <c r="E1031" i="19"/>
  <c r="E1071" i="19"/>
  <c r="BE5" i="19"/>
  <c r="E7" i="19" l="1"/>
  <c r="I7" i="19"/>
  <c r="C7" i="19"/>
  <c r="F7" i="19"/>
  <c r="J7" i="19"/>
  <c r="H7" i="19"/>
  <c r="H8" i="19" s="1"/>
  <c r="D7" i="19"/>
  <c r="K7" i="19"/>
  <c r="G908" i="19"/>
  <c r="H105" i="19"/>
  <c r="C1072" i="19"/>
  <c r="E1012" i="19"/>
  <c r="E805" i="19"/>
  <c r="E661" i="19"/>
  <c r="G951" i="19"/>
  <c r="G887" i="19"/>
  <c r="J1032" i="19"/>
  <c r="I842" i="19"/>
  <c r="D700" i="19"/>
  <c r="H457" i="19"/>
  <c r="H273" i="19"/>
  <c r="H209" i="19"/>
  <c r="C476" i="19"/>
  <c r="C436" i="19"/>
  <c r="C332" i="19"/>
  <c r="C292" i="19"/>
  <c r="D251" i="19"/>
  <c r="G397" i="19"/>
  <c r="G189" i="19"/>
  <c r="I147" i="19"/>
  <c r="C83" i="19"/>
  <c r="E741" i="19"/>
  <c r="D864" i="19"/>
  <c r="G823" i="19"/>
  <c r="J992" i="19"/>
  <c r="I720" i="19"/>
  <c r="I680" i="19"/>
  <c r="F354" i="19"/>
  <c r="C970" i="19"/>
  <c r="G1053" i="19"/>
  <c r="G970" i="19"/>
  <c r="F764" i="19"/>
  <c r="F700" i="19"/>
  <c r="I1072" i="19"/>
  <c r="I354" i="19"/>
  <c r="I618" i="19"/>
  <c r="F599" i="19"/>
  <c r="F519" i="19"/>
  <c r="F126" i="19"/>
  <c r="C992" i="19"/>
  <c r="F680" i="19"/>
  <c r="E397" i="19"/>
  <c r="F618" i="19"/>
  <c r="I951" i="19"/>
  <c r="H641" i="19"/>
  <c r="H577" i="19"/>
  <c r="D539" i="19"/>
  <c r="C558" i="19"/>
  <c r="D784" i="19"/>
  <c r="H496" i="19"/>
  <c r="J930" i="19"/>
  <c r="E375" i="19"/>
  <c r="E311" i="19"/>
  <c r="E231" i="19"/>
  <c r="H168" i="19"/>
  <c r="D418" i="19"/>
  <c r="J764" i="19"/>
  <c r="F147" i="19"/>
  <c r="D951" i="19"/>
  <c r="C887" i="19"/>
  <c r="F1032" i="19"/>
  <c r="E618" i="19"/>
  <c r="G1012" i="19"/>
  <c r="H741" i="19"/>
  <c r="C147" i="19"/>
  <c r="J661" i="19"/>
  <c r="J292" i="19"/>
  <c r="C784" i="19"/>
  <c r="D476" i="19"/>
  <c r="I273" i="19"/>
  <c r="H700" i="19"/>
  <c r="G332" i="19"/>
  <c r="G105" i="19"/>
  <c r="F209" i="19"/>
  <c r="J908" i="19"/>
  <c r="J476" i="19"/>
  <c r="C1032" i="19"/>
  <c r="F908" i="19"/>
  <c r="F273" i="19"/>
  <c r="E951" i="19"/>
  <c r="I992" i="19"/>
  <c r="D1053" i="19"/>
  <c r="H908" i="19"/>
  <c r="C1053" i="19"/>
  <c r="E864" i="19"/>
  <c r="E784" i="19"/>
  <c r="E720" i="19"/>
  <c r="H1012" i="19"/>
  <c r="H842" i="19"/>
  <c r="G930" i="19"/>
  <c r="H375" i="19"/>
  <c r="C418" i="19"/>
  <c r="C823" i="19"/>
  <c r="H784" i="19"/>
  <c r="D577" i="19"/>
  <c r="G741" i="19"/>
  <c r="C209" i="19"/>
  <c r="I1032" i="19"/>
  <c r="C105" i="19"/>
  <c r="I397" i="19"/>
  <c r="D842" i="19"/>
  <c r="F292" i="19"/>
  <c r="I168" i="19"/>
  <c r="I741" i="19"/>
  <c r="I519" i="19"/>
  <c r="G126" i="19"/>
  <c r="I375" i="19"/>
  <c r="J842" i="19"/>
  <c r="J618" i="19"/>
  <c r="J418" i="19"/>
  <c r="J354" i="19"/>
  <c r="J273" i="19"/>
  <c r="J209" i="19"/>
  <c r="J105" i="19"/>
  <c r="E332" i="19"/>
  <c r="E292" i="19"/>
  <c r="H126" i="19"/>
  <c r="I823" i="19"/>
  <c r="D1072" i="19"/>
  <c r="C1012" i="19"/>
  <c r="H764" i="19"/>
  <c r="D332" i="19"/>
  <c r="G720" i="19"/>
  <c r="G354" i="19"/>
  <c r="G292" i="19"/>
  <c r="F842" i="19"/>
  <c r="F476" i="19"/>
  <c r="I105" i="19"/>
  <c r="F992" i="19"/>
  <c r="C539" i="19"/>
  <c r="C251" i="19"/>
  <c r="G577" i="19"/>
  <c r="F375" i="19"/>
  <c r="F83" i="19"/>
  <c r="J436" i="19"/>
  <c r="J332" i="19"/>
  <c r="J147" i="19"/>
  <c r="C864" i="19"/>
  <c r="G805" i="19"/>
  <c r="I908" i="19"/>
  <c r="E908" i="19"/>
  <c r="D908" i="19"/>
  <c r="H680" i="19"/>
  <c r="H519" i="19"/>
  <c r="C700" i="19"/>
  <c r="D641" i="19"/>
  <c r="D457" i="19"/>
  <c r="D209" i="19"/>
  <c r="G147" i="19"/>
  <c r="G618" i="19"/>
  <c r="C457" i="19"/>
  <c r="C273" i="19"/>
  <c r="E189" i="19"/>
  <c r="H864" i="19"/>
  <c r="D558" i="19"/>
  <c r="F105" i="19"/>
  <c r="I251" i="19"/>
  <c r="F805" i="19"/>
  <c r="F661" i="19"/>
  <c r="F397" i="19"/>
  <c r="E1072" i="19"/>
  <c r="E1032" i="19"/>
  <c r="E641" i="19"/>
  <c r="E577" i="19"/>
  <c r="H1053" i="19"/>
  <c r="H823" i="19"/>
  <c r="I1053" i="19"/>
  <c r="I930" i="19"/>
  <c r="J1012" i="19"/>
  <c r="I558" i="19"/>
  <c r="H930" i="19"/>
  <c r="E1053" i="19"/>
  <c r="E970" i="19"/>
  <c r="E930" i="19"/>
  <c r="F1012" i="19"/>
  <c r="E558" i="19"/>
  <c r="H970" i="19"/>
  <c r="D930" i="19"/>
  <c r="G1072" i="19"/>
  <c r="G1032" i="19"/>
  <c r="G992" i="19"/>
  <c r="D764" i="19"/>
  <c r="H397" i="19"/>
  <c r="H189" i="19"/>
  <c r="C577" i="19"/>
  <c r="C496" i="19"/>
  <c r="C168" i="19"/>
  <c r="J951" i="19"/>
  <c r="J887" i="19"/>
  <c r="J823" i="19"/>
  <c r="C805" i="19"/>
  <c r="D680" i="19"/>
  <c r="D599" i="19"/>
  <c r="D519" i="19"/>
  <c r="D375" i="19"/>
  <c r="D311" i="19"/>
  <c r="D231" i="19"/>
  <c r="G457" i="19"/>
  <c r="G273" i="19"/>
  <c r="G209" i="19"/>
  <c r="G842" i="19"/>
  <c r="H805" i="19"/>
  <c r="D720" i="19"/>
  <c r="D661" i="19"/>
  <c r="H476" i="19"/>
  <c r="H436" i="19"/>
  <c r="H332" i="19"/>
  <c r="H292" i="19"/>
  <c r="C641" i="19"/>
  <c r="C519" i="19"/>
  <c r="C375" i="19"/>
  <c r="C311" i="19"/>
  <c r="C231" i="19"/>
  <c r="J641" i="19"/>
  <c r="J577" i="19"/>
  <c r="J457" i="19"/>
  <c r="J168" i="19"/>
  <c r="I476" i="19"/>
  <c r="E436" i="19"/>
  <c r="E251" i="19"/>
  <c r="E147" i="19"/>
  <c r="E83" i="19"/>
  <c r="E168" i="19"/>
  <c r="J1072" i="19"/>
  <c r="I599" i="19"/>
  <c r="I577" i="19"/>
  <c r="D1012" i="19"/>
  <c r="D292" i="19"/>
  <c r="G680" i="19"/>
  <c r="F231" i="19"/>
  <c r="I436" i="19"/>
  <c r="I231" i="19"/>
  <c r="F539" i="19"/>
  <c r="I126" i="19"/>
  <c r="D496" i="19"/>
  <c r="G476" i="19"/>
  <c r="I209" i="19"/>
  <c r="J864" i="19"/>
  <c r="J784" i="19"/>
  <c r="J720" i="19"/>
  <c r="J680" i="19"/>
  <c r="J496" i="19"/>
  <c r="J231" i="19"/>
  <c r="E354" i="19"/>
  <c r="I805" i="19"/>
  <c r="C908" i="19"/>
  <c r="D805" i="19"/>
  <c r="D618" i="19"/>
  <c r="D354" i="19"/>
  <c r="F418" i="19"/>
  <c r="F332" i="19"/>
  <c r="D168" i="19"/>
  <c r="C951" i="19"/>
  <c r="E842" i="19"/>
  <c r="C741" i="19"/>
  <c r="C661" i="19"/>
  <c r="J741" i="19"/>
  <c r="J397" i="19"/>
  <c r="F864" i="19"/>
  <c r="F823" i="19"/>
  <c r="F311" i="19"/>
  <c r="D83" i="19"/>
  <c r="I661" i="19"/>
  <c r="D887" i="19"/>
  <c r="G496" i="19"/>
  <c r="F784" i="19"/>
  <c r="G83" i="19"/>
  <c r="F251" i="19"/>
  <c r="I418" i="19"/>
  <c r="J700" i="19"/>
  <c r="J251" i="19"/>
  <c r="J83" i="19"/>
  <c r="D992" i="19"/>
  <c r="F496" i="19"/>
  <c r="E887" i="19"/>
  <c r="E539" i="19"/>
  <c r="H951" i="19"/>
  <c r="I864" i="19"/>
  <c r="I784" i="19"/>
  <c r="I496" i="19"/>
  <c r="E992" i="19"/>
  <c r="E680" i="19"/>
  <c r="E496" i="19"/>
  <c r="H599" i="19"/>
  <c r="H311" i="19"/>
  <c r="H231" i="19"/>
  <c r="C764" i="19"/>
  <c r="C354" i="19"/>
  <c r="D273" i="19"/>
  <c r="G661" i="19"/>
  <c r="G539" i="19"/>
  <c r="G251" i="19"/>
  <c r="H558" i="19"/>
  <c r="J539" i="19"/>
  <c r="I539" i="19"/>
  <c r="C618" i="19"/>
  <c r="E457" i="19"/>
  <c r="F741" i="19"/>
  <c r="F1072" i="19"/>
  <c r="F1053" i="19"/>
  <c r="E823" i="19"/>
  <c r="E599" i="19"/>
  <c r="E519" i="19"/>
  <c r="I970" i="19"/>
  <c r="J970" i="19"/>
  <c r="I764" i="19"/>
  <c r="I700" i="19"/>
  <c r="F970" i="19"/>
  <c r="E764" i="19"/>
  <c r="E700" i="19"/>
  <c r="H1072" i="19"/>
  <c r="H1032" i="19"/>
  <c r="H992" i="19"/>
  <c r="H887" i="19"/>
  <c r="H539" i="19"/>
  <c r="H251" i="19"/>
  <c r="C720" i="19"/>
  <c r="C680" i="19"/>
  <c r="C599" i="19"/>
  <c r="G558" i="19"/>
  <c r="C126" i="19"/>
  <c r="J805" i="19"/>
  <c r="D823" i="19"/>
  <c r="H720" i="19"/>
  <c r="H661" i="19"/>
  <c r="D397" i="19"/>
  <c r="D189" i="19"/>
  <c r="G641" i="19"/>
  <c r="G519" i="19"/>
  <c r="G375" i="19"/>
  <c r="G311" i="19"/>
  <c r="G231" i="19"/>
  <c r="F951" i="19"/>
  <c r="F887" i="19"/>
  <c r="G864" i="19"/>
  <c r="G784" i="19"/>
  <c r="H618" i="19"/>
  <c r="H418" i="19"/>
  <c r="H354" i="19"/>
  <c r="C397" i="19"/>
  <c r="C189" i="19"/>
  <c r="I1012" i="19"/>
  <c r="J599" i="19"/>
  <c r="J519" i="19"/>
  <c r="J375" i="19"/>
  <c r="J311" i="19"/>
  <c r="J126" i="19"/>
  <c r="E418" i="19"/>
  <c r="E273" i="19"/>
  <c r="E209" i="19"/>
  <c r="E105" i="19"/>
  <c r="H147" i="19"/>
  <c r="H83" i="19"/>
  <c r="D147" i="19"/>
  <c r="J1053" i="19"/>
  <c r="G599" i="19"/>
  <c r="G168" i="19"/>
  <c r="F930" i="19"/>
  <c r="F436" i="19"/>
  <c r="F189" i="19"/>
  <c r="I311" i="19"/>
  <c r="I83" i="19"/>
  <c r="F641" i="19"/>
  <c r="F577" i="19"/>
  <c r="F457" i="19"/>
  <c r="F168" i="19"/>
  <c r="E476" i="19"/>
  <c r="I332" i="19"/>
  <c r="I292" i="19"/>
  <c r="D105" i="19"/>
  <c r="D1032" i="19"/>
  <c r="G700" i="19"/>
  <c r="G418" i="19"/>
  <c r="F558" i="19"/>
  <c r="I189" i="19"/>
  <c r="J558" i="19"/>
  <c r="J189" i="19"/>
  <c r="I457" i="19"/>
  <c r="E126" i="19"/>
  <c r="I887" i="19"/>
  <c r="I641" i="19"/>
  <c r="D970" i="19"/>
  <c r="C930" i="19"/>
  <c r="C842" i="19"/>
  <c r="D741" i="19"/>
  <c r="D436" i="19"/>
  <c r="G764" i="19"/>
  <c r="G436" i="19"/>
  <c r="F720" i="19"/>
  <c r="D126" i="19"/>
  <c r="E65" i="19"/>
  <c r="G65" i="19"/>
  <c r="J65" i="19"/>
  <c r="H65" i="19"/>
  <c r="F65" i="19"/>
  <c r="D65" i="19"/>
  <c r="I65" i="19"/>
  <c r="C65" i="19"/>
  <c r="BE6" i="19"/>
  <c r="E8" i="19" l="1"/>
  <c r="C8" i="19"/>
  <c r="J8" i="19"/>
  <c r="G8" i="19"/>
  <c r="K9" i="19" s="1"/>
  <c r="K8" i="19"/>
  <c r="F8" i="19"/>
  <c r="D8" i="19"/>
  <c r="I8" i="19"/>
  <c r="H993" i="19"/>
  <c r="G971" i="19"/>
  <c r="D148" i="19"/>
  <c r="E210" i="19"/>
  <c r="G765" i="19"/>
  <c r="E127" i="19"/>
  <c r="I190" i="19"/>
  <c r="D1033" i="19"/>
  <c r="E477" i="19"/>
  <c r="F642" i="19"/>
  <c r="J1054" i="19"/>
  <c r="H355" i="19"/>
  <c r="H1073" i="19"/>
  <c r="J252" i="19"/>
  <c r="F148" i="19"/>
  <c r="G419" i="19"/>
  <c r="H210" i="19"/>
  <c r="J1033" i="19"/>
  <c r="I293" i="19"/>
  <c r="H274" i="19"/>
  <c r="H619" i="19"/>
  <c r="J971" i="19"/>
  <c r="I952" i="19"/>
  <c r="H578" i="19"/>
  <c r="C843" i="19"/>
  <c r="E398" i="19"/>
  <c r="F619" i="19"/>
  <c r="F355" i="19"/>
  <c r="E1013" i="19"/>
  <c r="G888" i="19"/>
  <c r="I843" i="19"/>
  <c r="F437" i="19"/>
  <c r="E106" i="19"/>
  <c r="J600" i="19"/>
  <c r="G865" i="19"/>
  <c r="G312" i="19"/>
  <c r="D824" i="19"/>
  <c r="H540" i="19"/>
  <c r="I701" i="19"/>
  <c r="E520" i="19"/>
  <c r="J765" i="19"/>
  <c r="E497" i="19"/>
  <c r="I785" i="19"/>
  <c r="E888" i="19"/>
  <c r="G84" i="19"/>
  <c r="I662" i="19"/>
  <c r="C742" i="19"/>
  <c r="F333" i="19"/>
  <c r="D806" i="19"/>
  <c r="J232" i="19"/>
  <c r="D1013" i="19"/>
  <c r="E169" i="19"/>
  <c r="J578" i="19"/>
  <c r="C376" i="19"/>
  <c r="D721" i="19"/>
  <c r="G274" i="19"/>
  <c r="H398" i="19"/>
  <c r="D559" i="19"/>
  <c r="H458" i="19"/>
  <c r="D458" i="19"/>
  <c r="H681" i="19"/>
  <c r="C1073" i="19"/>
  <c r="H909" i="19"/>
  <c r="J293" i="19"/>
  <c r="D952" i="19"/>
  <c r="J931" i="19"/>
  <c r="C931" i="19"/>
  <c r="J127" i="19"/>
  <c r="D190" i="19"/>
  <c r="C600" i="19"/>
  <c r="I540" i="19"/>
  <c r="J785" i="19"/>
  <c r="E437" i="19"/>
  <c r="H333" i="19"/>
  <c r="D376" i="19"/>
  <c r="C169" i="19"/>
  <c r="F1013" i="19"/>
  <c r="E642" i="19"/>
  <c r="J437" i="19"/>
  <c r="C252" i="19"/>
  <c r="D252" i="19"/>
  <c r="F477" i="19"/>
  <c r="E333" i="19"/>
  <c r="J355" i="19"/>
  <c r="I376" i="19"/>
  <c r="I169" i="19"/>
  <c r="C106" i="19"/>
  <c r="D578" i="19"/>
  <c r="H376" i="19"/>
  <c r="E721" i="19"/>
  <c r="F274" i="19"/>
  <c r="J909" i="19"/>
  <c r="H701" i="19"/>
  <c r="G1013" i="19"/>
  <c r="C333" i="19"/>
  <c r="G909" i="19"/>
  <c r="G952" i="19"/>
  <c r="F520" i="19"/>
  <c r="H169" i="19"/>
  <c r="E376" i="19"/>
  <c r="C559" i="19"/>
  <c r="D127" i="19"/>
  <c r="D437" i="19"/>
  <c r="D971" i="19"/>
  <c r="C971" i="19"/>
  <c r="I458" i="19"/>
  <c r="F559" i="19"/>
  <c r="D106" i="19"/>
  <c r="F169" i="19"/>
  <c r="I84" i="19"/>
  <c r="F931" i="19"/>
  <c r="J312" i="19"/>
  <c r="I1013" i="19"/>
  <c r="H419" i="19"/>
  <c r="F888" i="19"/>
  <c r="G376" i="19"/>
  <c r="D398" i="19"/>
  <c r="J806" i="19"/>
  <c r="C681" i="19"/>
  <c r="H888" i="19"/>
  <c r="E701" i="19"/>
  <c r="I765" i="19"/>
  <c r="E600" i="19"/>
  <c r="F742" i="19"/>
  <c r="J540" i="19"/>
  <c r="G662" i="19"/>
  <c r="H232" i="19"/>
  <c r="E681" i="19"/>
  <c r="I865" i="19"/>
  <c r="F497" i="19"/>
  <c r="J701" i="19"/>
  <c r="F785" i="19"/>
  <c r="D84" i="19"/>
  <c r="J398" i="19"/>
  <c r="E843" i="19"/>
  <c r="F419" i="19"/>
  <c r="C909" i="19"/>
  <c r="J497" i="19"/>
  <c r="J865" i="19"/>
  <c r="I127" i="19"/>
  <c r="F232" i="19"/>
  <c r="I578" i="19"/>
  <c r="E84" i="19"/>
  <c r="I477" i="19"/>
  <c r="J642" i="19"/>
  <c r="C520" i="19"/>
  <c r="H437" i="19"/>
  <c r="H806" i="19"/>
  <c r="G458" i="19"/>
  <c r="D520" i="19"/>
  <c r="J824" i="19"/>
  <c r="C497" i="19"/>
  <c r="H497" i="19"/>
  <c r="D765" i="19"/>
  <c r="D931" i="19"/>
  <c r="E931" i="19"/>
  <c r="I559" i="19"/>
  <c r="H824" i="19"/>
  <c r="E1033" i="19"/>
  <c r="F806" i="19"/>
  <c r="H865" i="19"/>
  <c r="G619" i="19"/>
  <c r="D642" i="19"/>
  <c r="D909" i="19"/>
  <c r="C865" i="19"/>
  <c r="D865" i="19"/>
  <c r="F84" i="19"/>
  <c r="C540" i="19"/>
  <c r="F843" i="19"/>
  <c r="D333" i="19"/>
  <c r="I824" i="19"/>
  <c r="J106" i="19"/>
  <c r="J419" i="19"/>
  <c r="G127" i="19"/>
  <c r="F293" i="19"/>
  <c r="I1033" i="19"/>
  <c r="H785" i="19"/>
  <c r="G931" i="19"/>
  <c r="E785" i="19"/>
  <c r="D1054" i="19"/>
  <c r="F909" i="19"/>
  <c r="F210" i="19"/>
  <c r="I274" i="19"/>
  <c r="J662" i="19"/>
  <c r="E619" i="19"/>
  <c r="E742" i="19"/>
  <c r="F600" i="19"/>
  <c r="I681" i="19"/>
  <c r="H106" i="19"/>
  <c r="C84" i="19"/>
  <c r="D540" i="19"/>
  <c r="G540" i="19"/>
  <c r="F865" i="19"/>
  <c r="I437" i="19"/>
  <c r="I1054" i="19"/>
  <c r="G721" i="19"/>
  <c r="F721" i="19"/>
  <c r="J190" i="19"/>
  <c r="G169" i="19"/>
  <c r="E274" i="19"/>
  <c r="G520" i="19"/>
  <c r="C127" i="19"/>
  <c r="F127" i="19"/>
  <c r="C721" i="19"/>
  <c r="I721" i="19"/>
  <c r="E765" i="19"/>
  <c r="E824" i="19"/>
  <c r="E458" i="19"/>
  <c r="H559" i="19"/>
  <c r="D274" i="19"/>
  <c r="H312" i="19"/>
  <c r="E993" i="19"/>
  <c r="H952" i="19"/>
  <c r="D993" i="19"/>
  <c r="I419" i="19"/>
  <c r="G497" i="19"/>
  <c r="F312" i="19"/>
  <c r="J742" i="19"/>
  <c r="C952" i="19"/>
  <c r="D355" i="19"/>
  <c r="I806" i="19"/>
  <c r="J681" i="19"/>
  <c r="I210" i="19"/>
  <c r="F540" i="19"/>
  <c r="G681" i="19"/>
  <c r="I600" i="19"/>
  <c r="E148" i="19"/>
  <c r="J169" i="19"/>
  <c r="C232" i="19"/>
  <c r="C642" i="19"/>
  <c r="H477" i="19"/>
  <c r="G843" i="19"/>
  <c r="D232" i="19"/>
  <c r="D600" i="19"/>
  <c r="J888" i="19"/>
  <c r="C578" i="19"/>
  <c r="G993" i="19"/>
  <c r="H971" i="19"/>
  <c r="E971" i="19"/>
  <c r="J1013" i="19"/>
  <c r="H1054" i="19"/>
  <c r="E1073" i="19"/>
  <c r="I252" i="19"/>
  <c r="E190" i="19"/>
  <c r="G148" i="19"/>
  <c r="C701" i="19"/>
  <c r="E909" i="19"/>
  <c r="J148" i="19"/>
  <c r="F376" i="19"/>
  <c r="F993" i="19"/>
  <c r="G293" i="19"/>
  <c r="H765" i="19"/>
  <c r="H127" i="19"/>
  <c r="J210" i="19"/>
  <c r="J619" i="19"/>
  <c r="I520" i="19"/>
  <c r="D843" i="19"/>
  <c r="C210" i="19"/>
  <c r="C824" i="19"/>
  <c r="H843" i="19"/>
  <c r="E865" i="19"/>
  <c r="I993" i="19"/>
  <c r="C1033" i="19"/>
  <c r="G106" i="19"/>
  <c r="D477" i="19"/>
  <c r="C148" i="19"/>
  <c r="F1033" i="19"/>
  <c r="J993" i="19"/>
  <c r="F701" i="19"/>
  <c r="E232" i="19"/>
  <c r="I148" i="19"/>
  <c r="C437" i="19"/>
  <c r="D701" i="19"/>
  <c r="F1073" i="19"/>
  <c r="C765" i="19"/>
  <c r="D497" i="19"/>
  <c r="C806" i="19"/>
  <c r="E806" i="19"/>
  <c r="G1073" i="19"/>
  <c r="H931" i="19"/>
  <c r="F662" i="19"/>
  <c r="C458" i="19"/>
  <c r="G806" i="19"/>
  <c r="D1073" i="19"/>
  <c r="D742" i="19"/>
  <c r="I642" i="19"/>
  <c r="F458" i="19"/>
  <c r="I312" i="19"/>
  <c r="H84" i="19"/>
  <c r="J376" i="19"/>
  <c r="C190" i="19"/>
  <c r="F952" i="19"/>
  <c r="H662" i="19"/>
  <c r="G437" i="19"/>
  <c r="I888" i="19"/>
  <c r="J559" i="19"/>
  <c r="G701" i="19"/>
  <c r="I333" i="19"/>
  <c r="F578" i="19"/>
  <c r="F190" i="19"/>
  <c r="G600" i="19"/>
  <c r="H148" i="19"/>
  <c r="E419" i="19"/>
  <c r="J520" i="19"/>
  <c r="C398" i="19"/>
  <c r="G398" i="19"/>
  <c r="G785" i="19"/>
  <c r="G232" i="19"/>
  <c r="G642" i="19"/>
  <c r="H721" i="19"/>
  <c r="G559" i="19"/>
  <c r="H252" i="19"/>
  <c r="H1033" i="19"/>
  <c r="F971" i="19"/>
  <c r="I971" i="19"/>
  <c r="F1054" i="19"/>
  <c r="C619" i="19"/>
  <c r="G252" i="19"/>
  <c r="I355" i="19"/>
  <c r="C355" i="19"/>
  <c r="H600" i="19"/>
  <c r="I497" i="19"/>
  <c r="E540" i="19"/>
  <c r="J84" i="19"/>
  <c r="F252" i="19"/>
  <c r="D888" i="19"/>
  <c r="F824" i="19"/>
  <c r="C662" i="19"/>
  <c r="D169" i="19"/>
  <c r="D619" i="19"/>
  <c r="E355" i="19"/>
  <c r="J721" i="19"/>
  <c r="G477" i="19"/>
  <c r="I232" i="19"/>
  <c r="C293" i="19"/>
  <c r="D293" i="19"/>
  <c r="J1073" i="19"/>
  <c r="E252" i="19"/>
  <c r="J458" i="19"/>
  <c r="C312" i="19"/>
  <c r="H293" i="19"/>
  <c r="D662" i="19"/>
  <c r="G210" i="19"/>
  <c r="D312" i="19"/>
  <c r="D681" i="19"/>
  <c r="J952" i="19"/>
  <c r="H190" i="19"/>
  <c r="G1033" i="19"/>
  <c r="E559" i="19"/>
  <c r="E1054" i="19"/>
  <c r="I931" i="19"/>
  <c r="E578" i="19"/>
  <c r="F398" i="19"/>
  <c r="F106" i="19"/>
  <c r="C274" i="19"/>
  <c r="D210" i="19"/>
  <c r="H520" i="19"/>
  <c r="I909" i="19"/>
  <c r="J333" i="19"/>
  <c r="G578" i="19"/>
  <c r="I106" i="19"/>
  <c r="G355" i="19"/>
  <c r="C1013" i="19"/>
  <c r="E293" i="19"/>
  <c r="J274" i="19"/>
  <c r="J843" i="19"/>
  <c r="I742" i="19"/>
  <c r="I398" i="19"/>
  <c r="G742" i="19"/>
  <c r="C419" i="19"/>
  <c r="H1013" i="19"/>
  <c r="C1054" i="19"/>
  <c r="G1054" i="19"/>
  <c r="E952" i="19"/>
  <c r="J477" i="19"/>
  <c r="G333" i="19"/>
  <c r="C785" i="19"/>
  <c r="D785" i="19"/>
  <c r="H742" i="19"/>
  <c r="C888" i="19"/>
  <c r="F681" i="19"/>
  <c r="H642" i="19"/>
  <c r="G824" i="19"/>
  <c r="C993" i="19"/>
  <c r="I1073" i="19"/>
  <c r="F765" i="19"/>
  <c r="D419" i="19"/>
  <c r="E312" i="19"/>
  <c r="G190" i="19"/>
  <c r="C477" i="19"/>
  <c r="I619" i="19"/>
  <c r="E662" i="19"/>
  <c r="C66" i="19"/>
  <c r="I66" i="19"/>
  <c r="H66" i="19"/>
  <c r="F66" i="19"/>
  <c r="E66" i="19"/>
  <c r="J66" i="19"/>
  <c r="D66" i="19"/>
  <c r="G66" i="19"/>
  <c r="BE7" i="19"/>
  <c r="E9" i="19" l="1"/>
  <c r="D9" i="19"/>
  <c r="C9" i="19"/>
  <c r="G9" i="19"/>
  <c r="I9" i="19"/>
  <c r="J9" i="19"/>
  <c r="H9" i="19"/>
  <c r="F9" i="19"/>
  <c r="F10" i="19" s="1"/>
  <c r="H643" i="19"/>
  <c r="D620" i="19"/>
  <c r="C702" i="19"/>
  <c r="D601" i="19"/>
  <c r="H399" i="19"/>
  <c r="J766" i="19"/>
  <c r="D953" i="19"/>
  <c r="I786" i="19"/>
  <c r="J233" i="19"/>
  <c r="G972" i="19"/>
  <c r="F643" i="19"/>
  <c r="E866" i="19"/>
  <c r="E663" i="19"/>
  <c r="G334" i="19"/>
  <c r="I399" i="19"/>
  <c r="D211" i="19"/>
  <c r="J722" i="19"/>
  <c r="J85" i="19"/>
  <c r="H253" i="19"/>
  <c r="G233" i="19"/>
  <c r="J521" i="19"/>
  <c r="F191" i="19"/>
  <c r="J560" i="19"/>
  <c r="F953" i="19"/>
  <c r="D1074" i="19"/>
  <c r="H932" i="19"/>
  <c r="D498" i="19"/>
  <c r="G107" i="19"/>
  <c r="H844" i="19"/>
  <c r="H766" i="19"/>
  <c r="J149" i="19"/>
  <c r="J1014" i="19"/>
  <c r="J579" i="19"/>
  <c r="J170" i="19"/>
  <c r="F541" i="19"/>
  <c r="E459" i="19"/>
  <c r="E275" i="19"/>
  <c r="I682" i="19"/>
  <c r="D910" i="19"/>
  <c r="F807" i="19"/>
  <c r="E498" i="19"/>
  <c r="I478" i="19"/>
  <c r="I128" i="19"/>
  <c r="F420" i="19"/>
  <c r="F786" i="19"/>
  <c r="F743" i="19"/>
  <c r="G377" i="19"/>
  <c r="D972" i="19"/>
  <c r="H620" i="19"/>
  <c r="D807" i="19"/>
  <c r="G866" i="19"/>
  <c r="E313" i="19"/>
  <c r="C1055" i="19"/>
  <c r="E294" i="19"/>
  <c r="G579" i="19"/>
  <c r="G1034" i="19"/>
  <c r="G313" i="19"/>
  <c r="C356" i="19"/>
  <c r="G825" i="19"/>
  <c r="D313" i="19"/>
  <c r="C438" i="19"/>
  <c r="F438" i="19"/>
  <c r="G844" i="19"/>
  <c r="D356" i="19"/>
  <c r="I1034" i="19"/>
  <c r="H807" i="19"/>
  <c r="E682" i="19"/>
  <c r="H889" i="19"/>
  <c r="J313" i="19"/>
  <c r="D107" i="19"/>
  <c r="E377" i="19"/>
  <c r="G910" i="19"/>
  <c r="J910" i="19"/>
  <c r="D579" i="19"/>
  <c r="J356" i="19"/>
  <c r="C253" i="19"/>
  <c r="C170" i="19"/>
  <c r="J786" i="19"/>
  <c r="J128" i="19"/>
  <c r="E1014" i="19"/>
  <c r="I953" i="19"/>
  <c r="D1034" i="19"/>
  <c r="H211" i="19"/>
  <c r="D1014" i="19"/>
  <c r="C743" i="19"/>
  <c r="E107" i="19"/>
  <c r="I620" i="19"/>
  <c r="D420" i="19"/>
  <c r="H743" i="19"/>
  <c r="J478" i="19"/>
  <c r="H1014" i="19"/>
  <c r="I743" i="19"/>
  <c r="C1014" i="19"/>
  <c r="J334" i="19"/>
  <c r="C275" i="19"/>
  <c r="G275" i="19"/>
  <c r="I932" i="19"/>
  <c r="H191" i="19"/>
  <c r="G211" i="19"/>
  <c r="J459" i="19"/>
  <c r="I294" i="19"/>
  <c r="C294" i="19"/>
  <c r="E356" i="19"/>
  <c r="F825" i="19"/>
  <c r="E541" i="19"/>
  <c r="I356" i="19"/>
  <c r="I972" i="19"/>
  <c r="G560" i="19"/>
  <c r="G786" i="19"/>
  <c r="E420" i="19"/>
  <c r="F579" i="19"/>
  <c r="I889" i="19"/>
  <c r="C191" i="19"/>
  <c r="F459" i="19"/>
  <c r="G807" i="19"/>
  <c r="G1074" i="19"/>
  <c r="C766" i="19"/>
  <c r="I149" i="19"/>
  <c r="F1034" i="19"/>
  <c r="C1034" i="19"/>
  <c r="C825" i="19"/>
  <c r="J620" i="19"/>
  <c r="G294" i="19"/>
  <c r="E910" i="19"/>
  <c r="I253" i="19"/>
  <c r="E972" i="19"/>
  <c r="J889" i="19"/>
  <c r="H478" i="19"/>
  <c r="E149" i="19"/>
  <c r="I211" i="19"/>
  <c r="C953" i="19"/>
  <c r="I420" i="19"/>
  <c r="H313" i="19"/>
  <c r="E825" i="19"/>
  <c r="F128" i="19"/>
  <c r="G170" i="19"/>
  <c r="I1055" i="19"/>
  <c r="D541" i="19"/>
  <c r="F601" i="19"/>
  <c r="I275" i="19"/>
  <c r="E786" i="19"/>
  <c r="F294" i="19"/>
  <c r="I825" i="19"/>
  <c r="F85" i="19"/>
  <c r="D643" i="19"/>
  <c r="E1034" i="19"/>
  <c r="D932" i="19"/>
  <c r="J825" i="19"/>
  <c r="H438" i="19"/>
  <c r="E85" i="19"/>
  <c r="J866" i="19"/>
  <c r="E844" i="19"/>
  <c r="J702" i="19"/>
  <c r="H233" i="19"/>
  <c r="E601" i="19"/>
  <c r="C682" i="19"/>
  <c r="H682" i="19"/>
  <c r="F889" i="19"/>
  <c r="F932" i="19"/>
  <c r="F560" i="19"/>
  <c r="D438" i="19"/>
  <c r="H170" i="19"/>
  <c r="C334" i="19"/>
  <c r="F275" i="19"/>
  <c r="C107" i="19"/>
  <c r="E334" i="19"/>
  <c r="J438" i="19"/>
  <c r="D377" i="19"/>
  <c r="I541" i="19"/>
  <c r="C932" i="19"/>
  <c r="F356" i="19"/>
  <c r="J972" i="19"/>
  <c r="G766" i="19"/>
  <c r="H579" i="19"/>
  <c r="H1074" i="19"/>
  <c r="J294" i="19"/>
  <c r="C377" i="19"/>
  <c r="C994" i="19"/>
  <c r="H994" i="19"/>
  <c r="E579" i="19"/>
  <c r="D294" i="19"/>
  <c r="F1055" i="19"/>
  <c r="G498" i="19"/>
  <c r="G541" i="19"/>
  <c r="D1055" i="19"/>
  <c r="E932" i="19"/>
  <c r="F766" i="19"/>
  <c r="E953" i="19"/>
  <c r="G356" i="19"/>
  <c r="F107" i="19"/>
  <c r="D663" i="19"/>
  <c r="I233" i="19"/>
  <c r="I498" i="19"/>
  <c r="F972" i="19"/>
  <c r="H149" i="19"/>
  <c r="G438" i="19"/>
  <c r="I643" i="19"/>
  <c r="C459" i="19"/>
  <c r="D459" i="19"/>
  <c r="E807" i="19"/>
  <c r="F1074" i="19"/>
  <c r="E233" i="19"/>
  <c r="F149" i="19"/>
  <c r="D149" i="19"/>
  <c r="C149" i="19"/>
  <c r="I994" i="19"/>
  <c r="C211" i="19"/>
  <c r="E211" i="19"/>
  <c r="J211" i="19"/>
  <c r="F994" i="19"/>
  <c r="E1074" i="19"/>
  <c r="H972" i="19"/>
  <c r="C643" i="19"/>
  <c r="I601" i="19"/>
  <c r="J682" i="19"/>
  <c r="J743" i="19"/>
  <c r="D994" i="19"/>
  <c r="D275" i="19"/>
  <c r="E766" i="19"/>
  <c r="C128" i="19"/>
  <c r="J191" i="19"/>
  <c r="I438" i="19"/>
  <c r="G85" i="19"/>
  <c r="C85" i="19"/>
  <c r="E743" i="19"/>
  <c r="F211" i="19"/>
  <c r="G932" i="19"/>
  <c r="G128" i="19"/>
  <c r="D334" i="19"/>
  <c r="D866" i="19"/>
  <c r="G620" i="19"/>
  <c r="H825" i="19"/>
  <c r="D766" i="19"/>
  <c r="D521" i="19"/>
  <c r="E521" i="19"/>
  <c r="C521" i="19"/>
  <c r="I579" i="19"/>
  <c r="J498" i="19"/>
  <c r="J399" i="19"/>
  <c r="F498" i="19"/>
  <c r="G663" i="19"/>
  <c r="I766" i="19"/>
  <c r="J807" i="19"/>
  <c r="H420" i="19"/>
  <c r="I85" i="19"/>
  <c r="I459" i="19"/>
  <c r="D128" i="19"/>
  <c r="F521" i="19"/>
  <c r="G1014" i="19"/>
  <c r="E722" i="19"/>
  <c r="I170" i="19"/>
  <c r="F478" i="19"/>
  <c r="E643" i="19"/>
  <c r="H334" i="19"/>
  <c r="C601" i="19"/>
  <c r="J601" i="19"/>
  <c r="J932" i="19"/>
  <c r="F620" i="19"/>
  <c r="H275" i="19"/>
  <c r="H356" i="19"/>
  <c r="C1074" i="19"/>
  <c r="I702" i="19"/>
  <c r="I191" i="19"/>
  <c r="C889" i="19"/>
  <c r="E889" i="19"/>
  <c r="C313" i="19"/>
  <c r="C663" i="19"/>
  <c r="I663" i="19"/>
  <c r="I313" i="19"/>
  <c r="J994" i="19"/>
  <c r="I521" i="19"/>
  <c r="E191" i="19"/>
  <c r="C579" i="19"/>
  <c r="E994" i="19"/>
  <c r="C722" i="19"/>
  <c r="D722" i="19"/>
  <c r="G722" i="19"/>
  <c r="J663" i="19"/>
  <c r="J107" i="19"/>
  <c r="C541" i="19"/>
  <c r="H541" i="19"/>
  <c r="C498" i="19"/>
  <c r="C478" i="19"/>
  <c r="D786" i="19"/>
  <c r="C420" i="19"/>
  <c r="J844" i="19"/>
  <c r="I910" i="19"/>
  <c r="E1055" i="19"/>
  <c r="J953" i="19"/>
  <c r="E253" i="19"/>
  <c r="D889" i="19"/>
  <c r="G253" i="19"/>
  <c r="H722" i="19"/>
  <c r="G399" i="19"/>
  <c r="I334" i="19"/>
  <c r="J377" i="19"/>
  <c r="G191" i="19"/>
  <c r="I1074" i="19"/>
  <c r="F682" i="19"/>
  <c r="C786" i="19"/>
  <c r="G1055" i="19"/>
  <c r="G743" i="19"/>
  <c r="J275" i="19"/>
  <c r="I107" i="19"/>
  <c r="H521" i="19"/>
  <c r="F399" i="19"/>
  <c r="E560" i="19"/>
  <c r="D682" i="19"/>
  <c r="H294" i="19"/>
  <c r="J1074" i="19"/>
  <c r="G478" i="19"/>
  <c r="D170" i="19"/>
  <c r="F253" i="19"/>
  <c r="H601" i="19"/>
  <c r="C620" i="19"/>
  <c r="H1034" i="19"/>
  <c r="G643" i="19"/>
  <c r="C399" i="19"/>
  <c r="G601" i="19"/>
  <c r="G702" i="19"/>
  <c r="H663" i="19"/>
  <c r="H85" i="19"/>
  <c r="D743" i="19"/>
  <c r="F663" i="19"/>
  <c r="C807" i="19"/>
  <c r="D702" i="19"/>
  <c r="F702" i="19"/>
  <c r="D478" i="19"/>
  <c r="D844" i="19"/>
  <c r="C844" i="19"/>
  <c r="I844" i="19"/>
  <c r="H128" i="19"/>
  <c r="F377" i="19"/>
  <c r="G149" i="19"/>
  <c r="H1055" i="19"/>
  <c r="G994" i="19"/>
  <c r="D233" i="19"/>
  <c r="C233" i="19"/>
  <c r="G682" i="19"/>
  <c r="I807" i="19"/>
  <c r="F313" i="19"/>
  <c r="H953" i="19"/>
  <c r="H560" i="19"/>
  <c r="I722" i="19"/>
  <c r="G521" i="19"/>
  <c r="F722" i="19"/>
  <c r="F866" i="19"/>
  <c r="H107" i="19"/>
  <c r="E620" i="19"/>
  <c r="F910" i="19"/>
  <c r="H786" i="19"/>
  <c r="J420" i="19"/>
  <c r="F844" i="19"/>
  <c r="C866" i="19"/>
  <c r="H866" i="19"/>
  <c r="I560" i="19"/>
  <c r="H498" i="19"/>
  <c r="G459" i="19"/>
  <c r="J643" i="19"/>
  <c r="F233" i="19"/>
  <c r="H910" i="19"/>
  <c r="C910" i="19"/>
  <c r="D85" i="19"/>
  <c r="I866" i="19"/>
  <c r="J541" i="19"/>
  <c r="E702" i="19"/>
  <c r="D399" i="19"/>
  <c r="I1014" i="19"/>
  <c r="F170" i="19"/>
  <c r="C972" i="19"/>
  <c r="C560" i="19"/>
  <c r="D560" i="19"/>
  <c r="G953" i="19"/>
  <c r="H702" i="19"/>
  <c r="H377" i="19"/>
  <c r="I377" i="19"/>
  <c r="D253" i="19"/>
  <c r="F1014" i="19"/>
  <c r="E438" i="19"/>
  <c r="D191" i="19"/>
  <c r="G889" i="19"/>
  <c r="E399" i="19"/>
  <c r="J253" i="19"/>
  <c r="J1055" i="19"/>
  <c r="J1034" i="19"/>
  <c r="G420" i="19"/>
  <c r="E478" i="19"/>
  <c r="H459" i="19"/>
  <c r="E170" i="19"/>
  <c r="F334" i="19"/>
  <c r="D825" i="19"/>
  <c r="E128" i="19"/>
  <c r="G67" i="19"/>
  <c r="C67" i="19"/>
  <c r="J67" i="19"/>
  <c r="F67" i="19"/>
  <c r="H67" i="19"/>
  <c r="E67" i="19"/>
  <c r="I67" i="19"/>
  <c r="D67" i="19"/>
  <c r="BE8" i="19"/>
  <c r="E10" i="19" l="1"/>
  <c r="H10" i="19"/>
  <c r="I10" i="19"/>
  <c r="J10" i="19"/>
  <c r="C10" i="19"/>
  <c r="K10" i="19"/>
  <c r="D10" i="19"/>
  <c r="C11" i="19" s="1"/>
  <c r="G10" i="19"/>
  <c r="I479" i="19"/>
  <c r="E664" i="19"/>
  <c r="D1075" i="19"/>
  <c r="D911" i="19"/>
  <c r="I400" i="19"/>
  <c r="H644" i="19"/>
  <c r="F744" i="19"/>
  <c r="C499" i="19"/>
  <c r="C314" i="19"/>
  <c r="F621" i="19"/>
  <c r="H335" i="19"/>
  <c r="I767" i="19"/>
  <c r="D522" i="19"/>
  <c r="F212" i="19"/>
  <c r="I439" i="19"/>
  <c r="D276" i="19"/>
  <c r="I602" i="19"/>
  <c r="E460" i="19"/>
  <c r="F973" i="19"/>
  <c r="E933" i="19"/>
  <c r="H580" i="19"/>
  <c r="F890" i="19"/>
  <c r="E86" i="19"/>
  <c r="F295" i="19"/>
  <c r="D542" i="19"/>
  <c r="E826" i="19"/>
  <c r="I150" i="19"/>
  <c r="I357" i="19"/>
  <c r="G580" i="19"/>
  <c r="E129" i="19"/>
  <c r="J1056" i="19"/>
  <c r="I378" i="19"/>
  <c r="I1015" i="19"/>
  <c r="I867" i="19"/>
  <c r="F234" i="19"/>
  <c r="J421" i="19"/>
  <c r="H108" i="19"/>
  <c r="I723" i="19"/>
  <c r="I808" i="19"/>
  <c r="G995" i="19"/>
  <c r="D479" i="19"/>
  <c r="F664" i="19"/>
  <c r="G703" i="19"/>
  <c r="H1035" i="19"/>
  <c r="D171" i="19"/>
  <c r="D683" i="19"/>
  <c r="C787" i="19"/>
  <c r="J954" i="19"/>
  <c r="C1075" i="19"/>
  <c r="J723" i="19"/>
  <c r="F954" i="19"/>
  <c r="H911" i="19"/>
  <c r="F808" i="19"/>
  <c r="H460" i="19"/>
  <c r="D192" i="19"/>
  <c r="D561" i="19"/>
  <c r="J254" i="19"/>
  <c r="D400" i="19"/>
  <c r="J644" i="19"/>
  <c r="I845" i="19"/>
  <c r="D744" i="19"/>
  <c r="J522" i="19"/>
  <c r="C421" i="19"/>
  <c r="E995" i="19"/>
  <c r="F995" i="19"/>
  <c r="F108" i="19"/>
  <c r="C995" i="19"/>
  <c r="E1035" i="19"/>
  <c r="I212" i="19"/>
  <c r="F460" i="19"/>
  <c r="J335" i="19"/>
  <c r="D1035" i="19"/>
  <c r="F439" i="19"/>
  <c r="E439" i="19"/>
  <c r="C561" i="19"/>
  <c r="J561" i="19"/>
  <c r="H787" i="19"/>
  <c r="G602" i="19"/>
  <c r="J276" i="19"/>
  <c r="J378" i="19"/>
  <c r="G254" i="19"/>
  <c r="E1056" i="19"/>
  <c r="D787" i="19"/>
  <c r="H542" i="19"/>
  <c r="G723" i="19"/>
  <c r="C580" i="19"/>
  <c r="I314" i="19"/>
  <c r="E890" i="19"/>
  <c r="J933" i="19"/>
  <c r="E644" i="19"/>
  <c r="G1015" i="19"/>
  <c r="I86" i="19"/>
  <c r="G664" i="19"/>
  <c r="I580" i="19"/>
  <c r="D767" i="19"/>
  <c r="D335" i="19"/>
  <c r="E744" i="19"/>
  <c r="J192" i="19"/>
  <c r="D995" i="19"/>
  <c r="C644" i="19"/>
  <c r="J212" i="19"/>
  <c r="C150" i="19"/>
  <c r="J150" i="19"/>
  <c r="F1075" i="19"/>
  <c r="I644" i="19"/>
  <c r="I499" i="19"/>
  <c r="G357" i="19"/>
  <c r="D1056" i="19"/>
  <c r="D295" i="19"/>
  <c r="C378" i="19"/>
  <c r="G767" i="19"/>
  <c r="I542" i="19"/>
  <c r="C108" i="19"/>
  <c r="G108" i="19"/>
  <c r="D439" i="19"/>
  <c r="H683" i="19"/>
  <c r="J703" i="19"/>
  <c r="H439" i="19"/>
  <c r="D644" i="19"/>
  <c r="E787" i="19"/>
  <c r="I1056" i="19"/>
  <c r="H314" i="19"/>
  <c r="E150" i="19"/>
  <c r="I254" i="19"/>
  <c r="G826" i="19"/>
  <c r="C826" i="19"/>
  <c r="C767" i="19"/>
  <c r="C192" i="19"/>
  <c r="G787" i="19"/>
  <c r="E542" i="19"/>
  <c r="I295" i="19"/>
  <c r="I933" i="19"/>
  <c r="C1015" i="19"/>
  <c r="H744" i="19"/>
  <c r="C744" i="19"/>
  <c r="I954" i="19"/>
  <c r="C171" i="19"/>
  <c r="J911" i="19"/>
  <c r="J314" i="19"/>
  <c r="I1035" i="19"/>
  <c r="C439" i="19"/>
  <c r="J767" i="19"/>
  <c r="E314" i="19"/>
  <c r="F787" i="19"/>
  <c r="H767" i="19"/>
  <c r="F421" i="19"/>
  <c r="C1056" i="19"/>
  <c r="I561" i="19"/>
  <c r="H129" i="19"/>
  <c r="I108" i="19"/>
  <c r="J664" i="19"/>
  <c r="I460" i="19"/>
  <c r="E234" i="19"/>
  <c r="F1056" i="19"/>
  <c r="C933" i="19"/>
  <c r="H171" i="19"/>
  <c r="J621" i="19"/>
  <c r="E421" i="19"/>
  <c r="C295" i="19"/>
  <c r="J479" i="19"/>
  <c r="J787" i="19"/>
  <c r="D108" i="19"/>
  <c r="D954" i="19"/>
  <c r="E295" i="19"/>
  <c r="J171" i="19"/>
  <c r="E479" i="19"/>
  <c r="H378" i="19"/>
  <c r="D86" i="19"/>
  <c r="H867" i="19"/>
  <c r="H561" i="19"/>
  <c r="H1056" i="19"/>
  <c r="C621" i="19"/>
  <c r="D621" i="19"/>
  <c r="G479" i="19"/>
  <c r="F683" i="19"/>
  <c r="F335" i="19"/>
  <c r="G421" i="19"/>
  <c r="E400" i="19"/>
  <c r="F1015" i="19"/>
  <c r="H703" i="19"/>
  <c r="D973" i="19"/>
  <c r="C973" i="19"/>
  <c r="E703" i="19"/>
  <c r="C911" i="19"/>
  <c r="G460" i="19"/>
  <c r="C867" i="19"/>
  <c r="E867" i="19"/>
  <c r="F911" i="19"/>
  <c r="F723" i="19"/>
  <c r="H954" i="19"/>
  <c r="C234" i="19"/>
  <c r="G234" i="19"/>
  <c r="G150" i="19"/>
  <c r="H845" i="19"/>
  <c r="C845" i="19"/>
  <c r="C703" i="19"/>
  <c r="D703" i="19"/>
  <c r="H86" i="19"/>
  <c r="C400" i="19"/>
  <c r="H602" i="19"/>
  <c r="J1075" i="19"/>
  <c r="F400" i="19"/>
  <c r="G744" i="19"/>
  <c r="I1075" i="19"/>
  <c r="I335" i="19"/>
  <c r="D890" i="19"/>
  <c r="I911" i="19"/>
  <c r="F644" i="19"/>
  <c r="C542" i="19"/>
  <c r="D723" i="19"/>
  <c r="E192" i="19"/>
  <c r="I664" i="19"/>
  <c r="C890" i="19"/>
  <c r="H357" i="19"/>
  <c r="J602" i="19"/>
  <c r="F479" i="19"/>
  <c r="F522" i="19"/>
  <c r="H421" i="19"/>
  <c r="F499" i="19"/>
  <c r="C522" i="19"/>
  <c r="H826" i="19"/>
  <c r="G129" i="19"/>
  <c r="C86" i="19"/>
  <c r="C129" i="19"/>
  <c r="I129" i="19"/>
  <c r="J744" i="19"/>
  <c r="H973" i="19"/>
  <c r="E212" i="19"/>
  <c r="D150" i="19"/>
  <c r="E808" i="19"/>
  <c r="G439" i="19"/>
  <c r="I234" i="19"/>
  <c r="E954" i="19"/>
  <c r="G542" i="19"/>
  <c r="E580" i="19"/>
  <c r="J295" i="19"/>
  <c r="J973" i="19"/>
  <c r="D378" i="19"/>
  <c r="F276" i="19"/>
  <c r="F561" i="19"/>
  <c r="C683" i="19"/>
  <c r="I683" i="19"/>
  <c r="E845" i="19"/>
  <c r="J826" i="19"/>
  <c r="F86" i="19"/>
  <c r="I276" i="19"/>
  <c r="G171" i="19"/>
  <c r="I421" i="19"/>
  <c r="H479" i="19"/>
  <c r="E911" i="19"/>
  <c r="C1035" i="19"/>
  <c r="G1075" i="19"/>
  <c r="I890" i="19"/>
  <c r="G561" i="19"/>
  <c r="F826" i="19"/>
  <c r="J460" i="19"/>
  <c r="G276" i="19"/>
  <c r="I744" i="19"/>
  <c r="D421" i="19"/>
  <c r="D1015" i="19"/>
  <c r="E1015" i="19"/>
  <c r="C254" i="19"/>
  <c r="G911" i="19"/>
  <c r="H890" i="19"/>
  <c r="D357" i="19"/>
  <c r="C357" i="19"/>
  <c r="D314" i="19"/>
  <c r="J580" i="19"/>
  <c r="G973" i="19"/>
  <c r="F192" i="19"/>
  <c r="J234" i="19"/>
  <c r="F542" i="19"/>
  <c r="H254" i="19"/>
  <c r="G867" i="19"/>
  <c r="H723" i="19"/>
  <c r="J995" i="19"/>
  <c r="I703" i="19"/>
  <c r="E723" i="19"/>
  <c r="J499" i="19"/>
  <c r="D867" i="19"/>
  <c r="I995" i="19"/>
  <c r="C460" i="19"/>
  <c r="E335" i="19"/>
  <c r="H234" i="19"/>
  <c r="E973" i="19"/>
  <c r="H192" i="19"/>
  <c r="E108" i="19"/>
  <c r="D580" i="19"/>
  <c r="H808" i="19"/>
  <c r="I787" i="19"/>
  <c r="H933" i="19"/>
  <c r="D826" i="19"/>
  <c r="F867" i="19"/>
  <c r="G683" i="19"/>
  <c r="F703" i="19"/>
  <c r="E561" i="19"/>
  <c r="E171" i="19"/>
  <c r="J1035" i="19"/>
  <c r="G890" i="19"/>
  <c r="D254" i="19"/>
  <c r="G954" i="19"/>
  <c r="F171" i="19"/>
  <c r="J542" i="19"/>
  <c r="H499" i="19"/>
  <c r="F845" i="19"/>
  <c r="E621" i="19"/>
  <c r="G522" i="19"/>
  <c r="F314" i="19"/>
  <c r="D234" i="19"/>
  <c r="F378" i="19"/>
  <c r="D845" i="19"/>
  <c r="C808" i="19"/>
  <c r="H664" i="19"/>
  <c r="G644" i="19"/>
  <c r="F254" i="19"/>
  <c r="H295" i="19"/>
  <c r="H522" i="19"/>
  <c r="G1056" i="19"/>
  <c r="G192" i="19"/>
  <c r="G400" i="19"/>
  <c r="E254" i="19"/>
  <c r="J845" i="19"/>
  <c r="C479" i="19"/>
  <c r="J108" i="19"/>
  <c r="C723" i="19"/>
  <c r="I522" i="19"/>
  <c r="C664" i="19"/>
  <c r="I192" i="19"/>
  <c r="H276" i="19"/>
  <c r="D602" i="19"/>
  <c r="C602" i="19"/>
  <c r="I171" i="19"/>
  <c r="D129" i="19"/>
  <c r="J808" i="19"/>
  <c r="J400" i="19"/>
  <c r="E522" i="19"/>
  <c r="G621" i="19"/>
  <c r="G933" i="19"/>
  <c r="G86" i="19"/>
  <c r="E767" i="19"/>
  <c r="J683" i="19"/>
  <c r="E1075" i="19"/>
  <c r="C212" i="19"/>
  <c r="D212" i="19"/>
  <c r="F150" i="19"/>
  <c r="D460" i="19"/>
  <c r="H150" i="19"/>
  <c r="D664" i="19"/>
  <c r="F767" i="19"/>
  <c r="G499" i="19"/>
  <c r="H995" i="19"/>
  <c r="H1075" i="19"/>
  <c r="F357" i="19"/>
  <c r="J439" i="19"/>
  <c r="C335" i="19"/>
  <c r="G335" i="19"/>
  <c r="F933" i="19"/>
  <c r="E602" i="19"/>
  <c r="J867" i="19"/>
  <c r="D933" i="19"/>
  <c r="I826" i="19"/>
  <c r="F602" i="19"/>
  <c r="F129" i="19"/>
  <c r="C954" i="19"/>
  <c r="J890" i="19"/>
  <c r="G295" i="19"/>
  <c r="F1035" i="19"/>
  <c r="G808" i="19"/>
  <c r="F580" i="19"/>
  <c r="I973" i="19"/>
  <c r="E357" i="19"/>
  <c r="G212" i="19"/>
  <c r="C276" i="19"/>
  <c r="H1015" i="19"/>
  <c r="I621" i="19"/>
  <c r="H212" i="19"/>
  <c r="J129" i="19"/>
  <c r="J357" i="19"/>
  <c r="E378" i="19"/>
  <c r="E683" i="19"/>
  <c r="G845" i="19"/>
  <c r="H400" i="19"/>
  <c r="D499" i="19"/>
  <c r="G1035" i="19"/>
  <c r="D808" i="19"/>
  <c r="E276" i="19"/>
  <c r="J86" i="19"/>
  <c r="G378" i="19"/>
  <c r="E499" i="19"/>
  <c r="J1015" i="19"/>
  <c r="G314" i="19"/>
  <c r="H621" i="19"/>
  <c r="H68" i="19"/>
  <c r="I68" i="19"/>
  <c r="F68" i="19"/>
  <c r="D68" i="19"/>
  <c r="E68" i="19"/>
  <c r="J68" i="19"/>
  <c r="G68" i="19"/>
  <c r="C68" i="19"/>
  <c r="BE9" i="19"/>
  <c r="I11" i="19" l="1"/>
  <c r="E11" i="19"/>
  <c r="K11" i="19"/>
  <c r="F11" i="19"/>
  <c r="F12" i="19" s="1"/>
  <c r="D11" i="19"/>
  <c r="J11" i="19"/>
  <c r="G11" i="19"/>
  <c r="H11" i="19"/>
  <c r="I974" i="19"/>
  <c r="J440" i="19"/>
  <c r="H213" i="19"/>
  <c r="G336" i="19"/>
  <c r="I745" i="19"/>
  <c r="E277" i="19"/>
  <c r="J358" i="19"/>
  <c r="J846" i="19"/>
  <c r="E724" i="19"/>
  <c r="J1016" i="19"/>
  <c r="H401" i="19"/>
  <c r="E603" i="19"/>
  <c r="D461" i="19"/>
  <c r="G934" i="19"/>
  <c r="I523" i="19"/>
  <c r="G645" i="19"/>
  <c r="F172" i="19"/>
  <c r="I788" i="19"/>
  <c r="E912" i="19"/>
  <c r="G543" i="19"/>
  <c r="H422" i="19"/>
  <c r="D891" i="19"/>
  <c r="H87" i="19"/>
  <c r="H955" i="19"/>
  <c r="G480" i="19"/>
  <c r="H581" i="19"/>
  <c r="G296" i="19"/>
  <c r="F603" i="19"/>
  <c r="G500" i="19"/>
  <c r="E1076" i="19"/>
  <c r="J809" i="19"/>
  <c r="G1057" i="19"/>
  <c r="F379" i="19"/>
  <c r="E622" i="19"/>
  <c r="J1036" i="19"/>
  <c r="G684" i="19"/>
  <c r="H193" i="19"/>
  <c r="G868" i="19"/>
  <c r="G562" i="19"/>
  <c r="G130" i="19"/>
  <c r="I868" i="19"/>
  <c r="D172" i="19"/>
  <c r="E461" i="19"/>
  <c r="J109" i="19"/>
  <c r="D827" i="19"/>
  <c r="D581" i="19"/>
  <c r="H235" i="19"/>
  <c r="I480" i="19"/>
  <c r="H1036" i="19"/>
  <c r="F955" i="19"/>
  <c r="D523" i="19"/>
  <c r="I809" i="19"/>
  <c r="H336" i="19"/>
  <c r="I603" i="19"/>
  <c r="F665" i="19"/>
  <c r="F704" i="19"/>
  <c r="C315" i="19"/>
  <c r="E87" i="19"/>
  <c r="I401" i="19"/>
  <c r="E934" i="19"/>
  <c r="J665" i="19"/>
  <c r="J315" i="19"/>
  <c r="F745" i="19"/>
  <c r="C768" i="19"/>
  <c r="E151" i="19"/>
  <c r="D996" i="19"/>
  <c r="J336" i="19"/>
  <c r="D603" i="19"/>
  <c r="C358" i="19"/>
  <c r="D379" i="19"/>
  <c r="E809" i="19"/>
  <c r="D724" i="19"/>
  <c r="F401" i="19"/>
  <c r="D955" i="19"/>
  <c r="F296" i="19"/>
  <c r="C296" i="19"/>
  <c r="C1057" i="19"/>
  <c r="J1057" i="19"/>
  <c r="E315" i="19"/>
  <c r="I296" i="19"/>
  <c r="D645" i="19"/>
  <c r="D440" i="19"/>
  <c r="G768" i="19"/>
  <c r="G358" i="19"/>
  <c r="J151" i="19"/>
  <c r="D768" i="19"/>
  <c r="G1016" i="19"/>
  <c r="I315" i="19"/>
  <c r="D788" i="19"/>
  <c r="J277" i="19"/>
  <c r="C562" i="19"/>
  <c r="D562" i="19"/>
  <c r="C996" i="19"/>
  <c r="C422" i="19"/>
  <c r="J422" i="19"/>
  <c r="I379" i="19"/>
  <c r="C500" i="19"/>
  <c r="C788" i="19"/>
  <c r="I151" i="19"/>
  <c r="E500" i="19"/>
  <c r="D809" i="19"/>
  <c r="G846" i="19"/>
  <c r="J130" i="19"/>
  <c r="C277" i="19"/>
  <c r="F581" i="19"/>
  <c r="J891" i="19"/>
  <c r="I827" i="19"/>
  <c r="F934" i="19"/>
  <c r="F358" i="19"/>
  <c r="F768" i="19"/>
  <c r="F151" i="19"/>
  <c r="J684" i="19"/>
  <c r="G622" i="19"/>
  <c r="D130" i="19"/>
  <c r="H277" i="19"/>
  <c r="C724" i="19"/>
  <c r="I724" i="19"/>
  <c r="E255" i="19"/>
  <c r="H523" i="19"/>
  <c r="H665" i="19"/>
  <c r="D235" i="19"/>
  <c r="F846" i="19"/>
  <c r="G955" i="19"/>
  <c r="E172" i="19"/>
  <c r="F868" i="19"/>
  <c r="H809" i="19"/>
  <c r="E974" i="19"/>
  <c r="I996" i="19"/>
  <c r="I704" i="19"/>
  <c r="H255" i="19"/>
  <c r="G974" i="19"/>
  <c r="D358" i="19"/>
  <c r="E1016" i="19"/>
  <c r="G277" i="19"/>
  <c r="I891" i="19"/>
  <c r="H480" i="19"/>
  <c r="F87" i="19"/>
  <c r="C684" i="19"/>
  <c r="D684" i="19"/>
  <c r="J974" i="19"/>
  <c r="E955" i="19"/>
  <c r="D151" i="19"/>
  <c r="I130" i="19"/>
  <c r="H827" i="19"/>
  <c r="F523" i="19"/>
  <c r="C891" i="19"/>
  <c r="C543" i="19"/>
  <c r="I336" i="19"/>
  <c r="J1076" i="19"/>
  <c r="D704" i="19"/>
  <c r="G151" i="19"/>
  <c r="F724" i="19"/>
  <c r="G461" i="19"/>
  <c r="D974" i="19"/>
  <c r="G422" i="19"/>
  <c r="D622" i="19"/>
  <c r="H868" i="19"/>
  <c r="D1076" i="19"/>
  <c r="D109" i="19"/>
  <c r="E422" i="19"/>
  <c r="F1057" i="19"/>
  <c r="I109" i="19"/>
  <c r="F422" i="19"/>
  <c r="J768" i="19"/>
  <c r="J912" i="19"/>
  <c r="H745" i="19"/>
  <c r="E543" i="19"/>
  <c r="C827" i="19"/>
  <c r="E827" i="19"/>
  <c r="H315" i="19"/>
  <c r="H440" i="19"/>
  <c r="G109" i="19"/>
  <c r="C379" i="19"/>
  <c r="I500" i="19"/>
  <c r="C151" i="19"/>
  <c r="J193" i="19"/>
  <c r="I581" i="19"/>
  <c r="E645" i="19"/>
  <c r="C581" i="19"/>
  <c r="E1057" i="19"/>
  <c r="G603" i="19"/>
  <c r="E440" i="19"/>
  <c r="F461" i="19"/>
  <c r="F109" i="19"/>
  <c r="H461" i="19"/>
  <c r="D543" i="19"/>
  <c r="H1016" i="19"/>
  <c r="I277" i="19"/>
  <c r="J745" i="19"/>
  <c r="H846" i="19"/>
  <c r="C974" i="19"/>
  <c r="F974" i="19"/>
  <c r="H562" i="19"/>
  <c r="G379" i="19"/>
  <c r="E684" i="19"/>
  <c r="G809" i="19"/>
  <c r="D665" i="19"/>
  <c r="E523" i="19"/>
  <c r="H296" i="19"/>
  <c r="F315" i="19"/>
  <c r="H500" i="19"/>
  <c r="D255" i="19"/>
  <c r="E562" i="19"/>
  <c r="D868" i="19"/>
  <c r="J996" i="19"/>
  <c r="F543" i="19"/>
  <c r="J581" i="19"/>
  <c r="H891" i="19"/>
  <c r="D1016" i="19"/>
  <c r="J461" i="19"/>
  <c r="G1076" i="19"/>
  <c r="I422" i="19"/>
  <c r="J827" i="19"/>
  <c r="F562" i="19"/>
  <c r="J296" i="19"/>
  <c r="I235" i="19"/>
  <c r="E213" i="19"/>
  <c r="E130" i="19"/>
  <c r="C130" i="19"/>
  <c r="C523" i="19"/>
  <c r="F480" i="19"/>
  <c r="I665" i="19"/>
  <c r="F645" i="19"/>
  <c r="I1076" i="19"/>
  <c r="H603" i="19"/>
  <c r="C704" i="19"/>
  <c r="G235" i="19"/>
  <c r="F912" i="19"/>
  <c r="H912" i="19"/>
  <c r="C912" i="19"/>
  <c r="H704" i="19"/>
  <c r="F336" i="19"/>
  <c r="C622" i="19"/>
  <c r="F622" i="19"/>
  <c r="D87" i="19"/>
  <c r="J172" i="19"/>
  <c r="J788" i="19"/>
  <c r="J622" i="19"/>
  <c r="E235" i="19"/>
  <c r="H130" i="19"/>
  <c r="H768" i="19"/>
  <c r="C440" i="19"/>
  <c r="C172" i="19"/>
  <c r="C1016" i="19"/>
  <c r="I1016" i="19"/>
  <c r="G788" i="19"/>
  <c r="G827" i="19"/>
  <c r="I1057" i="19"/>
  <c r="J704" i="19"/>
  <c r="C109" i="19"/>
  <c r="D296" i="19"/>
  <c r="I645" i="19"/>
  <c r="J213" i="19"/>
  <c r="E745" i="19"/>
  <c r="G665" i="19"/>
  <c r="J934" i="19"/>
  <c r="G724" i="19"/>
  <c r="G255" i="19"/>
  <c r="H788" i="19"/>
  <c r="F440" i="19"/>
  <c r="I213" i="19"/>
  <c r="F996" i="19"/>
  <c r="J523" i="19"/>
  <c r="I440" i="19"/>
  <c r="J724" i="19"/>
  <c r="G704" i="19"/>
  <c r="G581" i="19"/>
  <c r="C1076" i="19"/>
  <c r="C461" i="19"/>
  <c r="F193" i="19"/>
  <c r="C255" i="19"/>
  <c r="J255" i="19"/>
  <c r="I684" i="19"/>
  <c r="H358" i="19"/>
  <c r="C868" i="19"/>
  <c r="E401" i="19"/>
  <c r="E480" i="19"/>
  <c r="C934" i="19"/>
  <c r="C745" i="19"/>
  <c r="H622" i="19"/>
  <c r="G1036" i="19"/>
  <c r="G213" i="19"/>
  <c r="C955" i="19"/>
  <c r="J955" i="19"/>
  <c r="D934" i="19"/>
  <c r="H1076" i="19"/>
  <c r="D213" i="19"/>
  <c r="E768" i="19"/>
  <c r="I172" i="19"/>
  <c r="I193" i="19"/>
  <c r="G401" i="19"/>
  <c r="C809" i="19"/>
  <c r="G315" i="19"/>
  <c r="J87" i="19"/>
  <c r="D500" i="19"/>
  <c r="E379" i="19"/>
  <c r="I622" i="19"/>
  <c r="E358" i="19"/>
  <c r="F1036" i="19"/>
  <c r="F130" i="19"/>
  <c r="J868" i="19"/>
  <c r="C336" i="19"/>
  <c r="H996" i="19"/>
  <c r="H151" i="19"/>
  <c r="C213" i="19"/>
  <c r="F213" i="19"/>
  <c r="G87" i="19"/>
  <c r="J401" i="19"/>
  <c r="C603" i="19"/>
  <c r="C665" i="19"/>
  <c r="C480" i="19"/>
  <c r="D480" i="19"/>
  <c r="G193" i="19"/>
  <c r="F255" i="19"/>
  <c r="D846" i="19"/>
  <c r="G523" i="19"/>
  <c r="J543" i="19"/>
  <c r="G891" i="19"/>
  <c r="H934" i="19"/>
  <c r="E109" i="19"/>
  <c r="E336" i="19"/>
  <c r="J500" i="19"/>
  <c r="H724" i="19"/>
  <c r="J235" i="19"/>
  <c r="D315" i="19"/>
  <c r="G912" i="19"/>
  <c r="D422" i="19"/>
  <c r="F827" i="19"/>
  <c r="C1036" i="19"/>
  <c r="G172" i="19"/>
  <c r="E846" i="19"/>
  <c r="F277" i="19"/>
  <c r="E581" i="19"/>
  <c r="G440" i="19"/>
  <c r="H974" i="19"/>
  <c r="C87" i="19"/>
  <c r="F500" i="19"/>
  <c r="J603" i="19"/>
  <c r="E193" i="19"/>
  <c r="I912" i="19"/>
  <c r="G745" i="19"/>
  <c r="C401" i="19"/>
  <c r="D401" i="19"/>
  <c r="C846" i="19"/>
  <c r="I846" i="19"/>
  <c r="C235" i="19"/>
  <c r="F235" i="19"/>
  <c r="E868" i="19"/>
  <c r="E704" i="19"/>
  <c r="F1016" i="19"/>
  <c r="F684" i="19"/>
  <c r="H1057" i="19"/>
  <c r="H379" i="19"/>
  <c r="E296" i="19"/>
  <c r="J480" i="19"/>
  <c r="H172" i="19"/>
  <c r="I461" i="19"/>
  <c r="I562" i="19"/>
  <c r="F788" i="19"/>
  <c r="I1036" i="19"/>
  <c r="I955" i="19"/>
  <c r="I934" i="19"/>
  <c r="C193" i="19"/>
  <c r="D193" i="19"/>
  <c r="I255" i="19"/>
  <c r="E788" i="19"/>
  <c r="H684" i="19"/>
  <c r="I543" i="19"/>
  <c r="D1057" i="19"/>
  <c r="F1076" i="19"/>
  <c r="J645" i="19"/>
  <c r="H645" i="19"/>
  <c r="C645" i="19"/>
  <c r="D336" i="19"/>
  <c r="I87" i="19"/>
  <c r="E891" i="19"/>
  <c r="H543" i="19"/>
  <c r="J379" i="19"/>
  <c r="J562" i="19"/>
  <c r="D1036" i="19"/>
  <c r="E1036" i="19"/>
  <c r="E996" i="19"/>
  <c r="D745" i="19"/>
  <c r="H109" i="19"/>
  <c r="I768" i="19"/>
  <c r="D912" i="19"/>
  <c r="G996" i="19"/>
  <c r="F809" i="19"/>
  <c r="I358" i="19"/>
  <c r="F891" i="19"/>
  <c r="D277" i="19"/>
  <c r="E665" i="19"/>
  <c r="C69" i="19"/>
  <c r="G69" i="19"/>
  <c r="H69" i="19"/>
  <c r="E69" i="19"/>
  <c r="F69" i="19"/>
  <c r="J69" i="19"/>
  <c r="D69" i="19"/>
  <c r="I69" i="19"/>
  <c r="BE10" i="19"/>
  <c r="G12" i="19" l="1"/>
  <c r="H12" i="19"/>
  <c r="K12" i="19"/>
  <c r="I12" i="19"/>
  <c r="I13" i="19" s="1"/>
  <c r="J12" i="19"/>
  <c r="E12" i="19"/>
  <c r="D12" i="19"/>
  <c r="C12" i="19"/>
  <c r="K13" i="19" s="1"/>
  <c r="I462" i="19"/>
  <c r="F131" i="19"/>
  <c r="H110" i="19"/>
  <c r="E892" i="19"/>
  <c r="E666" i="19"/>
  <c r="H646" i="19"/>
  <c r="I544" i="19"/>
  <c r="D194" i="19"/>
  <c r="H173" i="19"/>
  <c r="H1058" i="19"/>
  <c r="E869" i="19"/>
  <c r="C847" i="19"/>
  <c r="I913" i="19"/>
  <c r="F278" i="19"/>
  <c r="F828" i="19"/>
  <c r="J236" i="19"/>
  <c r="G524" i="19"/>
  <c r="D481" i="19"/>
  <c r="J402" i="19"/>
  <c r="H152" i="19"/>
  <c r="E380" i="19"/>
  <c r="E769" i="19"/>
  <c r="J956" i="19"/>
  <c r="H623" i="19"/>
  <c r="J256" i="19"/>
  <c r="C1077" i="19"/>
  <c r="I441" i="19"/>
  <c r="J935" i="19"/>
  <c r="C1017" i="19"/>
  <c r="F337" i="19"/>
  <c r="I423" i="19"/>
  <c r="F316" i="19"/>
  <c r="F975" i="19"/>
  <c r="F725" i="19"/>
  <c r="D359" i="19"/>
  <c r="I997" i="19"/>
  <c r="J685" i="19"/>
  <c r="E501" i="19"/>
  <c r="D563" i="19"/>
  <c r="D1037" i="19"/>
  <c r="F810" i="19"/>
  <c r="J810" i="19"/>
  <c r="I524" i="19"/>
  <c r="J337" i="19"/>
  <c r="E789" i="19"/>
  <c r="E297" i="19"/>
  <c r="I402" i="19"/>
  <c r="J604" i="19"/>
  <c r="F666" i="19"/>
  <c r="F214" i="19"/>
  <c r="G337" i="19"/>
  <c r="E935" i="19"/>
  <c r="G705" i="19"/>
  <c r="E746" i="19"/>
  <c r="I789" i="19"/>
  <c r="E582" i="19"/>
  <c r="J316" i="19"/>
  <c r="E623" i="19"/>
  <c r="D997" i="19"/>
  <c r="E110" i="19"/>
  <c r="E402" i="19"/>
  <c r="I1077" i="19"/>
  <c r="D869" i="19"/>
  <c r="E1058" i="19"/>
  <c r="G110" i="19"/>
  <c r="J769" i="19"/>
  <c r="E423" i="19"/>
  <c r="I337" i="19"/>
  <c r="H828" i="19"/>
  <c r="J975" i="19"/>
  <c r="H481" i="19"/>
  <c r="E173" i="19"/>
  <c r="H666" i="19"/>
  <c r="C725" i="19"/>
  <c r="F935" i="19"/>
  <c r="C278" i="19"/>
  <c r="I380" i="19"/>
  <c r="I316" i="19"/>
  <c r="G359" i="19"/>
  <c r="F769" i="19"/>
  <c r="C1058" i="19"/>
  <c r="F402" i="19"/>
  <c r="C359" i="19"/>
  <c r="J359" i="19"/>
  <c r="I869" i="19"/>
  <c r="G131" i="19"/>
  <c r="H194" i="19"/>
  <c r="G1058" i="19"/>
  <c r="F604" i="19"/>
  <c r="J666" i="19"/>
  <c r="C316" i="19"/>
  <c r="D524" i="19"/>
  <c r="H1037" i="19"/>
  <c r="J847" i="19"/>
  <c r="E604" i="19"/>
  <c r="D278" i="19"/>
  <c r="G997" i="19"/>
  <c r="D746" i="19"/>
  <c r="J563" i="19"/>
  <c r="I88" i="19"/>
  <c r="J646" i="19"/>
  <c r="H685" i="19"/>
  <c r="C194" i="19"/>
  <c r="F789" i="19"/>
  <c r="J481" i="19"/>
  <c r="F685" i="19"/>
  <c r="F236" i="19"/>
  <c r="D402" i="19"/>
  <c r="E194" i="19"/>
  <c r="H975" i="19"/>
  <c r="E847" i="19"/>
  <c r="D423" i="19"/>
  <c r="H725" i="19"/>
  <c r="H935" i="19"/>
  <c r="D847" i="19"/>
  <c r="G481" i="19"/>
  <c r="C481" i="19"/>
  <c r="G88" i="19"/>
  <c r="H997" i="19"/>
  <c r="F1037" i="19"/>
  <c r="D501" i="19"/>
  <c r="G402" i="19"/>
  <c r="D214" i="19"/>
  <c r="C956" i="19"/>
  <c r="C746" i="19"/>
  <c r="I746" i="19"/>
  <c r="C869" i="19"/>
  <c r="C256" i="19"/>
  <c r="G582" i="19"/>
  <c r="J524" i="19"/>
  <c r="H789" i="19"/>
  <c r="G666" i="19"/>
  <c r="D297" i="19"/>
  <c r="G828" i="19"/>
  <c r="C173" i="19"/>
  <c r="F173" i="19"/>
  <c r="E236" i="19"/>
  <c r="D88" i="19"/>
  <c r="H705" i="19"/>
  <c r="G236" i="19"/>
  <c r="F646" i="19"/>
  <c r="C131" i="19"/>
  <c r="J297" i="19"/>
  <c r="G1077" i="19"/>
  <c r="J582" i="19"/>
  <c r="E563" i="19"/>
  <c r="H297" i="19"/>
  <c r="E685" i="19"/>
  <c r="C975" i="19"/>
  <c r="H1017" i="19"/>
  <c r="F462" i="19"/>
  <c r="D582" i="19"/>
  <c r="C582" i="19"/>
  <c r="C152" i="19"/>
  <c r="H441" i="19"/>
  <c r="E544" i="19"/>
  <c r="F423" i="19"/>
  <c r="D110" i="19"/>
  <c r="G423" i="19"/>
  <c r="G152" i="19"/>
  <c r="C544" i="19"/>
  <c r="G544" i="19"/>
  <c r="I131" i="19"/>
  <c r="D685" i="19"/>
  <c r="I892" i="19"/>
  <c r="G975" i="19"/>
  <c r="E975" i="19"/>
  <c r="G956" i="19"/>
  <c r="H524" i="19"/>
  <c r="H278" i="19"/>
  <c r="F152" i="19"/>
  <c r="I828" i="19"/>
  <c r="J131" i="19"/>
  <c r="I152" i="19"/>
  <c r="J423" i="19"/>
  <c r="C563" i="19"/>
  <c r="G563" i="19"/>
  <c r="G1017" i="19"/>
  <c r="G769" i="19"/>
  <c r="I297" i="19"/>
  <c r="C297" i="19"/>
  <c r="D725" i="19"/>
  <c r="D604" i="19"/>
  <c r="H956" i="19"/>
  <c r="G869" i="19"/>
  <c r="I975" i="19"/>
  <c r="D173" i="19"/>
  <c r="G297" i="19"/>
  <c r="I1058" i="19"/>
  <c r="J173" i="19"/>
  <c r="I236" i="19"/>
  <c r="F110" i="19"/>
  <c r="D623" i="19"/>
  <c r="E997" i="19"/>
  <c r="D337" i="19"/>
  <c r="I935" i="19"/>
  <c r="G913" i="19"/>
  <c r="G892" i="19"/>
  <c r="E359" i="19"/>
  <c r="I194" i="19"/>
  <c r="G214" i="19"/>
  <c r="C935" i="19"/>
  <c r="H359" i="19"/>
  <c r="F194" i="19"/>
  <c r="F997" i="19"/>
  <c r="G256" i="19"/>
  <c r="C110" i="19"/>
  <c r="J110" i="19"/>
  <c r="G789" i="19"/>
  <c r="J441" i="19"/>
  <c r="C441" i="19"/>
  <c r="J623" i="19"/>
  <c r="F623" i="19"/>
  <c r="E913" i="19"/>
  <c r="C913" i="19"/>
  <c r="C705" i="19"/>
  <c r="F705" i="19"/>
  <c r="I666" i="19"/>
  <c r="E131" i="19"/>
  <c r="F563" i="19"/>
  <c r="J462" i="19"/>
  <c r="F544" i="19"/>
  <c r="D256" i="19"/>
  <c r="E524" i="19"/>
  <c r="G380" i="19"/>
  <c r="H847" i="19"/>
  <c r="D544" i="19"/>
  <c r="E441" i="19"/>
  <c r="E646" i="19"/>
  <c r="I501" i="19"/>
  <c r="H316" i="19"/>
  <c r="H746" i="19"/>
  <c r="I110" i="19"/>
  <c r="D1077" i="19"/>
  <c r="D975" i="19"/>
  <c r="D705" i="19"/>
  <c r="C892" i="19"/>
  <c r="D152" i="19"/>
  <c r="C685" i="19"/>
  <c r="G278" i="19"/>
  <c r="H256" i="19"/>
  <c r="H810" i="19"/>
  <c r="F847" i="19"/>
  <c r="E256" i="19"/>
  <c r="D131" i="19"/>
  <c r="J892" i="19"/>
  <c r="G847" i="19"/>
  <c r="C789" i="19"/>
  <c r="C423" i="19"/>
  <c r="J278" i="19"/>
  <c r="D769" i="19"/>
  <c r="C769" i="19"/>
  <c r="D441" i="19"/>
  <c r="E316" i="19"/>
  <c r="F297" i="19"/>
  <c r="E810" i="19"/>
  <c r="H582" i="19"/>
  <c r="D892" i="19"/>
  <c r="E725" i="19"/>
  <c r="G685" i="19"/>
  <c r="G935" i="19"/>
  <c r="J1017" i="19"/>
  <c r="E152" i="19"/>
  <c r="F956" i="19"/>
  <c r="E1077" i="19"/>
  <c r="E278" i="19"/>
  <c r="I1037" i="19"/>
  <c r="C88" i="19"/>
  <c r="H88" i="19"/>
  <c r="C810" i="19"/>
  <c r="F441" i="19"/>
  <c r="I646" i="19"/>
  <c r="H131" i="19"/>
  <c r="F913" i="19"/>
  <c r="C524" i="19"/>
  <c r="H892" i="19"/>
  <c r="G810" i="19"/>
  <c r="I278" i="19"/>
  <c r="J194" i="19"/>
  <c r="D828" i="19"/>
  <c r="C828" i="19"/>
  <c r="F892" i="19"/>
  <c r="D913" i="19"/>
  <c r="J380" i="19"/>
  <c r="F1077" i="19"/>
  <c r="I563" i="19"/>
  <c r="F1017" i="19"/>
  <c r="C236" i="19"/>
  <c r="H236" i="19"/>
  <c r="C402" i="19"/>
  <c r="H402" i="19"/>
  <c r="G441" i="19"/>
  <c r="G173" i="19"/>
  <c r="J501" i="19"/>
  <c r="F256" i="19"/>
  <c r="C666" i="19"/>
  <c r="C337" i="19"/>
  <c r="J88" i="19"/>
  <c r="H1077" i="19"/>
  <c r="I359" i="19"/>
  <c r="I769" i="19"/>
  <c r="E1037" i="19"/>
  <c r="H544" i="19"/>
  <c r="C646" i="19"/>
  <c r="D1058" i="19"/>
  <c r="I256" i="19"/>
  <c r="I956" i="19"/>
  <c r="H380" i="19"/>
  <c r="E705" i="19"/>
  <c r="I847" i="19"/>
  <c r="G746" i="19"/>
  <c r="F501" i="19"/>
  <c r="C1037" i="19"/>
  <c r="J1037" i="19"/>
  <c r="D316" i="19"/>
  <c r="E337" i="19"/>
  <c r="J544" i="19"/>
  <c r="G194" i="19"/>
  <c r="C604" i="19"/>
  <c r="C214" i="19"/>
  <c r="J869" i="19"/>
  <c r="I623" i="19"/>
  <c r="G316" i="19"/>
  <c r="I173" i="19"/>
  <c r="D935" i="19"/>
  <c r="G1037" i="19"/>
  <c r="E481" i="19"/>
  <c r="I685" i="19"/>
  <c r="C462" i="19"/>
  <c r="J725" i="19"/>
  <c r="I214" i="19"/>
  <c r="G725" i="19"/>
  <c r="J214" i="19"/>
  <c r="J705" i="19"/>
  <c r="I1017" i="19"/>
  <c r="H769" i="19"/>
  <c r="J789" i="19"/>
  <c r="C623" i="19"/>
  <c r="H913" i="19"/>
  <c r="H604" i="19"/>
  <c r="F481" i="19"/>
  <c r="E214" i="19"/>
  <c r="J828" i="19"/>
  <c r="D1017" i="19"/>
  <c r="J997" i="19"/>
  <c r="H501" i="19"/>
  <c r="D666" i="19"/>
  <c r="H563" i="19"/>
  <c r="J746" i="19"/>
  <c r="H462" i="19"/>
  <c r="G604" i="19"/>
  <c r="I582" i="19"/>
  <c r="C380" i="19"/>
  <c r="E828" i="19"/>
  <c r="J913" i="19"/>
  <c r="F1058" i="19"/>
  <c r="H869" i="19"/>
  <c r="G462" i="19"/>
  <c r="J1077" i="19"/>
  <c r="F524" i="19"/>
  <c r="E956" i="19"/>
  <c r="F88" i="19"/>
  <c r="E1017" i="19"/>
  <c r="I705" i="19"/>
  <c r="F869" i="19"/>
  <c r="D236" i="19"/>
  <c r="I725" i="19"/>
  <c r="G623" i="19"/>
  <c r="F359" i="19"/>
  <c r="F582" i="19"/>
  <c r="D810" i="19"/>
  <c r="C501" i="19"/>
  <c r="C997" i="19"/>
  <c r="D789" i="19"/>
  <c r="J152" i="19"/>
  <c r="D646" i="19"/>
  <c r="J1058" i="19"/>
  <c r="D956" i="19"/>
  <c r="D380" i="19"/>
  <c r="I481" i="19"/>
  <c r="H423" i="19"/>
  <c r="E462" i="19"/>
  <c r="F380" i="19"/>
  <c r="G501" i="19"/>
  <c r="H337" i="19"/>
  <c r="F746" i="19"/>
  <c r="E88" i="19"/>
  <c r="I810" i="19"/>
  <c r="H214" i="19"/>
  <c r="G646" i="19"/>
  <c r="D462" i="19"/>
  <c r="I604" i="19"/>
  <c r="G70" i="19"/>
  <c r="I70" i="19"/>
  <c r="F70" i="19"/>
  <c r="D70" i="19"/>
  <c r="J70" i="19"/>
  <c r="E70" i="19"/>
  <c r="C70" i="19"/>
  <c r="H70" i="19"/>
  <c r="BE11" i="19"/>
  <c r="C13" i="19" l="1"/>
  <c r="J13" i="19"/>
  <c r="D13" i="19"/>
  <c r="E13" i="19"/>
  <c r="G14" i="19" s="1"/>
  <c r="F13" i="19"/>
  <c r="H13" i="19"/>
  <c r="G13" i="19"/>
  <c r="F870" i="19"/>
  <c r="F317" i="19"/>
  <c r="I279" i="19"/>
  <c r="J936" i="19"/>
  <c r="F132" i="19"/>
  <c r="H424" i="19"/>
  <c r="J153" i="19"/>
  <c r="E1018" i="19"/>
  <c r="G317" i="19"/>
  <c r="G848" i="19"/>
  <c r="C848" i="19"/>
  <c r="H215" i="19"/>
  <c r="H338" i="19"/>
  <c r="J1059" i="19"/>
  <c r="D998" i="19"/>
  <c r="F360" i="19"/>
  <c r="E957" i="19"/>
  <c r="C381" i="19"/>
  <c r="J747" i="19"/>
  <c r="F482" i="19"/>
  <c r="J790" i="19"/>
  <c r="D936" i="19"/>
  <c r="J545" i="19"/>
  <c r="C1038" i="19"/>
  <c r="E706" i="19"/>
  <c r="I770" i="19"/>
  <c r="J338" i="19"/>
  <c r="G174" i="19"/>
  <c r="H237" i="19"/>
  <c r="F1078" i="19"/>
  <c r="C829" i="19"/>
  <c r="G811" i="19"/>
  <c r="H132" i="19"/>
  <c r="H89" i="19"/>
  <c r="H583" i="19"/>
  <c r="D442" i="19"/>
  <c r="H257" i="19"/>
  <c r="C893" i="19"/>
  <c r="I111" i="19"/>
  <c r="E647" i="19"/>
  <c r="F624" i="19"/>
  <c r="G914" i="19"/>
  <c r="H624" i="19"/>
  <c r="C298" i="19"/>
  <c r="G564" i="19"/>
  <c r="H525" i="19"/>
  <c r="C976" i="19"/>
  <c r="D502" i="19"/>
  <c r="H726" i="19"/>
  <c r="E195" i="19"/>
  <c r="F605" i="19"/>
  <c r="H667" i="19"/>
  <c r="E403" i="19"/>
  <c r="J998" i="19"/>
  <c r="J215" i="19"/>
  <c r="J870" i="19"/>
  <c r="G936" i="19"/>
  <c r="C424" i="19"/>
  <c r="F706" i="19"/>
  <c r="G790" i="19"/>
  <c r="G870" i="19"/>
  <c r="I893" i="19"/>
  <c r="C545" i="19"/>
  <c r="I545" i="19"/>
  <c r="J583" i="19"/>
  <c r="D298" i="19"/>
  <c r="G583" i="19"/>
  <c r="E747" i="19"/>
  <c r="C747" i="19"/>
  <c r="C482" i="19"/>
  <c r="J482" i="19"/>
  <c r="J647" i="19"/>
  <c r="G998" i="19"/>
  <c r="H1038" i="19"/>
  <c r="I870" i="19"/>
  <c r="C1059" i="19"/>
  <c r="I381" i="19"/>
  <c r="H829" i="19"/>
  <c r="G111" i="19"/>
  <c r="C1018" i="19"/>
  <c r="J403" i="19"/>
  <c r="D1038" i="19"/>
  <c r="J317" i="19"/>
  <c r="I914" i="19"/>
  <c r="G338" i="19"/>
  <c r="E298" i="19"/>
  <c r="F829" i="19"/>
  <c r="I605" i="19"/>
  <c r="I811" i="19"/>
  <c r="G502" i="19"/>
  <c r="I482" i="19"/>
  <c r="D647" i="19"/>
  <c r="C502" i="19"/>
  <c r="E502" i="19"/>
  <c r="G624" i="19"/>
  <c r="I706" i="19"/>
  <c r="F525" i="19"/>
  <c r="F1059" i="19"/>
  <c r="I583" i="19"/>
  <c r="H564" i="19"/>
  <c r="D1018" i="19"/>
  <c r="H605" i="19"/>
  <c r="H770" i="19"/>
  <c r="G726" i="19"/>
  <c r="I686" i="19"/>
  <c r="I174" i="19"/>
  <c r="C215" i="19"/>
  <c r="E338" i="19"/>
  <c r="F502" i="19"/>
  <c r="H381" i="19"/>
  <c r="H647" i="19"/>
  <c r="C647" i="19"/>
  <c r="I360" i="19"/>
  <c r="C667" i="19"/>
  <c r="G442" i="19"/>
  <c r="C237" i="19"/>
  <c r="J381" i="19"/>
  <c r="D829" i="19"/>
  <c r="H893" i="19"/>
  <c r="I647" i="19"/>
  <c r="C89" i="19"/>
  <c r="F957" i="19"/>
  <c r="G686" i="19"/>
  <c r="E811" i="19"/>
  <c r="C770" i="19"/>
  <c r="C790" i="19"/>
  <c r="E257" i="19"/>
  <c r="G279" i="19"/>
  <c r="D706" i="19"/>
  <c r="H747" i="19"/>
  <c r="E442" i="19"/>
  <c r="E525" i="19"/>
  <c r="F564" i="19"/>
  <c r="C706" i="19"/>
  <c r="G706" i="19"/>
  <c r="J624" i="19"/>
  <c r="J111" i="19"/>
  <c r="F195" i="19"/>
  <c r="I195" i="19"/>
  <c r="I936" i="19"/>
  <c r="F111" i="19"/>
  <c r="G298" i="19"/>
  <c r="H957" i="19"/>
  <c r="I298" i="19"/>
  <c r="C564" i="19"/>
  <c r="I829" i="19"/>
  <c r="G957" i="19"/>
  <c r="D686" i="19"/>
  <c r="G153" i="19"/>
  <c r="E545" i="19"/>
  <c r="D583" i="19"/>
  <c r="E686" i="19"/>
  <c r="G1078" i="19"/>
  <c r="G237" i="19"/>
  <c r="F174" i="19"/>
  <c r="G667" i="19"/>
  <c r="C257" i="19"/>
  <c r="J257" i="19"/>
  <c r="C957" i="19"/>
  <c r="F1038" i="19"/>
  <c r="G482" i="19"/>
  <c r="D424" i="19"/>
  <c r="D403" i="19"/>
  <c r="F790" i="19"/>
  <c r="I89" i="19"/>
  <c r="D279" i="19"/>
  <c r="D525" i="19"/>
  <c r="G1059" i="19"/>
  <c r="J360" i="19"/>
  <c r="F770" i="19"/>
  <c r="C279" i="19"/>
  <c r="E174" i="19"/>
  <c r="I338" i="19"/>
  <c r="E1059" i="19"/>
  <c r="E111" i="19"/>
  <c r="I424" i="19"/>
  <c r="J957" i="19"/>
  <c r="J237" i="19"/>
  <c r="E667" i="19"/>
  <c r="E790" i="19"/>
  <c r="H1059" i="19"/>
  <c r="F215" i="19"/>
  <c r="J463" i="19"/>
  <c r="F998" i="19"/>
  <c r="I1059" i="19"/>
  <c r="F647" i="19"/>
  <c r="E89" i="19"/>
  <c r="J914" i="19"/>
  <c r="J829" i="19"/>
  <c r="I1018" i="19"/>
  <c r="G747" i="19"/>
  <c r="H545" i="19"/>
  <c r="H1078" i="19"/>
  <c r="F257" i="19"/>
  <c r="H403" i="19"/>
  <c r="F1018" i="19"/>
  <c r="D914" i="19"/>
  <c r="J195" i="19"/>
  <c r="C525" i="19"/>
  <c r="F442" i="19"/>
  <c r="I1038" i="19"/>
  <c r="E153" i="19"/>
  <c r="E726" i="19"/>
  <c r="F298" i="19"/>
  <c r="D770" i="19"/>
  <c r="F848" i="19"/>
  <c r="J686" i="19"/>
  <c r="C686" i="19"/>
  <c r="D976" i="19"/>
  <c r="H317" i="19"/>
  <c r="D545" i="19"/>
  <c r="D257" i="19"/>
  <c r="E132" i="19"/>
  <c r="C914" i="19"/>
  <c r="C442" i="19"/>
  <c r="C111" i="19"/>
  <c r="H360" i="19"/>
  <c r="E360" i="19"/>
  <c r="D338" i="19"/>
  <c r="I237" i="19"/>
  <c r="D174" i="19"/>
  <c r="D605" i="19"/>
  <c r="G770" i="19"/>
  <c r="J424" i="19"/>
  <c r="F153" i="19"/>
  <c r="E976" i="19"/>
  <c r="I132" i="19"/>
  <c r="G424" i="19"/>
  <c r="H442" i="19"/>
  <c r="F463" i="19"/>
  <c r="H298" i="19"/>
  <c r="J298" i="19"/>
  <c r="H706" i="19"/>
  <c r="H174" i="19"/>
  <c r="C174" i="19"/>
  <c r="H790" i="19"/>
  <c r="C870" i="19"/>
  <c r="D215" i="19"/>
  <c r="H998" i="19"/>
  <c r="D848" i="19"/>
  <c r="E848" i="19"/>
  <c r="F237" i="19"/>
  <c r="C195" i="19"/>
  <c r="D195" i="19"/>
  <c r="J564" i="19"/>
  <c r="E605" i="19"/>
  <c r="C317" i="19"/>
  <c r="H195" i="19"/>
  <c r="D360" i="19"/>
  <c r="C360" i="19"/>
  <c r="G360" i="19"/>
  <c r="F936" i="19"/>
  <c r="H482" i="19"/>
  <c r="E424" i="19"/>
  <c r="D870" i="19"/>
  <c r="D564" i="19"/>
  <c r="I525" i="19"/>
  <c r="I442" i="19"/>
  <c r="E770" i="19"/>
  <c r="F279" i="19"/>
  <c r="E381" i="19"/>
  <c r="I790" i="19"/>
  <c r="F667" i="19"/>
  <c r="E893" i="19"/>
  <c r="C998" i="19"/>
  <c r="I998" i="19"/>
  <c r="H870" i="19"/>
  <c r="C463" i="19"/>
  <c r="I463" i="19"/>
  <c r="D1059" i="19"/>
  <c r="C338" i="19"/>
  <c r="E1078" i="19"/>
  <c r="D132" i="19"/>
  <c r="G381" i="19"/>
  <c r="G215" i="19"/>
  <c r="D624" i="19"/>
  <c r="J132" i="19"/>
  <c r="F424" i="19"/>
  <c r="C583" i="19"/>
  <c r="E583" i="19"/>
  <c r="E237" i="19"/>
  <c r="D463" i="19"/>
  <c r="F381" i="19"/>
  <c r="D381" i="19"/>
  <c r="D811" i="19"/>
  <c r="I726" i="19"/>
  <c r="J1078" i="19"/>
  <c r="G605" i="19"/>
  <c r="D667" i="19"/>
  <c r="H914" i="19"/>
  <c r="I215" i="19"/>
  <c r="E482" i="19"/>
  <c r="J605" i="19"/>
  <c r="C605" i="19"/>
  <c r="D317" i="19"/>
  <c r="I957" i="19"/>
  <c r="G647" i="19"/>
  <c r="F747" i="19"/>
  <c r="E463" i="19"/>
  <c r="D957" i="19"/>
  <c r="D790" i="19"/>
  <c r="F583" i="19"/>
  <c r="D237" i="19"/>
  <c r="F89" i="19"/>
  <c r="G463" i="19"/>
  <c r="E829" i="19"/>
  <c r="H463" i="19"/>
  <c r="H502" i="19"/>
  <c r="E215" i="19"/>
  <c r="C624" i="19"/>
  <c r="J706" i="19"/>
  <c r="J726" i="19"/>
  <c r="G1038" i="19"/>
  <c r="I624" i="19"/>
  <c r="G195" i="19"/>
  <c r="J1038" i="19"/>
  <c r="I848" i="19"/>
  <c r="I257" i="19"/>
  <c r="E1038" i="19"/>
  <c r="J89" i="19"/>
  <c r="J502" i="19"/>
  <c r="C403" i="19"/>
  <c r="I564" i="19"/>
  <c r="F893" i="19"/>
  <c r="F914" i="19"/>
  <c r="C811" i="19"/>
  <c r="F811" i="19"/>
  <c r="E279" i="19"/>
  <c r="J1018" i="19"/>
  <c r="D893" i="19"/>
  <c r="E317" i="19"/>
  <c r="J279" i="19"/>
  <c r="J893" i="19"/>
  <c r="H811" i="19"/>
  <c r="D153" i="19"/>
  <c r="D1078" i="19"/>
  <c r="I502" i="19"/>
  <c r="H848" i="19"/>
  <c r="F545" i="19"/>
  <c r="I667" i="19"/>
  <c r="E914" i="19"/>
  <c r="J442" i="19"/>
  <c r="G257" i="19"/>
  <c r="C936" i="19"/>
  <c r="G893" i="19"/>
  <c r="E998" i="19"/>
  <c r="J174" i="19"/>
  <c r="I976" i="19"/>
  <c r="D726" i="19"/>
  <c r="G1018" i="19"/>
  <c r="I153" i="19"/>
  <c r="H279" i="19"/>
  <c r="G976" i="19"/>
  <c r="G545" i="19"/>
  <c r="D111" i="19"/>
  <c r="C153" i="19"/>
  <c r="H153" i="19"/>
  <c r="H1018" i="19"/>
  <c r="E564" i="19"/>
  <c r="C132" i="19"/>
  <c r="D89" i="19"/>
  <c r="G829" i="19"/>
  <c r="J525" i="19"/>
  <c r="I747" i="19"/>
  <c r="G403" i="19"/>
  <c r="G89" i="19"/>
  <c r="H936" i="19"/>
  <c r="H976" i="19"/>
  <c r="F686" i="19"/>
  <c r="H686" i="19"/>
  <c r="D747" i="19"/>
  <c r="J848" i="19"/>
  <c r="J667" i="19"/>
  <c r="G132" i="19"/>
  <c r="F403" i="19"/>
  <c r="I317" i="19"/>
  <c r="C726" i="19"/>
  <c r="F726" i="19"/>
  <c r="J976" i="19"/>
  <c r="J770" i="19"/>
  <c r="I1078" i="19"/>
  <c r="F976" i="19"/>
  <c r="F338" i="19"/>
  <c r="C1078" i="19"/>
  <c r="J811" i="19"/>
  <c r="E870" i="19"/>
  <c r="E624" i="19"/>
  <c r="G525" i="19"/>
  <c r="E936" i="19"/>
  <c r="I403" i="19"/>
  <c r="D482" i="19"/>
  <c r="H111" i="19"/>
  <c r="J71" i="19"/>
  <c r="C71" i="19"/>
  <c r="D71" i="19"/>
  <c r="I71" i="19"/>
  <c r="F71" i="19"/>
  <c r="G71" i="19"/>
  <c r="H71" i="19"/>
  <c r="E71" i="19"/>
  <c r="BE12" i="19"/>
  <c r="D14" i="19" l="1"/>
  <c r="C14" i="19"/>
  <c r="J14" i="19"/>
  <c r="K14" i="19"/>
  <c r="H14" i="19"/>
  <c r="I14" i="19"/>
  <c r="F14" i="19"/>
  <c r="E14" i="19"/>
  <c r="C15" i="19" s="1"/>
  <c r="I1079" i="19"/>
  <c r="I503" i="19"/>
  <c r="G648" i="19"/>
  <c r="J668" i="19"/>
  <c r="J812" i="19"/>
  <c r="E915" i="19"/>
  <c r="D791" i="19"/>
  <c r="E937" i="19"/>
  <c r="H154" i="19"/>
  <c r="G894" i="19"/>
  <c r="E216" i="19"/>
  <c r="F687" i="19"/>
  <c r="G404" i="19"/>
  <c r="D90" i="19"/>
  <c r="G977" i="19"/>
  <c r="J1019" i="19"/>
  <c r="I849" i="19"/>
  <c r="G1039" i="19"/>
  <c r="G464" i="19"/>
  <c r="J606" i="19"/>
  <c r="E238" i="19"/>
  <c r="E382" i="19"/>
  <c r="D361" i="19"/>
  <c r="C727" i="19"/>
  <c r="C999" i="19"/>
  <c r="I526" i="19"/>
  <c r="H483" i="19"/>
  <c r="J565" i="19"/>
  <c r="H707" i="19"/>
  <c r="D175" i="19"/>
  <c r="D771" i="19"/>
  <c r="I1060" i="19"/>
  <c r="J958" i="19"/>
  <c r="I339" i="19"/>
  <c r="F112" i="19"/>
  <c r="F318" i="19"/>
  <c r="F425" i="19"/>
  <c r="J133" i="19"/>
  <c r="C977" i="19"/>
  <c r="J584" i="19"/>
  <c r="H280" i="19"/>
  <c r="D133" i="19"/>
  <c r="C871" i="19"/>
  <c r="H443" i="19"/>
  <c r="J830" i="19"/>
  <c r="H1060" i="19"/>
  <c r="E625" i="19"/>
  <c r="D748" i="19"/>
  <c r="F546" i="19"/>
  <c r="E318" i="19"/>
  <c r="G196" i="19"/>
  <c r="H584" i="19"/>
  <c r="H339" i="19"/>
  <c r="G175" i="19"/>
  <c r="H299" i="19"/>
  <c r="G812" i="19"/>
  <c r="E707" i="19"/>
  <c r="J791" i="19"/>
  <c r="C830" i="19"/>
  <c r="H668" i="19"/>
  <c r="C1039" i="19"/>
  <c r="C299" i="19"/>
  <c r="H425" i="19"/>
  <c r="D727" i="19"/>
  <c r="J894" i="19"/>
  <c r="D668" i="19"/>
  <c r="I464" i="19"/>
  <c r="E133" i="19"/>
  <c r="H1079" i="19"/>
  <c r="I90" i="19"/>
  <c r="H258" i="19"/>
  <c r="C258" i="19"/>
  <c r="G154" i="19"/>
  <c r="C565" i="19"/>
  <c r="G565" i="19"/>
  <c r="J112" i="19"/>
  <c r="D707" i="19"/>
  <c r="C771" i="19"/>
  <c r="C90" i="19"/>
  <c r="J382" i="19"/>
  <c r="I361" i="19"/>
  <c r="F503" i="19"/>
  <c r="I687" i="19"/>
  <c r="D1019" i="19"/>
  <c r="F526" i="19"/>
  <c r="C503" i="19"/>
  <c r="I812" i="19"/>
  <c r="G339" i="19"/>
  <c r="J404" i="19"/>
  <c r="I382" i="19"/>
  <c r="G999" i="19"/>
  <c r="C748" i="19"/>
  <c r="G871" i="19"/>
  <c r="G937" i="19"/>
  <c r="H625" i="19"/>
  <c r="D937" i="19"/>
  <c r="F133" i="19"/>
  <c r="H133" i="19"/>
  <c r="F361" i="19"/>
  <c r="E196" i="19"/>
  <c r="F625" i="19"/>
  <c r="I771" i="19"/>
  <c r="F871" i="19"/>
  <c r="H112" i="19"/>
  <c r="G526" i="19"/>
  <c r="C1079" i="19"/>
  <c r="J771" i="19"/>
  <c r="I318" i="19"/>
  <c r="J849" i="19"/>
  <c r="H977" i="19"/>
  <c r="I748" i="19"/>
  <c r="C133" i="19"/>
  <c r="C154" i="19"/>
  <c r="I977" i="19"/>
  <c r="C937" i="19"/>
  <c r="I668" i="19"/>
  <c r="D1079" i="19"/>
  <c r="J280" i="19"/>
  <c r="E280" i="19"/>
  <c r="F894" i="19"/>
  <c r="J90" i="19"/>
  <c r="J1039" i="19"/>
  <c r="J727" i="19"/>
  <c r="H503" i="19"/>
  <c r="F90" i="19"/>
  <c r="D958" i="19"/>
  <c r="I958" i="19"/>
  <c r="E483" i="19"/>
  <c r="G606" i="19"/>
  <c r="D382" i="19"/>
  <c r="E584" i="19"/>
  <c r="D625" i="19"/>
  <c r="E1079" i="19"/>
  <c r="C464" i="19"/>
  <c r="E894" i="19"/>
  <c r="F280" i="19"/>
  <c r="D565" i="19"/>
  <c r="F937" i="19"/>
  <c r="H196" i="19"/>
  <c r="D196" i="19"/>
  <c r="D849" i="19"/>
  <c r="H791" i="19"/>
  <c r="J299" i="19"/>
  <c r="G425" i="19"/>
  <c r="J425" i="19"/>
  <c r="I238" i="19"/>
  <c r="I112" i="19"/>
  <c r="C112" i="19"/>
  <c r="D258" i="19"/>
  <c r="C687" i="19"/>
  <c r="F299" i="19"/>
  <c r="F443" i="19"/>
  <c r="F1019" i="19"/>
  <c r="H546" i="19"/>
  <c r="J915" i="19"/>
  <c r="F999" i="19"/>
  <c r="E791" i="19"/>
  <c r="I425" i="19"/>
  <c r="E175" i="19"/>
  <c r="G1060" i="19"/>
  <c r="F791" i="19"/>
  <c r="F1039" i="19"/>
  <c r="G668" i="19"/>
  <c r="E687" i="19"/>
  <c r="D687" i="19"/>
  <c r="I299" i="19"/>
  <c r="I937" i="19"/>
  <c r="J625" i="19"/>
  <c r="E526" i="19"/>
  <c r="G280" i="19"/>
  <c r="E812" i="19"/>
  <c r="I648" i="19"/>
  <c r="H238" i="19"/>
  <c r="C238" i="19"/>
  <c r="C648" i="19"/>
  <c r="E339" i="19"/>
  <c r="G727" i="19"/>
  <c r="H565" i="19"/>
  <c r="I707" i="19"/>
  <c r="D648" i="19"/>
  <c r="I606" i="19"/>
  <c r="I915" i="19"/>
  <c r="C1019" i="19"/>
  <c r="E1019" i="19"/>
  <c r="C1060" i="19"/>
  <c r="J1060" i="19"/>
  <c r="J648" i="19"/>
  <c r="E748" i="19"/>
  <c r="I546" i="19"/>
  <c r="G791" i="19"/>
  <c r="J871" i="19"/>
  <c r="G849" i="19"/>
  <c r="H90" i="19"/>
  <c r="J748" i="19"/>
  <c r="H727" i="19"/>
  <c r="D503" i="19"/>
  <c r="F915" i="19"/>
  <c r="D812" i="19"/>
  <c r="E849" i="19"/>
  <c r="I1039" i="19"/>
  <c r="J361" i="19"/>
  <c r="D483" i="19"/>
  <c r="J977" i="19"/>
  <c r="H937" i="19"/>
  <c r="E565" i="19"/>
  <c r="J175" i="19"/>
  <c r="D154" i="19"/>
  <c r="F812" i="19"/>
  <c r="H464" i="19"/>
  <c r="E464" i="19"/>
  <c r="D318" i="19"/>
  <c r="I216" i="19"/>
  <c r="J1079" i="19"/>
  <c r="F382" i="19"/>
  <c r="C584" i="19"/>
  <c r="G216" i="19"/>
  <c r="C339" i="19"/>
  <c r="H871" i="19"/>
  <c r="F668" i="19"/>
  <c r="E771" i="19"/>
  <c r="D871" i="19"/>
  <c r="G361" i="19"/>
  <c r="C318" i="19"/>
  <c r="G318" i="19"/>
  <c r="C196" i="19"/>
  <c r="H999" i="19"/>
  <c r="C175" i="19"/>
  <c r="I133" i="19"/>
  <c r="G771" i="19"/>
  <c r="D339" i="19"/>
  <c r="C443" i="19"/>
  <c r="D443" i="19"/>
  <c r="D546" i="19"/>
  <c r="J687" i="19"/>
  <c r="E727" i="19"/>
  <c r="C526" i="19"/>
  <c r="H404" i="19"/>
  <c r="G748" i="19"/>
  <c r="E90" i="19"/>
  <c r="J464" i="19"/>
  <c r="E668" i="19"/>
  <c r="E112" i="19"/>
  <c r="I280" i="19"/>
  <c r="C280" i="19"/>
  <c r="D526" i="19"/>
  <c r="D404" i="19"/>
  <c r="C958" i="19"/>
  <c r="F175" i="19"/>
  <c r="D584" i="19"/>
  <c r="G958" i="19"/>
  <c r="H958" i="19"/>
  <c r="I196" i="19"/>
  <c r="G707" i="19"/>
  <c r="E443" i="19"/>
  <c r="E258" i="19"/>
  <c r="G687" i="19"/>
  <c r="H894" i="19"/>
  <c r="G443" i="19"/>
  <c r="H648" i="19"/>
  <c r="C216" i="19"/>
  <c r="H771" i="19"/>
  <c r="I584" i="19"/>
  <c r="G625" i="19"/>
  <c r="I483" i="19"/>
  <c r="F830" i="19"/>
  <c r="J318" i="19"/>
  <c r="G112" i="19"/>
  <c r="I871" i="19"/>
  <c r="J483" i="19"/>
  <c r="G584" i="19"/>
  <c r="C546" i="19"/>
  <c r="J546" i="19"/>
  <c r="F707" i="19"/>
  <c r="J216" i="19"/>
  <c r="C849" i="19"/>
  <c r="E958" i="19"/>
  <c r="H216" i="19"/>
  <c r="J503" i="19"/>
  <c r="F154" i="19"/>
  <c r="H361" i="19"/>
  <c r="D977" i="19"/>
  <c r="D915" i="19"/>
  <c r="G483" i="19"/>
  <c r="G1079" i="19"/>
  <c r="F565" i="19"/>
  <c r="F339" i="19"/>
  <c r="F404" i="19"/>
  <c r="J526" i="19"/>
  <c r="D112" i="19"/>
  <c r="I154" i="19"/>
  <c r="G258" i="19"/>
  <c r="I565" i="19"/>
  <c r="E1039" i="19"/>
  <c r="J707" i="19"/>
  <c r="D238" i="19"/>
  <c r="I404" i="19"/>
  <c r="E871" i="19"/>
  <c r="F977" i="19"/>
  <c r="F727" i="19"/>
  <c r="G133" i="19"/>
  <c r="H687" i="19"/>
  <c r="G90" i="19"/>
  <c r="G830" i="19"/>
  <c r="H1019" i="19"/>
  <c r="G546" i="19"/>
  <c r="G1019" i="19"/>
  <c r="E999" i="19"/>
  <c r="J443" i="19"/>
  <c r="H849" i="19"/>
  <c r="H812" i="19"/>
  <c r="D894" i="19"/>
  <c r="C894" i="19"/>
  <c r="C812" i="19"/>
  <c r="E404" i="19"/>
  <c r="C404" i="19"/>
  <c r="I258" i="19"/>
  <c r="I625" i="19"/>
  <c r="C625" i="19"/>
  <c r="E830" i="19"/>
  <c r="F584" i="19"/>
  <c r="F748" i="19"/>
  <c r="C606" i="19"/>
  <c r="H915" i="19"/>
  <c r="I727" i="19"/>
  <c r="D464" i="19"/>
  <c r="G382" i="19"/>
  <c r="D1060" i="19"/>
  <c r="I999" i="19"/>
  <c r="I791" i="19"/>
  <c r="I443" i="19"/>
  <c r="E425" i="19"/>
  <c r="C361" i="19"/>
  <c r="E606" i="19"/>
  <c r="F238" i="19"/>
  <c r="D216" i="19"/>
  <c r="H175" i="19"/>
  <c r="F464" i="19"/>
  <c r="E977" i="19"/>
  <c r="D606" i="19"/>
  <c r="E361" i="19"/>
  <c r="C915" i="19"/>
  <c r="G915" i="19"/>
  <c r="H318" i="19"/>
  <c r="F849" i="19"/>
  <c r="E154" i="19"/>
  <c r="J196" i="19"/>
  <c r="F258" i="19"/>
  <c r="I1019" i="19"/>
  <c r="F648" i="19"/>
  <c r="F216" i="19"/>
  <c r="J238" i="19"/>
  <c r="E1060" i="19"/>
  <c r="F771" i="19"/>
  <c r="D280" i="19"/>
  <c r="D425" i="19"/>
  <c r="J258" i="19"/>
  <c r="G238" i="19"/>
  <c r="E546" i="19"/>
  <c r="I830" i="19"/>
  <c r="G299" i="19"/>
  <c r="F196" i="19"/>
  <c r="C707" i="19"/>
  <c r="H748" i="19"/>
  <c r="C791" i="19"/>
  <c r="F958" i="19"/>
  <c r="D830" i="19"/>
  <c r="C668" i="19"/>
  <c r="H382" i="19"/>
  <c r="I175" i="19"/>
  <c r="H606" i="19"/>
  <c r="F1060" i="19"/>
  <c r="E503" i="19"/>
  <c r="G503" i="19"/>
  <c r="E299" i="19"/>
  <c r="D1039" i="19"/>
  <c r="H830" i="19"/>
  <c r="H1039" i="19"/>
  <c r="C483" i="19"/>
  <c r="D299" i="19"/>
  <c r="I894" i="19"/>
  <c r="C425" i="19"/>
  <c r="J999" i="19"/>
  <c r="J154" i="19"/>
  <c r="J339" i="19"/>
  <c r="D999" i="19"/>
  <c r="E648" i="19"/>
  <c r="F483" i="19"/>
  <c r="F606" i="19"/>
  <c r="H526" i="19"/>
  <c r="F1079" i="19"/>
  <c r="C382" i="19"/>
  <c r="J937" i="19"/>
  <c r="E72" i="19"/>
  <c r="D72" i="19"/>
  <c r="H72" i="19"/>
  <c r="J72" i="19"/>
  <c r="C72" i="19"/>
  <c r="G72" i="19"/>
  <c r="F72" i="19"/>
  <c r="I72" i="19"/>
  <c r="BE13" i="19"/>
  <c r="G15" i="19" l="1"/>
  <c r="K15" i="19"/>
  <c r="H15" i="19"/>
  <c r="F15" i="19"/>
  <c r="I15" i="19"/>
  <c r="E15" i="19"/>
  <c r="D15" i="19"/>
  <c r="D16" i="19" s="1"/>
  <c r="J15" i="19"/>
  <c r="J16" i="19" s="1"/>
  <c r="E978" i="19"/>
  <c r="E649" i="19"/>
  <c r="E300" i="19"/>
  <c r="H607" i="19"/>
  <c r="D281" i="19"/>
  <c r="F217" i="19"/>
  <c r="G916" i="19"/>
  <c r="I444" i="19"/>
  <c r="H813" i="19"/>
  <c r="J1000" i="19"/>
  <c r="D831" i="19"/>
  <c r="E547" i="19"/>
  <c r="J197" i="19"/>
  <c r="E405" i="19"/>
  <c r="G91" i="19"/>
  <c r="F239" i="19"/>
  <c r="G383" i="19"/>
  <c r="G1020" i="19"/>
  <c r="F340" i="19"/>
  <c r="J319" i="19"/>
  <c r="I895" i="19"/>
  <c r="J792" i="19"/>
  <c r="J259" i="19"/>
  <c r="F850" i="19"/>
  <c r="I728" i="19"/>
  <c r="G895" i="19"/>
  <c r="J527" i="19"/>
  <c r="F73" i="19"/>
  <c r="C300" i="19"/>
  <c r="C1040" i="19"/>
  <c r="J959" i="19"/>
  <c r="E319" i="19"/>
  <c r="H585" i="19"/>
  <c r="J1020" i="19"/>
  <c r="G649" i="19"/>
  <c r="E938" i="19"/>
  <c r="D91" i="19"/>
  <c r="I155" i="19"/>
  <c r="J504" i="19"/>
  <c r="G585" i="19"/>
  <c r="H444" i="19"/>
  <c r="G959" i="19"/>
  <c r="E113" i="19"/>
  <c r="G749" i="19"/>
  <c r="J688" i="19"/>
  <c r="G362" i="19"/>
  <c r="H872" i="19"/>
  <c r="E465" i="19"/>
  <c r="J176" i="19"/>
  <c r="G813" i="19"/>
  <c r="G792" i="19"/>
  <c r="J1061" i="19"/>
  <c r="H566" i="19"/>
  <c r="F1040" i="19"/>
  <c r="I426" i="19"/>
  <c r="F938" i="19"/>
  <c r="I772" i="19"/>
  <c r="H134" i="19"/>
  <c r="D669" i="19"/>
  <c r="D916" i="19"/>
  <c r="G444" i="19"/>
  <c r="D340" i="19"/>
  <c r="D484" i="19"/>
  <c r="I916" i="19"/>
  <c r="C239" i="19"/>
  <c r="C688" i="19"/>
  <c r="I239" i="19"/>
  <c r="H792" i="19"/>
  <c r="C465" i="19"/>
  <c r="G465" i="19"/>
  <c r="D383" i="19"/>
  <c r="D959" i="19"/>
  <c r="J1040" i="19"/>
  <c r="J281" i="19"/>
  <c r="I978" i="19"/>
  <c r="H978" i="19"/>
  <c r="G938" i="19"/>
  <c r="I383" i="19"/>
  <c r="C504" i="19"/>
  <c r="F504" i="19"/>
  <c r="C772" i="19"/>
  <c r="J566" i="19"/>
  <c r="C566" i="19"/>
  <c r="I91" i="19"/>
  <c r="I340" i="19"/>
  <c r="J831" i="19"/>
  <c r="J134" i="19"/>
  <c r="I850" i="19"/>
  <c r="H155" i="19"/>
  <c r="H300" i="19"/>
  <c r="H669" i="19"/>
  <c r="H340" i="19"/>
  <c r="H527" i="19"/>
  <c r="C1000" i="19"/>
  <c r="D1000" i="19"/>
  <c r="F426" i="19"/>
  <c r="C426" i="19"/>
  <c r="H1040" i="19"/>
  <c r="G504" i="19"/>
  <c r="I176" i="19"/>
  <c r="F959" i="19"/>
  <c r="F197" i="19"/>
  <c r="G239" i="19"/>
  <c r="F772" i="19"/>
  <c r="F649" i="19"/>
  <c r="E155" i="19"/>
  <c r="C916" i="19"/>
  <c r="F465" i="19"/>
  <c r="E607" i="19"/>
  <c r="I792" i="19"/>
  <c r="D465" i="19"/>
  <c r="F749" i="19"/>
  <c r="I626" i="19"/>
  <c r="C813" i="19"/>
  <c r="J813" i="19"/>
  <c r="H850" i="19"/>
  <c r="G547" i="19"/>
  <c r="H688" i="19"/>
  <c r="E872" i="19"/>
  <c r="E1040" i="19"/>
  <c r="D113" i="19"/>
  <c r="F566" i="19"/>
  <c r="D978" i="19"/>
  <c r="H217" i="19"/>
  <c r="F708" i="19"/>
  <c r="J484" i="19"/>
  <c r="F831" i="19"/>
  <c r="H772" i="19"/>
  <c r="H895" i="19"/>
  <c r="G708" i="19"/>
  <c r="D585" i="19"/>
  <c r="D527" i="19"/>
  <c r="E669" i="19"/>
  <c r="H405" i="19"/>
  <c r="D547" i="19"/>
  <c r="G772" i="19"/>
  <c r="C197" i="19"/>
  <c r="D872" i="19"/>
  <c r="C340" i="19"/>
  <c r="H465" i="19"/>
  <c r="E566" i="19"/>
  <c r="J362" i="19"/>
  <c r="F916" i="19"/>
  <c r="H91" i="19"/>
  <c r="I547" i="19"/>
  <c r="C1061" i="19"/>
  <c r="I607" i="19"/>
  <c r="G728" i="19"/>
  <c r="H239" i="19"/>
  <c r="E527" i="19"/>
  <c r="D688" i="19"/>
  <c r="F792" i="19"/>
  <c r="E792" i="19"/>
  <c r="F1020" i="19"/>
  <c r="D259" i="19"/>
  <c r="J426" i="19"/>
  <c r="D850" i="19"/>
  <c r="D566" i="19"/>
  <c r="G607" i="19"/>
  <c r="F91" i="19"/>
  <c r="J91" i="19"/>
  <c r="C155" i="19"/>
  <c r="J850" i="19"/>
  <c r="G527" i="19"/>
  <c r="F626" i="19"/>
  <c r="F134" i="19"/>
  <c r="G872" i="19"/>
  <c r="J405" i="19"/>
  <c r="F527" i="19"/>
  <c r="I362" i="19"/>
  <c r="D708" i="19"/>
  <c r="G155" i="19"/>
  <c r="J895" i="19"/>
  <c r="D772" i="19"/>
  <c r="C872" i="19"/>
  <c r="E239" i="19"/>
  <c r="F688" i="19"/>
  <c r="C831" i="19"/>
  <c r="G197" i="19"/>
  <c r="F978" i="19"/>
  <c r="I585" i="19"/>
  <c r="D405" i="19"/>
  <c r="H1000" i="19"/>
  <c r="F383" i="19"/>
  <c r="J749" i="19"/>
  <c r="I300" i="19"/>
  <c r="J938" i="19"/>
  <c r="J340" i="19"/>
  <c r="E504" i="19"/>
  <c r="G300" i="19"/>
  <c r="E1061" i="19"/>
  <c r="E362" i="19"/>
  <c r="D362" i="19"/>
  <c r="C362" i="19"/>
  <c r="C895" i="19"/>
  <c r="J444" i="19"/>
  <c r="G134" i="19"/>
  <c r="I405" i="19"/>
  <c r="I566" i="19"/>
  <c r="H362" i="19"/>
  <c r="E959" i="19"/>
  <c r="J547" i="19"/>
  <c r="I872" i="19"/>
  <c r="I484" i="19"/>
  <c r="C217" i="19"/>
  <c r="G688" i="19"/>
  <c r="I197" i="19"/>
  <c r="F176" i="19"/>
  <c r="H281" i="19"/>
  <c r="C281" i="19"/>
  <c r="J465" i="19"/>
  <c r="C527" i="19"/>
  <c r="D444" i="19"/>
  <c r="I134" i="19"/>
  <c r="G319" i="19"/>
  <c r="E772" i="19"/>
  <c r="G217" i="19"/>
  <c r="I217" i="19"/>
  <c r="F813" i="19"/>
  <c r="H938" i="19"/>
  <c r="I1040" i="19"/>
  <c r="D504" i="19"/>
  <c r="G850" i="19"/>
  <c r="E749" i="19"/>
  <c r="E1020" i="19"/>
  <c r="D649" i="19"/>
  <c r="E340" i="19"/>
  <c r="I649" i="19"/>
  <c r="J626" i="19"/>
  <c r="E688" i="19"/>
  <c r="G1061" i="19"/>
  <c r="F1000" i="19"/>
  <c r="F444" i="19"/>
  <c r="C113" i="19"/>
  <c r="G426" i="19"/>
  <c r="D197" i="19"/>
  <c r="F281" i="19"/>
  <c r="D626" i="19"/>
  <c r="E484" i="19"/>
  <c r="H504" i="19"/>
  <c r="F895" i="19"/>
  <c r="I669" i="19"/>
  <c r="C134" i="19"/>
  <c r="I319" i="19"/>
  <c r="H113" i="19"/>
  <c r="E197" i="19"/>
  <c r="D938" i="19"/>
  <c r="C749" i="19"/>
  <c r="D749" i="19"/>
  <c r="G340" i="19"/>
  <c r="D1020" i="19"/>
  <c r="J383" i="19"/>
  <c r="J113" i="19"/>
  <c r="C259" i="19"/>
  <c r="E134" i="19"/>
  <c r="D728" i="19"/>
  <c r="H1061" i="19"/>
  <c r="C978" i="19"/>
  <c r="I527" i="19"/>
  <c r="I504" i="19"/>
  <c r="C728" i="19"/>
  <c r="G978" i="19"/>
  <c r="C484" i="19"/>
  <c r="H484" i="19"/>
  <c r="C708" i="19"/>
  <c r="H708" i="19"/>
  <c r="C607" i="19"/>
  <c r="J607" i="19"/>
  <c r="C626" i="19"/>
  <c r="E626" i="19"/>
  <c r="J708" i="19"/>
  <c r="J217" i="19"/>
  <c r="E444" i="19"/>
  <c r="D813" i="19"/>
  <c r="G281" i="19"/>
  <c r="H547" i="19"/>
  <c r="F607" i="19"/>
  <c r="H831" i="19"/>
  <c r="H383" i="19"/>
  <c r="D792" i="19"/>
  <c r="C792" i="19"/>
  <c r="I1020" i="19"/>
  <c r="H176" i="19"/>
  <c r="I1000" i="19"/>
  <c r="F585" i="19"/>
  <c r="I259" i="19"/>
  <c r="H1020" i="19"/>
  <c r="C383" i="19"/>
  <c r="E383" i="19"/>
  <c r="F484" i="19"/>
  <c r="J155" i="19"/>
  <c r="D300" i="19"/>
  <c r="D1040" i="19"/>
  <c r="F1061" i="19"/>
  <c r="C669" i="19"/>
  <c r="H749" i="19"/>
  <c r="I831" i="19"/>
  <c r="D426" i="19"/>
  <c r="J239" i="19"/>
  <c r="F259" i="19"/>
  <c r="H319" i="19"/>
  <c r="D607" i="19"/>
  <c r="D217" i="19"/>
  <c r="E426" i="19"/>
  <c r="D1061" i="19"/>
  <c r="H916" i="19"/>
  <c r="E831" i="19"/>
  <c r="G405" i="19"/>
  <c r="C405" i="19"/>
  <c r="D895" i="19"/>
  <c r="E1000" i="19"/>
  <c r="G831" i="19"/>
  <c r="F728" i="19"/>
  <c r="D239" i="19"/>
  <c r="G259" i="19"/>
  <c r="F405" i="19"/>
  <c r="G484" i="19"/>
  <c r="F155" i="19"/>
  <c r="C850" i="19"/>
  <c r="C547" i="19"/>
  <c r="G113" i="19"/>
  <c r="G626" i="19"/>
  <c r="H649" i="19"/>
  <c r="E259" i="19"/>
  <c r="H959" i="19"/>
  <c r="C959" i="19"/>
  <c r="I281" i="19"/>
  <c r="E91" i="19"/>
  <c r="E728" i="19"/>
  <c r="C444" i="19"/>
  <c r="C176" i="19"/>
  <c r="C319" i="19"/>
  <c r="F319" i="19"/>
  <c r="F669" i="19"/>
  <c r="C585" i="19"/>
  <c r="J585" i="19"/>
  <c r="D319" i="19"/>
  <c r="D155" i="19"/>
  <c r="J978" i="19"/>
  <c r="E850" i="19"/>
  <c r="H728" i="19"/>
  <c r="J872" i="19"/>
  <c r="J649" i="19"/>
  <c r="C1020" i="19"/>
  <c r="I708" i="19"/>
  <c r="C649" i="19"/>
  <c r="E813" i="19"/>
  <c r="I938" i="19"/>
  <c r="G669" i="19"/>
  <c r="E176" i="19"/>
  <c r="J916" i="19"/>
  <c r="F300" i="19"/>
  <c r="I113" i="19"/>
  <c r="J300" i="19"/>
  <c r="H197" i="19"/>
  <c r="E895" i="19"/>
  <c r="E585" i="19"/>
  <c r="I959" i="19"/>
  <c r="J728" i="19"/>
  <c r="E281" i="19"/>
  <c r="C938" i="19"/>
  <c r="I749" i="19"/>
  <c r="J772" i="19"/>
  <c r="F872" i="19"/>
  <c r="F362" i="19"/>
  <c r="H626" i="19"/>
  <c r="G1000" i="19"/>
  <c r="I813" i="19"/>
  <c r="I688" i="19"/>
  <c r="C91" i="19"/>
  <c r="G566" i="19"/>
  <c r="H259" i="19"/>
  <c r="I465" i="19"/>
  <c r="F113" i="19"/>
  <c r="I1061" i="19"/>
  <c r="D176" i="19"/>
  <c r="D134" i="19"/>
  <c r="E217" i="19"/>
  <c r="E916" i="19"/>
  <c r="H426" i="19"/>
  <c r="G1040" i="19"/>
  <c r="E708" i="19"/>
  <c r="F547" i="19"/>
  <c r="G176" i="19"/>
  <c r="J669" i="19"/>
  <c r="E73" i="19"/>
  <c r="J73" i="19"/>
  <c r="I73" i="19"/>
  <c r="G73" i="19"/>
  <c r="H73" i="19"/>
  <c r="D73" i="19"/>
  <c r="C73" i="19"/>
  <c r="BE14" i="19"/>
  <c r="I16" i="19" l="1"/>
  <c r="H16" i="19"/>
  <c r="C16" i="19"/>
  <c r="G16" i="19"/>
  <c r="G17" i="19" s="1"/>
  <c r="E16" i="19"/>
  <c r="F16" i="19"/>
  <c r="K16" i="19"/>
  <c r="I17" i="19"/>
  <c r="J260" i="19"/>
  <c r="D282" i="19"/>
  <c r="G92" i="19"/>
  <c r="E650" i="19"/>
  <c r="H445" i="19"/>
  <c r="E979" i="19"/>
  <c r="H729" i="19"/>
  <c r="G960" i="19"/>
  <c r="G814" i="19"/>
  <c r="J689" i="19"/>
  <c r="I466" i="19"/>
  <c r="C939" i="19"/>
  <c r="I709" i="19"/>
  <c r="H960" i="19"/>
  <c r="D1062" i="19"/>
  <c r="E384" i="19"/>
  <c r="C627" i="19"/>
  <c r="D750" i="19"/>
  <c r="F896" i="19"/>
  <c r="F282" i="19"/>
  <c r="E1021" i="19"/>
  <c r="G218" i="19"/>
  <c r="E505" i="19"/>
  <c r="F528" i="19"/>
  <c r="J92" i="19"/>
  <c r="D851" i="19"/>
  <c r="H240" i="19"/>
  <c r="I548" i="19"/>
  <c r="E567" i="19"/>
  <c r="C198" i="19"/>
  <c r="E114" i="19"/>
  <c r="F650" i="19"/>
  <c r="C427" i="19"/>
  <c r="H156" i="19"/>
  <c r="I341" i="19"/>
  <c r="C773" i="19"/>
  <c r="G1041" i="19"/>
  <c r="F363" i="19"/>
  <c r="I114" i="19"/>
  <c r="D320" i="19"/>
  <c r="I832" i="19"/>
  <c r="J793" i="19"/>
  <c r="E445" i="19"/>
  <c r="G177" i="19"/>
  <c r="D177" i="19"/>
  <c r="H260" i="19"/>
  <c r="I814" i="19"/>
  <c r="F873" i="19"/>
  <c r="F301" i="19"/>
  <c r="I1001" i="19"/>
  <c r="J1062" i="19"/>
  <c r="J670" i="19"/>
  <c r="D135" i="19"/>
  <c r="I689" i="19"/>
  <c r="E586" i="19"/>
  <c r="G485" i="19"/>
  <c r="C406" i="19"/>
  <c r="F608" i="19"/>
  <c r="E917" i="19"/>
  <c r="J979" i="19"/>
  <c r="H608" i="19"/>
  <c r="H567" i="19"/>
  <c r="E729" i="19"/>
  <c r="F729" i="19"/>
  <c r="D1041" i="19"/>
  <c r="H1062" i="19"/>
  <c r="H282" i="19"/>
  <c r="D363" i="19"/>
  <c r="F689" i="19"/>
  <c r="H896" i="19"/>
  <c r="G548" i="19"/>
  <c r="F960" i="19"/>
  <c r="C466" i="19"/>
  <c r="C1021" i="19"/>
  <c r="C320" i="19"/>
  <c r="C548" i="19"/>
  <c r="G406" i="19"/>
  <c r="E427" i="19"/>
  <c r="F260" i="19"/>
  <c r="H750" i="19"/>
  <c r="D301" i="19"/>
  <c r="C384" i="19"/>
  <c r="D793" i="19"/>
  <c r="H548" i="19"/>
  <c r="J218" i="19"/>
  <c r="J608" i="19"/>
  <c r="H485" i="19"/>
  <c r="I505" i="19"/>
  <c r="D729" i="19"/>
  <c r="J384" i="19"/>
  <c r="G750" i="19"/>
  <c r="C750" i="19"/>
  <c r="I320" i="19"/>
  <c r="H505" i="19"/>
  <c r="D198" i="19"/>
  <c r="F1001" i="19"/>
  <c r="I650" i="19"/>
  <c r="E750" i="19"/>
  <c r="H939" i="19"/>
  <c r="E773" i="19"/>
  <c r="C528" i="19"/>
  <c r="J528" i="19"/>
  <c r="F177" i="19"/>
  <c r="I485" i="19"/>
  <c r="H363" i="19"/>
  <c r="J445" i="19"/>
  <c r="E363" i="19"/>
  <c r="J341" i="19"/>
  <c r="F384" i="19"/>
  <c r="F979" i="19"/>
  <c r="E240" i="19"/>
  <c r="G156" i="19"/>
  <c r="J406" i="19"/>
  <c r="G528" i="19"/>
  <c r="F92" i="19"/>
  <c r="J427" i="19"/>
  <c r="F793" i="19"/>
  <c r="G729" i="19"/>
  <c r="H92" i="19"/>
  <c r="H466" i="19"/>
  <c r="G773" i="19"/>
  <c r="D528" i="19"/>
  <c r="H773" i="19"/>
  <c r="H218" i="19"/>
  <c r="E1041" i="19"/>
  <c r="H851" i="19"/>
  <c r="F750" i="19"/>
  <c r="F466" i="19"/>
  <c r="F773" i="19"/>
  <c r="I177" i="19"/>
  <c r="F427" i="19"/>
  <c r="H341" i="19"/>
  <c r="I851" i="19"/>
  <c r="I92" i="19"/>
  <c r="F505" i="19"/>
  <c r="H979" i="19"/>
  <c r="D960" i="19"/>
  <c r="H793" i="19"/>
  <c r="I917" i="19"/>
  <c r="E548" i="19"/>
  <c r="F1041" i="19"/>
  <c r="G1021" i="19"/>
  <c r="C1041" i="19"/>
  <c r="J198" i="19"/>
  <c r="J1021" i="19"/>
  <c r="G114" i="19"/>
  <c r="H320" i="19"/>
  <c r="C793" i="19"/>
  <c r="G793" i="19"/>
  <c r="C729" i="19"/>
  <c r="J627" i="19"/>
  <c r="C218" i="19"/>
  <c r="G135" i="19"/>
  <c r="J750" i="19"/>
  <c r="J896" i="19"/>
  <c r="F627" i="19"/>
  <c r="E793" i="19"/>
  <c r="E670" i="19"/>
  <c r="D114" i="19"/>
  <c r="E608" i="19"/>
  <c r="G939" i="19"/>
  <c r="C240" i="19"/>
  <c r="E466" i="19"/>
  <c r="I156" i="19"/>
  <c r="H586" i="19"/>
  <c r="F240" i="19"/>
  <c r="E896" i="19"/>
  <c r="I939" i="19"/>
  <c r="E851" i="19"/>
  <c r="E92" i="19"/>
  <c r="G832" i="19"/>
  <c r="F548" i="19"/>
  <c r="I1062" i="19"/>
  <c r="G567" i="19"/>
  <c r="G1001" i="19"/>
  <c r="J773" i="19"/>
  <c r="J729" i="19"/>
  <c r="H198" i="19"/>
  <c r="J917" i="19"/>
  <c r="E814" i="19"/>
  <c r="J650" i="19"/>
  <c r="C586" i="19"/>
  <c r="G586" i="19"/>
  <c r="C177" i="19"/>
  <c r="I282" i="19"/>
  <c r="H650" i="19"/>
  <c r="C851" i="19"/>
  <c r="F851" i="19"/>
  <c r="G260" i="19"/>
  <c r="E1001" i="19"/>
  <c r="E832" i="19"/>
  <c r="D218" i="19"/>
  <c r="J240" i="19"/>
  <c r="C670" i="19"/>
  <c r="J156" i="19"/>
  <c r="H1021" i="19"/>
  <c r="H177" i="19"/>
  <c r="H384" i="19"/>
  <c r="G282" i="19"/>
  <c r="J709" i="19"/>
  <c r="C608" i="19"/>
  <c r="C485" i="19"/>
  <c r="I528" i="19"/>
  <c r="E135" i="19"/>
  <c r="D1021" i="19"/>
  <c r="D939" i="19"/>
  <c r="H135" i="19"/>
  <c r="C135" i="19"/>
  <c r="E485" i="19"/>
  <c r="G427" i="19"/>
  <c r="G1062" i="19"/>
  <c r="E341" i="19"/>
  <c r="G851" i="19"/>
  <c r="F814" i="19"/>
  <c r="G320" i="19"/>
  <c r="J466" i="19"/>
  <c r="I198" i="19"/>
  <c r="I873" i="19"/>
  <c r="I567" i="19"/>
  <c r="C896" i="19"/>
  <c r="I896" i="19"/>
  <c r="E1062" i="19"/>
  <c r="J939" i="19"/>
  <c r="H1001" i="19"/>
  <c r="G198" i="19"/>
  <c r="C873" i="19"/>
  <c r="D709" i="19"/>
  <c r="G873" i="19"/>
  <c r="J851" i="19"/>
  <c r="G608" i="19"/>
  <c r="D260" i="19"/>
  <c r="D689" i="19"/>
  <c r="I608" i="19"/>
  <c r="F917" i="19"/>
  <c r="C341" i="19"/>
  <c r="D548" i="19"/>
  <c r="D586" i="19"/>
  <c r="F832" i="19"/>
  <c r="D979" i="19"/>
  <c r="E873" i="19"/>
  <c r="J814" i="19"/>
  <c r="D466" i="19"/>
  <c r="D917" i="19"/>
  <c r="C917" i="19"/>
  <c r="G240" i="19"/>
  <c r="G505" i="19"/>
  <c r="D1001" i="19"/>
  <c r="H670" i="19"/>
  <c r="J135" i="19"/>
  <c r="C567" i="19"/>
  <c r="J505" i="19"/>
  <c r="C505" i="19"/>
  <c r="I979" i="19"/>
  <c r="D384" i="19"/>
  <c r="I240" i="19"/>
  <c r="D485" i="19"/>
  <c r="G896" i="19"/>
  <c r="F341" i="19"/>
  <c r="G650" i="19"/>
  <c r="G384" i="19"/>
  <c r="D670" i="19"/>
  <c r="E320" i="19"/>
  <c r="G670" i="19"/>
  <c r="F320" i="19"/>
  <c r="F586" i="19"/>
  <c r="C709" i="19"/>
  <c r="J114" i="19"/>
  <c r="H114" i="19"/>
  <c r="F445" i="19"/>
  <c r="I1041" i="19"/>
  <c r="D445" i="19"/>
  <c r="E960" i="19"/>
  <c r="I586" i="19"/>
  <c r="F709" i="19"/>
  <c r="I627" i="19"/>
  <c r="H528" i="19"/>
  <c r="J1041" i="19"/>
  <c r="G445" i="19"/>
  <c r="I773" i="19"/>
  <c r="F218" i="19"/>
  <c r="I427" i="19"/>
  <c r="E939" i="19"/>
  <c r="H427" i="19"/>
  <c r="E282" i="19"/>
  <c r="J586" i="19"/>
  <c r="E260" i="19"/>
  <c r="F406" i="19"/>
  <c r="E709" i="19"/>
  <c r="E218" i="19"/>
  <c r="F114" i="19"/>
  <c r="C92" i="19"/>
  <c r="H627" i="19"/>
  <c r="I750" i="19"/>
  <c r="I960" i="19"/>
  <c r="J301" i="19"/>
  <c r="E177" i="19"/>
  <c r="C650" i="19"/>
  <c r="J873" i="19"/>
  <c r="D156" i="19"/>
  <c r="F670" i="19"/>
  <c r="C445" i="19"/>
  <c r="I445" i="19"/>
  <c r="C960" i="19"/>
  <c r="G627" i="19"/>
  <c r="F156" i="19"/>
  <c r="D240" i="19"/>
  <c r="D896" i="19"/>
  <c r="H917" i="19"/>
  <c r="D608" i="19"/>
  <c r="D427" i="19"/>
  <c r="F1062" i="19"/>
  <c r="F485" i="19"/>
  <c r="I260" i="19"/>
  <c r="I1021" i="19"/>
  <c r="H832" i="19"/>
  <c r="D814" i="19"/>
  <c r="E627" i="19"/>
  <c r="H709" i="19"/>
  <c r="G979" i="19"/>
  <c r="C979" i="19"/>
  <c r="C260" i="19"/>
  <c r="G341" i="19"/>
  <c r="E198" i="19"/>
  <c r="I670" i="19"/>
  <c r="D627" i="19"/>
  <c r="C114" i="19"/>
  <c r="E689" i="19"/>
  <c r="D650" i="19"/>
  <c r="D505" i="19"/>
  <c r="I218" i="19"/>
  <c r="I135" i="19"/>
  <c r="C282" i="19"/>
  <c r="G689" i="19"/>
  <c r="J548" i="19"/>
  <c r="I406" i="19"/>
  <c r="C363" i="19"/>
  <c r="G363" i="19"/>
  <c r="G301" i="19"/>
  <c r="I301" i="19"/>
  <c r="D406" i="19"/>
  <c r="C832" i="19"/>
  <c r="D832" i="19"/>
  <c r="D773" i="19"/>
  <c r="I363" i="19"/>
  <c r="F135" i="19"/>
  <c r="C156" i="19"/>
  <c r="D567" i="19"/>
  <c r="F1021" i="19"/>
  <c r="E528" i="19"/>
  <c r="C1062" i="19"/>
  <c r="J363" i="19"/>
  <c r="D873" i="19"/>
  <c r="H406" i="19"/>
  <c r="G709" i="19"/>
  <c r="J485" i="19"/>
  <c r="F567" i="19"/>
  <c r="H689" i="19"/>
  <c r="C814" i="19"/>
  <c r="I793" i="19"/>
  <c r="E156" i="19"/>
  <c r="F198" i="19"/>
  <c r="H1041" i="19"/>
  <c r="J1001" i="19"/>
  <c r="C1001" i="19"/>
  <c r="H301" i="19"/>
  <c r="J832" i="19"/>
  <c r="J567" i="19"/>
  <c r="I384" i="19"/>
  <c r="J282" i="19"/>
  <c r="G466" i="19"/>
  <c r="C689" i="19"/>
  <c r="D341" i="19"/>
  <c r="I729" i="19"/>
  <c r="H814" i="19"/>
  <c r="J960" i="19"/>
  <c r="J177" i="19"/>
  <c r="J320" i="19"/>
  <c r="G917" i="19"/>
  <c r="D92" i="19"/>
  <c r="F939" i="19"/>
  <c r="H873" i="19"/>
  <c r="E406" i="19"/>
  <c r="E301" i="19"/>
  <c r="C301" i="19"/>
  <c r="D74" i="19"/>
  <c r="F74" i="19"/>
  <c r="H74" i="19"/>
  <c r="G74" i="19"/>
  <c r="C74" i="19"/>
  <c r="J74" i="19"/>
  <c r="I74" i="19"/>
  <c r="E74" i="19"/>
  <c r="BE15" i="19"/>
  <c r="F17" i="19" l="1"/>
  <c r="C17" i="19"/>
  <c r="H17" i="19"/>
  <c r="J17" i="19"/>
  <c r="F18" i="19" s="1"/>
  <c r="K17" i="19"/>
  <c r="E17" i="19"/>
  <c r="D17" i="19"/>
  <c r="D93" i="19"/>
  <c r="I385" i="19"/>
  <c r="C690" i="19"/>
  <c r="J568" i="19"/>
  <c r="J1002" i="19"/>
  <c r="I794" i="19"/>
  <c r="J486" i="19"/>
  <c r="J364" i="19"/>
  <c r="D774" i="19"/>
  <c r="I407" i="19"/>
  <c r="I136" i="19"/>
  <c r="E199" i="19"/>
  <c r="G980" i="19"/>
  <c r="H833" i="19"/>
  <c r="F1063" i="19"/>
  <c r="D897" i="19"/>
  <c r="D157" i="19"/>
  <c r="H428" i="19"/>
  <c r="I628" i="19"/>
  <c r="D446" i="19"/>
  <c r="J115" i="19"/>
  <c r="G671" i="19"/>
  <c r="G651" i="19"/>
  <c r="I241" i="19"/>
  <c r="J506" i="19"/>
  <c r="D918" i="19"/>
  <c r="C342" i="19"/>
  <c r="D261" i="19"/>
  <c r="D710" i="19"/>
  <c r="J940" i="19"/>
  <c r="G321" i="19"/>
  <c r="I529" i="19"/>
  <c r="G283" i="19"/>
  <c r="G587" i="19"/>
  <c r="E467" i="19"/>
  <c r="F751" i="19"/>
  <c r="F178" i="19"/>
  <c r="G549" i="19"/>
  <c r="E302" i="19"/>
  <c r="J961" i="19"/>
  <c r="H874" i="19"/>
  <c r="D609" i="19"/>
  <c r="H815" i="19"/>
  <c r="I730" i="19"/>
  <c r="I833" i="19"/>
  <c r="C628" i="19"/>
  <c r="H261" i="19"/>
  <c r="H446" i="19"/>
  <c r="F651" i="19"/>
  <c r="E219" i="19"/>
  <c r="J815" i="19"/>
  <c r="F609" i="19"/>
  <c r="J93" i="19"/>
  <c r="F1022" i="19"/>
  <c r="F364" i="19"/>
  <c r="F283" i="19"/>
  <c r="E506" i="19"/>
  <c r="J794" i="19"/>
  <c r="D568" i="19"/>
  <c r="C961" i="19"/>
  <c r="J302" i="19"/>
  <c r="D980" i="19"/>
  <c r="I568" i="19"/>
  <c r="H136" i="19"/>
  <c r="G1002" i="19"/>
  <c r="D115" i="19"/>
  <c r="J628" i="19"/>
  <c r="G1042" i="19"/>
  <c r="C1042" i="19"/>
  <c r="I918" i="19"/>
  <c r="F506" i="19"/>
  <c r="F428" i="19"/>
  <c r="H774" i="19"/>
  <c r="H93" i="19"/>
  <c r="F93" i="19"/>
  <c r="E241" i="19"/>
  <c r="E364" i="19"/>
  <c r="H940" i="19"/>
  <c r="D199" i="19"/>
  <c r="G751" i="19"/>
  <c r="H486" i="19"/>
  <c r="D794" i="19"/>
  <c r="F261" i="19"/>
  <c r="C321" i="19"/>
  <c r="H283" i="19"/>
  <c r="E730" i="19"/>
  <c r="D283" i="19"/>
  <c r="G93" i="19"/>
  <c r="H961" i="19"/>
  <c r="J261" i="19"/>
  <c r="H241" i="19"/>
  <c r="F302" i="19"/>
  <c r="C428" i="19"/>
  <c r="I549" i="19"/>
  <c r="F897" i="19"/>
  <c r="G486" i="19"/>
  <c r="E407" i="19"/>
  <c r="G918" i="19"/>
  <c r="G467" i="19"/>
  <c r="J833" i="19"/>
  <c r="H1042" i="19"/>
  <c r="C815" i="19"/>
  <c r="I815" i="19"/>
  <c r="G710" i="19"/>
  <c r="C1063" i="19"/>
  <c r="C157" i="19"/>
  <c r="H157" i="19"/>
  <c r="D833" i="19"/>
  <c r="G302" i="19"/>
  <c r="J549" i="19"/>
  <c r="I219" i="19"/>
  <c r="C115" i="19"/>
  <c r="I115" i="19"/>
  <c r="G342" i="19"/>
  <c r="H710" i="19"/>
  <c r="I1022" i="19"/>
  <c r="D428" i="19"/>
  <c r="D241" i="19"/>
  <c r="I446" i="19"/>
  <c r="J874" i="19"/>
  <c r="I961" i="19"/>
  <c r="F115" i="19"/>
  <c r="E261" i="19"/>
  <c r="E940" i="19"/>
  <c r="G446" i="19"/>
  <c r="F710" i="19"/>
  <c r="I1042" i="19"/>
  <c r="C710" i="19"/>
  <c r="E321" i="19"/>
  <c r="F342" i="19"/>
  <c r="D385" i="19"/>
  <c r="C568" i="19"/>
  <c r="G506" i="19"/>
  <c r="D467" i="19"/>
  <c r="F833" i="19"/>
  <c r="F918" i="19"/>
  <c r="G609" i="19"/>
  <c r="F874" i="19"/>
  <c r="C874" i="19"/>
  <c r="E1063" i="19"/>
  <c r="I874" i="19"/>
  <c r="F815" i="19"/>
  <c r="G428" i="19"/>
  <c r="D940" i="19"/>
  <c r="C940" i="19"/>
  <c r="C486" i="19"/>
  <c r="H385" i="19"/>
  <c r="C671" i="19"/>
  <c r="E1002" i="19"/>
  <c r="H651" i="19"/>
  <c r="C587" i="19"/>
  <c r="H199" i="19"/>
  <c r="G568" i="19"/>
  <c r="E93" i="19"/>
  <c r="F241" i="19"/>
  <c r="C241" i="19"/>
  <c r="E671" i="19"/>
  <c r="J751" i="19"/>
  <c r="H730" i="19"/>
  <c r="C730" i="19"/>
  <c r="G115" i="19"/>
  <c r="G1022" i="19"/>
  <c r="H794" i="19"/>
  <c r="I93" i="19"/>
  <c r="I178" i="19"/>
  <c r="H852" i="19"/>
  <c r="D529" i="19"/>
  <c r="G730" i="19"/>
  <c r="G529" i="19"/>
  <c r="F980" i="19"/>
  <c r="J446" i="19"/>
  <c r="J529" i="19"/>
  <c r="E751" i="19"/>
  <c r="H506" i="19"/>
  <c r="J385" i="19"/>
  <c r="J609" i="19"/>
  <c r="C385" i="19"/>
  <c r="E428" i="19"/>
  <c r="C1022" i="19"/>
  <c r="H897" i="19"/>
  <c r="H1063" i="19"/>
  <c r="J690" i="19"/>
  <c r="G961" i="19"/>
  <c r="E587" i="19"/>
  <c r="H568" i="19"/>
  <c r="D321" i="19"/>
  <c r="I710" i="19"/>
  <c r="I302" i="19"/>
  <c r="E690" i="19"/>
  <c r="C93" i="19"/>
  <c r="I774" i="19"/>
  <c r="G1063" i="19"/>
  <c r="J157" i="19"/>
  <c r="J918" i="19"/>
  <c r="J897" i="19"/>
  <c r="J321" i="19"/>
  <c r="J283" i="19"/>
  <c r="H690" i="19"/>
  <c r="F136" i="19"/>
  <c r="G364" i="19"/>
  <c r="D628" i="19"/>
  <c r="E628" i="19"/>
  <c r="F157" i="19"/>
  <c r="C651" i="19"/>
  <c r="I428" i="19"/>
  <c r="J1042" i="19"/>
  <c r="I587" i="19"/>
  <c r="F446" i="19"/>
  <c r="F587" i="19"/>
  <c r="D671" i="19"/>
  <c r="G897" i="19"/>
  <c r="I980" i="19"/>
  <c r="J136" i="19"/>
  <c r="G241" i="19"/>
  <c r="D587" i="19"/>
  <c r="I609" i="19"/>
  <c r="J852" i="19"/>
  <c r="G199" i="19"/>
  <c r="I897" i="19"/>
  <c r="I199" i="19"/>
  <c r="G852" i="19"/>
  <c r="E486" i="19"/>
  <c r="D1022" i="19"/>
  <c r="C609" i="19"/>
  <c r="H178" i="19"/>
  <c r="J241" i="19"/>
  <c r="G261" i="19"/>
  <c r="I283" i="19"/>
  <c r="J651" i="19"/>
  <c r="J730" i="19"/>
  <c r="I1063" i="19"/>
  <c r="E852" i="19"/>
  <c r="H587" i="19"/>
  <c r="G940" i="19"/>
  <c r="E794" i="19"/>
  <c r="G136" i="19"/>
  <c r="G794" i="19"/>
  <c r="J1022" i="19"/>
  <c r="F1042" i="19"/>
  <c r="D961" i="19"/>
  <c r="I852" i="19"/>
  <c r="F774" i="19"/>
  <c r="E1042" i="19"/>
  <c r="G774" i="19"/>
  <c r="F794" i="19"/>
  <c r="J407" i="19"/>
  <c r="F385" i="19"/>
  <c r="H364" i="19"/>
  <c r="C529" i="19"/>
  <c r="I651" i="19"/>
  <c r="I321" i="19"/>
  <c r="D730" i="19"/>
  <c r="J219" i="19"/>
  <c r="D302" i="19"/>
  <c r="G407" i="19"/>
  <c r="C467" i="19"/>
  <c r="F690" i="19"/>
  <c r="D1042" i="19"/>
  <c r="G815" i="19"/>
  <c r="I690" i="19"/>
  <c r="H609" i="19"/>
  <c r="I467" i="19"/>
  <c r="C774" i="19"/>
  <c r="E115" i="19"/>
  <c r="F529" i="19"/>
  <c r="E385" i="19"/>
  <c r="F407" i="19"/>
  <c r="D1002" i="19"/>
  <c r="E833" i="19"/>
  <c r="C852" i="19"/>
  <c r="D852" i="19"/>
  <c r="G833" i="19"/>
  <c r="E897" i="19"/>
  <c r="H321" i="19"/>
  <c r="H302" i="19"/>
  <c r="F199" i="19"/>
  <c r="H407" i="19"/>
  <c r="E529" i="19"/>
  <c r="C833" i="19"/>
  <c r="G690" i="19"/>
  <c r="D506" i="19"/>
  <c r="C261" i="19"/>
  <c r="I261" i="19"/>
  <c r="C446" i="19"/>
  <c r="I751" i="19"/>
  <c r="J587" i="19"/>
  <c r="C302" i="19"/>
  <c r="F940" i="19"/>
  <c r="J178" i="19"/>
  <c r="D342" i="19"/>
  <c r="C1002" i="19"/>
  <c r="E157" i="19"/>
  <c r="F568" i="19"/>
  <c r="D874" i="19"/>
  <c r="I364" i="19"/>
  <c r="D407" i="19"/>
  <c r="C364" i="19"/>
  <c r="C283" i="19"/>
  <c r="D651" i="19"/>
  <c r="I671" i="19"/>
  <c r="C980" i="19"/>
  <c r="J980" i="19"/>
  <c r="E980" i="19"/>
  <c r="D815" i="19"/>
  <c r="F486" i="19"/>
  <c r="H918" i="19"/>
  <c r="G628" i="19"/>
  <c r="F671" i="19"/>
  <c r="E178" i="19"/>
  <c r="H628" i="19"/>
  <c r="E710" i="19"/>
  <c r="E283" i="19"/>
  <c r="F219" i="19"/>
  <c r="H529" i="19"/>
  <c r="E961" i="19"/>
  <c r="H115" i="19"/>
  <c r="F321" i="19"/>
  <c r="G385" i="19"/>
  <c r="D486" i="19"/>
  <c r="C506" i="19"/>
  <c r="H671" i="19"/>
  <c r="C918" i="19"/>
  <c r="E918" i="19"/>
  <c r="E874" i="19"/>
  <c r="D549" i="19"/>
  <c r="D690" i="19"/>
  <c r="G874" i="19"/>
  <c r="H1002" i="19"/>
  <c r="C897" i="19"/>
  <c r="J467" i="19"/>
  <c r="E342" i="19"/>
  <c r="C136" i="19"/>
  <c r="E136" i="19"/>
  <c r="J710" i="19"/>
  <c r="H1022" i="19"/>
  <c r="D219" i="19"/>
  <c r="F852" i="19"/>
  <c r="D178" i="19"/>
  <c r="G178" i="19"/>
  <c r="C178" i="19"/>
  <c r="E815" i="19"/>
  <c r="J774" i="19"/>
  <c r="F549" i="19"/>
  <c r="I940" i="19"/>
  <c r="I157" i="19"/>
  <c r="E609" i="19"/>
  <c r="F628" i="19"/>
  <c r="G219" i="19"/>
  <c r="C219" i="19"/>
  <c r="C794" i="19"/>
  <c r="J199" i="19"/>
  <c r="E549" i="19"/>
  <c r="H980" i="19"/>
  <c r="H342" i="19"/>
  <c r="F467" i="19"/>
  <c r="H219" i="19"/>
  <c r="H467" i="19"/>
  <c r="J428" i="19"/>
  <c r="G157" i="19"/>
  <c r="J342" i="19"/>
  <c r="I486" i="19"/>
  <c r="E774" i="19"/>
  <c r="F1002" i="19"/>
  <c r="D751" i="19"/>
  <c r="C751" i="19"/>
  <c r="I506" i="19"/>
  <c r="H549" i="19"/>
  <c r="H751" i="19"/>
  <c r="C549" i="19"/>
  <c r="F961" i="19"/>
  <c r="D364" i="19"/>
  <c r="F730" i="19"/>
  <c r="J1063" i="19"/>
  <c r="E651" i="19"/>
  <c r="C407" i="19"/>
  <c r="D136" i="19"/>
  <c r="C199" i="19"/>
  <c r="E446" i="19"/>
  <c r="I1002" i="19"/>
  <c r="I342" i="19"/>
  <c r="E568" i="19"/>
  <c r="E569" i="19" s="1"/>
  <c r="E1022" i="19"/>
  <c r="D1063" i="19"/>
  <c r="J671" i="19"/>
  <c r="E75" i="19"/>
  <c r="D75" i="19"/>
  <c r="I75" i="19"/>
  <c r="G75" i="19"/>
  <c r="J75" i="19"/>
  <c r="F75" i="19"/>
  <c r="C75" i="19"/>
  <c r="H75" i="19"/>
  <c r="BE16" i="19"/>
  <c r="G18" i="19" l="1"/>
  <c r="H18" i="19"/>
  <c r="C18" i="19"/>
  <c r="K18" i="19"/>
  <c r="J18" i="19"/>
  <c r="J19" i="19" s="1"/>
  <c r="E18" i="19"/>
  <c r="D18" i="19"/>
  <c r="I18" i="19"/>
  <c r="F19" i="19" s="1"/>
  <c r="D898" i="19"/>
  <c r="G550" i="19"/>
  <c r="C752" i="19"/>
  <c r="I137" i="19"/>
  <c r="H672" i="19"/>
  <c r="H610" i="19"/>
  <c r="F691" i="19"/>
  <c r="F610" i="19"/>
  <c r="I941" i="19"/>
  <c r="F179" i="19"/>
  <c r="E507" i="19"/>
  <c r="H116" i="19"/>
  <c r="H447" i="19"/>
  <c r="F652" i="19"/>
  <c r="G672" i="19"/>
  <c r="D1064" i="19"/>
  <c r="I1003" i="19"/>
  <c r="C408" i="19"/>
  <c r="D365" i="19"/>
  <c r="H550" i="19"/>
  <c r="G158" i="19"/>
  <c r="F468" i="19"/>
  <c r="J200" i="19"/>
  <c r="F629" i="19"/>
  <c r="G179" i="19"/>
  <c r="H1023" i="19"/>
  <c r="E343" i="19"/>
  <c r="G875" i="19"/>
  <c r="E919" i="19"/>
  <c r="D487" i="19"/>
  <c r="E962" i="19"/>
  <c r="E711" i="19"/>
  <c r="E981" i="19"/>
  <c r="D652" i="19"/>
  <c r="C303" i="19"/>
  <c r="I262" i="19"/>
  <c r="C834" i="19"/>
  <c r="D853" i="19"/>
  <c r="C775" i="19"/>
  <c r="G816" i="19"/>
  <c r="I322" i="19"/>
  <c r="F386" i="19"/>
  <c r="E1043" i="19"/>
  <c r="F1043" i="19"/>
  <c r="E795" i="19"/>
  <c r="I898" i="19"/>
  <c r="D588" i="19"/>
  <c r="F137" i="19"/>
  <c r="J447" i="19"/>
  <c r="D530" i="19"/>
  <c r="H731" i="19"/>
  <c r="F242" i="19"/>
  <c r="G429" i="19"/>
  <c r="I220" i="19"/>
  <c r="D284" i="19"/>
  <c r="F94" i="19"/>
  <c r="F507" i="19"/>
  <c r="F550" i="19"/>
  <c r="C1003" i="19"/>
  <c r="J1003" i="19"/>
  <c r="H303" i="19"/>
  <c r="G262" i="19"/>
  <c r="F158" i="19"/>
  <c r="J898" i="19"/>
  <c r="G962" i="19"/>
  <c r="H795" i="19"/>
  <c r="C588" i="19"/>
  <c r="H386" i="19"/>
  <c r="F834" i="19"/>
  <c r="D386" i="19"/>
  <c r="I1043" i="19"/>
  <c r="E262" i="19"/>
  <c r="I447" i="19"/>
  <c r="H711" i="19"/>
  <c r="H158" i="19"/>
  <c r="I816" i="19"/>
  <c r="G468" i="19"/>
  <c r="F898" i="19"/>
  <c r="H242" i="19"/>
  <c r="F262" i="19"/>
  <c r="D200" i="19"/>
  <c r="J629" i="19"/>
  <c r="I569" i="19"/>
  <c r="D569" i="19"/>
  <c r="G588" i="19"/>
  <c r="D711" i="19"/>
  <c r="G652" i="19"/>
  <c r="J94" i="19"/>
  <c r="J962" i="19"/>
  <c r="F365" i="19"/>
  <c r="C629" i="19"/>
  <c r="E1023" i="19"/>
  <c r="E447" i="19"/>
  <c r="E652" i="19"/>
  <c r="F962" i="19"/>
  <c r="I507" i="19"/>
  <c r="E775" i="19"/>
  <c r="J429" i="19"/>
  <c r="H343" i="19"/>
  <c r="I795" i="19"/>
  <c r="C795" i="19"/>
  <c r="E610" i="19"/>
  <c r="J775" i="19"/>
  <c r="D179" i="19"/>
  <c r="J711" i="19"/>
  <c r="J468" i="19"/>
  <c r="D691" i="19"/>
  <c r="C919" i="19"/>
  <c r="D919" i="19"/>
  <c r="G386" i="19"/>
  <c r="H530" i="19"/>
  <c r="H629" i="19"/>
  <c r="H919" i="19"/>
  <c r="J981" i="19"/>
  <c r="C284" i="19"/>
  <c r="D875" i="19"/>
  <c r="D343" i="19"/>
  <c r="J588" i="19"/>
  <c r="C262" i="19"/>
  <c r="E530" i="19"/>
  <c r="H322" i="19"/>
  <c r="C853" i="19"/>
  <c r="E386" i="19"/>
  <c r="I468" i="19"/>
  <c r="D1043" i="19"/>
  <c r="D303" i="19"/>
  <c r="I652" i="19"/>
  <c r="J408" i="19"/>
  <c r="F775" i="19"/>
  <c r="J1023" i="19"/>
  <c r="G941" i="19"/>
  <c r="J731" i="19"/>
  <c r="J242" i="19"/>
  <c r="E487" i="19"/>
  <c r="G200" i="19"/>
  <c r="G242" i="19"/>
  <c r="D672" i="19"/>
  <c r="J1043" i="19"/>
  <c r="E629" i="19"/>
  <c r="H691" i="19"/>
  <c r="J919" i="19"/>
  <c r="C94" i="19"/>
  <c r="D94" i="19"/>
  <c r="D322" i="19"/>
  <c r="J691" i="19"/>
  <c r="E429" i="19"/>
  <c r="H507" i="19"/>
  <c r="F981" i="19"/>
  <c r="H853" i="19"/>
  <c r="G1023" i="19"/>
  <c r="J752" i="19"/>
  <c r="E94" i="19"/>
  <c r="H652" i="19"/>
  <c r="C487" i="19"/>
  <c r="J487" i="19"/>
  <c r="F816" i="19"/>
  <c r="F875" i="19"/>
  <c r="D468" i="19"/>
  <c r="F343" i="19"/>
  <c r="F711" i="19"/>
  <c r="F116" i="19"/>
  <c r="D242" i="19"/>
  <c r="G343" i="19"/>
  <c r="J550" i="19"/>
  <c r="C158" i="19"/>
  <c r="H816" i="19"/>
  <c r="C816" i="19"/>
  <c r="J816" i="19"/>
  <c r="G919" i="19"/>
  <c r="I550" i="19"/>
  <c r="J262" i="19"/>
  <c r="E731" i="19"/>
  <c r="D795" i="19"/>
  <c r="H941" i="19"/>
  <c r="H94" i="19"/>
  <c r="I919" i="19"/>
  <c r="D116" i="19"/>
  <c r="D981" i="19"/>
  <c r="G284" i="19"/>
  <c r="D262" i="19"/>
  <c r="H834" i="19"/>
  <c r="J795" i="19"/>
  <c r="I834" i="19"/>
  <c r="D775" i="19"/>
  <c r="F1003" i="19"/>
  <c r="F408" i="19"/>
  <c r="G408" i="19"/>
  <c r="D1023" i="19"/>
  <c r="G898" i="19"/>
  <c r="I775" i="19"/>
  <c r="J386" i="19"/>
  <c r="H875" i="19"/>
  <c r="C875" i="19"/>
  <c r="J1064" i="19"/>
  <c r="H981" i="19"/>
  <c r="E816" i="19"/>
  <c r="C898" i="19"/>
  <c r="F220" i="19"/>
  <c r="C981" i="19"/>
  <c r="J179" i="19"/>
  <c r="I752" i="19"/>
  <c r="D507" i="19"/>
  <c r="H408" i="19"/>
  <c r="E898" i="19"/>
  <c r="E834" i="19"/>
  <c r="F530" i="19"/>
  <c r="J220" i="19"/>
  <c r="C530" i="19"/>
  <c r="F795" i="19"/>
  <c r="I853" i="19"/>
  <c r="G795" i="19"/>
  <c r="H588" i="19"/>
  <c r="J652" i="19"/>
  <c r="H179" i="19"/>
  <c r="G853" i="19"/>
  <c r="J853" i="19"/>
  <c r="J137" i="19"/>
  <c r="F588" i="19"/>
  <c r="I429" i="19"/>
  <c r="D629" i="19"/>
  <c r="J284" i="19"/>
  <c r="J158" i="19"/>
  <c r="E691" i="19"/>
  <c r="H569" i="19"/>
  <c r="H1064" i="19"/>
  <c r="I386" i="19"/>
  <c r="C386" i="19"/>
  <c r="E752" i="19"/>
  <c r="G530" i="19"/>
  <c r="I179" i="19"/>
  <c r="G116" i="19"/>
  <c r="E672" i="19"/>
  <c r="G569" i="19"/>
  <c r="E1003" i="19"/>
  <c r="C941" i="19"/>
  <c r="I875" i="19"/>
  <c r="G610" i="19"/>
  <c r="G507" i="19"/>
  <c r="E322" i="19"/>
  <c r="G447" i="19"/>
  <c r="I962" i="19"/>
  <c r="D429" i="19"/>
  <c r="I116" i="19"/>
  <c r="G303" i="19"/>
  <c r="C1064" i="19"/>
  <c r="H1043" i="19"/>
  <c r="E408" i="19"/>
  <c r="H429" i="19"/>
  <c r="C429" i="19"/>
  <c r="H962" i="19"/>
  <c r="H284" i="19"/>
  <c r="H487" i="19"/>
  <c r="E365" i="19"/>
  <c r="H775" i="19"/>
  <c r="C1043" i="19"/>
  <c r="G1003" i="19"/>
  <c r="J303" i="19"/>
  <c r="I530" i="19"/>
  <c r="C343" i="19"/>
  <c r="D447" i="19"/>
  <c r="I408" i="19"/>
  <c r="G981" i="19"/>
  <c r="D158" i="19"/>
  <c r="C691" i="19"/>
  <c r="G629" i="19"/>
  <c r="I365" i="19"/>
  <c r="I1064" i="19"/>
  <c r="I588" i="19"/>
  <c r="I711" i="19"/>
  <c r="F1023" i="19"/>
  <c r="C1023" i="19"/>
  <c r="C200" i="19"/>
  <c r="E200" i="19"/>
  <c r="C550" i="19"/>
  <c r="I487" i="19"/>
  <c r="H468" i="19"/>
  <c r="E220" i="19"/>
  <c r="C220" i="19"/>
  <c r="I158" i="19"/>
  <c r="F853" i="19"/>
  <c r="E137" i="19"/>
  <c r="D550" i="19"/>
  <c r="F322" i="19"/>
  <c r="E179" i="19"/>
  <c r="F487" i="19"/>
  <c r="C365" i="19"/>
  <c r="F569" i="19"/>
  <c r="J672" i="19"/>
  <c r="I343" i="19"/>
  <c r="D137" i="19"/>
  <c r="F731" i="19"/>
  <c r="H752" i="19"/>
  <c r="D752" i="19"/>
  <c r="J343" i="19"/>
  <c r="H220" i="19"/>
  <c r="E550" i="19"/>
  <c r="G220" i="19"/>
  <c r="C179" i="19"/>
  <c r="D220" i="19"/>
  <c r="C137" i="19"/>
  <c r="H1003" i="19"/>
  <c r="E875" i="19"/>
  <c r="C507" i="19"/>
  <c r="J507" i="19"/>
  <c r="E284" i="19"/>
  <c r="F672" i="19"/>
  <c r="D816" i="19"/>
  <c r="I672" i="19"/>
  <c r="D408" i="19"/>
  <c r="E158" i="19"/>
  <c r="F941" i="19"/>
  <c r="C447" i="19"/>
  <c r="G691" i="19"/>
  <c r="F200" i="19"/>
  <c r="G834" i="19"/>
  <c r="D1003" i="19"/>
  <c r="E116" i="19"/>
  <c r="I691" i="19"/>
  <c r="C468" i="19"/>
  <c r="E468" i="19"/>
  <c r="D731" i="19"/>
  <c r="H365" i="19"/>
  <c r="G775" i="19"/>
  <c r="D962" i="19"/>
  <c r="G137" i="19"/>
  <c r="E853" i="19"/>
  <c r="I284" i="19"/>
  <c r="C610" i="19"/>
  <c r="D610" i="19"/>
  <c r="I200" i="19"/>
  <c r="I610" i="19"/>
  <c r="I981" i="19"/>
  <c r="F447" i="19"/>
  <c r="C652" i="19"/>
  <c r="G365" i="19"/>
  <c r="J322" i="19"/>
  <c r="G1064" i="19"/>
  <c r="I303" i="19"/>
  <c r="E588" i="19"/>
  <c r="H898" i="19"/>
  <c r="J610" i="19"/>
  <c r="J530" i="19"/>
  <c r="G731" i="19"/>
  <c r="I94" i="19"/>
  <c r="I731" i="19"/>
  <c r="C731" i="19"/>
  <c r="C242" i="19"/>
  <c r="H200" i="19"/>
  <c r="C672" i="19"/>
  <c r="D941" i="19"/>
  <c r="E1064" i="19"/>
  <c r="F919" i="19"/>
  <c r="C569" i="19"/>
  <c r="C711" i="19"/>
  <c r="E941" i="19"/>
  <c r="J875" i="19"/>
  <c r="I1023" i="19"/>
  <c r="C116" i="19"/>
  <c r="J116" i="19"/>
  <c r="D834" i="19"/>
  <c r="G711" i="19"/>
  <c r="J834" i="19"/>
  <c r="G487" i="19"/>
  <c r="F303" i="19"/>
  <c r="G94" i="19"/>
  <c r="C322" i="19"/>
  <c r="G322" i="19"/>
  <c r="G752" i="19"/>
  <c r="E242" i="19"/>
  <c r="F429" i="19"/>
  <c r="G1043" i="19"/>
  <c r="H137" i="19"/>
  <c r="C962" i="19"/>
  <c r="F752" i="19"/>
  <c r="J941" i="19"/>
  <c r="I242" i="19"/>
  <c r="I629" i="19"/>
  <c r="J569" i="19"/>
  <c r="F284" i="19"/>
  <c r="J365" i="19"/>
  <c r="H262" i="19"/>
  <c r="F1064" i="19"/>
  <c r="E303" i="19"/>
  <c r="I76" i="19"/>
  <c r="H76" i="19"/>
  <c r="J76" i="19"/>
  <c r="F76" i="19"/>
  <c r="C76" i="19"/>
  <c r="E76" i="19"/>
  <c r="G76" i="19"/>
  <c r="D76" i="19"/>
  <c r="BE17" i="19"/>
  <c r="I19" i="19" l="1"/>
  <c r="E19" i="19"/>
  <c r="D19" i="19"/>
  <c r="C19" i="19"/>
  <c r="F20" i="19" s="1"/>
  <c r="H19" i="19"/>
  <c r="G19" i="19"/>
  <c r="K19" i="19"/>
  <c r="D817" i="19"/>
  <c r="G712" i="19"/>
  <c r="C963" i="19"/>
  <c r="E570" i="19"/>
  <c r="G673" i="19"/>
  <c r="F448" i="19"/>
  <c r="G138" i="19"/>
  <c r="H1004" i="19"/>
  <c r="D488" i="19"/>
  <c r="J201" i="19"/>
  <c r="D899" i="19"/>
  <c r="G876" i="19"/>
  <c r="E920" i="19"/>
  <c r="J942" i="19"/>
  <c r="G1044" i="19"/>
  <c r="G323" i="19"/>
  <c r="E589" i="19"/>
  <c r="C469" i="19"/>
  <c r="C387" i="19"/>
  <c r="C982" i="19"/>
  <c r="C180" i="19"/>
  <c r="G551" i="19"/>
  <c r="J876" i="19"/>
  <c r="F920" i="19"/>
  <c r="H899" i="19"/>
  <c r="H448" i="19"/>
  <c r="I138" i="19"/>
  <c r="E551" i="19"/>
  <c r="D531" i="19"/>
  <c r="C776" i="19"/>
  <c r="F180" i="19"/>
  <c r="E304" i="19"/>
  <c r="G488" i="19"/>
  <c r="G732" i="19"/>
  <c r="G366" i="19"/>
  <c r="G776" i="19"/>
  <c r="I159" i="19"/>
  <c r="I1065" i="19"/>
  <c r="E1044" i="19"/>
  <c r="E692" i="19"/>
  <c r="I430" i="19"/>
  <c r="G854" i="19"/>
  <c r="G796" i="19"/>
  <c r="H982" i="19"/>
  <c r="H95" i="19"/>
  <c r="J263" i="19"/>
  <c r="J753" i="19"/>
  <c r="E630" i="19"/>
  <c r="G201" i="19"/>
  <c r="I653" i="19"/>
  <c r="H531" i="19"/>
  <c r="F285" i="19"/>
  <c r="J117" i="19"/>
  <c r="C243" i="19"/>
  <c r="I611" i="19"/>
  <c r="G835" i="19"/>
  <c r="D221" i="19"/>
  <c r="F570" i="19"/>
  <c r="C1024" i="19"/>
  <c r="C344" i="19"/>
  <c r="E409" i="19"/>
  <c r="E1065" i="19"/>
  <c r="I285" i="19"/>
  <c r="F942" i="19"/>
  <c r="F508" i="19"/>
  <c r="C508" i="19"/>
  <c r="H221" i="19"/>
  <c r="E323" i="19"/>
  <c r="J221" i="19"/>
  <c r="J387" i="19"/>
  <c r="G409" i="19"/>
  <c r="G285" i="19"/>
  <c r="C817" i="19"/>
  <c r="G344" i="19"/>
  <c r="F344" i="19"/>
  <c r="J488" i="19"/>
  <c r="H508" i="19"/>
  <c r="D95" i="19"/>
  <c r="G942" i="19"/>
  <c r="E387" i="19"/>
  <c r="C263" i="19"/>
  <c r="C285" i="19"/>
  <c r="D692" i="19"/>
  <c r="J776" i="19"/>
  <c r="H344" i="19"/>
  <c r="F963" i="19"/>
  <c r="C630" i="19"/>
  <c r="G653" i="19"/>
  <c r="I570" i="19"/>
  <c r="H243" i="19"/>
  <c r="H159" i="19"/>
  <c r="I1044" i="19"/>
  <c r="D589" i="19"/>
  <c r="C589" i="19"/>
  <c r="F159" i="19"/>
  <c r="C1004" i="19"/>
  <c r="F243" i="19"/>
  <c r="E796" i="19"/>
  <c r="D854" i="19"/>
  <c r="I221" i="19"/>
  <c r="I323" i="19"/>
  <c r="F1065" i="19"/>
  <c r="J570" i="19"/>
  <c r="F753" i="19"/>
  <c r="F430" i="19"/>
  <c r="C323" i="19"/>
  <c r="J835" i="19"/>
  <c r="H117" i="19"/>
  <c r="C117" i="19"/>
  <c r="C712" i="19"/>
  <c r="E712" i="19"/>
  <c r="D942" i="19"/>
  <c r="C732" i="19"/>
  <c r="J531" i="19"/>
  <c r="I304" i="19"/>
  <c r="C653" i="19"/>
  <c r="I201" i="19"/>
  <c r="E854" i="19"/>
  <c r="H366" i="19"/>
  <c r="I692" i="19"/>
  <c r="F201" i="19"/>
  <c r="E159" i="19"/>
  <c r="F673" i="19"/>
  <c r="E876" i="19"/>
  <c r="J344" i="19"/>
  <c r="D138" i="19"/>
  <c r="C366" i="19"/>
  <c r="D551" i="19"/>
  <c r="C221" i="19"/>
  <c r="C551" i="19"/>
  <c r="F1024" i="19"/>
  <c r="I366" i="19"/>
  <c r="G982" i="19"/>
  <c r="I531" i="19"/>
  <c r="H776" i="19"/>
  <c r="H963" i="19"/>
  <c r="H1044" i="19"/>
  <c r="D430" i="19"/>
  <c r="G508" i="19"/>
  <c r="E1004" i="19"/>
  <c r="I180" i="19"/>
  <c r="I387" i="19"/>
  <c r="J159" i="19"/>
  <c r="F589" i="19"/>
  <c r="H180" i="19"/>
  <c r="I854" i="19"/>
  <c r="F531" i="19"/>
  <c r="D508" i="19"/>
  <c r="F221" i="19"/>
  <c r="J1065" i="19"/>
  <c r="I776" i="19"/>
  <c r="F409" i="19"/>
  <c r="J796" i="19"/>
  <c r="D982" i="19"/>
  <c r="H942" i="19"/>
  <c r="I551" i="19"/>
  <c r="H817" i="19"/>
  <c r="D243" i="19"/>
  <c r="D469" i="19"/>
  <c r="C488" i="19"/>
  <c r="G1024" i="19"/>
  <c r="E430" i="19"/>
  <c r="C95" i="19"/>
  <c r="J1044" i="19"/>
  <c r="E488" i="19"/>
  <c r="J1024" i="19"/>
  <c r="D304" i="19"/>
  <c r="C854" i="19"/>
  <c r="J589" i="19"/>
  <c r="J982" i="19"/>
  <c r="G387" i="19"/>
  <c r="J469" i="19"/>
  <c r="E611" i="19"/>
  <c r="J430" i="19"/>
  <c r="E653" i="19"/>
  <c r="F366" i="19"/>
  <c r="D712" i="19"/>
  <c r="J630" i="19"/>
  <c r="F899" i="19"/>
  <c r="H712" i="19"/>
  <c r="D387" i="19"/>
  <c r="H796" i="19"/>
  <c r="G263" i="19"/>
  <c r="F551" i="19"/>
  <c r="I263" i="19"/>
  <c r="D366" i="19"/>
  <c r="H732" i="19"/>
  <c r="E344" i="19"/>
  <c r="F653" i="19"/>
  <c r="H285" i="19"/>
  <c r="G117" i="19"/>
  <c r="H409" i="19"/>
  <c r="E117" i="19"/>
  <c r="D409" i="19"/>
  <c r="I344" i="19"/>
  <c r="E221" i="19"/>
  <c r="I712" i="19"/>
  <c r="I409" i="19"/>
  <c r="E366" i="19"/>
  <c r="C1065" i="19"/>
  <c r="D1065" i="19"/>
  <c r="I963" i="19"/>
  <c r="G570" i="19"/>
  <c r="G531" i="19"/>
  <c r="H1065" i="19"/>
  <c r="J285" i="19"/>
  <c r="J138" i="19"/>
  <c r="J653" i="19"/>
  <c r="F796" i="19"/>
  <c r="E835" i="19"/>
  <c r="I753" i="19"/>
  <c r="C899" i="19"/>
  <c r="C876" i="19"/>
  <c r="G899" i="19"/>
  <c r="F1004" i="19"/>
  <c r="H835" i="19"/>
  <c r="D117" i="19"/>
  <c r="D796" i="19"/>
  <c r="G920" i="19"/>
  <c r="G159" i="19"/>
  <c r="C159" i="19"/>
  <c r="F117" i="19"/>
  <c r="F876" i="19"/>
  <c r="H653" i="19"/>
  <c r="H854" i="19"/>
  <c r="J692" i="19"/>
  <c r="J920" i="19"/>
  <c r="D673" i="19"/>
  <c r="J243" i="19"/>
  <c r="F776" i="19"/>
  <c r="D1044" i="19"/>
  <c r="H323" i="19"/>
  <c r="D344" i="19"/>
  <c r="H920" i="19"/>
  <c r="D920" i="19"/>
  <c r="J712" i="19"/>
  <c r="C796" i="19"/>
  <c r="E776" i="19"/>
  <c r="E448" i="19"/>
  <c r="J963" i="19"/>
  <c r="G589" i="19"/>
  <c r="D201" i="19"/>
  <c r="G469" i="19"/>
  <c r="I448" i="19"/>
  <c r="F835" i="19"/>
  <c r="G963" i="19"/>
  <c r="H304" i="19"/>
  <c r="D285" i="19"/>
  <c r="J448" i="19"/>
  <c r="F387" i="19"/>
  <c r="D653" i="19"/>
  <c r="H1024" i="19"/>
  <c r="I1004" i="19"/>
  <c r="I899" i="19"/>
  <c r="C304" i="19"/>
  <c r="G180" i="19"/>
  <c r="H551" i="19"/>
  <c r="E942" i="19"/>
  <c r="F732" i="19"/>
  <c r="F323" i="19"/>
  <c r="I488" i="19"/>
  <c r="D159" i="19"/>
  <c r="C1044" i="19"/>
  <c r="I117" i="19"/>
  <c r="C942" i="19"/>
  <c r="I942" i="19"/>
  <c r="I835" i="19"/>
  <c r="H263" i="19"/>
  <c r="I630" i="19"/>
  <c r="E243" i="19"/>
  <c r="G95" i="19"/>
  <c r="I1024" i="19"/>
  <c r="C570" i="19"/>
  <c r="H673" i="19"/>
  <c r="C673" i="19"/>
  <c r="I732" i="19"/>
  <c r="J611" i="19"/>
  <c r="G1065" i="19"/>
  <c r="D611" i="19"/>
  <c r="D732" i="19"/>
  <c r="G692" i="19"/>
  <c r="E285" i="19"/>
  <c r="G221" i="19"/>
  <c r="D753" i="19"/>
  <c r="F488" i="19"/>
  <c r="E138" i="19"/>
  <c r="E201" i="19"/>
  <c r="G630" i="19"/>
  <c r="J304" i="19"/>
  <c r="C430" i="19"/>
  <c r="G611" i="19"/>
  <c r="J366" i="19"/>
  <c r="I243" i="19"/>
  <c r="H138" i="19"/>
  <c r="G753" i="19"/>
  <c r="F304" i="19"/>
  <c r="C835" i="19"/>
  <c r="D835" i="19"/>
  <c r="H201" i="19"/>
  <c r="I95" i="19"/>
  <c r="J323" i="19"/>
  <c r="I982" i="19"/>
  <c r="H611" i="19"/>
  <c r="C611" i="19"/>
  <c r="F611" i="19"/>
  <c r="D963" i="19"/>
  <c r="E469" i="19"/>
  <c r="D1004" i="19"/>
  <c r="C448" i="19"/>
  <c r="I673" i="19"/>
  <c r="J508" i="19"/>
  <c r="C138" i="19"/>
  <c r="H753" i="19"/>
  <c r="J673" i="19"/>
  <c r="E180" i="19"/>
  <c r="F854" i="19"/>
  <c r="H469" i="19"/>
  <c r="C201" i="19"/>
  <c r="I589" i="19"/>
  <c r="C692" i="19"/>
  <c r="F692" i="19"/>
  <c r="D448" i="19"/>
  <c r="G1004" i="19"/>
  <c r="H488" i="19"/>
  <c r="H430" i="19"/>
  <c r="G304" i="19"/>
  <c r="G448" i="19"/>
  <c r="I876" i="19"/>
  <c r="E673" i="19"/>
  <c r="E753" i="19"/>
  <c r="H570" i="19"/>
  <c r="D630" i="19"/>
  <c r="J854" i="19"/>
  <c r="H589" i="19"/>
  <c r="C531" i="19"/>
  <c r="E899" i="19"/>
  <c r="J180" i="19"/>
  <c r="E817" i="19"/>
  <c r="H876" i="19"/>
  <c r="D1024" i="19"/>
  <c r="D776" i="19"/>
  <c r="D263" i="19"/>
  <c r="I920" i="19"/>
  <c r="E732" i="19"/>
  <c r="J817" i="19"/>
  <c r="J551" i="19"/>
  <c r="F712" i="19"/>
  <c r="F817" i="19"/>
  <c r="E95" i="19"/>
  <c r="F982" i="19"/>
  <c r="D323" i="19"/>
  <c r="H692" i="19"/>
  <c r="G243" i="19"/>
  <c r="J732" i="19"/>
  <c r="J409" i="19"/>
  <c r="I469" i="19"/>
  <c r="E531" i="19"/>
  <c r="D876" i="19"/>
  <c r="H630" i="19"/>
  <c r="C920" i="19"/>
  <c r="D180" i="19"/>
  <c r="I796" i="19"/>
  <c r="I508" i="19"/>
  <c r="E1024" i="19"/>
  <c r="J95" i="19"/>
  <c r="D570" i="19"/>
  <c r="F263" i="19"/>
  <c r="I817" i="19"/>
  <c r="E263" i="19"/>
  <c r="H387" i="19"/>
  <c r="J899" i="19"/>
  <c r="J1004" i="19"/>
  <c r="G430" i="19"/>
  <c r="F138" i="19"/>
  <c r="G817" i="19"/>
  <c r="E963" i="19"/>
  <c r="F630" i="19"/>
  <c r="F95" i="19"/>
  <c r="F1044" i="19"/>
  <c r="E982" i="19"/>
  <c r="F469" i="19"/>
  <c r="E508" i="19"/>
  <c r="C753" i="19"/>
  <c r="C409" i="19"/>
  <c r="D77" i="19"/>
  <c r="G77" i="19"/>
  <c r="E77" i="19"/>
  <c r="I77" i="19"/>
  <c r="C77" i="19"/>
  <c r="H77" i="19"/>
  <c r="F77" i="19"/>
  <c r="J77" i="19"/>
  <c r="BE18" i="19"/>
  <c r="D20" i="19" l="1"/>
  <c r="H20" i="19"/>
  <c r="J20" i="19"/>
  <c r="G20" i="19"/>
  <c r="F21" i="19" s="1"/>
  <c r="C20" i="19"/>
  <c r="K20" i="19"/>
  <c r="K21" i="19" s="1"/>
  <c r="E20" i="19"/>
  <c r="I20" i="19"/>
  <c r="E964" i="19"/>
  <c r="G21" i="19"/>
  <c r="E983" i="19"/>
  <c r="I139" i="19"/>
  <c r="I1066" i="19"/>
  <c r="H202" i="19"/>
  <c r="C983" i="19"/>
  <c r="G431" i="19"/>
  <c r="G818" i="19"/>
  <c r="J410" i="19"/>
  <c r="H877" i="19"/>
  <c r="G1005" i="19"/>
  <c r="E470" i="19"/>
  <c r="F733" i="19"/>
  <c r="D654" i="19"/>
  <c r="J139" i="19"/>
  <c r="E367" i="19"/>
  <c r="I345" i="19"/>
  <c r="G118" i="19"/>
  <c r="G388" i="19"/>
  <c r="H943" i="19"/>
  <c r="I777" i="19"/>
  <c r="J160" i="19"/>
  <c r="F1025" i="19"/>
  <c r="I286" i="19"/>
  <c r="C1025" i="19"/>
  <c r="G855" i="19"/>
  <c r="H1005" i="19"/>
  <c r="F1045" i="19"/>
  <c r="F264" i="19"/>
  <c r="H631" i="19"/>
  <c r="F713" i="19"/>
  <c r="C532" i="19"/>
  <c r="G449" i="19"/>
  <c r="E181" i="19"/>
  <c r="H612" i="19"/>
  <c r="G222" i="19"/>
  <c r="C674" i="19"/>
  <c r="G96" i="19"/>
  <c r="I836" i="19"/>
  <c r="C305" i="19"/>
  <c r="D900" i="19"/>
  <c r="D489" i="19"/>
  <c r="J900" i="19"/>
  <c r="I509" i="19"/>
  <c r="D324" i="19"/>
  <c r="I921" i="19"/>
  <c r="H571" i="19"/>
  <c r="I590" i="19"/>
  <c r="G244" i="19"/>
  <c r="G777" i="19"/>
  <c r="J855" i="19"/>
  <c r="F693" i="19"/>
  <c r="G836" i="19"/>
  <c r="F489" i="19"/>
  <c r="H552" i="19"/>
  <c r="C797" i="19"/>
  <c r="H1066" i="19"/>
  <c r="C388" i="19"/>
  <c r="J118" i="19"/>
  <c r="D818" i="19"/>
  <c r="G754" i="19"/>
  <c r="E202" i="19"/>
  <c r="C1045" i="19"/>
  <c r="H305" i="19"/>
  <c r="G470" i="19"/>
  <c r="E449" i="19"/>
  <c r="D921" i="19"/>
  <c r="D1045" i="19"/>
  <c r="J921" i="19"/>
  <c r="F877" i="19"/>
  <c r="G921" i="19"/>
  <c r="F1005" i="19"/>
  <c r="I754" i="19"/>
  <c r="G571" i="19"/>
  <c r="H733" i="19"/>
  <c r="G264" i="19"/>
  <c r="F900" i="19"/>
  <c r="E654" i="19"/>
  <c r="D305" i="19"/>
  <c r="C96" i="19"/>
  <c r="D470" i="19"/>
  <c r="F532" i="19"/>
  <c r="G509" i="19"/>
  <c r="H777" i="19"/>
  <c r="C367" i="19"/>
  <c r="F674" i="19"/>
  <c r="H367" i="19"/>
  <c r="I305" i="19"/>
  <c r="E713" i="19"/>
  <c r="J836" i="19"/>
  <c r="J571" i="19"/>
  <c r="D855" i="19"/>
  <c r="F160" i="19"/>
  <c r="H160" i="19"/>
  <c r="C631" i="19"/>
  <c r="D693" i="19"/>
  <c r="G943" i="19"/>
  <c r="F345" i="19"/>
  <c r="G410" i="19"/>
  <c r="H222" i="19"/>
  <c r="I654" i="19"/>
  <c r="E693" i="19"/>
  <c r="D222" i="19"/>
  <c r="G367" i="19"/>
  <c r="C777" i="19"/>
  <c r="G877" i="19"/>
  <c r="G674" i="19"/>
  <c r="G489" i="19"/>
  <c r="E921" i="19"/>
  <c r="E509" i="19"/>
  <c r="F96" i="19"/>
  <c r="F139" i="19"/>
  <c r="H388" i="19"/>
  <c r="D571" i="19"/>
  <c r="I797" i="19"/>
  <c r="D877" i="19"/>
  <c r="J733" i="19"/>
  <c r="F983" i="19"/>
  <c r="J552" i="19"/>
  <c r="D264" i="19"/>
  <c r="E818" i="19"/>
  <c r="H590" i="19"/>
  <c r="E754" i="19"/>
  <c r="G305" i="19"/>
  <c r="D449" i="19"/>
  <c r="C202" i="19"/>
  <c r="G202" i="19"/>
  <c r="J674" i="19"/>
  <c r="I674" i="19"/>
  <c r="D964" i="19"/>
  <c r="I983" i="19"/>
  <c r="D836" i="19"/>
  <c r="H139" i="19"/>
  <c r="C431" i="19"/>
  <c r="E139" i="19"/>
  <c r="E286" i="19"/>
  <c r="G1066" i="19"/>
  <c r="H674" i="19"/>
  <c r="E244" i="19"/>
  <c r="I943" i="19"/>
  <c r="D160" i="19"/>
  <c r="E943" i="19"/>
  <c r="I900" i="19"/>
  <c r="F388" i="19"/>
  <c r="G964" i="19"/>
  <c r="D202" i="19"/>
  <c r="E777" i="19"/>
  <c r="H921" i="19"/>
  <c r="F777" i="19"/>
  <c r="J693" i="19"/>
  <c r="F118" i="19"/>
  <c r="D797" i="19"/>
  <c r="G900" i="19"/>
  <c r="E836" i="19"/>
  <c r="J286" i="19"/>
  <c r="I964" i="19"/>
  <c r="I410" i="19"/>
  <c r="D410" i="19"/>
  <c r="H286" i="19"/>
  <c r="D367" i="19"/>
  <c r="H797" i="19"/>
  <c r="J631" i="19"/>
  <c r="J431" i="19"/>
  <c r="J983" i="19"/>
  <c r="J1025" i="19"/>
  <c r="E431" i="19"/>
  <c r="D244" i="19"/>
  <c r="C244" i="19"/>
  <c r="D983" i="19"/>
  <c r="J1066" i="19"/>
  <c r="I855" i="19"/>
  <c r="I388" i="19"/>
  <c r="D431" i="19"/>
  <c r="I532" i="19"/>
  <c r="E552" i="19"/>
  <c r="C552" i="19"/>
  <c r="D139" i="19"/>
  <c r="E160" i="19"/>
  <c r="E855" i="19"/>
  <c r="J532" i="19"/>
  <c r="G713" i="19"/>
  <c r="C713" i="19"/>
  <c r="C324" i="19"/>
  <c r="F1066" i="19"/>
  <c r="E797" i="19"/>
  <c r="C590" i="19"/>
  <c r="E590" i="19"/>
  <c r="H244" i="19"/>
  <c r="F964" i="19"/>
  <c r="C286" i="19"/>
  <c r="D96" i="19"/>
  <c r="G345" i="19"/>
  <c r="J388" i="19"/>
  <c r="C509" i="19"/>
  <c r="E1066" i="19"/>
  <c r="E631" i="19"/>
  <c r="G797" i="19"/>
  <c r="D532" i="19"/>
  <c r="J202" i="19"/>
  <c r="C964" i="19"/>
  <c r="G1045" i="19"/>
  <c r="F836" i="19"/>
  <c r="J244" i="19"/>
  <c r="C160" i="19"/>
  <c r="J877" i="19"/>
  <c r="C877" i="19"/>
  <c r="F797" i="19"/>
  <c r="D1066" i="19"/>
  <c r="I713" i="19"/>
  <c r="E118" i="19"/>
  <c r="F654" i="19"/>
  <c r="I264" i="19"/>
  <c r="D388" i="19"/>
  <c r="D713" i="19"/>
  <c r="E612" i="19"/>
  <c r="J590" i="19"/>
  <c r="E489" i="19"/>
  <c r="G1025" i="19"/>
  <c r="H818" i="19"/>
  <c r="J797" i="19"/>
  <c r="F222" i="19"/>
  <c r="H181" i="19"/>
  <c r="I181" i="19"/>
  <c r="H1045" i="19"/>
  <c r="G983" i="19"/>
  <c r="C222" i="19"/>
  <c r="J345" i="19"/>
  <c r="F202" i="19"/>
  <c r="I202" i="19"/>
  <c r="C733" i="19"/>
  <c r="C118" i="19"/>
  <c r="F431" i="19"/>
  <c r="I324" i="19"/>
  <c r="F244" i="19"/>
  <c r="D590" i="19"/>
  <c r="I571" i="19"/>
  <c r="H345" i="19"/>
  <c r="C264" i="19"/>
  <c r="J264" i="19"/>
  <c r="H509" i="19"/>
  <c r="C818" i="19"/>
  <c r="J222" i="19"/>
  <c r="F509" i="19"/>
  <c r="G552" i="19"/>
  <c r="H96" i="19"/>
  <c r="E1045" i="19"/>
  <c r="I160" i="19"/>
  <c r="G324" i="19"/>
  <c r="F286" i="19"/>
  <c r="J754" i="19"/>
  <c r="C754" i="19"/>
  <c r="J509" i="19"/>
  <c r="G612" i="19"/>
  <c r="D612" i="19"/>
  <c r="F470" i="19"/>
  <c r="F631" i="19"/>
  <c r="E264" i="19"/>
  <c r="J96" i="19"/>
  <c r="C181" i="19"/>
  <c r="D181" i="19"/>
  <c r="F181" i="19"/>
  <c r="E532" i="19"/>
  <c r="E96" i="19"/>
  <c r="J818" i="19"/>
  <c r="D777" i="19"/>
  <c r="J181" i="19"/>
  <c r="E674" i="19"/>
  <c r="H431" i="19"/>
  <c r="H470" i="19"/>
  <c r="H754" i="19"/>
  <c r="C449" i="19"/>
  <c r="F612" i="19"/>
  <c r="J324" i="19"/>
  <c r="C836" i="19"/>
  <c r="I244" i="19"/>
  <c r="J305" i="19"/>
  <c r="G693" i="19"/>
  <c r="J612" i="19"/>
  <c r="C571" i="19"/>
  <c r="I631" i="19"/>
  <c r="C943" i="19"/>
  <c r="I489" i="19"/>
  <c r="I1005" i="19"/>
  <c r="J449" i="19"/>
  <c r="G590" i="19"/>
  <c r="D345" i="19"/>
  <c r="H855" i="19"/>
  <c r="D118" i="19"/>
  <c r="C410" i="19"/>
  <c r="E410" i="19"/>
  <c r="J1005" i="19"/>
  <c r="I818" i="19"/>
  <c r="E1025" i="19"/>
  <c r="C921" i="19"/>
  <c r="F921" i="19"/>
  <c r="I470" i="19"/>
  <c r="H693" i="19"/>
  <c r="F818" i="19"/>
  <c r="E733" i="19"/>
  <c r="D1025" i="19"/>
  <c r="E900" i="19"/>
  <c r="D631" i="19"/>
  <c r="I877" i="19"/>
  <c r="H489" i="19"/>
  <c r="C693" i="19"/>
  <c r="F855" i="19"/>
  <c r="C139" i="19"/>
  <c r="G139" i="19"/>
  <c r="D1005" i="19"/>
  <c r="I612" i="19"/>
  <c r="C612" i="19"/>
  <c r="I96" i="19"/>
  <c r="F305" i="19"/>
  <c r="J367" i="19"/>
  <c r="G631" i="19"/>
  <c r="D754" i="19"/>
  <c r="D733" i="19"/>
  <c r="I733" i="19"/>
  <c r="I1025" i="19"/>
  <c r="H264" i="19"/>
  <c r="I118" i="19"/>
  <c r="F324" i="19"/>
  <c r="G181" i="19"/>
  <c r="H1025" i="19"/>
  <c r="D286" i="19"/>
  <c r="I449" i="19"/>
  <c r="J964" i="19"/>
  <c r="J713" i="19"/>
  <c r="H324" i="19"/>
  <c r="D674" i="19"/>
  <c r="H654" i="19"/>
  <c r="G160" i="19"/>
  <c r="H836" i="19"/>
  <c r="H900" i="19"/>
  <c r="C900" i="19"/>
  <c r="J654" i="19"/>
  <c r="G532" i="19"/>
  <c r="C1066" i="19"/>
  <c r="E222" i="19"/>
  <c r="H410" i="19"/>
  <c r="E345" i="19"/>
  <c r="F552" i="19"/>
  <c r="H713" i="19"/>
  <c r="F367" i="19"/>
  <c r="J470" i="19"/>
  <c r="C855" i="19"/>
  <c r="J1045" i="19"/>
  <c r="C489" i="19"/>
  <c r="I552" i="19"/>
  <c r="F410" i="19"/>
  <c r="D509" i="19"/>
  <c r="F590" i="19"/>
  <c r="E1005" i="19"/>
  <c r="H964" i="19"/>
  <c r="I367" i="19"/>
  <c r="D552" i="19"/>
  <c r="E877" i="19"/>
  <c r="I693" i="19"/>
  <c r="C654" i="19"/>
  <c r="D943" i="19"/>
  <c r="H118" i="19"/>
  <c r="F754" i="19"/>
  <c r="I222" i="19"/>
  <c r="C1005" i="19"/>
  <c r="I1045" i="19"/>
  <c r="G654" i="19"/>
  <c r="J777" i="19"/>
  <c r="E388" i="19"/>
  <c r="J489" i="19"/>
  <c r="G286" i="19"/>
  <c r="E324" i="19"/>
  <c r="F943" i="19"/>
  <c r="H532" i="19"/>
  <c r="H983" i="19"/>
  <c r="I431" i="19"/>
  <c r="C345" i="19"/>
  <c r="F571" i="19"/>
  <c r="C470" i="19"/>
  <c r="J943" i="19"/>
  <c r="H449" i="19"/>
  <c r="F449" i="19"/>
  <c r="G733" i="19"/>
  <c r="E305" i="19"/>
  <c r="E571" i="19"/>
  <c r="F78" i="19"/>
  <c r="C78" i="19"/>
  <c r="D78" i="19"/>
  <c r="G78" i="19"/>
  <c r="I78" i="19"/>
  <c r="J78" i="19"/>
  <c r="H78" i="19"/>
  <c r="E78" i="19"/>
  <c r="BE19" i="19"/>
  <c r="E21" i="19" l="1"/>
  <c r="J21" i="19"/>
  <c r="H21" i="19"/>
  <c r="D21" i="19"/>
  <c r="C21" i="19"/>
  <c r="I21" i="19"/>
  <c r="I22" i="19" s="1"/>
  <c r="K22" i="19"/>
  <c r="E306" i="19"/>
  <c r="J778" i="19"/>
  <c r="D510" i="19"/>
  <c r="G632" i="19"/>
  <c r="I245" i="19"/>
  <c r="F798" i="19"/>
  <c r="I432" i="19"/>
  <c r="I223" i="19"/>
  <c r="I368" i="19"/>
  <c r="I1026" i="19"/>
  <c r="C140" i="19"/>
  <c r="F922" i="19"/>
  <c r="J944" i="19"/>
  <c r="E325" i="19"/>
  <c r="C655" i="19"/>
  <c r="H714" i="19"/>
  <c r="J965" i="19"/>
  <c r="G182" i="19"/>
  <c r="C613" i="19"/>
  <c r="H533" i="19"/>
  <c r="J490" i="19"/>
  <c r="F694" i="19"/>
  <c r="G734" i="19"/>
  <c r="H984" i="19"/>
  <c r="G287" i="19"/>
  <c r="F755" i="19"/>
  <c r="I694" i="19"/>
  <c r="F411" i="19"/>
  <c r="C856" i="19"/>
  <c r="F819" i="19"/>
  <c r="I510" i="19"/>
  <c r="I287" i="19"/>
  <c r="I591" i="19"/>
  <c r="F714" i="19"/>
  <c r="H203" i="19"/>
  <c r="F450" i="19"/>
  <c r="H119" i="19"/>
  <c r="I553" i="19"/>
  <c r="H837" i="19"/>
  <c r="G819" i="19"/>
  <c r="I203" i="19"/>
  <c r="G389" i="19"/>
  <c r="C984" i="19"/>
  <c r="F572" i="19"/>
  <c r="I1046" i="19"/>
  <c r="E878" i="19"/>
  <c r="E1006" i="19"/>
  <c r="J471" i="19"/>
  <c r="E389" i="19"/>
  <c r="F591" i="19"/>
  <c r="G161" i="19"/>
  <c r="H265" i="19"/>
  <c r="I97" i="19"/>
  <c r="E572" i="19"/>
  <c r="H450" i="19"/>
  <c r="C346" i="19"/>
  <c r="I346" i="19"/>
  <c r="F944" i="19"/>
  <c r="C1006" i="19"/>
  <c r="D944" i="19"/>
  <c r="D553" i="19"/>
  <c r="C490" i="19"/>
  <c r="F368" i="19"/>
  <c r="H411" i="19"/>
  <c r="J655" i="19"/>
  <c r="J714" i="19"/>
  <c r="H1026" i="19"/>
  <c r="D755" i="19"/>
  <c r="G140" i="19"/>
  <c r="H490" i="19"/>
  <c r="D1026" i="19"/>
  <c r="I471" i="19"/>
  <c r="I819" i="19"/>
  <c r="D119" i="19"/>
  <c r="J450" i="19"/>
  <c r="I632" i="19"/>
  <c r="J306" i="19"/>
  <c r="F613" i="19"/>
  <c r="H432" i="19"/>
  <c r="J819" i="19"/>
  <c r="D182" i="19"/>
  <c r="F632" i="19"/>
  <c r="J510" i="19"/>
  <c r="G325" i="19"/>
  <c r="G553" i="19"/>
  <c r="H510" i="19"/>
  <c r="I572" i="19"/>
  <c r="F432" i="19"/>
  <c r="F203" i="19"/>
  <c r="H1046" i="19"/>
  <c r="J798" i="19"/>
  <c r="J591" i="19"/>
  <c r="I265" i="19"/>
  <c r="D1067" i="19"/>
  <c r="C161" i="19"/>
  <c r="E965" i="19"/>
  <c r="C965" i="19"/>
  <c r="E632" i="19"/>
  <c r="G346" i="19"/>
  <c r="H245" i="19"/>
  <c r="F1067" i="19"/>
  <c r="J533" i="19"/>
  <c r="C553" i="19"/>
  <c r="H553" i="19"/>
  <c r="I389" i="19"/>
  <c r="C245" i="19"/>
  <c r="J984" i="19"/>
  <c r="D368" i="19"/>
  <c r="I965" i="19"/>
  <c r="D798" i="19"/>
  <c r="C798" i="19"/>
  <c r="H922" i="19"/>
  <c r="F389" i="19"/>
  <c r="I944" i="19"/>
  <c r="E287" i="19"/>
  <c r="D837" i="19"/>
  <c r="J675" i="19"/>
  <c r="G306" i="19"/>
  <c r="D265" i="19"/>
  <c r="D878" i="19"/>
  <c r="F140" i="19"/>
  <c r="G490" i="19"/>
  <c r="G368" i="19"/>
  <c r="H223" i="19"/>
  <c r="D694" i="19"/>
  <c r="D856" i="19"/>
  <c r="I306" i="19"/>
  <c r="H778" i="19"/>
  <c r="C97" i="19"/>
  <c r="G265" i="19"/>
  <c r="F1006" i="19"/>
  <c r="D1046" i="19"/>
  <c r="H306" i="19"/>
  <c r="H1006" i="19"/>
  <c r="C389" i="19"/>
  <c r="J161" i="19"/>
  <c r="J856" i="19"/>
  <c r="J140" i="19"/>
  <c r="J1046" i="19"/>
  <c r="E223" i="19"/>
  <c r="C901" i="19"/>
  <c r="J901" i="19"/>
  <c r="H655" i="19"/>
  <c r="I878" i="19"/>
  <c r="E734" i="19"/>
  <c r="J1006" i="19"/>
  <c r="H856" i="19"/>
  <c r="I1006" i="19"/>
  <c r="C572" i="19"/>
  <c r="G450" i="19"/>
  <c r="C450" i="19"/>
  <c r="E675" i="19"/>
  <c r="E97" i="19"/>
  <c r="C182" i="19"/>
  <c r="F471" i="19"/>
  <c r="C755" i="19"/>
  <c r="I161" i="19"/>
  <c r="F510" i="19"/>
  <c r="J265" i="19"/>
  <c r="D591" i="19"/>
  <c r="G119" i="19"/>
  <c r="C119" i="19"/>
  <c r="J346" i="19"/>
  <c r="I182" i="19"/>
  <c r="H819" i="19"/>
  <c r="E613" i="19"/>
  <c r="F655" i="19"/>
  <c r="J245" i="19"/>
  <c r="J203" i="19"/>
  <c r="E1067" i="19"/>
  <c r="D97" i="19"/>
  <c r="E591" i="19"/>
  <c r="C325" i="19"/>
  <c r="E856" i="19"/>
  <c r="E553" i="19"/>
  <c r="I856" i="19"/>
  <c r="D245" i="19"/>
  <c r="J432" i="19"/>
  <c r="H287" i="19"/>
  <c r="J287" i="19"/>
  <c r="F119" i="19"/>
  <c r="E778" i="19"/>
  <c r="I901" i="19"/>
  <c r="E245" i="19"/>
  <c r="E140" i="19"/>
  <c r="I984" i="19"/>
  <c r="G203" i="19"/>
  <c r="E755" i="19"/>
  <c r="J553" i="19"/>
  <c r="I798" i="19"/>
  <c r="F97" i="19"/>
  <c r="G675" i="19"/>
  <c r="D223" i="19"/>
  <c r="G411" i="19"/>
  <c r="C632" i="19"/>
  <c r="J572" i="19"/>
  <c r="H368" i="19"/>
  <c r="G510" i="19"/>
  <c r="D306" i="19"/>
  <c r="H734" i="19"/>
  <c r="G922" i="19"/>
  <c r="D922" i="19"/>
  <c r="C1046" i="19"/>
  <c r="D490" i="19"/>
  <c r="F490" i="19"/>
  <c r="E182" i="19"/>
  <c r="H632" i="19"/>
  <c r="C306" i="19"/>
  <c r="H572" i="19"/>
  <c r="F1046" i="19"/>
  <c r="C471" i="19"/>
  <c r="E471" i="19"/>
  <c r="G655" i="19"/>
  <c r="H965" i="19"/>
  <c r="F553" i="19"/>
  <c r="C1067" i="19"/>
  <c r="H1067" i="19"/>
  <c r="I1067" i="19"/>
  <c r="H901" i="19"/>
  <c r="C675" i="19"/>
  <c r="D675" i="19"/>
  <c r="I450" i="19"/>
  <c r="F325" i="19"/>
  <c r="I734" i="19"/>
  <c r="J368" i="19"/>
  <c r="I613" i="19"/>
  <c r="F856" i="19"/>
  <c r="D632" i="19"/>
  <c r="C922" i="19"/>
  <c r="E411" i="19"/>
  <c r="D346" i="19"/>
  <c r="I490" i="19"/>
  <c r="J613" i="19"/>
  <c r="C837" i="19"/>
  <c r="H755" i="19"/>
  <c r="J182" i="19"/>
  <c r="E533" i="19"/>
  <c r="J97" i="19"/>
  <c r="D613" i="19"/>
  <c r="J755" i="19"/>
  <c r="E1046" i="19"/>
  <c r="J223" i="19"/>
  <c r="C265" i="19"/>
  <c r="F265" i="19"/>
  <c r="F245" i="19"/>
  <c r="F734" i="19"/>
  <c r="C734" i="19"/>
  <c r="C223" i="19"/>
  <c r="G223" i="19"/>
  <c r="H182" i="19"/>
  <c r="G1026" i="19"/>
  <c r="D714" i="19"/>
  <c r="E119" i="19"/>
  <c r="C878" i="19"/>
  <c r="H878" i="19"/>
  <c r="F837" i="19"/>
  <c r="D533" i="19"/>
  <c r="C510" i="19"/>
  <c r="C287" i="19"/>
  <c r="C591" i="19"/>
  <c r="C714" i="19"/>
  <c r="E161" i="19"/>
  <c r="I533" i="19"/>
  <c r="J1067" i="19"/>
  <c r="E432" i="19"/>
  <c r="J632" i="19"/>
  <c r="D411" i="19"/>
  <c r="E837" i="19"/>
  <c r="J694" i="19"/>
  <c r="D203" i="19"/>
  <c r="E944" i="19"/>
  <c r="H675" i="19"/>
  <c r="G432" i="19"/>
  <c r="C432" i="19"/>
  <c r="D965" i="19"/>
  <c r="C203" i="19"/>
  <c r="H591" i="19"/>
  <c r="F984" i="19"/>
  <c r="D572" i="19"/>
  <c r="E510" i="19"/>
  <c r="G878" i="19"/>
  <c r="E694" i="19"/>
  <c r="F346" i="19"/>
  <c r="H161" i="19"/>
  <c r="J837" i="19"/>
  <c r="F675" i="19"/>
  <c r="F533" i="19"/>
  <c r="E655" i="19"/>
  <c r="G572" i="19"/>
  <c r="F878" i="19"/>
  <c r="E450" i="19"/>
  <c r="E203" i="19"/>
  <c r="G856" i="19"/>
  <c r="D819" i="19"/>
  <c r="G837" i="19"/>
  <c r="D655" i="19"/>
  <c r="G1006" i="19"/>
  <c r="F1026" i="19"/>
  <c r="G97" i="19"/>
  <c r="I922" i="19"/>
  <c r="C1026" i="19"/>
  <c r="E346" i="19"/>
  <c r="G533" i="19"/>
  <c r="H325" i="19"/>
  <c r="D287" i="19"/>
  <c r="I119" i="19"/>
  <c r="D734" i="19"/>
  <c r="F306" i="19"/>
  <c r="D1006" i="19"/>
  <c r="C694" i="19"/>
  <c r="E901" i="19"/>
  <c r="H694" i="19"/>
  <c r="E1026" i="19"/>
  <c r="C411" i="19"/>
  <c r="J411" i="19"/>
  <c r="G591" i="19"/>
  <c r="C944" i="19"/>
  <c r="G694" i="19"/>
  <c r="J325" i="19"/>
  <c r="H471" i="19"/>
  <c r="D778" i="19"/>
  <c r="F182" i="19"/>
  <c r="E265" i="19"/>
  <c r="G613" i="19"/>
  <c r="F287" i="19"/>
  <c r="H97" i="19"/>
  <c r="C819" i="19"/>
  <c r="H346" i="19"/>
  <c r="I325" i="19"/>
  <c r="G984" i="19"/>
  <c r="F223" i="19"/>
  <c r="E490" i="19"/>
  <c r="D389" i="19"/>
  <c r="I714" i="19"/>
  <c r="J878" i="19"/>
  <c r="G1046" i="19"/>
  <c r="G798" i="19"/>
  <c r="J389" i="19"/>
  <c r="F965" i="19"/>
  <c r="E798" i="19"/>
  <c r="G714" i="19"/>
  <c r="D140" i="19"/>
  <c r="D432" i="19"/>
  <c r="D984" i="19"/>
  <c r="E984" i="19"/>
  <c r="J1026" i="19"/>
  <c r="H798" i="19"/>
  <c r="I411" i="19"/>
  <c r="G901" i="19"/>
  <c r="F778" i="19"/>
  <c r="G965" i="19"/>
  <c r="D161" i="19"/>
  <c r="G1067" i="19"/>
  <c r="H140" i="19"/>
  <c r="I675" i="19"/>
  <c r="D450" i="19"/>
  <c r="E819" i="19"/>
  <c r="J734" i="19"/>
  <c r="H389" i="19"/>
  <c r="E922" i="19"/>
  <c r="I778" i="19"/>
  <c r="C778" i="19"/>
  <c r="I655" i="19"/>
  <c r="G944" i="19"/>
  <c r="F161" i="19"/>
  <c r="E714" i="19"/>
  <c r="C368" i="19"/>
  <c r="E368" i="19"/>
  <c r="D471" i="19"/>
  <c r="F901" i="19"/>
  <c r="I755" i="19"/>
  <c r="J922" i="19"/>
  <c r="G471" i="19"/>
  <c r="G755" i="19"/>
  <c r="D901" i="19"/>
  <c r="J119" i="19"/>
  <c r="G245" i="19"/>
  <c r="I837" i="19"/>
  <c r="C533" i="19"/>
  <c r="I140" i="19"/>
  <c r="H944" i="19"/>
  <c r="H613" i="19"/>
  <c r="D325" i="19"/>
  <c r="G778" i="19"/>
  <c r="J79" i="19"/>
  <c r="I79" i="19"/>
  <c r="G79" i="19"/>
  <c r="E79" i="19"/>
  <c r="F79" i="19"/>
  <c r="D79" i="19"/>
  <c r="H79" i="19"/>
  <c r="C79" i="19"/>
  <c r="BE20" i="19"/>
  <c r="J22" i="19" l="1"/>
  <c r="E22" i="19"/>
  <c r="F22" i="19"/>
  <c r="C22" i="19"/>
  <c r="G22" i="19"/>
  <c r="D22" i="19"/>
  <c r="H22" i="19"/>
  <c r="D23" i="19"/>
  <c r="E369" i="19"/>
  <c r="F902" i="19"/>
  <c r="J1027" i="19"/>
  <c r="H98" i="19"/>
  <c r="D326" i="19"/>
  <c r="I656" i="19"/>
  <c r="H614" i="19"/>
  <c r="G756" i="19"/>
  <c r="J735" i="19"/>
  <c r="I511" i="19"/>
  <c r="I838" i="19"/>
  <c r="E715" i="19"/>
  <c r="F183" i="19"/>
  <c r="J633" i="19"/>
  <c r="G472" i="19"/>
  <c r="F288" i="19"/>
  <c r="H945" i="19"/>
  <c r="G246" i="19"/>
  <c r="F162" i="19"/>
  <c r="E820" i="19"/>
  <c r="G1068" i="19"/>
  <c r="D1007" i="19"/>
  <c r="G857" i="19"/>
  <c r="G573" i="19"/>
  <c r="F715" i="19"/>
  <c r="E326" i="19"/>
  <c r="I141" i="19"/>
  <c r="J923" i="19"/>
  <c r="I412" i="19"/>
  <c r="D985" i="19"/>
  <c r="E799" i="19"/>
  <c r="G1047" i="19"/>
  <c r="E491" i="19"/>
  <c r="H347" i="19"/>
  <c r="G592" i="19"/>
  <c r="H695" i="19"/>
  <c r="F307" i="19"/>
  <c r="E204" i="19"/>
  <c r="E511" i="19"/>
  <c r="G779" i="19"/>
  <c r="J120" i="19"/>
  <c r="D451" i="19"/>
  <c r="H390" i="19"/>
  <c r="I676" i="19"/>
  <c r="G966" i="19"/>
  <c r="D433" i="19"/>
  <c r="J879" i="19"/>
  <c r="F224" i="19"/>
  <c r="E266" i="19"/>
  <c r="F554" i="19"/>
  <c r="F451" i="19"/>
  <c r="G945" i="19"/>
  <c r="E923" i="19"/>
  <c r="D162" i="19"/>
  <c r="G614" i="19"/>
  <c r="H472" i="19"/>
  <c r="H326" i="19"/>
  <c r="I923" i="19"/>
  <c r="C656" i="19"/>
  <c r="D656" i="19"/>
  <c r="E656" i="19"/>
  <c r="H162" i="19"/>
  <c r="I204" i="19"/>
  <c r="C204" i="19"/>
  <c r="H676" i="19"/>
  <c r="E838" i="19"/>
  <c r="J1068" i="19"/>
  <c r="I592" i="19"/>
  <c r="F592" i="19"/>
  <c r="C592" i="19"/>
  <c r="F838" i="19"/>
  <c r="D715" i="19"/>
  <c r="I224" i="19"/>
  <c r="C224" i="19"/>
  <c r="F266" i="19"/>
  <c r="J756" i="19"/>
  <c r="J183" i="19"/>
  <c r="I491" i="19"/>
  <c r="D633" i="19"/>
  <c r="I735" i="19"/>
  <c r="C676" i="19"/>
  <c r="C1068" i="19"/>
  <c r="E472" i="19"/>
  <c r="C307" i="19"/>
  <c r="D491" i="19"/>
  <c r="H735" i="19"/>
  <c r="J573" i="19"/>
  <c r="G676" i="19"/>
  <c r="E756" i="19"/>
  <c r="E246" i="19"/>
  <c r="J288" i="19"/>
  <c r="I857" i="19"/>
  <c r="E592" i="19"/>
  <c r="J246" i="19"/>
  <c r="I183" i="19"/>
  <c r="D592" i="19"/>
  <c r="F756" i="19"/>
  <c r="C756" i="19"/>
  <c r="E676" i="19"/>
  <c r="I1007" i="19"/>
  <c r="I879" i="19"/>
  <c r="E224" i="19"/>
  <c r="J162" i="19"/>
  <c r="D1047" i="19"/>
  <c r="H779" i="19"/>
  <c r="H224" i="19"/>
  <c r="D879" i="19"/>
  <c r="D838" i="19"/>
  <c r="H923" i="19"/>
  <c r="D369" i="19"/>
  <c r="H554" i="19"/>
  <c r="H246" i="19"/>
  <c r="E966" i="19"/>
  <c r="J592" i="19"/>
  <c r="F433" i="19"/>
  <c r="G326" i="19"/>
  <c r="J820" i="19"/>
  <c r="I633" i="19"/>
  <c r="I472" i="19"/>
  <c r="D756" i="19"/>
  <c r="H412" i="19"/>
  <c r="D945" i="19"/>
  <c r="C347" i="19"/>
  <c r="C985" i="19"/>
  <c r="C534" i="19"/>
  <c r="H534" i="19"/>
  <c r="D902" i="19"/>
  <c r="I756" i="19"/>
  <c r="C369" i="19"/>
  <c r="I369" i="19"/>
  <c r="H799" i="19"/>
  <c r="F966" i="19"/>
  <c r="F820" i="19"/>
  <c r="C820" i="19"/>
  <c r="J326" i="19"/>
  <c r="J412" i="19"/>
  <c r="E902" i="19"/>
  <c r="D735" i="19"/>
  <c r="G534" i="19"/>
  <c r="G98" i="19"/>
  <c r="G838" i="19"/>
  <c r="E451" i="19"/>
  <c r="F534" i="19"/>
  <c r="F347" i="19"/>
  <c r="D573" i="19"/>
  <c r="D966" i="19"/>
  <c r="E945" i="19"/>
  <c r="D412" i="19"/>
  <c r="I534" i="19"/>
  <c r="C288" i="19"/>
  <c r="G288" i="19"/>
  <c r="H879" i="19"/>
  <c r="G1027" i="19"/>
  <c r="C735" i="19"/>
  <c r="G735" i="19"/>
  <c r="C266" i="19"/>
  <c r="H266" i="19"/>
  <c r="D614" i="19"/>
  <c r="C614" i="19"/>
  <c r="H756" i="19"/>
  <c r="D347" i="19"/>
  <c r="F857" i="19"/>
  <c r="F326" i="19"/>
  <c r="H902" i="19"/>
  <c r="J472" i="19"/>
  <c r="C472" i="19"/>
  <c r="H633" i="19"/>
  <c r="I1047" i="19"/>
  <c r="C1047" i="19"/>
  <c r="D307" i="19"/>
  <c r="C633" i="19"/>
  <c r="G633" i="19"/>
  <c r="F98" i="19"/>
  <c r="G204" i="19"/>
  <c r="I902" i="19"/>
  <c r="H288" i="19"/>
  <c r="E554" i="19"/>
  <c r="D98" i="19"/>
  <c r="F656" i="19"/>
  <c r="J347" i="19"/>
  <c r="J266" i="19"/>
  <c r="F472" i="19"/>
  <c r="C451" i="19"/>
  <c r="H857" i="19"/>
  <c r="H656" i="19"/>
  <c r="J1047" i="19"/>
  <c r="C390" i="19"/>
  <c r="E390" i="19"/>
  <c r="G390" i="19"/>
  <c r="F1007" i="19"/>
  <c r="I307" i="19"/>
  <c r="G369" i="19"/>
  <c r="D266" i="19"/>
  <c r="E288" i="19"/>
  <c r="C799" i="19"/>
  <c r="F799" i="19"/>
  <c r="J985" i="19"/>
  <c r="C554" i="19"/>
  <c r="I554" i="19"/>
  <c r="G347" i="19"/>
  <c r="G162" i="19"/>
  <c r="C162" i="19"/>
  <c r="J799" i="19"/>
  <c r="I573" i="19"/>
  <c r="J511" i="19"/>
  <c r="H433" i="19"/>
  <c r="J451" i="19"/>
  <c r="D1027" i="19"/>
  <c r="H1027" i="19"/>
  <c r="F369" i="19"/>
  <c r="E1007" i="19"/>
  <c r="C1007" i="19"/>
  <c r="H451" i="19"/>
  <c r="G820" i="19"/>
  <c r="H204" i="19"/>
  <c r="C779" i="19"/>
  <c r="J779" i="19"/>
  <c r="H141" i="19"/>
  <c r="F779" i="19"/>
  <c r="C141" i="19"/>
  <c r="D141" i="19"/>
  <c r="J390" i="19"/>
  <c r="I715" i="19"/>
  <c r="G985" i="19"/>
  <c r="G695" i="19"/>
  <c r="C412" i="19"/>
  <c r="F412" i="19"/>
  <c r="C695" i="19"/>
  <c r="I695" i="19"/>
  <c r="I120" i="19"/>
  <c r="E347" i="19"/>
  <c r="F1027" i="19"/>
  <c r="D820" i="19"/>
  <c r="F879" i="19"/>
  <c r="F676" i="19"/>
  <c r="E695" i="19"/>
  <c r="F985" i="19"/>
  <c r="C433" i="19"/>
  <c r="I433" i="19"/>
  <c r="D204" i="19"/>
  <c r="E162" i="19"/>
  <c r="C511" i="19"/>
  <c r="D511" i="19"/>
  <c r="C879" i="19"/>
  <c r="E879" i="19"/>
  <c r="H183" i="19"/>
  <c r="F735" i="19"/>
  <c r="J224" i="19"/>
  <c r="J98" i="19"/>
  <c r="C838" i="19"/>
  <c r="H838" i="19"/>
  <c r="E412" i="19"/>
  <c r="I614" i="19"/>
  <c r="I451" i="19"/>
  <c r="I1068" i="19"/>
  <c r="H966" i="19"/>
  <c r="F1047" i="19"/>
  <c r="E183" i="19"/>
  <c r="D923" i="19"/>
  <c r="G511" i="19"/>
  <c r="G412" i="19"/>
  <c r="I799" i="19"/>
  <c r="I985" i="19"/>
  <c r="E779" i="19"/>
  <c r="J433" i="19"/>
  <c r="E857" i="19"/>
  <c r="E1068" i="19"/>
  <c r="E614" i="19"/>
  <c r="C120" i="19"/>
  <c r="F511" i="19"/>
  <c r="C183" i="19"/>
  <c r="G183" i="19"/>
  <c r="G451" i="19"/>
  <c r="J1007" i="19"/>
  <c r="J902" i="19"/>
  <c r="J141" i="19"/>
  <c r="H1007" i="19"/>
  <c r="G266" i="19"/>
  <c r="D857" i="19"/>
  <c r="C857" i="19"/>
  <c r="G491" i="19"/>
  <c r="G307" i="19"/>
  <c r="I945" i="19"/>
  <c r="D799" i="19"/>
  <c r="I246" i="19"/>
  <c r="C246" i="19"/>
  <c r="J534" i="19"/>
  <c r="E633" i="19"/>
  <c r="D1068" i="19"/>
  <c r="H1047" i="19"/>
  <c r="H511" i="19"/>
  <c r="F633" i="19"/>
  <c r="F614" i="19"/>
  <c r="D120" i="19"/>
  <c r="H491" i="19"/>
  <c r="J715" i="19"/>
  <c r="C491" i="19"/>
  <c r="J491" i="19"/>
  <c r="F945" i="19"/>
  <c r="E573" i="19"/>
  <c r="F695" i="19"/>
  <c r="E307" i="19"/>
  <c r="D472" i="19"/>
  <c r="I779" i="19"/>
  <c r="G902" i="19"/>
  <c r="E985" i="19"/>
  <c r="G715" i="19"/>
  <c r="G799" i="19"/>
  <c r="D390" i="19"/>
  <c r="I326" i="19"/>
  <c r="D779" i="19"/>
  <c r="C945" i="19"/>
  <c r="J945" i="19"/>
  <c r="E1027" i="19"/>
  <c r="D288" i="19"/>
  <c r="I1027" i="19"/>
  <c r="C1027" i="19"/>
  <c r="G1007" i="19"/>
  <c r="J838" i="19"/>
  <c r="G879" i="19"/>
  <c r="H592" i="19"/>
  <c r="G433" i="19"/>
  <c r="J695" i="19"/>
  <c r="E433" i="19"/>
  <c r="H715" i="19"/>
  <c r="C715" i="19"/>
  <c r="D534" i="19"/>
  <c r="E120" i="19"/>
  <c r="G224" i="19"/>
  <c r="F246" i="19"/>
  <c r="E1047" i="19"/>
  <c r="E534" i="19"/>
  <c r="J614" i="19"/>
  <c r="C923" i="19"/>
  <c r="F923" i="19"/>
  <c r="J369" i="19"/>
  <c r="D676" i="19"/>
  <c r="H1068" i="19"/>
  <c r="G656" i="19"/>
  <c r="H573" i="19"/>
  <c r="F491" i="19"/>
  <c r="G923" i="19"/>
  <c r="H369" i="19"/>
  <c r="D224" i="19"/>
  <c r="J554" i="19"/>
  <c r="E141" i="19"/>
  <c r="F120" i="19"/>
  <c r="D246" i="19"/>
  <c r="C326" i="19"/>
  <c r="J204" i="19"/>
  <c r="H820" i="19"/>
  <c r="G120" i="19"/>
  <c r="I162" i="19"/>
  <c r="E98" i="19"/>
  <c r="C573" i="19"/>
  <c r="E735" i="19"/>
  <c r="C902" i="19"/>
  <c r="J857" i="19"/>
  <c r="H307" i="19"/>
  <c r="I98" i="19"/>
  <c r="C98" i="19"/>
  <c r="D695" i="19"/>
  <c r="F141" i="19"/>
  <c r="J676" i="19"/>
  <c r="F390" i="19"/>
  <c r="I966" i="19"/>
  <c r="I390" i="19"/>
  <c r="F1068" i="19"/>
  <c r="J966" i="19"/>
  <c r="C966" i="19"/>
  <c r="I266" i="19"/>
  <c r="F204" i="19"/>
  <c r="G554" i="19"/>
  <c r="D183" i="19"/>
  <c r="J307" i="19"/>
  <c r="I820" i="19"/>
  <c r="G141" i="19"/>
  <c r="J656" i="19"/>
  <c r="D554" i="19"/>
  <c r="I347" i="19"/>
  <c r="H985" i="19"/>
  <c r="H120" i="19"/>
  <c r="I288" i="19"/>
  <c r="F573" i="19"/>
  <c r="E80" i="19"/>
  <c r="I80" i="19"/>
  <c r="C80" i="19"/>
  <c r="J80" i="19"/>
  <c r="H80" i="19"/>
  <c r="D80" i="19"/>
  <c r="F80" i="19"/>
  <c r="G80" i="19"/>
  <c r="BE21" i="19"/>
  <c r="J23" i="19" l="1"/>
  <c r="K23" i="19"/>
  <c r="G23" i="19"/>
  <c r="I23" i="19"/>
  <c r="E23" i="19"/>
  <c r="C23" i="19"/>
  <c r="C24" i="19" s="1"/>
  <c r="H23" i="19"/>
  <c r="F23" i="19"/>
  <c r="F24" i="19" s="1"/>
  <c r="I163" i="19"/>
  <c r="G452" i="19"/>
  <c r="F634" i="19"/>
  <c r="I348" i="19"/>
  <c r="F205" i="19"/>
  <c r="F1069" i="19"/>
  <c r="J677" i="19"/>
  <c r="E736" i="19"/>
  <c r="D247" i="19"/>
  <c r="E434" i="19"/>
  <c r="G880" i="19"/>
  <c r="G800" i="19"/>
  <c r="H757" i="19"/>
  <c r="F574" i="19"/>
  <c r="I821" i="19"/>
  <c r="D555" i="19"/>
  <c r="D780" i="19"/>
  <c r="F492" i="19"/>
  <c r="D473" i="19"/>
  <c r="H512" i="19"/>
  <c r="I289" i="19"/>
  <c r="J308" i="19"/>
  <c r="I267" i="19"/>
  <c r="I391" i="19"/>
  <c r="H370" i="19"/>
  <c r="F924" i="19"/>
  <c r="E1048" i="19"/>
  <c r="D535" i="19"/>
  <c r="J839" i="19"/>
  <c r="H121" i="19"/>
  <c r="J657" i="19"/>
  <c r="D184" i="19"/>
  <c r="D696" i="19"/>
  <c r="J858" i="19"/>
  <c r="F716" i="19"/>
  <c r="G1008" i="19"/>
  <c r="I142" i="19"/>
  <c r="H986" i="19"/>
  <c r="G142" i="19"/>
  <c r="J967" i="19"/>
  <c r="J615" i="19"/>
  <c r="G225" i="19"/>
  <c r="H716" i="19"/>
  <c r="H593" i="19"/>
  <c r="J946" i="19"/>
  <c r="G413" i="19"/>
  <c r="G555" i="19"/>
  <c r="F391" i="19"/>
  <c r="H99" i="19"/>
  <c r="C99" i="19"/>
  <c r="C903" i="19"/>
  <c r="F903" i="19"/>
  <c r="C327" i="19"/>
  <c r="D327" i="19"/>
  <c r="J555" i="19"/>
  <c r="D677" i="19"/>
  <c r="J1028" i="19"/>
  <c r="C1028" i="19"/>
  <c r="D391" i="19"/>
  <c r="G903" i="19"/>
  <c r="F696" i="19"/>
  <c r="C492" i="19"/>
  <c r="E492" i="19"/>
  <c r="F615" i="19"/>
  <c r="D1069" i="19"/>
  <c r="I247" i="19"/>
  <c r="G492" i="19"/>
  <c r="H1008" i="19"/>
  <c r="C121" i="19"/>
  <c r="J434" i="19"/>
  <c r="F1048" i="19"/>
  <c r="I615" i="19"/>
  <c r="J99" i="19"/>
  <c r="E880" i="19"/>
  <c r="E163" i="19"/>
  <c r="F986" i="19"/>
  <c r="D821" i="19"/>
  <c r="I696" i="19"/>
  <c r="G696" i="19"/>
  <c r="D142" i="19"/>
  <c r="J780" i="19"/>
  <c r="H452" i="19"/>
  <c r="H1028" i="19"/>
  <c r="J512" i="19"/>
  <c r="G163" i="19"/>
  <c r="J986" i="19"/>
  <c r="D267" i="19"/>
  <c r="G391" i="19"/>
  <c r="H657" i="19"/>
  <c r="J267" i="19"/>
  <c r="E555" i="19"/>
  <c r="F99" i="19"/>
  <c r="C1048" i="19"/>
  <c r="G1048" i="19"/>
  <c r="J473" i="19"/>
  <c r="D348" i="19"/>
  <c r="H267" i="19"/>
  <c r="G1028" i="19"/>
  <c r="I535" i="19"/>
  <c r="D574" i="19"/>
  <c r="G839" i="19"/>
  <c r="E903" i="19"/>
  <c r="F821" i="19"/>
  <c r="E370" i="19"/>
  <c r="C370" i="19"/>
  <c r="C535" i="19"/>
  <c r="H413" i="19"/>
  <c r="J821" i="19"/>
  <c r="E967" i="19"/>
  <c r="H924" i="19"/>
  <c r="H780" i="19"/>
  <c r="I880" i="19"/>
  <c r="F757" i="19"/>
  <c r="E593" i="19"/>
  <c r="E757" i="19"/>
  <c r="D492" i="19"/>
  <c r="I677" i="19"/>
  <c r="C677" i="19"/>
  <c r="J184" i="19"/>
  <c r="I225" i="19"/>
  <c r="F593" i="19"/>
  <c r="H677" i="19"/>
  <c r="E657" i="19"/>
  <c r="H327" i="19"/>
  <c r="E924" i="19"/>
  <c r="I99" i="19"/>
  <c r="G121" i="19"/>
  <c r="D225" i="19"/>
  <c r="H574" i="19"/>
  <c r="J370" i="19"/>
  <c r="E535" i="19"/>
  <c r="E121" i="19"/>
  <c r="I1028" i="19"/>
  <c r="C946" i="19"/>
  <c r="H946" i="19"/>
  <c r="I780" i="19"/>
  <c r="E574" i="19"/>
  <c r="J716" i="19"/>
  <c r="E634" i="19"/>
  <c r="D800" i="19"/>
  <c r="C858" i="19"/>
  <c r="G858" i="19"/>
  <c r="J142" i="19"/>
  <c r="G184" i="19"/>
  <c r="E615" i="19"/>
  <c r="E780" i="19"/>
  <c r="G512" i="19"/>
  <c r="H967" i="19"/>
  <c r="E413" i="19"/>
  <c r="J225" i="19"/>
  <c r="C880" i="19"/>
  <c r="J880" i="19"/>
  <c r="D205" i="19"/>
  <c r="E696" i="19"/>
  <c r="F1028" i="19"/>
  <c r="H696" i="19"/>
  <c r="C696" i="19"/>
  <c r="G986" i="19"/>
  <c r="C142" i="19"/>
  <c r="G780" i="19"/>
  <c r="C780" i="19"/>
  <c r="D1008" i="19"/>
  <c r="C1008" i="19"/>
  <c r="D1028" i="19"/>
  <c r="I574" i="19"/>
  <c r="G348" i="19"/>
  <c r="F800" i="19"/>
  <c r="G370" i="19"/>
  <c r="E391" i="19"/>
  <c r="H858" i="19"/>
  <c r="J348" i="19"/>
  <c r="H289" i="19"/>
  <c r="G634" i="19"/>
  <c r="I1048" i="19"/>
  <c r="H903" i="19"/>
  <c r="C267" i="19"/>
  <c r="E267" i="19"/>
  <c r="H880" i="19"/>
  <c r="D413" i="19"/>
  <c r="F348" i="19"/>
  <c r="G99" i="19"/>
  <c r="J413" i="19"/>
  <c r="F967" i="19"/>
  <c r="I757" i="19"/>
  <c r="D986" i="19"/>
  <c r="C986" i="19"/>
  <c r="D757" i="19"/>
  <c r="G327" i="19"/>
  <c r="H247" i="19"/>
  <c r="D839" i="19"/>
  <c r="D1048" i="19"/>
  <c r="I1008" i="19"/>
  <c r="D593" i="19"/>
  <c r="I858" i="19"/>
  <c r="G677" i="19"/>
  <c r="F308" i="19"/>
  <c r="C308" i="19"/>
  <c r="I736" i="19"/>
  <c r="J757" i="19"/>
  <c r="D716" i="19"/>
  <c r="I593" i="19"/>
  <c r="C205" i="19"/>
  <c r="E205" i="19"/>
  <c r="D657" i="19"/>
  <c r="H473" i="19"/>
  <c r="G946" i="19"/>
  <c r="E327" i="19"/>
  <c r="F142" i="19"/>
  <c r="H308" i="19"/>
  <c r="G574" i="19"/>
  <c r="C574" i="19"/>
  <c r="H821" i="19"/>
  <c r="F121" i="19"/>
  <c r="G657" i="19"/>
  <c r="J696" i="19"/>
  <c r="D289" i="19"/>
  <c r="G716" i="19"/>
  <c r="F946" i="19"/>
  <c r="H492" i="19"/>
  <c r="J535" i="19"/>
  <c r="I946" i="19"/>
  <c r="D858" i="19"/>
  <c r="J903" i="19"/>
  <c r="F184" i="19"/>
  <c r="C184" i="19"/>
  <c r="E1069" i="19"/>
  <c r="I986" i="19"/>
  <c r="D924" i="19"/>
  <c r="I1069" i="19"/>
  <c r="H839" i="19"/>
  <c r="F736" i="19"/>
  <c r="D512" i="19"/>
  <c r="I434" i="19"/>
  <c r="F677" i="19"/>
  <c r="E348" i="19"/>
  <c r="F413" i="19"/>
  <c r="I716" i="19"/>
  <c r="F780" i="19"/>
  <c r="H205" i="19"/>
  <c r="E1008" i="19"/>
  <c r="J452" i="19"/>
  <c r="J800" i="19"/>
  <c r="I555" i="19"/>
  <c r="C800" i="19"/>
  <c r="E800" i="19"/>
  <c r="I308" i="19"/>
  <c r="C391" i="19"/>
  <c r="H391" i="19"/>
  <c r="C452" i="19"/>
  <c r="D452" i="19"/>
  <c r="F657" i="19"/>
  <c r="I903" i="19"/>
  <c r="C634" i="19"/>
  <c r="J634" i="19"/>
  <c r="H634" i="19"/>
  <c r="F327" i="19"/>
  <c r="H615" i="19"/>
  <c r="C615" i="19"/>
  <c r="G736" i="19"/>
  <c r="G289" i="19"/>
  <c r="E946" i="19"/>
  <c r="F535" i="19"/>
  <c r="G535" i="19"/>
  <c r="J327" i="19"/>
  <c r="H800" i="19"/>
  <c r="D903" i="19"/>
  <c r="H348" i="19"/>
  <c r="C348" i="19"/>
  <c r="I473" i="19"/>
  <c r="F434" i="19"/>
  <c r="H555" i="19"/>
  <c r="D880" i="19"/>
  <c r="J163" i="19"/>
  <c r="E677" i="19"/>
  <c r="I184" i="19"/>
  <c r="J289" i="19"/>
  <c r="J574" i="19"/>
  <c r="E473" i="19"/>
  <c r="D634" i="19"/>
  <c r="F267" i="19"/>
  <c r="F839" i="19"/>
  <c r="J1069" i="19"/>
  <c r="I205" i="19"/>
  <c r="C657" i="19"/>
  <c r="I657" i="19"/>
  <c r="G615" i="19"/>
  <c r="F452" i="19"/>
  <c r="C967" i="19"/>
  <c r="G967" i="19"/>
  <c r="I967" i="19"/>
  <c r="E99" i="19"/>
  <c r="J205" i="19"/>
  <c r="E142" i="19"/>
  <c r="G924" i="19"/>
  <c r="H1069" i="19"/>
  <c r="J924" i="19"/>
  <c r="C924" i="19"/>
  <c r="F247" i="19"/>
  <c r="E716" i="19"/>
  <c r="C716" i="19"/>
  <c r="G434" i="19"/>
  <c r="E1028" i="19"/>
  <c r="I327" i="19"/>
  <c r="E986" i="19"/>
  <c r="E308" i="19"/>
  <c r="J492" i="19"/>
  <c r="D121" i="19"/>
  <c r="H1048" i="19"/>
  <c r="C247" i="19"/>
  <c r="G247" i="19"/>
  <c r="G308" i="19"/>
  <c r="G267" i="19"/>
  <c r="J1008" i="19"/>
  <c r="F512" i="19"/>
  <c r="E858" i="19"/>
  <c r="I800" i="19"/>
  <c r="E184" i="19"/>
  <c r="I452" i="19"/>
  <c r="C839" i="19"/>
  <c r="I839" i="19"/>
  <c r="H184" i="19"/>
  <c r="E512" i="19"/>
  <c r="C512" i="19"/>
  <c r="C434" i="19"/>
  <c r="D434" i="19"/>
  <c r="F880" i="19"/>
  <c r="I121" i="19"/>
  <c r="I413" i="19"/>
  <c r="C413" i="19"/>
  <c r="J391" i="19"/>
  <c r="H142" i="19"/>
  <c r="G821" i="19"/>
  <c r="F370" i="19"/>
  <c r="H434" i="19"/>
  <c r="C163" i="19"/>
  <c r="F163" i="19"/>
  <c r="C555" i="19"/>
  <c r="F555" i="19"/>
  <c r="E289" i="19"/>
  <c r="F1008" i="19"/>
  <c r="J1048" i="19"/>
  <c r="F473" i="19"/>
  <c r="D99" i="19"/>
  <c r="G205" i="19"/>
  <c r="D308" i="19"/>
  <c r="C473" i="19"/>
  <c r="G473" i="19"/>
  <c r="F858" i="19"/>
  <c r="D615" i="19"/>
  <c r="J736" i="19"/>
  <c r="C736" i="19"/>
  <c r="F289" i="19"/>
  <c r="C289" i="19"/>
  <c r="D967" i="19"/>
  <c r="E452" i="19"/>
  <c r="D736" i="19"/>
  <c r="C821" i="19"/>
  <c r="E821" i="19"/>
  <c r="I370" i="19"/>
  <c r="H535" i="19"/>
  <c r="D946" i="19"/>
  <c r="I634" i="19"/>
  <c r="J593" i="19"/>
  <c r="D370" i="19"/>
  <c r="H225" i="19"/>
  <c r="E225" i="19"/>
  <c r="C757" i="19"/>
  <c r="G757" i="19"/>
  <c r="J247" i="19"/>
  <c r="E247" i="19"/>
  <c r="H736" i="19"/>
  <c r="G1069" i="19"/>
  <c r="C1069" i="19"/>
  <c r="I492" i="19"/>
  <c r="C225" i="19"/>
  <c r="F225" i="19"/>
  <c r="C593" i="19"/>
  <c r="G593" i="19"/>
  <c r="E839" i="19"/>
  <c r="H163" i="19"/>
  <c r="I924" i="19"/>
  <c r="D163" i="19"/>
  <c r="J121" i="19"/>
  <c r="I512" i="19"/>
  <c r="F81" i="19"/>
  <c r="D81" i="19"/>
  <c r="C81" i="19"/>
  <c r="I81" i="19"/>
  <c r="H81" i="19"/>
  <c r="J81" i="19"/>
  <c r="G81" i="19"/>
  <c r="E81" i="19"/>
  <c r="BE22" i="19"/>
  <c r="K24" i="19" l="1"/>
  <c r="J24" i="19"/>
  <c r="E24" i="19"/>
  <c r="I24" i="19"/>
  <c r="I25" i="19" s="1"/>
  <c r="D24" i="19"/>
  <c r="H24" i="19"/>
  <c r="G24" i="19"/>
  <c r="E248" i="19"/>
  <c r="I493" i="19"/>
  <c r="G594" i="19"/>
  <c r="I635" i="19"/>
  <c r="F556" i="19"/>
  <c r="E226" i="19"/>
  <c r="J392" i="19"/>
  <c r="E1029" i="19"/>
  <c r="D904" i="19"/>
  <c r="F781" i="19"/>
  <c r="D164" i="19"/>
  <c r="D968" i="19"/>
  <c r="F881" i="19"/>
  <c r="E678" i="19"/>
  <c r="H185" i="19"/>
  <c r="I925" i="19"/>
  <c r="D616" i="19"/>
  <c r="D309" i="19"/>
  <c r="J1049" i="19"/>
  <c r="J575" i="19"/>
  <c r="I513" i="19"/>
  <c r="G1070" i="19"/>
  <c r="H536" i="19"/>
  <c r="F290" i="19"/>
  <c r="F859" i="19"/>
  <c r="G206" i="19"/>
  <c r="F1009" i="19"/>
  <c r="I414" i="19"/>
  <c r="I801" i="19"/>
  <c r="G268" i="19"/>
  <c r="E987" i="19"/>
  <c r="F717" i="19"/>
  <c r="D947" i="19"/>
  <c r="J122" i="19"/>
  <c r="E840" i="19"/>
  <c r="H737" i="19"/>
  <c r="I371" i="19"/>
  <c r="E453" i="19"/>
  <c r="D100" i="19"/>
  <c r="H143" i="19"/>
  <c r="I328" i="19"/>
  <c r="E717" i="19"/>
  <c r="H349" i="19"/>
  <c r="J697" i="19"/>
  <c r="F575" i="19"/>
  <c r="H594" i="19"/>
  <c r="C594" i="19"/>
  <c r="C1070" i="19"/>
  <c r="F1070" i="19"/>
  <c r="J248" i="19"/>
  <c r="H226" i="19"/>
  <c r="C290" i="19"/>
  <c r="I290" i="19"/>
  <c r="C556" i="19"/>
  <c r="F371" i="19"/>
  <c r="C414" i="19"/>
  <c r="G414" i="19"/>
  <c r="E185" i="19"/>
  <c r="J1009" i="19"/>
  <c r="C248" i="19"/>
  <c r="D248" i="19"/>
  <c r="E309" i="19"/>
  <c r="C925" i="19"/>
  <c r="F925" i="19"/>
  <c r="E143" i="19"/>
  <c r="G968" i="19"/>
  <c r="I658" i="19"/>
  <c r="F840" i="19"/>
  <c r="J164" i="19"/>
  <c r="I474" i="19"/>
  <c r="H801" i="19"/>
  <c r="E947" i="19"/>
  <c r="H616" i="19"/>
  <c r="F635" i="19"/>
  <c r="C635" i="19"/>
  <c r="G453" i="19"/>
  <c r="C453" i="19"/>
  <c r="E801" i="19"/>
  <c r="J453" i="19"/>
  <c r="I717" i="19"/>
  <c r="I1070" i="19"/>
  <c r="D185" i="19"/>
  <c r="C185" i="19"/>
  <c r="I947" i="19"/>
  <c r="G717" i="19"/>
  <c r="F122" i="19"/>
  <c r="H309" i="19"/>
  <c r="G947" i="19"/>
  <c r="C206" i="19"/>
  <c r="F206" i="19"/>
  <c r="I737" i="19"/>
  <c r="I859" i="19"/>
  <c r="D840" i="19"/>
  <c r="C987" i="19"/>
  <c r="H987" i="19"/>
  <c r="J414" i="19"/>
  <c r="H881" i="19"/>
  <c r="I1049" i="19"/>
  <c r="H859" i="19"/>
  <c r="G349" i="19"/>
  <c r="D1009" i="19"/>
  <c r="G987" i="19"/>
  <c r="E697" i="19"/>
  <c r="J226" i="19"/>
  <c r="E781" i="19"/>
  <c r="G859" i="19"/>
  <c r="J717" i="19"/>
  <c r="C947" i="19"/>
  <c r="J947" i="19"/>
  <c r="J371" i="19"/>
  <c r="I100" i="19"/>
  <c r="H678" i="19"/>
  <c r="C678" i="19"/>
  <c r="J678" i="19"/>
  <c r="E594" i="19"/>
  <c r="H925" i="19"/>
  <c r="C536" i="19"/>
  <c r="D536" i="19"/>
  <c r="E904" i="19"/>
  <c r="G1029" i="19"/>
  <c r="G1049" i="19"/>
  <c r="J268" i="19"/>
  <c r="J987" i="19"/>
  <c r="H453" i="19"/>
  <c r="I697" i="19"/>
  <c r="E881" i="19"/>
  <c r="I248" i="19"/>
  <c r="F493" i="19"/>
  <c r="C493" i="19"/>
  <c r="C1029" i="19"/>
  <c r="D328" i="19"/>
  <c r="C100" i="19"/>
  <c r="H164" i="19"/>
  <c r="F226" i="19"/>
  <c r="G758" i="19"/>
  <c r="D371" i="19"/>
  <c r="D737" i="19"/>
  <c r="F164" i="19"/>
  <c r="I840" i="19"/>
  <c r="H1049" i="19"/>
  <c r="H717" i="19"/>
  <c r="C717" i="19"/>
  <c r="J925" i="19"/>
  <c r="J206" i="19"/>
  <c r="C968" i="19"/>
  <c r="J968" i="19"/>
  <c r="J658" i="19"/>
  <c r="C658" i="19"/>
  <c r="F268" i="19"/>
  <c r="J290" i="19"/>
  <c r="D881" i="19"/>
  <c r="C349" i="19"/>
  <c r="I349" i="19"/>
  <c r="J328" i="19"/>
  <c r="G290" i="19"/>
  <c r="F328" i="19"/>
  <c r="I904" i="19"/>
  <c r="H392" i="19"/>
  <c r="C801" i="19"/>
  <c r="G801" i="19"/>
  <c r="E1009" i="19"/>
  <c r="F414" i="19"/>
  <c r="D513" i="19"/>
  <c r="D925" i="19"/>
  <c r="F185" i="19"/>
  <c r="J536" i="19"/>
  <c r="D290" i="19"/>
  <c r="F143" i="19"/>
  <c r="H474" i="19"/>
  <c r="I594" i="19"/>
  <c r="J309" i="19"/>
  <c r="C309" i="19"/>
  <c r="D594" i="19"/>
  <c r="H248" i="19"/>
  <c r="D987" i="19"/>
  <c r="G100" i="19"/>
  <c r="E268" i="19"/>
  <c r="G635" i="19"/>
  <c r="E392" i="19"/>
  <c r="I575" i="19"/>
  <c r="D781" i="19"/>
  <c r="C781" i="19"/>
  <c r="D697" i="19"/>
  <c r="C697" i="19"/>
  <c r="D206" i="19"/>
  <c r="E414" i="19"/>
  <c r="E616" i="19"/>
  <c r="C859" i="19"/>
  <c r="J859" i="19"/>
  <c r="E575" i="19"/>
  <c r="I1029" i="19"/>
  <c r="H575" i="19"/>
  <c r="E925" i="19"/>
  <c r="F594" i="19"/>
  <c r="I678" i="19"/>
  <c r="F758" i="19"/>
  <c r="E968" i="19"/>
  <c r="H371" i="19"/>
  <c r="C371" i="19"/>
  <c r="G840" i="19"/>
  <c r="H268" i="19"/>
  <c r="C1049" i="19"/>
  <c r="E1049" i="19"/>
  <c r="H658" i="19"/>
  <c r="G164" i="19"/>
  <c r="J781" i="19"/>
  <c r="J100" i="19"/>
  <c r="C122" i="19"/>
  <c r="H122" i="19"/>
  <c r="D1070" i="19"/>
  <c r="F697" i="19"/>
  <c r="J1029" i="19"/>
  <c r="C328" i="19"/>
  <c r="H100" i="19"/>
  <c r="G226" i="19"/>
  <c r="C226" i="19"/>
  <c r="C758" i="19"/>
  <c r="H758" i="19"/>
  <c r="J594" i="19"/>
  <c r="C737" i="19"/>
  <c r="E737" i="19"/>
  <c r="G474" i="19"/>
  <c r="E290" i="19"/>
  <c r="I164" i="19"/>
  <c r="C164" i="19"/>
  <c r="I122" i="19"/>
  <c r="C513" i="19"/>
  <c r="H513" i="19"/>
  <c r="C840" i="19"/>
  <c r="J840" i="19"/>
  <c r="E859" i="19"/>
  <c r="G309" i="19"/>
  <c r="D122" i="19"/>
  <c r="H1070" i="19"/>
  <c r="E100" i="19"/>
  <c r="F453" i="19"/>
  <c r="I206" i="19"/>
  <c r="D635" i="19"/>
  <c r="I185" i="19"/>
  <c r="H556" i="19"/>
  <c r="G536" i="19"/>
  <c r="G737" i="19"/>
  <c r="H635" i="19"/>
  <c r="F658" i="19"/>
  <c r="C392" i="19"/>
  <c r="I392" i="19"/>
  <c r="I556" i="19"/>
  <c r="H206" i="19"/>
  <c r="E349" i="19"/>
  <c r="F737" i="19"/>
  <c r="I987" i="19"/>
  <c r="J904" i="19"/>
  <c r="H493" i="19"/>
  <c r="C575" i="19"/>
  <c r="I268" i="19"/>
  <c r="D658" i="19"/>
  <c r="D717" i="19"/>
  <c r="F309" i="19"/>
  <c r="I1009" i="19"/>
  <c r="G328" i="19"/>
  <c r="I758" i="19"/>
  <c r="F349" i="19"/>
  <c r="C268" i="19"/>
  <c r="H290" i="19"/>
  <c r="G371" i="19"/>
  <c r="D1029" i="19"/>
  <c r="G781" i="19"/>
  <c r="H697" i="19"/>
  <c r="J881" i="19"/>
  <c r="H968" i="19"/>
  <c r="G185" i="19"/>
  <c r="D801" i="19"/>
  <c r="I781" i="19"/>
  <c r="E122" i="19"/>
  <c r="D226" i="19"/>
  <c r="H328" i="19"/>
  <c r="I226" i="19"/>
  <c r="D493" i="19"/>
  <c r="I881" i="19"/>
  <c r="E371" i="19"/>
  <c r="D575" i="19"/>
  <c r="D349" i="19"/>
  <c r="F100" i="19"/>
  <c r="G392" i="19"/>
  <c r="J513" i="19"/>
  <c r="D143" i="19"/>
  <c r="F987" i="19"/>
  <c r="F988" i="19" s="1"/>
  <c r="I616" i="19"/>
  <c r="H1009" i="19"/>
  <c r="F616" i="19"/>
  <c r="G904" i="19"/>
  <c r="D678" i="19"/>
  <c r="F904" i="19"/>
  <c r="F392" i="19"/>
  <c r="D556" i="19"/>
  <c r="J737" i="19"/>
  <c r="D474" i="19"/>
  <c r="C474" i="19"/>
  <c r="F474" i="19"/>
  <c r="E513" i="19"/>
  <c r="I453" i="19"/>
  <c r="F513" i="19"/>
  <c r="G248" i="19"/>
  <c r="J493" i="19"/>
  <c r="F248" i="19"/>
  <c r="G925" i="19"/>
  <c r="I968" i="19"/>
  <c r="G616" i="19"/>
  <c r="J1070" i="19"/>
  <c r="E474" i="19"/>
  <c r="F536" i="19"/>
  <c r="J616" i="19"/>
  <c r="C616" i="19"/>
  <c r="J635" i="19"/>
  <c r="D453" i="19"/>
  <c r="I309" i="19"/>
  <c r="J801" i="19"/>
  <c r="F678" i="19"/>
  <c r="H840" i="19"/>
  <c r="E1070" i="19"/>
  <c r="D859" i="19"/>
  <c r="F947" i="19"/>
  <c r="G658" i="19"/>
  <c r="G575" i="19"/>
  <c r="E328" i="19"/>
  <c r="E206" i="19"/>
  <c r="J758" i="19"/>
  <c r="G678" i="19"/>
  <c r="D1049" i="19"/>
  <c r="D758" i="19"/>
  <c r="F968" i="19"/>
  <c r="D414" i="19"/>
  <c r="H904" i="19"/>
  <c r="J349" i="19"/>
  <c r="F801" i="19"/>
  <c r="G1009" i="19"/>
  <c r="C1009" i="19"/>
  <c r="G143" i="19"/>
  <c r="C143" i="19"/>
  <c r="F1029" i="19"/>
  <c r="C881" i="19"/>
  <c r="G881" i="19"/>
  <c r="G513" i="19"/>
  <c r="J143" i="19"/>
  <c r="E635" i="19"/>
  <c r="H947" i="19"/>
  <c r="E536" i="19"/>
  <c r="G122" i="19"/>
  <c r="E658" i="19"/>
  <c r="J185" i="19"/>
  <c r="E758" i="19"/>
  <c r="H781" i="19"/>
  <c r="H414" i="19"/>
  <c r="I536" i="19"/>
  <c r="J474" i="19"/>
  <c r="E556" i="19"/>
  <c r="D268" i="19"/>
  <c r="H1029" i="19"/>
  <c r="G697" i="19"/>
  <c r="E164" i="19"/>
  <c r="F1049" i="19"/>
  <c r="G493" i="19"/>
  <c r="E493" i="19"/>
  <c r="D392" i="19"/>
  <c r="J556" i="19"/>
  <c r="C904" i="19"/>
  <c r="G556" i="19"/>
  <c r="I143" i="19"/>
  <c r="BE23" i="19"/>
  <c r="J25" i="19" l="1"/>
  <c r="F25" i="19"/>
  <c r="K25" i="19"/>
  <c r="D25" i="19"/>
  <c r="K26" i="19" s="1"/>
  <c r="G25" i="19"/>
  <c r="C25" i="19"/>
  <c r="E25" i="19"/>
  <c r="H25" i="19"/>
  <c r="F101" i="19"/>
  <c r="E165" i="19"/>
  <c r="E494" i="19"/>
  <c r="E537" i="19"/>
  <c r="G514" i="19"/>
  <c r="F802" i="19"/>
  <c r="G659" i="19"/>
  <c r="D454" i="19"/>
  <c r="G249" i="19"/>
  <c r="D227" i="19"/>
  <c r="J595" i="19"/>
  <c r="G123" i="19"/>
  <c r="G698" i="19"/>
  <c r="E759" i="19"/>
  <c r="H948" i="19"/>
  <c r="E207" i="19"/>
  <c r="G926" i="19"/>
  <c r="J350" i="19"/>
  <c r="F1050" i="19"/>
  <c r="D269" i="19"/>
  <c r="E636" i="19"/>
  <c r="E329" i="19"/>
  <c r="D860" i="19"/>
  <c r="D718" i="19"/>
  <c r="J186" i="19"/>
  <c r="I144" i="19"/>
  <c r="D393" i="19"/>
  <c r="H782" i="19"/>
  <c r="F1030" i="19"/>
  <c r="G1010" i="19"/>
  <c r="D415" i="19"/>
  <c r="J738" i="19"/>
  <c r="E372" i="19"/>
  <c r="J144" i="19"/>
  <c r="J494" i="19"/>
  <c r="E514" i="19"/>
  <c r="G393" i="19"/>
  <c r="H329" i="19"/>
  <c r="D802" i="19"/>
  <c r="H698" i="19"/>
  <c r="G329" i="19"/>
  <c r="D659" i="19"/>
  <c r="J905" i="19"/>
  <c r="H207" i="19"/>
  <c r="F659" i="19"/>
  <c r="F454" i="19"/>
  <c r="H514" i="19"/>
  <c r="I165" i="19"/>
  <c r="C738" i="19"/>
  <c r="H738" i="19"/>
  <c r="C227" i="19"/>
  <c r="E227" i="19"/>
  <c r="J1030" i="19"/>
  <c r="C123" i="19"/>
  <c r="J123" i="19"/>
  <c r="H659" i="19"/>
  <c r="F759" i="19"/>
  <c r="C860" i="19"/>
  <c r="F860" i="19"/>
  <c r="J698" i="19"/>
  <c r="C698" i="19"/>
  <c r="G101" i="19"/>
  <c r="F144" i="19"/>
  <c r="D926" i="19"/>
  <c r="G802" i="19"/>
  <c r="F329" i="19"/>
  <c r="C350" i="19"/>
  <c r="H350" i="19"/>
  <c r="C659" i="19"/>
  <c r="J207" i="19"/>
  <c r="H1050" i="19"/>
  <c r="D372" i="19"/>
  <c r="D101" i="19"/>
  <c r="C101" i="19"/>
  <c r="F494" i="19"/>
  <c r="H454" i="19"/>
  <c r="G1030" i="19"/>
  <c r="H926" i="19"/>
  <c r="C948" i="19"/>
  <c r="D948" i="19"/>
  <c r="J227" i="19"/>
  <c r="G350" i="19"/>
  <c r="J415" i="19"/>
  <c r="I860" i="19"/>
  <c r="G948" i="19"/>
  <c r="I948" i="19"/>
  <c r="I718" i="19"/>
  <c r="G454" i="19"/>
  <c r="E948" i="19"/>
  <c r="F926" i="19"/>
  <c r="E249" i="19"/>
  <c r="C249" i="19"/>
  <c r="C415" i="19"/>
  <c r="I415" i="19"/>
  <c r="C144" i="19"/>
  <c r="H144" i="19"/>
  <c r="J759" i="19"/>
  <c r="F537" i="19"/>
  <c r="G905" i="19"/>
  <c r="I882" i="19"/>
  <c r="G186" i="19"/>
  <c r="G782" i="19"/>
  <c r="C269" i="19"/>
  <c r="G269" i="19"/>
  <c r="I1010" i="19"/>
  <c r="I269" i="19"/>
  <c r="I988" i="19"/>
  <c r="H636" i="19"/>
  <c r="I186" i="19"/>
  <c r="E101" i="19"/>
  <c r="E860" i="19"/>
  <c r="I514" i="19"/>
  <c r="C514" i="19"/>
  <c r="G227" i="19"/>
  <c r="F698" i="19"/>
  <c r="J101" i="19"/>
  <c r="E1050" i="19"/>
  <c r="I372" i="19"/>
  <c r="C372" i="19"/>
  <c r="I1030" i="19"/>
  <c r="D698" i="19"/>
  <c r="E393" i="19"/>
  <c r="D988" i="19"/>
  <c r="D514" i="19"/>
  <c r="C802" i="19"/>
  <c r="I802" i="19"/>
  <c r="D882" i="19"/>
  <c r="J659" i="19"/>
  <c r="J926" i="19"/>
  <c r="G759" i="19"/>
  <c r="D329" i="19"/>
  <c r="I249" i="19"/>
  <c r="J988" i="19"/>
  <c r="E905" i="19"/>
  <c r="E595" i="19"/>
  <c r="I101" i="19"/>
  <c r="J718" i="19"/>
  <c r="E698" i="19"/>
  <c r="H860" i="19"/>
  <c r="H988" i="19"/>
  <c r="I738" i="19"/>
  <c r="C186" i="19"/>
  <c r="H186" i="19"/>
  <c r="J454" i="19"/>
  <c r="I636" i="19"/>
  <c r="C636" i="19"/>
  <c r="H802" i="19"/>
  <c r="I659" i="19"/>
  <c r="C926" i="19"/>
  <c r="I926" i="19"/>
  <c r="J1010" i="19"/>
  <c r="F372" i="19"/>
  <c r="H227" i="19"/>
  <c r="C595" i="19"/>
  <c r="G595" i="19"/>
  <c r="C905" i="19"/>
  <c r="D905" i="19"/>
  <c r="G494" i="19"/>
  <c r="H1030" i="19"/>
  <c r="I537" i="19"/>
  <c r="G882" i="19"/>
  <c r="G144" i="19"/>
  <c r="D759" i="19"/>
  <c r="F948" i="19"/>
  <c r="J636" i="19"/>
  <c r="F514" i="19"/>
  <c r="F393" i="19"/>
  <c r="D144" i="19"/>
  <c r="D350" i="19"/>
  <c r="D494" i="19"/>
  <c r="E123" i="19"/>
  <c r="D1030" i="19"/>
  <c r="F350" i="19"/>
  <c r="F738" i="19"/>
  <c r="I393" i="19"/>
  <c r="G738" i="19"/>
  <c r="D636" i="19"/>
  <c r="I123" i="19"/>
  <c r="H759" i="19"/>
  <c r="H101" i="19"/>
  <c r="J782" i="19"/>
  <c r="C1050" i="19"/>
  <c r="J1050" i="19"/>
  <c r="H372" i="19"/>
  <c r="F595" i="19"/>
  <c r="E415" i="19"/>
  <c r="F782" i="19"/>
  <c r="C782" i="19"/>
  <c r="G636" i="19"/>
  <c r="H249" i="19"/>
  <c r="I595" i="19"/>
  <c r="J537" i="19"/>
  <c r="F415" i="19"/>
  <c r="H393" i="19"/>
  <c r="J329" i="19"/>
  <c r="E718" i="19"/>
  <c r="C718" i="19"/>
  <c r="F165" i="19"/>
  <c r="F227" i="19"/>
  <c r="E1030" i="19"/>
  <c r="C1030" i="19"/>
  <c r="E882" i="19"/>
  <c r="J269" i="19"/>
  <c r="D537" i="19"/>
  <c r="J372" i="19"/>
  <c r="G860" i="19"/>
  <c r="G988" i="19"/>
  <c r="I1050" i="19"/>
  <c r="C988" i="19"/>
  <c r="E988" i="19"/>
  <c r="F207" i="19"/>
  <c r="F123" i="19"/>
  <c r="D186" i="19"/>
  <c r="E802" i="19"/>
  <c r="F636" i="19"/>
  <c r="E186" i="19"/>
  <c r="J249" i="19"/>
  <c r="H595" i="19"/>
  <c r="H415" i="19"/>
  <c r="E659" i="19"/>
  <c r="F882" i="19"/>
  <c r="C882" i="19"/>
  <c r="C1010" i="19"/>
  <c r="F1010" i="19"/>
  <c r="H905" i="19"/>
  <c r="D1050" i="19"/>
  <c r="J802" i="19"/>
  <c r="F249" i="19"/>
  <c r="I454" i="19"/>
  <c r="F905" i="19"/>
  <c r="H1010" i="19"/>
  <c r="J514" i="19"/>
  <c r="I227" i="19"/>
  <c r="I782" i="19"/>
  <c r="J882" i="19"/>
  <c r="G372" i="19"/>
  <c r="I759" i="19"/>
  <c r="H494" i="19"/>
  <c r="E350" i="19"/>
  <c r="J393" i="19"/>
  <c r="C393" i="19"/>
  <c r="G537" i="19"/>
  <c r="I207" i="19"/>
  <c r="D123" i="19"/>
  <c r="D165" i="19"/>
  <c r="C165" i="19"/>
  <c r="E738" i="19"/>
  <c r="C759" i="19"/>
  <c r="C329" i="19"/>
  <c r="I329" i="19"/>
  <c r="H123" i="19"/>
  <c r="G165" i="19"/>
  <c r="H269" i="19"/>
  <c r="E926" i="19"/>
  <c r="J860" i="19"/>
  <c r="D207" i="19"/>
  <c r="D782" i="19"/>
  <c r="E269" i="19"/>
  <c r="D595" i="19"/>
  <c r="F186" i="19"/>
  <c r="E1010" i="19"/>
  <c r="I905" i="19"/>
  <c r="I350" i="19"/>
  <c r="F269" i="19"/>
  <c r="H718" i="19"/>
  <c r="D738" i="19"/>
  <c r="H165" i="19"/>
  <c r="C494" i="19"/>
  <c r="I494" i="19"/>
  <c r="I698" i="19"/>
  <c r="G1050" i="19"/>
  <c r="C537" i="19"/>
  <c r="H537" i="19"/>
  <c r="J948" i="19"/>
  <c r="E782" i="19"/>
  <c r="D1010" i="19"/>
  <c r="H882" i="19"/>
  <c r="C207" i="19"/>
  <c r="G207" i="19"/>
  <c r="G718" i="19"/>
  <c r="E454" i="19"/>
  <c r="C454" i="19"/>
  <c r="J165" i="19"/>
  <c r="E144" i="19"/>
  <c r="D249" i="19"/>
  <c r="G415" i="19"/>
  <c r="F718" i="19"/>
  <c r="BE24" i="19"/>
  <c r="I26" i="19" l="1"/>
  <c r="J26" i="19"/>
  <c r="G26" i="19"/>
  <c r="F26" i="19"/>
  <c r="H26" i="19"/>
  <c r="D26" i="19"/>
  <c r="C26" i="19"/>
  <c r="E26" i="19"/>
  <c r="J27" i="19" s="1"/>
  <c r="E145" i="19"/>
  <c r="H883" i="19"/>
  <c r="I228" i="19"/>
  <c r="F187" i="19"/>
  <c r="G373" i="19"/>
  <c r="J515" i="19"/>
  <c r="H102" i="19"/>
  <c r="J803" i="19"/>
  <c r="G416" i="19"/>
  <c r="J166" i="19"/>
  <c r="G1051" i="19"/>
  <c r="I351" i="19"/>
  <c r="D596" i="19"/>
  <c r="J861" i="19"/>
  <c r="H124" i="19"/>
  <c r="F637" i="19"/>
  <c r="J949" i="19"/>
  <c r="D739" i="19"/>
  <c r="I906" i="19"/>
  <c r="E270" i="19"/>
  <c r="E927" i="19"/>
  <c r="E989" i="19"/>
  <c r="C394" i="19"/>
  <c r="F270" i="19"/>
  <c r="G166" i="19"/>
  <c r="C760" i="19"/>
  <c r="E760" i="19"/>
  <c r="D124" i="19"/>
  <c r="J394" i="19"/>
  <c r="E187" i="19"/>
  <c r="F124" i="19"/>
  <c r="I1051" i="19"/>
  <c r="H373" i="19"/>
  <c r="G739" i="19"/>
  <c r="D145" i="19"/>
  <c r="F949" i="19"/>
  <c r="C906" i="19"/>
  <c r="F373" i="19"/>
  <c r="J455" i="19"/>
  <c r="H989" i="19"/>
  <c r="I102" i="19"/>
  <c r="D515" i="19"/>
  <c r="J102" i="19"/>
  <c r="I515" i="19"/>
  <c r="H637" i="19"/>
  <c r="G270" i="19"/>
  <c r="I883" i="19"/>
  <c r="H145" i="19"/>
  <c r="G455" i="19"/>
  <c r="I861" i="19"/>
  <c r="D949" i="19"/>
  <c r="H455" i="19"/>
  <c r="D373" i="19"/>
  <c r="H351" i="19"/>
  <c r="D927" i="19"/>
  <c r="E228" i="19"/>
  <c r="I166" i="19"/>
  <c r="E515" i="19"/>
  <c r="H166" i="19"/>
  <c r="E739" i="19"/>
  <c r="E351" i="19"/>
  <c r="J883" i="19"/>
  <c r="H416" i="19"/>
  <c r="G989" i="19"/>
  <c r="J270" i="19"/>
  <c r="F228" i="19"/>
  <c r="J330" i="19"/>
  <c r="I596" i="19"/>
  <c r="J1051" i="19"/>
  <c r="H760" i="19"/>
  <c r="I394" i="19"/>
  <c r="E124" i="19"/>
  <c r="F394" i="19"/>
  <c r="D760" i="19"/>
  <c r="G596" i="19"/>
  <c r="H803" i="19"/>
  <c r="H187" i="19"/>
  <c r="H861" i="19"/>
  <c r="E596" i="19"/>
  <c r="D330" i="19"/>
  <c r="D883" i="19"/>
  <c r="D989" i="19"/>
  <c r="E373" i="19"/>
  <c r="C373" i="19"/>
  <c r="E861" i="19"/>
  <c r="I989" i="19"/>
  <c r="D270" i="19"/>
  <c r="C270" i="19"/>
  <c r="G906" i="19"/>
  <c r="C145" i="19"/>
  <c r="I145" i="19"/>
  <c r="J416" i="19"/>
  <c r="H949" i="19"/>
  <c r="C949" i="19"/>
  <c r="H1051" i="19"/>
  <c r="J351" i="19"/>
  <c r="C351" i="19"/>
  <c r="F145" i="19"/>
  <c r="F861" i="19"/>
  <c r="J124" i="19"/>
  <c r="D228" i="19"/>
  <c r="C228" i="19"/>
  <c r="H515" i="19"/>
  <c r="J906" i="19"/>
  <c r="D803" i="19"/>
  <c r="C455" i="19"/>
  <c r="D455" i="19"/>
  <c r="I330" i="19"/>
  <c r="E166" i="19"/>
  <c r="C166" i="19"/>
  <c r="F906" i="19"/>
  <c r="D1051" i="19"/>
  <c r="C883" i="19"/>
  <c r="H596" i="19"/>
  <c r="E803" i="19"/>
  <c r="G861" i="19"/>
  <c r="E883" i="19"/>
  <c r="F166" i="19"/>
  <c r="H394" i="19"/>
  <c r="E416" i="19"/>
  <c r="F1051" i="19"/>
  <c r="C1051" i="19"/>
  <c r="I124" i="19"/>
  <c r="F739" i="19"/>
  <c r="F515" i="19"/>
  <c r="G145" i="19"/>
  <c r="C596" i="19"/>
  <c r="J596" i="19"/>
  <c r="I927" i="19"/>
  <c r="E637" i="19"/>
  <c r="C637" i="19"/>
  <c r="J187" i="19"/>
  <c r="C187" i="19"/>
  <c r="E906" i="19"/>
  <c r="G760" i="19"/>
  <c r="I803" i="19"/>
  <c r="E394" i="19"/>
  <c r="I373" i="19"/>
  <c r="G228" i="19"/>
  <c r="E102" i="19"/>
  <c r="I270" i="19"/>
  <c r="I416" i="19"/>
  <c r="F927" i="19"/>
  <c r="I949" i="19"/>
  <c r="G351" i="19"/>
  <c r="H927" i="19"/>
  <c r="F102" i="19"/>
  <c r="C102" i="19"/>
  <c r="F330" i="19"/>
  <c r="G102" i="19"/>
  <c r="D861" i="19"/>
  <c r="C861" i="19"/>
  <c r="C124" i="19"/>
  <c r="G124" i="19"/>
  <c r="H739" i="19"/>
  <c r="F455" i="19"/>
  <c r="H330" i="19"/>
  <c r="J145" i="19"/>
  <c r="E455" i="19"/>
  <c r="H270" i="19"/>
  <c r="C330" i="19"/>
  <c r="E330" i="19"/>
  <c r="D166" i="19"/>
  <c r="I760" i="19"/>
  <c r="I455" i="19"/>
  <c r="H906" i="19"/>
  <c r="F883" i="19"/>
  <c r="D187" i="19"/>
  <c r="F989" i="19"/>
  <c r="C989" i="19"/>
  <c r="J373" i="19"/>
  <c r="F416" i="19"/>
  <c r="G637" i="19"/>
  <c r="F596" i="19"/>
  <c r="D637" i="19"/>
  <c r="F351" i="19"/>
  <c r="D351" i="19"/>
  <c r="J637" i="19"/>
  <c r="G883" i="19"/>
  <c r="D906" i="19"/>
  <c r="H228" i="19"/>
  <c r="C927" i="19"/>
  <c r="G927" i="19"/>
  <c r="I637" i="19"/>
  <c r="I739" i="19"/>
  <c r="J989" i="19"/>
  <c r="J927" i="19"/>
  <c r="C803" i="19"/>
  <c r="F803" i="19"/>
  <c r="E1051" i="19"/>
  <c r="G515" i="19"/>
  <c r="C515" i="19"/>
  <c r="I187" i="19"/>
  <c r="G187" i="19"/>
  <c r="J760" i="19"/>
  <c r="D416" i="19"/>
  <c r="C416" i="19"/>
  <c r="E949" i="19"/>
  <c r="G949" i="19"/>
  <c r="J228" i="19"/>
  <c r="D102" i="19"/>
  <c r="G803" i="19"/>
  <c r="F760" i="19"/>
  <c r="J739" i="19"/>
  <c r="C739" i="19"/>
  <c r="G330" i="19"/>
  <c r="G394" i="19"/>
  <c r="D394" i="19"/>
  <c r="BE25" i="19"/>
  <c r="G27" i="19" l="1"/>
  <c r="H27" i="19"/>
  <c r="I27" i="19"/>
  <c r="I28" i="19" s="1"/>
  <c r="K27" i="19"/>
  <c r="E27" i="19"/>
  <c r="F27" i="19"/>
  <c r="D27" i="19"/>
  <c r="C27" i="19"/>
  <c r="G28" i="19" s="1"/>
  <c r="D352" i="19"/>
  <c r="F761" i="19"/>
  <c r="D103" i="19"/>
  <c r="J229" i="19"/>
  <c r="H271" i="19"/>
  <c r="G516" i="19"/>
  <c r="J928" i="19"/>
  <c r="G884" i="19"/>
  <c r="D862" i="19"/>
  <c r="G395" i="19"/>
  <c r="J990" i="19"/>
  <c r="J638" i="19"/>
  <c r="F597" i="19"/>
  <c r="J761" i="19"/>
  <c r="G928" i="19"/>
  <c r="D638" i="19"/>
  <c r="F884" i="19"/>
  <c r="F103" i="19"/>
  <c r="F928" i="19"/>
  <c r="G229" i="19"/>
  <c r="G761" i="19"/>
  <c r="F638" i="19"/>
  <c r="C638" i="19"/>
  <c r="C597" i="19"/>
  <c r="D597" i="19"/>
  <c r="H395" i="19"/>
  <c r="H516" i="19"/>
  <c r="F862" i="19"/>
  <c r="D271" i="19"/>
  <c r="E597" i="19"/>
  <c r="G597" i="19"/>
  <c r="I395" i="19"/>
  <c r="D928" i="19"/>
  <c r="I884" i="19"/>
  <c r="J103" i="19"/>
  <c r="E761" i="19"/>
  <c r="C928" i="19"/>
  <c r="E928" i="19"/>
  <c r="C990" i="19"/>
  <c r="E990" i="19"/>
  <c r="G103" i="19"/>
  <c r="H928" i="19"/>
  <c r="E638" i="19"/>
  <c r="H597" i="19"/>
  <c r="I229" i="19"/>
  <c r="C229" i="19"/>
  <c r="I990" i="19"/>
  <c r="D990" i="19"/>
  <c r="H862" i="19"/>
  <c r="D761" i="19"/>
  <c r="H761" i="19"/>
  <c r="F229" i="19"/>
  <c r="J884" i="19"/>
  <c r="E516" i="19"/>
  <c r="H352" i="19"/>
  <c r="I862" i="19"/>
  <c r="G271" i="19"/>
  <c r="D516" i="19"/>
  <c r="C761" i="19"/>
  <c r="H229" i="19"/>
  <c r="G638" i="19"/>
  <c r="F990" i="19"/>
  <c r="G352" i="19"/>
  <c r="I271" i="19"/>
  <c r="E395" i="19"/>
  <c r="I928" i="19"/>
  <c r="F516" i="19"/>
  <c r="E884" i="19"/>
  <c r="C884" i="19"/>
  <c r="H884" i="19"/>
  <c r="D229" i="19"/>
  <c r="C352" i="19"/>
  <c r="I352" i="19"/>
  <c r="E862" i="19"/>
  <c r="D884" i="19"/>
  <c r="F395" i="19"/>
  <c r="J271" i="19"/>
  <c r="E352" i="19"/>
  <c r="H638" i="19"/>
  <c r="I103" i="19"/>
  <c r="J395" i="19"/>
  <c r="D395" i="19"/>
  <c r="C395" i="19"/>
  <c r="J516" i="19"/>
  <c r="C516" i="19"/>
  <c r="I638" i="19"/>
  <c r="F352" i="19"/>
  <c r="I761" i="19"/>
  <c r="J862" i="19"/>
  <c r="C862" i="19"/>
  <c r="C103" i="19"/>
  <c r="H103" i="19"/>
  <c r="E103" i="19"/>
  <c r="J597" i="19"/>
  <c r="G862" i="19"/>
  <c r="J352" i="19"/>
  <c r="C271" i="19"/>
  <c r="E271" i="19"/>
  <c r="I597" i="19"/>
  <c r="G990" i="19"/>
  <c r="E229" i="19"/>
  <c r="I516" i="19"/>
  <c r="H990" i="19"/>
  <c r="F271" i="19"/>
  <c r="BE26" i="19"/>
  <c r="K28" i="19" l="1"/>
  <c r="C28" i="19"/>
  <c r="H28" i="19"/>
  <c r="D28" i="19"/>
  <c r="K29" i="19" s="1"/>
  <c r="F28" i="19"/>
  <c r="E28" i="19"/>
  <c r="J28" i="19"/>
  <c r="J29" i="19" s="1"/>
  <c r="G29" i="19"/>
  <c r="D885" i="19"/>
  <c r="I517" i="19"/>
  <c r="I639" i="19"/>
  <c r="I762" i="19"/>
  <c r="J517" i="19"/>
  <c r="E885" i="19"/>
  <c r="E762" i="19"/>
  <c r="D639" i="19"/>
  <c r="H639" i="19"/>
  <c r="F517" i="19"/>
  <c r="C762" i="19"/>
  <c r="H762" i="19"/>
  <c r="E639" i="19"/>
  <c r="H517" i="19"/>
  <c r="J639" i="19"/>
  <c r="C639" i="19"/>
  <c r="H885" i="19"/>
  <c r="D517" i="19"/>
  <c r="E517" i="19"/>
  <c r="D762" i="19"/>
  <c r="I885" i="19"/>
  <c r="F639" i="19"/>
  <c r="J762" i="19"/>
  <c r="C517" i="19"/>
  <c r="G517" i="19"/>
  <c r="C885" i="19"/>
  <c r="G885" i="19"/>
  <c r="G639" i="19"/>
  <c r="J885" i="19"/>
  <c r="G762" i="19"/>
  <c r="F885" i="19"/>
  <c r="F762" i="19"/>
  <c r="BE27" i="19"/>
  <c r="F29" i="19" l="1"/>
  <c r="I29" i="19"/>
  <c r="E29" i="19"/>
  <c r="C29" i="19"/>
  <c r="F30" i="19" s="1"/>
  <c r="H29" i="19"/>
  <c r="D29" i="19"/>
  <c r="BE28" i="19"/>
  <c r="G30" i="19" l="1"/>
  <c r="E30" i="19"/>
  <c r="J30" i="19"/>
  <c r="K30" i="19"/>
  <c r="H30" i="19"/>
  <c r="C30" i="19"/>
  <c r="D30" i="19"/>
  <c r="I30" i="19"/>
  <c r="BE29" i="19"/>
  <c r="I31" i="19" l="1"/>
  <c r="E31" i="19"/>
  <c r="G31" i="19"/>
  <c r="H31" i="19"/>
  <c r="H32" i="19" s="1"/>
  <c r="J31" i="19"/>
  <c r="F31" i="19"/>
  <c r="C31" i="19"/>
  <c r="K31" i="19"/>
  <c r="D31" i="19"/>
  <c r="BE30" i="19"/>
  <c r="C32" i="19" l="1"/>
  <c r="E32" i="19"/>
  <c r="D32" i="19"/>
  <c r="J32" i="19"/>
  <c r="K32" i="19"/>
  <c r="I32" i="19"/>
  <c r="F32" i="19"/>
  <c r="G32" i="19"/>
  <c r="G33" i="19" s="1"/>
  <c r="BE31" i="19"/>
  <c r="C33" i="19" l="1"/>
  <c r="J33" i="19"/>
  <c r="F33" i="19"/>
  <c r="K33" i="19"/>
  <c r="D33" i="19"/>
  <c r="E33" i="19"/>
  <c r="H33" i="19"/>
  <c r="I33" i="19"/>
  <c r="BE32" i="19"/>
  <c r="H34" i="19" l="1"/>
  <c r="J34" i="19"/>
  <c r="I34" i="19"/>
  <c r="K34" i="19"/>
  <c r="F34" i="19"/>
  <c r="G34" i="19"/>
  <c r="E34" i="19"/>
  <c r="C34" i="19"/>
  <c r="D34" i="19"/>
  <c r="BE33" i="19"/>
  <c r="E35" i="19" l="1"/>
  <c r="F35" i="19"/>
  <c r="K35" i="19"/>
  <c r="D35" i="19"/>
  <c r="G35" i="19"/>
  <c r="H35" i="19"/>
  <c r="I35" i="19"/>
  <c r="C35" i="19"/>
  <c r="J35" i="19"/>
  <c r="BE34" i="19"/>
  <c r="J36" i="19" l="1"/>
  <c r="G36" i="19"/>
  <c r="C36" i="19"/>
  <c r="D36" i="19"/>
  <c r="I37" i="19" s="1"/>
  <c r="I36" i="19"/>
  <c r="E36" i="19"/>
  <c r="H36" i="19"/>
  <c r="K36" i="19"/>
  <c r="F36" i="19"/>
  <c r="BE35" i="19"/>
  <c r="E37" i="19" l="1"/>
  <c r="D37" i="19"/>
  <c r="F37" i="19"/>
  <c r="G37" i="19"/>
  <c r="D38" i="19" s="1"/>
  <c r="J37" i="19"/>
  <c r="H37" i="19"/>
  <c r="C37" i="19"/>
  <c r="K37" i="19"/>
  <c r="BE36" i="19"/>
  <c r="I38" i="19" l="1"/>
  <c r="C38" i="19"/>
  <c r="J38" i="19"/>
  <c r="G38" i="19"/>
  <c r="K38" i="19"/>
  <c r="E38" i="19"/>
  <c r="J39" i="19" s="1"/>
  <c r="H38" i="19"/>
  <c r="F38" i="19"/>
  <c r="D39" i="19" s="1"/>
  <c r="BE37" i="19"/>
  <c r="I39" i="19" l="1"/>
  <c r="F39" i="19"/>
  <c r="E39" i="19"/>
  <c r="H39" i="19"/>
  <c r="H40" i="19" s="1"/>
  <c r="K39" i="19"/>
  <c r="G39" i="19"/>
  <c r="G40" i="19" s="1"/>
  <c r="C39" i="19"/>
  <c r="C40" i="19" s="1"/>
  <c r="I40" i="19"/>
  <c r="BE38" i="19"/>
  <c r="J40" i="19" l="1"/>
  <c r="D40" i="19"/>
  <c r="E41" i="19" s="1"/>
  <c r="F40" i="19"/>
  <c r="K40" i="19"/>
  <c r="F41" i="19" s="1"/>
  <c r="E40" i="19"/>
  <c r="BE39" i="19"/>
  <c r="C41" i="19" l="1"/>
  <c r="F42" i="19" s="1"/>
  <c r="G41" i="19"/>
  <c r="H41" i="19"/>
  <c r="H42" i="19" s="1"/>
  <c r="I41" i="19"/>
  <c r="K41" i="19"/>
  <c r="K42" i="19" s="1"/>
  <c r="J41" i="19"/>
  <c r="D41" i="19"/>
  <c r="I42" i="19" s="1"/>
  <c r="G42" i="19"/>
  <c r="BE40" i="19"/>
  <c r="J42" i="19" l="1"/>
  <c r="C42" i="19"/>
  <c r="C43" i="19" s="1"/>
  <c r="D42" i="19"/>
  <c r="E42" i="19"/>
  <c r="K43" i="19" s="1"/>
  <c r="BE41" i="19"/>
  <c r="J43" i="19" l="1"/>
  <c r="G43" i="19"/>
  <c r="D43" i="19"/>
  <c r="G44" i="19" s="1"/>
  <c r="H43" i="19"/>
  <c r="H44" i="19" s="1"/>
  <c r="I43" i="19"/>
  <c r="E43" i="19"/>
  <c r="F43" i="19"/>
  <c r="BE42" i="19"/>
  <c r="F44" i="19" l="1"/>
  <c r="E44" i="19"/>
  <c r="C44" i="19"/>
  <c r="D45" i="19" s="1"/>
  <c r="J44" i="19"/>
  <c r="G45" i="19" s="1"/>
  <c r="D44" i="19"/>
  <c r="I44" i="19"/>
  <c r="H45" i="19" s="1"/>
  <c r="K44" i="19"/>
  <c r="BE43" i="19"/>
  <c r="E45" i="19" l="1"/>
  <c r="K45" i="19"/>
  <c r="I45" i="19"/>
  <c r="C45" i="19"/>
  <c r="G46" i="19" s="1"/>
  <c r="F45" i="19"/>
  <c r="J45" i="19"/>
  <c r="BE44" i="19"/>
  <c r="D46" i="19" l="1"/>
  <c r="H46" i="19"/>
  <c r="E46" i="19"/>
  <c r="E47" i="19" s="1"/>
  <c r="C46" i="19"/>
  <c r="G47" i="19" s="1"/>
  <c r="K46" i="19"/>
  <c r="J46" i="19"/>
  <c r="I46" i="19"/>
  <c r="F46" i="19"/>
  <c r="F47" i="19" s="1"/>
  <c r="J47" i="19"/>
  <c r="BE45" i="19"/>
  <c r="K47" i="19" l="1"/>
  <c r="C47" i="19"/>
  <c r="I47" i="19"/>
  <c r="I48" i="19" s="1"/>
  <c r="H47" i="19"/>
  <c r="K48" i="19" s="1"/>
  <c r="D47" i="19"/>
  <c r="F48" i="19" s="1"/>
  <c r="G48" i="19"/>
  <c r="BE46" i="19"/>
  <c r="C48" i="19" l="1"/>
  <c r="E48" i="19"/>
  <c r="J48" i="19"/>
  <c r="H48" i="19"/>
  <c r="C49" i="19" s="1"/>
  <c r="D48" i="19"/>
  <c r="BE47" i="19"/>
  <c r="E49" i="19" l="1"/>
  <c r="K49" i="19"/>
  <c r="H49" i="19"/>
  <c r="F49" i="19"/>
  <c r="F50" i="19" s="1"/>
  <c r="G49" i="19"/>
  <c r="J49" i="19"/>
  <c r="J50" i="19" s="1"/>
  <c r="I49" i="19"/>
  <c r="D49" i="19"/>
  <c r="D50" i="19" s="1"/>
  <c r="BE48" i="19"/>
  <c r="G50" i="19" l="1"/>
  <c r="C50" i="19"/>
  <c r="K50" i="19"/>
  <c r="K51" i="19" s="1"/>
  <c r="I50" i="19"/>
  <c r="I51" i="19" s="1"/>
  <c r="E50" i="19"/>
  <c r="H50" i="19"/>
  <c r="C51" i="19" s="1"/>
  <c r="H51" i="19"/>
  <c r="BE49" i="19"/>
  <c r="D51" i="19" l="1"/>
  <c r="E51" i="19"/>
  <c r="J51" i="19"/>
  <c r="G51" i="19"/>
  <c r="E52" i="19" s="1"/>
  <c r="F51" i="19"/>
  <c r="BE50" i="19"/>
  <c r="H52" i="19" l="1"/>
  <c r="F52" i="19"/>
  <c r="K52" i="19"/>
  <c r="J52" i="19"/>
  <c r="J53" i="19" s="1"/>
  <c r="C52" i="19"/>
  <c r="D52" i="19"/>
  <c r="H53" i="19" s="1"/>
  <c r="I52" i="19"/>
  <c r="G52" i="19"/>
  <c r="F53" i="19" s="1"/>
  <c r="BE51" i="19"/>
  <c r="E53" i="19" l="1"/>
  <c r="G53" i="19"/>
  <c r="I53" i="19"/>
  <c r="C53" i="19"/>
  <c r="K54" i="19" s="1"/>
  <c r="K53" i="19"/>
  <c r="D53" i="19"/>
  <c r="D54" i="19" s="1"/>
  <c r="F54" i="19"/>
  <c r="BE52" i="19"/>
  <c r="E54" i="19" l="1"/>
  <c r="H54" i="19"/>
  <c r="I54" i="19"/>
  <c r="G54" i="19"/>
  <c r="K55" i="19" s="1"/>
  <c r="C54" i="19"/>
  <c r="J54" i="19"/>
  <c r="J55" i="19"/>
  <c r="H55" i="19"/>
  <c r="BE53" i="19"/>
  <c r="E55" i="19" l="1"/>
  <c r="G55" i="19"/>
  <c r="F55" i="19"/>
  <c r="D55" i="19"/>
  <c r="C56" i="19" s="1"/>
  <c r="I55" i="19"/>
  <c r="C55" i="19"/>
  <c r="K56" i="19" s="1"/>
  <c r="H56" i="19"/>
  <c r="E56" i="19"/>
  <c r="BE54" i="19"/>
  <c r="D56" i="19" l="1"/>
  <c r="F56" i="19"/>
  <c r="H57" i="19" s="1"/>
  <c r="J56" i="19"/>
  <c r="G56" i="19"/>
  <c r="J57" i="19" s="1"/>
  <c r="I56" i="19"/>
  <c r="BE55" i="19"/>
  <c r="F57" i="19" l="1"/>
  <c r="E57" i="19"/>
  <c r="D57" i="19"/>
  <c r="D58" i="19" s="1"/>
  <c r="I57" i="19"/>
  <c r="K57" i="19"/>
  <c r="G57" i="19"/>
  <c r="G58" i="19" s="1"/>
  <c r="C57" i="19"/>
  <c r="J58" i="19" s="1"/>
  <c r="I58" i="19"/>
  <c r="K58" i="19"/>
  <c r="BE56" i="19"/>
  <c r="H58" i="19" l="1"/>
  <c r="F58" i="19"/>
  <c r="F59" i="19" s="1"/>
  <c r="C58" i="19"/>
  <c r="J59" i="19" s="1"/>
  <c r="E58" i="19"/>
  <c r="E59" i="19" s="1"/>
  <c r="D59" i="19"/>
  <c r="BE57" i="19"/>
  <c r="H59" i="19" l="1"/>
  <c r="C59" i="19"/>
  <c r="H60" i="19" s="1"/>
  <c r="G59" i="19"/>
  <c r="I59" i="19"/>
  <c r="J60" i="19" s="1"/>
  <c r="K59" i="19"/>
  <c r="BE58" i="19"/>
  <c r="K60" i="19" l="1"/>
  <c r="C60" i="19"/>
  <c r="F60" i="19"/>
  <c r="I60" i="19"/>
  <c r="D61" i="19" s="1"/>
  <c r="D60" i="19"/>
  <c r="E60" i="19"/>
  <c r="G60" i="19"/>
  <c r="F61" i="19" s="1"/>
  <c r="H61" i="19"/>
  <c r="BE59" i="19"/>
  <c r="E61" i="19" l="1"/>
  <c r="C61" i="19"/>
  <c r="J61" i="19"/>
  <c r="I61" i="19"/>
  <c r="C62" i="19" s="1"/>
  <c r="K61" i="19"/>
  <c r="G61" i="19"/>
  <c r="BE60" i="19"/>
  <c r="E62" i="19" l="1"/>
  <c r="J62" i="19"/>
  <c r="K62" i="19"/>
  <c r="F62" i="19"/>
  <c r="E63" i="19" s="1"/>
  <c r="D62" i="19"/>
  <c r="H62" i="19"/>
  <c r="H63" i="19" s="1"/>
  <c r="I62" i="19"/>
  <c r="G62" i="19"/>
  <c r="G63" i="19" s="1"/>
  <c r="D63" i="19"/>
  <c r="BE61" i="19"/>
  <c r="I63" i="19" l="1"/>
  <c r="J63" i="19"/>
  <c r="C63" i="19"/>
  <c r="F63" i="19"/>
  <c r="K63" i="19"/>
  <c r="BE62" i="19"/>
  <c r="BE63" i="19" l="1"/>
  <c r="BE64" i="19" l="1"/>
  <c r="BE65" i="19" l="1"/>
  <c r="BE66" i="19" l="1"/>
  <c r="BE67" i="19" l="1"/>
  <c r="BE68" i="19" l="1"/>
  <c r="BE69" i="19" l="1"/>
  <c r="BE70" i="19" l="1"/>
  <c r="BE71" i="19" l="1"/>
  <c r="BE72" i="19" l="1"/>
  <c r="BE73" i="19" l="1"/>
  <c r="BE74" i="19" l="1"/>
  <c r="BE75" i="19" l="1"/>
  <c r="BE76" i="19" l="1"/>
  <c r="BE77" i="19" l="1"/>
  <c r="BE78" i="19" l="1"/>
  <c r="BE79" i="19" l="1"/>
  <c r="BE80" i="19" l="1"/>
  <c r="BE81" i="19" l="1"/>
  <c r="BE82" i="19" l="1"/>
  <c r="BE83" i="19" l="1"/>
  <c r="BE84" i="19" l="1"/>
  <c r="BE85" i="19" l="1"/>
  <c r="BE86" i="19" l="1"/>
  <c r="BE87" i="19" l="1"/>
  <c r="BE88" i="19" l="1"/>
  <c r="BE89" i="19" l="1"/>
  <c r="BE90" i="19" l="1"/>
  <c r="BE91" i="19" l="1"/>
  <c r="BE92" i="19" l="1"/>
  <c r="BE93" i="19" l="1"/>
  <c r="BE94" i="19" l="1"/>
  <c r="BE95" i="19" l="1"/>
  <c r="BE96" i="19" l="1"/>
  <c r="BE97" i="19" l="1"/>
  <c r="BE98" i="19" l="1"/>
  <c r="BE99" i="19" l="1"/>
  <c r="BE100" i="19" l="1"/>
  <c r="BE101" i="19" l="1"/>
  <c r="BE102" i="19" l="1"/>
  <c r="BE103" i="19" l="1"/>
  <c r="BE104" i="19" l="1"/>
  <c r="BE105" i="19" l="1"/>
  <c r="BE106" i="19" l="1"/>
  <c r="BE107" i="19" l="1"/>
  <c r="BE108" i="19" l="1"/>
  <c r="BE109" i="19" l="1"/>
  <c r="BE110" i="19" l="1"/>
  <c r="BE111" i="19" l="1"/>
  <c r="BE112" i="19" l="1"/>
  <c r="BE113" i="19" l="1"/>
  <c r="BE114" i="19" l="1"/>
  <c r="BE115" i="19" l="1"/>
  <c r="BE116" i="19" l="1"/>
  <c r="BE117" i="19" l="1"/>
  <c r="BE118" i="19" l="1"/>
  <c r="BE119" i="19" l="1"/>
  <c r="BE120" i="19" l="1"/>
  <c r="BE121" i="19" l="1"/>
  <c r="BE122" i="19" l="1"/>
  <c r="BE123" i="19" l="1"/>
  <c r="BE124" i="19" l="1"/>
  <c r="BE125" i="19" l="1"/>
  <c r="BE126" i="19" l="1"/>
  <c r="BE127" i="19" l="1"/>
  <c r="BE128" i="19" l="1"/>
  <c r="BE129" i="19" l="1"/>
  <c r="BE130" i="19" l="1"/>
  <c r="BE131" i="19" l="1"/>
  <c r="BE132" i="19" l="1"/>
  <c r="BE133" i="19" l="1"/>
  <c r="BE134" i="19" l="1"/>
  <c r="BE135" i="19" l="1"/>
  <c r="BE136" i="19" l="1"/>
  <c r="BE137" i="19" l="1"/>
  <c r="BE138" i="19" l="1"/>
  <c r="BE139" i="19" l="1"/>
  <c r="BE140" i="19" l="1"/>
  <c r="BE141" i="19" l="1"/>
  <c r="BE142" i="19" l="1"/>
  <c r="BE143" i="19" l="1"/>
  <c r="BE144" i="19" l="1"/>
  <c r="BE145" i="19" l="1"/>
  <c r="BE146" i="19" l="1"/>
  <c r="BE147" i="19" l="1"/>
  <c r="BE148" i="19" l="1"/>
  <c r="BE149" i="19" l="1"/>
  <c r="BE150" i="19" l="1"/>
  <c r="BE151" i="19" l="1"/>
  <c r="BE152" i="19" l="1"/>
  <c r="BE153" i="19" l="1"/>
  <c r="BE154" i="19" l="1"/>
  <c r="BE155" i="19" l="1"/>
  <c r="BE156" i="19" l="1"/>
  <c r="BE157" i="19" l="1"/>
  <c r="BE158" i="19" l="1"/>
  <c r="BE159" i="19" l="1"/>
  <c r="BE160" i="19" l="1"/>
  <c r="BE161" i="19" l="1"/>
  <c r="BE162" i="19" l="1"/>
  <c r="BE163" i="19" l="1"/>
  <c r="BE164" i="19" l="1"/>
  <c r="BE165" i="19" l="1"/>
  <c r="BE166" i="19" l="1"/>
  <c r="BE167" i="19" l="1"/>
  <c r="BE168" i="19" l="1"/>
  <c r="BE169" i="19" l="1"/>
  <c r="BE170" i="19" l="1"/>
  <c r="BE171" i="19" l="1"/>
  <c r="BE172" i="19" l="1"/>
  <c r="BE173" i="19" l="1"/>
  <c r="BE174" i="19" l="1"/>
  <c r="BE175" i="19" l="1"/>
  <c r="BE176" i="19" l="1"/>
  <c r="BE177" i="19" l="1"/>
  <c r="BE178" i="19" l="1"/>
  <c r="BE179" i="19" l="1"/>
  <c r="BE180" i="19" l="1"/>
  <c r="BE181" i="19" l="1"/>
  <c r="BE182" i="19" l="1"/>
  <c r="BE183" i="19" l="1"/>
  <c r="BE184" i="19" l="1"/>
  <c r="BE185" i="19" l="1"/>
  <c r="BE186" i="19" l="1"/>
  <c r="BE187" i="19" l="1"/>
  <c r="BE188" i="19" l="1"/>
  <c r="BE189" i="19" l="1"/>
  <c r="BE190" i="19" l="1"/>
  <c r="BE191" i="19" l="1"/>
  <c r="BE192" i="19" l="1"/>
  <c r="BE193" i="19" l="1"/>
  <c r="BE194" i="19" l="1"/>
  <c r="BE195" i="19" l="1"/>
  <c r="BE196" i="19" l="1"/>
  <c r="BE197" i="19" l="1"/>
  <c r="BE198" i="19" l="1"/>
  <c r="BE199" i="19" l="1"/>
  <c r="BE200" i="19" l="1"/>
  <c r="BE201" i="19" l="1"/>
  <c r="BE202" i="19" l="1"/>
  <c r="BE203" i="19" l="1"/>
  <c r="BE204" i="19" l="1"/>
  <c r="BE205" i="19" l="1"/>
  <c r="BE206" i="19" l="1"/>
  <c r="BE207" i="19" l="1"/>
  <c r="BE208" i="19" l="1"/>
  <c r="BE209" i="19" l="1"/>
  <c r="BE210" i="19" l="1"/>
  <c r="BE211" i="19" l="1"/>
  <c r="BE212" i="19" l="1"/>
  <c r="BE213" i="19" l="1"/>
  <c r="BE214" i="19" l="1"/>
  <c r="BE215" i="19" l="1"/>
  <c r="BE216" i="19" l="1"/>
  <c r="BE217" i="19" l="1"/>
  <c r="BE218" i="19" l="1"/>
  <c r="BE219" i="19" l="1"/>
  <c r="BE220" i="19" l="1"/>
  <c r="BE221" i="19" l="1"/>
  <c r="BE222" i="19" l="1"/>
  <c r="BE223" i="19" l="1"/>
  <c r="BE224" i="19" l="1"/>
  <c r="BE225" i="19" l="1"/>
  <c r="BE226" i="19" l="1"/>
  <c r="BE227" i="19" l="1"/>
  <c r="BE228" i="19" l="1"/>
  <c r="BE229" i="19" l="1"/>
  <c r="BE230" i="19" l="1"/>
  <c r="BE231" i="19" l="1"/>
  <c r="BE232" i="19" l="1"/>
  <c r="BE233" i="19" l="1"/>
  <c r="BE234" i="19" l="1"/>
  <c r="BE235" i="19" l="1"/>
  <c r="BE236" i="19" l="1"/>
  <c r="BE237" i="19" l="1"/>
  <c r="BE238" i="19" l="1"/>
  <c r="BE239" i="19" l="1"/>
  <c r="BE240" i="19" l="1"/>
  <c r="BE241" i="19" l="1"/>
  <c r="BE242" i="19" l="1"/>
  <c r="BE243" i="19" l="1"/>
  <c r="BE244" i="19" l="1"/>
  <c r="BE245" i="19" l="1"/>
  <c r="BE246" i="19" l="1"/>
  <c r="BE247" i="19" l="1"/>
  <c r="BE248" i="19" l="1"/>
  <c r="BE249" i="19" l="1"/>
  <c r="BE250" i="19" l="1"/>
  <c r="BE251" i="19" l="1"/>
  <c r="BE252" i="19" l="1"/>
  <c r="BE253" i="19" l="1"/>
  <c r="BE254" i="19" l="1"/>
  <c r="BE255" i="19" l="1"/>
  <c r="BE256" i="19" l="1"/>
  <c r="BE257" i="19" l="1"/>
  <c r="BE258" i="19" l="1"/>
  <c r="BE259" i="19" l="1"/>
  <c r="BE260" i="19" l="1"/>
  <c r="BE261" i="19" l="1"/>
  <c r="BE262" i="19" l="1"/>
  <c r="BE263" i="19" l="1"/>
  <c r="BE264" i="19" l="1"/>
  <c r="BE265" i="19" l="1"/>
  <c r="BE266" i="19" l="1"/>
  <c r="BE267" i="19" l="1"/>
  <c r="BE268" i="19" l="1"/>
  <c r="BE269" i="19" l="1"/>
  <c r="BE270" i="19" l="1"/>
  <c r="BE271" i="19" l="1"/>
  <c r="BE272" i="19" l="1"/>
  <c r="BE273" i="19" l="1"/>
  <c r="BE274" i="19" l="1"/>
  <c r="BE275" i="19" l="1"/>
  <c r="BE276" i="19" l="1"/>
  <c r="BE277" i="19" l="1"/>
  <c r="BE278" i="19" l="1"/>
  <c r="BE279" i="19" l="1"/>
  <c r="BE280" i="19" l="1"/>
  <c r="BE281" i="19" l="1"/>
  <c r="BE282" i="19" l="1"/>
  <c r="BE283" i="19" l="1"/>
  <c r="BE284" i="19" l="1"/>
  <c r="BE285" i="19" l="1"/>
  <c r="BE286" i="19" l="1"/>
  <c r="BE287" i="19" l="1"/>
  <c r="BE288" i="19" l="1"/>
  <c r="BE289" i="19" l="1"/>
  <c r="BE290" i="19" l="1"/>
  <c r="BE291" i="19" l="1"/>
  <c r="BE292" i="19" l="1"/>
  <c r="BE293" i="19" l="1"/>
  <c r="BE294" i="19" l="1"/>
  <c r="BE295" i="19" l="1"/>
  <c r="BE296" i="19" l="1"/>
  <c r="BE297" i="19" l="1"/>
  <c r="BE298" i="19" l="1"/>
  <c r="BE299" i="19" l="1"/>
  <c r="BE300" i="19" l="1"/>
  <c r="BE301" i="19" l="1"/>
  <c r="BE302" i="19" l="1"/>
  <c r="BE303" i="19" l="1"/>
  <c r="BE304" i="19" l="1"/>
  <c r="BE305" i="19" l="1"/>
  <c r="BE306" i="19" l="1"/>
  <c r="BE307" i="19" l="1"/>
  <c r="BE308" i="19" l="1"/>
  <c r="BE309" i="19" l="1"/>
  <c r="BE310" i="19" l="1"/>
  <c r="BE311" i="19" l="1"/>
  <c r="BE312" i="19" l="1"/>
  <c r="BE313" i="19" l="1"/>
  <c r="BE314" i="19" l="1"/>
  <c r="BE315" i="19" l="1"/>
  <c r="BE316" i="19" l="1"/>
  <c r="BE317" i="19" l="1"/>
  <c r="BE318" i="19" l="1"/>
  <c r="BE319" i="19" l="1"/>
  <c r="BE320" i="19" l="1"/>
  <c r="BE321" i="19" l="1"/>
  <c r="BE322" i="19" l="1"/>
  <c r="BE323" i="19" l="1"/>
  <c r="BE324" i="19" l="1"/>
  <c r="BE325" i="19" l="1"/>
  <c r="BE326" i="19" l="1"/>
  <c r="BE327" i="19" l="1"/>
  <c r="BE328" i="19" l="1"/>
  <c r="BE329" i="19" l="1"/>
  <c r="BE330" i="19" l="1"/>
  <c r="BE331" i="19" l="1"/>
  <c r="BE332" i="19" l="1"/>
  <c r="BE333" i="19" l="1"/>
  <c r="BE334" i="19" l="1"/>
  <c r="BE335" i="19" l="1"/>
  <c r="BE336" i="19" l="1"/>
  <c r="BE337" i="19" l="1"/>
  <c r="BE338" i="19" l="1"/>
  <c r="BE339" i="19" l="1"/>
  <c r="BE340" i="19" l="1"/>
  <c r="BE341" i="19" l="1"/>
  <c r="BE342" i="19" l="1"/>
  <c r="BE343" i="19" l="1"/>
  <c r="BE344" i="19" l="1"/>
  <c r="BE345" i="19" l="1"/>
  <c r="BE346" i="19" l="1"/>
  <c r="BE347" i="19" l="1"/>
  <c r="BE348" i="19" l="1"/>
  <c r="BE349" i="19" l="1"/>
  <c r="BE350" i="19" l="1"/>
  <c r="BE351" i="19" l="1"/>
  <c r="BE352" i="19" l="1"/>
  <c r="BE353" i="19" l="1"/>
  <c r="BE354" i="19" l="1"/>
  <c r="BE355" i="19" l="1"/>
  <c r="BE356" i="19" l="1"/>
  <c r="BE357" i="19" l="1"/>
  <c r="BE358" i="19" l="1"/>
  <c r="BE359" i="19" l="1"/>
  <c r="BE360" i="19" l="1"/>
  <c r="BE361" i="19" l="1"/>
  <c r="BE362" i="19" l="1"/>
  <c r="BE363" i="19" l="1"/>
  <c r="BE364" i="19" l="1"/>
  <c r="BE365" i="19" l="1"/>
  <c r="BE366" i="19" l="1"/>
  <c r="BE367" i="19" l="1"/>
  <c r="BE368" i="19" l="1"/>
  <c r="BE369" i="19" l="1"/>
  <c r="BE370" i="19" l="1"/>
  <c r="BE371" i="19" l="1"/>
  <c r="BE372" i="19" l="1"/>
  <c r="BE373" i="19" l="1"/>
  <c r="BE374" i="19" l="1"/>
  <c r="BE375" i="19" l="1"/>
  <c r="BE376" i="19" l="1"/>
  <c r="BE377" i="19" l="1"/>
  <c r="BE378" i="19" l="1"/>
  <c r="BE379" i="19" l="1"/>
  <c r="BE380" i="19" l="1"/>
  <c r="BE381" i="19" l="1"/>
  <c r="BE382" i="19" l="1"/>
  <c r="BE383" i="19" l="1"/>
  <c r="BE384" i="19" l="1"/>
  <c r="BE385" i="19" l="1"/>
  <c r="BE386" i="19" l="1"/>
  <c r="BE387" i="19" l="1"/>
  <c r="BE388" i="19" l="1"/>
  <c r="BE389" i="19" l="1"/>
  <c r="BE390" i="19" l="1"/>
  <c r="BE391" i="19" l="1"/>
  <c r="BE392" i="19" l="1"/>
  <c r="BE393" i="19" l="1"/>
  <c r="BE394" i="19" l="1"/>
  <c r="BE395" i="19" l="1"/>
  <c r="BE396" i="19" l="1"/>
  <c r="BE397" i="19" l="1"/>
  <c r="BE398" i="19" l="1"/>
  <c r="BE399" i="19" l="1"/>
  <c r="BE400" i="19" l="1"/>
  <c r="BE401" i="19" l="1"/>
  <c r="BE402" i="19" l="1"/>
  <c r="BE403" i="19" l="1"/>
  <c r="BE404" i="19" l="1"/>
  <c r="BE405" i="19" l="1"/>
  <c r="BE406" i="19" l="1"/>
  <c r="BE407" i="19" l="1"/>
  <c r="BE408" i="19" l="1"/>
  <c r="BE409" i="19" l="1"/>
  <c r="BE410" i="19" l="1"/>
  <c r="BE411" i="19" l="1"/>
  <c r="BE412" i="19" l="1"/>
  <c r="BE413" i="19" l="1"/>
  <c r="BE414" i="19" l="1"/>
  <c r="BE415" i="19" l="1"/>
  <c r="BE416" i="19" l="1"/>
  <c r="BE417" i="19" l="1"/>
  <c r="BE418" i="19" l="1"/>
  <c r="BE419" i="19" l="1"/>
  <c r="BE420" i="19" l="1"/>
  <c r="BE421" i="19" l="1"/>
  <c r="BE422" i="19" l="1"/>
  <c r="BE423" i="19" l="1"/>
  <c r="BE424" i="19" l="1"/>
  <c r="BE425" i="19" l="1"/>
  <c r="BE426" i="19" l="1"/>
  <c r="BE427" i="19" l="1"/>
  <c r="BE428" i="19" l="1"/>
  <c r="BE429" i="19" l="1"/>
  <c r="BE430" i="19" l="1"/>
  <c r="BE431" i="19" l="1"/>
  <c r="BE432" i="19" l="1"/>
  <c r="BE433" i="19" l="1"/>
  <c r="BE434" i="19" l="1"/>
  <c r="BE435" i="19" l="1"/>
  <c r="BE436" i="19" l="1"/>
  <c r="BE437" i="19" l="1"/>
  <c r="BE438" i="19" l="1"/>
  <c r="BE439" i="19" l="1"/>
  <c r="BE440" i="19" l="1"/>
  <c r="BE441" i="19" l="1"/>
  <c r="BE442" i="19" l="1"/>
  <c r="BE443" i="19" l="1"/>
  <c r="BE444" i="19" l="1"/>
  <c r="BE445" i="19" l="1"/>
  <c r="BE446" i="19" l="1"/>
  <c r="BE447" i="19" l="1"/>
  <c r="BE448" i="19" l="1"/>
  <c r="BE449" i="19" l="1"/>
  <c r="BE450" i="19" l="1"/>
  <c r="BE451" i="19" l="1"/>
  <c r="BE452" i="19" l="1"/>
  <c r="BE453" i="19" l="1"/>
  <c r="BE454" i="19" l="1"/>
  <c r="BE455" i="19" l="1"/>
  <c r="BE456" i="19" l="1"/>
  <c r="BE457" i="19" l="1"/>
  <c r="BE458" i="19" l="1"/>
  <c r="BE459" i="19" l="1"/>
  <c r="BE460" i="19" l="1"/>
  <c r="BE461" i="19" l="1"/>
  <c r="BE462" i="19" l="1"/>
  <c r="BE463" i="19" l="1"/>
  <c r="BE464" i="19" l="1"/>
  <c r="BE465" i="19" l="1"/>
  <c r="BE466" i="19" l="1"/>
  <c r="BE467" i="19" l="1"/>
  <c r="BE468" i="19" l="1"/>
  <c r="BE469" i="19" l="1"/>
  <c r="BE470" i="19" l="1"/>
  <c r="BE471" i="19" l="1"/>
  <c r="BE472" i="19" l="1"/>
  <c r="BE473" i="19" l="1"/>
  <c r="BE474" i="19" l="1"/>
  <c r="BE475" i="19" l="1"/>
  <c r="BE476" i="19" l="1"/>
  <c r="BE477" i="19" l="1"/>
  <c r="BE478" i="19" l="1"/>
  <c r="BE479" i="19" l="1"/>
  <c r="BE480" i="19" l="1"/>
  <c r="BE481" i="19" l="1"/>
  <c r="BE482" i="19" l="1"/>
  <c r="BE483" i="19" l="1"/>
  <c r="BE484" i="19" l="1"/>
  <c r="BE485" i="19" l="1"/>
  <c r="BE486" i="19" l="1"/>
  <c r="BE487" i="19" l="1"/>
  <c r="BE488" i="19" l="1"/>
  <c r="BE489" i="19" l="1"/>
  <c r="BE490" i="19" l="1"/>
  <c r="BE491" i="19" l="1"/>
  <c r="BE492" i="19" l="1"/>
  <c r="BE493" i="19" l="1"/>
  <c r="BE494" i="19" l="1"/>
  <c r="BE495" i="19" l="1"/>
  <c r="BE496" i="19" l="1"/>
  <c r="BE497" i="19" l="1"/>
  <c r="BE498" i="19" l="1"/>
  <c r="BE499" i="19" l="1"/>
  <c r="BE500" i="19" l="1"/>
  <c r="BE501" i="19" l="1"/>
  <c r="BE502" i="19" l="1"/>
  <c r="BE503" i="19" l="1"/>
  <c r="BE504" i="19" l="1"/>
  <c r="BE505" i="19" l="1"/>
  <c r="BE506" i="19" l="1"/>
  <c r="BE507" i="19" l="1"/>
  <c r="BE508" i="19" l="1"/>
  <c r="BE509" i="19" l="1"/>
  <c r="BE510" i="19" l="1"/>
  <c r="BE511" i="19" l="1"/>
  <c r="BE512" i="19" l="1"/>
  <c r="BE513" i="19" l="1"/>
  <c r="BE514" i="19" l="1"/>
  <c r="BE515" i="19" l="1"/>
  <c r="BE516" i="19" l="1"/>
  <c r="BE517" i="19" l="1"/>
  <c r="BE518" i="19" l="1"/>
  <c r="BE519" i="19" l="1"/>
  <c r="BE520" i="19" l="1"/>
  <c r="BE521" i="19" l="1"/>
  <c r="BE522" i="19" l="1"/>
  <c r="BE523" i="19" l="1"/>
  <c r="BE524" i="19" l="1"/>
  <c r="BE525" i="19" l="1"/>
  <c r="BE526" i="19" l="1"/>
  <c r="BE527" i="19" l="1"/>
  <c r="BE528" i="19" l="1"/>
  <c r="BE529" i="19" l="1"/>
  <c r="BE530" i="19" l="1"/>
  <c r="BE531" i="19" l="1"/>
  <c r="BE532" i="19" l="1"/>
  <c r="BE533" i="19" l="1"/>
  <c r="BE534" i="19" l="1"/>
  <c r="BE535" i="19" l="1"/>
  <c r="BE536" i="19" l="1"/>
  <c r="BE537" i="19" l="1"/>
  <c r="BE538" i="19" l="1"/>
  <c r="BE539" i="19" l="1"/>
  <c r="BE540" i="19" l="1"/>
  <c r="BE541" i="19" l="1"/>
  <c r="BE542" i="19" l="1"/>
  <c r="BE543" i="19" l="1"/>
  <c r="BE544" i="19" l="1"/>
  <c r="BE545" i="19" l="1"/>
  <c r="BE546" i="19" l="1"/>
  <c r="BE547" i="19" l="1"/>
  <c r="BE548" i="19" l="1"/>
  <c r="BE549" i="19" l="1"/>
  <c r="BE550" i="19" l="1"/>
  <c r="BE551" i="19" l="1"/>
  <c r="BE552" i="19" l="1"/>
  <c r="BE553" i="19" l="1"/>
  <c r="BE554" i="19" l="1"/>
  <c r="BE555" i="19" l="1"/>
  <c r="BE556" i="19" l="1"/>
  <c r="BE557" i="19" l="1"/>
  <c r="BE558" i="19" l="1"/>
  <c r="BE559" i="19" l="1"/>
  <c r="BE560" i="19" l="1"/>
  <c r="BE561" i="19" l="1"/>
  <c r="BE562" i="19" l="1"/>
  <c r="BE563" i="19" l="1"/>
  <c r="BE564" i="19" l="1"/>
  <c r="BE565" i="19" l="1"/>
  <c r="BE566" i="19" l="1"/>
  <c r="BE567" i="19" l="1"/>
  <c r="BE568" i="19" l="1"/>
  <c r="BE569" i="19" l="1"/>
  <c r="BE570" i="19" l="1"/>
  <c r="BE571" i="19" l="1"/>
  <c r="BE572" i="19" l="1"/>
  <c r="BE573" i="19" l="1"/>
  <c r="BE574" i="19" l="1"/>
  <c r="BE575" i="19" l="1"/>
  <c r="BE576" i="19" l="1"/>
  <c r="BE577" i="19" l="1"/>
  <c r="BE578" i="19" l="1"/>
  <c r="BE579" i="19" l="1"/>
  <c r="BE580" i="19" l="1"/>
  <c r="BE581" i="19" l="1"/>
  <c r="BE582" i="19" l="1"/>
  <c r="BE583" i="19" l="1"/>
  <c r="BE584" i="19" l="1"/>
  <c r="BE585" i="19" l="1"/>
  <c r="BE586" i="19" l="1"/>
  <c r="BE587" i="19" l="1"/>
  <c r="BE588" i="19" l="1"/>
  <c r="BE589" i="19" l="1"/>
  <c r="BE590" i="19" l="1"/>
  <c r="BE591" i="19" l="1"/>
  <c r="BE592" i="19" l="1"/>
  <c r="BE593" i="19" l="1"/>
  <c r="BE594" i="19" l="1"/>
  <c r="BE595" i="19" l="1"/>
  <c r="BE596" i="19" l="1"/>
  <c r="BE597" i="19" l="1"/>
  <c r="BE598" i="19" l="1"/>
  <c r="BE599" i="19" l="1"/>
  <c r="BE600" i="19" l="1"/>
  <c r="BE601" i="19" l="1"/>
  <c r="BE602" i="19" l="1"/>
  <c r="BE603" i="19" l="1"/>
  <c r="BE604" i="19" l="1"/>
  <c r="BE605" i="19" l="1"/>
  <c r="BE606" i="19" l="1"/>
  <c r="BE607" i="19" l="1"/>
  <c r="BE608" i="19" l="1"/>
  <c r="BE609" i="19" l="1"/>
  <c r="BE610" i="19" l="1"/>
  <c r="BE611" i="19" l="1"/>
  <c r="BE612" i="19" l="1"/>
  <c r="BE613" i="19" l="1"/>
  <c r="BE614" i="19" l="1"/>
  <c r="BE615" i="19" l="1"/>
  <c r="BE616" i="19" l="1"/>
  <c r="BE617" i="19" l="1"/>
  <c r="BE618" i="19" l="1"/>
  <c r="BE619" i="19" l="1"/>
  <c r="BE620" i="19" l="1"/>
  <c r="BE621" i="19" l="1"/>
  <c r="BE622" i="19" l="1"/>
  <c r="BE623" i="19" l="1"/>
  <c r="BE624" i="19" l="1"/>
  <c r="BE625" i="19" l="1"/>
  <c r="BE626" i="19" l="1"/>
  <c r="BE627" i="19" l="1"/>
  <c r="BE628" i="19" l="1"/>
  <c r="BE629" i="19" l="1"/>
  <c r="BE630" i="19" l="1"/>
  <c r="BE631" i="19" l="1"/>
  <c r="BE632" i="19" l="1"/>
  <c r="BE633" i="19" l="1"/>
  <c r="BE634" i="19" l="1"/>
  <c r="BE635" i="19" l="1"/>
  <c r="BE636" i="19" l="1"/>
  <c r="BE637" i="19" l="1"/>
  <c r="BE638" i="19" l="1"/>
  <c r="BE639" i="19" l="1"/>
  <c r="BE640" i="19" l="1"/>
  <c r="BE641" i="19" l="1"/>
  <c r="BE642" i="19" l="1"/>
  <c r="BE643" i="19" l="1"/>
  <c r="BE644" i="19" l="1"/>
  <c r="BE645" i="19" l="1"/>
  <c r="BE646" i="19" l="1"/>
  <c r="BE647" i="19" l="1"/>
  <c r="BE648" i="19" l="1"/>
  <c r="BE649" i="19" l="1"/>
  <c r="BE650" i="19" l="1"/>
  <c r="BE651" i="19" l="1"/>
  <c r="BE652" i="19" l="1"/>
  <c r="BE653" i="19" l="1"/>
  <c r="BE654" i="19" l="1"/>
  <c r="BE655" i="19" l="1"/>
  <c r="BE656" i="19" l="1"/>
  <c r="BE657" i="19" l="1"/>
  <c r="BE658" i="19" l="1"/>
  <c r="BE659" i="19" l="1"/>
  <c r="BE660" i="19" l="1"/>
  <c r="BE661" i="19" l="1"/>
  <c r="BE662" i="19" l="1"/>
  <c r="BE663" i="19" l="1"/>
  <c r="BE664" i="19" l="1"/>
  <c r="BE665" i="19" l="1"/>
  <c r="BE666" i="19" l="1"/>
  <c r="BE667" i="19" l="1"/>
  <c r="BE668" i="19" l="1"/>
  <c r="BE669" i="19" l="1"/>
  <c r="BE670" i="19" l="1"/>
  <c r="BE671" i="19" l="1"/>
  <c r="BE672" i="19" l="1"/>
  <c r="BE673" i="19" l="1"/>
  <c r="BE674" i="19" l="1"/>
  <c r="BE675" i="19" l="1"/>
  <c r="BE676" i="19" l="1"/>
  <c r="BE677" i="19" l="1"/>
  <c r="BE678" i="19" l="1"/>
  <c r="BE679" i="19" l="1"/>
  <c r="BE680" i="19" l="1"/>
  <c r="BE681" i="19" l="1"/>
  <c r="BE682" i="19" l="1"/>
  <c r="BE683" i="19" l="1"/>
  <c r="BE684" i="19" l="1"/>
  <c r="BE685" i="19" l="1"/>
  <c r="BE686" i="19" l="1"/>
  <c r="BE687" i="19" l="1"/>
  <c r="BE688" i="19" l="1"/>
  <c r="BE689" i="19" l="1"/>
  <c r="BE690" i="19" l="1"/>
  <c r="BE691" i="19" l="1"/>
  <c r="BE692" i="19" l="1"/>
  <c r="BE693" i="19" l="1"/>
  <c r="BE694" i="19" l="1"/>
  <c r="BE695" i="19" l="1"/>
  <c r="BE696" i="19" l="1"/>
  <c r="BE697" i="19" l="1"/>
  <c r="BE698" i="19" l="1"/>
  <c r="BE699" i="19" l="1"/>
  <c r="BE700" i="19" l="1"/>
  <c r="BE701" i="19" l="1"/>
  <c r="BE702" i="19" l="1"/>
  <c r="BE703" i="19" l="1"/>
  <c r="BE704" i="19" l="1"/>
  <c r="BE705" i="19" l="1"/>
  <c r="BE706" i="19" l="1"/>
  <c r="BE707" i="19" l="1"/>
  <c r="BE708" i="19" l="1"/>
  <c r="BE709" i="19" l="1"/>
  <c r="BE710" i="19" l="1"/>
  <c r="BE711" i="19" l="1"/>
  <c r="BE712" i="19" l="1"/>
  <c r="BE713" i="19" l="1"/>
  <c r="BE714" i="19" l="1"/>
  <c r="BE715" i="19" l="1"/>
  <c r="BE716" i="19" l="1"/>
  <c r="BE717" i="19" l="1"/>
  <c r="BE718" i="19" l="1"/>
  <c r="BE719" i="19" l="1"/>
  <c r="BE720" i="19" l="1"/>
  <c r="BE721" i="19" l="1"/>
  <c r="BE722" i="19" l="1"/>
  <c r="BE723" i="19" l="1"/>
  <c r="BE724" i="19" l="1"/>
  <c r="BE725" i="19" l="1"/>
  <c r="BE726" i="19" l="1"/>
  <c r="BE727" i="19" l="1"/>
  <c r="BE728" i="19" l="1"/>
  <c r="BE729" i="19" l="1"/>
  <c r="BE730" i="19" l="1"/>
  <c r="BE731" i="19" l="1"/>
  <c r="BE732" i="19" l="1"/>
  <c r="BE733" i="19" l="1"/>
  <c r="BE734" i="19" l="1"/>
  <c r="BE735" i="19" l="1"/>
  <c r="BE736" i="19" l="1"/>
  <c r="BE737" i="19" l="1"/>
  <c r="BE738" i="19" l="1"/>
  <c r="BE739" i="19" l="1"/>
  <c r="BE740" i="19" l="1"/>
  <c r="BE741" i="19" l="1"/>
  <c r="BE742" i="19" l="1"/>
  <c r="BE743" i="19" l="1"/>
  <c r="BE744" i="19" l="1"/>
  <c r="BE745" i="19" l="1"/>
  <c r="BE746" i="19" l="1"/>
  <c r="BE747" i="19" l="1"/>
  <c r="BE748" i="19" l="1"/>
  <c r="BE749" i="19" l="1"/>
  <c r="BE750" i="19" l="1"/>
  <c r="BE751" i="19" l="1"/>
  <c r="BE752" i="19" l="1"/>
  <c r="BE753" i="19" l="1"/>
  <c r="BE754" i="19" l="1"/>
  <c r="BE755" i="19" l="1"/>
  <c r="BE756" i="19" l="1"/>
  <c r="BE757" i="19" l="1"/>
  <c r="BE758" i="19" l="1"/>
  <c r="BE759" i="19" l="1"/>
  <c r="BE760" i="19" l="1"/>
  <c r="BE761" i="19" l="1"/>
  <c r="BE762" i="19" l="1"/>
  <c r="BE763" i="19" l="1"/>
  <c r="BE764" i="19" l="1"/>
  <c r="BE765" i="19" l="1"/>
  <c r="BE766" i="19" l="1"/>
  <c r="BE767" i="19" l="1"/>
  <c r="BE768" i="19" l="1"/>
  <c r="BE769" i="19" l="1"/>
  <c r="BE770" i="19" l="1"/>
  <c r="BE771" i="19" l="1"/>
  <c r="BE772" i="19" l="1"/>
  <c r="BE773" i="19" l="1"/>
  <c r="BE774" i="19" l="1"/>
  <c r="BE775" i="19" l="1"/>
  <c r="BE776" i="19" l="1"/>
  <c r="BE777" i="19" l="1"/>
  <c r="BE778" i="19" l="1"/>
  <c r="BE779" i="19" l="1"/>
  <c r="BE780" i="19" l="1"/>
  <c r="BE781" i="19" l="1"/>
  <c r="BE782" i="19" l="1"/>
  <c r="BE783" i="19" l="1"/>
  <c r="BE784" i="19" l="1"/>
  <c r="BE785" i="19" l="1"/>
  <c r="BE786" i="19" l="1"/>
  <c r="BE787" i="19" l="1"/>
  <c r="BE788" i="19" l="1"/>
  <c r="BE789" i="19" l="1"/>
  <c r="BE790" i="19" l="1"/>
  <c r="BE791" i="19" l="1"/>
  <c r="BE792" i="19" l="1"/>
  <c r="BE793" i="19" l="1"/>
  <c r="BE794" i="19" l="1"/>
  <c r="BE795" i="19" l="1"/>
  <c r="BE796" i="19" l="1"/>
  <c r="BE797" i="19" l="1"/>
  <c r="BE798" i="19" l="1"/>
  <c r="BE799" i="19" l="1"/>
  <c r="BE800" i="19" l="1"/>
  <c r="BE801" i="19" l="1"/>
  <c r="BE802" i="19" l="1"/>
  <c r="BE803" i="19" l="1"/>
  <c r="BE804" i="19" l="1"/>
  <c r="BE805" i="19" l="1"/>
  <c r="BE806" i="19" l="1"/>
  <c r="BE807" i="19" l="1"/>
  <c r="BE808" i="19" l="1"/>
  <c r="BE809" i="19" l="1"/>
  <c r="BE810" i="19" l="1"/>
  <c r="BE811" i="19" l="1"/>
  <c r="BE812" i="19" l="1"/>
  <c r="BE813" i="19" l="1"/>
  <c r="BE814" i="19" l="1"/>
  <c r="BE815" i="19" l="1"/>
  <c r="BE816" i="19" l="1"/>
  <c r="BE817" i="19" l="1"/>
  <c r="BE818" i="19" l="1"/>
  <c r="BE819" i="19" l="1"/>
  <c r="BE820" i="19" l="1"/>
  <c r="BE821" i="19" l="1"/>
  <c r="BE822" i="19" l="1"/>
  <c r="BE823" i="19" l="1"/>
  <c r="BE824" i="19" l="1"/>
  <c r="BE825" i="19" l="1"/>
  <c r="BE826" i="19" l="1"/>
  <c r="BE827" i="19" l="1"/>
  <c r="BE828" i="19" l="1"/>
  <c r="BE829" i="19" l="1"/>
  <c r="BE830" i="19" l="1"/>
  <c r="BE831" i="19" l="1"/>
  <c r="BE832" i="19" l="1"/>
  <c r="BE833" i="19" l="1"/>
  <c r="BE834" i="19" l="1"/>
  <c r="BE835" i="19" l="1"/>
  <c r="BE836" i="19" l="1"/>
  <c r="BE837" i="19" l="1"/>
  <c r="BE838" i="19" l="1"/>
  <c r="BE839" i="19" l="1"/>
  <c r="BE840" i="19" l="1"/>
  <c r="BE841" i="19" l="1"/>
  <c r="BE842" i="19" l="1"/>
  <c r="BE843" i="19" l="1"/>
  <c r="BE844" i="19" l="1"/>
  <c r="BE845" i="19" l="1"/>
  <c r="BE846" i="19" l="1"/>
  <c r="BE847" i="19" l="1"/>
  <c r="BE848" i="19" l="1"/>
  <c r="BE849" i="19" l="1"/>
  <c r="BE850" i="19" l="1"/>
  <c r="BE851" i="19" l="1"/>
  <c r="BE852" i="19" l="1"/>
  <c r="BE853" i="19" l="1"/>
  <c r="BE854" i="19" l="1"/>
  <c r="BE855" i="19" l="1"/>
  <c r="BE856" i="19" l="1"/>
  <c r="BE857" i="19" l="1"/>
  <c r="BE858" i="19" l="1"/>
  <c r="BE859" i="19" l="1"/>
  <c r="BE860" i="19" l="1"/>
  <c r="BE861" i="19" l="1"/>
  <c r="BE862" i="19" l="1"/>
  <c r="BE863" i="19" l="1"/>
  <c r="BE864" i="19" l="1"/>
  <c r="BE865" i="19" l="1"/>
  <c r="BE866" i="19" l="1"/>
  <c r="BE867" i="19" l="1"/>
  <c r="BE868" i="19" l="1"/>
  <c r="BE869" i="19" l="1"/>
  <c r="BE870" i="19" l="1"/>
  <c r="BE871" i="19" l="1"/>
  <c r="BE872" i="19" l="1"/>
  <c r="BE873" i="19" l="1"/>
  <c r="BE874" i="19" l="1"/>
  <c r="BE875" i="19" l="1"/>
  <c r="BE876" i="19" l="1"/>
  <c r="BE877" i="19" l="1"/>
  <c r="BE878" i="19" l="1"/>
  <c r="BE879" i="19" l="1"/>
  <c r="BE880" i="19" l="1"/>
  <c r="BE881" i="19" l="1"/>
  <c r="BE882" i="19" l="1"/>
  <c r="BE883" i="19" l="1"/>
  <c r="BE884" i="19" l="1"/>
  <c r="BE885" i="19" l="1"/>
  <c r="BE886" i="19" l="1"/>
  <c r="BE887" i="19" l="1"/>
  <c r="BE888" i="19" l="1"/>
  <c r="BE889" i="19" l="1"/>
  <c r="BE890" i="19" l="1"/>
  <c r="BE891" i="19" l="1"/>
  <c r="BE892" i="19" l="1"/>
  <c r="BE893" i="19" l="1"/>
  <c r="BE894" i="19" l="1"/>
  <c r="BE895" i="19" l="1"/>
  <c r="BE896" i="19" l="1"/>
  <c r="BE897" i="19" l="1"/>
  <c r="BE898" i="19" l="1"/>
  <c r="BE899" i="19" l="1"/>
  <c r="BE900" i="19" l="1"/>
  <c r="BE901" i="19" l="1"/>
  <c r="BE902" i="19" l="1"/>
  <c r="BE903" i="19" l="1"/>
  <c r="BE904" i="19" l="1"/>
  <c r="BE905" i="19" l="1"/>
  <c r="BE906" i="19" l="1"/>
  <c r="BE907" i="19" l="1"/>
  <c r="BE908" i="19" l="1"/>
  <c r="BE909" i="19" l="1"/>
  <c r="BE910" i="19" l="1"/>
  <c r="BE911" i="19" l="1"/>
  <c r="BE912" i="19" l="1"/>
  <c r="BE913" i="19" l="1"/>
  <c r="BE914" i="19" l="1"/>
  <c r="BE915" i="19" l="1"/>
  <c r="BE916" i="19" l="1"/>
  <c r="BE917" i="19" l="1"/>
  <c r="BE918" i="19" l="1"/>
  <c r="BE919" i="19" l="1"/>
  <c r="BE920" i="19" l="1"/>
  <c r="BE921" i="19" l="1"/>
  <c r="BE922" i="19" l="1"/>
  <c r="BE923" i="19" l="1"/>
  <c r="BE924" i="19" l="1"/>
  <c r="BE925" i="19" l="1"/>
  <c r="BE926" i="19" l="1"/>
  <c r="BE927" i="19" l="1"/>
  <c r="BE928" i="19" l="1"/>
  <c r="BE929" i="19" l="1"/>
  <c r="BE930" i="19" l="1"/>
  <c r="BE931" i="19" l="1"/>
  <c r="BE932" i="19" l="1"/>
  <c r="BE933" i="19" l="1"/>
  <c r="BE934" i="19" l="1"/>
  <c r="BE935" i="19" l="1"/>
  <c r="BE936" i="19" l="1"/>
  <c r="BE937" i="19" l="1"/>
  <c r="BE938" i="19" l="1"/>
  <c r="BE939" i="19" l="1"/>
  <c r="BE940" i="19" l="1"/>
  <c r="BE941" i="19" l="1"/>
  <c r="BE942" i="19" l="1"/>
  <c r="BE943" i="19" l="1"/>
  <c r="BE944" i="19" l="1"/>
  <c r="BE945" i="19" l="1"/>
  <c r="BE946" i="19" l="1"/>
  <c r="BE947" i="19" l="1"/>
  <c r="BE948" i="19" l="1"/>
  <c r="BE949" i="19" l="1"/>
  <c r="BE950" i="19" l="1"/>
  <c r="BE951" i="19" l="1"/>
  <c r="BE952" i="19" l="1"/>
  <c r="BE953" i="19" l="1"/>
  <c r="BE954" i="19" l="1"/>
  <c r="BE955" i="19" l="1"/>
  <c r="BE956" i="19" l="1"/>
  <c r="BE957" i="19" l="1"/>
  <c r="BE958" i="19" l="1"/>
  <c r="BE959" i="19" l="1"/>
  <c r="BE960" i="19" l="1"/>
  <c r="BE961" i="19" l="1"/>
  <c r="BE962" i="19" l="1"/>
  <c r="BE963" i="19" l="1"/>
  <c r="BE964" i="19" l="1"/>
  <c r="BE965" i="19" l="1"/>
  <c r="BE966" i="19" l="1"/>
  <c r="BE967" i="19" l="1"/>
  <c r="BE968" i="19" l="1"/>
  <c r="BE969" i="19" l="1"/>
  <c r="BE970" i="19" l="1"/>
  <c r="BE971" i="19" l="1"/>
  <c r="BE972" i="19" l="1"/>
  <c r="BE973" i="19" l="1"/>
  <c r="BE974" i="19" l="1"/>
  <c r="BE975" i="19" l="1"/>
  <c r="BE976" i="19" l="1"/>
  <c r="BE977" i="19" l="1"/>
  <c r="BE978" i="19" l="1"/>
  <c r="BE979" i="19" l="1"/>
  <c r="BE980" i="19" l="1"/>
  <c r="BE981" i="19" l="1"/>
  <c r="BE982" i="19" l="1"/>
  <c r="BE983" i="19" l="1"/>
  <c r="BE984" i="19" l="1"/>
  <c r="BE985" i="19" l="1"/>
  <c r="BE986" i="19" l="1"/>
  <c r="BE987" i="19" l="1"/>
  <c r="BE988" i="19" l="1"/>
  <c r="BE989" i="19" l="1"/>
  <c r="BE990" i="19" l="1"/>
  <c r="BE991" i="19" l="1"/>
  <c r="BE992" i="19" l="1"/>
  <c r="BE993" i="19" l="1"/>
  <c r="BE994" i="19" l="1"/>
  <c r="BE995" i="19" l="1"/>
  <c r="BE996" i="19" l="1"/>
  <c r="BE997" i="19" l="1"/>
  <c r="BE998" i="19" l="1"/>
  <c r="BE999" i="19" l="1"/>
  <c r="BE1000" i="19" l="1"/>
  <c r="BE1001" i="19" l="1"/>
  <c r="BE1002" i="19" l="1"/>
  <c r="BE1003" i="19" l="1"/>
  <c r="BE1004" i="19" l="1"/>
  <c r="BE1005" i="19" l="1"/>
  <c r="BE1006" i="19" l="1"/>
  <c r="BE1007" i="19" l="1"/>
  <c r="BE1008" i="19" l="1"/>
  <c r="BE1009" i="19" l="1"/>
  <c r="BE1010" i="19" l="1"/>
  <c r="BE1011" i="19" l="1"/>
  <c r="BE1012" i="19" l="1"/>
  <c r="BE1013" i="19" l="1"/>
  <c r="BE1014" i="19" l="1"/>
  <c r="BE1015" i="19" l="1"/>
  <c r="BE1016" i="19" l="1"/>
  <c r="BE1017" i="19" l="1"/>
  <c r="BE1018" i="19" l="1"/>
  <c r="BE1019" i="19" l="1"/>
  <c r="BE1020" i="19" l="1"/>
  <c r="BE1021" i="19" l="1"/>
  <c r="BE1022" i="19" l="1"/>
  <c r="BE1023" i="19" l="1"/>
  <c r="BE1024" i="19" l="1"/>
  <c r="BE1025" i="19" l="1"/>
  <c r="BE1026" i="19" l="1"/>
  <c r="BE1027" i="19" l="1"/>
  <c r="BE1028" i="19" l="1"/>
  <c r="BE1029" i="19" l="1"/>
  <c r="BE1030" i="19" l="1"/>
  <c r="BE1031" i="19" l="1"/>
  <c r="BE1032" i="19" l="1"/>
  <c r="BE1033" i="19" l="1"/>
  <c r="BE1034" i="19" l="1"/>
  <c r="BE1035" i="19" l="1"/>
  <c r="BE1036" i="19" l="1"/>
  <c r="BE1037" i="19" l="1"/>
  <c r="BE1038" i="19" l="1"/>
  <c r="BE1039" i="19" l="1"/>
  <c r="BE1040" i="19" l="1"/>
  <c r="BE1041" i="19" l="1"/>
  <c r="BE1042" i="19" l="1"/>
  <c r="BE1043" i="19" l="1"/>
  <c r="BE1044" i="19" l="1"/>
  <c r="BE1045" i="19" l="1"/>
  <c r="BE1046" i="19" l="1"/>
  <c r="BE1047" i="19" l="1"/>
  <c r="BE1048" i="19" l="1"/>
  <c r="BE1049" i="19" l="1"/>
  <c r="BE1050" i="19" l="1"/>
  <c r="BE1051" i="19" l="1"/>
  <c r="BE1052" i="19" l="1"/>
  <c r="BE1053" i="19" l="1"/>
  <c r="BE1054" i="19" l="1"/>
  <c r="BE1055" i="19" l="1"/>
  <c r="BE1056" i="19" l="1"/>
  <c r="BE1057" i="19" l="1"/>
  <c r="BE1058" i="19" l="1"/>
  <c r="BE1059" i="19" l="1"/>
  <c r="BE1060" i="19" l="1"/>
  <c r="BE1061" i="19" l="1"/>
  <c r="BE1062" i="19" l="1"/>
  <c r="BE1063" i="19" l="1"/>
  <c r="BE1064" i="19" l="1"/>
  <c r="BE1065" i="19" l="1"/>
  <c r="BE1066" i="19" l="1"/>
  <c r="BE1067" i="19" l="1"/>
  <c r="BE1068" i="19" l="1"/>
  <c r="BE1069" i="19" l="1"/>
  <c r="BE1070" i="19" l="1"/>
  <c r="BE1071" i="19" l="1"/>
  <c r="BE1072" i="19" l="1"/>
  <c r="BE1073" i="19" l="1"/>
  <c r="BE1074" i="19" l="1"/>
  <c r="BE1075" i="19" l="1"/>
  <c r="BE1076" i="19" l="1"/>
  <c r="BE1077" i="19" l="1"/>
  <c r="BE1078" i="19" l="1"/>
  <c r="BE1079" i="19" l="1"/>
  <c r="BE1080" i="19" l="1"/>
</calcChain>
</file>

<file path=xl/sharedStrings.xml><?xml version="1.0" encoding="utf-8"?>
<sst xmlns="http://schemas.openxmlformats.org/spreadsheetml/2006/main" count="4679" uniqueCount="693">
  <si>
    <t>Nifty 50</t>
  </si>
  <si>
    <t>Nifty Bank</t>
  </si>
  <si>
    <t>Nifty IT</t>
  </si>
  <si>
    <t>Nifty Pharma</t>
  </si>
  <si>
    <t>Nifty FMCG</t>
  </si>
  <si>
    <t xml:space="preserve">Nifty Metal </t>
  </si>
  <si>
    <t>Nifty Energy</t>
  </si>
  <si>
    <t>Date</t>
  </si>
  <si>
    <t>Open</t>
  </si>
  <si>
    <t>High</t>
  </si>
  <si>
    <t>Low</t>
  </si>
  <si>
    <t>Close</t>
  </si>
  <si>
    <t>Volume</t>
  </si>
  <si>
    <t>Sector Indices</t>
  </si>
  <si>
    <t>Source Data</t>
  </si>
  <si>
    <t>G</t>
  </si>
  <si>
    <t>Sector Rotation Watchist</t>
  </si>
  <si>
    <t>Watchlist</t>
  </si>
  <si>
    <t>Sector Score</t>
  </si>
  <si>
    <t>Sector Allocation</t>
  </si>
  <si>
    <t>NIFTY_PHARMA</t>
  </si>
  <si>
    <t>NIFTY_FMCG</t>
  </si>
  <si>
    <t>NIFTY_METAL</t>
  </si>
  <si>
    <t>NIFTY_ENERGY</t>
  </si>
  <si>
    <t>Nifty Auto</t>
  </si>
  <si>
    <t>NIFTY_AUTO</t>
  </si>
  <si>
    <t>Return</t>
  </si>
  <si>
    <t>ID</t>
  </si>
  <si>
    <t>1/13/2017 15:30:00</t>
  </si>
  <si>
    <t>1/16/2017 15:30:00</t>
  </si>
  <si>
    <t>1/17/2017 15:30:00</t>
  </si>
  <si>
    <t>1/18/2017 15:30:00</t>
  </si>
  <si>
    <t>1/19/2017 15:30:00</t>
  </si>
  <si>
    <t>1/20/2017 15:30:00</t>
  </si>
  <si>
    <t>1/23/2017 15:30:00</t>
  </si>
  <si>
    <t>1/24/2017 15:30:00</t>
  </si>
  <si>
    <t>1/25/2017 15:30:00</t>
  </si>
  <si>
    <t>1/27/2017 15:30:00</t>
  </si>
  <si>
    <t>1/30/2017 15:30:00</t>
  </si>
  <si>
    <t>1/31/2017 15:30:00</t>
  </si>
  <si>
    <t>2/13/2017 15:30:00</t>
  </si>
  <si>
    <t>2/14/2017 15:30:00</t>
  </si>
  <si>
    <t>2/15/2017 15:30:00</t>
  </si>
  <si>
    <t>2/16/2017 15:30:00</t>
  </si>
  <si>
    <t>2/17/2017 15:30:00</t>
  </si>
  <si>
    <t>2/20/2017 15:30:00</t>
  </si>
  <si>
    <t>2/21/2017 15:30:00</t>
  </si>
  <si>
    <t>2/22/2017 15:30:00</t>
  </si>
  <si>
    <t>2/23/2017 15:30:00</t>
  </si>
  <si>
    <t>2/27/2017 15:30:00</t>
  </si>
  <si>
    <t>2/28/2017 15:30:00</t>
  </si>
  <si>
    <t>3/14/2017 15:30:00</t>
  </si>
  <si>
    <t>3/15/2017 15:30:00</t>
  </si>
  <si>
    <t>3/16/2017 15:30:00</t>
  </si>
  <si>
    <t>3/17/2017 15:30:00</t>
  </si>
  <si>
    <t>3/20/2017 15:30:00</t>
  </si>
  <si>
    <t>3/21/2017 15:30:00</t>
  </si>
  <si>
    <t>3/22/2017 15:30:00</t>
  </si>
  <si>
    <t>3/23/2017 15:30:00</t>
  </si>
  <si>
    <t>3/24/2017 15:30:00</t>
  </si>
  <si>
    <t>3/27/2017 15:30:00</t>
  </si>
  <si>
    <t>3/28/2017 15:30:00</t>
  </si>
  <si>
    <t>3/29/2017 15:30:00</t>
  </si>
  <si>
    <t>3/30/2017 15:30:00</t>
  </si>
  <si>
    <t>3/31/2017 15:30:00</t>
  </si>
  <si>
    <t>4/13/2017 15:30:00</t>
  </si>
  <si>
    <t>4/17/2017 15:30:00</t>
  </si>
  <si>
    <t>4/18/2017 15:30:00</t>
  </si>
  <si>
    <t>4/19/2017 15:30:00</t>
  </si>
  <si>
    <t>4/20/2017 15:30:00</t>
  </si>
  <si>
    <t>4/21/2017 15:30:00</t>
  </si>
  <si>
    <t>4/24/2017 15:30:00</t>
  </si>
  <si>
    <t>4/25/2017 15:30:00</t>
  </si>
  <si>
    <t>4/26/2017 15:30:00</t>
  </si>
  <si>
    <t>4/27/2017 15:30:00</t>
  </si>
  <si>
    <t>4/28/2017 15:30:00</t>
  </si>
  <si>
    <t>5/15/2017 15:30:00</t>
  </si>
  <si>
    <t>5/16/2017 15:30:00</t>
  </si>
  <si>
    <t>5/17/2017 15:30:00</t>
  </si>
  <si>
    <t>5/18/2017 15:30:00</t>
  </si>
  <si>
    <t>5/19/2017 15:30:00</t>
  </si>
  <si>
    <t>5/22/2017 15:30:00</t>
  </si>
  <si>
    <t>5/23/2017 15:30:00</t>
  </si>
  <si>
    <t>5/24/2017 15:30:00</t>
  </si>
  <si>
    <t>5/25/2017 15:30:00</t>
  </si>
  <si>
    <t>5/26/2017 15:30:00</t>
  </si>
  <si>
    <t>5/29/2017 15:30:00</t>
  </si>
  <si>
    <t>5/30/2017 15:30:00</t>
  </si>
  <si>
    <t>5/31/2017 15:30:00</t>
  </si>
  <si>
    <t>6/13/2017 15:30:00</t>
  </si>
  <si>
    <t>6/14/2017 15:30:00</t>
  </si>
  <si>
    <t>6/15/2017 15:30:00</t>
  </si>
  <si>
    <t>6/16/2017 15:30:00</t>
  </si>
  <si>
    <t>6/19/2017 15:30:00</t>
  </si>
  <si>
    <t>6/20/2017 15:30:00</t>
  </si>
  <si>
    <t>6/21/2017 15:30:00</t>
  </si>
  <si>
    <t>6/22/2017 15:30:00</t>
  </si>
  <si>
    <t>6/23/2017 15:30:00</t>
  </si>
  <si>
    <t>6/27/2017 15:30:00</t>
  </si>
  <si>
    <t>6/28/2017 15:30:00</t>
  </si>
  <si>
    <t>6/29/2017 15:30:00</t>
  </si>
  <si>
    <t>6/30/2017 15:30:00</t>
  </si>
  <si>
    <t>7/13/2017 15:30:00</t>
  </si>
  <si>
    <t>7/14/2017 15:30:00</t>
  </si>
  <si>
    <t>7/17/2017 15:30:00</t>
  </si>
  <si>
    <t>7/18/2017 15:30:00</t>
  </si>
  <si>
    <t>7/19/2017 15:30:00</t>
  </si>
  <si>
    <t>7/20/2017 15:30:00</t>
  </si>
  <si>
    <t>7/21/2017 15:30:00</t>
  </si>
  <si>
    <t>7/24/2017 15:30:00</t>
  </si>
  <si>
    <t>7/25/2017 15:30:00</t>
  </si>
  <si>
    <t>7/26/2017 15:30:00</t>
  </si>
  <si>
    <t>7/27/2017 15:30:00</t>
  </si>
  <si>
    <t>7/28/2017 15:30:00</t>
  </si>
  <si>
    <t>7/31/2017 15:30:00</t>
  </si>
  <si>
    <t>8/14/2017 15:30:00</t>
  </si>
  <si>
    <t>8/16/2017 15:30:00</t>
  </si>
  <si>
    <t>8/17/2017 15:30:00</t>
  </si>
  <si>
    <t>8/18/2017 15:30:00</t>
  </si>
  <si>
    <t>8/21/2017 15:30:00</t>
  </si>
  <si>
    <t>8/22/2017 15:30:00</t>
  </si>
  <si>
    <t>8/23/2017 15:30:00</t>
  </si>
  <si>
    <t>8/24/2017 15:30:00</t>
  </si>
  <si>
    <t>8/28/2017 15:30:00</t>
  </si>
  <si>
    <t>8/29/2017 15:30:00</t>
  </si>
  <si>
    <t>8/30/2017 15:30:00</t>
  </si>
  <si>
    <t>8/31/2017 15:30:00</t>
  </si>
  <si>
    <t>9/13/2017 15:30:00</t>
  </si>
  <si>
    <t>9/14/2017 15:30:00</t>
  </si>
  <si>
    <t>9/15/2017 15:30:00</t>
  </si>
  <si>
    <t>9/18/2017 15:30:00</t>
  </si>
  <si>
    <t>9/19/2017 15:30:00</t>
  </si>
  <si>
    <t>9/20/2017 15:30:00</t>
  </si>
  <si>
    <t>9/21/2017 15:30:00</t>
  </si>
  <si>
    <t>9/22/2017 15:30:00</t>
  </si>
  <si>
    <t>9/25/2017 15:30:00</t>
  </si>
  <si>
    <t>9/26/2017 15:30:00</t>
  </si>
  <si>
    <t>9/27/2017 15:30:00</t>
  </si>
  <si>
    <t>9/28/2017 15:30:00</t>
  </si>
  <si>
    <t>9/29/2017 15:30:00</t>
  </si>
  <si>
    <t>10/13/2017 15:30:00</t>
  </si>
  <si>
    <t>10/16/2017 15:30:00</t>
  </si>
  <si>
    <t>10/17/2017 20:00:00</t>
  </si>
  <si>
    <t>10/18/2017 15:30:00</t>
  </si>
  <si>
    <t>10/19/2017 20:00:00</t>
  </si>
  <si>
    <t>10/23/2017 15:30:00</t>
  </si>
  <si>
    <t>10/24/2017 15:30:00</t>
  </si>
  <si>
    <t>10/25/2017 15:30:00</t>
  </si>
  <si>
    <t>10/26/2017 15:30:00</t>
  </si>
  <si>
    <t>10/27/2017 15:30:00</t>
  </si>
  <si>
    <t>10/30/2017 15:30:00</t>
  </si>
  <si>
    <t>10/31/2017 15:30:00</t>
  </si>
  <si>
    <t>11/13/2017 15:30:00</t>
  </si>
  <si>
    <t>11/14/2017 15:30:00</t>
  </si>
  <si>
    <t>11/15/2017 15:30:00</t>
  </si>
  <si>
    <t>11/16/2017 15:30:00</t>
  </si>
  <si>
    <t>11/17/2017 15:30:00</t>
  </si>
  <si>
    <t>11/20/2017 15:30:00</t>
  </si>
  <si>
    <t>11/21/2017 15:30:00</t>
  </si>
  <si>
    <t>11/22/2017 15:30:00</t>
  </si>
  <si>
    <t>11/23/2017 15:30:00</t>
  </si>
  <si>
    <t>11/24/2017 15:30:00</t>
  </si>
  <si>
    <t>11/27/2017 15:30:00</t>
  </si>
  <si>
    <t>11/28/2017 15:30:00</t>
  </si>
  <si>
    <t>11/29/2017 15:30:00</t>
  </si>
  <si>
    <t>11/30/2017 15:30:00</t>
  </si>
  <si>
    <t>12/13/2017 15:30:00</t>
  </si>
  <si>
    <t>12/14/2017 15:30:00</t>
  </si>
  <si>
    <t>12/15/2017 15:30:00</t>
  </si>
  <si>
    <t>12/18/2017 15:30:00</t>
  </si>
  <si>
    <t>12/19/2017 15:30:00</t>
  </si>
  <si>
    <t>12/20/2017 15:30:00</t>
  </si>
  <si>
    <t>12/21/2017 15:30:00</t>
  </si>
  <si>
    <t>12/22/2017 15:30:00</t>
  </si>
  <si>
    <t>12/26/2017 15:30:00</t>
  </si>
  <si>
    <t>12/27/2017 15:30:00</t>
  </si>
  <si>
    <t>12/28/2017 15:30:00</t>
  </si>
  <si>
    <t>12/29/2017 15:30:00</t>
  </si>
  <si>
    <t>1/15/2018 15:30:00</t>
  </si>
  <si>
    <t>1/16/2018 15:30:00</t>
  </si>
  <si>
    <t>1/17/2018 15:30:00</t>
  </si>
  <si>
    <t>1/18/2018 15:30:00</t>
  </si>
  <si>
    <t>1/19/2018 15:30:00</t>
  </si>
  <si>
    <t>1/22/2018 15:30:00</t>
  </si>
  <si>
    <t>1/23/2018 15:30:00</t>
  </si>
  <si>
    <t>1/24/2018 15:30:00</t>
  </si>
  <si>
    <t>1/25/2018 15:30:00</t>
  </si>
  <si>
    <t>1/29/2018 15:30:00</t>
  </si>
  <si>
    <t>1/30/2018 15:30:00</t>
  </si>
  <si>
    <t>1/31/2018 15:30:00</t>
  </si>
  <si>
    <t>2/14/2018 15:30:00</t>
  </si>
  <si>
    <t>2/15/2018 15:30:00</t>
  </si>
  <si>
    <t>2/16/2018 15:30:00</t>
  </si>
  <si>
    <t>2/19/2018 15:30:00</t>
  </si>
  <si>
    <t>2/20/2018 15:30:00</t>
  </si>
  <si>
    <t>2/21/2018 15:30:00</t>
  </si>
  <si>
    <t>2/22/2018 15:30:00</t>
  </si>
  <si>
    <t>2/23/2018 15:30:00</t>
  </si>
  <si>
    <t>2/26/2018 15:30:00</t>
  </si>
  <si>
    <t>2/27/2018 15:30:00</t>
  </si>
  <si>
    <t>2/28/2018 15:30:00</t>
  </si>
  <si>
    <t>3/13/2018 15:30:00</t>
  </si>
  <si>
    <t>3/14/2018 15:30:00</t>
  </si>
  <si>
    <t>3/15/2018 15:30:00</t>
  </si>
  <si>
    <t>3/16/2018 15:30:00</t>
  </si>
  <si>
    <t>3/19/2018 15:30:00</t>
  </si>
  <si>
    <t>3/20/2018 15:30:00</t>
  </si>
  <si>
    <t>3/21/2018 15:30:00</t>
  </si>
  <si>
    <t>3/22/2018 15:30:00</t>
  </si>
  <si>
    <t>3/23/2018 15:30:00</t>
  </si>
  <si>
    <t>3/26/2018 15:30:00</t>
  </si>
  <si>
    <t>3/27/2018 15:30:00</t>
  </si>
  <si>
    <t>3/28/2018 15:30:00</t>
  </si>
  <si>
    <t>4/13/2018 15:30:00</t>
  </si>
  <si>
    <t>4/16/2018 15:30:00</t>
  </si>
  <si>
    <t>4/17/2018 15:30:00</t>
  </si>
  <si>
    <t>4/18/2018 15:30:00</t>
  </si>
  <si>
    <t>4/19/2018 15:30:00</t>
  </si>
  <si>
    <t>4/20/2018 15:30:00</t>
  </si>
  <si>
    <t>4/23/2018 15:30:00</t>
  </si>
  <si>
    <t>4/24/2018 15:30:00</t>
  </si>
  <si>
    <t>4/25/2018 15:30:00</t>
  </si>
  <si>
    <t>4/26/2018 15:30:00</t>
  </si>
  <si>
    <t>4/27/2018 15:30:00</t>
  </si>
  <si>
    <t>4/30/2018 15:30:00</t>
  </si>
  <si>
    <t>5/14/2018 15:30:00</t>
  </si>
  <si>
    <t>5/15/2018 15:30:00</t>
  </si>
  <si>
    <t>5/16/2018 15:30:00</t>
  </si>
  <si>
    <t>5/17/2018 15:30:00</t>
  </si>
  <si>
    <t>5/18/2018 15:30:00</t>
  </si>
  <si>
    <t>5/21/2018 15:30:00</t>
  </si>
  <si>
    <t>5/22/2018 15:30:00</t>
  </si>
  <si>
    <t>5/23/2018 15:30:00</t>
  </si>
  <si>
    <t>5/24/2018 15:30:00</t>
  </si>
  <si>
    <t>5/25/2018 15:30:00</t>
  </si>
  <si>
    <t>5/28/2018 15:30:00</t>
  </si>
  <si>
    <t>5/29/2018 15:30:00</t>
  </si>
  <si>
    <t>5/30/2018 15:30:00</t>
  </si>
  <si>
    <t>5/31/2018 15:30:00</t>
  </si>
  <si>
    <t>6/13/2018 15:30:00</t>
  </si>
  <si>
    <t>6/14/2018 15:30:00</t>
  </si>
  <si>
    <t>6/15/2018 15:30:00</t>
  </si>
  <si>
    <t>6/18/2018 15:30:00</t>
  </si>
  <si>
    <t>6/19/2018 15:30:00</t>
  </si>
  <si>
    <t>6/20/2018 15:30:00</t>
  </si>
  <si>
    <t>6/21/2018 15:30:00</t>
  </si>
  <si>
    <t>6/22/2018 15:30:00</t>
  </si>
  <si>
    <t>6/25/2018 15:30:00</t>
  </si>
  <si>
    <t>6/26/2018 15:30:00</t>
  </si>
  <si>
    <t>6/27/2018 15:30:00</t>
  </si>
  <si>
    <t>6/28/2018 15:30:00</t>
  </si>
  <si>
    <t>6/29/2018 15:30:00</t>
  </si>
  <si>
    <t>7/13/2018 15:30:00</t>
  </si>
  <si>
    <t>7/16/2018 15:30:00</t>
  </si>
  <si>
    <t>7/17/2018 15:30:00</t>
  </si>
  <si>
    <t>7/18/2018 15:30:00</t>
  </si>
  <si>
    <t>7/19/2018 15:30:00</t>
  </si>
  <si>
    <t>7/20/2018 15:30:00</t>
  </si>
  <si>
    <t>7/23/2018 15:30:00</t>
  </si>
  <si>
    <t>7/24/2018 15:30:00</t>
  </si>
  <si>
    <t>7/25/2018 15:30:00</t>
  </si>
  <si>
    <t>7/26/2018 15:30:00</t>
  </si>
  <si>
    <t>7/27/2018 15:30:00</t>
  </si>
  <si>
    <t>7/30/2018 15:30:00</t>
  </si>
  <si>
    <t>7/31/2018 15:30:00</t>
  </si>
  <si>
    <t>8/13/2018 15:30:00</t>
  </si>
  <si>
    <t>8/14/2018 15:30:00</t>
  </si>
  <si>
    <t>8/16/2018 15:30:00</t>
  </si>
  <si>
    <t>8/17/2018 15:30:00</t>
  </si>
  <si>
    <t>8/20/2018 15:30:00</t>
  </si>
  <si>
    <t>8/21/2018 15:30:00</t>
  </si>
  <si>
    <t>8/23/2018 15:30:00</t>
  </si>
  <si>
    <t>8/24/2018 15:30:00</t>
  </si>
  <si>
    <t>8/27/2018 15:30:00</t>
  </si>
  <si>
    <t>8/28/2018 15:30:00</t>
  </si>
  <si>
    <t>8/29/2018 15:30:00</t>
  </si>
  <si>
    <t>8/30/2018 15:30:00</t>
  </si>
  <si>
    <t>8/31/2018 15:30:00</t>
  </si>
  <si>
    <t>9/14/2018 15:30:00</t>
  </si>
  <si>
    <t>9/17/2018 15:30:00</t>
  </si>
  <si>
    <t>9/18/2018 15:30:00</t>
  </si>
  <si>
    <t>9/19/2018 15:30:00</t>
  </si>
  <si>
    <t>9/21/2018 15:30:00</t>
  </si>
  <si>
    <t>9/24/2018 15:30:00</t>
  </si>
  <si>
    <t>9/25/2018 15:30:00</t>
  </si>
  <si>
    <t>9/26/2018 15:30:00</t>
  </si>
  <si>
    <t>9/27/2018 15:30:00</t>
  </si>
  <si>
    <t>9/28/2018 15:30:00</t>
  </si>
  <si>
    <t>10/15/2018 15:30:00</t>
  </si>
  <si>
    <t>10/16/2018 15:30:00</t>
  </si>
  <si>
    <t>10/17/2018 15:30:00</t>
  </si>
  <si>
    <t>10/19/2018 15:30:00</t>
  </si>
  <si>
    <t>10/22/2018 15:30:00</t>
  </si>
  <si>
    <t>10/23/2018 15:30:00</t>
  </si>
  <si>
    <t>10/24/2018 15:30:00</t>
  </si>
  <si>
    <t>10/25/2018 15:30:00</t>
  </si>
  <si>
    <t>10/26/2018 15:30:00</t>
  </si>
  <si>
    <t>10/29/2018 15:30:00</t>
  </si>
  <si>
    <t>10/30/2018 15:30:00</t>
  </si>
  <si>
    <t>10/31/2018 15:30:00</t>
  </si>
  <si>
    <t>11/13/2018 15:30:00</t>
  </si>
  <si>
    <t>11/14/2018 15:30:00</t>
  </si>
  <si>
    <t>11/15/2018 15:30:00</t>
  </si>
  <si>
    <t>11/16/2018 15:30:00</t>
  </si>
  <si>
    <t>11/19/2018 15:30:00</t>
  </si>
  <si>
    <t>11/20/2018 15:30:00</t>
  </si>
  <si>
    <t>11/21/2018 15:30:00</t>
  </si>
  <si>
    <t>11/22/2018 15:30:00</t>
  </si>
  <si>
    <t>11/26/2018 15:30:00</t>
  </si>
  <si>
    <t>11/27/2018 15:30:00</t>
  </si>
  <si>
    <t>11/28/2018 15:30:00</t>
  </si>
  <si>
    <t>11/29/2018 15:30:00</t>
  </si>
  <si>
    <t>11/30/2018 15:30:00</t>
  </si>
  <si>
    <t>12/13/2018 15:30:00</t>
  </si>
  <si>
    <t>12/14/2018 15:30:00</t>
  </si>
  <si>
    <t>12/17/2018 15:30:00</t>
  </si>
  <si>
    <t>12/18/2018 15:30:00</t>
  </si>
  <si>
    <t>12/19/2018 15:30:00</t>
  </si>
  <si>
    <t>12/20/2018 15:30:00</t>
  </si>
  <si>
    <t>12/21/2018 15:30:00</t>
  </si>
  <si>
    <t>12/24/2018 15:30:00</t>
  </si>
  <si>
    <t>12/26/2018 15:30:00</t>
  </si>
  <si>
    <t>12/27/2018 15:30:00</t>
  </si>
  <si>
    <t>12/28/2018 15:30:00</t>
  </si>
  <si>
    <t>12/31/2018 15:30:00</t>
  </si>
  <si>
    <t>1/14/2019 15:30:00</t>
  </si>
  <si>
    <t>1/15/2019 15:30:00</t>
  </si>
  <si>
    <t>1/16/2019 15:30:00</t>
  </si>
  <si>
    <t>1/17/2019 15:30:00</t>
  </si>
  <si>
    <t>1/18/2019 15:30:00</t>
  </si>
  <si>
    <t>1/21/2019 15:30:00</t>
  </si>
  <si>
    <t>1/22/2019 15:30:00</t>
  </si>
  <si>
    <t>1/23/2019 15:30:00</t>
  </si>
  <si>
    <t>1/24/2019 15:30:00</t>
  </si>
  <si>
    <t>1/25/2019 15:30:00</t>
  </si>
  <si>
    <t>1/28/2019 15:30:00</t>
  </si>
  <si>
    <t>1/29/2019 15:30:00</t>
  </si>
  <si>
    <t>1/30/2019 15:30:00</t>
  </si>
  <si>
    <t>1/31/2019 15:30:00</t>
  </si>
  <si>
    <t>2/13/2019 15:30:00</t>
  </si>
  <si>
    <t>2/14/2019 15:30:00</t>
  </si>
  <si>
    <t>2/15/2019 15:30:00</t>
  </si>
  <si>
    <t>2/18/2019 15:30:00</t>
  </si>
  <si>
    <t>2/19/2019 15:30:00</t>
  </si>
  <si>
    <t>2/20/2019 15:30:00</t>
  </si>
  <si>
    <t>2/21/2019 15:30:00</t>
  </si>
  <si>
    <t>2/22/2019 15:30:00</t>
  </si>
  <si>
    <t>2/25/2019 15:30:00</t>
  </si>
  <si>
    <t>2/26/2019 15:30:00</t>
  </si>
  <si>
    <t>2/27/2019 15:30:00</t>
  </si>
  <si>
    <t>2/28/2019 15:30:00</t>
  </si>
  <si>
    <t>3/13/2019 15:30:00</t>
  </si>
  <si>
    <t>3/14/2019 15:30:00</t>
  </si>
  <si>
    <t>3/15/2019 15:30:00</t>
  </si>
  <si>
    <t>3/18/2019 15:30:00</t>
  </si>
  <si>
    <t>3/19/2019 15:30:00</t>
  </si>
  <si>
    <t>3/20/2019 15:30:00</t>
  </si>
  <si>
    <t>3/22/2019 15:30:00</t>
  </si>
  <si>
    <t>3/25/2019 15:30:00</t>
  </si>
  <si>
    <t>3/26/2019 15:30:00</t>
  </si>
  <si>
    <t>3/27/2019 15:30:00</t>
  </si>
  <si>
    <t>3/28/2019 15:30:00</t>
  </si>
  <si>
    <t>3/29/2019 15:30:00</t>
  </si>
  <si>
    <t>4/15/2019 15:30:00</t>
  </si>
  <si>
    <t>4/16/2019 15:30:00</t>
  </si>
  <si>
    <t>4/18/2019 15:30:00</t>
  </si>
  <si>
    <t>4/22/2019 15:30:00</t>
  </si>
  <si>
    <t>4/23/2019 15:30:00</t>
  </si>
  <si>
    <t>4/24/2019 15:30:00</t>
  </si>
  <si>
    <t>4/25/2019 15:30:00</t>
  </si>
  <si>
    <t>4/26/2019 15:30:00</t>
  </si>
  <si>
    <t>4/30/2019 15:30:00</t>
  </si>
  <si>
    <t>5/13/2019 15:30:00</t>
  </si>
  <si>
    <t>5/14/2019 15:30:00</t>
  </si>
  <si>
    <t>5/15/2019 15:30:00</t>
  </si>
  <si>
    <t>5/16/2019 15:30:00</t>
  </si>
  <si>
    <t>5/17/2019 15:30:00</t>
  </si>
  <si>
    <t>5/20/2019 15:30:00</t>
  </si>
  <si>
    <t>5/21/2019 15:30:00</t>
  </si>
  <si>
    <t>5/22/2019 15:30:00</t>
  </si>
  <si>
    <t>5/23/2019 15:30:00</t>
  </si>
  <si>
    <t>5/24/2019 15:30:00</t>
  </si>
  <si>
    <t>5/27/2019 15:30:00</t>
  </si>
  <si>
    <t>5/28/2019 15:30:00</t>
  </si>
  <si>
    <t>5/29/2019 15:30:00</t>
  </si>
  <si>
    <t>5/30/2019 15:30:00</t>
  </si>
  <si>
    <t>5/31/2019 15:30:00</t>
  </si>
  <si>
    <t>6/13/2019 15:30:00</t>
  </si>
  <si>
    <t>6/14/2019 15:30:00</t>
  </si>
  <si>
    <t>6/17/2019 15:30:00</t>
  </si>
  <si>
    <t>6/18/2019 15:30:00</t>
  </si>
  <si>
    <t>6/19/2019 15:30:00</t>
  </si>
  <si>
    <t>6/20/2019 15:30:00</t>
  </si>
  <si>
    <t>6/21/2019 15:30:00</t>
  </si>
  <si>
    <t>6/24/2019 15:30:00</t>
  </si>
  <si>
    <t>6/25/2019 15:30:00</t>
  </si>
  <si>
    <t>6/26/2019 15:30:00</t>
  </si>
  <si>
    <t>6/27/2019 15:30:00</t>
  </si>
  <si>
    <t>6/28/2019 15:30:00</t>
  </si>
  <si>
    <t>7/15/2019 15:30:00</t>
  </si>
  <si>
    <t>7/16/2019 15:30:00</t>
  </si>
  <si>
    <t>7/17/2019 15:30:00</t>
  </si>
  <si>
    <t>7/18/2019 15:30:00</t>
  </si>
  <si>
    <t>7/19/2019 15:30:00</t>
  </si>
  <si>
    <t>7/22/2019 15:30:00</t>
  </si>
  <si>
    <t>7/23/2019 15:30:00</t>
  </si>
  <si>
    <t>7/24/2019 15:30:00</t>
  </si>
  <si>
    <t>7/25/2019 15:30:00</t>
  </si>
  <si>
    <t>7/26/2019 15:30:00</t>
  </si>
  <si>
    <t>7/29/2019 15:30:00</t>
  </si>
  <si>
    <t>7/30/2019 15:30:00</t>
  </si>
  <si>
    <t>7/31/2019 15:30:00</t>
  </si>
  <si>
    <t>8/13/2019 15:30:00</t>
  </si>
  <si>
    <t>8/14/2019 15:30:00</t>
  </si>
  <si>
    <t>8/16/2019 15:30:00</t>
  </si>
  <si>
    <t>8/19/2019 15:30:00</t>
  </si>
  <si>
    <t>8/20/2019 15:30:00</t>
  </si>
  <si>
    <t>8/21/2019 15:30:00</t>
  </si>
  <si>
    <t>8/22/2019 15:30:00</t>
  </si>
  <si>
    <t>8/23/2019 15:30:00</t>
  </si>
  <si>
    <t>8/26/2019 15:30:00</t>
  </si>
  <si>
    <t>8/27/2019 15:30:00</t>
  </si>
  <si>
    <t>8/28/2019 15:30:00</t>
  </si>
  <si>
    <t>8/29/2019 15:30:00</t>
  </si>
  <si>
    <t>8/30/2019 15:30:00</t>
  </si>
  <si>
    <t>9/13/2019 15:30:00</t>
  </si>
  <si>
    <t>9/16/2019 15:30:00</t>
  </si>
  <si>
    <t>9/17/2019 15:30:00</t>
  </si>
  <si>
    <t>9/18/2019 15:30:00</t>
  </si>
  <si>
    <t>9/19/2019 15:30:00</t>
  </si>
  <si>
    <t>9/20/2019 15:30:00</t>
  </si>
  <si>
    <t>9/23/2019 15:30:00</t>
  </si>
  <si>
    <t>9/24/2019 15:30:00</t>
  </si>
  <si>
    <t>9/25/2019 15:30:00</t>
  </si>
  <si>
    <t>9/26/2019 15:30:00</t>
  </si>
  <si>
    <t>9/27/2019 15:30:00</t>
  </si>
  <si>
    <t>9/30/2019 15:30:00</t>
  </si>
  <si>
    <t>10/14/2019 15:30:00</t>
  </si>
  <si>
    <t>10/15/2019 15:30:00</t>
  </si>
  <si>
    <t>10/16/2019 15:30:00</t>
  </si>
  <si>
    <t>10/17/2019 15:30:00</t>
  </si>
  <si>
    <t>10/18/2019 15:30:00</t>
  </si>
  <si>
    <t>10/22/2019 15:30:00</t>
  </si>
  <si>
    <t>10/23/2019 15:30:00</t>
  </si>
  <si>
    <t>10/24/2019 15:30:00</t>
  </si>
  <si>
    <t>10/25/2019 19:00:00</t>
  </si>
  <si>
    <t>10/27/2019 19:25:00</t>
  </si>
  <si>
    <t>10/29/2019 15:30:00</t>
  </si>
  <si>
    <t>10/30/2019 15:30:00</t>
  </si>
  <si>
    <t>10/31/2019 15:30:00</t>
  </si>
  <si>
    <t>11/13/2019 15:30:00</t>
  </si>
  <si>
    <t>11/14/2019 15:30:00</t>
  </si>
  <si>
    <t>11/15/2019 15:30:00</t>
  </si>
  <si>
    <t>11/18/2019 15:30:00</t>
  </si>
  <si>
    <t>11/19/2019 15:30:00</t>
  </si>
  <si>
    <t>11/20/2019 15:30:00</t>
  </si>
  <si>
    <t>11/21/2019 15:30:00</t>
  </si>
  <si>
    <t>11/22/2019 15:30:00</t>
  </si>
  <si>
    <t>11/25/2019 15:30:00</t>
  </si>
  <si>
    <t>11/26/2019 15:30:00</t>
  </si>
  <si>
    <t>11/27/2019 15:30:00</t>
  </si>
  <si>
    <t>11/28/2019 15:30:00</t>
  </si>
  <si>
    <t>11/29/2019 15:30:00</t>
  </si>
  <si>
    <t>12/13/2019 15:30:00</t>
  </si>
  <si>
    <t>12/16/2019 15:30:00</t>
  </si>
  <si>
    <t>12/17/2019 15:30:00</t>
  </si>
  <si>
    <t>12/18/2019 15:30:00</t>
  </si>
  <si>
    <t>12/19/2019 15:30:00</t>
  </si>
  <si>
    <t>12/20/2019 15:30:00</t>
  </si>
  <si>
    <t>12/23/2019 15:30:00</t>
  </si>
  <si>
    <t>12/24/2019 15:30:00</t>
  </si>
  <si>
    <t>12/26/2019 15:30:00</t>
  </si>
  <si>
    <t>12/27/2019 15:30:00</t>
  </si>
  <si>
    <t>12/30/2019 15:30:00</t>
  </si>
  <si>
    <t>12/31/2019 15:30:00</t>
  </si>
  <si>
    <t>1/13/2020 15:30:00</t>
  </si>
  <si>
    <t>1/14/2020 15:30:00</t>
  </si>
  <si>
    <t>1/15/2020 15:30:00</t>
  </si>
  <si>
    <t>1/16/2020 15:30:00</t>
  </si>
  <si>
    <t>1/17/2020 15:30:00</t>
  </si>
  <si>
    <t>1/20/2020 15:30:00</t>
  </si>
  <si>
    <t>1/21/2020 15:30:00</t>
  </si>
  <si>
    <t>1/22/2020 15:30:00</t>
  </si>
  <si>
    <t>1/23/2020 15:30:00</t>
  </si>
  <si>
    <t>1/24/2020 15:30:00</t>
  </si>
  <si>
    <t>1/27/2020 15:30:00</t>
  </si>
  <si>
    <t>1/28/2020 15:30:00</t>
  </si>
  <si>
    <t>1/29/2020 15:30:00</t>
  </si>
  <si>
    <t>1/30/2020 15:30:00</t>
  </si>
  <si>
    <t>1/31/2020 15:30:00</t>
  </si>
  <si>
    <t>2/13/2020 15:30:00</t>
  </si>
  <si>
    <t>2/14/2020 15:30:00</t>
  </si>
  <si>
    <t>2/17/2020 15:30:00</t>
  </si>
  <si>
    <t>2/18/2020 15:30:00</t>
  </si>
  <si>
    <t>2/19/2020 15:30:00</t>
  </si>
  <si>
    <t>2/20/2020 15:30:00</t>
  </si>
  <si>
    <t>2/24/2020 15:30:00</t>
  </si>
  <si>
    <t>2/25/2020 15:30:00</t>
  </si>
  <si>
    <t>2/26/2020 15:30:00</t>
  </si>
  <si>
    <t>2/27/2020 15:30:00</t>
  </si>
  <si>
    <t>2/28/2020 15:30:00</t>
  </si>
  <si>
    <t>3/13/2020 15:30:00</t>
  </si>
  <si>
    <t>3/16/2020 15:30:00</t>
  </si>
  <si>
    <t>3/17/2020 15:30:00</t>
  </si>
  <si>
    <t>3/18/2020 15:30:00</t>
  </si>
  <si>
    <t>3/19/2020 15:30:00</t>
  </si>
  <si>
    <t>3/20/2020 15:30:00</t>
  </si>
  <si>
    <t>3/23/2020 15:30:00</t>
  </si>
  <si>
    <t>3/24/2020 15:30:00</t>
  </si>
  <si>
    <t>3/25/2020 15:30:00</t>
  </si>
  <si>
    <t>3/26/2020 15:30:00</t>
  </si>
  <si>
    <t>3/27/2020 15:30:00</t>
  </si>
  <si>
    <t>3/30/2020 15:30:00</t>
  </si>
  <si>
    <t>3/31/2020 15:30:00</t>
  </si>
  <si>
    <t>4/13/2020 15:30:00</t>
  </si>
  <si>
    <t>4/15/2020 15:30:00</t>
  </si>
  <si>
    <t>4/16/2020 15:30:00</t>
  </si>
  <si>
    <t>4/17/2020 15:30:00</t>
  </si>
  <si>
    <t>4/20/2020 15:30:00</t>
  </si>
  <si>
    <t>4/21/2020 15:30:00</t>
  </si>
  <si>
    <t>4/22/2020 15:30:00</t>
  </si>
  <si>
    <t>4/23/2020 15:30:00</t>
  </si>
  <si>
    <t>4/24/2020 15:30:00</t>
  </si>
  <si>
    <t>4/27/2020 15:30:00</t>
  </si>
  <si>
    <t>4/28/2020 15:30:00</t>
  </si>
  <si>
    <t>4/29/2020 15:30:00</t>
  </si>
  <si>
    <t>4/30/2020 15:30:00</t>
  </si>
  <si>
    <t>5/13/2020 15:30:00</t>
  </si>
  <si>
    <t>5/14/2020 15:30:00</t>
  </si>
  <si>
    <t>5/15/2020 15:30:00</t>
  </si>
  <si>
    <t>5/18/2020 15:30:00</t>
  </si>
  <si>
    <t>5/19/2020 15:30:00</t>
  </si>
  <si>
    <t>5/20/2020 15:30:00</t>
  </si>
  <si>
    <t>5/21/2020 15:30:00</t>
  </si>
  <si>
    <t>5/22/2020 15:30:00</t>
  </si>
  <si>
    <t>5/26/2020 15:30:00</t>
  </si>
  <si>
    <t>5/27/2020 15:30:00</t>
  </si>
  <si>
    <t>5/28/2020 15:30:00</t>
  </si>
  <si>
    <t>5/29/2020 15:30:00</t>
  </si>
  <si>
    <t>6/15/2020 15:30:00</t>
  </si>
  <si>
    <t>6/16/2020 15:30:00</t>
  </si>
  <si>
    <t>6/17/2020 15:30:00</t>
  </si>
  <si>
    <t>6/18/2020 15:30:00</t>
  </si>
  <si>
    <t>6/19/2020 15:30:00</t>
  </si>
  <si>
    <t>6/22/2020 15:30:00</t>
  </si>
  <si>
    <t>6/23/2020 15:30:00</t>
  </si>
  <si>
    <t>6/24/2020 15:30:00</t>
  </si>
  <si>
    <t>6/25/2020 15:30:00</t>
  </si>
  <si>
    <t>6/26/2020 15:30:00</t>
  </si>
  <si>
    <t>6/29/2020 15:30:00</t>
  </si>
  <si>
    <t>6/30/2020 15:30:00</t>
  </si>
  <si>
    <t>7/13/2020 15:30:00</t>
  </si>
  <si>
    <t>7/14/2020 15:30:00</t>
  </si>
  <si>
    <t>7/15/2020 15:30:00</t>
  </si>
  <si>
    <t>7/16/2020 15:30:00</t>
  </si>
  <si>
    <t>7/17/2020 15:30:00</t>
  </si>
  <si>
    <t>7/20/2020 15:30:00</t>
  </si>
  <si>
    <t>7/21/2020 15:30:00</t>
  </si>
  <si>
    <t>7/22/2020 15:30:00</t>
  </si>
  <si>
    <t>7/23/2020 15:30:00</t>
  </si>
  <si>
    <t>7/24/2020 15:30:00</t>
  </si>
  <si>
    <t>7/27/2020 15:30:00</t>
  </si>
  <si>
    <t>7/28/2020 15:30:00</t>
  </si>
  <si>
    <t>7/29/2020 15:30:00</t>
  </si>
  <si>
    <t>7/30/2020 15:30:00</t>
  </si>
  <si>
    <t>7/31/2020 15:30:00</t>
  </si>
  <si>
    <t>8/13/2020 15:30:00</t>
  </si>
  <si>
    <t>8/14/2020 15:30:00</t>
  </si>
  <si>
    <t>8/17/2020 15:30:00</t>
  </si>
  <si>
    <t>8/18/2020 15:30:00</t>
  </si>
  <si>
    <t>8/19/2020 15:30:00</t>
  </si>
  <si>
    <t>8/20/2020 15:30:00</t>
  </si>
  <si>
    <t>8/21/2020 15:30:00</t>
  </si>
  <si>
    <t>8/24/2020 15:30:00</t>
  </si>
  <si>
    <t>8/25/2020 15:30:00</t>
  </si>
  <si>
    <t>8/26/2020 15:30:00</t>
  </si>
  <si>
    <t>8/27/2020 15:30:00</t>
  </si>
  <si>
    <t>8/28/2020 15:30:00</t>
  </si>
  <si>
    <t>8/31/2020 15:30:00</t>
  </si>
  <si>
    <t>9/14/2020 15:30:00</t>
  </si>
  <si>
    <t>9/15/2020 15:30:00</t>
  </si>
  <si>
    <t>9/16/2020 15:30:00</t>
  </si>
  <si>
    <t>9/17/2020 15:30:00</t>
  </si>
  <si>
    <t>9/18/2020 15:30:00</t>
  </si>
  <si>
    <t>9/21/2020 15:30:00</t>
  </si>
  <si>
    <t>9/22/2020 15:30:00</t>
  </si>
  <si>
    <t>9/23/2020 15:30:00</t>
  </si>
  <si>
    <t>9/24/2020 15:30:00</t>
  </si>
  <si>
    <t>9/25/2020 15:30:00</t>
  </si>
  <si>
    <t>9/28/2020 15:30:00</t>
  </si>
  <si>
    <t>9/29/2020 15:30:00</t>
  </si>
  <si>
    <t>9/30/2020 15:30:00</t>
  </si>
  <si>
    <t>10/13/2020 15:30:00</t>
  </si>
  <si>
    <t>10/14/2020 15:30:00</t>
  </si>
  <si>
    <t>10/15/2020 15:30:00</t>
  </si>
  <si>
    <t>10/16/2020 15:30:00</t>
  </si>
  <si>
    <t>10/19/2020 15:30:00</t>
  </si>
  <si>
    <t>10/20/2020 15:30:00</t>
  </si>
  <si>
    <t>10/21/2020 15:30:00</t>
  </si>
  <si>
    <t>10/22/2020 15:30:00</t>
  </si>
  <si>
    <t>10/23/2020 15:30:00</t>
  </si>
  <si>
    <t>10/26/2020 15:30:00</t>
  </si>
  <si>
    <t>10/27/2020 15:30:00</t>
  </si>
  <si>
    <t>10/28/2020 15:30:00</t>
  </si>
  <si>
    <t>10/29/2020 15:30:00</t>
  </si>
  <si>
    <t>10/30/2020 15:30:00</t>
  </si>
  <si>
    <t>11/13/2020 15:30:00</t>
  </si>
  <si>
    <t>11/17/2020 15:30:00</t>
  </si>
  <si>
    <t>11/18/2020 15:30:00</t>
  </si>
  <si>
    <t>11/19/2020 15:30:00</t>
  </si>
  <si>
    <t>11/20/2020 15:30:00</t>
  </si>
  <si>
    <t>11/23/2020 15:30:00</t>
  </si>
  <si>
    <t>11/24/2020 15:30:00</t>
  </si>
  <si>
    <t>11/25/2020 15:30:00</t>
  </si>
  <si>
    <t>11/26/2020 15:30:00</t>
  </si>
  <si>
    <t>11/27/2020 15:30:00</t>
  </si>
  <si>
    <t>12/14/2020 15:30:00</t>
  </si>
  <si>
    <t>12/15/2020 15:30:00</t>
  </si>
  <si>
    <t>12/16/2020 15:30:00</t>
  </si>
  <si>
    <t>12/17/2020 15:30:00</t>
  </si>
  <si>
    <t>12/18/2020 15:30:00</t>
  </si>
  <si>
    <t>12/21/2020 15:30:00</t>
  </si>
  <si>
    <t>12/22/2020 15:30:00</t>
  </si>
  <si>
    <t>12/23/2020 15:30:00</t>
  </si>
  <si>
    <t>12/24/2020 15:30:00</t>
  </si>
  <si>
    <t>12/28/2020 15:30:00</t>
  </si>
  <si>
    <t>12/29/2020 15:30:00</t>
  </si>
  <si>
    <t>12/30/2020 15:30:00</t>
  </si>
  <si>
    <t>12/31/2020 15:30:00</t>
  </si>
  <si>
    <t>1/13/2021 15:30:00</t>
  </si>
  <si>
    <t>1/14/2021 15:30:00</t>
  </si>
  <si>
    <t>1/15/2021 15:30:00</t>
  </si>
  <si>
    <t>1/18/2021 15:30:00</t>
  </si>
  <si>
    <t>1/19/2021 15:30:00</t>
  </si>
  <si>
    <t>1/20/2021 15:30:00</t>
  </si>
  <si>
    <t>1/21/2021 15:30:00</t>
  </si>
  <si>
    <t>1/22/2021 15:30:00</t>
  </si>
  <si>
    <t>1/25/2021 15:30:00</t>
  </si>
  <si>
    <t>1/27/2021 15:30:00</t>
  </si>
  <si>
    <t>1/28/2021 15:30:00</t>
  </si>
  <si>
    <t>1/29/2021 15:30:00</t>
  </si>
  <si>
    <t>2/15/2021 15:30:00</t>
  </si>
  <si>
    <t>2/16/2021 15:30:00</t>
  </si>
  <si>
    <t>2/17/2021 15:30:00</t>
  </si>
  <si>
    <t>2/18/2021 15:30:00</t>
  </si>
  <si>
    <t>2/19/2021 15:30:00</t>
  </si>
  <si>
    <t>2/22/2021 15:30:00</t>
  </si>
  <si>
    <t>2/23/2021 15:30:00</t>
  </si>
  <si>
    <t>2/24/2021 15:30:00</t>
  </si>
  <si>
    <t>2/25/2021 15:30:00</t>
  </si>
  <si>
    <t>2/26/2021 15:30:00</t>
  </si>
  <si>
    <t>3/15/2021 15:30:00</t>
  </si>
  <si>
    <t>3/16/2021 15:30:00</t>
  </si>
  <si>
    <t>3/17/2021 15:30:00</t>
  </si>
  <si>
    <t>3/18/2021 15:30:00</t>
  </si>
  <si>
    <t>3/19/2021 15:30:00</t>
  </si>
  <si>
    <t>3/22/2021 15:30:00</t>
  </si>
  <si>
    <t>3/23/2021 15:30:00</t>
  </si>
  <si>
    <t>3/24/2021 15:30:00</t>
  </si>
  <si>
    <t>3/25/2021 15:30:00</t>
  </si>
  <si>
    <t>3/26/2021 15:30:00</t>
  </si>
  <si>
    <t>3/30/2021 15:30:00</t>
  </si>
  <si>
    <t>3/31/2021 15:30:00</t>
  </si>
  <si>
    <t>4/13/2021 15:30:00</t>
  </si>
  <si>
    <t>4/15/2021 15:30:00</t>
  </si>
  <si>
    <t>4/16/2021 15:30:00</t>
  </si>
  <si>
    <t>4/19/2021 15:30:00</t>
  </si>
  <si>
    <t>4/20/2021 15:30:00</t>
  </si>
  <si>
    <t>4/22/2021 15:30:00</t>
  </si>
  <si>
    <t>4/23/2021 15:30:00</t>
  </si>
  <si>
    <t>4/26/2021 15:30:00</t>
  </si>
  <si>
    <t>4/27/2021 15:30:00</t>
  </si>
  <si>
    <t>4/28/2021 15:30:00</t>
  </si>
  <si>
    <t>4/29/2021 15:30:00</t>
  </si>
  <si>
    <t>4/30/2021 15:30:00</t>
  </si>
  <si>
    <t>5/14/2021 15:30:00</t>
  </si>
  <si>
    <t>NIFTY_50</t>
  </si>
  <si>
    <t>NIFTY_IT</t>
  </si>
  <si>
    <t>NIFTY_BANK</t>
  </si>
  <si>
    <t>Log_Return</t>
  </si>
  <si>
    <t>Weights</t>
  </si>
  <si>
    <t>Daily_Return</t>
  </si>
  <si>
    <t>Port_Ret</t>
  </si>
  <si>
    <t>Month End</t>
  </si>
  <si>
    <t>Quarerly Volatility</t>
  </si>
  <si>
    <t>Score</t>
  </si>
  <si>
    <t>Rank</t>
  </si>
  <si>
    <t>Quarerly Return</t>
  </si>
  <si>
    <t>Qrt_Return</t>
  </si>
  <si>
    <t>EBBETF0430</t>
  </si>
  <si>
    <t>Hedge</t>
  </si>
  <si>
    <t>QH</t>
  </si>
  <si>
    <t>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</si>
</sst>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m/d/yyyy\ h:mm:ss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</cellStyleXfs>
  <cellXfs count="2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3" fillId="3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6" fillId="0" borderId="0" xfId="0" applyFont="1"/>
    <xf numFmtId="164" fontId="6" fillId="0" borderId="0" xfId="0" applyNumberFormat="1" applyFont="1"/>
    <xf numFmtId="10" fontId="0" fillId="0" borderId="0" xfId="2" applyNumberFormat="1" applyFont="1"/>
    <xf numFmtId="43" fontId="0" fillId="0" borderId="0" xfId="1" applyFont="1"/>
    <xf numFmtId="22" fontId="0" fillId="0" borderId="0" xfId="0" applyNumberFormat="1"/>
    <xf numFmtId="0" fontId="2" fillId="4" borderId="0" xfId="0" applyFont="1" applyFill="1" applyAlignment="1">
      <alignment vertical="center"/>
    </xf>
    <xf numFmtId="0" fontId="7" fillId="4" borderId="0" xfId="0" applyFont="1" applyFill="1" applyAlignment="1">
      <alignment horizontal="center" vertical="center" wrapText="1"/>
    </xf>
    <xf numFmtId="165" fontId="0" fillId="0" borderId="0" xfId="2" applyNumberFormat="1" applyFont="1"/>
    <xf numFmtId="0" fontId="7" fillId="4" borderId="2" xfId="0" applyFont="1" applyFill="1" applyBorder="1" applyAlignment="1">
      <alignment horizontal="center" vertical="center" wrapText="1"/>
    </xf>
    <xf numFmtId="0" fontId="0" fillId="0" borderId="2" xfId="0" applyBorder="1"/>
    <xf numFmtId="10" fontId="0" fillId="0" borderId="2" xfId="2" applyNumberFormat="1" applyFont="1" applyBorder="1"/>
    <xf numFmtId="165" fontId="0" fillId="0" borderId="2" xfId="2" applyNumberFormat="1" applyFont="1" applyBorder="1"/>
    <xf numFmtId="1" fontId="0" fillId="0" borderId="0" xfId="2" applyNumberFormat="1" applyFont="1" applyBorder="1"/>
    <xf numFmtId="0" fontId="2" fillId="5" borderId="1" xfId="0" applyFont="1" applyFill="1" applyBorder="1" applyAlignment="1">
      <alignment horizontal="center" vertical="center"/>
    </xf>
    <xf numFmtId="0" fontId="6" fillId="0" borderId="0" xfId="3" applyFont="1"/>
    <xf numFmtId="164" fontId="6" fillId="0" borderId="0" xfId="3" applyNumberFormat="1" applyFont="1"/>
    <xf numFmtId="0" fontId="8" fillId="6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" fillId="5" borderId="1" xfId="0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2" xfId="3" xr:uid="{3C72F3DC-E8AB-4C11-81D7-393A5812010C}"/>
    <cellStyle name="Percent" xfId="2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"/>
  <sheetViews>
    <sheetView workbookViewId="0">
      <selection activeCell="L6" sqref="L6"/>
    </sheetView>
  </sheetViews>
  <sheetFormatPr defaultRowHeight="15" x14ac:dyDescent="0.25"/>
  <cols>
    <col min="1" max="1" width="2.85546875" customWidth="1"/>
    <col min="2" max="2" width="21.28515625" customWidth="1"/>
    <col min="3" max="3" width="7.28515625" customWidth="1"/>
    <col min="5" max="5" width="16.28515625" customWidth="1"/>
  </cols>
  <sheetData>
    <row r="1" spans="1:12" x14ac:dyDescent="0.25">
      <c r="B1" s="23" t="s">
        <v>16</v>
      </c>
      <c r="C1" s="23"/>
      <c r="D1" s="23"/>
      <c r="E1" s="23"/>
      <c r="F1" s="23"/>
      <c r="G1" s="23"/>
      <c r="H1" s="23"/>
    </row>
    <row r="2" spans="1:12" x14ac:dyDescent="0.25">
      <c r="B2" s="23"/>
      <c r="C2" s="23"/>
      <c r="D2" s="23"/>
      <c r="E2" s="23"/>
      <c r="F2" s="23"/>
      <c r="G2" s="23"/>
      <c r="H2" s="23"/>
    </row>
    <row r="3" spans="1:12" x14ac:dyDescent="0.25">
      <c r="H3" s="2"/>
      <c r="L3">
        <v>25000</v>
      </c>
    </row>
    <row r="4" spans="1:12" x14ac:dyDescent="0.25">
      <c r="B4" s="24" t="s">
        <v>17</v>
      </c>
      <c r="C4" s="24"/>
      <c r="D4" s="24"/>
      <c r="E4" s="24"/>
      <c r="F4" s="24"/>
      <c r="G4" s="24"/>
      <c r="H4" s="24"/>
    </row>
    <row r="5" spans="1:12" ht="30" x14ac:dyDescent="0.25">
      <c r="B5" s="3" t="s">
        <v>13</v>
      </c>
      <c r="C5" s="3" t="s">
        <v>14</v>
      </c>
      <c r="D5" s="3" t="s">
        <v>18</v>
      </c>
      <c r="E5" s="3" t="s">
        <v>19</v>
      </c>
      <c r="F5" s="3"/>
      <c r="G5" s="3"/>
      <c r="H5" s="3"/>
      <c r="K5" t="s">
        <v>691</v>
      </c>
      <c r="L5">
        <v>210</v>
      </c>
    </row>
    <row r="6" spans="1:12" x14ac:dyDescent="0.25">
      <c r="A6">
        <v>1</v>
      </c>
      <c r="B6" s="4" t="s">
        <v>0</v>
      </c>
      <c r="C6" s="4" t="s">
        <v>15</v>
      </c>
      <c r="D6" s="4"/>
      <c r="E6" s="4"/>
      <c r="F6" s="4"/>
      <c r="G6" s="4"/>
      <c r="H6" s="4"/>
      <c r="K6" t="s">
        <v>692</v>
      </c>
      <c r="L6">
        <v>127</v>
      </c>
    </row>
    <row r="7" spans="1:12" x14ac:dyDescent="0.25">
      <c r="A7">
        <f>+A6+1</f>
        <v>2</v>
      </c>
      <c r="B7" s="4" t="s">
        <v>1</v>
      </c>
      <c r="C7" s="4" t="s">
        <v>15</v>
      </c>
      <c r="D7" s="4"/>
      <c r="E7" s="4"/>
      <c r="F7" s="4"/>
      <c r="G7" s="4"/>
      <c r="H7" s="4"/>
    </row>
    <row r="8" spans="1:12" x14ac:dyDescent="0.25">
      <c r="A8">
        <f t="shared" ref="A8:A13" si="0">+A7+1</f>
        <v>3</v>
      </c>
      <c r="B8" s="4" t="s">
        <v>2</v>
      </c>
      <c r="C8" s="4" t="s">
        <v>15</v>
      </c>
      <c r="D8" s="4"/>
      <c r="E8" s="4"/>
      <c r="F8" s="4"/>
      <c r="G8" s="4"/>
      <c r="H8" s="4"/>
    </row>
    <row r="9" spans="1:12" x14ac:dyDescent="0.25">
      <c r="A9">
        <f t="shared" si="0"/>
        <v>4</v>
      </c>
      <c r="B9" s="5" t="s">
        <v>3</v>
      </c>
      <c r="C9" s="4" t="s">
        <v>15</v>
      </c>
      <c r="D9" s="4"/>
      <c r="E9" s="4"/>
      <c r="F9" s="4"/>
      <c r="G9" s="4"/>
      <c r="H9" s="4"/>
    </row>
    <row r="10" spans="1:12" x14ac:dyDescent="0.25">
      <c r="A10">
        <f t="shared" si="0"/>
        <v>5</v>
      </c>
      <c r="B10" s="5" t="s">
        <v>4</v>
      </c>
      <c r="C10" s="4" t="s">
        <v>15</v>
      </c>
      <c r="D10" s="4"/>
      <c r="E10" s="4"/>
      <c r="F10" s="4"/>
      <c r="G10" s="4"/>
      <c r="H10" s="4"/>
    </row>
    <row r="11" spans="1:12" x14ac:dyDescent="0.25">
      <c r="A11">
        <f t="shared" si="0"/>
        <v>6</v>
      </c>
      <c r="B11" s="5" t="s">
        <v>5</v>
      </c>
      <c r="C11" s="4" t="s">
        <v>15</v>
      </c>
      <c r="D11" s="4"/>
      <c r="E11" s="4"/>
      <c r="F11" s="4"/>
      <c r="G11" s="4"/>
      <c r="H11" s="4"/>
    </row>
    <row r="12" spans="1:12" x14ac:dyDescent="0.25">
      <c r="A12">
        <f t="shared" si="0"/>
        <v>7</v>
      </c>
      <c r="B12" s="5" t="s">
        <v>6</v>
      </c>
      <c r="C12" s="4" t="s">
        <v>15</v>
      </c>
      <c r="D12" s="4"/>
      <c r="E12" s="4"/>
      <c r="F12" s="4"/>
      <c r="G12" s="4"/>
      <c r="H12" s="4"/>
    </row>
    <row r="13" spans="1:12" x14ac:dyDescent="0.25">
      <c r="A13">
        <f t="shared" si="0"/>
        <v>8</v>
      </c>
      <c r="B13" s="5" t="s">
        <v>24</v>
      </c>
      <c r="C13" s="4" t="s">
        <v>15</v>
      </c>
    </row>
  </sheetData>
  <mergeCells count="2">
    <mergeCell ref="B1:H2"/>
    <mergeCell ref="B4:H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DEC28-B8C4-44D9-8574-BFA415FDF9F1}">
  <dimension ref="A1"/>
  <sheetViews>
    <sheetView workbookViewId="0">
      <selection activeCell="E17" sqref="E17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31CC-4B32-4F11-ACE4-CFA5B860FB63}">
  <dimension ref="A1:BE1080"/>
  <sheetViews>
    <sheetView tabSelected="1" workbookViewId="0">
      <pane xSplit="2" ySplit="2" topLeftCell="C177" activePane="bottomRight" state="frozen"/>
      <selection pane="topRight" activeCell="C1" sqref="C1"/>
      <selection pane="bottomLeft" activeCell="A3" sqref="A3"/>
      <selection pane="bottomRight" activeCell="K2" sqref="K2"/>
    </sheetView>
  </sheetViews>
  <sheetFormatPr defaultRowHeight="15" x14ac:dyDescent="0.25"/>
  <cols>
    <col min="2" max="2" width="10.7109375" bestFit="1" customWidth="1"/>
    <col min="3" max="11" width="10.7109375" customWidth="1"/>
    <col min="30" max="30" width="9.140625" style="15"/>
    <col min="39" max="39" width="11.28515625" style="15" bestFit="1" customWidth="1"/>
    <col min="40" max="43" width="10.140625" bestFit="1" customWidth="1"/>
    <col min="44" max="44" width="9.28515625" bestFit="1" customWidth="1"/>
    <col min="45" max="46" width="10.140625" bestFit="1" customWidth="1"/>
    <col min="47" max="47" width="10.140625" customWidth="1"/>
    <col min="48" max="48" width="11.28515625" style="15" bestFit="1" customWidth="1"/>
    <col min="49" max="52" width="10.140625" bestFit="1" customWidth="1"/>
    <col min="53" max="53" width="9.28515625" bestFit="1" customWidth="1"/>
    <col min="54" max="55" width="10.140625" bestFit="1" customWidth="1"/>
    <col min="56" max="56" width="10.140625" customWidth="1"/>
  </cols>
  <sheetData>
    <row r="1" spans="1:57" x14ac:dyDescent="0.25">
      <c r="A1" s="11"/>
      <c r="B1" s="11"/>
      <c r="C1" s="25" t="s">
        <v>680</v>
      </c>
      <c r="D1" s="25"/>
      <c r="E1" s="25"/>
      <c r="F1" s="25"/>
      <c r="G1" s="25"/>
      <c r="H1" s="25"/>
      <c r="I1" s="25"/>
      <c r="J1" s="25"/>
      <c r="K1" s="19" t="s">
        <v>690</v>
      </c>
      <c r="L1" s="25" t="s">
        <v>681</v>
      </c>
      <c r="M1" s="25"/>
      <c r="N1" s="25"/>
      <c r="O1" s="25"/>
      <c r="P1" s="25"/>
      <c r="Q1" s="25"/>
      <c r="R1" s="25"/>
      <c r="S1" s="25"/>
      <c r="T1" s="19" t="s">
        <v>690</v>
      </c>
      <c r="U1" s="25" t="s">
        <v>687</v>
      </c>
      <c r="V1" s="25"/>
      <c r="W1" s="25"/>
      <c r="X1" s="25"/>
      <c r="Y1" s="25"/>
      <c r="Z1" s="25"/>
      <c r="AA1" s="25"/>
      <c r="AB1" s="25"/>
      <c r="AC1" s="19" t="str">
        <f>+T1</f>
        <v>Hedge</v>
      </c>
      <c r="AD1" s="25" t="s">
        <v>684</v>
      </c>
      <c r="AE1" s="25"/>
      <c r="AF1" s="25"/>
      <c r="AG1" s="25"/>
      <c r="AH1" s="25"/>
      <c r="AI1" s="25"/>
      <c r="AJ1" s="25"/>
      <c r="AK1" s="25"/>
      <c r="AL1" s="19" t="s">
        <v>690</v>
      </c>
      <c r="AM1" s="25" t="s">
        <v>685</v>
      </c>
      <c r="AN1" s="25"/>
      <c r="AO1" s="25"/>
      <c r="AP1" s="25"/>
      <c r="AQ1" s="25"/>
      <c r="AR1" s="25"/>
      <c r="AS1" s="25"/>
      <c r="AT1" s="25"/>
      <c r="AU1" s="19" t="s">
        <v>690</v>
      </c>
      <c r="AV1" s="25" t="s">
        <v>686</v>
      </c>
      <c r="AW1" s="25"/>
      <c r="AX1" s="25"/>
      <c r="AY1" s="25"/>
      <c r="AZ1" s="25"/>
      <c r="BA1" s="25"/>
      <c r="BB1" s="25"/>
      <c r="BC1" s="25"/>
      <c r="BD1" s="19" t="str">
        <f>+AU1</f>
        <v>Hedge</v>
      </c>
    </row>
    <row r="2" spans="1:57" ht="24" x14ac:dyDescent="0.25">
      <c r="A2" s="11" t="s">
        <v>683</v>
      </c>
      <c r="B2" s="11" t="s">
        <v>7</v>
      </c>
      <c r="C2" s="12" t="s">
        <v>676</v>
      </c>
      <c r="D2" s="12" t="s">
        <v>678</v>
      </c>
      <c r="E2" s="12" t="s">
        <v>677</v>
      </c>
      <c r="F2" s="12" t="s">
        <v>20</v>
      </c>
      <c r="G2" s="12" t="s">
        <v>21</v>
      </c>
      <c r="H2" s="12" t="s">
        <v>22</v>
      </c>
      <c r="I2" s="12" t="s">
        <v>23</v>
      </c>
      <c r="J2" s="12" t="s">
        <v>25</v>
      </c>
      <c r="K2" s="22" t="s">
        <v>689</v>
      </c>
      <c r="L2" s="12" t="str">
        <f t="shared" ref="L2:U2" si="0">+C2</f>
        <v>NIFTY_50</v>
      </c>
      <c r="M2" s="12" t="str">
        <f t="shared" si="0"/>
        <v>NIFTY_BANK</v>
      </c>
      <c r="N2" s="12" t="str">
        <f t="shared" si="0"/>
        <v>NIFTY_IT</v>
      </c>
      <c r="O2" s="12" t="str">
        <f t="shared" si="0"/>
        <v>NIFTY_PHARMA</v>
      </c>
      <c r="P2" s="12" t="str">
        <f t="shared" si="0"/>
        <v>NIFTY_FMCG</v>
      </c>
      <c r="Q2" s="12" t="str">
        <f t="shared" si="0"/>
        <v>NIFTY_METAL</v>
      </c>
      <c r="R2" s="12" t="str">
        <f t="shared" si="0"/>
        <v>NIFTY_ENERGY</v>
      </c>
      <c r="S2" s="12" t="str">
        <f t="shared" si="0"/>
        <v>NIFTY_AUTO</v>
      </c>
      <c r="T2" s="22" t="str">
        <f t="shared" si="0"/>
        <v>EBBETF0430</v>
      </c>
      <c r="U2" s="12" t="str">
        <f t="shared" si="0"/>
        <v>NIFTY_50</v>
      </c>
      <c r="V2" s="12" t="str">
        <f t="shared" ref="V2:AC2" si="1">+M2</f>
        <v>NIFTY_BANK</v>
      </c>
      <c r="W2" s="12" t="str">
        <f t="shared" si="1"/>
        <v>NIFTY_IT</v>
      </c>
      <c r="X2" s="12" t="str">
        <f t="shared" si="1"/>
        <v>NIFTY_PHARMA</v>
      </c>
      <c r="Y2" s="12" t="str">
        <f t="shared" si="1"/>
        <v>NIFTY_FMCG</v>
      </c>
      <c r="Z2" s="12" t="str">
        <f t="shared" si="1"/>
        <v>NIFTY_METAL</v>
      </c>
      <c r="AA2" s="12" t="str">
        <f t="shared" si="1"/>
        <v>NIFTY_ENERGY</v>
      </c>
      <c r="AB2" s="12" t="str">
        <f t="shared" si="1"/>
        <v>NIFTY_AUTO</v>
      </c>
      <c r="AC2" s="22" t="str">
        <f t="shared" si="1"/>
        <v>EBBETF0430</v>
      </c>
      <c r="AD2" s="14" t="str">
        <f t="shared" ref="AD2:AL2" si="2">+L2</f>
        <v>NIFTY_50</v>
      </c>
      <c r="AE2" s="12" t="str">
        <f t="shared" si="2"/>
        <v>NIFTY_BANK</v>
      </c>
      <c r="AF2" s="12" t="str">
        <f t="shared" si="2"/>
        <v>NIFTY_IT</v>
      </c>
      <c r="AG2" s="12" t="str">
        <f t="shared" si="2"/>
        <v>NIFTY_PHARMA</v>
      </c>
      <c r="AH2" s="12" t="str">
        <f t="shared" si="2"/>
        <v>NIFTY_FMCG</v>
      </c>
      <c r="AI2" s="12" t="str">
        <f t="shared" si="2"/>
        <v>NIFTY_METAL</v>
      </c>
      <c r="AJ2" s="12" t="str">
        <f t="shared" si="2"/>
        <v>NIFTY_ENERGY</v>
      </c>
      <c r="AK2" s="12" t="str">
        <f t="shared" si="2"/>
        <v>NIFTY_AUTO</v>
      </c>
      <c r="AL2" s="22" t="str">
        <f t="shared" si="2"/>
        <v>EBBETF0430</v>
      </c>
      <c r="AM2" s="14" t="str">
        <f t="shared" ref="AM2:AS2" si="3">+AD2</f>
        <v>NIFTY_50</v>
      </c>
      <c r="AN2" s="12" t="str">
        <f t="shared" si="3"/>
        <v>NIFTY_BANK</v>
      </c>
      <c r="AO2" s="12" t="str">
        <f t="shared" si="3"/>
        <v>NIFTY_IT</v>
      </c>
      <c r="AP2" s="12" t="str">
        <f t="shared" si="3"/>
        <v>NIFTY_PHARMA</v>
      </c>
      <c r="AQ2" s="12" t="str">
        <f t="shared" si="3"/>
        <v>NIFTY_FMCG</v>
      </c>
      <c r="AR2" s="12" t="str">
        <f t="shared" si="3"/>
        <v>NIFTY_METAL</v>
      </c>
      <c r="AS2" s="12" t="str">
        <f t="shared" si="3"/>
        <v>NIFTY_ENERGY</v>
      </c>
      <c r="AT2" s="12" t="str">
        <f t="shared" ref="AT2:AU2" si="4">+AK2</f>
        <v>NIFTY_AUTO</v>
      </c>
      <c r="AU2" s="22" t="str">
        <f t="shared" si="4"/>
        <v>EBBETF0430</v>
      </c>
      <c r="AV2" s="14" t="str">
        <f>+AM2</f>
        <v>NIFTY_50</v>
      </c>
      <c r="AW2" s="12" t="str">
        <f t="shared" ref="AW2" si="5">+AN2</f>
        <v>NIFTY_BANK</v>
      </c>
      <c r="AX2" s="12" t="str">
        <f t="shared" ref="AX2" si="6">+AO2</f>
        <v>NIFTY_IT</v>
      </c>
      <c r="AY2" s="12" t="str">
        <f t="shared" ref="AY2" si="7">+AP2</f>
        <v>NIFTY_PHARMA</v>
      </c>
      <c r="AZ2" s="12" t="str">
        <f t="shared" ref="AZ2" si="8">+AQ2</f>
        <v>NIFTY_FMCG</v>
      </c>
      <c r="BA2" s="12" t="str">
        <f t="shared" ref="BA2" si="9">+AR2</f>
        <v>NIFTY_METAL</v>
      </c>
      <c r="BB2" s="12" t="str">
        <f t="shared" ref="BB2" si="10">+AS2</f>
        <v>NIFTY_ENERGY</v>
      </c>
      <c r="BC2" s="12" t="str">
        <f t="shared" ref="BC2:BD2" si="11">+AT2</f>
        <v>NIFTY_AUTO</v>
      </c>
      <c r="BD2" s="22" t="str">
        <f t="shared" si="11"/>
        <v>EBBETF0430</v>
      </c>
      <c r="BE2" t="s">
        <v>682</v>
      </c>
    </row>
    <row r="3" spans="1:57" x14ac:dyDescent="0.25">
      <c r="A3" t="str">
        <f>+IF(MONTH(B3)&lt;&gt;MONTH(B4),"Y","")</f>
        <v/>
      </c>
      <c r="B3" s="1">
        <v>42737</v>
      </c>
      <c r="C3" s="9">
        <v>0.1111111111111111</v>
      </c>
      <c r="D3" s="9">
        <v>0.1111111111111111</v>
      </c>
      <c r="E3" s="9">
        <v>0.1111111111111111</v>
      </c>
      <c r="F3" s="9">
        <v>0.1111111111111111</v>
      </c>
      <c r="G3" s="9">
        <v>0.1111111111111111</v>
      </c>
      <c r="H3" s="9">
        <v>0.1111111111111111</v>
      </c>
      <c r="I3" s="9">
        <v>0.1111111111111111</v>
      </c>
      <c r="J3" s="9">
        <v>0.1111111111111111</v>
      </c>
      <c r="K3" s="9">
        <v>0</v>
      </c>
    </row>
    <row r="4" spans="1:57" x14ac:dyDescent="0.25">
      <c r="A4" t="str">
        <f t="shared" ref="A4:A67" si="12">+IF(MONTH(B4)&lt;&gt;MONTH(B5),"Y","")</f>
        <v/>
      </c>
      <c r="B4" s="1">
        <v>42738</v>
      </c>
      <c r="C4" s="9">
        <f>C3*(1+L4)/SUMPRODUCT($C3:$K3,1+$L4:$T4)</f>
        <v>0.12479544823390512</v>
      </c>
      <c r="D4" s="9">
        <f t="shared" ref="D4:K4" si="13">D3*(1+M4)/SUMPRODUCT($C3:$K3,1+$L4:$T4)</f>
        <v>0.12505886702513122</v>
      </c>
      <c r="E4" s="9">
        <f t="shared" si="13"/>
        <v>0.12454353192680098</v>
      </c>
      <c r="F4" s="9">
        <f t="shared" si="13"/>
        <v>0.12468884094129522</v>
      </c>
      <c r="G4" s="9">
        <f t="shared" si="13"/>
        <v>0.12552654137233063</v>
      </c>
      <c r="H4" s="9">
        <f t="shared" si="13"/>
        <v>0.12504799567023619</v>
      </c>
      <c r="I4" s="9">
        <f t="shared" si="13"/>
        <v>0.12609291029494457</v>
      </c>
      <c r="J4" s="9">
        <f t="shared" si="13"/>
        <v>0.12424586453535595</v>
      </c>
      <c r="K4" s="9">
        <f t="shared" si="13"/>
        <v>0</v>
      </c>
      <c r="L4" s="8">
        <f>+VLOOKUP($B4,NIFTY_50!$B$3:$I$1238,8,0)</f>
        <v>1.5587749862460143E-3</v>
      </c>
      <c r="M4" s="8">
        <f>+VLOOKUP($B4,NIFTY_BANK!$B$3:$I$41238,8,0)</f>
        <v>3.6728697355534745E-3</v>
      </c>
      <c r="N4" s="8">
        <f>+VLOOKUP($B4,NIFTY_IT!$B$3:$I$1238,8,0)</f>
        <v>-4.6300538726051776E-4</v>
      </c>
      <c r="O4" s="8">
        <f>+VLOOKUP($B4,NIFTY_PHARMA!$B$3:$I$1238,8,0)</f>
        <v>7.0318713507022679E-4</v>
      </c>
      <c r="P4" s="8">
        <f>+VLOOKUP($B4,NIFTY_FMCG!$B$3:$I$1238,8,0)</f>
        <v>7.4262385715355705E-3</v>
      </c>
      <c r="Q4" s="8">
        <f>+VLOOKUP($B4,NIFTY_METAL!$B$3:$I$1238,8,0)</f>
        <v>3.5856205526290097E-3</v>
      </c>
      <c r="R4" s="8">
        <f>+VLOOKUP($B4,NIFTY_ENERGY!$B$3:$I$1238,8,0)</f>
        <v>1.1971690928582079E-2</v>
      </c>
      <c r="S4" s="8">
        <f>+VLOOKUP($B4,NIFTY_AUTO!$B$3:$I$1238,8,0)</f>
        <v>-2.8519658192969199E-3</v>
      </c>
      <c r="T4" s="8">
        <v>0</v>
      </c>
      <c r="U4" s="8"/>
      <c r="V4" s="8"/>
      <c r="W4" s="8"/>
      <c r="X4" s="8"/>
      <c r="Y4" s="8"/>
      <c r="Z4" s="8"/>
      <c r="AA4" s="8"/>
      <c r="AB4" s="8"/>
      <c r="AC4" s="8"/>
      <c r="AD4" s="16"/>
      <c r="AE4" s="8"/>
      <c r="AF4" s="8"/>
      <c r="AG4" s="8"/>
      <c r="AH4" s="8"/>
      <c r="AI4" s="8"/>
      <c r="AJ4" s="8"/>
      <c r="AK4" s="8"/>
      <c r="AL4" s="8"/>
      <c r="AM4" s="16"/>
      <c r="AN4" s="8"/>
      <c r="AO4" s="8"/>
      <c r="AP4" s="8"/>
      <c r="AQ4" s="8"/>
      <c r="AR4" s="8"/>
      <c r="AS4" s="8"/>
      <c r="AT4" s="8"/>
      <c r="AU4" s="8"/>
      <c r="AV4" s="16"/>
      <c r="AW4" s="8"/>
      <c r="AX4" s="8"/>
      <c r="AY4" s="8"/>
      <c r="AZ4" s="8"/>
      <c r="BA4" s="8"/>
      <c r="BB4" s="8"/>
      <c r="BC4" s="8"/>
      <c r="BD4" s="8"/>
      <c r="BE4" s="8">
        <f t="shared" ref="BE4:BE67" si="14">+SUMPRODUCT(C3:J3,L4:S4)</f>
        <v>2.8448234114509929E-3</v>
      </c>
    </row>
    <row r="5" spans="1:57" x14ac:dyDescent="0.25">
      <c r="A5" t="str">
        <f t="shared" si="12"/>
        <v/>
      </c>
      <c r="B5" s="1">
        <v>42739</v>
      </c>
      <c r="C5" s="9">
        <f t="shared" ref="C5:C21" si="15">C4*(1+L5)/SUMPRODUCT($C4:$K4,1+$L5:$T5)</f>
        <v>0.12475832227659651</v>
      </c>
      <c r="D5" s="9">
        <f t="shared" ref="D5:D22" si="16">D4*(1+M5)/SUMPRODUCT($C4:$K4,1+$L5:$T5)</f>
        <v>0.12404580268734085</v>
      </c>
      <c r="E5" s="9">
        <f t="shared" ref="E5:E22" si="17">E4*(1+N5)/SUMPRODUCT($C4:$K4,1+$L5:$T5)</f>
        <v>0.1261513012561381</v>
      </c>
      <c r="F5" s="9">
        <f t="shared" ref="F5:F22" si="18">F4*(1+O5)/SUMPRODUCT($C4:$K4,1+$L5:$T5)</f>
        <v>0.12451343039993915</v>
      </c>
      <c r="G5" s="9">
        <f t="shared" ref="G5:G22" si="19">G4*(1+P5)/SUMPRODUCT($C4:$K4,1+$L5:$T5)</f>
        <v>0.12594373855702318</v>
      </c>
      <c r="H5" s="9">
        <f t="shared" ref="H5:H22" si="20">H4*(1+Q5)/SUMPRODUCT($C4:$K4,1+$L5:$T5)</f>
        <v>0.12487861429603345</v>
      </c>
      <c r="I5" s="9">
        <f t="shared" ref="I5:I22" si="21">I4*(1+R5)/SUMPRODUCT($C4:$K4,1+$L5:$T5)</f>
        <v>0.125064588216873</v>
      </c>
      <c r="J5" s="9">
        <f t="shared" ref="J5:J22" si="22">J4*(1+S5)/SUMPRODUCT($C4:$K4,1+$L5:$T5)</f>
        <v>0.12464420231005581</v>
      </c>
      <c r="K5" s="9">
        <f t="shared" ref="K5:K22" si="23">K4*(1+T5)/SUMPRODUCT($C4:$K4,1+$L5:$T5)</f>
        <v>0</v>
      </c>
      <c r="L5" s="8">
        <f>+VLOOKUP($B5,NIFTY_50!$B$3:$I$1238,8,0)</f>
        <v>-2.1361652781592966E-4</v>
      </c>
      <c r="M5" s="8">
        <f>+VLOOKUP($B5,NIFTY_BANK!$B$3:$I$41238,8,0)</f>
        <v>-8.0174765463859599E-3</v>
      </c>
      <c r="N5" s="8">
        <f>+VLOOKUP($B5,NIFTY_IT!$B$3:$I$1238,8,0)</f>
        <v>1.2994282129846324E-2</v>
      </c>
      <c r="O5" s="8">
        <f>+VLOOKUP($B5,NIFTY_PHARMA!$B$3:$I$1238,8,0)</f>
        <v>-1.3230013230014492E-3</v>
      </c>
      <c r="P5" s="8">
        <f>+VLOOKUP($B5,NIFTY_FMCG!$B$3:$I$1238,8,0)</f>
        <v>3.4077592425283409E-3</v>
      </c>
      <c r="Q5" s="8">
        <f>+VLOOKUP($B5,NIFTY_METAL!$B$3:$I$1238,8,0)</f>
        <v>-1.2707416342842004E-3</v>
      </c>
      <c r="R5" s="8">
        <f>+VLOOKUP($B5,NIFTY_ENERGY!$B$3:$I$1238,8,0)</f>
        <v>-8.0720541076879648E-3</v>
      </c>
      <c r="S5" s="8">
        <f>+VLOOKUP($B5,NIFTY_AUTO!$B$3:$I$1238,8,0)</f>
        <v>3.2902164446309001E-3</v>
      </c>
      <c r="T5" s="8">
        <v>0</v>
      </c>
      <c r="U5" s="8"/>
      <c r="V5" s="8"/>
      <c r="W5" s="8"/>
      <c r="X5" s="8"/>
      <c r="Y5" s="8"/>
      <c r="Z5" s="8"/>
      <c r="AA5" s="8"/>
      <c r="AB5" s="8"/>
      <c r="AC5" s="8"/>
      <c r="AD5" s="16"/>
      <c r="AE5" s="8"/>
      <c r="AF5" s="8"/>
      <c r="AG5" s="8"/>
      <c r="AH5" s="8"/>
      <c r="AI5" s="8"/>
      <c r="AJ5" s="8"/>
      <c r="AK5" s="8"/>
      <c r="AL5" s="8"/>
      <c r="AM5" s="16"/>
      <c r="AN5" s="8"/>
      <c r="AO5" s="8"/>
      <c r="AP5" s="8"/>
      <c r="AQ5" s="8"/>
      <c r="AR5" s="8"/>
      <c r="AS5" s="8"/>
      <c r="AT5" s="8"/>
      <c r="AU5" s="8"/>
      <c r="AV5" s="16"/>
      <c r="AW5" s="8"/>
      <c r="AX5" s="8"/>
      <c r="AY5" s="8"/>
      <c r="AZ5" s="8"/>
      <c r="BA5" s="8"/>
      <c r="BB5" s="8"/>
      <c r="BC5" s="8"/>
      <c r="BD5" s="8"/>
      <c r="BE5" s="8">
        <f t="shared" si="14"/>
        <v>8.3902915482165076E-5</v>
      </c>
    </row>
    <row r="6" spans="1:57" x14ac:dyDescent="0.25">
      <c r="A6" t="str">
        <f t="shared" si="12"/>
        <v/>
      </c>
      <c r="B6" s="1">
        <v>42740</v>
      </c>
      <c r="C6" s="9">
        <f t="shared" si="15"/>
        <v>0.1244334528950283</v>
      </c>
      <c r="D6" s="9">
        <f t="shared" si="16"/>
        <v>0.12401710640685695</v>
      </c>
      <c r="E6" s="9">
        <f t="shared" si="17"/>
        <v>0.12340680959030945</v>
      </c>
      <c r="F6" s="9">
        <f t="shared" si="18"/>
        <v>0.1247757118445436</v>
      </c>
      <c r="G6" s="9">
        <f t="shared" si="19"/>
        <v>0.12515444932152656</v>
      </c>
      <c r="H6" s="9">
        <f t="shared" si="20"/>
        <v>0.12724420050965549</v>
      </c>
      <c r="I6" s="9">
        <f t="shared" si="21"/>
        <v>0.12537584908628802</v>
      </c>
      <c r="J6" s="9">
        <f t="shared" si="22"/>
        <v>0.1255924203457916</v>
      </c>
      <c r="K6" s="9">
        <f t="shared" si="23"/>
        <v>0</v>
      </c>
      <c r="L6" s="8">
        <f>+VLOOKUP($B6,NIFTY_50!$B$3:$I$1238,8,0)</f>
        <v>1.0170319272327699E-2</v>
      </c>
      <c r="M6" s="8">
        <f>+VLOOKUP($B6,NIFTY_BANK!$B$3:$I$41238,8,0)</f>
        <v>1.2573360907718989E-2</v>
      </c>
      <c r="N6" s="8">
        <f>+VLOOKUP($B6,NIFTY_IT!$B$3:$I$1238,8,0)</f>
        <v>-9.2265335479999599E-3</v>
      </c>
      <c r="O6" s="8">
        <f>+VLOOKUP($B6,NIFTY_PHARMA!$B$3:$I$1238,8,0)</f>
        <v>1.4941089695064136E-2</v>
      </c>
      <c r="P6" s="8">
        <f>+VLOOKUP($B6,NIFTY_FMCG!$B$3:$I$1238,8,0)</f>
        <v>6.460395744020353E-3</v>
      </c>
      <c r="Q6" s="8">
        <f>+VLOOKUP($B6,NIFTY_METAL!$B$3:$I$1238,8,0)</f>
        <v>3.1993361607966175E-2</v>
      </c>
      <c r="R6" s="8">
        <f>+VLOOKUP($B6,NIFTY_ENERGY!$B$3:$I$1238,8,0)</f>
        <v>1.5328336643519513E-2</v>
      </c>
      <c r="S6" s="8">
        <f>+VLOOKUP($B6,NIFTY_AUTO!$B$3:$I$1238,8,0)</f>
        <v>2.051249075651862E-2</v>
      </c>
      <c r="T6" s="8">
        <v>0</v>
      </c>
      <c r="U6" s="8"/>
      <c r="V6" s="8"/>
      <c r="W6" s="8"/>
      <c r="X6" s="8"/>
      <c r="Y6" s="8"/>
      <c r="Z6" s="8"/>
      <c r="AA6" s="8"/>
      <c r="AB6" s="8"/>
      <c r="AC6" s="8"/>
      <c r="AD6" s="16"/>
      <c r="AE6" s="8"/>
      <c r="AF6" s="8"/>
      <c r="AG6" s="8"/>
      <c r="AH6" s="8"/>
      <c r="AI6" s="8"/>
      <c r="AJ6" s="8"/>
      <c r="AK6" s="8"/>
      <c r="AL6" s="8"/>
      <c r="AM6" s="16"/>
      <c r="AN6" s="8"/>
      <c r="AO6" s="8"/>
      <c r="AP6" s="8"/>
      <c r="AQ6" s="8"/>
      <c r="AR6" s="8"/>
      <c r="AS6" s="8"/>
      <c r="AT6" s="8"/>
      <c r="AU6" s="8"/>
      <c r="AV6" s="16"/>
      <c r="AW6" s="8"/>
      <c r="AX6" s="8"/>
      <c r="AY6" s="8"/>
      <c r="AZ6" s="8"/>
      <c r="BA6" s="8"/>
      <c r="BB6" s="8"/>
      <c r="BC6" s="8"/>
      <c r="BD6" s="8"/>
      <c r="BE6" s="8">
        <f t="shared" si="14"/>
        <v>1.2807659949335149E-2</v>
      </c>
    </row>
    <row r="7" spans="1:57" x14ac:dyDescent="0.25">
      <c r="A7" t="str">
        <f t="shared" si="12"/>
        <v/>
      </c>
      <c r="B7" s="1">
        <v>42741</v>
      </c>
      <c r="C7" s="9">
        <f t="shared" si="15"/>
        <v>0.12455132170658227</v>
      </c>
      <c r="D7" s="9">
        <f t="shared" si="16"/>
        <v>0.12560448260081353</v>
      </c>
      <c r="E7" s="9">
        <f t="shared" si="17"/>
        <v>0.12052106006645079</v>
      </c>
      <c r="F7" s="9">
        <f t="shared" si="18"/>
        <v>0.12552759937138561</v>
      </c>
      <c r="G7" s="9">
        <f t="shared" si="19"/>
        <v>0.12451518241469613</v>
      </c>
      <c r="H7" s="9">
        <f t="shared" si="20"/>
        <v>0.12780995199010858</v>
      </c>
      <c r="I7" s="9">
        <f t="shared" si="21"/>
        <v>0.12550889860222578</v>
      </c>
      <c r="J7" s="9">
        <f t="shared" si="22"/>
        <v>0.12596150324773742</v>
      </c>
      <c r="K7" s="9">
        <f t="shared" si="23"/>
        <v>0</v>
      </c>
      <c r="L7" s="8">
        <f>+VLOOKUP($B7,NIFTY_50!$B$3:$I$1238,8,0)</f>
        <v>-3.6259034542773794E-3</v>
      </c>
      <c r="M7" s="8">
        <f>+VLOOKUP($B7,NIFTY_BANK!$B$3:$I$41238,8,0)</f>
        <v>8.1723564041631391E-3</v>
      </c>
      <c r="N7" s="8">
        <f>+VLOOKUP($B7,NIFTY_IT!$B$3:$I$1238,8,0)</f>
        <v>-2.7846019971057734E-2</v>
      </c>
      <c r="O7" s="8">
        <f>+VLOOKUP($B7,NIFTY_PHARMA!$B$3:$I$1238,8,0)</f>
        <v>1.4295618082285078E-3</v>
      </c>
      <c r="P7" s="8">
        <f>+VLOOKUP($B7,NIFTY_FMCG!$B$3:$I$1238,8,0)</f>
        <v>-9.6533067558910446E-3</v>
      </c>
      <c r="Q7" s="8">
        <f>+VLOOKUP($B7,NIFTY_METAL!$B$3:$I$1238,8,0)</f>
        <v>-1.4294648440993374E-4</v>
      </c>
      <c r="R7" s="8">
        <f>+VLOOKUP($B7,NIFTY_ENERGY!$B$3:$I$1238,8,0)</f>
        <v>-3.5124625789472175E-3</v>
      </c>
      <c r="S7" s="8">
        <f>+VLOOKUP($B7,NIFTY_AUTO!$B$3:$I$1238,8,0)</f>
        <v>-1.6435104964136471E-3</v>
      </c>
      <c r="T7" s="8">
        <v>0</v>
      </c>
      <c r="U7" s="8"/>
      <c r="V7" s="8"/>
      <c r="W7" s="8"/>
      <c r="X7" s="8"/>
      <c r="Y7" s="8"/>
      <c r="Z7" s="8"/>
      <c r="AA7" s="8"/>
      <c r="AB7" s="8"/>
      <c r="AC7" s="8"/>
      <c r="AD7" s="16"/>
      <c r="AE7" s="8"/>
      <c r="AF7" s="8"/>
      <c r="AG7" s="8"/>
      <c r="AH7" s="8"/>
      <c r="AI7" s="8"/>
      <c r="AJ7" s="8"/>
      <c r="AK7" s="8"/>
      <c r="AL7" s="8"/>
      <c r="AM7" s="16"/>
      <c r="AN7" s="8"/>
      <c r="AO7" s="8"/>
      <c r="AP7" s="8"/>
      <c r="AQ7" s="8"/>
      <c r="AR7" s="8"/>
      <c r="AS7" s="8"/>
      <c r="AT7" s="8"/>
      <c r="AU7" s="8"/>
      <c r="AV7" s="16"/>
      <c r="AW7" s="8"/>
      <c r="AX7" s="8"/>
      <c r="AY7" s="8"/>
      <c r="AZ7" s="8"/>
      <c r="BA7" s="8"/>
      <c r="BB7" s="8"/>
      <c r="BC7" s="8"/>
      <c r="BD7" s="8"/>
      <c r="BE7" s="8">
        <f t="shared" si="14"/>
        <v>-4.568819426696024E-3</v>
      </c>
    </row>
    <row r="8" spans="1:57" x14ac:dyDescent="0.25">
      <c r="A8" t="str">
        <f t="shared" si="12"/>
        <v/>
      </c>
      <c r="B8" s="1">
        <v>42744</v>
      </c>
      <c r="C8" s="9">
        <f t="shared" si="15"/>
        <v>0.12458112645721905</v>
      </c>
      <c r="D8" s="9">
        <f t="shared" si="16"/>
        <v>0.1259087111931852</v>
      </c>
      <c r="E8" s="9">
        <f t="shared" si="17"/>
        <v>0.12171357352715935</v>
      </c>
      <c r="F8" s="9">
        <f t="shared" si="18"/>
        <v>0.12388473735413218</v>
      </c>
      <c r="G8" s="9">
        <f t="shared" si="19"/>
        <v>0.12537996177697405</v>
      </c>
      <c r="H8" s="9">
        <f t="shared" si="20"/>
        <v>0.12777560412268091</v>
      </c>
      <c r="I8" s="9">
        <f t="shared" si="21"/>
        <v>0.12478802441514916</v>
      </c>
      <c r="J8" s="9">
        <f t="shared" si="22"/>
        <v>0.12596826115350018</v>
      </c>
      <c r="K8" s="9">
        <f t="shared" si="23"/>
        <v>0</v>
      </c>
      <c r="L8" s="8">
        <f>+VLOOKUP($B8,NIFTY_50!$B$3:$I$1238,8,0)</f>
        <v>-9.4010043911785246E-4</v>
      </c>
      <c r="M8" s="8">
        <f>+VLOOKUP($B8,NIFTY_BANK!$B$3:$I$41238,8,0)</f>
        <v>1.2401445466492245E-3</v>
      </c>
      <c r="N8" s="8">
        <f>+VLOOKUP($B8,NIFTY_IT!$B$3:$I$1238,8,0)</f>
        <v>8.7038658022144944E-3</v>
      </c>
      <c r="O8" s="8">
        <f>+VLOOKUP($B8,NIFTY_PHARMA!$B$3:$I$1238,8,0)</f>
        <v>-1.4251339196195811E-2</v>
      </c>
      <c r="P8" s="8">
        <f>+VLOOKUP($B8,NIFTY_FMCG!$B$3:$I$1238,8,0)</f>
        <v>5.7578676481160329E-3</v>
      </c>
      <c r="Q8" s="8">
        <f>+VLOOKUP($B8,NIFTY_METAL!$B$3:$I$1238,8,0)</f>
        <v>-1.4475400754149215E-3</v>
      </c>
      <c r="R8" s="8">
        <f>+VLOOKUP($B8,NIFTY_ENERGY!$B$3:$I$1238,8,0)</f>
        <v>-6.9159530211919673E-3</v>
      </c>
      <c r="S8" s="8">
        <f>+VLOOKUP($B8,NIFTY_AUTO!$B$3:$I$1238,8,0)</f>
        <v>-1.125527919929592E-3</v>
      </c>
      <c r="T8" s="8">
        <v>0</v>
      </c>
      <c r="U8" s="8"/>
      <c r="V8" s="8"/>
      <c r="W8" s="8"/>
      <c r="X8" s="8"/>
      <c r="Y8" s="8"/>
      <c r="Z8" s="8"/>
      <c r="AA8" s="8"/>
      <c r="AB8" s="8"/>
      <c r="AC8" s="8"/>
      <c r="AD8" s="16"/>
      <c r="AE8" s="8"/>
      <c r="AF8" s="8"/>
      <c r="AG8" s="8"/>
      <c r="AH8" s="8"/>
      <c r="AI8" s="8"/>
      <c r="AJ8" s="8"/>
      <c r="AK8" s="8"/>
      <c r="AL8" s="8"/>
      <c r="AM8" s="16"/>
      <c r="AN8" s="8"/>
      <c r="AO8" s="8"/>
      <c r="AP8" s="8"/>
      <c r="AQ8" s="8"/>
      <c r="AR8" s="8"/>
      <c r="AS8" s="8"/>
      <c r="AT8" s="8"/>
      <c r="AU8" s="8"/>
      <c r="AV8" s="16"/>
      <c r="AW8" s="8"/>
      <c r="AX8" s="8"/>
      <c r="AY8" s="8"/>
      <c r="AZ8" s="8"/>
      <c r="BA8" s="8"/>
      <c r="BB8" s="8"/>
      <c r="BC8" s="8"/>
      <c r="BD8" s="8"/>
      <c r="BE8" s="8">
        <f t="shared" si="14"/>
        <v>-1.1791152242976073E-3</v>
      </c>
    </row>
    <row r="9" spans="1:57" x14ac:dyDescent="0.25">
      <c r="A9" t="str">
        <f t="shared" si="12"/>
        <v/>
      </c>
      <c r="B9" s="1">
        <v>42745</v>
      </c>
      <c r="C9" s="9">
        <f t="shared" si="15"/>
        <v>0.12437977003347755</v>
      </c>
      <c r="D9" s="9">
        <f t="shared" si="16"/>
        <v>0.12574805234683711</v>
      </c>
      <c r="E9" s="9">
        <f t="shared" si="17"/>
        <v>0.12101933567796716</v>
      </c>
      <c r="F9" s="9">
        <f t="shared" si="18"/>
        <v>0.12341523246072222</v>
      </c>
      <c r="G9" s="9">
        <f t="shared" si="19"/>
        <v>0.12539417646210838</v>
      </c>
      <c r="H9" s="9">
        <f t="shared" si="20"/>
        <v>0.12857970950619929</v>
      </c>
      <c r="I9" s="9">
        <f t="shared" si="21"/>
        <v>0.12490865118075996</v>
      </c>
      <c r="J9" s="9">
        <f t="shared" si="22"/>
        <v>0.12655507233192823</v>
      </c>
      <c r="K9" s="9">
        <f t="shared" si="23"/>
        <v>0</v>
      </c>
      <c r="L9" s="8">
        <f>+VLOOKUP($B9,NIFTY_50!$B$3:$I$1238,8,0)</f>
        <v>6.3804857911258228E-3</v>
      </c>
      <c r="M9" s="8">
        <f>+VLOOKUP($B9,NIFTY_BANK!$B$3:$I$41238,8,0)</f>
        <v>6.7234840717134148E-3</v>
      </c>
      <c r="N9" s="8">
        <f>+VLOOKUP($B9,NIFTY_IT!$B$3:$I$1238,8,0)</f>
        <v>2.2601473753363077E-3</v>
      </c>
      <c r="O9" s="8">
        <f>+VLOOKUP($B9,NIFTY_PHARMA!$B$3:$I$1238,8,0)</f>
        <v>4.1894909163118221E-3</v>
      </c>
      <c r="P9" s="8">
        <f>+VLOOKUP($B9,NIFTY_FMCG!$B$3:$I$1238,8,0)</f>
        <v>8.1239800354977465E-3</v>
      </c>
      <c r="Q9" s="8">
        <f>+VLOOKUP($B9,NIFTY_METAL!$B$3:$I$1238,8,0)</f>
        <v>1.4353210680793094E-2</v>
      </c>
      <c r="R9" s="8">
        <f>+VLOOKUP($B9,NIFTY_ENERGY!$B$3:$I$1238,8,0)</f>
        <v>8.9840950736570502E-3</v>
      </c>
      <c r="S9" s="8">
        <f>+VLOOKUP($B9,NIFTY_AUTO!$B$3:$I$1238,8,0)</f>
        <v>1.2705416519674051E-2</v>
      </c>
      <c r="T9" s="8">
        <v>0</v>
      </c>
      <c r="U9" s="8"/>
      <c r="V9" s="8"/>
      <c r="W9" s="8"/>
      <c r="X9" s="8"/>
      <c r="Y9" s="8"/>
      <c r="Z9" s="8"/>
      <c r="AA9" s="8"/>
      <c r="AB9" s="8"/>
      <c r="AC9" s="8"/>
      <c r="AD9" s="16"/>
      <c r="AE9" s="8"/>
      <c r="AF9" s="8"/>
      <c r="AG9" s="8"/>
      <c r="AH9" s="8"/>
      <c r="AI9" s="8"/>
      <c r="AJ9" s="8"/>
      <c r="AK9" s="8"/>
      <c r="AL9" s="8"/>
      <c r="AM9" s="16"/>
      <c r="AN9" s="8"/>
      <c r="AO9" s="8"/>
      <c r="AP9" s="8"/>
      <c r="AQ9" s="8"/>
      <c r="AR9" s="8"/>
      <c r="AS9" s="8"/>
      <c r="AT9" s="8"/>
      <c r="AU9" s="8"/>
      <c r="AV9" s="16"/>
      <c r="AW9" s="8"/>
      <c r="AX9" s="8"/>
      <c r="AY9" s="8"/>
      <c r="AZ9" s="8"/>
      <c r="BA9" s="8"/>
      <c r="BB9" s="8"/>
      <c r="BC9" s="8"/>
      <c r="BD9" s="8"/>
      <c r="BE9" s="8">
        <f t="shared" si="14"/>
        <v>8.0096990907450004E-3</v>
      </c>
    </row>
    <row r="10" spans="1:57" x14ac:dyDescent="0.25">
      <c r="A10" t="str">
        <f t="shared" si="12"/>
        <v/>
      </c>
      <c r="B10" s="1">
        <v>42746</v>
      </c>
      <c r="C10" s="9">
        <f t="shared" si="15"/>
        <v>0.12418834550187623</v>
      </c>
      <c r="D10" s="9">
        <f t="shared" si="16"/>
        <v>0.12701113717864898</v>
      </c>
      <c r="E10" s="9">
        <f t="shared" si="17"/>
        <v>0.11949478945577843</v>
      </c>
      <c r="F10" s="9">
        <f t="shared" si="18"/>
        <v>0.12302333951560206</v>
      </c>
      <c r="G10" s="9">
        <f t="shared" si="19"/>
        <v>0.1240413990678009</v>
      </c>
      <c r="H10" s="9">
        <f t="shared" si="20"/>
        <v>0.13238859677201054</v>
      </c>
      <c r="I10" s="9">
        <f t="shared" si="21"/>
        <v>0.12374873079048644</v>
      </c>
      <c r="J10" s="9">
        <f t="shared" si="22"/>
        <v>0.12610366171779644</v>
      </c>
      <c r="K10" s="9">
        <f t="shared" si="23"/>
        <v>0</v>
      </c>
      <c r="L10" s="8">
        <f>+VLOOKUP($B10,NIFTY_50!$B$3:$I$1238,8,0)</f>
        <v>1.110561494100315E-2</v>
      </c>
      <c r="M10" s="8">
        <f>+VLOOKUP($B10,NIFTY_BANK!$B$3:$I$41238,8,0)</f>
        <v>2.2835911698244393E-2</v>
      </c>
      <c r="N10" s="8">
        <f>+VLOOKUP($B10,NIFTY_IT!$B$3:$I$1238,8,0)</f>
        <v>-9.2941349117081629E-5</v>
      </c>
      <c r="O10" s="8">
        <f>+VLOOKUP($B10,NIFTY_PHARMA!$B$3:$I$1238,8,0)</f>
        <v>9.4485226735603334E-3</v>
      </c>
      <c r="P10" s="8">
        <f>+VLOOKUP($B10,NIFTY_FMCG!$B$3:$I$1238,8,0)</f>
        <v>1.739315380888673E-3</v>
      </c>
      <c r="Q10" s="8">
        <f>+VLOOKUP($B10,NIFTY_METAL!$B$3:$I$1238,8,0)</f>
        <v>4.2662055824129297E-2</v>
      </c>
      <c r="R10" s="8">
        <f>+VLOOKUP($B10,NIFTY_ENERGY!$B$3:$I$1238,8,0)</f>
        <v>3.2603877192063369E-3</v>
      </c>
      <c r="S10" s="8">
        <f>+VLOOKUP($B10,NIFTY_AUTO!$B$3:$I$1238,8,0)</f>
        <v>9.0520558201443446E-3</v>
      </c>
      <c r="T10" s="8">
        <v>0</v>
      </c>
      <c r="U10" s="8"/>
      <c r="V10" s="8"/>
      <c r="W10" s="8"/>
      <c r="X10" s="8"/>
      <c r="Y10" s="8"/>
      <c r="Z10" s="8"/>
      <c r="AA10" s="8"/>
      <c r="AB10" s="8"/>
      <c r="AC10" s="8"/>
      <c r="AD10" s="16"/>
      <c r="AE10" s="8"/>
      <c r="AF10" s="8"/>
      <c r="AG10" s="8"/>
      <c r="AH10" s="8"/>
      <c r="AI10" s="8"/>
      <c r="AJ10" s="8"/>
      <c r="AK10" s="8"/>
      <c r="AL10" s="8"/>
      <c r="AM10" s="16"/>
      <c r="AN10" s="8"/>
      <c r="AO10" s="8"/>
      <c r="AP10" s="8"/>
      <c r="AQ10" s="8"/>
      <c r="AR10" s="8"/>
      <c r="AS10" s="8"/>
      <c r="AT10" s="8"/>
      <c r="AU10" s="8"/>
      <c r="AV10" s="16"/>
      <c r="AW10" s="8"/>
      <c r="AX10" s="8"/>
      <c r="AY10" s="8"/>
      <c r="AZ10" s="8"/>
      <c r="BA10" s="8"/>
      <c r="BB10" s="8"/>
      <c r="BC10" s="8"/>
      <c r="BD10" s="8"/>
      <c r="BE10" s="8">
        <f t="shared" si="14"/>
        <v>1.2664138149903212E-2</v>
      </c>
    </row>
    <row r="11" spans="1:57" x14ac:dyDescent="0.25">
      <c r="A11" t="str">
        <f t="shared" si="12"/>
        <v/>
      </c>
      <c r="B11" s="1">
        <v>42747</v>
      </c>
      <c r="C11" s="9">
        <f t="shared" si="15"/>
        <v>0.12432510731828636</v>
      </c>
      <c r="D11" s="9">
        <f t="shared" si="16"/>
        <v>0.12704530225387523</v>
      </c>
      <c r="E11" s="9">
        <f t="shared" si="17"/>
        <v>0.12132833921918926</v>
      </c>
      <c r="F11" s="9">
        <f t="shared" si="18"/>
        <v>0.12203194747848828</v>
      </c>
      <c r="G11" s="9">
        <f t="shared" si="19"/>
        <v>0.12257978978230197</v>
      </c>
      <c r="H11" s="9">
        <f t="shared" si="20"/>
        <v>0.13228351554060122</v>
      </c>
      <c r="I11" s="9">
        <f t="shared" si="21"/>
        <v>0.12490840514941834</v>
      </c>
      <c r="J11" s="9">
        <f t="shared" si="22"/>
        <v>0.12549759325783938</v>
      </c>
      <c r="K11" s="9">
        <f t="shared" si="23"/>
        <v>0</v>
      </c>
      <c r="L11" s="8">
        <f>+VLOOKUP($B11,NIFTY_50!$B$3:$I$1238,8,0)</f>
        <v>3.1680120277068902E-3</v>
      </c>
      <c r="M11" s="8">
        <f>+VLOOKUP($B11,NIFTY_BANK!$B$3:$I$41238,8,0)</f>
        <v>2.3340414232608797E-3</v>
      </c>
      <c r="N11" s="8">
        <f>+VLOOKUP($B11,NIFTY_IT!$B$3:$I$1238,8,0)</f>
        <v>1.744035301427016E-2</v>
      </c>
      <c r="O11" s="8">
        <f>+VLOOKUP($B11,NIFTY_PHARMA!$B$3:$I$1238,8,0)</f>
        <v>-6.0107122550682179E-3</v>
      </c>
      <c r="P11" s="8">
        <f>+VLOOKUP($B11,NIFTY_FMCG!$B$3:$I$1238,8,0)</f>
        <v>-9.7430707422426766E-3</v>
      </c>
      <c r="Q11" s="8">
        <f>+VLOOKUP($B11,NIFTY_METAL!$B$3:$I$1238,8,0)</f>
        <v>1.269121429538389E-3</v>
      </c>
      <c r="R11" s="8">
        <f>+VLOOKUP($B11,NIFTY_ENERGY!$B$3:$I$1238,8,0)</f>
        <v>1.145504216652804E-2</v>
      </c>
      <c r="S11" s="8">
        <f>+VLOOKUP($B11,NIFTY_AUTO!$B$3:$I$1238,8,0)</f>
        <v>-2.7515419455564905E-3</v>
      </c>
      <c r="T11" s="8">
        <v>0</v>
      </c>
      <c r="U11" s="8"/>
      <c r="V11" s="8"/>
      <c r="W11" s="8"/>
      <c r="X11" s="8"/>
      <c r="Y11" s="8"/>
      <c r="Z11" s="8"/>
      <c r="AA11" s="8"/>
      <c r="AB11" s="8"/>
      <c r="AC11" s="8"/>
      <c r="AD11" s="16"/>
      <c r="AE11" s="8"/>
      <c r="AF11" s="8"/>
      <c r="AG11" s="8"/>
      <c r="AH11" s="8"/>
      <c r="AI11" s="8"/>
      <c r="AJ11" s="8"/>
      <c r="AK11" s="8"/>
      <c r="AL11" s="8"/>
      <c r="AM11" s="16"/>
      <c r="AN11" s="8"/>
      <c r="AO11" s="8"/>
      <c r="AP11" s="8"/>
      <c r="AQ11" s="8"/>
      <c r="AR11" s="8"/>
      <c r="AS11" s="8"/>
      <c r="AT11" s="8"/>
      <c r="AU11" s="8"/>
      <c r="AV11" s="16"/>
      <c r="AW11" s="8"/>
      <c r="AX11" s="8"/>
      <c r="AY11" s="8"/>
      <c r="AZ11" s="8"/>
      <c r="BA11" s="8"/>
      <c r="BB11" s="8"/>
      <c r="BC11" s="8"/>
      <c r="BD11" s="8"/>
      <c r="BE11" s="8">
        <f t="shared" si="14"/>
        <v>2.0644933382903173E-3</v>
      </c>
    </row>
    <row r="12" spans="1:57" x14ac:dyDescent="0.25">
      <c r="A12" t="str">
        <f t="shared" si="12"/>
        <v/>
      </c>
      <c r="B12" s="1">
        <v>42748</v>
      </c>
      <c r="C12" s="9">
        <f t="shared" si="15"/>
        <v>0.12429933527564892</v>
      </c>
      <c r="D12" s="9">
        <f t="shared" si="16"/>
        <v>0.12737949632166118</v>
      </c>
      <c r="E12" s="9">
        <f t="shared" si="17"/>
        <v>0.11982311092451992</v>
      </c>
      <c r="F12" s="9">
        <f t="shared" si="18"/>
        <v>0.1226150258082853</v>
      </c>
      <c r="G12" s="9">
        <f t="shared" si="19"/>
        <v>0.12408551291683229</v>
      </c>
      <c r="H12" s="9">
        <f t="shared" si="20"/>
        <v>0.1320843193077002</v>
      </c>
      <c r="I12" s="9">
        <f t="shared" si="21"/>
        <v>0.12512877208071974</v>
      </c>
      <c r="J12" s="9">
        <f t="shared" si="22"/>
        <v>0.12458442736463245</v>
      </c>
      <c r="K12" s="9">
        <f t="shared" si="23"/>
        <v>0</v>
      </c>
      <c r="L12" s="8">
        <f>+VLOOKUP($B12,NIFTY_50!$B$3:$I$1238,8,0)</f>
        <v>-8.1477780949668066E-4</v>
      </c>
      <c r="M12" s="8">
        <f>+VLOOKUP($B12,NIFTY_BANK!$B$3:$I$41238,8,0)</f>
        <v>2.0213044964090265E-3</v>
      </c>
      <c r="N12" s="8">
        <f>+VLOOKUP($B12,NIFTY_IT!$B$3:$I$1238,8,0)</f>
        <v>-1.3006308420202339E-2</v>
      </c>
      <c r="O12" s="8">
        <f>+VLOOKUP($B12,NIFTY_PHARMA!$B$3:$I$1238,8,0)</f>
        <v>4.1675679573149882E-3</v>
      </c>
      <c r="P12" s="8">
        <f>+VLOOKUP($B12,NIFTY_FMCG!$B$3:$I$1238,8,0)</f>
        <v>1.16685447194953E-2</v>
      </c>
      <c r="Q12" s="8">
        <f>+VLOOKUP($B12,NIFTY_METAL!$B$3:$I$1238,8,0)</f>
        <v>-2.1125213364654449E-3</v>
      </c>
      <c r="R12" s="8">
        <f>+VLOOKUP($B12,NIFTY_ENERGY!$B$3:$I$1238,8,0)</f>
        <v>1.1555480397960061E-3</v>
      </c>
      <c r="S12" s="8">
        <f>+VLOOKUP($B12,NIFTY_AUTO!$B$3:$I$1238,8,0)</f>
        <v>-7.879548824784699E-3</v>
      </c>
      <c r="T12" s="8">
        <v>0</v>
      </c>
      <c r="U12" s="8"/>
      <c r="V12" s="8"/>
      <c r="W12" s="8"/>
      <c r="X12" s="8"/>
      <c r="Y12" s="8"/>
      <c r="Z12" s="8"/>
      <c r="AA12" s="8"/>
      <c r="AB12" s="8"/>
      <c r="AC12" s="8"/>
      <c r="AD12" s="16"/>
      <c r="AE12" s="8"/>
      <c r="AF12" s="8"/>
      <c r="AG12" s="8"/>
      <c r="AH12" s="8"/>
      <c r="AI12" s="8"/>
      <c r="AJ12" s="8"/>
      <c r="AK12" s="8"/>
      <c r="AL12" s="8"/>
      <c r="AM12" s="16"/>
      <c r="AN12" s="8"/>
      <c r="AO12" s="8"/>
      <c r="AP12" s="8"/>
      <c r="AQ12" s="8"/>
      <c r="AR12" s="8"/>
      <c r="AS12" s="8"/>
      <c r="AT12" s="8"/>
      <c r="AU12" s="8"/>
      <c r="AV12" s="16"/>
      <c r="AW12" s="8"/>
      <c r="AX12" s="8"/>
      <c r="AY12" s="8"/>
      <c r="AZ12" s="8"/>
      <c r="BA12" s="8"/>
      <c r="BB12" s="8"/>
      <c r="BC12" s="8"/>
      <c r="BD12" s="8"/>
      <c r="BE12" s="8">
        <f t="shared" si="14"/>
        <v>-6.0760820483316035E-4</v>
      </c>
    </row>
    <row r="13" spans="1:57" x14ac:dyDescent="0.25">
      <c r="A13" t="str">
        <f t="shared" si="12"/>
        <v/>
      </c>
      <c r="B13" s="1">
        <v>42751</v>
      </c>
      <c r="C13" s="9">
        <f t="shared" si="15"/>
        <v>0.12434523600847136</v>
      </c>
      <c r="D13" s="9">
        <f t="shared" si="16"/>
        <v>0.12847823846677445</v>
      </c>
      <c r="E13" s="9">
        <f t="shared" si="17"/>
        <v>0.11863517185530711</v>
      </c>
      <c r="F13" s="9">
        <f t="shared" si="18"/>
        <v>0.12216335286796795</v>
      </c>
      <c r="G13" s="9">
        <f t="shared" si="19"/>
        <v>0.12374186188951777</v>
      </c>
      <c r="H13" s="9">
        <f t="shared" si="20"/>
        <v>0.13321791406684125</v>
      </c>
      <c r="I13" s="9">
        <f t="shared" si="21"/>
        <v>0.12432412156421949</v>
      </c>
      <c r="J13" s="9">
        <f t="shared" si="22"/>
        <v>0.12509410328090065</v>
      </c>
      <c r="K13" s="9">
        <f t="shared" si="23"/>
        <v>0</v>
      </c>
      <c r="L13" s="8">
        <f>+VLOOKUP($B13,NIFTY_50!$B$3:$I$1238,8,0)</f>
        <v>1.4820811037634662E-3</v>
      </c>
      <c r="M13" s="8">
        <f>+VLOOKUP($B13,NIFTY_BANK!$B$3:$I$41238,8,0)</f>
        <v>9.7477276452642148E-3</v>
      </c>
      <c r="N13" s="8">
        <f>+VLOOKUP($B13,NIFTY_IT!$B$3:$I$1238,8,0)</f>
        <v>-8.812740231206484E-3</v>
      </c>
      <c r="O13" s="8">
        <f>+VLOOKUP($B13,NIFTY_PHARMA!$B$3:$I$1238,8,0)</f>
        <v>-2.5753702693128711E-3</v>
      </c>
      <c r="P13" s="8">
        <f>+VLOOKUP($B13,NIFTY_FMCG!$B$3:$I$1238,8,0)</f>
        <v>-1.6601555601082341E-3</v>
      </c>
      <c r="Q13" s="8">
        <f>+VLOOKUP($B13,NIFTY_METAL!$B$3:$I$1238,8,0)</f>
        <v>9.7042983436641528E-3</v>
      </c>
      <c r="R13" s="8">
        <f>+VLOOKUP($B13,NIFTY_ENERGY!$B$3:$I$1238,8,0)</f>
        <v>-5.3253382880092959E-3</v>
      </c>
      <c r="S13" s="8">
        <f>+VLOOKUP($B13,NIFTY_AUTO!$B$3:$I$1238,8,0)</f>
        <v>5.2079535867175508E-3</v>
      </c>
      <c r="T13" s="8">
        <v>0</v>
      </c>
      <c r="U13" s="8"/>
      <c r="V13" s="8"/>
      <c r="W13" s="8"/>
      <c r="X13" s="8"/>
      <c r="Y13" s="8"/>
      <c r="Z13" s="8"/>
      <c r="AA13" s="8"/>
      <c r="AB13" s="8"/>
      <c r="AC13" s="8"/>
      <c r="AD13" s="16"/>
      <c r="AE13" s="8"/>
      <c r="AF13" s="8"/>
      <c r="AG13" s="8"/>
      <c r="AH13" s="8"/>
      <c r="AI13" s="8"/>
      <c r="AJ13" s="8"/>
      <c r="AK13" s="8"/>
      <c r="AL13" s="8"/>
      <c r="AM13" s="16"/>
      <c r="AN13" s="8"/>
      <c r="AO13" s="8"/>
      <c r="AP13" s="8"/>
      <c r="AQ13" s="8"/>
      <c r="AR13" s="8"/>
      <c r="AS13" s="8"/>
      <c r="AT13" s="8"/>
      <c r="AU13" s="8"/>
      <c r="AV13" s="16"/>
      <c r="AW13" s="8"/>
      <c r="AX13" s="8"/>
      <c r="AY13" s="8"/>
      <c r="AZ13" s="8"/>
      <c r="BA13" s="8"/>
      <c r="BB13" s="8"/>
      <c r="BC13" s="8"/>
      <c r="BD13" s="8"/>
      <c r="BE13" s="8">
        <f t="shared" si="14"/>
        <v>1.1123945527800698E-3</v>
      </c>
    </row>
    <row r="14" spans="1:57" x14ac:dyDescent="0.25">
      <c r="A14" t="str">
        <f t="shared" si="12"/>
        <v/>
      </c>
      <c r="B14" s="1">
        <v>42752</v>
      </c>
      <c r="C14" s="9">
        <f t="shared" si="15"/>
        <v>0.12442208294723017</v>
      </c>
      <c r="D14" s="9">
        <f t="shared" si="16"/>
        <v>0.12858592979174444</v>
      </c>
      <c r="E14" s="9">
        <f t="shared" si="17"/>
        <v>0.11931162639899798</v>
      </c>
      <c r="F14" s="9">
        <f t="shared" si="18"/>
        <v>0.12255359616969561</v>
      </c>
      <c r="G14" s="9">
        <f t="shared" si="19"/>
        <v>0.12547160358342363</v>
      </c>
      <c r="H14" s="9">
        <f t="shared" si="20"/>
        <v>0.1315708503570569</v>
      </c>
      <c r="I14" s="9">
        <f t="shared" si="21"/>
        <v>0.12280729356430733</v>
      </c>
      <c r="J14" s="9">
        <f t="shared" si="22"/>
        <v>0.12527701718754405</v>
      </c>
      <c r="K14" s="9">
        <f t="shared" si="23"/>
        <v>0</v>
      </c>
      <c r="L14" s="8">
        <f>+VLOOKUP($B14,NIFTY_50!$B$3:$I$1238,8,0)</f>
        <v>-1.7592240395586378E-3</v>
      </c>
      <c r="M14" s="8">
        <f>+VLOOKUP($B14,NIFTY_BANK!$B$3:$I$41238,8,0)</f>
        <v>-1.5395531630225667E-3</v>
      </c>
      <c r="N14" s="8">
        <f>+VLOOKUP($B14,NIFTY_IT!$B$3:$I$1238,8,0)</f>
        <v>3.3126578918911687E-3</v>
      </c>
      <c r="O14" s="8">
        <f>+VLOOKUP($B14,NIFTY_PHARMA!$B$3:$I$1238,8,0)</f>
        <v>8.1108060893431144E-4</v>
      </c>
      <c r="P14" s="8">
        <f>+VLOOKUP($B14,NIFTY_FMCG!$B$3:$I$1238,8,0)</f>
        <v>1.1569651424446992E-2</v>
      </c>
      <c r="Q14" s="8">
        <f>+VLOOKUP($B14,NIFTY_METAL!$B$3:$I$1238,8,0)</f>
        <v>-1.47100756470252E-2</v>
      </c>
      <c r="R14" s="8">
        <f>+VLOOKUP($B14,NIFTY_ENERGY!$B$3:$I$1238,8,0)</f>
        <v>-1.4547375670410534E-2</v>
      </c>
      <c r="S14" s="8">
        <f>+VLOOKUP($B14,NIFTY_AUTO!$B$3:$I$1238,8,0)</f>
        <v>-9.170319251453618E-4</v>
      </c>
      <c r="T14" s="8">
        <v>0</v>
      </c>
      <c r="U14" s="8"/>
      <c r="V14" s="8"/>
      <c r="W14" s="8"/>
      <c r="X14" s="8"/>
      <c r="Y14" s="8"/>
      <c r="Z14" s="8"/>
      <c r="AA14" s="8"/>
      <c r="AB14" s="8"/>
      <c r="AC14" s="8"/>
      <c r="AD14" s="16"/>
      <c r="AE14" s="8"/>
      <c r="AF14" s="8"/>
      <c r="AG14" s="8"/>
      <c r="AH14" s="8"/>
      <c r="AI14" s="8"/>
      <c r="AJ14" s="8"/>
      <c r="AK14" s="8"/>
      <c r="AL14" s="8"/>
      <c r="AM14" s="16"/>
      <c r="AN14" s="8"/>
      <c r="AO14" s="8"/>
      <c r="AP14" s="8"/>
      <c r="AQ14" s="8"/>
      <c r="AR14" s="8"/>
      <c r="AS14" s="8"/>
      <c r="AT14" s="8"/>
      <c r="AU14" s="8"/>
      <c r="AV14" s="16"/>
      <c r="AW14" s="8"/>
      <c r="AX14" s="8"/>
      <c r="AY14" s="8"/>
      <c r="AZ14" s="8"/>
      <c r="BA14" s="8"/>
      <c r="BB14" s="8"/>
      <c r="BC14" s="8"/>
      <c r="BD14" s="8"/>
      <c r="BE14" s="8">
        <f t="shared" si="14"/>
        <v>-2.375768514298689E-3</v>
      </c>
    </row>
    <row r="15" spans="1:57" x14ac:dyDescent="0.25">
      <c r="A15" t="str">
        <f t="shared" si="12"/>
        <v/>
      </c>
      <c r="B15" s="1">
        <v>42753</v>
      </c>
      <c r="C15" s="9">
        <f t="shared" si="15"/>
        <v>0.124120568234718</v>
      </c>
      <c r="D15" s="9">
        <f t="shared" si="16"/>
        <v>0.12863888522470454</v>
      </c>
      <c r="E15" s="9">
        <f t="shared" si="17"/>
        <v>0.119042364581756</v>
      </c>
      <c r="F15" s="9">
        <f t="shared" si="18"/>
        <v>0.12228246747474883</v>
      </c>
      <c r="G15" s="9">
        <f t="shared" si="19"/>
        <v>0.12538936378204729</v>
      </c>
      <c r="H15" s="9">
        <f t="shared" si="20"/>
        <v>0.13405228146210332</v>
      </c>
      <c r="I15" s="9">
        <f t="shared" si="21"/>
        <v>0.12174459531925083</v>
      </c>
      <c r="J15" s="9">
        <f t="shared" si="22"/>
        <v>0.12472947392067131</v>
      </c>
      <c r="K15" s="9">
        <f t="shared" si="23"/>
        <v>0</v>
      </c>
      <c r="L15" s="8">
        <f>+VLOOKUP($B15,NIFTY_50!$B$3:$I$1238,8,0)</f>
        <v>2.2624434389140191E-3</v>
      </c>
      <c r="M15" s="8">
        <f>+VLOOKUP($B15,NIFTY_BANK!$B$3:$I$41238,8,0)</f>
        <v>5.1109112316798377E-3</v>
      </c>
      <c r="N15" s="8">
        <f>+VLOOKUP($B15,NIFTY_IT!$B$3:$I$1238,8,0)</f>
        <v>2.4297527138770203E-3</v>
      </c>
      <c r="O15" s="8">
        <f>+VLOOKUP($B15,NIFTY_PHARMA!$B$3:$I$1238,8,0)</f>
        <v>2.4744285077182848E-3</v>
      </c>
      <c r="P15" s="8">
        <f>+VLOOKUP($B15,NIFTY_FMCG!$B$3:$I$1238,8,0)</f>
        <v>4.0386234170204371E-3</v>
      </c>
      <c r="Q15" s="8">
        <f>+VLOOKUP($B15,NIFTY_METAL!$B$3:$I$1238,8,0)</f>
        <v>2.3645773041435447E-2</v>
      </c>
      <c r="R15" s="8">
        <f>+VLOOKUP($B15,NIFTY_ENERGY!$B$3:$I$1238,8,0)</f>
        <v>-3.9968790836376611E-3</v>
      </c>
      <c r="S15" s="8">
        <f>+VLOOKUP($B15,NIFTY_AUTO!$B$3:$I$1238,8,0)</f>
        <v>3.0595788152676384E-4</v>
      </c>
      <c r="T15" s="8">
        <v>0</v>
      </c>
      <c r="U15" s="8"/>
      <c r="V15" s="8"/>
      <c r="W15" s="8"/>
      <c r="X15" s="8"/>
      <c r="Y15" s="8"/>
      <c r="Z15" s="8"/>
      <c r="AA15" s="8"/>
      <c r="AB15" s="8"/>
      <c r="AC15" s="8"/>
      <c r="AD15" s="16"/>
      <c r="AE15" s="8"/>
      <c r="AF15" s="8"/>
      <c r="AG15" s="8"/>
      <c r="AH15" s="8"/>
      <c r="AI15" s="8"/>
      <c r="AJ15" s="8"/>
      <c r="AK15" s="8"/>
      <c r="AL15" s="8"/>
      <c r="AM15" s="16"/>
      <c r="AN15" s="8"/>
      <c r="AO15" s="8"/>
      <c r="AP15" s="8"/>
      <c r="AQ15" s="8"/>
      <c r="AR15" s="8"/>
      <c r="AS15" s="8"/>
      <c r="AT15" s="8"/>
      <c r="AU15" s="8"/>
      <c r="AV15" s="16"/>
      <c r="AW15" s="8"/>
      <c r="AX15" s="8"/>
      <c r="AY15" s="8"/>
      <c r="AZ15" s="8"/>
      <c r="BA15" s="8"/>
      <c r="BB15" s="8"/>
      <c r="BC15" s="8"/>
      <c r="BD15" s="8"/>
      <c r="BE15" s="8">
        <f t="shared" si="14"/>
        <v>4.6971476687864503E-3</v>
      </c>
    </row>
    <row r="16" spans="1:57" x14ac:dyDescent="0.25">
      <c r="A16" t="str">
        <f t="shared" si="12"/>
        <v/>
      </c>
      <c r="B16" s="1">
        <v>42754</v>
      </c>
      <c r="C16" s="9">
        <f t="shared" si="15"/>
        <v>0.12412234092165955</v>
      </c>
      <c r="D16" s="9">
        <f t="shared" si="16"/>
        <v>0.12809508943685585</v>
      </c>
      <c r="E16" s="9">
        <f t="shared" si="17"/>
        <v>0.11867890625412278</v>
      </c>
      <c r="F16" s="9">
        <f t="shared" si="18"/>
        <v>0.12128985769432173</v>
      </c>
      <c r="G16" s="9">
        <f t="shared" si="19"/>
        <v>0.12572998882354419</v>
      </c>
      <c r="H16" s="9">
        <f t="shared" si="20"/>
        <v>0.13373317431640319</v>
      </c>
      <c r="I16" s="9">
        <f t="shared" si="21"/>
        <v>0.12305855090487106</v>
      </c>
      <c r="J16" s="9">
        <f t="shared" si="22"/>
        <v>0.12529209164822153</v>
      </c>
      <c r="K16" s="9">
        <f t="shared" si="23"/>
        <v>0</v>
      </c>
      <c r="L16" s="8">
        <f>+VLOOKUP($B16,NIFTY_50!$B$3:$I$1238,8,0)</f>
        <v>2.1504098847571207E-3</v>
      </c>
      <c r="M16" s="8">
        <f>+VLOOKUP($B16,NIFTY_BANK!$B$3:$I$41238,8,0)</f>
        <v>-2.100237418142914E-3</v>
      </c>
      <c r="N16" s="8">
        <f>+VLOOKUP($B16,NIFTY_IT!$B$3:$I$1238,8,0)</f>
        <v>-9.2360921068068702E-4</v>
      </c>
      <c r="O16" s="8">
        <f>+VLOOKUP($B16,NIFTY_PHARMA!$B$3:$I$1238,8,0)</f>
        <v>-5.9985936311582888E-3</v>
      </c>
      <c r="P16" s="8">
        <f>+VLOOKUP($B16,NIFTY_FMCG!$B$3:$I$1238,8,0)</f>
        <v>4.8584387504617688E-3</v>
      </c>
      <c r="Q16" s="8">
        <f>+VLOOKUP($B16,NIFTY_METAL!$B$3:$I$1238,8,0)</f>
        <v>-2.494553558064494E-4</v>
      </c>
      <c r="R16" s="8">
        <f>+VLOOKUP($B16,NIFTY_ENERGY!$B$3:$I$1238,8,0)</f>
        <v>1.2951873816549497E-2</v>
      </c>
      <c r="S16" s="8">
        <f>+VLOOKUP($B16,NIFTY_AUTO!$B$3:$I$1238,8,0)</f>
        <v>6.656436629064455E-3</v>
      </c>
      <c r="T16" s="8">
        <v>0</v>
      </c>
      <c r="U16" s="8"/>
      <c r="V16" s="8"/>
      <c r="W16" s="8"/>
      <c r="X16" s="8"/>
      <c r="Y16" s="8"/>
      <c r="Z16" s="8"/>
      <c r="AA16" s="8"/>
      <c r="AB16" s="8"/>
      <c r="AC16" s="8"/>
      <c r="AD16" s="16"/>
      <c r="AE16" s="8"/>
      <c r="AF16" s="8"/>
      <c r="AG16" s="8"/>
      <c r="AH16" s="8"/>
      <c r="AI16" s="8"/>
      <c r="AJ16" s="8"/>
      <c r="AK16" s="8"/>
      <c r="AL16" s="8"/>
      <c r="AM16" s="16"/>
      <c r="AN16" s="8"/>
      <c r="AO16" s="8"/>
      <c r="AP16" s="8"/>
      <c r="AQ16" s="8"/>
      <c r="AR16" s="8"/>
      <c r="AS16" s="8"/>
      <c r="AT16" s="8"/>
      <c r="AU16" s="8"/>
      <c r="AV16" s="16"/>
      <c r="AW16" s="8"/>
      <c r="AX16" s="8"/>
      <c r="AY16" s="8"/>
      <c r="AZ16" s="8"/>
      <c r="BA16" s="8"/>
      <c r="BB16" s="8"/>
      <c r="BC16" s="8"/>
      <c r="BD16" s="8"/>
      <c r="BE16" s="8">
        <f t="shared" si="14"/>
        <v>2.1360974013481912E-3</v>
      </c>
    </row>
    <row r="17" spans="1:57" x14ac:dyDescent="0.25">
      <c r="A17" t="str">
        <f t="shared" si="12"/>
        <v/>
      </c>
      <c r="B17" s="1">
        <v>42755</v>
      </c>
      <c r="C17" s="9">
        <f t="shared" si="15"/>
        <v>0.12427902421031882</v>
      </c>
      <c r="D17" s="9">
        <f t="shared" si="16"/>
        <v>0.12751802988706201</v>
      </c>
      <c r="E17" s="9">
        <f t="shared" si="17"/>
        <v>0.11899803036462506</v>
      </c>
      <c r="F17" s="9">
        <f t="shared" si="18"/>
        <v>0.12172307771093079</v>
      </c>
      <c r="G17" s="9">
        <f t="shared" si="19"/>
        <v>0.12722217458710355</v>
      </c>
      <c r="H17" s="9">
        <f t="shared" si="20"/>
        <v>0.13200530619301853</v>
      </c>
      <c r="I17" s="9">
        <f t="shared" si="21"/>
        <v>0.12292550149909283</v>
      </c>
      <c r="J17" s="9">
        <f t="shared" si="22"/>
        <v>0.12532885554784848</v>
      </c>
      <c r="K17" s="9">
        <f t="shared" si="23"/>
        <v>0</v>
      </c>
      <c r="L17" s="8">
        <f>+VLOOKUP($B17,NIFTY_50!$B$3:$I$1238,8,0)</f>
        <v>-1.0165854583822354E-2</v>
      </c>
      <c r="M17" s="8">
        <f>+VLOOKUP($B17,NIFTY_BANK!$B$3:$I$41238,8,0)</f>
        <v>-1.58672889132907E-2</v>
      </c>
      <c r="N17" s="8">
        <f>+VLOOKUP($B17,NIFTY_IT!$B$3:$I$1238,8,0)</f>
        <v>-8.7554966420958502E-3</v>
      </c>
      <c r="O17" s="8">
        <f>+VLOOKUP($B17,NIFTY_PHARMA!$B$3:$I$1238,8,0)</f>
        <v>-7.8827690752905077E-3</v>
      </c>
      <c r="P17" s="8">
        <f>+VLOOKUP($B17,NIFTY_FMCG!$B$3:$I$1238,8,0)</f>
        <v>3.1894019409128838E-4</v>
      </c>
      <c r="Q17" s="8">
        <f>+VLOOKUP($B17,NIFTY_METAL!$B$3:$I$1238,8,0)</f>
        <v>-2.4186572626256009E-2</v>
      </c>
      <c r="R17" s="8">
        <f>+VLOOKUP($B17,NIFTY_ENERGY!$B$3:$I$1238,8,0)</f>
        <v>-1.2482623485930322E-2</v>
      </c>
      <c r="S17" s="8">
        <f>+VLOOKUP($B17,NIFTY_AUTO!$B$3:$I$1238,8,0)</f>
        <v>-1.1123699660109176E-2</v>
      </c>
      <c r="T17" s="8">
        <v>0</v>
      </c>
      <c r="U17" s="8"/>
      <c r="V17" s="8"/>
      <c r="W17" s="8"/>
      <c r="X17" s="8"/>
      <c r="Y17" s="8"/>
      <c r="Z17" s="8"/>
      <c r="AA17" s="8"/>
      <c r="AB17" s="8"/>
      <c r="AC17" s="8"/>
      <c r="AD17" s="16"/>
      <c r="AE17" s="8"/>
      <c r="AF17" s="8"/>
      <c r="AG17" s="8"/>
      <c r="AH17" s="8"/>
      <c r="AI17" s="8"/>
      <c r="AJ17" s="8"/>
      <c r="AK17" s="8"/>
      <c r="AL17" s="8"/>
      <c r="AM17" s="16"/>
      <c r="AN17" s="8"/>
      <c r="AO17" s="8"/>
      <c r="AP17" s="8"/>
      <c r="AQ17" s="8"/>
      <c r="AR17" s="8"/>
      <c r="AS17" s="8"/>
      <c r="AT17" s="8"/>
      <c r="AU17" s="8"/>
      <c r="AV17" s="16"/>
      <c r="AW17" s="8"/>
      <c r="AX17" s="8"/>
      <c r="AY17" s="8"/>
      <c r="AZ17" s="8"/>
      <c r="BA17" s="8"/>
      <c r="BB17" s="8"/>
      <c r="BC17" s="8"/>
      <c r="BD17" s="8"/>
      <c r="BE17" s="8">
        <f t="shared" si="14"/>
        <v>-1.1413776106512733E-2</v>
      </c>
    </row>
    <row r="18" spans="1:57" x14ac:dyDescent="0.25">
      <c r="A18" t="str">
        <f t="shared" si="12"/>
        <v/>
      </c>
      <c r="B18" s="1">
        <v>42758</v>
      </c>
      <c r="C18" s="9">
        <f t="shared" si="15"/>
        <v>0.12403701111568917</v>
      </c>
      <c r="D18" s="9">
        <f t="shared" si="16"/>
        <v>0.12677778922892732</v>
      </c>
      <c r="E18" s="9">
        <f t="shared" si="17"/>
        <v>0.11918144746040055</v>
      </c>
      <c r="F18" s="9">
        <f t="shared" si="18"/>
        <v>0.11977704429956404</v>
      </c>
      <c r="G18" s="9">
        <f t="shared" si="19"/>
        <v>0.12769539883988434</v>
      </c>
      <c r="H18" s="9">
        <f t="shared" si="20"/>
        <v>0.13467973108115741</v>
      </c>
      <c r="I18" s="9">
        <f t="shared" si="21"/>
        <v>0.1225654497048435</v>
      </c>
      <c r="J18" s="9">
        <f t="shared" si="22"/>
        <v>0.12528612826953375</v>
      </c>
      <c r="K18" s="9">
        <f t="shared" si="23"/>
        <v>0</v>
      </c>
      <c r="L18" s="8">
        <f>+VLOOKUP($B18,NIFTY_50!$B$3:$I$1238,8,0)</f>
        <v>5.0482971728338377E-3</v>
      </c>
      <c r="M18" s="8">
        <f>+VLOOKUP($B18,NIFTY_BANK!$B$3:$I$41238,8,0)</f>
        <v>1.1636062229023469E-3</v>
      </c>
      <c r="N18" s="8">
        <f>+VLOOKUP($B18,NIFTY_IT!$B$3:$I$1238,8,0)</f>
        <v>8.5614325966059113E-3</v>
      </c>
      <c r="O18" s="8">
        <f>+VLOOKUP($B18,NIFTY_PHARMA!$B$3:$I$1238,8,0)</f>
        <v>-9.0901594415907505E-3</v>
      </c>
      <c r="P18" s="8">
        <f>+VLOOKUP($B18,NIFTY_FMCG!$B$3:$I$1238,8,0)</f>
        <v>1.0755023439250833E-2</v>
      </c>
      <c r="Q18" s="8">
        <f>+VLOOKUP($B18,NIFTY_METAL!$B$3:$I$1238,8,0)</f>
        <v>2.7411271351130306E-2</v>
      </c>
      <c r="R18" s="8">
        <f>+VLOOKUP($B18,NIFTY_ENERGY!$B$3:$I$1238,8,0)</f>
        <v>4.0597284546126655E-3</v>
      </c>
      <c r="S18" s="8">
        <f>+VLOOKUP($B18,NIFTY_AUTO!$B$3:$I$1238,8,0)</f>
        <v>6.665972294552569E-3</v>
      </c>
      <c r="T18" s="8">
        <v>0</v>
      </c>
      <c r="U18" s="8"/>
      <c r="V18" s="8"/>
      <c r="W18" s="8"/>
      <c r="X18" s="8"/>
      <c r="Y18" s="8"/>
      <c r="Z18" s="8"/>
      <c r="AA18" s="8"/>
      <c r="AB18" s="8"/>
      <c r="AC18" s="8"/>
      <c r="AD18" s="16"/>
      <c r="AE18" s="8"/>
      <c r="AF18" s="8"/>
      <c r="AG18" s="8"/>
      <c r="AH18" s="8"/>
      <c r="AI18" s="8"/>
      <c r="AJ18" s="8"/>
      <c r="AK18" s="8"/>
      <c r="AL18" s="8"/>
      <c r="AM18" s="16"/>
      <c r="AN18" s="8"/>
      <c r="AO18" s="8"/>
      <c r="AP18" s="8"/>
      <c r="AQ18" s="8"/>
      <c r="AR18" s="8"/>
      <c r="AS18" s="8"/>
      <c r="AT18" s="8"/>
      <c r="AU18" s="8"/>
      <c r="AV18" s="16"/>
      <c r="AW18" s="8"/>
      <c r="AX18" s="8"/>
      <c r="AY18" s="8"/>
      <c r="AZ18" s="8"/>
      <c r="BA18" s="8"/>
      <c r="BB18" s="8"/>
      <c r="BC18" s="8"/>
      <c r="BD18" s="8"/>
      <c r="BE18" s="8">
        <f t="shared" si="14"/>
        <v>7.0092832242004037E-3</v>
      </c>
    </row>
    <row r="19" spans="1:57" x14ac:dyDescent="0.25">
      <c r="A19" t="str">
        <f t="shared" si="12"/>
        <v/>
      </c>
      <c r="B19" s="1">
        <v>42759</v>
      </c>
      <c r="C19" s="9">
        <f t="shared" si="15"/>
        <v>0.12406557962880853</v>
      </c>
      <c r="D19" s="9">
        <f t="shared" si="16"/>
        <v>0.12675041156462419</v>
      </c>
      <c r="E19" s="9">
        <f t="shared" si="17"/>
        <v>0.11781767909291616</v>
      </c>
      <c r="F19" s="9">
        <f t="shared" si="18"/>
        <v>0.12006812060570339</v>
      </c>
      <c r="G19" s="9">
        <f t="shared" si="19"/>
        <v>0.12665448942981783</v>
      </c>
      <c r="H19" s="9">
        <f t="shared" si="20"/>
        <v>0.13553070392520308</v>
      </c>
      <c r="I19" s="9">
        <f t="shared" si="21"/>
        <v>0.12294942803581319</v>
      </c>
      <c r="J19" s="9">
        <f t="shared" si="22"/>
        <v>0.12616358771711356</v>
      </c>
      <c r="K19" s="9">
        <f t="shared" si="23"/>
        <v>0</v>
      </c>
      <c r="L19" s="8">
        <f>+VLOOKUP($B19,NIFTY_50!$B$3:$I$1238,8,0)</f>
        <v>1.0045879759280174E-2</v>
      </c>
      <c r="M19" s="8">
        <f>+VLOOKUP($B19,NIFTY_BANK!$B$3:$I$41238,8,0)</f>
        <v>9.5952278601261209E-3</v>
      </c>
      <c r="N19" s="8">
        <f>+VLOOKUP($B19,NIFTY_IT!$B$3:$I$1238,8,0)</f>
        <v>-1.7417852320096294E-3</v>
      </c>
      <c r="O19" s="8">
        <f>+VLOOKUP($B19,NIFTY_PHARMA!$B$3:$I$1238,8,0)</f>
        <v>1.2267295859175853E-2</v>
      </c>
      <c r="P19" s="8">
        <f>+VLOOKUP($B19,NIFTY_FMCG!$B$3:$I$1238,8,0)</f>
        <v>1.5818010588011244E-3</v>
      </c>
      <c r="Q19" s="8">
        <f>+VLOOKUP($B19,NIFTY_METAL!$B$3:$I$1238,8,0)</f>
        <v>1.6193794591007116E-2</v>
      </c>
      <c r="R19" s="8">
        <f>+VLOOKUP($B19,NIFTY_ENERGY!$B$3:$I$1238,8,0)</f>
        <v>1.2976883729610034E-2</v>
      </c>
      <c r="S19" s="8">
        <f>+VLOOKUP($B19,NIFTY_AUTO!$B$3:$I$1238,8,0)</f>
        <v>1.6885669943093706E-2</v>
      </c>
      <c r="T19" s="8">
        <v>0</v>
      </c>
      <c r="U19" s="8"/>
      <c r="V19" s="8"/>
      <c r="W19" s="8"/>
      <c r="X19" s="8"/>
      <c r="Y19" s="8"/>
      <c r="Z19" s="8"/>
      <c r="AA19" s="8"/>
      <c r="AB19" s="8"/>
      <c r="AC19" s="8"/>
      <c r="AD19" s="16"/>
      <c r="AE19" s="8"/>
      <c r="AF19" s="8"/>
      <c r="AG19" s="8"/>
      <c r="AH19" s="8"/>
      <c r="AI19" s="8"/>
      <c r="AJ19" s="8"/>
      <c r="AK19" s="8"/>
      <c r="AL19" s="8"/>
      <c r="AM19" s="16"/>
      <c r="AN19" s="8"/>
      <c r="AO19" s="8"/>
      <c r="AP19" s="8"/>
      <c r="AQ19" s="8"/>
      <c r="AR19" s="8"/>
      <c r="AS19" s="8"/>
      <c r="AT19" s="8"/>
      <c r="AU19" s="8"/>
      <c r="AV19" s="16"/>
      <c r="AW19" s="8"/>
      <c r="AX19" s="8"/>
      <c r="AY19" s="8"/>
      <c r="AZ19" s="8"/>
      <c r="BA19" s="8"/>
      <c r="BB19" s="8"/>
      <c r="BC19" s="8"/>
      <c r="BD19" s="8"/>
      <c r="BE19" s="8">
        <f t="shared" si="14"/>
        <v>9.8132970473514894E-3</v>
      </c>
    </row>
    <row r="20" spans="1:57" x14ac:dyDescent="0.25">
      <c r="A20" t="str">
        <f t="shared" si="12"/>
        <v/>
      </c>
      <c r="B20" s="1">
        <v>42760</v>
      </c>
      <c r="C20" s="9">
        <f t="shared" si="15"/>
        <v>0.12457573677237985</v>
      </c>
      <c r="D20" s="9">
        <f t="shared" si="16"/>
        <v>0.12835767243490134</v>
      </c>
      <c r="E20" s="9">
        <f t="shared" si="17"/>
        <v>0.11613192088804911</v>
      </c>
      <c r="F20" s="9">
        <f t="shared" si="18"/>
        <v>0.11870402522814752</v>
      </c>
      <c r="G20" s="9">
        <f t="shared" si="19"/>
        <v>0.12700204242009891</v>
      </c>
      <c r="H20" s="9">
        <f t="shared" si="20"/>
        <v>0.13612666964723627</v>
      </c>
      <c r="I20" s="9">
        <f t="shared" si="21"/>
        <v>0.12251742492478251</v>
      </c>
      <c r="J20" s="9">
        <f t="shared" si="22"/>
        <v>0.12658450768440457</v>
      </c>
      <c r="K20" s="9">
        <f t="shared" si="23"/>
        <v>0</v>
      </c>
      <c r="L20" s="8">
        <f>+VLOOKUP($B20,NIFTY_50!$B$3:$I$1238,8,0)</f>
        <v>1.4977937185870482E-2</v>
      </c>
      <c r="M20" s="8">
        <f>+VLOOKUP($B20,NIFTY_BANK!$B$3:$I$41238,8,0)</f>
        <v>2.3639183115620188E-2</v>
      </c>
      <c r="N20" s="8">
        <f>+VLOOKUP($B20,NIFTY_IT!$B$3:$I$1238,8,0)</f>
        <v>-3.6415856336260433E-3</v>
      </c>
      <c r="O20" s="8">
        <f>+VLOOKUP($B20,NIFTY_PHARMA!$B$3:$I$1238,8,0)</f>
        <v>-6.6251106200043708E-4</v>
      </c>
      <c r="P20" s="8">
        <f>+VLOOKUP($B20,NIFTY_FMCG!$B$3:$I$1238,8,0)</f>
        <v>1.3595242007631736E-2</v>
      </c>
      <c r="Q20" s="8">
        <f>+VLOOKUP($B20,NIFTY_METAL!$B$3:$I$1238,8,0)</f>
        <v>1.5266303105508916E-2</v>
      </c>
      <c r="R20" s="8">
        <f>+VLOOKUP($B20,NIFTY_ENERGY!$B$3:$I$1238,8,0)</f>
        <v>7.2697556436260857E-3</v>
      </c>
      <c r="S20" s="8">
        <f>+VLOOKUP($B20,NIFTY_AUTO!$B$3:$I$1238,8,0)</f>
        <v>1.4193850348995785E-2</v>
      </c>
      <c r="T20" s="8">
        <v>0</v>
      </c>
      <c r="U20" s="8"/>
      <c r="V20" s="8"/>
      <c r="W20" s="8"/>
      <c r="X20" s="8"/>
      <c r="Y20" s="8"/>
      <c r="Z20" s="8"/>
      <c r="AA20" s="8"/>
      <c r="AB20" s="8"/>
      <c r="AC20" s="8"/>
      <c r="AD20" s="16"/>
      <c r="AE20" s="8"/>
      <c r="AF20" s="8"/>
      <c r="AG20" s="8"/>
      <c r="AH20" s="8"/>
      <c r="AI20" s="8"/>
      <c r="AJ20" s="8"/>
      <c r="AK20" s="8"/>
      <c r="AL20" s="8"/>
      <c r="AM20" s="16"/>
      <c r="AN20" s="8"/>
      <c r="AO20" s="8"/>
      <c r="AP20" s="8"/>
      <c r="AQ20" s="8"/>
      <c r="AR20" s="8"/>
      <c r="AS20" s="8"/>
      <c r="AT20" s="8"/>
      <c r="AU20" s="8"/>
      <c r="AV20" s="16"/>
      <c r="AW20" s="8"/>
      <c r="AX20" s="8"/>
      <c r="AY20" s="8"/>
      <c r="AZ20" s="8"/>
      <c r="BA20" s="8"/>
      <c r="BB20" s="8"/>
      <c r="BC20" s="8"/>
      <c r="BD20" s="8"/>
      <c r="BE20" s="8">
        <f t="shared" si="14"/>
        <v>1.0821443645168084E-2</v>
      </c>
    </row>
    <row r="21" spans="1:57" x14ac:dyDescent="0.25">
      <c r="A21" t="str">
        <f t="shared" si="12"/>
        <v/>
      </c>
      <c r="B21" s="1">
        <v>42762</v>
      </c>
      <c r="C21" s="9">
        <f t="shared" si="15"/>
        <v>0.12490343277013717</v>
      </c>
      <c r="D21" s="9">
        <f t="shared" si="16"/>
        <v>0.12966874748464705</v>
      </c>
      <c r="E21" s="9">
        <f t="shared" si="17"/>
        <v>0.11611706843514465</v>
      </c>
      <c r="F21" s="9">
        <f t="shared" si="18"/>
        <v>0.11888277889572997</v>
      </c>
      <c r="G21" s="9">
        <f t="shared" si="19"/>
        <v>0.12443935626275836</v>
      </c>
      <c r="H21" s="9">
        <f t="shared" si="20"/>
        <v>0.13590288188727781</v>
      </c>
      <c r="I21" s="9">
        <f t="shared" si="21"/>
        <v>0.12313603108930039</v>
      </c>
      <c r="J21" s="9">
        <f t="shared" si="22"/>
        <v>0.12694970317500445</v>
      </c>
      <c r="K21" s="9">
        <f t="shared" si="23"/>
        <v>0</v>
      </c>
      <c r="L21" s="8">
        <f>+VLOOKUP($B21,NIFTY_50!$B$3:$I$1238,8,0)</f>
        <v>4.4753131266164203E-3</v>
      </c>
      <c r="M21" s="8">
        <f>+VLOOKUP($B21,NIFTY_BANK!$B$3:$I$41238,8,0)</f>
        <v>1.2073002896288099E-2</v>
      </c>
      <c r="N21" s="8">
        <f>+VLOOKUP($B21,NIFTY_IT!$B$3:$I$1238,8,0)</f>
        <v>1.7118486489677842E-3</v>
      </c>
      <c r="O21" s="8">
        <f>+VLOOKUP($B21,NIFTY_PHARMA!$B$3:$I$1238,8,0)</f>
        <v>3.3486247411107506E-3</v>
      </c>
      <c r="P21" s="8">
        <f>+VLOOKUP($B21,NIFTY_FMCG!$B$3:$I$1238,8,0)</f>
        <v>-1.8375457359977476E-2</v>
      </c>
      <c r="Q21" s="8">
        <f>+VLOOKUP($B21,NIFTY_METAL!$B$3:$I$1238,8,0)</f>
        <v>1.9298499541653413E-4</v>
      </c>
      <c r="R21" s="8">
        <f>+VLOOKUP($B21,NIFTY_ENERGY!$B$3:$I$1238,8,0)</f>
        <v>6.898395220364284E-3</v>
      </c>
      <c r="S21" s="8">
        <f>+VLOOKUP($B21,NIFTY_AUTO!$B$3:$I$1238,8,0)</f>
        <v>4.730278800525678E-3</v>
      </c>
      <c r="T21" s="8">
        <v>0</v>
      </c>
      <c r="U21" s="8"/>
      <c r="V21" s="8"/>
      <c r="W21" s="8"/>
      <c r="X21" s="8"/>
      <c r="Y21" s="8"/>
      <c r="Z21" s="8"/>
      <c r="AA21" s="8"/>
      <c r="AB21" s="8"/>
      <c r="AC21" s="8"/>
      <c r="AD21" s="16"/>
      <c r="AE21" s="8"/>
      <c r="AF21" s="8"/>
      <c r="AG21" s="8"/>
      <c r="AH21" s="8"/>
      <c r="AI21" s="8"/>
      <c r="AJ21" s="8"/>
      <c r="AK21" s="8"/>
      <c r="AL21" s="8"/>
      <c r="AM21" s="16"/>
      <c r="AN21" s="8"/>
      <c r="AO21" s="8"/>
      <c r="AP21" s="8"/>
      <c r="AQ21" s="8"/>
      <c r="AR21" s="8"/>
      <c r="AS21" s="8"/>
      <c r="AT21" s="8"/>
      <c r="AU21" s="8"/>
      <c r="AV21" s="16"/>
      <c r="AW21" s="8"/>
      <c r="AX21" s="8"/>
      <c r="AY21" s="8"/>
      <c r="AZ21" s="8"/>
      <c r="BA21" s="8"/>
      <c r="BB21" s="8"/>
      <c r="BC21" s="8"/>
      <c r="BD21" s="8"/>
      <c r="BE21" s="8">
        <f t="shared" si="14"/>
        <v>1.8399769100096964E-3</v>
      </c>
    </row>
    <row r="22" spans="1:57" x14ac:dyDescent="0.25">
      <c r="A22" t="str">
        <f t="shared" si="12"/>
        <v/>
      </c>
      <c r="B22" s="1">
        <v>42765</v>
      </c>
      <c r="C22" s="9">
        <f>C21*(1+L22)/SUMPRODUCT($C21:$K21,1+$L22:$T22)</f>
        <v>0.12497849621963862</v>
      </c>
      <c r="D22" s="9">
        <f t="shared" si="16"/>
        <v>0.12906354717232882</v>
      </c>
      <c r="E22" s="9">
        <f t="shared" si="17"/>
        <v>0.11617332073948147</v>
      </c>
      <c r="F22" s="9">
        <f t="shared" si="18"/>
        <v>0.11958761744946654</v>
      </c>
      <c r="G22" s="9">
        <f t="shared" si="19"/>
        <v>0.12456869897171041</v>
      </c>
      <c r="H22" s="9">
        <f t="shared" si="20"/>
        <v>0.13589739592397107</v>
      </c>
      <c r="I22" s="9">
        <f t="shared" si="21"/>
        <v>0.12367427149796134</v>
      </c>
      <c r="J22" s="9">
        <f t="shared" si="22"/>
        <v>0.12605665202544175</v>
      </c>
      <c r="K22" s="9">
        <f t="shared" si="23"/>
        <v>0</v>
      </c>
      <c r="L22" s="8">
        <f>+VLOOKUP($B22,NIFTY_50!$B$3:$I$1238,8,0)</f>
        <v>-9.8365398524513648E-4</v>
      </c>
      <c r="M22" s="8">
        <f>+VLOOKUP($B22,NIFTY_BANK!$B$3:$I$41238,8,0)</f>
        <v>-6.2435623569764287E-3</v>
      </c>
      <c r="N22" s="8">
        <f>+VLOOKUP($B22,NIFTY_IT!$B$3:$I$1238,8,0)</f>
        <v>-1.0999965625108077E-3</v>
      </c>
      <c r="O22" s="8">
        <f>+VLOOKUP($B22,NIFTY_PHARMA!$B$3:$I$1238,8,0)</f>
        <v>4.3357897985953908E-3</v>
      </c>
      <c r="P22" s="8">
        <f>+VLOOKUP($B22,NIFTY_FMCG!$B$3:$I$1238,8,0)</f>
        <v>-5.4591663531855517E-4</v>
      </c>
      <c r="Q22" s="8">
        <f>+VLOOKUP($B22,NIFTY_METAL!$B$3:$I$1238,8,0)</f>
        <v>-1.6239769749007982E-3</v>
      </c>
      <c r="R22" s="8">
        <f>+VLOOKUP($B22,NIFTY_ENERGY!$B$3:$I$1238,8,0)</f>
        <v>2.7805075707119098E-3</v>
      </c>
      <c r="S22" s="8">
        <f>+VLOOKUP($B22,NIFTY_AUTO!$B$3:$I$1238,8,0)</f>
        <v>-8.6072182808529796E-3</v>
      </c>
      <c r="T22" s="8">
        <v>0</v>
      </c>
      <c r="U22" s="8"/>
      <c r="V22" s="8"/>
      <c r="W22" s="8"/>
      <c r="X22" s="8"/>
      <c r="Y22" s="8"/>
      <c r="Z22" s="8"/>
      <c r="AA22" s="8"/>
      <c r="AB22" s="8"/>
      <c r="AC22" s="8"/>
      <c r="AD22" s="16"/>
      <c r="AE22" s="8"/>
      <c r="AF22" s="8"/>
      <c r="AG22" s="8"/>
      <c r="AH22" s="8"/>
      <c r="AI22" s="8"/>
      <c r="AJ22" s="8"/>
      <c r="AK22" s="8"/>
      <c r="AL22" s="8"/>
      <c r="AM22" s="16"/>
      <c r="AN22" s="8"/>
      <c r="AO22" s="8"/>
      <c r="AP22" s="8"/>
      <c r="AQ22" s="8"/>
      <c r="AR22" s="8"/>
      <c r="AS22" s="8"/>
      <c r="AT22" s="8"/>
      <c r="AU22" s="8"/>
      <c r="AV22" s="16"/>
      <c r="AW22" s="8"/>
      <c r="AX22" s="8"/>
      <c r="AY22" s="8"/>
      <c r="AZ22" s="8"/>
      <c r="BA22" s="8"/>
      <c r="BB22" s="8"/>
      <c r="BC22" s="8"/>
      <c r="BD22" s="8"/>
      <c r="BE22" s="8">
        <f t="shared" si="14"/>
        <v>-1.5836741111745964E-3</v>
      </c>
    </row>
    <row r="23" spans="1:57" x14ac:dyDescent="0.25">
      <c r="A23" t="str">
        <f t="shared" si="12"/>
        <v>Y</v>
      </c>
      <c r="B23" s="1">
        <v>42766</v>
      </c>
      <c r="C23" s="9">
        <f t="shared" ref="C23:C33" si="24">C22*(1+L23)/SUMPRODUCT($C22:$K22,1+$L23:$T23)</f>
        <v>0.12526616209357108</v>
      </c>
      <c r="D23" s="9">
        <f t="shared" ref="D23:D51" si="25">D22*(1+M23)/SUMPRODUCT($C22:$K22,1+$L23:$T23)</f>
        <v>0.12997334517970627</v>
      </c>
      <c r="E23" s="9">
        <f t="shared" ref="E23:E51" si="26">E22*(1+N23)/SUMPRODUCT($C22:$K22,1+$L23:$T23)</f>
        <v>0.11369351903726768</v>
      </c>
      <c r="F23" s="9">
        <f t="shared" ref="F23:F51" si="27">F22*(1+O23)/SUMPRODUCT($C22:$K22,1+$L23:$T23)</f>
        <v>0.11882254490553699</v>
      </c>
      <c r="G23" s="9">
        <f t="shared" ref="G23:G51" si="28">G22*(1+P23)/SUMPRODUCT($C22:$K22,1+$L23:$T23)</f>
        <v>0.12616527162847119</v>
      </c>
      <c r="H23" s="9">
        <f t="shared" ref="H23:H51" si="29">H22*(1+Q23)/SUMPRODUCT($C22:$K22,1+$L23:$T23)</f>
        <v>0.13590916850299092</v>
      </c>
      <c r="I23" s="9">
        <f t="shared" ref="I23:I51" si="30">I22*(1+R23)/SUMPRODUCT($C22:$K22,1+$L23:$T23)</f>
        <v>0.12393513690005308</v>
      </c>
      <c r="J23" s="9">
        <f t="shared" ref="J23:J51" si="31">J22*(1+S23)/SUMPRODUCT($C22:$K22,1+$L23:$T23)</f>
        <v>0.12623485175240268</v>
      </c>
      <c r="K23" s="9">
        <f t="shared" ref="K23:K51" si="32">K22*(1+T23)/SUMPRODUCT($C22:$K22,1+$L23:$T23)</f>
        <v>0</v>
      </c>
      <c r="L23" s="8">
        <f>+VLOOKUP($B23,NIFTY_50!$B$3:$I$1238,8,0)</f>
        <v>-8.2766210072110491E-3</v>
      </c>
      <c r="M23" s="8">
        <f>+VLOOKUP($B23,NIFTY_BANK!$B$3:$I$41238,8,0)</f>
        <v>-3.579224161039507E-3</v>
      </c>
      <c r="N23" s="8">
        <f>+VLOOKUP($B23,NIFTY_IT!$B$3:$I$1238,8,0)</f>
        <v>-3.1674475082713482E-2</v>
      </c>
      <c r="O23" s="8">
        <f>+VLOOKUP($B23,NIFTY_PHARMA!$B$3:$I$1238,8,0)</f>
        <v>-1.6884120954845927E-2</v>
      </c>
      <c r="P23" s="8">
        <f>+VLOOKUP($B23,NIFTY_FMCG!$B$3:$I$1238,8,0)</f>
        <v>2.1274837856819495E-3</v>
      </c>
      <c r="Q23" s="8">
        <f>+VLOOKUP($B23,NIFTY_METAL!$B$3:$I$1238,8,0)</f>
        <v>-1.0468337305933106E-2</v>
      </c>
      <c r="R23" s="8">
        <f>+VLOOKUP($B23,NIFTY_ENERGY!$B$3:$I$1238,8,0)</f>
        <v>-8.4670190333757667E-3</v>
      </c>
      <c r="S23" s="8">
        <f>+VLOOKUP($B23,NIFTY_AUTO!$B$3:$I$1238,8,0)</f>
        <v>-9.1553232312550081E-3</v>
      </c>
      <c r="T23" s="8">
        <v>0</v>
      </c>
      <c r="U23" s="8"/>
      <c r="V23" s="8"/>
      <c r="W23" s="8"/>
      <c r="X23" s="8"/>
      <c r="Y23" s="8"/>
      <c r="Z23" s="8"/>
      <c r="AA23" s="8"/>
      <c r="AB23" s="8"/>
      <c r="AC23" s="8"/>
      <c r="AD23" s="16"/>
      <c r="AE23" s="8"/>
      <c r="AF23" s="8"/>
      <c r="AG23" s="8"/>
      <c r="AH23" s="8"/>
      <c r="AI23" s="8"/>
      <c r="AJ23" s="8"/>
      <c r="AK23" s="8"/>
      <c r="AL23" s="8"/>
      <c r="AM23" s="16"/>
      <c r="AN23" s="8"/>
      <c r="AO23" s="8"/>
      <c r="AP23" s="8"/>
      <c r="AQ23" s="8"/>
      <c r="AR23" s="8"/>
      <c r="AS23" s="8"/>
      <c r="AT23" s="8"/>
      <c r="AU23" s="8"/>
      <c r="AV23" s="16"/>
      <c r="AW23" s="8"/>
      <c r="AX23" s="8"/>
      <c r="AY23" s="8"/>
      <c r="AZ23" s="8"/>
      <c r="BA23" s="8"/>
      <c r="BB23" s="8"/>
      <c r="BC23" s="8"/>
      <c r="BD23" s="8"/>
      <c r="BE23" s="8">
        <f t="shared" si="14"/>
        <v>-1.0554051462086329E-2</v>
      </c>
    </row>
    <row r="24" spans="1:57" x14ac:dyDescent="0.25">
      <c r="A24" t="str">
        <f t="shared" si="12"/>
        <v/>
      </c>
      <c r="B24" s="1">
        <v>42767</v>
      </c>
      <c r="C24" s="9">
        <f t="shared" si="24"/>
        <v>0.12547346636144152</v>
      </c>
      <c r="D24" s="9">
        <f t="shared" si="25"/>
        <v>0.13118379175906469</v>
      </c>
      <c r="E24" s="9">
        <f t="shared" si="26"/>
        <v>0.11073653328374239</v>
      </c>
      <c r="F24" s="9">
        <f t="shared" si="27"/>
        <v>0.1163663157759688</v>
      </c>
      <c r="G24" s="9">
        <f t="shared" si="28"/>
        <v>0.12790068760564427</v>
      </c>
      <c r="H24" s="9">
        <f t="shared" si="29"/>
        <v>0.13696299258476749</v>
      </c>
      <c r="I24" s="9">
        <f t="shared" si="30"/>
        <v>0.1227109043793693</v>
      </c>
      <c r="J24" s="9">
        <f t="shared" si="31"/>
        <v>0.12866530825000158</v>
      </c>
      <c r="K24" s="9">
        <f t="shared" si="32"/>
        <v>0</v>
      </c>
      <c r="L24" s="8">
        <f>+VLOOKUP($B24,NIFTY_50!$B$3:$I$1238,8,0)</f>
        <v>1.8116407554927383E-2</v>
      </c>
      <c r="M24" s="8">
        <f>+VLOOKUP($B24,NIFTY_BANK!$B$3:$I$41238,8,0)</f>
        <v>2.5900390209657509E-2</v>
      </c>
      <c r="N24" s="8">
        <f>+VLOOKUP($B24,NIFTY_IT!$B$3:$I$1238,8,0)</f>
        <v>-1.000152307457991E-2</v>
      </c>
      <c r="O24" s="8">
        <f>+VLOOKUP($B24,NIFTY_PHARMA!$B$3:$I$1238,8,0)</f>
        <v>-4.5768267009237418E-3</v>
      </c>
      <c r="P24" s="8">
        <f>+VLOOKUP($B24,NIFTY_FMCG!$B$3:$I$1238,8,0)</f>
        <v>3.0415455750905096E-2</v>
      </c>
      <c r="Q24" s="8">
        <f>+VLOOKUP($B24,NIFTY_METAL!$B$3:$I$1238,8,0)</f>
        <v>2.4315614726083234E-2</v>
      </c>
      <c r="R24" s="8">
        <f>+VLOOKUP($B24,NIFTY_ENERGY!$B$3:$I$1238,8,0)</f>
        <v>6.3939517432300974E-3</v>
      </c>
      <c r="S24" s="8">
        <f>+VLOOKUP($B24,NIFTY_AUTO!$B$3:$I$1238,8,0)</f>
        <v>3.6004167619628547E-2</v>
      </c>
      <c r="T24" s="8">
        <v>0</v>
      </c>
      <c r="U24" s="8"/>
      <c r="V24" s="8"/>
      <c r="W24" s="8"/>
      <c r="X24" s="8"/>
      <c r="Y24" s="8"/>
      <c r="Z24" s="8"/>
      <c r="AA24" s="8"/>
      <c r="AB24" s="8"/>
      <c r="AC24" s="8"/>
      <c r="AD24" s="16"/>
      <c r="AE24" s="8"/>
      <c r="AF24" s="8"/>
      <c r="AG24" s="8"/>
      <c r="AH24" s="8"/>
      <c r="AI24" s="8"/>
      <c r="AJ24" s="8"/>
      <c r="AK24" s="8"/>
      <c r="AL24" s="8"/>
      <c r="AM24" s="16"/>
      <c r="AN24" s="8"/>
      <c r="AO24" s="8"/>
      <c r="AP24" s="8"/>
      <c r="AQ24" s="8"/>
      <c r="AR24" s="8"/>
      <c r="AS24" s="8"/>
      <c r="AT24" s="8"/>
      <c r="AU24" s="8"/>
      <c r="AV24" s="16"/>
      <c r="AW24" s="8"/>
      <c r="AX24" s="8"/>
      <c r="AY24" s="8"/>
      <c r="AZ24" s="8"/>
      <c r="BA24" s="8"/>
      <c r="BB24" s="8"/>
      <c r="BC24" s="8"/>
      <c r="BD24" s="8"/>
      <c r="BE24" s="8">
        <f t="shared" si="14"/>
        <v>1.6434299914200597E-2</v>
      </c>
    </row>
    <row r="25" spans="1:57" x14ac:dyDescent="0.25">
      <c r="A25" t="str">
        <f t="shared" si="12"/>
        <v/>
      </c>
      <c r="B25" s="1">
        <v>42768</v>
      </c>
      <c r="C25" s="9">
        <f t="shared" si="24"/>
        <v>0.12514842468454057</v>
      </c>
      <c r="D25" s="9">
        <f t="shared" si="25"/>
        <v>0.13090070322890787</v>
      </c>
      <c r="E25" s="9">
        <f t="shared" si="26"/>
        <v>0.11221362782725133</v>
      </c>
      <c r="F25" s="9">
        <f t="shared" si="27"/>
        <v>0.11824323008626623</v>
      </c>
      <c r="G25" s="9">
        <f t="shared" si="28"/>
        <v>0.12843761631288086</v>
      </c>
      <c r="H25" s="9">
        <f t="shared" si="29"/>
        <v>0.13635716380372173</v>
      </c>
      <c r="I25" s="9">
        <f t="shared" si="30"/>
        <v>0.12230263803433343</v>
      </c>
      <c r="J25" s="9">
        <f t="shared" si="31"/>
        <v>0.12639659602209805</v>
      </c>
      <c r="K25" s="9">
        <f t="shared" si="32"/>
        <v>0</v>
      </c>
      <c r="L25" s="8">
        <f>+VLOOKUP($B25,NIFTY_50!$B$3:$I$1238,8,0)</f>
        <v>2.0478637969805202E-3</v>
      </c>
      <c r="M25" s="8">
        <f>+VLOOKUP($B25,NIFTY_BANK!$B$3:$I$41238,8,0)</f>
        <v>2.4824430836238864E-3</v>
      </c>
      <c r="N25" s="8">
        <f>+VLOOKUP($B25,NIFTY_IT!$B$3:$I$1238,8,0)</f>
        <v>1.8051282051282147E-2</v>
      </c>
      <c r="O25" s="8">
        <f>+VLOOKUP($B25,NIFTY_PHARMA!$B$3:$I$1238,8,0)</f>
        <v>2.0854801511359655E-2</v>
      </c>
      <c r="P25" s="8">
        <f>+VLOOKUP($B25,NIFTY_FMCG!$B$3:$I$1238,8,0)</f>
        <v>8.8679673018710048E-3</v>
      </c>
      <c r="Q25" s="8">
        <f>+VLOOKUP($B25,NIFTY_METAL!$B$3:$I$1238,8,0)</f>
        <v>2.0655904410826764E-4</v>
      </c>
      <c r="R25" s="8">
        <f>+VLOOKUP($B25,NIFTY_ENERGY!$B$3:$I$1238,8,0)</f>
        <v>1.3079014000596523E-3</v>
      </c>
      <c r="S25" s="8">
        <f>+VLOOKUP($B25,NIFTY_AUTO!$B$3:$I$1238,8,0)</f>
        <v>-1.3064232065502779E-2</v>
      </c>
      <c r="T25" s="8">
        <v>0</v>
      </c>
      <c r="U25" s="8"/>
      <c r="V25" s="8"/>
      <c r="W25" s="8"/>
      <c r="X25" s="8"/>
      <c r="Y25" s="8"/>
      <c r="Z25" s="8"/>
      <c r="AA25" s="8"/>
      <c r="AB25" s="8"/>
      <c r="AC25" s="8"/>
      <c r="AD25" s="16"/>
      <c r="AE25" s="8"/>
      <c r="AF25" s="8"/>
      <c r="AG25" s="8"/>
      <c r="AH25" s="8"/>
      <c r="AI25" s="8"/>
      <c r="AJ25" s="8"/>
      <c r="AK25" s="8"/>
      <c r="AL25" s="8"/>
      <c r="AM25" s="16"/>
      <c r="AN25" s="8"/>
      <c r="AO25" s="8"/>
      <c r="AP25" s="8"/>
      <c r="AQ25" s="8"/>
      <c r="AR25" s="8"/>
      <c r="AS25" s="8"/>
      <c r="AT25" s="8"/>
      <c r="AU25" s="8"/>
      <c r="AV25" s="16"/>
      <c r="AW25" s="8"/>
      <c r="AX25" s="8"/>
      <c r="AY25" s="8"/>
      <c r="AZ25" s="8"/>
      <c r="BA25" s="8"/>
      <c r="BB25" s="8"/>
      <c r="BC25" s="8"/>
      <c r="BD25" s="8"/>
      <c r="BE25" s="8">
        <f t="shared" si="14"/>
        <v>4.6504320578642329E-3</v>
      </c>
    </row>
    <row r="26" spans="1:57" x14ac:dyDescent="0.25">
      <c r="A26" t="str">
        <f t="shared" si="12"/>
        <v/>
      </c>
      <c r="B26" s="1">
        <v>42769</v>
      </c>
      <c r="C26" s="9">
        <f t="shared" si="24"/>
        <v>0.12510858348579137</v>
      </c>
      <c r="D26" s="9">
        <f t="shared" si="25"/>
        <v>0.13158287846062014</v>
      </c>
      <c r="E26" s="9">
        <f t="shared" si="26"/>
        <v>0.1132189365666752</v>
      </c>
      <c r="F26" s="9">
        <f t="shared" si="27"/>
        <v>0.11985230074556302</v>
      </c>
      <c r="G26" s="9">
        <f t="shared" si="28"/>
        <v>0.12800973278433236</v>
      </c>
      <c r="H26" s="9">
        <f t="shared" si="29"/>
        <v>0.13539784250210948</v>
      </c>
      <c r="I26" s="9">
        <f t="shared" si="30"/>
        <v>0.1216208354697266</v>
      </c>
      <c r="J26" s="9">
        <f t="shared" si="31"/>
        <v>0.1252088899851819</v>
      </c>
      <c r="K26" s="9">
        <f t="shared" si="32"/>
        <v>0</v>
      </c>
      <c r="L26" s="8">
        <f>+VLOOKUP($B26,NIFTY_50!$B$3:$I$1238,8,0)</f>
        <v>7.6709505681660239E-4</v>
      </c>
      <c r="M26" s="8">
        <f>+VLOOKUP($B26,NIFTY_BANK!$B$3:$I$41238,8,0)</f>
        <v>6.3028454980742499E-3</v>
      </c>
      <c r="N26" s="8">
        <f>+VLOOKUP($B26,NIFTY_IT!$B$3:$I$1238,8,0)</f>
        <v>1.0054402579085187E-2</v>
      </c>
      <c r="O26" s="8">
        <f>+VLOOKUP($B26,NIFTY_PHARMA!$B$3:$I$1238,8,0)</f>
        <v>1.4708709863487712E-2</v>
      </c>
      <c r="P26" s="8">
        <f>+VLOOKUP($B26,NIFTY_FMCG!$B$3:$I$1238,8,0)</f>
        <v>-2.2492752090658152E-3</v>
      </c>
      <c r="Q26" s="8">
        <f>+VLOOKUP($B26,NIFTY_METAL!$B$3:$I$1238,8,0)</f>
        <v>-5.9572034504122851E-3</v>
      </c>
      <c r="R26" s="8">
        <f>+VLOOKUP($B26,NIFTY_ENERGY!$B$3:$I$1238,8,0)</f>
        <v>-4.4949774321454417E-3</v>
      </c>
      <c r="S26" s="8">
        <f>+VLOOKUP($B26,NIFTY_AUTO!$B$3:$I$1238,8,0)</f>
        <v>-8.3210720960750217E-3</v>
      </c>
      <c r="T26" s="8">
        <v>0</v>
      </c>
      <c r="U26" s="8"/>
      <c r="V26" s="8"/>
      <c r="W26" s="8"/>
      <c r="X26" s="8"/>
      <c r="Y26" s="8"/>
      <c r="Z26" s="8"/>
      <c r="AA26" s="8"/>
      <c r="AB26" s="8"/>
      <c r="AC26" s="8"/>
      <c r="AD26" s="16"/>
      <c r="AE26" s="8"/>
      <c r="AF26" s="8"/>
      <c r="AG26" s="8"/>
      <c r="AH26" s="8"/>
      <c r="AI26" s="8"/>
      <c r="AJ26" s="8"/>
      <c r="AK26" s="8"/>
      <c r="AL26" s="8"/>
      <c r="AM26" s="16"/>
      <c r="AN26" s="8"/>
      <c r="AO26" s="8"/>
      <c r="AP26" s="8"/>
      <c r="AQ26" s="8"/>
      <c r="AR26" s="8"/>
      <c r="AS26" s="8"/>
      <c r="AT26" s="8"/>
      <c r="AU26" s="8"/>
      <c r="AV26" s="16"/>
      <c r="AW26" s="8"/>
      <c r="AX26" s="8"/>
      <c r="AY26" s="8"/>
      <c r="AZ26" s="8"/>
      <c r="BA26" s="8"/>
      <c r="BB26" s="8"/>
      <c r="BC26" s="8"/>
      <c r="BD26" s="8"/>
      <c r="BE26" s="8">
        <f t="shared" si="14"/>
        <v>1.085792300641741E-3</v>
      </c>
    </row>
    <row r="27" spans="1:57" x14ac:dyDescent="0.25">
      <c r="A27" t="str">
        <f t="shared" si="12"/>
        <v/>
      </c>
      <c r="B27" s="1">
        <v>42772</v>
      </c>
      <c r="C27" s="9">
        <f t="shared" si="24"/>
        <v>0.1251628188482185</v>
      </c>
      <c r="D27" s="9">
        <f t="shared" si="25"/>
        <v>0.13187252876325553</v>
      </c>
      <c r="E27" s="9">
        <f t="shared" si="26"/>
        <v>0.11253100754827325</v>
      </c>
      <c r="F27" s="9">
        <f t="shared" si="27"/>
        <v>0.12084325755469535</v>
      </c>
      <c r="G27" s="9">
        <f t="shared" si="28"/>
        <v>0.12864682879209693</v>
      </c>
      <c r="H27" s="9">
        <f t="shared" si="29"/>
        <v>0.13414884938295082</v>
      </c>
      <c r="I27" s="9">
        <f t="shared" si="30"/>
        <v>0.12168850607875782</v>
      </c>
      <c r="J27" s="9">
        <f t="shared" si="31"/>
        <v>0.12510620303175174</v>
      </c>
      <c r="K27" s="9">
        <f t="shared" si="32"/>
        <v>0</v>
      </c>
      <c r="L27" s="8">
        <f>+VLOOKUP($B27,NIFTY_50!$B$3:$I$1238,8,0)</f>
        <v>6.8756828491181032E-3</v>
      </c>
      <c r="M27" s="8">
        <f>+VLOOKUP($B27,NIFTY_BANK!$B$3:$I$41238,8,0)</f>
        <v>8.6548364097283059E-3</v>
      </c>
      <c r="N27" s="8">
        <f>+VLOOKUP($B27,NIFTY_IT!$B$3:$I$1238,8,0)</f>
        <v>3.2416365776288814E-4</v>
      </c>
      <c r="O27" s="8">
        <f>+VLOOKUP($B27,NIFTY_PHARMA!$B$3:$I$1238,8,0)</f>
        <v>1.476077688299382E-2</v>
      </c>
      <c r="P27" s="8">
        <f>+VLOOKUP($B27,NIFTY_FMCG!$B$3:$I$1238,8,0)</f>
        <v>1.1448367531237347E-2</v>
      </c>
      <c r="Q27" s="8">
        <f>+VLOOKUP($B27,NIFTY_METAL!$B$3:$I$1238,8,0)</f>
        <v>-2.8446319557642319E-3</v>
      </c>
      <c r="R27" s="8">
        <f>+VLOOKUP($B27,NIFTY_ENERGY!$B$3:$I$1238,8,0)</f>
        <v>6.9993743054321822E-3</v>
      </c>
      <c r="S27" s="8">
        <f>+VLOOKUP($B27,NIFTY_AUTO!$B$3:$I$1238,8,0)</f>
        <v>5.6139788072300245E-3</v>
      </c>
      <c r="T27" s="8">
        <v>0</v>
      </c>
      <c r="U27" s="8"/>
      <c r="V27" s="8"/>
      <c r="W27" s="8"/>
      <c r="X27" s="8"/>
      <c r="Y27" s="8"/>
      <c r="Z27" s="8"/>
      <c r="AA27" s="8"/>
      <c r="AB27" s="8"/>
      <c r="AC27" s="8"/>
      <c r="AD27" s="16"/>
      <c r="AE27" s="8"/>
      <c r="AF27" s="8"/>
      <c r="AG27" s="8"/>
      <c r="AH27" s="8"/>
      <c r="AI27" s="8"/>
      <c r="AJ27" s="8"/>
      <c r="AK27" s="8"/>
      <c r="AL27" s="8"/>
      <c r="AM27" s="16"/>
      <c r="AN27" s="8"/>
      <c r="AO27" s="8"/>
      <c r="AP27" s="8"/>
      <c r="AQ27" s="8"/>
      <c r="AR27" s="8"/>
      <c r="AS27" s="8"/>
      <c r="AT27" s="8"/>
      <c r="AU27" s="8"/>
      <c r="AV27" s="16"/>
      <c r="AW27" s="8"/>
      <c r="AX27" s="8"/>
      <c r="AY27" s="8"/>
      <c r="AZ27" s="8"/>
      <c r="BA27" s="8"/>
      <c r="BB27" s="8"/>
      <c r="BC27" s="8"/>
      <c r="BD27" s="8"/>
      <c r="BE27" s="8">
        <f t="shared" si="14"/>
        <v>6.4393850085858462E-3</v>
      </c>
    </row>
    <row r="28" spans="1:57" x14ac:dyDescent="0.25">
      <c r="A28" t="str">
        <f t="shared" si="12"/>
        <v/>
      </c>
      <c r="B28" s="1">
        <v>42773</v>
      </c>
      <c r="C28" s="9">
        <f t="shared" si="24"/>
        <v>0.12550699707432658</v>
      </c>
      <c r="D28" s="9">
        <f t="shared" si="25"/>
        <v>0.13244010412563245</v>
      </c>
      <c r="E28" s="9">
        <f t="shared" si="26"/>
        <v>0.11291069023924274</v>
      </c>
      <c r="F28" s="9">
        <f t="shared" si="27"/>
        <v>0.1204153698929208</v>
      </c>
      <c r="G28" s="9">
        <f t="shared" si="28"/>
        <v>0.12933175365895513</v>
      </c>
      <c r="H28" s="9">
        <f t="shared" si="29"/>
        <v>0.13327820929237252</v>
      </c>
      <c r="I28" s="9">
        <f t="shared" si="30"/>
        <v>0.12144584007716137</v>
      </c>
      <c r="J28" s="9">
        <f t="shared" si="31"/>
        <v>0.12467103563938858</v>
      </c>
      <c r="K28" s="9">
        <f t="shared" si="32"/>
        <v>0</v>
      </c>
      <c r="L28" s="8">
        <f>+VLOOKUP($B28,NIFTY_50!$B$3:$I$1238,8,0)</f>
        <v>-3.7211469086074755E-3</v>
      </c>
      <c r="M28" s="8">
        <f>+VLOOKUP($B28,NIFTY_BANK!$B$3:$I$41238,8,0)</f>
        <v>-2.1770504035028004E-3</v>
      </c>
      <c r="N28" s="8">
        <f>+VLOOKUP($B28,NIFTY_IT!$B$3:$I$1238,8,0)</f>
        <v>-3.1009916193456277E-3</v>
      </c>
      <c r="O28" s="8">
        <f>+VLOOKUP($B28,NIFTY_PHARMA!$B$3:$I$1238,8,0)</f>
        <v>-9.9712439780408335E-3</v>
      </c>
      <c r="P28" s="8">
        <f>+VLOOKUP($B28,NIFTY_FMCG!$B$3:$I$1238,8,0)</f>
        <v>-1.1635318978013842E-3</v>
      </c>
      <c r="Q28" s="8">
        <f>+VLOOKUP($B28,NIFTY_METAL!$B$3:$I$1238,8,0)</f>
        <v>-1.2901468042823216E-2</v>
      </c>
      <c r="R28" s="8">
        <f>+VLOOKUP($B28,NIFTY_ENERGY!$B$3:$I$1238,8,0)</f>
        <v>-8.4345338285548577E-3</v>
      </c>
      <c r="S28" s="8">
        <f>+VLOOKUP($B28,NIFTY_AUTO!$B$3:$I$1238,8,0)</f>
        <v>-9.9091824426034147E-3</v>
      </c>
      <c r="T28" s="8">
        <v>0</v>
      </c>
      <c r="U28" s="8"/>
      <c r="V28" s="8"/>
      <c r="W28" s="8"/>
      <c r="X28" s="8"/>
      <c r="Y28" s="8"/>
      <c r="Z28" s="8"/>
      <c r="AA28" s="8"/>
      <c r="AB28" s="8"/>
      <c r="AC28" s="8"/>
      <c r="AD28" s="16"/>
      <c r="AE28" s="8"/>
      <c r="AF28" s="8"/>
      <c r="AG28" s="8"/>
      <c r="AH28" s="8"/>
      <c r="AI28" s="8"/>
      <c r="AJ28" s="8"/>
      <c r="AK28" s="8"/>
      <c r="AL28" s="8"/>
      <c r="AM28" s="16"/>
      <c r="AN28" s="8"/>
      <c r="AO28" s="8"/>
      <c r="AP28" s="8"/>
      <c r="AQ28" s="8"/>
      <c r="AR28" s="8"/>
      <c r="AS28" s="8"/>
      <c r="AT28" s="8"/>
      <c r="AU28" s="8"/>
      <c r="AV28" s="16"/>
      <c r="AW28" s="8"/>
      <c r="AX28" s="8"/>
      <c r="AY28" s="8"/>
      <c r="AZ28" s="8"/>
      <c r="BA28" s="8"/>
      <c r="BB28" s="8"/>
      <c r="BC28" s="8"/>
      <c r="BD28" s="8"/>
      <c r="BE28" s="8">
        <f t="shared" si="14"/>
        <v>-6.4532454876442763E-3</v>
      </c>
    </row>
    <row r="29" spans="1:57" x14ac:dyDescent="0.25">
      <c r="A29" t="str">
        <f t="shared" si="12"/>
        <v/>
      </c>
      <c r="B29" s="1">
        <v>42774</v>
      </c>
      <c r="C29" s="9">
        <f t="shared" si="24"/>
        <v>0.12539005256128097</v>
      </c>
      <c r="D29" s="9">
        <f t="shared" si="25"/>
        <v>0.1317726399358142</v>
      </c>
      <c r="E29" s="9">
        <f t="shared" si="26"/>
        <v>0.11289849989284517</v>
      </c>
      <c r="F29" s="9">
        <f t="shared" si="27"/>
        <v>0.12005919179581326</v>
      </c>
      <c r="G29" s="9">
        <f t="shared" si="28"/>
        <v>0.12857050714188509</v>
      </c>
      <c r="H29" s="9">
        <f t="shared" si="29"/>
        <v>0.13431212707524887</v>
      </c>
      <c r="I29" s="9">
        <f t="shared" si="30"/>
        <v>0.12166838307696512</v>
      </c>
      <c r="J29" s="9">
        <f t="shared" si="31"/>
        <v>0.1253285985201473</v>
      </c>
      <c r="K29" s="9">
        <f t="shared" si="32"/>
        <v>0</v>
      </c>
      <c r="L29" s="8">
        <f>+VLOOKUP($B29,NIFTY_50!$B$3:$I$1238,8,0)</f>
        <v>8.5535394546365495E-5</v>
      </c>
      <c r="M29" s="8">
        <f>+VLOOKUP($B29,NIFTY_BANK!$B$3:$I$41238,8,0)</f>
        <v>-4.0266145199178149E-3</v>
      </c>
      <c r="N29" s="8">
        <f>+VLOOKUP($B29,NIFTY_IT!$B$3:$I$1238,8,0)</f>
        <v>9.1018658825037235E-4</v>
      </c>
      <c r="O29" s="8">
        <f>+VLOOKUP($B29,NIFTY_PHARMA!$B$3:$I$1238,8,0)</f>
        <v>-1.9426631459826815E-3</v>
      </c>
      <c r="P29" s="8">
        <f>+VLOOKUP($B29,NIFTY_FMCG!$B$3:$I$1238,8,0)</f>
        <v>-4.8737310268710532E-3</v>
      </c>
      <c r="Q29" s="8">
        <f>+VLOOKUP($B29,NIFTY_METAL!$B$3:$I$1238,8,0)</f>
        <v>8.7837508726924529E-3</v>
      </c>
      <c r="R29" s="8">
        <f>+VLOOKUP($B29,NIFTY_ENERGY!$B$3:$I$1238,8,0)</f>
        <v>2.8525733953106425E-3</v>
      </c>
      <c r="S29" s="8">
        <f>+VLOOKUP($B29,NIFTY_AUTO!$B$3:$I$1238,8,0)</f>
        <v>6.2980154454925774E-3</v>
      </c>
      <c r="T29" s="8">
        <v>0</v>
      </c>
      <c r="U29" s="8"/>
      <c r="V29" s="8"/>
      <c r="W29" s="8"/>
      <c r="X29" s="8"/>
      <c r="Y29" s="8"/>
      <c r="Z29" s="8"/>
      <c r="AA29" s="8"/>
      <c r="AB29" s="8"/>
      <c r="AC29" s="8"/>
      <c r="AD29" s="16"/>
      <c r="AE29" s="8"/>
      <c r="AF29" s="8"/>
      <c r="AG29" s="8"/>
      <c r="AH29" s="8"/>
      <c r="AI29" s="8"/>
      <c r="AJ29" s="8"/>
      <c r="AK29" s="8"/>
      <c r="AL29" s="8"/>
      <c r="AM29" s="16"/>
      <c r="AN29" s="8"/>
      <c r="AO29" s="8"/>
      <c r="AP29" s="8"/>
      <c r="AQ29" s="8"/>
      <c r="AR29" s="8"/>
      <c r="AS29" s="8"/>
      <c r="AT29" s="8"/>
      <c r="AU29" s="8"/>
      <c r="AV29" s="16"/>
      <c r="AW29" s="8"/>
      <c r="AX29" s="8"/>
      <c r="AY29" s="8"/>
      <c r="AZ29" s="8"/>
      <c r="BA29" s="8"/>
      <c r="BB29" s="8"/>
      <c r="BC29" s="8"/>
      <c r="BD29" s="8"/>
      <c r="BE29" s="8">
        <f t="shared" si="14"/>
        <v>1.0182610258995417E-3</v>
      </c>
    </row>
    <row r="30" spans="1:57" x14ac:dyDescent="0.25">
      <c r="A30" t="str">
        <f t="shared" si="12"/>
        <v/>
      </c>
      <c r="B30" s="1">
        <v>42775</v>
      </c>
      <c r="C30" s="9">
        <f t="shared" si="24"/>
        <v>0.1253983540435929</v>
      </c>
      <c r="D30" s="9">
        <f t="shared" si="25"/>
        <v>0.13102816306431894</v>
      </c>
      <c r="E30" s="9">
        <f t="shared" si="26"/>
        <v>0.11459859676346483</v>
      </c>
      <c r="F30" s="9">
        <f t="shared" si="27"/>
        <v>0.11947687802841002</v>
      </c>
      <c r="G30" s="9">
        <f t="shared" si="28"/>
        <v>0.12905532880524212</v>
      </c>
      <c r="H30" s="9">
        <f t="shared" si="29"/>
        <v>0.13322990395619996</v>
      </c>
      <c r="I30" s="9">
        <f t="shared" si="30"/>
        <v>0.1215859465766688</v>
      </c>
      <c r="J30" s="9">
        <f t="shared" si="31"/>
        <v>0.12562682876210243</v>
      </c>
      <c r="K30" s="9">
        <f t="shared" si="32"/>
        <v>0</v>
      </c>
      <c r="L30" s="8">
        <f>+VLOOKUP($B30,NIFTY_50!$B$3:$I$1238,8,0)</f>
        <v>1.0662500498914707E-3</v>
      </c>
      <c r="M30" s="8">
        <f>+VLOOKUP($B30,NIFTY_BANK!$B$3:$I$41238,8,0)</f>
        <v>-4.6553785057346087E-3</v>
      </c>
      <c r="N30" s="8">
        <f>+VLOOKUP($B30,NIFTY_IT!$B$3:$I$1238,8,0)</f>
        <v>1.6073668064015001E-2</v>
      </c>
      <c r="O30" s="8">
        <f>+VLOOKUP($B30,NIFTY_PHARMA!$B$3:$I$1238,8,0)</f>
        <v>-3.8550938261805445E-3</v>
      </c>
      <c r="P30" s="8">
        <f>+VLOOKUP($B30,NIFTY_FMCG!$B$3:$I$1238,8,0)</f>
        <v>4.7746115412068413E-3</v>
      </c>
      <c r="Q30" s="8">
        <f>+VLOOKUP($B30,NIFTY_METAL!$B$3:$I$1238,8,0)</f>
        <v>-7.0656022661429452E-3</v>
      </c>
      <c r="R30" s="8">
        <f>+VLOOKUP($B30,NIFTY_ENERGY!$B$3:$I$1238,8,0)</f>
        <v>3.217503217503026E-4</v>
      </c>
      <c r="S30" s="8">
        <f>+VLOOKUP($B30,NIFTY_AUTO!$B$3:$I$1238,8,0)</f>
        <v>3.3819446181553303E-3</v>
      </c>
      <c r="T30" s="8">
        <v>0</v>
      </c>
      <c r="U30" s="8"/>
      <c r="V30" s="8"/>
      <c r="W30" s="8"/>
      <c r="X30" s="8"/>
      <c r="Y30" s="8"/>
      <c r="Z30" s="8"/>
      <c r="AA30" s="8"/>
      <c r="AB30" s="8"/>
      <c r="AC30" s="8"/>
      <c r="AD30" s="16"/>
      <c r="AE30" s="8"/>
      <c r="AF30" s="8"/>
      <c r="AG30" s="8"/>
      <c r="AH30" s="8"/>
      <c r="AI30" s="8"/>
      <c r="AJ30" s="8"/>
      <c r="AK30" s="8"/>
      <c r="AL30" s="8"/>
      <c r="AM30" s="16"/>
      <c r="AN30" s="8"/>
      <c r="AO30" s="8"/>
      <c r="AP30" s="8"/>
      <c r="AQ30" s="8"/>
      <c r="AR30" s="8"/>
      <c r="AS30" s="8"/>
      <c r="AT30" s="8"/>
      <c r="AU30" s="8"/>
      <c r="AV30" s="16"/>
      <c r="AW30" s="8"/>
      <c r="AX30" s="8"/>
      <c r="AY30" s="8"/>
      <c r="AZ30" s="8"/>
      <c r="BA30" s="8"/>
      <c r="BB30" s="8"/>
      <c r="BC30" s="8"/>
      <c r="BD30" s="8"/>
      <c r="BE30" s="8">
        <f t="shared" si="14"/>
        <v>9.9997857582594368E-4</v>
      </c>
    </row>
    <row r="31" spans="1:57" x14ac:dyDescent="0.25">
      <c r="A31" t="str">
        <f t="shared" si="12"/>
        <v/>
      </c>
      <c r="B31" s="1">
        <v>42776</v>
      </c>
      <c r="C31" s="9">
        <f t="shared" si="24"/>
        <v>0.12567536154875542</v>
      </c>
      <c r="D31" s="9">
        <f t="shared" si="25"/>
        <v>0.13149957999161813</v>
      </c>
      <c r="E31" s="9">
        <f t="shared" si="26"/>
        <v>0.11713404454955807</v>
      </c>
      <c r="F31" s="9">
        <f t="shared" si="27"/>
        <v>0.11834966310505296</v>
      </c>
      <c r="G31" s="9">
        <f t="shared" si="28"/>
        <v>0.12818256915196791</v>
      </c>
      <c r="H31" s="9">
        <f t="shared" si="29"/>
        <v>0.13289661761997751</v>
      </c>
      <c r="I31" s="9">
        <f t="shared" si="30"/>
        <v>0.12108548144396843</v>
      </c>
      <c r="J31" s="9">
        <f t="shared" si="31"/>
        <v>0.1251766825891015</v>
      </c>
      <c r="K31" s="9">
        <f t="shared" si="32"/>
        <v>0</v>
      </c>
      <c r="L31" s="8">
        <f>+VLOOKUP($B31,NIFTY_50!$B$3:$I$1238,8,0)</f>
        <v>1.7258270299826961E-3</v>
      </c>
      <c r="M31" s="8">
        <f>+VLOOKUP($B31,NIFTY_BANK!$B$3:$I$41238,8,0)</f>
        <v>3.1139662004402435E-3</v>
      </c>
      <c r="N31" s="8">
        <f>+VLOOKUP($B31,NIFTY_IT!$B$3:$I$1238,8,0)</f>
        <v>2.1631802043686532E-2</v>
      </c>
      <c r="O31" s="8">
        <f>+VLOOKUP($B31,NIFTY_PHARMA!$B$3:$I$1238,8,0)</f>
        <v>-9.9121658793845935E-3</v>
      </c>
      <c r="P31" s="8">
        <f>+VLOOKUP($B31,NIFTY_FMCG!$B$3:$I$1238,8,0)</f>
        <v>-7.2415458831605051E-3</v>
      </c>
      <c r="Q31" s="8">
        <f>+VLOOKUP($B31,NIFTY_METAL!$B$3:$I$1238,8,0)</f>
        <v>-2.982510171332331E-3</v>
      </c>
      <c r="R31" s="8">
        <f>+VLOOKUP($B31,NIFTY_ENERGY!$B$3:$I$1238,8,0)</f>
        <v>-4.5962866106348255E-3</v>
      </c>
      <c r="S31" s="8">
        <f>+VLOOKUP($B31,NIFTY_AUTO!$B$3:$I$1238,8,0)</f>
        <v>-4.063601597518951E-3</v>
      </c>
      <c r="T31" s="8">
        <v>0</v>
      </c>
      <c r="U31" s="8"/>
      <c r="V31" s="8"/>
      <c r="W31" s="8"/>
      <c r="X31" s="8"/>
      <c r="Y31" s="8"/>
      <c r="Z31" s="8"/>
      <c r="AA31" s="8"/>
      <c r="AB31" s="8"/>
      <c r="AC31" s="8"/>
      <c r="AD31" s="16"/>
      <c r="AE31" s="8"/>
      <c r="AF31" s="8"/>
      <c r="AG31" s="8"/>
      <c r="AH31" s="8"/>
      <c r="AI31" s="8"/>
      <c r="AJ31" s="8"/>
      <c r="AK31" s="8"/>
      <c r="AL31" s="8"/>
      <c r="AM31" s="16"/>
      <c r="AN31" s="8"/>
      <c r="AO31" s="8"/>
      <c r="AP31" s="8"/>
      <c r="AQ31" s="8"/>
      <c r="AR31" s="8"/>
      <c r="AS31" s="8"/>
      <c r="AT31" s="8"/>
      <c r="AU31" s="8"/>
      <c r="AV31" s="16"/>
      <c r="AW31" s="8"/>
      <c r="AX31" s="8"/>
      <c r="AY31" s="8"/>
      <c r="AZ31" s="8"/>
      <c r="BA31" s="8"/>
      <c r="BB31" s="8"/>
      <c r="BC31" s="8"/>
      <c r="BD31" s="8"/>
      <c r="BE31" s="8">
        <f t="shared" si="14"/>
        <v>-4.8212820311038438E-4</v>
      </c>
    </row>
    <row r="32" spans="1:57" x14ac:dyDescent="0.25">
      <c r="A32" t="str">
        <f t="shared" si="12"/>
        <v/>
      </c>
      <c r="B32" s="1">
        <v>42779</v>
      </c>
      <c r="C32" s="9">
        <f t="shared" si="24"/>
        <v>0.12572872235977162</v>
      </c>
      <c r="D32" s="9">
        <f t="shared" si="25"/>
        <v>0.1316299306483632</v>
      </c>
      <c r="E32" s="9">
        <f t="shared" si="26"/>
        <v>0.11776358959995611</v>
      </c>
      <c r="F32" s="9">
        <f t="shared" si="27"/>
        <v>0.11785445087029646</v>
      </c>
      <c r="G32" s="9">
        <f t="shared" si="28"/>
        <v>0.12772944524185539</v>
      </c>
      <c r="H32" s="9">
        <f t="shared" si="29"/>
        <v>0.13310752091831451</v>
      </c>
      <c r="I32" s="9">
        <f t="shared" si="30"/>
        <v>0.12129538288981748</v>
      </c>
      <c r="J32" s="9">
        <f t="shared" si="31"/>
        <v>0.12489095747162511</v>
      </c>
      <c r="K32" s="9">
        <f t="shared" si="32"/>
        <v>0</v>
      </c>
      <c r="L32" s="8">
        <f>+VLOOKUP($B32,NIFTY_50!$B$3:$I$1238,8,0)</f>
        <v>1.307776722711429E-3</v>
      </c>
      <c r="M32" s="8">
        <f>+VLOOKUP($B32,NIFTY_BANK!$B$3:$I$41238,8,0)</f>
        <v>1.8749474371595465E-3</v>
      </c>
      <c r="N32" s="8">
        <f>+VLOOKUP($B32,NIFTY_IT!$B$3:$I$1238,8,0)</f>
        <v>6.2621235385569296E-3</v>
      </c>
      <c r="O32" s="8">
        <f>+VLOOKUP($B32,NIFTY_PHARMA!$B$3:$I$1238,8,0)</f>
        <v>-3.3051992220806126E-3</v>
      </c>
      <c r="P32" s="8">
        <f>+VLOOKUP($B32,NIFTY_FMCG!$B$3:$I$1238,8,0)</f>
        <v>-2.6552998110905834E-3</v>
      </c>
      <c r="Q32" s="8">
        <f>+VLOOKUP($B32,NIFTY_METAL!$B$3:$I$1238,8,0)</f>
        <v>2.4711830788990419E-3</v>
      </c>
      <c r="R32" s="8">
        <f>+VLOOKUP($B32,NIFTY_ENERGY!$B$3:$I$1238,8,0)</f>
        <v>2.6178378251808798E-3</v>
      </c>
      <c r="S32" s="8">
        <f>+VLOOKUP($B32,NIFTY_AUTO!$B$3:$I$1238,8,0)</f>
        <v>-1.4017802609314067E-3</v>
      </c>
      <c r="T32" s="8">
        <v>0</v>
      </c>
      <c r="U32" s="8"/>
      <c r="V32" s="8"/>
      <c r="W32" s="8"/>
      <c r="X32" s="8"/>
      <c r="Y32" s="8"/>
      <c r="Z32" s="8"/>
      <c r="AA32" s="8"/>
      <c r="AB32" s="8"/>
      <c r="AC32" s="8"/>
      <c r="AD32" s="16"/>
      <c r="AE32" s="8"/>
      <c r="AF32" s="8"/>
      <c r="AG32" s="8"/>
      <c r="AH32" s="8"/>
      <c r="AI32" s="8"/>
      <c r="AJ32" s="8"/>
      <c r="AK32" s="8"/>
      <c r="AL32" s="8"/>
      <c r="AM32" s="16"/>
      <c r="AN32" s="8"/>
      <c r="AO32" s="8"/>
      <c r="AP32" s="8"/>
      <c r="AQ32" s="8"/>
      <c r="AR32" s="8"/>
      <c r="AS32" s="8"/>
      <c r="AT32" s="8"/>
      <c r="AU32" s="8"/>
      <c r="AV32" s="16"/>
      <c r="AW32" s="8"/>
      <c r="AX32" s="8"/>
      <c r="AY32" s="8"/>
      <c r="AZ32" s="8"/>
      <c r="BA32" s="8"/>
      <c r="BB32" s="8"/>
      <c r="BC32" s="8"/>
      <c r="BD32" s="8"/>
      <c r="BE32" s="8">
        <f t="shared" si="14"/>
        <v>8.8280942772954484E-4</v>
      </c>
    </row>
    <row r="33" spans="1:57" x14ac:dyDescent="0.25">
      <c r="A33" t="str">
        <f t="shared" si="12"/>
        <v/>
      </c>
      <c r="B33" s="1">
        <v>42780</v>
      </c>
      <c r="C33" s="9">
        <f t="shared" si="24"/>
        <v>0.12604486571418599</v>
      </c>
      <c r="D33" s="9">
        <f t="shared" si="25"/>
        <v>0.1321933837143851</v>
      </c>
      <c r="E33" s="9">
        <f t="shared" si="26"/>
        <v>0.11847069639739569</v>
      </c>
      <c r="F33" s="9">
        <f t="shared" si="27"/>
        <v>0.11739691969222271</v>
      </c>
      <c r="G33" s="9">
        <f t="shared" si="28"/>
        <v>0.12793651229801004</v>
      </c>
      <c r="H33" s="9">
        <f t="shared" si="29"/>
        <v>0.13243939679121661</v>
      </c>
      <c r="I33" s="9">
        <f t="shared" si="30"/>
        <v>0.1220514458356306</v>
      </c>
      <c r="J33" s="9">
        <f t="shared" si="31"/>
        <v>0.12346677955695329</v>
      </c>
      <c r="K33" s="9">
        <f t="shared" si="32"/>
        <v>0</v>
      </c>
      <c r="L33" s="8">
        <f>+VLOOKUP($B33,NIFTY_50!$B$3:$I$1238,8,0)</f>
        <v>-1.4480326630740281E-3</v>
      </c>
      <c r="M33" s="8">
        <f>+VLOOKUP($B33,NIFTY_BANK!$B$3:$I$41238,8,0)</f>
        <v>3.110834592481293E-4</v>
      </c>
      <c r="N33" s="8">
        <f>+VLOOKUP($B33,NIFTY_IT!$B$3:$I$1238,8,0)</f>
        <v>2.0281452993906601E-3</v>
      </c>
      <c r="O33" s="8">
        <f>+VLOOKUP($B33,NIFTY_PHARMA!$B$3:$I$1238,8,0)</f>
        <v>-7.819408666230987E-3</v>
      </c>
      <c r="P33" s="8">
        <f>+VLOOKUP($B33,NIFTY_FMCG!$B$3:$I$1238,8,0)</f>
        <v>-2.3378515607753725E-3</v>
      </c>
      <c r="Q33" s="8">
        <f>+VLOOKUP($B33,NIFTY_METAL!$B$3:$I$1238,8,0)</f>
        <v>-8.9521739835554115E-3</v>
      </c>
      <c r="R33" s="8">
        <f>+VLOOKUP($B33,NIFTY_ENERGY!$B$3:$I$1238,8,0)</f>
        <v>2.2560183844479997E-3</v>
      </c>
      <c r="S33" s="8">
        <f>+VLOOKUP($B33,NIFTY_AUTO!$B$3:$I$1238,8,0)</f>
        <v>-1.5310880049732689E-2</v>
      </c>
      <c r="T33" s="8">
        <v>0</v>
      </c>
      <c r="U33" s="8"/>
      <c r="V33" s="8"/>
      <c r="W33" s="8"/>
      <c r="X33" s="8"/>
      <c r="Y33" s="8"/>
      <c r="Z33" s="8"/>
      <c r="AA33" s="8"/>
      <c r="AB33" s="8"/>
      <c r="AC33" s="8"/>
      <c r="AD33" s="16"/>
      <c r="AE33" s="8"/>
      <c r="AF33" s="8"/>
      <c r="AG33" s="8"/>
      <c r="AH33" s="8"/>
      <c r="AI33" s="8"/>
      <c r="AJ33" s="8"/>
      <c r="AK33" s="8"/>
      <c r="AL33" s="8"/>
      <c r="AM33" s="16"/>
      <c r="AN33" s="8"/>
      <c r="AO33" s="8"/>
      <c r="AP33" s="8"/>
      <c r="AQ33" s="8"/>
      <c r="AR33" s="8"/>
      <c r="AS33" s="8"/>
      <c r="AT33" s="8"/>
      <c r="AU33" s="8"/>
      <c r="AV33" s="16"/>
      <c r="AW33" s="8"/>
      <c r="AX33" s="8"/>
      <c r="AY33" s="8"/>
      <c r="AZ33" s="8"/>
      <c r="BA33" s="8"/>
      <c r="BB33" s="8"/>
      <c r="BC33" s="8"/>
      <c r="BD33" s="8"/>
      <c r="BE33" s="8">
        <f t="shared" si="14"/>
        <v>-3.9525818703917675E-3</v>
      </c>
    </row>
    <row r="34" spans="1:57" x14ac:dyDescent="0.25">
      <c r="A34" t="str">
        <f t="shared" si="12"/>
        <v/>
      </c>
      <c r="B34" s="1">
        <v>42781</v>
      </c>
      <c r="C34" s="9">
        <f>C33*(1+L34)/SUMPRODUCT($C33:$K33,1+$L34:$T34)</f>
        <v>0.1263813526128254</v>
      </c>
      <c r="D34" s="9">
        <f t="shared" si="25"/>
        <v>0.13295083542517735</v>
      </c>
      <c r="E34" s="9">
        <f t="shared" si="26"/>
        <v>0.11917646683280493</v>
      </c>
      <c r="F34" s="9">
        <f t="shared" si="27"/>
        <v>0.11650094725745279</v>
      </c>
      <c r="G34" s="9">
        <f t="shared" si="28"/>
        <v>0.12972020269807125</v>
      </c>
      <c r="H34" s="9">
        <f t="shared" si="29"/>
        <v>0.13188598904615162</v>
      </c>
      <c r="I34" s="9">
        <f t="shared" si="30"/>
        <v>0.12240473584976945</v>
      </c>
      <c r="J34" s="9">
        <f t="shared" si="31"/>
        <v>0.12097947027774722</v>
      </c>
      <c r="K34" s="9">
        <f t="shared" si="32"/>
        <v>0</v>
      </c>
      <c r="L34" s="8">
        <f>+VLOOKUP($B34,NIFTY_50!$B$3:$I$1238,8,0)</f>
        <v>-7.6885456592699075E-3</v>
      </c>
      <c r="M34" s="8">
        <f>+VLOOKUP($B34,NIFTY_BANK!$B$3:$I$41238,8,0)</f>
        <v>-4.659864449281903E-3</v>
      </c>
      <c r="N34" s="8">
        <f>+VLOOKUP($B34,NIFTY_IT!$B$3:$I$1238,8,0)</f>
        <v>-4.4347485702829204E-3</v>
      </c>
      <c r="O34" s="8">
        <f>+VLOOKUP($B34,NIFTY_PHARMA!$B$3:$I$1238,8,0)</f>
        <v>-1.7883697837196344E-2</v>
      </c>
      <c r="P34" s="8">
        <f>+VLOOKUP($B34,NIFTY_FMCG!$B$3:$I$1238,8,0)</f>
        <v>3.4674201906972346E-3</v>
      </c>
      <c r="Q34" s="8">
        <f>+VLOOKUP($B34,NIFTY_METAL!$B$3:$I$1238,8,0)</f>
        <v>-1.4465954278420456E-2</v>
      </c>
      <c r="R34" s="8">
        <f>+VLOOKUP($B34,NIFTY_ENERGY!$B$3:$I$1238,8,0)</f>
        <v>-7.4658514193041148E-3</v>
      </c>
      <c r="S34" s="8">
        <f>+VLOOKUP($B34,NIFTY_AUTO!$B$3:$I$1238,8,0)</f>
        <v>-3.026800806468033E-2</v>
      </c>
      <c r="T34" s="8">
        <v>0</v>
      </c>
      <c r="U34" s="8"/>
      <c r="V34" s="8"/>
      <c r="W34" s="8"/>
      <c r="X34" s="8"/>
      <c r="Y34" s="8"/>
      <c r="Z34" s="8"/>
      <c r="AA34" s="8"/>
      <c r="AB34" s="8"/>
      <c r="AC34" s="8"/>
      <c r="AD34" s="16"/>
      <c r="AE34" s="8"/>
      <c r="AF34" s="8"/>
      <c r="AG34" s="8"/>
      <c r="AH34" s="8"/>
      <c r="AI34" s="8"/>
      <c r="AJ34" s="8"/>
      <c r="AK34" s="8"/>
      <c r="AL34" s="8"/>
      <c r="AM34" s="16"/>
      <c r="AN34" s="8"/>
      <c r="AO34" s="8"/>
      <c r="AP34" s="8"/>
      <c r="AQ34" s="8"/>
      <c r="AR34" s="8"/>
      <c r="AS34" s="8"/>
      <c r="AT34" s="8"/>
      <c r="AU34" s="8"/>
      <c r="AV34" s="16"/>
      <c r="AW34" s="8"/>
      <c r="AX34" s="8"/>
      <c r="AY34" s="8"/>
      <c r="AZ34" s="8"/>
      <c r="BA34" s="8"/>
      <c r="BB34" s="8"/>
      <c r="BC34" s="8"/>
      <c r="BD34" s="8"/>
      <c r="BE34" s="8">
        <f t="shared" si="14"/>
        <v>-1.0330547796866948E-2</v>
      </c>
    </row>
    <row r="35" spans="1:57" x14ac:dyDescent="0.25">
      <c r="A35" t="str">
        <f t="shared" si="12"/>
        <v/>
      </c>
      <c r="B35" s="1">
        <v>42782</v>
      </c>
      <c r="C35" s="9">
        <f t="shared" ref="C35:C51" si="33">C34*(1+L35)/SUMPRODUCT($C34:$K34,1+$L35:$T35)</f>
        <v>0.12576715575238609</v>
      </c>
      <c r="D35" s="9">
        <f t="shared" si="25"/>
        <v>0.13202309279799798</v>
      </c>
      <c r="E35" s="9">
        <f t="shared" si="26"/>
        <v>0.12014254166162806</v>
      </c>
      <c r="F35" s="9">
        <f t="shared" si="27"/>
        <v>0.11830093615712806</v>
      </c>
      <c r="G35" s="9">
        <f t="shared" si="28"/>
        <v>0.12663834951129913</v>
      </c>
      <c r="H35" s="9">
        <f t="shared" si="29"/>
        <v>0.13324227723468221</v>
      </c>
      <c r="I35" s="9">
        <f t="shared" si="30"/>
        <v>0.12217704972357105</v>
      </c>
      <c r="J35" s="9">
        <f t="shared" si="31"/>
        <v>0.12170859716130743</v>
      </c>
      <c r="K35" s="9">
        <f t="shared" si="32"/>
        <v>0</v>
      </c>
      <c r="L35" s="8">
        <f>+VLOOKUP($B35,NIFTY_50!$B$3:$I$1238,8,0)</f>
        <v>6.1090925762490311E-3</v>
      </c>
      <c r="M35" s="8">
        <f>+VLOOKUP($B35,NIFTY_BANK!$B$3:$I$41238,8,0)</f>
        <v>3.9675258013163184E-3</v>
      </c>
      <c r="N35" s="8">
        <f>+VLOOKUP($B35,NIFTY_IT!$B$3:$I$1238,8,0)</f>
        <v>1.9218136396982999E-2</v>
      </c>
      <c r="O35" s="8">
        <f>+VLOOKUP($B35,NIFTY_PHARMA!$B$3:$I$1238,8,0)</f>
        <v>2.6643255586846992E-2</v>
      </c>
      <c r="P35" s="8">
        <f>+VLOOKUP($B35,NIFTY_FMCG!$B$3:$I$1238,8,0)</f>
        <v>-1.2997036305260612E-2</v>
      </c>
      <c r="Q35" s="8">
        <f>+VLOOKUP($B35,NIFTY_METAL!$B$3:$I$1238,8,0)</f>
        <v>2.1419676214196715E-2</v>
      </c>
      <c r="R35" s="8">
        <f>+VLOOKUP($B35,NIFTY_ENERGY!$B$3:$I$1238,8,0)</f>
        <v>9.1419180655005761E-3</v>
      </c>
      <c r="S35" s="8">
        <f>+VLOOKUP($B35,NIFTY_AUTO!$B$3:$I$1238,8,0)</f>
        <v>1.711582583859661E-2</v>
      </c>
      <c r="T35" s="8">
        <v>0</v>
      </c>
      <c r="U35" s="8"/>
      <c r="V35" s="8"/>
      <c r="W35" s="8"/>
      <c r="X35" s="8"/>
      <c r="Y35" s="8"/>
      <c r="Z35" s="8"/>
      <c r="AA35" s="8"/>
      <c r="AB35" s="8"/>
      <c r="AC35" s="8"/>
      <c r="AD35" s="16"/>
      <c r="AE35" s="8"/>
      <c r="AF35" s="8"/>
      <c r="AG35" s="8"/>
      <c r="AH35" s="8"/>
      <c r="AI35" s="8"/>
      <c r="AJ35" s="8"/>
      <c r="AK35" s="8"/>
      <c r="AL35" s="8"/>
      <c r="AM35" s="16"/>
      <c r="AN35" s="8"/>
      <c r="AO35" s="8"/>
      <c r="AP35" s="8"/>
      <c r="AQ35" s="8"/>
      <c r="AR35" s="8"/>
      <c r="AS35" s="8"/>
      <c r="AT35" s="8"/>
      <c r="AU35" s="8"/>
      <c r="AV35" s="16"/>
      <c r="AW35" s="8"/>
      <c r="AX35" s="8"/>
      <c r="AY35" s="8"/>
      <c r="AZ35" s="8"/>
      <c r="BA35" s="8"/>
      <c r="BB35" s="8"/>
      <c r="BC35" s="8"/>
      <c r="BD35" s="8"/>
      <c r="BE35" s="8">
        <f t="shared" si="14"/>
        <v>1.1022529969525229E-2</v>
      </c>
    </row>
    <row r="36" spans="1:57" x14ac:dyDescent="0.25">
      <c r="A36" t="str">
        <f t="shared" si="12"/>
        <v/>
      </c>
      <c r="B36" s="1">
        <v>42783</v>
      </c>
      <c r="C36" s="9">
        <f t="shared" si="33"/>
        <v>0.12583042108320761</v>
      </c>
      <c r="D36" s="9">
        <f t="shared" si="25"/>
        <v>0.13343263661881732</v>
      </c>
      <c r="E36" s="9">
        <f t="shared" si="26"/>
        <v>0.11847256815500358</v>
      </c>
      <c r="F36" s="9">
        <f t="shared" si="27"/>
        <v>0.12022573624412035</v>
      </c>
      <c r="G36" s="9">
        <f t="shared" si="28"/>
        <v>0.12644677945274729</v>
      </c>
      <c r="H36" s="9">
        <f t="shared" si="29"/>
        <v>0.1316936586811796</v>
      </c>
      <c r="I36" s="9">
        <f t="shared" si="30"/>
        <v>0.12276598903654989</v>
      </c>
      <c r="J36" s="9">
        <f t="shared" si="31"/>
        <v>0.12113221072837427</v>
      </c>
      <c r="K36" s="9">
        <f t="shared" si="32"/>
        <v>0</v>
      </c>
      <c r="L36" s="8">
        <f>+VLOOKUP($B36,NIFTY_50!$B$3:$I$1238,8,0)</f>
        <v>4.9783549783550818E-3</v>
      </c>
      <c r="M36" s="8">
        <f>+VLOOKUP($B36,NIFTY_BANK!$B$3:$I$41238,8,0)</f>
        <v>1.5197320647905244E-2</v>
      </c>
      <c r="N36" s="8">
        <f>+VLOOKUP($B36,NIFTY_IT!$B$3:$I$1238,8,0)</f>
        <v>-9.4890407929957288E-3</v>
      </c>
      <c r="O36" s="8">
        <f>+VLOOKUP($B36,NIFTY_PHARMA!$B$3:$I$1238,8,0)</f>
        <v>2.0816218683192833E-2</v>
      </c>
      <c r="P36" s="8">
        <f>+VLOOKUP($B36,NIFTY_FMCG!$B$3:$I$1238,8,0)</f>
        <v>2.9535695295288544E-3</v>
      </c>
      <c r="Q36" s="8">
        <f>+VLOOKUP($B36,NIFTY_METAL!$B$3:$I$1238,8,0)</f>
        <v>-7.2014955701861227E-3</v>
      </c>
      <c r="R36" s="8">
        <f>+VLOOKUP($B36,NIFTY_ENERGY!$B$3:$I$1238,8,0)</f>
        <v>9.3150073049756976E-3</v>
      </c>
      <c r="S36" s="8">
        <f>+VLOOKUP($B36,NIFTY_AUTO!$B$3:$I$1238,8,0)</f>
        <v>-2.8390466997374464E-4</v>
      </c>
      <c r="T36" s="8">
        <v>0</v>
      </c>
      <c r="U36" s="8"/>
      <c r="V36" s="8"/>
      <c r="W36" s="8"/>
      <c r="X36" s="8"/>
      <c r="Y36" s="8"/>
      <c r="Z36" s="8"/>
      <c r="AA36" s="8"/>
      <c r="AB36" s="8"/>
      <c r="AC36" s="8"/>
      <c r="AD36" s="16"/>
      <c r="AE36" s="8"/>
      <c r="AF36" s="8"/>
      <c r="AG36" s="8"/>
      <c r="AH36" s="8"/>
      <c r="AI36" s="8"/>
      <c r="AJ36" s="8"/>
      <c r="AK36" s="8"/>
      <c r="AL36" s="8"/>
      <c r="AM36" s="16"/>
      <c r="AN36" s="8"/>
      <c r="AO36" s="8"/>
      <c r="AP36" s="8"/>
      <c r="AQ36" s="8"/>
      <c r="AR36" s="8"/>
      <c r="AS36" s="8"/>
      <c r="AT36" s="8"/>
      <c r="AU36" s="8"/>
      <c r="AV36" s="16"/>
      <c r="AW36" s="8"/>
      <c r="AX36" s="8"/>
      <c r="AY36" s="8"/>
      <c r="AZ36" s="8"/>
      <c r="BA36" s="8"/>
      <c r="BB36" s="8"/>
      <c r="BC36" s="8"/>
      <c r="BD36" s="8"/>
      <c r="BE36" s="8">
        <f t="shared" si="14"/>
        <v>4.4730694714893273E-3</v>
      </c>
    </row>
    <row r="37" spans="1:57" x14ac:dyDescent="0.25">
      <c r="A37" t="str">
        <f t="shared" si="12"/>
        <v/>
      </c>
      <c r="B37" s="1">
        <v>42786</v>
      </c>
      <c r="C37" s="9">
        <f t="shared" si="33"/>
        <v>0.12564058905036163</v>
      </c>
      <c r="D37" s="9">
        <f t="shared" si="25"/>
        <v>0.13317849428123374</v>
      </c>
      <c r="E37" s="9">
        <f t="shared" si="26"/>
        <v>0.11913599149141288</v>
      </c>
      <c r="F37" s="9">
        <f t="shared" si="27"/>
        <v>0.11946005841777636</v>
      </c>
      <c r="G37" s="9">
        <f t="shared" si="28"/>
        <v>0.12540403846259307</v>
      </c>
      <c r="H37" s="9">
        <f t="shared" si="29"/>
        <v>0.13334521767463059</v>
      </c>
      <c r="I37" s="9">
        <f t="shared" si="30"/>
        <v>0.12292049136155478</v>
      </c>
      <c r="J37" s="9">
        <f t="shared" si="31"/>
        <v>0.12091511926043691</v>
      </c>
      <c r="K37" s="9">
        <f t="shared" si="32"/>
        <v>0</v>
      </c>
      <c r="L37" s="8">
        <f>+VLOOKUP($B37,NIFTY_50!$B$3:$I$1238,8,0)</f>
        <v>6.5180180690795897E-3</v>
      </c>
      <c r="M37" s="8">
        <f>+VLOOKUP($B37,NIFTY_BANK!$B$3:$I$41238,8,0)</f>
        <v>6.1188194449512956E-3</v>
      </c>
      <c r="N37" s="8">
        <f>+VLOOKUP($B37,NIFTY_IT!$B$3:$I$1238,8,0)</f>
        <v>1.3683600577551358E-2</v>
      </c>
      <c r="O37" s="8">
        <f>+VLOOKUP($B37,NIFTY_PHARMA!$B$3:$I$1238,8,0)</f>
        <v>1.6189149504914901E-3</v>
      </c>
      <c r="P37" s="8">
        <f>+VLOOKUP($B37,NIFTY_FMCG!$B$3:$I$1238,8,0)</f>
        <v>-2.7399335287658921E-4</v>
      </c>
      <c r="Q37" s="8">
        <f>+VLOOKUP($B37,NIFTY_METAL!$B$3:$I$1238,8,0)</f>
        <v>2.0680508252554297E-2</v>
      </c>
      <c r="R37" s="8">
        <f>+VLOOKUP($B37,NIFTY_ENERGY!$B$3:$I$1238,8,0)</f>
        <v>9.3074072025225441E-3</v>
      </c>
      <c r="S37" s="8">
        <f>+VLOOKUP($B37,NIFTY_AUTO!$B$3:$I$1238,8,0)</f>
        <v>6.2321863769672081E-3</v>
      </c>
      <c r="T37" s="8">
        <v>0</v>
      </c>
      <c r="U37" s="8"/>
      <c r="V37" s="8"/>
      <c r="W37" s="8"/>
      <c r="X37" s="8"/>
      <c r="Y37" s="8"/>
      <c r="Z37" s="8"/>
      <c r="AA37" s="8"/>
      <c r="AB37" s="8"/>
      <c r="AC37" s="8"/>
      <c r="AD37" s="16"/>
      <c r="AE37" s="8"/>
      <c r="AF37" s="8"/>
      <c r="AG37" s="8"/>
      <c r="AH37" s="8"/>
      <c r="AI37" s="8"/>
      <c r="AJ37" s="8"/>
      <c r="AK37" s="8"/>
      <c r="AL37" s="8"/>
      <c r="AM37" s="16"/>
      <c r="AN37" s="8"/>
      <c r="AO37" s="8"/>
      <c r="AP37" s="8"/>
      <c r="AQ37" s="8"/>
      <c r="AR37" s="8"/>
      <c r="AS37" s="8"/>
      <c r="AT37" s="8"/>
      <c r="AU37" s="8"/>
      <c r="AV37" s="16"/>
      <c r="AW37" s="8"/>
      <c r="AX37" s="8"/>
      <c r="AY37" s="8"/>
      <c r="AZ37" s="8"/>
      <c r="BA37" s="8"/>
      <c r="BB37" s="8"/>
      <c r="BC37" s="8"/>
      <c r="BD37" s="8"/>
      <c r="BE37" s="8">
        <f t="shared" si="14"/>
        <v>8.0387794958632144E-3</v>
      </c>
    </row>
    <row r="38" spans="1:57" x14ac:dyDescent="0.25">
      <c r="A38" t="str">
        <f t="shared" si="12"/>
        <v/>
      </c>
      <c r="B38" s="1">
        <v>42787</v>
      </c>
      <c r="C38" s="9">
        <f t="shared" si="33"/>
        <v>0.12563362939765818</v>
      </c>
      <c r="D38" s="9">
        <f t="shared" si="25"/>
        <v>0.13392308341581741</v>
      </c>
      <c r="E38" s="9">
        <f t="shared" si="26"/>
        <v>0.11885195348529244</v>
      </c>
      <c r="F38" s="9">
        <f t="shared" si="27"/>
        <v>0.11910281439490862</v>
      </c>
      <c r="G38" s="9">
        <f t="shared" si="28"/>
        <v>0.1250544971177244</v>
      </c>
      <c r="H38" s="9">
        <f t="shared" si="29"/>
        <v>0.13334607692073935</v>
      </c>
      <c r="I38" s="9">
        <f t="shared" si="30"/>
        <v>0.12338348596046568</v>
      </c>
      <c r="J38" s="9">
        <f t="shared" si="31"/>
        <v>0.12070445930739397</v>
      </c>
      <c r="K38" s="9">
        <f t="shared" si="32"/>
        <v>0</v>
      </c>
      <c r="L38" s="8">
        <f>+VLOOKUP($B38,NIFTY_50!$B$3:$I$1238,8,0)</f>
        <v>3.2266420398232576E-3</v>
      </c>
      <c r="M38" s="8">
        <f>+VLOOKUP($B38,NIFTY_BANK!$B$3:$I$41238,8,0)</f>
        <v>8.8914789791605386E-3</v>
      </c>
      <c r="N38" s="8">
        <f>+VLOOKUP($B38,NIFTY_IT!$B$3:$I$1238,8,0)</f>
        <v>8.902424739369863E-4</v>
      </c>
      <c r="O38" s="8">
        <f>+VLOOKUP($B38,NIFTY_PHARMA!$B$3:$I$1238,8,0)</f>
        <v>2.8191249436182453E-4</v>
      </c>
      <c r="P38" s="8">
        <f>+VLOOKUP($B38,NIFTY_FMCG!$B$3:$I$1238,8,0)</f>
        <v>4.8574732671835541E-4</v>
      </c>
      <c r="Q38" s="8">
        <f>+VLOOKUP($B38,NIFTY_METAL!$B$3:$I$1238,8,0)</f>
        <v>3.2886821207989136E-3</v>
      </c>
      <c r="R38" s="8">
        <f>+VLOOKUP($B38,NIFTY_ENERGY!$B$3:$I$1238,8,0)</f>
        <v>7.0611985767985441E-3</v>
      </c>
      <c r="S38" s="8">
        <f>+VLOOKUP($B38,NIFTY_AUTO!$B$3:$I$1238,8,0)</f>
        <v>1.5342853770801135E-3</v>
      </c>
      <c r="T38" s="8">
        <v>0</v>
      </c>
      <c r="U38" s="8"/>
      <c r="V38" s="8"/>
      <c r="W38" s="8"/>
      <c r="X38" s="8"/>
      <c r="Y38" s="8"/>
      <c r="Z38" s="8"/>
      <c r="AA38" s="8"/>
      <c r="AB38" s="8"/>
      <c r="AC38" s="8"/>
      <c r="AD38" s="16"/>
      <c r="AE38" s="8"/>
      <c r="AF38" s="8"/>
      <c r="AG38" s="8"/>
      <c r="AH38" s="8"/>
      <c r="AI38" s="8"/>
      <c r="AJ38" s="8"/>
      <c r="AK38" s="8"/>
      <c r="AL38" s="8"/>
      <c r="AM38" s="16"/>
      <c r="AN38" s="8"/>
      <c r="AO38" s="8"/>
      <c r="AP38" s="8"/>
      <c r="AQ38" s="8"/>
      <c r="AR38" s="8"/>
      <c r="AS38" s="8"/>
      <c r="AT38" s="8"/>
      <c r="AU38" s="8"/>
      <c r="AV38" s="16"/>
      <c r="AW38" s="8"/>
      <c r="AX38" s="8"/>
      <c r="AY38" s="8"/>
      <c r="AZ38" s="8"/>
      <c r="BA38" s="8"/>
      <c r="BB38" s="8"/>
      <c r="BC38" s="8"/>
      <c r="BD38" s="8"/>
      <c r="BE38" s="8">
        <f t="shared" si="14"/>
        <v>3.2822171994755741E-3</v>
      </c>
    </row>
    <row r="39" spans="1:57" x14ac:dyDescent="0.25">
      <c r="A39" t="str">
        <f t="shared" si="12"/>
        <v/>
      </c>
      <c r="B39" s="1">
        <v>42788</v>
      </c>
      <c r="C39" s="9">
        <f t="shared" si="33"/>
        <v>0.12573621660619552</v>
      </c>
      <c r="D39" s="9">
        <f t="shared" si="25"/>
        <v>0.13379449925952619</v>
      </c>
      <c r="E39" s="9">
        <f t="shared" si="26"/>
        <v>0.11685096373422324</v>
      </c>
      <c r="F39" s="9">
        <f t="shared" si="27"/>
        <v>0.11824953854464851</v>
      </c>
      <c r="G39" s="9">
        <f t="shared" si="28"/>
        <v>0.1247551839371237</v>
      </c>
      <c r="H39" s="9">
        <f t="shared" si="29"/>
        <v>0.1323248130886357</v>
      </c>
      <c r="I39" s="9">
        <f t="shared" si="30"/>
        <v>0.12762559203059567</v>
      </c>
      <c r="J39" s="9">
        <f t="shared" si="31"/>
        <v>0.12066319279905149</v>
      </c>
      <c r="K39" s="9">
        <f t="shared" si="32"/>
        <v>0</v>
      </c>
      <c r="L39" s="8">
        <f>+VLOOKUP($B39,NIFTY_50!$B$3:$I$1238,8,0)</f>
        <v>2.1385631774220037E-3</v>
      </c>
      <c r="M39" s="8">
        <f>+VLOOKUP($B39,NIFTY_BANK!$B$3:$I$41238,8,0)</f>
        <v>3.5952341576006575E-4</v>
      </c>
      <c r="N39" s="8">
        <f>+VLOOKUP($B39,NIFTY_IT!$B$3:$I$1238,8,0)</f>
        <v>-1.553729841069218E-2</v>
      </c>
      <c r="O39" s="8">
        <f>+VLOOKUP($B39,NIFTY_PHARMA!$B$3:$I$1238,8,0)</f>
        <v>-5.8527328410650226E-3</v>
      </c>
      <c r="P39" s="8">
        <f>+VLOOKUP($B39,NIFTY_FMCG!$B$3:$I$1238,8,0)</f>
        <v>-1.0756974773445949E-3</v>
      </c>
      <c r="Q39" s="8">
        <f>+VLOOKUP($B39,NIFTY_METAL!$B$3:$I$1238,8,0)</f>
        <v>-6.3479373201150713E-3</v>
      </c>
      <c r="R39" s="8">
        <f>+VLOOKUP($B39,NIFTY_ENERGY!$B$3:$I$1238,8,0)</f>
        <v>3.5747815083745582E-2</v>
      </c>
      <c r="S39" s="8">
        <f>+VLOOKUP($B39,NIFTY_AUTO!$B$3:$I$1238,8,0)</f>
        <v>9.7859389890264659E-4</v>
      </c>
      <c r="T39" s="8">
        <v>0</v>
      </c>
      <c r="U39" s="8"/>
      <c r="V39" s="8"/>
      <c r="W39" s="8"/>
      <c r="X39" s="8"/>
      <c r="Y39" s="8"/>
      <c r="Z39" s="8"/>
      <c r="AA39" s="8"/>
      <c r="AB39" s="8"/>
      <c r="AC39" s="8"/>
      <c r="AD39" s="16"/>
      <c r="AE39" s="8"/>
      <c r="AF39" s="8"/>
      <c r="AG39" s="8"/>
      <c r="AH39" s="8"/>
      <c r="AI39" s="8"/>
      <c r="AJ39" s="8"/>
      <c r="AK39" s="8"/>
      <c r="AL39" s="8"/>
      <c r="AM39" s="16"/>
      <c r="AN39" s="8"/>
      <c r="AO39" s="8"/>
      <c r="AP39" s="8"/>
      <c r="AQ39" s="8"/>
      <c r="AR39" s="8"/>
      <c r="AS39" s="8"/>
      <c r="AT39" s="8"/>
      <c r="AU39" s="8"/>
      <c r="AV39" s="16"/>
      <c r="AW39" s="8"/>
      <c r="AX39" s="8"/>
      <c r="AY39" s="8"/>
      <c r="AZ39" s="8"/>
      <c r="BA39" s="8"/>
      <c r="BB39" s="8"/>
      <c r="BC39" s="8"/>
      <c r="BD39" s="8"/>
      <c r="BE39" s="8">
        <f t="shared" si="14"/>
        <v>1.3209260595024161E-3</v>
      </c>
    </row>
    <row r="40" spans="1:57" x14ac:dyDescent="0.25">
      <c r="A40" t="str">
        <f t="shared" si="12"/>
        <v/>
      </c>
      <c r="B40" s="1">
        <v>42789</v>
      </c>
      <c r="C40" s="9">
        <f t="shared" si="33"/>
        <v>0.12575485876074341</v>
      </c>
      <c r="D40" s="9">
        <f t="shared" si="25"/>
        <v>0.13367823481375327</v>
      </c>
      <c r="E40" s="9">
        <f t="shared" si="26"/>
        <v>0.11864422244885965</v>
      </c>
      <c r="F40" s="9">
        <f t="shared" si="27"/>
        <v>0.11786936050550501</v>
      </c>
      <c r="G40" s="9">
        <f t="shared" si="28"/>
        <v>0.1246442066659693</v>
      </c>
      <c r="H40" s="9">
        <f t="shared" si="29"/>
        <v>0.13271508451341796</v>
      </c>
      <c r="I40" s="9">
        <f t="shared" si="30"/>
        <v>0.12626570269672982</v>
      </c>
      <c r="J40" s="9">
        <f t="shared" si="31"/>
        <v>0.12042832959502159</v>
      </c>
      <c r="K40" s="9">
        <f t="shared" si="32"/>
        <v>0</v>
      </c>
      <c r="L40" s="8">
        <f>+VLOOKUP($B40,NIFTY_50!$B$3:$I$1238,8,0)</f>
        <v>1.4114642261031651E-3</v>
      </c>
      <c r="M40" s="8">
        <f>+VLOOKUP($B40,NIFTY_BANK!$B$3:$I$41238,8,0)</f>
        <v>3.9293766427306309E-4</v>
      </c>
      <c r="N40" s="8">
        <f>+VLOOKUP($B40,NIFTY_IT!$B$3:$I$1238,8,0)</f>
        <v>1.6628942062616447E-2</v>
      </c>
      <c r="O40" s="8">
        <f>+VLOOKUP($B40,NIFTY_PHARMA!$B$3:$I$1238,8,0)</f>
        <v>-1.9560965007605624E-3</v>
      </c>
      <c r="P40" s="8">
        <f>+VLOOKUP($B40,NIFTY_FMCG!$B$3:$I$1238,8,0)</f>
        <v>3.7232904077333373E-4</v>
      </c>
      <c r="Q40" s="8">
        <f>+VLOOKUP($B40,NIFTY_METAL!$B$3:$I$1238,8,0)</f>
        <v>4.21608226187975E-3</v>
      </c>
      <c r="R40" s="8">
        <f>+VLOOKUP($B40,NIFTY_ENERGY!$B$3:$I$1238,8,0)</f>
        <v>-9.4057476649836991E-3</v>
      </c>
      <c r="S40" s="8">
        <f>+VLOOKUP($B40,NIFTY_AUTO!$B$3:$I$1238,8,0)</f>
        <v>-6.8588158817428635E-4</v>
      </c>
      <c r="T40" s="8">
        <v>0</v>
      </c>
      <c r="U40" s="8"/>
      <c r="V40" s="8"/>
      <c r="W40" s="8"/>
      <c r="X40" s="8"/>
      <c r="Y40" s="8"/>
      <c r="Z40" s="8"/>
      <c r="AA40" s="8"/>
      <c r="AB40" s="8"/>
      <c r="AC40" s="8"/>
      <c r="AD40" s="16"/>
      <c r="AE40" s="8"/>
      <c r="AF40" s="8"/>
      <c r="AG40" s="8"/>
      <c r="AH40" s="8"/>
      <c r="AI40" s="8"/>
      <c r="AJ40" s="8"/>
      <c r="AK40" s="8"/>
      <c r="AL40" s="8"/>
      <c r="AM40" s="16"/>
      <c r="AN40" s="8"/>
      <c r="AO40" s="8"/>
      <c r="AP40" s="8"/>
      <c r="AQ40" s="8"/>
      <c r="AR40" s="8"/>
      <c r="AS40" s="8"/>
      <c r="AT40" s="8"/>
      <c r="AU40" s="8"/>
      <c r="AV40" s="16"/>
      <c r="AW40" s="8"/>
      <c r="AX40" s="8"/>
      <c r="AY40" s="8"/>
      <c r="AZ40" s="8"/>
      <c r="BA40" s="8"/>
      <c r="BB40" s="8"/>
      <c r="BC40" s="8"/>
      <c r="BD40" s="8"/>
      <c r="BE40" s="8">
        <f t="shared" si="14"/>
        <v>1.2630129657216114E-3</v>
      </c>
    </row>
    <row r="41" spans="1:57" x14ac:dyDescent="0.25">
      <c r="A41" t="str">
        <f t="shared" si="12"/>
        <v/>
      </c>
      <c r="B41" s="1">
        <v>42793</v>
      </c>
      <c r="C41" s="9">
        <f t="shared" si="33"/>
        <v>0.12540263314801103</v>
      </c>
      <c r="D41" s="9">
        <f t="shared" si="25"/>
        <v>0.13225384680651517</v>
      </c>
      <c r="E41" s="9">
        <f t="shared" si="26"/>
        <v>0.11907070007414826</v>
      </c>
      <c r="F41" s="9">
        <f t="shared" si="27"/>
        <v>0.11821761862086742</v>
      </c>
      <c r="G41" s="9">
        <f t="shared" si="28"/>
        <v>0.12480870804675141</v>
      </c>
      <c r="H41" s="9">
        <f t="shared" si="29"/>
        <v>0.13258155592411408</v>
      </c>
      <c r="I41" s="9">
        <f t="shared" si="30"/>
        <v>0.12816927924764404</v>
      </c>
      <c r="J41" s="9">
        <f t="shared" si="31"/>
        <v>0.11949565813194855</v>
      </c>
      <c r="K41" s="9">
        <f t="shared" si="32"/>
        <v>0</v>
      </c>
      <c r="L41" s="8">
        <f>+VLOOKUP($B41,NIFTY_50!$B$3:$I$1238,8,0)</f>
        <v>-4.7877398064768428E-3</v>
      </c>
      <c r="M41" s="8">
        <f>+VLOOKUP($B41,NIFTY_BANK!$B$3:$I$41238,8,0)</f>
        <v>-1.2626546883719447E-2</v>
      </c>
      <c r="N41" s="8">
        <f>+VLOOKUP($B41,NIFTY_IT!$B$3:$I$1238,8,0)</f>
        <v>1.5950007717746573E-3</v>
      </c>
      <c r="O41" s="8">
        <f>+VLOOKUP($B41,NIFTY_PHARMA!$B$3:$I$1238,8,0)</f>
        <v>9.5629450083323242E-4</v>
      </c>
      <c r="P41" s="8">
        <f>+VLOOKUP($B41,NIFTY_FMCG!$B$3:$I$1238,8,0)</f>
        <v>-6.7529167920310496E-4</v>
      </c>
      <c r="Q41" s="8">
        <f>+VLOOKUP($B41,NIFTY_METAL!$B$3:$I$1238,8,0)</f>
        <v>-2.9965547632401224E-3</v>
      </c>
      <c r="R41" s="8">
        <f>+VLOOKUP($B41,NIFTY_ENERGY!$B$3:$I$1238,8,0)</f>
        <v>1.3053491466384903E-2</v>
      </c>
      <c r="S41" s="8">
        <f>+VLOOKUP($B41,NIFTY_AUTO!$B$3:$I$1238,8,0)</f>
        <v>-9.7216175378389558E-3</v>
      </c>
      <c r="T41" s="8">
        <v>0</v>
      </c>
      <c r="U41" s="8"/>
      <c r="V41" s="8"/>
      <c r="W41" s="8"/>
      <c r="X41" s="8"/>
      <c r="Y41" s="8"/>
      <c r="Z41" s="8"/>
      <c r="AA41" s="8"/>
      <c r="AB41" s="8"/>
      <c r="AC41" s="8"/>
      <c r="AD41" s="16"/>
      <c r="AE41" s="8"/>
      <c r="AF41" s="8"/>
      <c r="AG41" s="8"/>
      <c r="AH41" s="8"/>
      <c r="AI41" s="8"/>
      <c r="AJ41" s="8"/>
      <c r="AK41" s="8"/>
      <c r="AL41" s="8"/>
      <c r="AM41" s="16"/>
      <c r="AN41" s="8"/>
      <c r="AO41" s="8"/>
      <c r="AP41" s="8"/>
      <c r="AQ41" s="8"/>
      <c r="AR41" s="8"/>
      <c r="AS41" s="8"/>
      <c r="AT41" s="8"/>
      <c r="AU41" s="8"/>
      <c r="AV41" s="16"/>
      <c r="AW41" s="8"/>
      <c r="AX41" s="8"/>
      <c r="AY41" s="8"/>
      <c r="AZ41" s="8"/>
      <c r="BA41" s="8"/>
      <c r="BB41" s="8"/>
      <c r="BC41" s="8"/>
      <c r="BD41" s="8"/>
      <c r="BE41" s="8">
        <f t="shared" si="14"/>
        <v>-1.9924296973843738E-3</v>
      </c>
    </row>
    <row r="42" spans="1:57" x14ac:dyDescent="0.25">
      <c r="A42" t="str">
        <f t="shared" si="12"/>
        <v>Y</v>
      </c>
      <c r="B42" s="1">
        <v>42794</v>
      </c>
      <c r="C42" s="9">
        <f t="shared" si="33"/>
        <v>0.12533984615200408</v>
      </c>
      <c r="D42" s="9">
        <f t="shared" si="25"/>
        <v>0.13240492555097635</v>
      </c>
      <c r="E42" s="9">
        <f t="shared" si="26"/>
        <v>0.11895349328814288</v>
      </c>
      <c r="F42" s="9">
        <f t="shared" si="27"/>
        <v>0.11853659239129732</v>
      </c>
      <c r="G42" s="9">
        <f t="shared" si="28"/>
        <v>0.12453265523749399</v>
      </c>
      <c r="H42" s="9">
        <f t="shared" si="29"/>
        <v>0.13347030430868756</v>
      </c>
      <c r="I42" s="9">
        <f t="shared" si="30"/>
        <v>0.12724737305214814</v>
      </c>
      <c r="J42" s="9">
        <f t="shared" si="31"/>
        <v>0.1195148100192496</v>
      </c>
      <c r="K42" s="9">
        <f t="shared" si="32"/>
        <v>0</v>
      </c>
      <c r="L42" s="8">
        <f>+VLOOKUP($B42,NIFTY_50!$B$3:$I$1238,8,0)</f>
        <v>-1.9220609889060158E-3</v>
      </c>
      <c r="M42" s="8">
        <f>+VLOOKUP($B42,NIFTY_BANK!$B$3:$I$41238,8,0)</f>
        <v>-2.8137514826764853E-4</v>
      </c>
      <c r="N42" s="8">
        <f>+VLOOKUP($B42,NIFTY_IT!$B$3:$I$1238,8,0)</f>
        <v>-2.4050360988913111E-3</v>
      </c>
      <c r="O42" s="8">
        <f>+VLOOKUP($B42,NIFTY_PHARMA!$B$3:$I$1238,8,0)</f>
        <v>1.2722646310432406E-3</v>
      </c>
      <c r="P42" s="8">
        <f>+VLOOKUP($B42,NIFTY_FMCG!$B$3:$I$1238,8,0)</f>
        <v>-3.6307516637227311E-3</v>
      </c>
      <c r="Q42" s="8">
        <f>+VLOOKUP($B42,NIFTY_METAL!$B$3:$I$1238,8,0)</f>
        <v>5.2717862997846421E-3</v>
      </c>
      <c r="R42" s="8">
        <f>+VLOOKUP($B42,NIFTY_ENERGY!$B$3:$I$1238,8,0)</f>
        <v>-8.6047404614792988E-3</v>
      </c>
      <c r="S42" s="8">
        <f>+VLOOKUP($B42,NIFTY_AUTO!$B$3:$I$1238,8,0)</f>
        <v>-1.2620450301805697E-3</v>
      </c>
      <c r="T42" s="8">
        <v>0</v>
      </c>
      <c r="U42" s="8"/>
      <c r="V42" s="8"/>
      <c r="W42" s="8"/>
      <c r="X42" s="8"/>
      <c r="Y42" s="8"/>
      <c r="Z42" s="8"/>
      <c r="AA42" s="8"/>
      <c r="AB42" s="8"/>
      <c r="AC42" s="8"/>
      <c r="AD42" s="16"/>
      <c r="AE42" s="8"/>
      <c r="AF42" s="8"/>
      <c r="AG42" s="8"/>
      <c r="AH42" s="8"/>
      <c r="AI42" s="8"/>
      <c r="AJ42" s="8"/>
      <c r="AK42" s="8"/>
      <c r="AL42" s="8"/>
      <c r="AM42" s="16"/>
      <c r="AN42" s="8"/>
      <c r="AO42" s="8"/>
      <c r="AP42" s="8"/>
      <c r="AQ42" s="8"/>
      <c r="AR42" s="8"/>
      <c r="AS42" s="8"/>
      <c r="AT42" s="8"/>
      <c r="AU42" s="8"/>
      <c r="AV42" s="16"/>
      <c r="AW42" s="8"/>
      <c r="AX42" s="8"/>
      <c r="AY42" s="8"/>
      <c r="AZ42" s="8"/>
      <c r="BA42" s="8"/>
      <c r="BB42" s="8"/>
      <c r="BC42" s="8"/>
      <c r="BD42" s="8"/>
      <c r="BE42" s="8">
        <f t="shared" si="14"/>
        <v>-1.4220897706925077E-3</v>
      </c>
    </row>
    <row r="43" spans="1:57" x14ac:dyDescent="0.25">
      <c r="A43" t="str">
        <f t="shared" si="12"/>
        <v/>
      </c>
      <c r="B43" s="1">
        <v>42795</v>
      </c>
      <c r="C43" s="9">
        <f t="shared" si="33"/>
        <v>0.125325726329304</v>
      </c>
      <c r="D43" s="9">
        <f t="shared" si="25"/>
        <v>0.13253583007040712</v>
      </c>
      <c r="E43" s="9">
        <f t="shared" si="26"/>
        <v>0.11880159939939322</v>
      </c>
      <c r="F43" s="9">
        <f t="shared" si="27"/>
        <v>0.11893151733724691</v>
      </c>
      <c r="G43" s="9">
        <f t="shared" si="28"/>
        <v>0.12532706470961674</v>
      </c>
      <c r="H43" s="9">
        <f t="shared" si="29"/>
        <v>0.13489482454035792</v>
      </c>
      <c r="I43" s="9">
        <f t="shared" si="30"/>
        <v>0.12537045391681326</v>
      </c>
      <c r="J43" s="9">
        <f t="shared" si="31"/>
        <v>0.11881298369686075</v>
      </c>
      <c r="K43" s="9">
        <f t="shared" si="32"/>
        <v>0</v>
      </c>
      <c r="L43" s="8">
        <f>+VLOOKUP($B43,NIFTY_50!$B$3:$I$1238,8,0)</f>
        <v>7.4552907788638656E-3</v>
      </c>
      <c r="M43" s="8">
        <f>+VLOOKUP($B43,NIFTY_BANK!$B$3:$I$41238,8,0)</f>
        <v>8.5649468027029219E-3</v>
      </c>
      <c r="N43" s="8">
        <f>+VLOOKUP($B43,NIFTY_IT!$B$3:$I$1238,8,0)</f>
        <v>6.2822127245234505E-3</v>
      </c>
      <c r="O43" s="8">
        <f>+VLOOKUP($B43,NIFTY_PHARMA!$B$3:$I$1238,8,0)</f>
        <v>1.09256836228111E-2</v>
      </c>
      <c r="P43" s="8">
        <f>+VLOOKUP($B43,NIFTY_FMCG!$B$3:$I$1238,8,0)</f>
        <v>1.3996203812303598E-2</v>
      </c>
      <c r="Q43" s="8">
        <f>+VLOOKUP($B43,NIFTY_METAL!$B$3:$I$1238,8,0)</f>
        <v>1.8322514629232733E-2</v>
      </c>
      <c r="R43" s="8">
        <f>+VLOOKUP($B43,NIFTY_ENERGY!$B$3:$I$1238,8,0)</f>
        <v>-7.2930054048344628E-3</v>
      </c>
      <c r="S43" s="8">
        <f>+VLOOKUP($B43,NIFTY_AUTO!$B$3:$I$1238,8,0)</f>
        <v>1.6520536736184255E-3</v>
      </c>
      <c r="T43" s="8">
        <v>0</v>
      </c>
      <c r="U43" s="8"/>
      <c r="V43" s="8"/>
      <c r="W43" s="8"/>
      <c r="X43" s="8"/>
      <c r="Y43" s="8"/>
      <c r="Z43" s="8"/>
      <c r="AA43" s="8"/>
      <c r="AB43" s="8"/>
      <c r="AC43" s="8"/>
      <c r="AD43" s="16"/>
      <c r="AE43" s="8"/>
      <c r="AF43" s="8"/>
      <c r="AG43" s="8"/>
      <c r="AH43" s="8"/>
      <c r="AI43" s="8"/>
      <c r="AJ43" s="8"/>
      <c r="AK43" s="8"/>
      <c r="AL43" s="8"/>
      <c r="AM43" s="16"/>
      <c r="AN43" s="8"/>
      <c r="AO43" s="8"/>
      <c r="AP43" s="8"/>
      <c r="AQ43" s="8"/>
      <c r="AR43" s="8"/>
      <c r="AS43" s="8"/>
      <c r="AT43" s="8"/>
      <c r="AU43" s="8"/>
      <c r="AV43" s="16"/>
      <c r="AW43" s="8"/>
      <c r="AX43" s="8"/>
      <c r="AY43" s="8"/>
      <c r="AZ43" s="8"/>
      <c r="BA43" s="8"/>
      <c r="BB43" s="8"/>
      <c r="BC43" s="8"/>
      <c r="BD43" s="8"/>
      <c r="BE43" s="8">
        <f t="shared" si="14"/>
        <v>7.5687957271351036E-3</v>
      </c>
    </row>
    <row r="44" spans="1:57" x14ac:dyDescent="0.25">
      <c r="A44" t="str">
        <f t="shared" si="12"/>
        <v/>
      </c>
      <c r="B44" s="1">
        <v>42796</v>
      </c>
      <c r="C44" s="9">
        <f t="shared" si="33"/>
        <v>0.12552466187114997</v>
      </c>
      <c r="D44" s="9">
        <f t="shared" si="25"/>
        <v>0.13199691050668858</v>
      </c>
      <c r="E44" s="9">
        <f t="shared" si="26"/>
        <v>0.11953409353716976</v>
      </c>
      <c r="F44" s="9">
        <f t="shared" si="27"/>
        <v>0.11794970340962914</v>
      </c>
      <c r="G44" s="9">
        <f t="shared" si="28"/>
        <v>0.12487453243356876</v>
      </c>
      <c r="H44" s="9">
        <f t="shared" si="29"/>
        <v>0.13502763620092076</v>
      </c>
      <c r="I44" s="9">
        <f t="shared" si="30"/>
        <v>0.12504344643102991</v>
      </c>
      <c r="J44" s="9">
        <f t="shared" si="31"/>
        <v>0.12004901560984317</v>
      </c>
      <c r="K44" s="9">
        <f t="shared" si="32"/>
        <v>0</v>
      </c>
      <c r="L44" s="8">
        <f>+VLOOKUP($B44,NIFTY_50!$B$3:$I$1238,8,0)</f>
        <v>-5.1476670616378284E-3</v>
      </c>
      <c r="M44" s="8">
        <f>+VLOOKUP($B44,NIFTY_BANK!$B$3:$I$41238,8,0)</f>
        <v>-1.0763216455163316E-2</v>
      </c>
      <c r="N44" s="8">
        <f>+VLOOKUP($B44,NIFTY_IT!$B$3:$I$1238,8,0)</f>
        <v>-6.0010885695538363E-4</v>
      </c>
      <c r="O44" s="8">
        <f>+VLOOKUP($B44,NIFTY_PHARMA!$B$3:$I$1238,8,0)</f>
        <v>-1.4924117822966432E-2</v>
      </c>
      <c r="P44" s="8">
        <f>+VLOOKUP($B44,NIFTY_FMCG!$B$3:$I$1238,8,0)</f>
        <v>-1.0310871335954208E-2</v>
      </c>
      <c r="Q44" s="8">
        <f>+VLOOKUP($B44,NIFTY_METAL!$B$3:$I$1238,8,0)</f>
        <v>-5.7464045720027057E-3</v>
      </c>
      <c r="R44" s="8">
        <f>+VLOOKUP($B44,NIFTY_ENERGY!$B$3:$I$1238,8,0)</f>
        <v>-9.3151316577033683E-3</v>
      </c>
      <c r="S44" s="8">
        <f>+VLOOKUP($B44,NIFTY_AUTO!$B$3:$I$1238,8,0)</f>
        <v>3.608876388228266E-3</v>
      </c>
      <c r="T44" s="8">
        <v>0</v>
      </c>
      <c r="U44" s="8"/>
      <c r="V44" s="8"/>
      <c r="W44" s="8"/>
      <c r="X44" s="8"/>
      <c r="Y44" s="8"/>
      <c r="Z44" s="8"/>
      <c r="AA44" s="8"/>
      <c r="AB44" s="8"/>
      <c r="AC44" s="8"/>
      <c r="AD44" s="16"/>
      <c r="AE44" s="8"/>
      <c r="AF44" s="8"/>
      <c r="AG44" s="8"/>
      <c r="AH44" s="8"/>
      <c r="AI44" s="8"/>
      <c r="AJ44" s="8"/>
      <c r="AK44" s="8"/>
      <c r="AL44" s="8"/>
      <c r="AM44" s="16"/>
      <c r="AN44" s="8"/>
      <c r="AO44" s="8"/>
      <c r="AP44" s="8"/>
      <c r="AQ44" s="8"/>
      <c r="AR44" s="8"/>
      <c r="AS44" s="8"/>
      <c r="AT44" s="8"/>
      <c r="AU44" s="8"/>
      <c r="AV44" s="16"/>
      <c r="AW44" s="8"/>
      <c r="AX44" s="8"/>
      <c r="AY44" s="8"/>
      <c r="AZ44" s="8"/>
      <c r="BA44" s="8"/>
      <c r="BB44" s="8"/>
      <c r="BC44" s="8"/>
      <c r="BD44" s="8"/>
      <c r="BE44" s="8">
        <f t="shared" si="14"/>
        <v>-6.7243411984934977E-3</v>
      </c>
    </row>
    <row r="45" spans="1:57" x14ac:dyDescent="0.25">
      <c r="A45" t="str">
        <f t="shared" si="12"/>
        <v/>
      </c>
      <c r="B45" s="1">
        <v>42797</v>
      </c>
      <c r="C45" s="9">
        <f t="shared" si="33"/>
        <v>0.12519397458255729</v>
      </c>
      <c r="D45" s="9">
        <f t="shared" si="25"/>
        <v>0.13126893858118949</v>
      </c>
      <c r="E45" s="9">
        <f t="shared" si="26"/>
        <v>0.11996638282434523</v>
      </c>
      <c r="F45" s="9">
        <f t="shared" si="27"/>
        <v>0.11848238455149541</v>
      </c>
      <c r="G45" s="9">
        <f t="shared" si="28"/>
        <v>0.12381724587190648</v>
      </c>
      <c r="H45" s="9">
        <f t="shared" si="29"/>
        <v>0.13559011576003541</v>
      </c>
      <c r="I45" s="9">
        <f t="shared" si="30"/>
        <v>0.12622709018638267</v>
      </c>
      <c r="J45" s="9">
        <f t="shared" si="31"/>
        <v>0.1194538676420881</v>
      </c>
      <c r="K45" s="9">
        <f t="shared" si="32"/>
        <v>0</v>
      </c>
      <c r="L45" s="8">
        <f>+VLOOKUP($B45,NIFTY_50!$B$3:$I$1238,8,0)</f>
        <v>-2.4719795499883457E-4</v>
      </c>
      <c r="M45" s="8">
        <f>+VLOOKUP($B45,NIFTY_BANK!$B$3:$I$41238,8,0)</f>
        <v>-3.1347200031128786E-3</v>
      </c>
      <c r="N45" s="8">
        <f>+VLOOKUP($B45,NIFTY_IT!$B$3:$I$1238,8,0)</f>
        <v>6.0186564385193986E-3</v>
      </c>
      <c r="O45" s="8">
        <f>+VLOOKUP($B45,NIFTY_PHARMA!$B$3:$I$1238,8,0)</f>
        <v>6.9205301154526833E-3</v>
      </c>
      <c r="P45" s="8">
        <f>+VLOOKUP($B45,NIFTY_FMCG!$B$3:$I$1238,8,0)</f>
        <v>-6.093508138803494E-3</v>
      </c>
      <c r="Q45" s="8">
        <f>+VLOOKUP($B45,NIFTY_METAL!$B$3:$I$1238,8,0)</f>
        <v>6.5691816947224257E-3</v>
      </c>
      <c r="R45" s="8">
        <f>+VLOOKUP($B45,NIFTY_ENERGY!$B$3:$I$1238,8,0)</f>
        <v>1.188206546548165E-2</v>
      </c>
      <c r="S45" s="8">
        <f>+VLOOKUP($B45,NIFTY_AUTO!$B$3:$I$1238,8,0)</f>
        <v>-2.5758590489928235E-3</v>
      </c>
      <c r="T45" s="8">
        <v>0</v>
      </c>
      <c r="U45" s="8"/>
      <c r="V45" s="8"/>
      <c r="W45" s="8"/>
      <c r="X45" s="8"/>
      <c r="Y45" s="8"/>
      <c r="Z45" s="8"/>
      <c r="AA45" s="8"/>
      <c r="AB45" s="8"/>
      <c r="AC45" s="8"/>
      <c r="AD45" s="16"/>
      <c r="AE45" s="8"/>
      <c r="AF45" s="8"/>
      <c r="AG45" s="8"/>
      <c r="AH45" s="8"/>
      <c r="AI45" s="8"/>
      <c r="AJ45" s="8"/>
      <c r="AK45" s="8"/>
      <c r="AL45" s="8"/>
      <c r="AM45" s="16"/>
      <c r="AN45" s="8"/>
      <c r="AO45" s="8"/>
      <c r="AP45" s="8"/>
      <c r="AQ45" s="8"/>
      <c r="AR45" s="8"/>
      <c r="AS45" s="8"/>
      <c r="AT45" s="8"/>
      <c r="AU45" s="8"/>
      <c r="AV45" s="16"/>
      <c r="AW45" s="8"/>
      <c r="AX45" s="8"/>
      <c r="AY45" s="8"/>
      <c r="AZ45" s="8"/>
      <c r="BA45" s="8"/>
      <c r="BB45" s="8"/>
      <c r="BC45" s="8"/>
      <c r="BD45" s="8"/>
      <c r="BE45" s="8">
        <f t="shared" si="14"/>
        <v>2.3935484904553774E-3</v>
      </c>
    </row>
    <row r="46" spans="1:57" x14ac:dyDescent="0.25">
      <c r="A46" t="str">
        <f t="shared" si="12"/>
        <v/>
      </c>
      <c r="B46" s="1">
        <v>42800</v>
      </c>
      <c r="C46" s="9">
        <f t="shared" si="33"/>
        <v>0.12530677078929914</v>
      </c>
      <c r="D46" s="9">
        <f t="shared" si="25"/>
        <v>0.13149060449469949</v>
      </c>
      <c r="E46" s="9">
        <f t="shared" si="26"/>
        <v>0.11889165922184229</v>
      </c>
      <c r="F46" s="9">
        <f t="shared" si="27"/>
        <v>0.11770394818591813</v>
      </c>
      <c r="G46" s="9">
        <f t="shared" si="28"/>
        <v>0.12363384050632889</v>
      </c>
      <c r="H46" s="9">
        <f t="shared" si="29"/>
        <v>0.13481172905189956</v>
      </c>
      <c r="I46" s="9">
        <f t="shared" si="30"/>
        <v>0.12801391693095462</v>
      </c>
      <c r="J46" s="9">
        <f t="shared" si="31"/>
        <v>0.12014753081905777</v>
      </c>
      <c r="K46" s="9">
        <f t="shared" si="32"/>
        <v>0</v>
      </c>
      <c r="L46" s="8">
        <f>+VLOOKUP($B46,NIFTY_50!$B$3:$I$1238,8,0)</f>
        <v>7.4065332591557453E-3</v>
      </c>
      <c r="M46" s="8">
        <f>+VLOOKUP($B46,NIFTY_BANK!$B$3:$I$41238,8,0)</f>
        <v>8.1993208298367648E-3</v>
      </c>
      <c r="N46" s="8">
        <f>+VLOOKUP($B46,NIFTY_IT!$B$3:$I$1238,8,0)</f>
        <v>-2.5170618854829518E-3</v>
      </c>
      <c r="O46" s="8">
        <f>+VLOOKUP($B46,NIFTY_PHARMA!$B$3:$I$1238,8,0)</f>
        <v>-1.1305769239822183E-4</v>
      </c>
      <c r="P46" s="8">
        <f>+VLOOKUP($B46,NIFTY_FMCG!$B$3:$I$1238,8,0)</f>
        <v>5.0088192920330066E-3</v>
      </c>
      <c r="Q46" s="8">
        <f>+VLOOKUP($B46,NIFTY_METAL!$B$3:$I$1238,8,0)</f>
        <v>7.2165918860411793E-4</v>
      </c>
      <c r="R46" s="8">
        <f>+VLOOKUP($B46,NIFTY_ENERGY!$B$3:$I$1238,8,0)</f>
        <v>2.0747365115590055E-2</v>
      </c>
      <c r="S46" s="8">
        <f>+VLOOKUP($B46,NIFTY_AUTO!$B$3:$I$1238,8,0)</f>
        <v>1.2344403698156148E-2</v>
      </c>
      <c r="T46" s="8">
        <v>0</v>
      </c>
      <c r="U46" s="8"/>
      <c r="V46" s="8"/>
      <c r="W46" s="8"/>
      <c r="X46" s="8"/>
      <c r="Y46" s="8"/>
      <c r="Z46" s="8"/>
      <c r="AA46" s="8"/>
      <c r="AB46" s="8"/>
      <c r="AC46" s="8"/>
      <c r="AD46" s="16"/>
      <c r="AE46" s="8"/>
      <c r="AF46" s="8"/>
      <c r="AG46" s="8"/>
      <c r="AH46" s="8"/>
      <c r="AI46" s="8"/>
      <c r="AJ46" s="8"/>
      <c r="AK46" s="8"/>
      <c r="AL46" s="8"/>
      <c r="AM46" s="16"/>
      <c r="AN46" s="8"/>
      <c r="AO46" s="8"/>
      <c r="AP46" s="8"/>
      <c r="AQ46" s="8"/>
      <c r="AR46" s="8"/>
      <c r="AS46" s="8"/>
      <c r="AT46" s="8"/>
      <c r="AU46" s="8"/>
      <c r="AV46" s="16"/>
      <c r="AW46" s="8"/>
      <c r="AX46" s="8"/>
      <c r="AY46" s="8"/>
      <c r="AZ46" s="8"/>
      <c r="BA46" s="8"/>
      <c r="BB46" s="8"/>
      <c r="BC46" s="8"/>
      <c r="BD46" s="8"/>
      <c r="BE46" s="8">
        <f t="shared" si="14"/>
        <v>6.4997056800644402E-3</v>
      </c>
    </row>
    <row r="47" spans="1:57" x14ac:dyDescent="0.25">
      <c r="A47" t="str">
        <f t="shared" si="12"/>
        <v/>
      </c>
      <c r="B47" s="1">
        <v>42801</v>
      </c>
      <c r="C47" s="9">
        <f t="shared" si="33"/>
        <v>0.12549788878661025</v>
      </c>
      <c r="D47" s="9">
        <f t="shared" si="25"/>
        <v>0.13170394361974308</v>
      </c>
      <c r="E47" s="9">
        <f t="shared" si="26"/>
        <v>0.11951515058721056</v>
      </c>
      <c r="F47" s="9">
        <f t="shared" si="27"/>
        <v>0.11752342341493266</v>
      </c>
      <c r="G47" s="9">
        <f t="shared" si="28"/>
        <v>0.12405588590723041</v>
      </c>
      <c r="H47" s="9">
        <f t="shared" si="29"/>
        <v>0.13289417847772086</v>
      </c>
      <c r="I47" s="9">
        <f t="shared" si="30"/>
        <v>0.12882755942517976</v>
      </c>
      <c r="J47" s="9">
        <f t="shared" si="31"/>
        <v>0.11998196978137235</v>
      </c>
      <c r="K47" s="9">
        <f t="shared" si="32"/>
        <v>0</v>
      </c>
      <c r="L47" s="8">
        <f>+VLOOKUP($B47,NIFTY_50!$B$3:$I$1238,8,0)</f>
        <v>-1.8463872727577657E-3</v>
      </c>
      <c r="M47" s="8">
        <f>+VLOOKUP($B47,NIFTY_BANK!$B$3:$I$41238,8,0)</f>
        <v>-1.7494489114944223E-3</v>
      </c>
      <c r="N47" s="8">
        <f>+VLOOKUP($B47,NIFTY_IT!$B$3:$I$1238,8,0)</f>
        <v>1.8600897110598869E-3</v>
      </c>
      <c r="O47" s="8">
        <f>+VLOOKUP($B47,NIFTY_PHARMA!$B$3:$I$1238,8,0)</f>
        <v>-4.895009351870705E-3</v>
      </c>
      <c r="P47" s="8">
        <f>+VLOOKUP($B47,NIFTY_FMCG!$B$3:$I$1238,8,0)</f>
        <v>3.5726566721461239E-5</v>
      </c>
      <c r="Q47" s="8">
        <f>+VLOOKUP($B47,NIFTY_METAL!$B$3:$I$1238,8,0)</f>
        <v>-1.7542484479839526E-2</v>
      </c>
      <c r="R47" s="8">
        <f>+VLOOKUP($B47,NIFTY_ENERGY!$B$3:$I$1238,8,0)</f>
        <v>2.9680404866718746E-3</v>
      </c>
      <c r="S47" s="8">
        <f>+VLOOKUP($B47,NIFTY_AUTO!$B$3:$I$1238,8,0)</f>
        <v>-4.7397959183673732E-3</v>
      </c>
      <c r="T47" s="8">
        <v>0</v>
      </c>
      <c r="U47" s="8"/>
      <c r="V47" s="8"/>
      <c r="W47" s="8"/>
      <c r="X47" s="8"/>
      <c r="Y47" s="8"/>
      <c r="Z47" s="8"/>
      <c r="AA47" s="8"/>
      <c r="AB47" s="8"/>
      <c r="AC47" s="8"/>
      <c r="AD47" s="16"/>
      <c r="AE47" s="8"/>
      <c r="AF47" s="8"/>
      <c r="AG47" s="8"/>
      <c r="AH47" s="8"/>
      <c r="AI47" s="8"/>
      <c r="AJ47" s="8"/>
      <c r="AK47" s="8"/>
      <c r="AL47" s="8"/>
      <c r="AM47" s="16"/>
      <c r="AN47" s="8"/>
      <c r="AO47" s="8"/>
      <c r="AP47" s="8"/>
      <c r="AQ47" s="8"/>
      <c r="AR47" s="8"/>
      <c r="AS47" s="8"/>
      <c r="AT47" s="8"/>
      <c r="AU47" s="8"/>
      <c r="AV47" s="16"/>
      <c r="AW47" s="8"/>
      <c r="AX47" s="8"/>
      <c r="AY47" s="8"/>
      <c r="AZ47" s="8"/>
      <c r="BA47" s="8"/>
      <c r="BB47" s="8"/>
      <c r="BC47" s="8"/>
      <c r="BD47" s="8"/>
      <c r="BE47" s="8">
        <f t="shared" si="14"/>
        <v>-3.3664536365644836E-3</v>
      </c>
    </row>
    <row r="48" spans="1:57" x14ac:dyDescent="0.25">
      <c r="A48" t="str">
        <f t="shared" si="12"/>
        <v/>
      </c>
      <c r="B48" s="1">
        <v>42802</v>
      </c>
      <c r="C48" s="9">
        <f t="shared" si="33"/>
        <v>0.12581675427181788</v>
      </c>
      <c r="D48" s="9">
        <f t="shared" si="25"/>
        <v>0.13268772228147421</v>
      </c>
      <c r="E48" s="9">
        <f t="shared" si="26"/>
        <v>0.11945873740475818</v>
      </c>
      <c r="F48" s="9">
        <f t="shared" si="27"/>
        <v>0.11838268220721725</v>
      </c>
      <c r="G48" s="9">
        <f t="shared" si="28"/>
        <v>0.12453069754269767</v>
      </c>
      <c r="H48" s="9">
        <f t="shared" si="29"/>
        <v>0.13100948946132809</v>
      </c>
      <c r="I48" s="9">
        <f t="shared" si="30"/>
        <v>0.12816911009524823</v>
      </c>
      <c r="J48" s="9">
        <f t="shared" si="31"/>
        <v>0.11994480673545847</v>
      </c>
      <c r="K48" s="9">
        <f t="shared" si="32"/>
        <v>0</v>
      </c>
      <c r="L48" s="8">
        <f>+VLOOKUP($B48,NIFTY_50!$B$3:$I$1238,8,0)</f>
        <v>-2.5260145972347825E-3</v>
      </c>
      <c r="M48" s="8">
        <f>+VLOOKUP($B48,NIFTY_BANK!$B$3:$I$41238,8,0)</f>
        <v>2.3778935886558106E-3</v>
      </c>
      <c r="N48" s="8">
        <f>+VLOOKUP($B48,NIFTY_IT!$B$3:$I$1238,8,0)</f>
        <v>-5.5236084488521353E-3</v>
      </c>
      <c r="O48" s="8">
        <f>+VLOOKUP($B48,NIFTY_PHARMA!$B$3:$I$1238,8,0)</f>
        <v>2.220454696095997E-3</v>
      </c>
      <c r="P48" s="8">
        <f>+VLOOKUP($B48,NIFTY_FMCG!$B$3:$I$1238,8,0)</f>
        <v>-1.2459195019893787E-3</v>
      </c>
      <c r="Q48" s="8">
        <f>+VLOOKUP($B48,NIFTY_METAL!$B$3:$I$1238,8,0)</f>
        <v>-1.9164180057125502E-2</v>
      </c>
      <c r="R48" s="8">
        <f>+VLOOKUP($B48,NIFTY_ENERGY!$B$3:$I$1238,8,0)</f>
        <v>-1.0139236295614751E-2</v>
      </c>
      <c r="S48" s="8">
        <f>+VLOOKUP($B48,NIFTY_AUTO!$B$3:$I$1238,8,0)</f>
        <v>-5.3621501914686842E-3</v>
      </c>
      <c r="T48" s="8">
        <v>0</v>
      </c>
      <c r="U48" s="8"/>
      <c r="V48" s="8"/>
      <c r="W48" s="8"/>
      <c r="X48" s="8"/>
      <c r="Y48" s="8"/>
      <c r="Z48" s="8"/>
      <c r="AA48" s="8"/>
      <c r="AB48" s="8"/>
      <c r="AC48" s="8"/>
      <c r="AD48" s="16"/>
      <c r="AE48" s="8"/>
      <c r="AF48" s="8"/>
      <c r="AG48" s="8"/>
      <c r="AH48" s="8"/>
      <c r="AI48" s="8"/>
      <c r="AJ48" s="8"/>
      <c r="AK48" s="8"/>
      <c r="AL48" s="8"/>
      <c r="AM48" s="16"/>
      <c r="AN48" s="8"/>
      <c r="AO48" s="8"/>
      <c r="AP48" s="8"/>
      <c r="AQ48" s="8"/>
      <c r="AR48" s="8"/>
      <c r="AS48" s="8"/>
      <c r="AT48" s="8"/>
      <c r="AU48" s="8"/>
      <c r="AV48" s="16"/>
      <c r="AW48" s="8"/>
      <c r="AX48" s="8"/>
      <c r="AY48" s="8"/>
      <c r="AZ48" s="8"/>
      <c r="BA48" s="8"/>
      <c r="BB48" s="8"/>
      <c r="BC48" s="8"/>
      <c r="BD48" s="8"/>
      <c r="BE48" s="8">
        <f t="shared" si="14"/>
        <v>-5.0539770151038646E-3</v>
      </c>
    </row>
    <row r="49" spans="1:57" x14ac:dyDescent="0.25">
      <c r="A49" t="str">
        <f t="shared" si="12"/>
        <v/>
      </c>
      <c r="B49" s="1">
        <v>42803</v>
      </c>
      <c r="C49" s="9">
        <f t="shared" si="33"/>
        <v>0.12604743759204953</v>
      </c>
      <c r="D49" s="9">
        <f t="shared" si="25"/>
        <v>0.1331787332748243</v>
      </c>
      <c r="E49" s="9">
        <f t="shared" si="26"/>
        <v>0.11947780285753194</v>
      </c>
      <c r="F49" s="9">
        <f t="shared" si="27"/>
        <v>0.1176083500975801</v>
      </c>
      <c r="G49" s="9">
        <f t="shared" si="28"/>
        <v>0.12487074142420959</v>
      </c>
      <c r="H49" s="9">
        <f t="shared" si="29"/>
        <v>0.13032626957708943</v>
      </c>
      <c r="I49" s="9">
        <f t="shared" si="30"/>
        <v>0.12770476020313848</v>
      </c>
      <c r="J49" s="9">
        <f t="shared" si="31"/>
        <v>0.12078590497357659</v>
      </c>
      <c r="K49" s="9">
        <f t="shared" si="32"/>
        <v>0</v>
      </c>
      <c r="L49" s="8">
        <f>+VLOOKUP($B49,NIFTY_50!$B$3:$I$1238,8,0)</f>
        <v>3.0254473740254362E-4</v>
      </c>
      <c r="M49" s="8">
        <f>+VLOOKUP($B49,NIFTY_BANK!$B$3:$I$41238,8,0)</f>
        <v>2.166705760874077E-3</v>
      </c>
      <c r="N49" s="8">
        <f>+VLOOKUP($B49,NIFTY_IT!$B$3:$I$1238,8,0)</f>
        <v>-1.3687851798742656E-3</v>
      </c>
      <c r="O49" s="8">
        <f>+VLOOKUP($B49,NIFTY_PHARMA!$B$3:$I$1238,8,0)</f>
        <v>-8.0590683414665243E-3</v>
      </c>
      <c r="P49" s="8">
        <f>+VLOOKUP($B49,NIFTY_FMCG!$B$3:$I$1238,8,0)</f>
        <v>1.1982902008476071E-3</v>
      </c>
      <c r="Q49" s="8">
        <f>+VLOOKUP($B49,NIFTY_METAL!$B$3:$I$1238,8,0)</f>
        <v>-6.7352118175311171E-3</v>
      </c>
      <c r="R49" s="8">
        <f>+VLOOKUP($B49,NIFTY_ENERGY!$B$3:$I$1238,8,0)</f>
        <v>-5.1455505608171137E-3</v>
      </c>
      <c r="S49" s="8">
        <f>+VLOOKUP($B49,NIFTY_AUTO!$B$3:$I$1238,8,0)</f>
        <v>5.4735214534209486E-3</v>
      </c>
      <c r="T49" s="8">
        <v>0</v>
      </c>
      <c r="U49" s="8"/>
      <c r="V49" s="8"/>
      <c r="W49" s="8"/>
      <c r="X49" s="8"/>
      <c r="Y49" s="8"/>
      <c r="Z49" s="8"/>
      <c r="AA49" s="8"/>
      <c r="AB49" s="8"/>
      <c r="AC49" s="8"/>
      <c r="AD49" s="16"/>
      <c r="AE49" s="8"/>
      <c r="AF49" s="8"/>
      <c r="AG49" s="8"/>
      <c r="AH49" s="8"/>
      <c r="AI49" s="8"/>
      <c r="AJ49" s="8"/>
      <c r="AK49" s="8"/>
      <c r="AL49" s="8"/>
      <c r="AM49" s="16"/>
      <c r="AN49" s="8"/>
      <c r="AO49" s="8"/>
      <c r="AP49" s="8"/>
      <c r="AQ49" s="8"/>
      <c r="AR49" s="8"/>
      <c r="AS49" s="8"/>
      <c r="AT49" s="8"/>
      <c r="AU49" s="8"/>
      <c r="AV49" s="16"/>
      <c r="AW49" s="8"/>
      <c r="AX49" s="8"/>
      <c r="AY49" s="8"/>
      <c r="AZ49" s="8"/>
      <c r="BA49" s="8"/>
      <c r="BB49" s="8"/>
      <c r="BC49" s="8"/>
      <c r="BD49" s="8"/>
      <c r="BE49" s="8">
        <f t="shared" si="14"/>
        <v>-1.5281399370692614E-3</v>
      </c>
    </row>
    <row r="50" spans="1:57" x14ac:dyDescent="0.25">
      <c r="A50" t="str">
        <f t="shared" si="12"/>
        <v/>
      </c>
      <c r="B50" s="1">
        <v>42804</v>
      </c>
      <c r="C50" s="9">
        <f t="shared" si="33"/>
        <v>0.12630338795579527</v>
      </c>
      <c r="D50" s="9">
        <f t="shared" si="25"/>
        <v>0.13337629061271231</v>
      </c>
      <c r="E50" s="9">
        <f t="shared" si="26"/>
        <v>0.11989919975921522</v>
      </c>
      <c r="F50" s="9">
        <f t="shared" si="27"/>
        <v>0.11740327663005198</v>
      </c>
      <c r="G50" s="9">
        <f t="shared" si="28"/>
        <v>0.1247380132944504</v>
      </c>
      <c r="H50" s="9">
        <f t="shared" si="29"/>
        <v>0.12970904947573042</v>
      </c>
      <c r="I50" s="9">
        <f t="shared" si="30"/>
        <v>0.12733319034279378</v>
      </c>
      <c r="J50" s="9">
        <f t="shared" si="31"/>
        <v>0.12123759192925068</v>
      </c>
      <c r="K50" s="9">
        <f t="shared" si="32"/>
        <v>0</v>
      </c>
      <c r="L50" s="8">
        <f>+VLOOKUP($B50,NIFTY_50!$B$3:$I$1238,8,0)</f>
        <v>8.457488517978895E-4</v>
      </c>
      <c r="M50" s="8">
        <f>+VLOOKUP($B50,NIFTY_BANK!$B$3:$I$41238,8,0)</f>
        <v>2.9920830447816016E-4</v>
      </c>
      <c r="N50" s="8">
        <f>+VLOOKUP($B50,NIFTY_IT!$B$3:$I$1238,8,0)</f>
        <v>2.3403808946595994E-3</v>
      </c>
      <c r="O50" s="8">
        <f>+VLOOKUP($B50,NIFTY_PHARMA!$B$3:$I$1238,8,0)</f>
        <v>-2.92407408289308E-3</v>
      </c>
      <c r="P50" s="8">
        <f>+VLOOKUP($B50,NIFTY_FMCG!$B$3:$I$1238,8,0)</f>
        <v>-2.2441050375133775E-3</v>
      </c>
      <c r="Q50" s="8">
        <f>+VLOOKUP($B50,NIFTY_METAL!$B$3:$I$1238,8,0)</f>
        <v>-5.9127985062402688E-3</v>
      </c>
      <c r="R50" s="8">
        <f>+VLOOKUP($B50,NIFTY_ENERGY!$B$3:$I$1238,8,0)</f>
        <v>-4.0885979881639667E-3</v>
      </c>
      <c r="S50" s="8">
        <f>+VLOOKUP($B50,NIFTY_AUTO!$B$3:$I$1238,8,0)</f>
        <v>2.5527072536868367E-3</v>
      </c>
      <c r="T50" s="8">
        <v>0</v>
      </c>
      <c r="U50" s="8"/>
      <c r="V50" s="8"/>
      <c r="W50" s="8"/>
      <c r="X50" s="8"/>
      <c r="Y50" s="8"/>
      <c r="Z50" s="8"/>
      <c r="AA50" s="8"/>
      <c r="AB50" s="8"/>
      <c r="AC50" s="8"/>
      <c r="AD50" s="16"/>
      <c r="AE50" s="8"/>
      <c r="AF50" s="8"/>
      <c r="AG50" s="8"/>
      <c r="AH50" s="8"/>
      <c r="AI50" s="8"/>
      <c r="AJ50" s="8"/>
      <c r="AK50" s="8"/>
      <c r="AL50" s="8"/>
      <c r="AM50" s="16"/>
      <c r="AN50" s="8"/>
      <c r="AO50" s="8"/>
      <c r="AP50" s="8"/>
      <c r="AQ50" s="8"/>
      <c r="AR50" s="8"/>
      <c r="AS50" s="8"/>
      <c r="AT50" s="8"/>
      <c r="AU50" s="8"/>
      <c r="AV50" s="16"/>
      <c r="AW50" s="8"/>
      <c r="AX50" s="8"/>
      <c r="AY50" s="8"/>
      <c r="AZ50" s="8"/>
      <c r="BA50" s="8"/>
      <c r="BB50" s="8"/>
      <c r="BC50" s="8"/>
      <c r="BD50" s="8"/>
      <c r="BE50" s="8">
        <f t="shared" si="14"/>
        <v>-1.1824377045409405E-3</v>
      </c>
    </row>
    <row r="51" spans="1:57" x14ac:dyDescent="0.25">
      <c r="A51" t="str">
        <f t="shared" si="12"/>
        <v/>
      </c>
      <c r="B51" s="1">
        <v>42808</v>
      </c>
      <c r="C51" s="9">
        <f t="shared" si="33"/>
        <v>0.12684262067730362</v>
      </c>
      <c r="D51" s="9">
        <f t="shared" si="25"/>
        <v>0.13408217620315144</v>
      </c>
      <c r="E51" s="9">
        <f t="shared" si="26"/>
        <v>0.11981610535337382</v>
      </c>
      <c r="F51" s="9">
        <f t="shared" si="27"/>
        <v>0.11791645843864006</v>
      </c>
      <c r="G51" s="9">
        <f t="shared" si="28"/>
        <v>0.12538514009600341</v>
      </c>
      <c r="H51" s="9">
        <f t="shared" si="29"/>
        <v>0.12796981724967618</v>
      </c>
      <c r="I51" s="9">
        <f t="shared" si="30"/>
        <v>0.12666966628402612</v>
      </c>
      <c r="J51" s="9">
        <f t="shared" si="31"/>
        <v>0.12131801569782538</v>
      </c>
      <c r="K51" s="9">
        <f t="shared" si="32"/>
        <v>0</v>
      </c>
      <c r="L51" s="8">
        <f>+VLOOKUP($B51,NIFTY_50!$B$3:$I$1238,8,0)</f>
        <v>1.7062974632186423E-2</v>
      </c>
      <c r="M51" s="8">
        <f>+VLOOKUP($B51,NIFTY_BANK!$B$3:$I$41238,8,0)</f>
        <v>1.8099099990109835E-2</v>
      </c>
      <c r="N51" s="8">
        <f>+VLOOKUP($B51,NIFTY_IT!$B$3:$I$1238,8,0)</f>
        <v>1.2037377265729177E-2</v>
      </c>
      <c r="O51" s="8">
        <f>+VLOOKUP($B51,NIFTY_PHARMA!$B$3:$I$1238,8,0)</f>
        <v>1.7166029030362795E-2</v>
      </c>
      <c r="P51" s="8">
        <f>+VLOOKUP($B51,NIFTY_FMCG!$B$3:$I$1238,8,0)</f>
        <v>1.7993218973446634E-2</v>
      </c>
      <c r="Q51" s="8">
        <f>+VLOOKUP($B51,NIFTY_METAL!$B$3:$I$1238,8,0)</f>
        <v>-8.4029459740009305E-4</v>
      </c>
      <c r="R51" s="8">
        <f>+VLOOKUP($B51,NIFTY_ENERGY!$B$3:$I$1238,8,0)</f>
        <v>7.4619304992091795E-3</v>
      </c>
      <c r="S51" s="8">
        <f>+VLOOKUP($B51,NIFTY_AUTO!$B$3:$I$1238,8,0)</f>
        <v>1.3411048904568235E-2</v>
      </c>
      <c r="T51" s="8">
        <v>0</v>
      </c>
      <c r="U51" s="8"/>
      <c r="V51" s="8"/>
      <c r="W51" s="8"/>
      <c r="X51" s="8"/>
      <c r="Y51" s="8"/>
      <c r="Z51" s="8"/>
      <c r="AA51" s="8"/>
      <c r="AB51" s="8"/>
      <c r="AC51" s="8"/>
      <c r="AD51" s="16"/>
      <c r="AE51" s="8"/>
      <c r="AF51" s="8"/>
      <c r="AG51" s="8"/>
      <c r="AH51" s="8"/>
      <c r="AI51" s="8"/>
      <c r="AJ51" s="8"/>
      <c r="AK51" s="8"/>
      <c r="AL51" s="8"/>
      <c r="AM51" s="16"/>
      <c r="AN51" s="8"/>
      <c r="AO51" s="8"/>
      <c r="AP51" s="8"/>
      <c r="AQ51" s="8"/>
      <c r="AR51" s="8"/>
      <c r="AS51" s="8"/>
      <c r="AT51" s="8"/>
      <c r="AU51" s="8"/>
      <c r="AV51" s="16"/>
      <c r="AW51" s="8"/>
      <c r="AX51" s="8"/>
      <c r="AY51" s="8"/>
      <c r="AZ51" s="8"/>
      <c r="BA51" s="8"/>
      <c r="BB51" s="8"/>
      <c r="BC51" s="8"/>
      <c r="BD51" s="8"/>
      <c r="BE51" s="8">
        <f t="shared" si="14"/>
        <v>1.2739241546037401E-2</v>
      </c>
    </row>
    <row r="52" spans="1:57" x14ac:dyDescent="0.25">
      <c r="A52" t="str">
        <f t="shared" si="12"/>
        <v/>
      </c>
      <c r="B52" s="1">
        <v>42809</v>
      </c>
      <c r="C52" s="9">
        <f t="shared" ref="C52:C63" si="34">C51*(1+L52)/SUMPRODUCT($C51:$K51,1+$L52:$T52)</f>
        <v>0.12671519086780036</v>
      </c>
      <c r="D52" s="9">
        <f t="shared" ref="D52:D63" si="35">D51*(1+M52)/SUMPRODUCT($C51:$K51,1+$L52:$T52)</f>
        <v>0.13433037224975383</v>
      </c>
      <c r="E52" s="9">
        <f t="shared" ref="E52:E63" si="36">E51*(1+N52)/SUMPRODUCT($C51:$K51,1+$L52:$T52)</f>
        <v>0.11771413087746108</v>
      </c>
      <c r="F52" s="9">
        <f t="shared" ref="F52:F63" si="37">F51*(1+O52)/SUMPRODUCT($C51:$K51,1+$L52:$T52)</f>
        <v>0.11808103003199488</v>
      </c>
      <c r="G52" s="9">
        <f t="shared" ref="G52:G63" si="38">G51*(1+P52)/SUMPRODUCT($C51:$K51,1+$L52:$T52)</f>
        <v>0.12556163959630684</v>
      </c>
      <c r="H52" s="9">
        <f t="shared" ref="H52:H63" si="39">H51*(1+Q52)/SUMPRODUCT($C51:$K51,1+$L52:$T52)</f>
        <v>0.12847950204923389</v>
      </c>
      <c r="I52" s="9">
        <f t="shared" ref="I52:I63" si="40">I51*(1+R52)/SUMPRODUCT($C51:$K51,1+$L52:$T52)</f>
        <v>0.12694771559411328</v>
      </c>
      <c r="J52" s="9">
        <f t="shared" ref="J52:J63" si="41">J51*(1+S52)/SUMPRODUCT($C51:$K51,1+$L52:$T52)</f>
        <v>0.12217041873333588</v>
      </c>
      <c r="K52" s="9">
        <f t="shared" ref="K52:K63" si="42">K51*(1+T52)/SUMPRODUCT($C51:$K51,1+$L52:$T52)</f>
        <v>0</v>
      </c>
      <c r="L52" s="8">
        <f>+VLOOKUP($B52,NIFTY_50!$B$3:$I$1238,8,0)</f>
        <v>-2.4210410476510624E-4</v>
      </c>
      <c r="M52" s="8">
        <f>+VLOOKUP($B52,NIFTY_BANK!$B$3:$I$41238,8,0)</f>
        <v>2.615779023537268E-3</v>
      </c>
      <c r="N52" s="8">
        <f>+VLOOKUP($B52,NIFTY_IT!$B$3:$I$1238,8,0)</f>
        <v>-1.679343704759062E-2</v>
      </c>
      <c r="O52" s="8">
        <f>+VLOOKUP($B52,NIFTY_PHARMA!$B$3:$I$1238,8,0)</f>
        <v>2.1600199097486783E-3</v>
      </c>
      <c r="P52" s="8">
        <f>+VLOOKUP($B52,NIFTY_FMCG!$B$3:$I$1238,8,0)</f>
        <v>2.1720252816708197E-3</v>
      </c>
      <c r="Q52" s="8">
        <f>+VLOOKUP($B52,NIFTY_METAL!$B$3:$I$1238,8,0)</f>
        <v>4.7491837340456478E-3</v>
      </c>
      <c r="R52" s="8">
        <f>+VLOOKUP($B52,NIFTY_ENERGY!$B$3:$I$1238,8,0)</f>
        <v>2.9600416242190342E-3</v>
      </c>
      <c r="S52" s="8">
        <f>+VLOOKUP($B52,NIFTY_AUTO!$B$3:$I$1238,8,0)</f>
        <v>7.7948417823701099E-3</v>
      </c>
      <c r="T52" s="8">
        <v>0</v>
      </c>
      <c r="U52" s="8"/>
      <c r="V52" s="8"/>
      <c r="W52" s="8"/>
      <c r="X52" s="8"/>
      <c r="Y52" s="8"/>
      <c r="Z52" s="8"/>
      <c r="AA52" s="8"/>
      <c r="AB52" s="8"/>
      <c r="AC52" s="8"/>
      <c r="AD52" s="16"/>
      <c r="AE52" s="8"/>
      <c r="AF52" s="8"/>
      <c r="AG52" s="8"/>
      <c r="AH52" s="8"/>
      <c r="AI52" s="8"/>
      <c r="AJ52" s="8"/>
      <c r="AK52" s="8"/>
      <c r="AL52" s="8"/>
      <c r="AM52" s="16"/>
      <c r="AN52" s="8"/>
      <c r="AO52" s="8"/>
      <c r="AP52" s="8"/>
      <c r="AQ52" s="8"/>
      <c r="AR52" s="8"/>
      <c r="AS52" s="8"/>
      <c r="AT52" s="8"/>
      <c r="AU52" s="8"/>
      <c r="AV52" s="16"/>
      <c r="AW52" s="8"/>
      <c r="AX52" s="8"/>
      <c r="AY52" s="8"/>
      <c r="AZ52" s="8"/>
      <c r="BA52" s="8"/>
      <c r="BB52" s="8"/>
      <c r="BC52" s="8"/>
      <c r="BD52" s="8"/>
      <c r="BE52" s="8">
        <f t="shared" si="14"/>
        <v>7.6329199140004597E-4</v>
      </c>
    </row>
    <row r="53" spans="1:57" x14ac:dyDescent="0.25">
      <c r="A53" t="str">
        <f t="shared" si="12"/>
        <v/>
      </c>
      <c r="B53" s="1">
        <v>42810</v>
      </c>
      <c r="C53" s="9">
        <f t="shared" si="34"/>
        <v>0.12648462990454679</v>
      </c>
      <c r="D53" s="9">
        <f t="shared" si="35"/>
        <v>0.13365534057843093</v>
      </c>
      <c r="E53" s="9">
        <f t="shared" si="36"/>
        <v>0.11798429061944984</v>
      </c>
      <c r="F53" s="9">
        <f t="shared" si="37"/>
        <v>0.11763838001018477</v>
      </c>
      <c r="G53" s="9">
        <f t="shared" si="38"/>
        <v>0.1250026517614575</v>
      </c>
      <c r="H53" s="9">
        <f t="shared" si="39"/>
        <v>0.13100086428764296</v>
      </c>
      <c r="I53" s="9">
        <f t="shared" si="40"/>
        <v>0.12636929717622014</v>
      </c>
      <c r="J53" s="9">
        <f t="shared" si="41"/>
        <v>0.12186454566206704</v>
      </c>
      <c r="K53" s="9">
        <f t="shared" si="42"/>
        <v>0</v>
      </c>
      <c r="L53" s="8">
        <f>+VLOOKUP($B53,NIFTY_50!$B$3:$I$1238,8,0)</f>
        <v>7.5840965128568527E-3</v>
      </c>
      <c r="M53" s="8">
        <f>+VLOOKUP($B53,NIFTY_BANK!$B$3:$I$41238,8,0)</f>
        <v>4.3482576248115024E-3</v>
      </c>
      <c r="N53" s="8">
        <f>+VLOOKUP($B53,NIFTY_IT!$B$3:$I$1238,8,0)</f>
        <v>1.17374293580641E-2</v>
      </c>
      <c r="O53" s="8">
        <f>+VLOOKUP($B53,NIFTY_PHARMA!$B$3:$I$1238,8,0)</f>
        <v>5.6367461496291682E-3</v>
      </c>
      <c r="P53" s="8">
        <f>+VLOOKUP($B53,NIFTY_FMCG!$B$3:$I$1238,8,0)</f>
        <v>4.9269188330705038E-3</v>
      </c>
      <c r="Q53" s="8">
        <f>+VLOOKUP($B53,NIFTY_METAL!$B$3:$I$1238,8,0)</f>
        <v>2.923026423764985E-2</v>
      </c>
      <c r="R53" s="8">
        <f>+VLOOKUP($B53,NIFTY_ENERGY!$B$3:$I$1238,8,0)</f>
        <v>4.8214830637778316E-3</v>
      </c>
      <c r="S53" s="8">
        <f>+VLOOKUP($B53,NIFTY_AUTO!$B$3:$I$1238,8,0)</f>
        <v>6.8935134891592309E-3</v>
      </c>
      <c r="T53" s="8">
        <v>0</v>
      </c>
      <c r="U53" s="8"/>
      <c r="V53" s="8"/>
      <c r="W53" s="8"/>
      <c r="X53" s="8"/>
      <c r="Y53" s="8"/>
      <c r="Z53" s="8"/>
      <c r="AA53" s="8"/>
      <c r="AB53" s="8"/>
      <c r="AC53" s="8"/>
      <c r="AD53" s="16"/>
      <c r="AE53" s="8"/>
      <c r="AF53" s="8"/>
      <c r="AG53" s="8"/>
      <c r="AH53" s="8"/>
      <c r="AI53" s="8"/>
      <c r="AJ53" s="8"/>
      <c r="AK53" s="8"/>
      <c r="AL53" s="8"/>
      <c r="AM53" s="16"/>
      <c r="AN53" s="8"/>
      <c r="AO53" s="8"/>
      <c r="AP53" s="8"/>
      <c r="AQ53" s="8"/>
      <c r="AR53" s="8"/>
      <c r="AS53" s="8"/>
      <c r="AT53" s="8"/>
      <c r="AU53" s="8"/>
      <c r="AV53" s="16"/>
      <c r="AW53" s="8"/>
      <c r="AX53" s="8"/>
      <c r="AY53" s="8"/>
      <c r="AZ53" s="8"/>
      <c r="BA53" s="8"/>
      <c r="BB53" s="8"/>
      <c r="BC53" s="8"/>
      <c r="BD53" s="8"/>
      <c r="BE53" s="8">
        <f t="shared" si="14"/>
        <v>9.4207588806582629E-3</v>
      </c>
    </row>
    <row r="54" spans="1:57" x14ac:dyDescent="0.25">
      <c r="A54" t="str">
        <f t="shared" si="12"/>
        <v/>
      </c>
      <c r="B54" s="1">
        <v>42811</v>
      </c>
      <c r="C54" s="9">
        <f t="shared" si="34"/>
        <v>0.1263531783568036</v>
      </c>
      <c r="D54" s="9">
        <f t="shared" si="35"/>
        <v>0.13295391124135439</v>
      </c>
      <c r="E54" s="9">
        <f t="shared" si="36"/>
        <v>0.11863593838337191</v>
      </c>
      <c r="F54" s="9">
        <f t="shared" si="37"/>
        <v>0.11681909648606981</v>
      </c>
      <c r="G54" s="9">
        <f t="shared" si="38"/>
        <v>0.12797754407794118</v>
      </c>
      <c r="H54" s="9">
        <f t="shared" si="39"/>
        <v>0.13043825975028431</v>
      </c>
      <c r="I54" s="9">
        <f t="shared" si="40"/>
        <v>0.12573833696388534</v>
      </c>
      <c r="J54" s="9">
        <f t="shared" si="41"/>
        <v>0.1210837347402897</v>
      </c>
      <c r="K54" s="9">
        <f t="shared" si="42"/>
        <v>0</v>
      </c>
      <c r="L54" s="8">
        <f>+VLOOKUP($B54,NIFTY_50!$B$3:$I$1238,8,0)</f>
        <v>6.9370855501027506E-4</v>
      </c>
      <c r="M54" s="8">
        <f>+VLOOKUP($B54,NIFTY_BANK!$B$3:$I$41238,8,0)</f>
        <v>-3.5223695170331082E-3</v>
      </c>
      <c r="N54" s="8">
        <f>+VLOOKUP($B54,NIFTY_IT!$B$3:$I$1238,8,0)</f>
        <v>7.267535875661757E-3</v>
      </c>
      <c r="O54" s="8">
        <f>+VLOOKUP($B54,NIFTY_PHARMA!$B$3:$I$1238,8,0)</f>
        <v>-5.2417250633666201E-3</v>
      </c>
      <c r="P54" s="8">
        <f>+VLOOKUP($B54,NIFTY_FMCG!$B$3:$I$1238,8,0)</f>
        <v>2.5574699471086593E-2</v>
      </c>
      <c r="Q54" s="8">
        <f>+VLOOKUP($B54,NIFTY_METAL!$B$3:$I$1238,8,0)</f>
        <v>-2.567332684855983E-3</v>
      </c>
      <c r="R54" s="8">
        <f>+VLOOKUP($B54,NIFTY_ENERGY!$B$3:$I$1238,8,0)</f>
        <v>-3.266867971678411E-3</v>
      </c>
      <c r="S54" s="8">
        <f>+VLOOKUP($B54,NIFTY_AUTO!$B$3:$I$1238,8,0)</f>
        <v>-4.6835380102421276E-3</v>
      </c>
      <c r="T54" s="8">
        <v>0</v>
      </c>
      <c r="U54" s="8"/>
      <c r="V54" s="8"/>
      <c r="W54" s="8"/>
      <c r="X54" s="8"/>
      <c r="Y54" s="8"/>
      <c r="Z54" s="8"/>
      <c r="AA54" s="8"/>
      <c r="AB54" s="8"/>
      <c r="AC54" s="8"/>
      <c r="AD54" s="16"/>
      <c r="AE54" s="8"/>
      <c r="AF54" s="8"/>
      <c r="AG54" s="8"/>
      <c r="AH54" s="8"/>
      <c r="AI54" s="8"/>
      <c r="AJ54" s="8"/>
      <c r="AK54" s="8"/>
      <c r="AL54" s="8"/>
      <c r="AM54" s="16"/>
      <c r="AN54" s="8"/>
      <c r="AO54" s="8"/>
      <c r="AP54" s="8"/>
      <c r="AQ54" s="8"/>
      <c r="AR54" s="8"/>
      <c r="AS54" s="8"/>
      <c r="AT54" s="8"/>
      <c r="AU54" s="8"/>
      <c r="AV54" s="16"/>
      <c r="AW54" s="8"/>
      <c r="AX54" s="8"/>
      <c r="AY54" s="8"/>
      <c r="AZ54" s="8"/>
      <c r="BA54" s="8"/>
      <c r="BB54" s="8"/>
      <c r="BC54" s="8"/>
      <c r="BD54" s="8"/>
      <c r="BE54" s="8">
        <f t="shared" si="14"/>
        <v>1.7347804023285084E-3</v>
      </c>
    </row>
    <row r="55" spans="1:57" x14ac:dyDescent="0.25">
      <c r="A55" t="str">
        <f t="shared" si="12"/>
        <v/>
      </c>
      <c r="B55" s="1">
        <v>42814</v>
      </c>
      <c r="C55" s="9">
        <f t="shared" si="34"/>
        <v>0.12622809285692657</v>
      </c>
      <c r="D55" s="9">
        <f t="shared" si="35"/>
        <v>0.13289750604229814</v>
      </c>
      <c r="E55" s="9">
        <f t="shared" si="36"/>
        <v>0.11759652257064168</v>
      </c>
      <c r="F55" s="9">
        <f t="shared" si="37"/>
        <v>0.11751913194535511</v>
      </c>
      <c r="G55" s="9">
        <f t="shared" si="38"/>
        <v>0.12836508372359076</v>
      </c>
      <c r="H55" s="9">
        <f t="shared" si="39"/>
        <v>0.13074550964177506</v>
      </c>
      <c r="I55" s="9">
        <f t="shared" si="40"/>
        <v>0.12524547988424856</v>
      </c>
      <c r="J55" s="9">
        <f t="shared" si="41"/>
        <v>0.12140267333516416</v>
      </c>
      <c r="K55" s="9">
        <f t="shared" si="42"/>
        <v>0</v>
      </c>
      <c r="L55" s="8">
        <f>+VLOOKUP($B55,NIFTY_50!$B$3:$I$1238,8,0)</f>
        <v>-3.6244343644411536E-3</v>
      </c>
      <c r="M55" s="8">
        <f>+VLOOKUP($B55,NIFTY_BANK!$B$3:$I$41238,8,0)</f>
        <v>-3.0602052887713782E-3</v>
      </c>
      <c r="N55" s="8">
        <f>+VLOOKUP($B55,NIFTY_IT!$B$3:$I$1238,8,0)</f>
        <v>-1.1375364080453143E-2</v>
      </c>
      <c r="O55" s="8">
        <f>+VLOOKUP($B55,NIFTY_PHARMA!$B$3:$I$1238,8,0)</f>
        <v>3.3395940964593418E-3</v>
      </c>
      <c r="P55" s="8">
        <f>+VLOOKUP($B55,NIFTY_FMCG!$B$3:$I$1238,8,0)</f>
        <v>3.831213749800888E-4</v>
      </c>
      <c r="Q55" s="8">
        <f>+VLOOKUP($B55,NIFTY_METAL!$B$3:$I$1238,8,0)</f>
        <v>-2.8776978417266452E-4</v>
      </c>
      <c r="R55" s="8">
        <f>+VLOOKUP($B55,NIFTY_ENERGY!$B$3:$I$1238,8,0)</f>
        <v>-6.5464453759199737E-3</v>
      </c>
      <c r="S55" s="8">
        <f>+VLOOKUP($B55,NIFTY_AUTO!$B$3:$I$1238,8,0)</f>
        <v>-9.9906088277812444E-6</v>
      </c>
      <c r="T55" s="8">
        <v>0</v>
      </c>
      <c r="U55" s="8"/>
      <c r="V55" s="8"/>
      <c r="W55" s="8"/>
      <c r="X55" s="8"/>
      <c r="Y55" s="8"/>
      <c r="Z55" s="8"/>
      <c r="AA55" s="8"/>
      <c r="AB55" s="8"/>
      <c r="AC55" s="8"/>
      <c r="AD55" s="16"/>
      <c r="AE55" s="8"/>
      <c r="AF55" s="8"/>
      <c r="AG55" s="8"/>
      <c r="AH55" s="8"/>
      <c r="AI55" s="8"/>
      <c r="AJ55" s="8"/>
      <c r="AK55" s="8"/>
      <c r="AL55" s="8"/>
      <c r="AM55" s="16"/>
      <c r="AN55" s="8"/>
      <c r="AO55" s="8"/>
      <c r="AP55" s="8"/>
      <c r="AQ55" s="8"/>
      <c r="AR55" s="8"/>
      <c r="AS55" s="8"/>
      <c r="AT55" s="8"/>
      <c r="AU55" s="8"/>
      <c r="AV55" s="16"/>
      <c r="AW55" s="8"/>
      <c r="AX55" s="8"/>
      <c r="AY55" s="8"/>
      <c r="AZ55" s="8"/>
      <c r="BA55" s="8"/>
      <c r="BB55" s="8"/>
      <c r="BC55" s="8"/>
      <c r="BD55" s="8"/>
      <c r="BE55" s="8">
        <f t="shared" si="14"/>
        <v>-2.637077803219636E-3</v>
      </c>
    </row>
    <row r="56" spans="1:57" x14ac:dyDescent="0.25">
      <c r="A56" t="str">
        <f t="shared" si="12"/>
        <v/>
      </c>
      <c r="B56" s="1">
        <v>42815</v>
      </c>
      <c r="C56" s="9">
        <f t="shared" si="34"/>
        <v>0.12649929855095857</v>
      </c>
      <c r="D56" s="9">
        <f t="shared" si="35"/>
        <v>0.13268512926630655</v>
      </c>
      <c r="E56" s="9">
        <f t="shared" si="36"/>
        <v>0.11803264770198878</v>
      </c>
      <c r="F56" s="9">
        <f t="shared" si="37"/>
        <v>0.11545486429576823</v>
      </c>
      <c r="G56" s="9">
        <f t="shared" si="38"/>
        <v>0.13033978378658836</v>
      </c>
      <c r="H56" s="9">
        <f t="shared" si="39"/>
        <v>0.13080136425756442</v>
      </c>
      <c r="I56" s="9">
        <f t="shared" si="40"/>
        <v>0.12500602897493079</v>
      </c>
      <c r="J56" s="9">
        <f t="shared" si="41"/>
        <v>0.12118088316589436</v>
      </c>
      <c r="K56" s="9">
        <f t="shared" si="42"/>
        <v>0</v>
      </c>
      <c r="L56" s="8">
        <f>+VLOOKUP($B56,NIFTY_50!$B$3:$I$1238,8,0)</f>
        <v>-5.861825273780763E-4</v>
      </c>
      <c r="M56" s="8">
        <f>+VLOOKUP($B56,NIFTY_BANK!$B$3:$I$41238,8,0)</f>
        <v>-4.3225447353774094E-3</v>
      </c>
      <c r="N56" s="8">
        <f>+VLOOKUP($B56,NIFTY_IT!$B$3:$I$1238,8,0)</f>
        <v>9.6968009836007063E-4</v>
      </c>
      <c r="O56" s="8">
        <f>+VLOOKUP($B56,NIFTY_PHARMA!$B$3:$I$1238,8,0)</f>
        <v>-2.0246298059865997E-2</v>
      </c>
      <c r="P56" s="8">
        <f>+VLOOKUP($B56,NIFTY_FMCG!$B$3:$I$1238,8,0)</f>
        <v>1.2612631780513084E-2</v>
      </c>
      <c r="Q56" s="8">
        <f>+VLOOKUP($B56,NIFTY_METAL!$B$3:$I$1238,8,0)</f>
        <v>-2.3028209556706924E-3</v>
      </c>
      <c r="R56" s="8">
        <f>+VLOOKUP($B56,NIFTY_ENERGY!$B$3:$I$1238,8,0)</f>
        <v>-4.6354917433042431E-3</v>
      </c>
      <c r="S56" s="8">
        <f>+VLOOKUP($B56,NIFTY_AUTO!$B$3:$I$1238,8,0)</f>
        <v>-4.5507677859589757E-3</v>
      </c>
      <c r="T56" s="8">
        <v>0</v>
      </c>
      <c r="U56" s="8"/>
      <c r="V56" s="8"/>
      <c r="W56" s="8"/>
      <c r="X56" s="8"/>
      <c r="Y56" s="8"/>
      <c r="Z56" s="8"/>
      <c r="AA56" s="8"/>
      <c r="AB56" s="8"/>
      <c r="AC56" s="8"/>
      <c r="AD56" s="16"/>
      <c r="AE56" s="8"/>
      <c r="AF56" s="8"/>
      <c r="AG56" s="8"/>
      <c r="AH56" s="8"/>
      <c r="AI56" s="8"/>
      <c r="AJ56" s="8"/>
      <c r="AK56" s="8"/>
      <c r="AL56" s="8"/>
      <c r="AM56" s="16"/>
      <c r="AN56" s="8"/>
      <c r="AO56" s="8"/>
      <c r="AP56" s="8"/>
      <c r="AQ56" s="8"/>
      <c r="AR56" s="8"/>
      <c r="AS56" s="8"/>
      <c r="AT56" s="8"/>
      <c r="AU56" s="8"/>
      <c r="AV56" s="16"/>
      <c r="AW56" s="8"/>
      <c r="AX56" s="8"/>
      <c r="AY56" s="8"/>
      <c r="AZ56" s="8"/>
      <c r="BA56" s="8"/>
      <c r="BB56" s="8"/>
      <c r="BC56" s="8"/>
      <c r="BD56" s="8"/>
      <c r="BE56" s="8">
        <f t="shared" si="14"/>
        <v>-2.7288562109293066E-3</v>
      </c>
    </row>
    <row r="57" spans="1:57" x14ac:dyDescent="0.25">
      <c r="A57" t="str">
        <f t="shared" si="12"/>
        <v/>
      </c>
      <c r="B57" s="1">
        <v>42816</v>
      </c>
      <c r="C57" s="9">
        <f t="shared" si="34"/>
        <v>0.12635952474717568</v>
      </c>
      <c r="D57" s="9">
        <f t="shared" si="35"/>
        <v>0.13236119976907784</v>
      </c>
      <c r="E57" s="9">
        <f t="shared" si="36"/>
        <v>0.11904792850379241</v>
      </c>
      <c r="F57" s="9">
        <f t="shared" si="37"/>
        <v>0.11667658272075987</v>
      </c>
      <c r="G57" s="9">
        <f t="shared" si="38"/>
        <v>0.12926532933448556</v>
      </c>
      <c r="H57" s="9">
        <f t="shared" si="39"/>
        <v>0.13027131241112658</v>
      </c>
      <c r="I57" s="9">
        <f t="shared" si="40"/>
        <v>0.12571161610586323</v>
      </c>
      <c r="J57" s="9">
        <f t="shared" si="41"/>
        <v>0.12030650640771884</v>
      </c>
      <c r="K57" s="9">
        <f t="shared" si="42"/>
        <v>0</v>
      </c>
      <c r="L57" s="8">
        <f>+VLOOKUP($B57,NIFTY_50!$B$3:$I$1238,8,0)</f>
        <v>-9.9819108699226167E-3</v>
      </c>
      <c r="M57" s="8">
        <f>+VLOOKUP($B57,NIFTY_BANK!$B$3:$I$41238,8,0)</f>
        <v>-1.1306437033160588E-2</v>
      </c>
      <c r="N57" s="8">
        <f>+VLOOKUP($B57,NIFTY_IT!$B$3:$I$1238,8,0)</f>
        <v>-3.6153960249196704E-4</v>
      </c>
      <c r="O57" s="8">
        <f>+VLOOKUP($B57,NIFTY_PHARMA!$B$3:$I$1238,8,0)</f>
        <v>1.6009529481832985E-3</v>
      </c>
      <c r="P57" s="8">
        <f>+VLOOKUP($B57,NIFTY_FMCG!$B$3:$I$1238,8,0)</f>
        <v>-1.705702273219134E-2</v>
      </c>
      <c r="Q57" s="8">
        <f>+VLOOKUP($B57,NIFTY_METAL!$B$3:$I$1238,8,0)</f>
        <v>-1.2903122395332423E-2</v>
      </c>
      <c r="R57" s="8">
        <f>+VLOOKUP($B57,NIFTY_ENERGY!$B$3:$I$1238,8,0)</f>
        <v>-3.292528864649702E-3</v>
      </c>
      <c r="S57" s="8">
        <f>+VLOOKUP($B57,NIFTY_AUTO!$B$3:$I$1238,8,0)</f>
        <v>-1.6038138251160405E-2</v>
      </c>
      <c r="T57" s="8">
        <v>0</v>
      </c>
      <c r="U57" s="8"/>
      <c r="V57" s="8"/>
      <c r="W57" s="8"/>
      <c r="X57" s="8"/>
      <c r="Y57" s="8"/>
      <c r="Z57" s="8"/>
      <c r="AA57" s="8"/>
      <c r="AB57" s="8"/>
      <c r="AC57" s="8"/>
      <c r="AD57" s="16"/>
      <c r="AE57" s="8"/>
      <c r="AF57" s="8"/>
      <c r="AG57" s="8"/>
      <c r="AH57" s="8"/>
      <c r="AI57" s="8"/>
      <c r="AJ57" s="8"/>
      <c r="AK57" s="8"/>
      <c r="AL57" s="8"/>
      <c r="AM57" s="16"/>
      <c r="AN57" s="8"/>
      <c r="AO57" s="8"/>
      <c r="AP57" s="8"/>
      <c r="AQ57" s="8"/>
      <c r="AR57" s="8"/>
      <c r="AS57" s="8"/>
      <c r="AT57" s="8"/>
      <c r="AU57" s="8"/>
      <c r="AV57" s="16"/>
      <c r="AW57" s="8"/>
      <c r="AX57" s="8"/>
      <c r="AY57" s="8"/>
      <c r="AZ57" s="8"/>
      <c r="BA57" s="8"/>
      <c r="BB57" s="8"/>
      <c r="BC57" s="8"/>
      <c r="BD57" s="8"/>
      <c r="BE57" s="8">
        <f t="shared" si="14"/>
        <v>-8.8867928374005874E-3</v>
      </c>
    </row>
    <row r="58" spans="1:57" x14ac:dyDescent="0.25">
      <c r="A58" t="str">
        <f t="shared" si="12"/>
        <v/>
      </c>
      <c r="B58" s="1">
        <v>42817</v>
      </c>
      <c r="C58" s="9">
        <f t="shared" si="34"/>
        <v>0.12628755613984746</v>
      </c>
      <c r="D58" s="9">
        <f t="shared" si="35"/>
        <v>0.13219486992824345</v>
      </c>
      <c r="E58" s="9">
        <f t="shared" si="36"/>
        <v>0.11898899863421633</v>
      </c>
      <c r="F58" s="9">
        <f t="shared" si="37"/>
        <v>0.11660622714356383</v>
      </c>
      <c r="G58" s="9">
        <f t="shared" si="38"/>
        <v>0.12809323509620943</v>
      </c>
      <c r="H58" s="9">
        <f t="shared" si="39"/>
        <v>0.13082774632021615</v>
      </c>
      <c r="I58" s="9">
        <f t="shared" si="40"/>
        <v>0.12635668577512549</v>
      </c>
      <c r="J58" s="9">
        <f t="shared" si="41"/>
        <v>0.12064468096257781</v>
      </c>
      <c r="K58" s="9">
        <f t="shared" si="42"/>
        <v>0</v>
      </c>
      <c r="L58" s="8">
        <f>+VLOOKUP($B58,NIFTY_50!$B$3:$I$1238,8,0)</f>
        <v>6.1846308877187006E-3</v>
      </c>
      <c r="M58" s="8">
        <f>+VLOOKUP($B58,NIFTY_BANK!$B$3:$I$41238,8,0)</f>
        <v>5.4929058987986945E-3</v>
      </c>
      <c r="N58" s="8">
        <f>+VLOOKUP($B58,NIFTY_IT!$B$3:$I$1238,8,0)</f>
        <v>6.2596793189468869E-3</v>
      </c>
      <c r="O58" s="8">
        <f>+VLOOKUP($B58,NIFTY_PHARMA!$B$3:$I$1238,8,0)</f>
        <v>6.1509626042406396E-3</v>
      </c>
      <c r="P58" s="8">
        <f>+VLOOKUP($B58,NIFTY_FMCG!$B$3:$I$1238,8,0)</f>
        <v>-2.3705952139200237E-3</v>
      </c>
      <c r="Q58" s="8">
        <f>+VLOOKUP($B58,NIFTY_METAL!$B$3:$I$1238,8,0)</f>
        <v>1.1058246594027432E-2</v>
      </c>
      <c r="R58" s="8">
        <f>+VLOOKUP($B58,NIFTY_ENERGY!$B$3:$I$1238,8,0)</f>
        <v>1.1924057005825217E-2</v>
      </c>
      <c r="S58" s="8">
        <f>+VLOOKUP($B58,NIFTY_AUTO!$B$3:$I$1238,8,0)</f>
        <v>9.5879721948806118E-3</v>
      </c>
      <c r="T58" s="8">
        <v>0</v>
      </c>
      <c r="U58" s="8"/>
      <c r="V58" s="8"/>
      <c r="W58" s="8"/>
      <c r="X58" s="8"/>
      <c r="Y58" s="8"/>
      <c r="Z58" s="8"/>
      <c r="AA58" s="8"/>
      <c r="AB58" s="8"/>
      <c r="AC58" s="8"/>
      <c r="AD58" s="16"/>
      <c r="AE58" s="8"/>
      <c r="AF58" s="8"/>
      <c r="AG58" s="8"/>
      <c r="AH58" s="8"/>
      <c r="AI58" s="8"/>
      <c r="AJ58" s="8"/>
      <c r="AK58" s="8"/>
      <c r="AL58" s="8"/>
      <c r="AM58" s="16"/>
      <c r="AN58" s="8"/>
      <c r="AO58" s="8"/>
      <c r="AP58" s="8"/>
      <c r="AQ58" s="8"/>
      <c r="AR58" s="8"/>
      <c r="AS58" s="8"/>
      <c r="AT58" s="8"/>
      <c r="AU58" s="8"/>
      <c r="AV58" s="16"/>
      <c r="AW58" s="8"/>
      <c r="AX58" s="8"/>
      <c r="AY58" s="8"/>
      <c r="AZ58" s="8"/>
      <c r="BA58" s="8"/>
      <c r="BB58" s="8"/>
      <c r="BC58" s="8"/>
      <c r="BD58" s="8"/>
      <c r="BE58" s="8">
        <f t="shared" si="14"/>
        <v>6.7580342285819793E-3</v>
      </c>
    </row>
    <row r="59" spans="1:57" x14ac:dyDescent="0.25">
      <c r="A59" t="str">
        <f t="shared" si="12"/>
        <v/>
      </c>
      <c r="B59" s="1">
        <v>42818</v>
      </c>
      <c r="C59" s="9">
        <f t="shared" si="34"/>
        <v>0.12636419785367198</v>
      </c>
      <c r="D59" s="9">
        <f t="shared" si="35"/>
        <v>0.13339382213444292</v>
      </c>
      <c r="E59" s="9">
        <f t="shared" si="36"/>
        <v>0.11788157969663655</v>
      </c>
      <c r="F59" s="9">
        <f t="shared" si="37"/>
        <v>0.11619153006110088</v>
      </c>
      <c r="G59" s="9">
        <f t="shared" si="38"/>
        <v>0.12852204583714785</v>
      </c>
      <c r="H59" s="9">
        <f t="shared" si="39"/>
        <v>0.13100635342397324</v>
      </c>
      <c r="I59" s="9">
        <f t="shared" si="40"/>
        <v>0.12644866280657138</v>
      </c>
      <c r="J59" s="9">
        <f t="shared" si="41"/>
        <v>0.12019180818645497</v>
      </c>
      <c r="K59" s="9">
        <f t="shared" si="42"/>
        <v>0</v>
      </c>
      <c r="L59" s="8">
        <f>+VLOOKUP($B59,NIFTY_50!$B$3:$I$1238,8,0)</f>
        <v>2.3882108228872045E-3</v>
      </c>
      <c r="M59" s="8">
        <f>+VLOOKUP($B59,NIFTY_BANK!$B$3:$I$41238,8,0)</f>
        <v>1.0865975927831339E-2</v>
      </c>
      <c r="N59" s="8">
        <f>+VLOOKUP($B59,NIFTY_IT!$B$3:$I$1238,8,0)</f>
        <v>-7.543222619530221E-3</v>
      </c>
      <c r="O59" s="8">
        <f>+VLOOKUP($B59,NIFTY_PHARMA!$B$3:$I$1238,8,0)</f>
        <v>-1.7824721991074322E-3</v>
      </c>
      <c r="P59" s="8">
        <f>+VLOOKUP($B59,NIFTY_FMCG!$B$3:$I$1238,8,0)</f>
        <v>5.1338530038183006E-3</v>
      </c>
      <c r="Q59" s="8">
        <f>+VLOOKUP($B59,NIFTY_METAL!$B$3:$I$1238,8,0)</f>
        <v>3.1478864191185618E-3</v>
      </c>
      <c r="R59" s="8">
        <f>+VLOOKUP($B59,NIFTY_ENERGY!$B$3:$I$1238,8,0)</f>
        <v>2.5094595715151602E-3</v>
      </c>
      <c r="S59" s="8">
        <f>+VLOOKUP($B59,NIFTY_AUTO!$B$3:$I$1238,8,0)</f>
        <v>-1.9802080228734642E-3</v>
      </c>
      <c r="T59" s="8">
        <v>0</v>
      </c>
      <c r="U59" s="8"/>
      <c r="V59" s="8"/>
      <c r="W59" s="8"/>
      <c r="X59" s="8"/>
      <c r="Y59" s="8"/>
      <c r="Z59" s="8"/>
      <c r="AA59" s="8"/>
      <c r="AB59" s="8"/>
      <c r="AC59" s="8"/>
      <c r="AD59" s="16"/>
      <c r="AE59" s="8"/>
      <c r="AF59" s="8"/>
      <c r="AG59" s="8"/>
      <c r="AH59" s="8"/>
      <c r="AI59" s="8"/>
      <c r="AJ59" s="8"/>
      <c r="AK59" s="8"/>
      <c r="AL59" s="8"/>
      <c r="AM59" s="16"/>
      <c r="AN59" s="8"/>
      <c r="AO59" s="8"/>
      <c r="AP59" s="8"/>
      <c r="AQ59" s="8"/>
      <c r="AR59" s="8"/>
      <c r="AS59" s="8"/>
      <c r="AT59" s="8"/>
      <c r="AU59" s="8"/>
      <c r="AV59" s="16"/>
      <c r="AW59" s="8"/>
      <c r="AX59" s="8"/>
      <c r="AY59" s="8"/>
      <c r="AZ59" s="8"/>
      <c r="BA59" s="8"/>
      <c r="BB59" s="8"/>
      <c r="BC59" s="8"/>
      <c r="BD59" s="8"/>
      <c r="BE59" s="8">
        <f t="shared" si="14"/>
        <v>1.7802478737301587E-3</v>
      </c>
    </row>
    <row r="60" spans="1:57" x14ac:dyDescent="0.25">
      <c r="A60" t="str">
        <f t="shared" si="12"/>
        <v/>
      </c>
      <c r="B60" s="1">
        <v>42821</v>
      </c>
      <c r="C60" s="9">
        <f t="shared" si="34"/>
        <v>0.12678686562306254</v>
      </c>
      <c r="D60" s="9">
        <f t="shared" si="35"/>
        <v>0.13435037189628812</v>
      </c>
      <c r="E60" s="9">
        <f t="shared" si="36"/>
        <v>0.11776496037570444</v>
      </c>
      <c r="F60" s="9">
        <f t="shared" si="37"/>
        <v>0.11611686127270554</v>
      </c>
      <c r="G60" s="9">
        <f t="shared" si="38"/>
        <v>0.12978606007021995</v>
      </c>
      <c r="H60" s="9">
        <f t="shared" si="39"/>
        <v>0.12884797490221828</v>
      </c>
      <c r="I60" s="9">
        <f t="shared" si="40"/>
        <v>0.12577813298406398</v>
      </c>
      <c r="J60" s="9">
        <f t="shared" si="41"/>
        <v>0.12056877287573708</v>
      </c>
      <c r="K60" s="9">
        <f t="shared" si="42"/>
        <v>0</v>
      </c>
      <c r="L60" s="8">
        <f>+VLOOKUP($B60,NIFTY_50!$B$3:$I$1238,8,0)</f>
        <v>-6.8950373298198864E-3</v>
      </c>
      <c r="M60" s="8">
        <f>+VLOOKUP($B60,NIFTY_BANK!$B$3:$I$41238,8,0)</f>
        <v>-3.1080527682499914E-3</v>
      </c>
      <c r="N60" s="8">
        <f>+VLOOKUP($B60,NIFTY_IT!$B$3:$I$1238,8,0)</f>
        <v>-1.1184934464362861E-2</v>
      </c>
      <c r="O60" s="8">
        <f>+VLOOKUP($B60,NIFTY_PHARMA!$B$3:$I$1238,8,0)</f>
        <v>-1.0841815589668791E-2</v>
      </c>
      <c r="P60" s="8">
        <f>+VLOOKUP($B60,NIFTY_FMCG!$B$3:$I$1238,8,0)</f>
        <v>-4.7111289229206932E-4</v>
      </c>
      <c r="Q60" s="8">
        <f>+VLOOKUP($B60,NIFTY_METAL!$B$3:$I$1238,8,0)</f>
        <v>-2.6512968299711837E-2</v>
      </c>
      <c r="R60" s="8">
        <f>+VLOOKUP($B60,NIFTY_ENERGY!$B$3:$I$1238,8,0)</f>
        <v>-1.5454402981176063E-2</v>
      </c>
      <c r="S60" s="8">
        <f>+VLOOKUP($B60,NIFTY_AUTO!$B$3:$I$1238,8,0)</f>
        <v>-7.1013883897613761E-3</v>
      </c>
      <c r="T60" s="8">
        <v>0</v>
      </c>
      <c r="U60" s="8"/>
      <c r="V60" s="8"/>
      <c r="W60" s="8"/>
      <c r="X60" s="8"/>
      <c r="Y60" s="8"/>
      <c r="Z60" s="8"/>
      <c r="AA60" s="8"/>
      <c r="AB60" s="8"/>
      <c r="AC60" s="8"/>
      <c r="AD60" s="16"/>
      <c r="AE60" s="8"/>
      <c r="AF60" s="8"/>
      <c r="AG60" s="8"/>
      <c r="AH60" s="8"/>
      <c r="AI60" s="8"/>
      <c r="AJ60" s="8"/>
      <c r="AK60" s="8"/>
      <c r="AL60" s="8"/>
      <c r="AM60" s="16"/>
      <c r="AN60" s="8"/>
      <c r="AO60" s="8"/>
      <c r="AP60" s="8"/>
      <c r="AQ60" s="8"/>
      <c r="AR60" s="8"/>
      <c r="AS60" s="8"/>
      <c r="AT60" s="8"/>
      <c r="AU60" s="8"/>
      <c r="AV60" s="16"/>
      <c r="AW60" s="8"/>
      <c r="AX60" s="8"/>
      <c r="AY60" s="8"/>
      <c r="AZ60" s="8"/>
      <c r="BA60" s="8"/>
      <c r="BB60" s="8"/>
      <c r="BC60" s="8"/>
      <c r="BD60" s="8"/>
      <c r="BE60" s="8">
        <f t="shared" si="14"/>
        <v>-1.020573877574418E-2</v>
      </c>
    </row>
    <row r="61" spans="1:57" x14ac:dyDescent="0.25">
      <c r="A61" t="str">
        <f t="shared" si="12"/>
        <v/>
      </c>
      <c r="B61" s="1">
        <v>42822</v>
      </c>
      <c r="C61" s="9">
        <f t="shared" si="34"/>
        <v>0.12697602054178517</v>
      </c>
      <c r="D61" s="9">
        <f t="shared" si="35"/>
        <v>0.13479890735882932</v>
      </c>
      <c r="E61" s="9">
        <f t="shared" si="36"/>
        <v>0.11757842906072798</v>
      </c>
      <c r="F61" s="9">
        <f t="shared" si="37"/>
        <v>0.11619728106266966</v>
      </c>
      <c r="G61" s="9">
        <f t="shared" si="38"/>
        <v>0.12931591817584076</v>
      </c>
      <c r="H61" s="9">
        <f t="shared" si="39"/>
        <v>0.12905970179779616</v>
      </c>
      <c r="I61" s="9">
        <f t="shared" si="40"/>
        <v>0.12508881928972471</v>
      </c>
      <c r="J61" s="9">
        <f t="shared" si="41"/>
        <v>0.12098492271262629</v>
      </c>
      <c r="K61" s="9">
        <f t="shared" si="42"/>
        <v>0</v>
      </c>
      <c r="L61" s="8">
        <f>+VLOOKUP($B61,NIFTY_50!$B$3:$I$1238,8,0)</f>
        <v>6.1469066466190991E-3</v>
      </c>
      <c r="M61" s="8">
        <f>+VLOOKUP($B61,NIFTY_BANK!$B$3:$I$41238,8,0)</f>
        <v>8.0021275686354976E-3</v>
      </c>
      <c r="N61" s="8">
        <f>+VLOOKUP($B61,NIFTY_IT!$B$3:$I$1238,8,0)</f>
        <v>3.0567685589519833E-3</v>
      </c>
      <c r="O61" s="8">
        <f>+VLOOKUP($B61,NIFTY_PHARMA!$B$3:$I$1238,8,0)</f>
        <v>5.3438550455378042E-3</v>
      </c>
      <c r="P61" s="8">
        <f>+VLOOKUP($B61,NIFTY_FMCG!$B$3:$I$1238,8,0)</f>
        <v>1.0087847449566922E-3</v>
      </c>
      <c r="Q61" s="8">
        <f>+VLOOKUP($B61,NIFTY_METAL!$B$3:$I$1238,8,0)</f>
        <v>6.2989277021248125E-3</v>
      </c>
      <c r="R61" s="8">
        <f>+VLOOKUP($B61,NIFTY_ENERGY!$B$3:$I$1238,8,0)</f>
        <v>-8.578073736059677E-4</v>
      </c>
      <c r="S61" s="8">
        <f>+VLOOKUP($B61,NIFTY_AUTO!$B$3:$I$1238,8,0)</f>
        <v>8.1156583267061322E-3</v>
      </c>
      <c r="T61" s="8">
        <v>0</v>
      </c>
      <c r="U61" s="8"/>
      <c r="V61" s="8"/>
      <c r="W61" s="8"/>
      <c r="X61" s="8"/>
      <c r="Y61" s="8"/>
      <c r="Z61" s="8"/>
      <c r="AA61" s="8"/>
      <c r="AB61" s="8"/>
      <c r="AC61" s="8"/>
      <c r="AD61" s="16"/>
      <c r="AE61" s="8"/>
      <c r="AF61" s="8"/>
      <c r="AG61" s="8"/>
      <c r="AH61" s="8"/>
      <c r="AI61" s="8"/>
      <c r="AJ61" s="8"/>
      <c r="AK61" s="8"/>
      <c r="AL61" s="8"/>
      <c r="AM61" s="16"/>
      <c r="AN61" s="8"/>
      <c r="AO61" s="8"/>
      <c r="AP61" s="8"/>
      <c r="AQ61" s="8"/>
      <c r="AR61" s="8"/>
      <c r="AS61" s="8"/>
      <c r="AT61" s="8"/>
      <c r="AU61" s="8"/>
      <c r="AV61" s="16"/>
      <c r="AW61" s="8"/>
      <c r="AX61" s="8"/>
      <c r="AY61" s="8"/>
      <c r="AZ61" s="8"/>
      <c r="BA61" s="8"/>
      <c r="BB61" s="8"/>
      <c r="BC61" s="8"/>
      <c r="BD61" s="8"/>
      <c r="BE61" s="8">
        <f t="shared" si="14"/>
        <v>4.6480595766156957E-3</v>
      </c>
    </row>
    <row r="62" spans="1:57" x14ac:dyDescent="0.25">
      <c r="A62" t="str">
        <f t="shared" si="12"/>
        <v/>
      </c>
      <c r="B62" s="1">
        <v>42823</v>
      </c>
      <c r="C62" s="9">
        <f t="shared" si="34"/>
        <v>0.12719295905503886</v>
      </c>
      <c r="D62" s="9">
        <f t="shared" si="35"/>
        <v>0.13544370733287717</v>
      </c>
      <c r="E62" s="9">
        <f t="shared" si="36"/>
        <v>0.11788613823603569</v>
      </c>
      <c r="F62" s="9">
        <f t="shared" si="37"/>
        <v>0.11498545247499894</v>
      </c>
      <c r="G62" s="9">
        <f t="shared" si="38"/>
        <v>0.13005282676705157</v>
      </c>
      <c r="H62" s="9">
        <f t="shared" si="39"/>
        <v>0.1291643286640346</v>
      </c>
      <c r="I62" s="9">
        <f t="shared" si="40"/>
        <v>0.12516585241412009</v>
      </c>
      <c r="J62" s="9">
        <f t="shared" si="41"/>
        <v>0.12010873505584321</v>
      </c>
      <c r="K62" s="9">
        <f t="shared" si="42"/>
        <v>0</v>
      </c>
      <c r="L62" s="8">
        <f>+VLOOKUP($B62,NIFTY_50!$B$3:$I$1238,8,0)</f>
        <v>4.7248593530238026E-3</v>
      </c>
      <c r="M62" s="8">
        <f>+VLOOKUP($B62,NIFTY_BANK!$B$3:$I$41238,8,0)</f>
        <v>7.8090401123183106E-3</v>
      </c>
      <c r="N62" s="8">
        <f>+VLOOKUP($B62,NIFTY_IT!$B$3:$I$1238,8,0)</f>
        <v>5.6361500039789902E-3</v>
      </c>
      <c r="O62" s="8">
        <f>+VLOOKUP($B62,NIFTY_PHARMA!$B$3:$I$1238,8,0)</f>
        <v>-7.4492507882679693E-3</v>
      </c>
      <c r="P62" s="8">
        <f>+VLOOKUP($B62,NIFTY_FMCG!$B$3:$I$1238,8,0)</f>
        <v>8.7268884466735752E-3</v>
      </c>
      <c r="Q62" s="8">
        <f>+VLOOKUP($B62,NIFTY_METAL!$B$3:$I$1238,8,0)</f>
        <v>3.8243417719450168E-3</v>
      </c>
      <c r="R62" s="8">
        <f>+VLOOKUP($B62,NIFTY_ENERGY!$B$3:$I$1238,8,0)</f>
        <v>3.6288966384026011E-3</v>
      </c>
      <c r="S62" s="8">
        <f>+VLOOKUP($B62,NIFTY_AUTO!$B$3:$I$1238,8,0)</f>
        <v>-4.2527154675457979E-3</v>
      </c>
      <c r="T62" s="8">
        <v>0</v>
      </c>
      <c r="U62" s="8"/>
      <c r="V62" s="8"/>
      <c r="W62" s="8"/>
      <c r="X62" s="8"/>
      <c r="Y62" s="8"/>
      <c r="Z62" s="8"/>
      <c r="AA62" s="8"/>
      <c r="AB62" s="8"/>
      <c r="AC62" s="8"/>
      <c r="AD62" s="16"/>
      <c r="AE62" s="8"/>
      <c r="AF62" s="8"/>
      <c r="AG62" s="8"/>
      <c r="AH62" s="8"/>
      <c r="AI62" s="8"/>
      <c r="AJ62" s="8"/>
      <c r="AK62" s="8"/>
      <c r="AL62" s="8"/>
      <c r="AM62" s="16"/>
      <c r="AN62" s="8"/>
      <c r="AO62" s="8"/>
      <c r="AP62" s="8"/>
      <c r="AQ62" s="8"/>
      <c r="AR62" s="8"/>
      <c r="AS62" s="8"/>
      <c r="AT62" s="8"/>
      <c r="AU62" s="8"/>
      <c r="AV62" s="16"/>
      <c r="AW62" s="8"/>
      <c r="AX62" s="8"/>
      <c r="AY62" s="8"/>
      <c r="AZ62" s="8"/>
      <c r="BA62" s="8"/>
      <c r="BB62" s="8"/>
      <c r="BC62" s="8"/>
      <c r="BD62" s="8"/>
      <c r="BE62" s="8">
        <f t="shared" si="14"/>
        <v>3.0112148334183759E-3</v>
      </c>
    </row>
    <row r="63" spans="1:57" x14ac:dyDescent="0.25">
      <c r="A63" t="str">
        <f t="shared" si="12"/>
        <v/>
      </c>
      <c r="B63" s="1">
        <v>42824</v>
      </c>
      <c r="C63" s="9">
        <f t="shared" si="34"/>
        <v>0.12737766512953866</v>
      </c>
      <c r="D63" s="9">
        <f t="shared" si="35"/>
        <v>0.13664837790627662</v>
      </c>
      <c r="E63" s="9">
        <f t="shared" si="36"/>
        <v>0.11755687256898767</v>
      </c>
      <c r="F63" s="9">
        <f t="shared" si="37"/>
        <v>0.1146420975847114</v>
      </c>
      <c r="G63" s="9">
        <f t="shared" si="38"/>
        <v>0.12980825354480541</v>
      </c>
      <c r="H63" s="9">
        <f t="shared" si="39"/>
        <v>0.12853706184468849</v>
      </c>
      <c r="I63" s="9">
        <f t="shared" si="40"/>
        <v>0.12536203870554291</v>
      </c>
      <c r="J63" s="9">
        <f t="shared" si="41"/>
        <v>0.1200676327154488</v>
      </c>
      <c r="K63" s="9">
        <f t="shared" si="42"/>
        <v>0</v>
      </c>
      <c r="L63" s="8">
        <f>+VLOOKUP($B63,NIFTY_50!$B$3:$I$1238,8,0)</f>
        <v>3.2754434698922807E-3</v>
      </c>
      <c r="M63" s="8">
        <f>+VLOOKUP($B63,NIFTY_BANK!$B$3:$I$41238,8,0)</f>
        <v>1.0731073364452115E-2</v>
      </c>
      <c r="N63" s="8">
        <f>+VLOOKUP($B63,NIFTY_IT!$B$3:$I$1238,8,0)</f>
        <v>-9.7753985802395693E-4</v>
      </c>
      <c r="O63" s="8">
        <f>+VLOOKUP($B63,NIFTY_PHARMA!$B$3:$I$1238,8,0)</f>
        <v>-1.1708815202265965E-3</v>
      </c>
      <c r="P63" s="8">
        <f>+VLOOKUP($B63,NIFTY_FMCG!$B$3:$I$1238,8,0)</f>
        <v>-6.336466363920934E-5</v>
      </c>
      <c r="Q63" s="8">
        <f>+VLOOKUP($B63,NIFTY_METAL!$B$3:$I$1238,8,0)</f>
        <v>-3.0445613063937449E-3</v>
      </c>
      <c r="R63" s="8">
        <f>+VLOOKUP($B63,NIFTY_ENERGY!$B$3:$I$1238,8,0)</f>
        <v>3.3908917736700239E-3</v>
      </c>
      <c r="S63" s="8">
        <f>+VLOOKUP($B63,NIFTY_AUTO!$B$3:$I$1238,8,0)</f>
        <v>1.4777949876849661E-3</v>
      </c>
      <c r="T63" s="8">
        <v>0</v>
      </c>
      <c r="U63" s="8"/>
      <c r="V63" s="8"/>
      <c r="W63" s="8"/>
      <c r="X63" s="8"/>
      <c r="Y63" s="8"/>
      <c r="Z63" s="8"/>
      <c r="AA63" s="8"/>
      <c r="AB63" s="8"/>
      <c r="AC63" s="8"/>
      <c r="AD63" s="16"/>
      <c r="AE63" s="8"/>
      <c r="AF63" s="8"/>
      <c r="AG63" s="8"/>
      <c r="AH63" s="8"/>
      <c r="AI63" s="8"/>
      <c r="AJ63" s="8"/>
      <c r="AK63" s="8"/>
      <c r="AL63" s="8"/>
      <c r="AM63" s="16"/>
      <c r="AN63" s="8"/>
      <c r="AO63" s="8"/>
      <c r="AP63" s="8"/>
      <c r="AQ63" s="8"/>
      <c r="AR63" s="8"/>
      <c r="AS63" s="8"/>
      <c r="AT63" s="8"/>
      <c r="AU63" s="8"/>
      <c r="AV63" s="16"/>
      <c r="AW63" s="8"/>
      <c r="AX63" s="8"/>
      <c r="AY63" s="8"/>
      <c r="AZ63" s="8"/>
      <c r="BA63" s="8"/>
      <c r="BB63" s="8"/>
      <c r="BC63" s="8"/>
      <c r="BD63" s="8"/>
      <c r="BE63" s="8">
        <f t="shared" si="14"/>
        <v>1.8206274421613486E-3</v>
      </c>
    </row>
    <row r="64" spans="1:57" x14ac:dyDescent="0.25">
      <c r="A64" t="str">
        <f t="shared" si="12"/>
        <v>Y</v>
      </c>
      <c r="B64" s="1">
        <v>42825</v>
      </c>
      <c r="C64" s="9">
        <f>+IF($A64="Y",IF(AV64&lt;=4,0.25,0),C63*(1+L64)/SUMPRODUCT($C63:$K63,1+$L64:$T64))</f>
        <v>0.25</v>
      </c>
      <c r="D64" s="9">
        <f t="shared" ref="D64:K64" si="43">+IF($A64="Y",IF(AW64&lt;=4,0.25,0),D63*(1+M64)/SUMPRODUCT($C63:$K63,1+$L64:$T64))</f>
        <v>0.25</v>
      </c>
      <c r="E64" s="9">
        <f t="shared" si="43"/>
        <v>0</v>
      </c>
      <c r="F64" s="9">
        <f t="shared" si="43"/>
        <v>0.25</v>
      </c>
      <c r="G64" s="9">
        <f t="shared" si="43"/>
        <v>0.25</v>
      </c>
      <c r="H64" s="9">
        <f t="shared" si="43"/>
        <v>0</v>
      </c>
      <c r="I64" s="9">
        <f t="shared" si="43"/>
        <v>0</v>
      </c>
      <c r="J64" s="9">
        <f t="shared" si="43"/>
        <v>0</v>
      </c>
      <c r="K64" s="9">
        <f t="shared" si="43"/>
        <v>0</v>
      </c>
      <c r="L64" s="8">
        <f>+VLOOKUP($B64,NIFTY_50!$B$3:$I$1238,8,0)</f>
        <v>0</v>
      </c>
      <c r="M64" s="8">
        <f>+VLOOKUP($B64,NIFTY_BANK!$B$3:$I$41238,8,0)</f>
        <v>-8.1657855666097401E-3</v>
      </c>
      <c r="N64" s="8">
        <f>+VLOOKUP($B64,NIFTY_IT!$B$3:$I$1238,8,0)</f>
        <v>-2.5627286070405431E-3</v>
      </c>
      <c r="O64" s="8">
        <f>+VLOOKUP($B64,NIFTY_PHARMA!$B$3:$I$1238,8,0)</f>
        <v>3.6993264343299082E-4</v>
      </c>
      <c r="P64" s="8">
        <f>+VLOOKUP($B64,NIFTY_FMCG!$B$3:$I$1238,8,0)</f>
        <v>-5.4370326559926019E-3</v>
      </c>
      <c r="Q64" s="8">
        <f>+VLOOKUP($B64,NIFTY_METAL!$B$3:$I$1238,8,0)</f>
        <v>1.1382565241532694E-2</v>
      </c>
      <c r="R64" s="8">
        <f>+VLOOKUP($B64,NIFTY_ENERGY!$B$3:$I$1238,8,0)</f>
        <v>2.3823021449947968E-2</v>
      </c>
      <c r="S64" s="8">
        <f>+VLOOKUP($B64,NIFTY_AUTO!$B$3:$I$1238,8,0)</f>
        <v>2.0181941725911923E-3</v>
      </c>
      <c r="T64" s="8">
        <v>0</v>
      </c>
      <c r="U64" s="8">
        <f>+VLOOKUP($B64,NIFTY_50!$B$63:$K$1238,10,0)</f>
        <v>0.12155388471177941</v>
      </c>
      <c r="V64" s="8">
        <f>+VLOOKUP($B64,NIFTY_BANK!$B$63:$K$1238,10,0)</f>
        <v>0.19335711423737889</v>
      </c>
      <c r="W64" s="8">
        <f>+VLOOKUP($B64,NIFTY_IT!$B$63:$K$1238,10,0)</f>
        <v>3.2429668999377936E-2</v>
      </c>
      <c r="X64" s="8">
        <f>+VLOOKUP($B64,NIFTY_PHARMA!$B$63:$K$1238,10,0)</f>
        <v>9.7912746600452571E-3</v>
      </c>
      <c r="Y64" s="8">
        <f>+VLOOKUP($B64,NIFTY_FMCG!$B$63:$K$1238,10,0)</f>
        <v>0.13674080833979141</v>
      </c>
      <c r="Z64" s="8">
        <f>+VLOOKUP($B64,NIFTY_METAL!$B$63:$K$1238,10,0)</f>
        <v>0.14464467239626666</v>
      </c>
      <c r="AA64" s="8">
        <f>+VLOOKUP($B64,NIFTY_ENERGY!$B$63:$K$1238,10,0)</f>
        <v>0.1301023996740287</v>
      </c>
      <c r="AB64" s="8">
        <f>+VLOOKUP($B64,NIFTY_AUTO!$B$63:$K$1238,10,0)</f>
        <v>5.9323033376577516E-2</v>
      </c>
      <c r="AC64" s="8">
        <v>0</v>
      </c>
      <c r="AD64" s="16">
        <f t="shared" ref="AD64:AK64" si="44">+_xlfn.STDEV.S(L4:L64)*SQRT(60)</f>
        <v>4.4888302533607351E-2</v>
      </c>
      <c r="AE64" s="8">
        <f t="shared" si="44"/>
        <v>6.5132239781387241E-2</v>
      </c>
      <c r="AF64" s="8">
        <f t="shared" si="44"/>
        <v>8.0464663327575695E-2</v>
      </c>
      <c r="AG64" s="8">
        <f t="shared" si="44"/>
        <v>7.3838333698235184E-2</v>
      </c>
      <c r="AH64" s="8">
        <f t="shared" si="44"/>
        <v>6.7109715890205077E-2</v>
      </c>
      <c r="AI64" s="8">
        <f t="shared" si="44"/>
        <v>0.10530986670431718</v>
      </c>
      <c r="AJ64" s="8">
        <f t="shared" si="44"/>
        <v>7.5050058308569173E-2</v>
      </c>
      <c r="AK64" s="8">
        <f t="shared" si="44"/>
        <v>7.751520080279653E-2</v>
      </c>
      <c r="AL64" s="9">
        <v>0</v>
      </c>
      <c r="AM64" s="17">
        <f t="shared" ref="AM64:AM127" si="45">1/AD64</f>
        <v>22.27751871996745</v>
      </c>
      <c r="AN64" s="13">
        <f t="shared" ref="AN64:AN127" si="46">1/AE64</f>
        <v>15.353379576020181</v>
      </c>
      <c r="AO64" s="13">
        <f t="shared" ref="AO64:AO127" si="47">1/AF64</f>
        <v>12.427815622976631</v>
      </c>
      <c r="AP64" s="13">
        <f t="shared" ref="AP64:AP127" si="48">1/AG64</f>
        <v>13.543100851744994</v>
      </c>
      <c r="AQ64" s="13">
        <f t="shared" ref="AQ64:AQ127" si="49">1/AH64</f>
        <v>14.900972038624795</v>
      </c>
      <c r="AR64" s="13">
        <f t="shared" ref="AR64:AR127" si="50">1/AI64</f>
        <v>9.4957863996518093</v>
      </c>
      <c r="AS64" s="13">
        <f t="shared" ref="AS64:AS127" si="51">1/AJ64</f>
        <v>13.324440014270056</v>
      </c>
      <c r="AT64" s="13">
        <f t="shared" ref="AT64:AT127" si="52">1/AK64</f>
        <v>12.900695471899272</v>
      </c>
      <c r="AU64" s="9">
        <v>0</v>
      </c>
      <c r="AV64" s="18">
        <f>+RANK(AM64,$AM64:$AU64)</f>
        <v>1</v>
      </c>
      <c r="AW64" s="18">
        <f t="shared" ref="AW64:BD64" si="53">+RANK(AN64,$AM64:$AU64)</f>
        <v>2</v>
      </c>
      <c r="AX64" s="18">
        <f t="shared" si="53"/>
        <v>7</v>
      </c>
      <c r="AY64" s="18">
        <f t="shared" si="53"/>
        <v>4</v>
      </c>
      <c r="AZ64" s="18">
        <f t="shared" si="53"/>
        <v>3</v>
      </c>
      <c r="BA64" s="18">
        <f t="shared" si="53"/>
        <v>8</v>
      </c>
      <c r="BB64" s="18">
        <f t="shared" si="53"/>
        <v>5</v>
      </c>
      <c r="BC64" s="18">
        <f t="shared" si="53"/>
        <v>6</v>
      </c>
      <c r="BD64" s="18">
        <f t="shared" si="53"/>
        <v>9</v>
      </c>
      <c r="BE64" s="8">
        <f t="shared" si="14"/>
        <v>2.6114342545298535E-3</v>
      </c>
    </row>
    <row r="65" spans="1:57" x14ac:dyDescent="0.25">
      <c r="A65" t="str">
        <f t="shared" si="12"/>
        <v/>
      </c>
      <c r="B65" s="1">
        <v>42828</v>
      </c>
      <c r="C65" s="9">
        <f t="shared" ref="C65:C128" si="54">+IF($A65="Y",IF(AV65&lt;=4,0.25,0),C64*(1+L65)/SUMPRODUCT($C64:$J64,1+$L65:$S65))</f>
        <v>0.25019337047974316</v>
      </c>
      <c r="D65" s="9">
        <f t="shared" ref="D65:D128" si="55">+IF($A65="Y",IF(AW65&lt;=4,0.25,0),D64*(1+M65)/SUMPRODUCT($C64:$J64,1+$L65:$S65))</f>
        <v>0.24965765338138721</v>
      </c>
      <c r="E65" s="9">
        <f t="shared" ref="E65:E128" si="56">+IF($A65="Y",IF(AX65&lt;=4,0.25,0),E64*(1+N65)/SUMPRODUCT($C64:$J64,1+$L65:$S65))</f>
        <v>0</v>
      </c>
      <c r="F65" s="9">
        <f t="shared" ref="F65:F128" si="57">+IF($A65="Y",IF(AY65&lt;=4,0.25,0),F64*(1+O65)/SUMPRODUCT($C64:$J64,1+$L65:$S65))</f>
        <v>0.25066478777081685</v>
      </c>
      <c r="G65" s="9">
        <f t="shared" ref="G65:G128" si="58">+IF($A65="Y",IF(AZ65&lt;=4,0.25,0),G64*(1+P65)/SUMPRODUCT($C64:$J64,1+$L65:$S65))</f>
        <v>0.24948418836805275</v>
      </c>
      <c r="H65" s="9">
        <f t="shared" ref="H65:H128" si="59">+IF($A65="Y",IF(BA65&lt;=4,0.25,0),H64*(1+Q65)/SUMPRODUCT($C64:$J64,1+$L65:$S65))</f>
        <v>0</v>
      </c>
      <c r="I65" s="9">
        <f t="shared" ref="I65:I128" si="60">+IF($A65="Y",IF(BB65&lt;=4,0.25,0),I64*(1+R65)/SUMPRODUCT($C64:$J64,1+$L65:$S65))</f>
        <v>0</v>
      </c>
      <c r="J65" s="9">
        <f t="shared" ref="J65:J128" si="61">+IF($A65="Y",IF(BC65&lt;=4,0.25,0),J64*(1+S65)/SUMPRODUCT($C64:$J64,1+$L65:$S65))</f>
        <v>0</v>
      </c>
      <c r="K65" s="9">
        <v>0</v>
      </c>
      <c r="L65" s="8">
        <f>+VLOOKUP($B65,NIFTY_50!$B$3:$I$1238,8,0)</f>
        <v>6.9873279738383864E-3</v>
      </c>
      <c r="M65" s="8">
        <f>+VLOOKUP($B65,NIFTY_BANK!$B$3:$I$41238,8,0)</f>
        <v>4.8311544174051146E-3</v>
      </c>
      <c r="N65" s="8">
        <f>+VLOOKUP($B65,NIFTY_IT!$B$3:$I$1238,8,0)</f>
        <v>-1.0394039193702853E-2</v>
      </c>
      <c r="O65" s="8">
        <f>+VLOOKUP($B65,NIFTY_PHARMA!$B$3:$I$1238,8,0)</f>
        <v>8.884705339948118E-3</v>
      </c>
      <c r="P65" s="8">
        <f>+VLOOKUP($B65,NIFTY_FMCG!$B$3:$I$1238,8,0)</f>
        <v>4.1329861568326631E-3</v>
      </c>
      <c r="Q65" s="8">
        <f>+VLOOKUP($B65,NIFTY_METAL!$B$3:$I$1238,8,0)</f>
        <v>2.9549014225507264E-3</v>
      </c>
      <c r="R65" s="8">
        <f>+VLOOKUP($B65,NIFTY_ENERGY!$B$3:$I$1238,8,0)</f>
        <v>1.4653995724844826E-2</v>
      </c>
      <c r="S65" s="8">
        <f>+VLOOKUP($B65,NIFTY_AUTO!$B$3:$I$1238,8,0)</f>
        <v>4.1395923159450732E-3</v>
      </c>
      <c r="T65" s="8">
        <v>0</v>
      </c>
      <c r="U65" s="8">
        <f>+VLOOKUP($B65,NIFTY_50!$B$63:$K$1238,10,0)</f>
        <v>0.12763282370533124</v>
      </c>
      <c r="V65" s="8">
        <f>+VLOOKUP($B65,NIFTY_BANK!$B$63:$K$1238,10,0)</f>
        <v>0.19473430326687224</v>
      </c>
      <c r="W65" s="8">
        <f>+VLOOKUP($B65,NIFTY_IT!$B$63:$K$1238,10,0)</f>
        <v>2.2171825617023355E-2</v>
      </c>
      <c r="X65" s="8">
        <f>+VLOOKUP($B65,NIFTY_PHARMA!$B$63:$K$1238,10,0)</f>
        <v>1.8047094970171873E-2</v>
      </c>
      <c r="Y65" s="8">
        <f>+VLOOKUP($B65,NIFTY_FMCG!$B$63:$K$1238,10,0)</f>
        <v>0.13302482967194917</v>
      </c>
      <c r="Z65" s="8">
        <f>+VLOOKUP($B65,NIFTY_METAL!$B$63:$K$1238,10,0)</f>
        <v>0.14392530249175861</v>
      </c>
      <c r="AA65" s="8">
        <f>+VLOOKUP($B65,NIFTY_ENERGY!$B$63:$K$1238,10,0)</f>
        <v>0.13309781853217073</v>
      </c>
      <c r="AB65" s="8">
        <f>+VLOOKUP($B65,NIFTY_AUTO!$B$63:$K$1238,10,0)</f>
        <v>6.6750534928980976E-2</v>
      </c>
      <c r="AC65" s="8"/>
      <c r="AD65" s="16">
        <f t="shared" ref="AD65:AD128" si="62">+_xlfn.STDEV.S(L5:L65)*SQRT(60)</f>
        <v>4.5169171889478756E-2</v>
      </c>
      <c r="AE65" s="8">
        <f t="shared" ref="AE65:AE128" si="63">+_xlfn.STDEV.S(M5:M65)*SQRT(60)</f>
        <v>6.5155458369105995E-2</v>
      </c>
      <c r="AF65" s="8">
        <f t="shared" ref="AF65:AF128" si="64">+_xlfn.STDEV.S(N5:N65)*SQRT(60)</f>
        <v>8.119247936239947E-2</v>
      </c>
      <c r="AG65" s="8">
        <f t="shared" ref="AG65:AG128" si="65">+_xlfn.STDEV.S(O5:O65)*SQRT(60)</f>
        <v>7.4337759803282E-2</v>
      </c>
      <c r="AH65" s="8">
        <f t="shared" ref="AH65:AH128" si="66">+_xlfn.STDEV.S(P5:P65)*SQRT(60)</f>
        <v>6.6929544315514677E-2</v>
      </c>
      <c r="AI65" s="8">
        <f t="shared" ref="AI65:AI128" si="67">+_xlfn.STDEV.S(Q5:Q65)*SQRT(60)</f>
        <v>0.10530406858045643</v>
      </c>
      <c r="AJ65" s="8">
        <f t="shared" ref="AJ65:AJ128" si="68">+_xlfn.STDEV.S(R5:R65)*SQRT(60)</f>
        <v>7.5450635087843526E-2</v>
      </c>
      <c r="AK65" s="8">
        <f t="shared" ref="AK65:AK128" si="69">+_xlfn.STDEV.S(S5:S65)*SQRT(60)</f>
        <v>7.7478408488229053E-2</v>
      </c>
      <c r="AL65" s="9">
        <v>0</v>
      </c>
      <c r="AM65" s="17">
        <f t="shared" si="45"/>
        <v>22.1389934366481</v>
      </c>
      <c r="AN65" s="13">
        <f t="shared" si="46"/>
        <v>15.347908295495291</v>
      </c>
      <c r="AO65" s="13">
        <f t="shared" si="47"/>
        <v>12.316411665870419</v>
      </c>
      <c r="AP65" s="13">
        <f t="shared" si="48"/>
        <v>13.452113739320003</v>
      </c>
      <c r="AQ65" s="13">
        <f t="shared" si="49"/>
        <v>14.941084841185656</v>
      </c>
      <c r="AR65" s="13">
        <f t="shared" si="50"/>
        <v>9.4963092450313145</v>
      </c>
      <c r="AS65" s="13">
        <f t="shared" si="51"/>
        <v>13.253698909701003</v>
      </c>
      <c r="AT65" s="13">
        <f t="shared" si="52"/>
        <v>12.906821648923332</v>
      </c>
      <c r="AU65" s="9">
        <v>0</v>
      </c>
      <c r="AV65" s="18">
        <f t="shared" ref="AV65:AV128" si="70">+RANK(AM65,$AM65:$AU65)</f>
        <v>1</v>
      </c>
      <c r="AW65" s="18">
        <f t="shared" ref="AW65:AW128" si="71">+RANK(AN65,$AM65:$AU65)</f>
        <v>2</v>
      </c>
      <c r="AX65" s="18">
        <f t="shared" ref="AX65:AX128" si="72">+RANK(AO65,$AM65:$AU65)</f>
        <v>7</v>
      </c>
      <c r="AY65" s="18">
        <f t="shared" ref="AY65:AY128" si="73">+RANK(AP65,$AM65:$AU65)</f>
        <v>4</v>
      </c>
      <c r="AZ65" s="18">
        <f t="shared" ref="AZ65:AZ128" si="74">+RANK(AQ65,$AM65:$AU65)</f>
        <v>3</v>
      </c>
      <c r="BA65" s="18">
        <f t="shared" ref="BA65:BA128" si="75">+RANK(AR65,$AM65:$AU65)</f>
        <v>8</v>
      </c>
      <c r="BB65" s="18">
        <f t="shared" ref="BB65:BB128" si="76">+RANK(AS65,$AM65:$AU65)</f>
        <v>5</v>
      </c>
      <c r="BC65" s="18">
        <f t="shared" ref="BC65:BC128" si="77">+RANK(AT65,$AM65:$AU65)</f>
        <v>6</v>
      </c>
      <c r="BD65" s="18">
        <f t="shared" ref="BD65:BD128" si="78">+RANK(AU65,$AM65:$AU65)</f>
        <v>9</v>
      </c>
      <c r="BE65" s="8">
        <f t="shared" si="14"/>
        <v>6.2090434720060705E-3</v>
      </c>
    </row>
    <row r="66" spans="1:57" x14ac:dyDescent="0.25">
      <c r="A66" t="str">
        <f t="shared" si="12"/>
        <v/>
      </c>
      <c r="B66" s="1">
        <v>42830</v>
      </c>
      <c r="C66" s="9">
        <f t="shared" si="54"/>
        <v>0.25036683908030766</v>
      </c>
      <c r="D66" s="9">
        <f t="shared" si="55"/>
        <v>0.25030785269089656</v>
      </c>
      <c r="E66" s="9">
        <f t="shared" si="56"/>
        <v>0</v>
      </c>
      <c r="F66" s="9">
        <f t="shared" si="57"/>
        <v>0.2509923830032893</v>
      </c>
      <c r="G66" s="9">
        <f t="shared" si="58"/>
        <v>0.24833292522550643</v>
      </c>
      <c r="H66" s="9">
        <f t="shared" si="59"/>
        <v>0</v>
      </c>
      <c r="I66" s="9">
        <f t="shared" si="60"/>
        <v>0</v>
      </c>
      <c r="J66" s="9">
        <f t="shared" si="61"/>
        <v>0</v>
      </c>
      <c r="K66" s="9">
        <v>0</v>
      </c>
      <c r="L66" s="8">
        <f>+VLOOKUP($B66,NIFTY_50!$B$3:$I$1238,8,0)</f>
        <v>2.9552330899504931E-3</v>
      </c>
      <c r="M66" s="8">
        <f>+VLOOKUP($B66,NIFTY_BANK!$B$3:$I$41238,8,0)</f>
        <v>4.8705781346081167E-3</v>
      </c>
      <c r="N66" s="8">
        <f>+VLOOKUP($B66,NIFTY_IT!$B$3:$I$1238,8,0)</f>
        <v>-7.7133685800604423E-3</v>
      </c>
      <c r="O66" s="8">
        <f>+VLOOKUP($B66,NIFTY_PHARMA!$B$3:$I$1238,8,0)</f>
        <v>3.5701875062479349E-3</v>
      </c>
      <c r="P66" s="8">
        <f>+VLOOKUP($B66,NIFTY_FMCG!$B$3:$I$1238,8,0)</f>
        <v>-2.3646762212558015E-3</v>
      </c>
      <c r="Q66" s="8">
        <f>+VLOOKUP($B66,NIFTY_METAL!$B$3:$I$1238,8,0)</f>
        <v>1.0158740380590503E-2</v>
      </c>
      <c r="R66" s="8">
        <f>+VLOOKUP($B66,NIFTY_ENERGY!$B$3:$I$1238,8,0)</f>
        <v>1.3528605512970193E-2</v>
      </c>
      <c r="S66" s="8">
        <f>+VLOOKUP($B66,NIFTY_AUTO!$B$3:$I$1238,8,0)</f>
        <v>1.1334428641985195E-2</v>
      </c>
      <c r="T66" s="8">
        <v>0</v>
      </c>
      <c r="U66" s="8">
        <f>+VLOOKUP($B66,NIFTY_50!$B$63:$K$1238,10,0)</f>
        <v>0.13120688602649411</v>
      </c>
      <c r="V66" s="8">
        <f>+VLOOKUP($B66,NIFTY_BANK!$B$63:$K$1238,10,0)</f>
        <v>0.21025655357442297</v>
      </c>
      <c r="W66" s="8">
        <f>+VLOOKUP($B66,NIFTY_IT!$B$63:$K$1238,10,0)</f>
        <v>1.2765673675083633E-3</v>
      </c>
      <c r="X66" s="8">
        <f>+VLOOKUP($B66,NIFTY_PHARMA!$B$63:$K$1238,10,0)</f>
        <v>2.303519090044448E-2</v>
      </c>
      <c r="Y66" s="8">
        <f>+VLOOKUP($B66,NIFTY_FMCG!$B$63:$K$1238,10,0)</f>
        <v>0.1265067290813342</v>
      </c>
      <c r="Z66" s="8">
        <f>+VLOOKUP($B66,NIFTY_METAL!$B$63:$K$1238,10,0)</f>
        <v>0.1570164115803061</v>
      </c>
      <c r="AA66" s="8">
        <f>+VLOOKUP($B66,NIFTY_ENERGY!$B$63:$K$1238,10,0)</f>
        <v>0.15777265544586028</v>
      </c>
      <c r="AB66" s="8">
        <f>+VLOOKUP($B66,NIFTY_AUTO!$B$63:$K$1238,10,0)</f>
        <v>7.5303561285620768E-2</v>
      </c>
      <c r="AC66" s="8"/>
      <c r="AD66" s="16">
        <f t="shared" si="62"/>
        <v>4.5124042407352037E-2</v>
      </c>
      <c r="AE66" s="8">
        <f t="shared" si="63"/>
        <v>6.4232142289345581E-2</v>
      </c>
      <c r="AF66" s="8">
        <f t="shared" si="64"/>
        <v>8.057896660894899E-2</v>
      </c>
      <c r="AG66" s="8">
        <f t="shared" si="65"/>
        <v>7.4386785547161161E-2</v>
      </c>
      <c r="AH66" s="8">
        <f t="shared" si="66"/>
        <v>6.7060266668127561E-2</v>
      </c>
      <c r="AI66" s="8">
        <f t="shared" si="67"/>
        <v>0.10552669389821595</v>
      </c>
      <c r="AJ66" s="8">
        <f t="shared" si="68"/>
        <v>7.5580589027089126E-2</v>
      </c>
      <c r="AK66" s="8">
        <f t="shared" si="69"/>
        <v>7.8113031116156847E-2</v>
      </c>
      <c r="AL66" s="9">
        <v>0</v>
      </c>
      <c r="AM66" s="17">
        <f t="shared" si="45"/>
        <v>22.161135098948282</v>
      </c>
      <c r="AN66" s="13">
        <f t="shared" si="46"/>
        <v>15.568529467619417</v>
      </c>
      <c r="AO66" s="13">
        <f t="shared" si="47"/>
        <v>12.410186455393701</v>
      </c>
      <c r="AP66" s="13">
        <f t="shared" si="48"/>
        <v>13.44324791889281</v>
      </c>
      <c r="AQ66" s="13">
        <f t="shared" si="49"/>
        <v>14.911959789078509</v>
      </c>
      <c r="AR66" s="13">
        <f t="shared" si="50"/>
        <v>9.4762752727242052</v>
      </c>
      <c r="AS66" s="13">
        <f t="shared" si="51"/>
        <v>13.230910381521189</v>
      </c>
      <c r="AT66" s="13">
        <f t="shared" si="52"/>
        <v>12.801961282400686</v>
      </c>
      <c r="AU66" s="9">
        <v>0</v>
      </c>
      <c r="AV66" s="18">
        <f t="shared" si="70"/>
        <v>1</v>
      </c>
      <c r="AW66" s="18">
        <f t="shared" si="71"/>
        <v>2</v>
      </c>
      <c r="AX66" s="18">
        <f t="shared" si="72"/>
        <v>7</v>
      </c>
      <c r="AY66" s="18">
        <f t="shared" si="73"/>
        <v>4</v>
      </c>
      <c r="AZ66" s="18">
        <f t="shared" si="74"/>
        <v>3</v>
      </c>
      <c r="BA66" s="18">
        <f t="shared" si="75"/>
        <v>8</v>
      </c>
      <c r="BB66" s="18">
        <f t="shared" si="76"/>
        <v>5</v>
      </c>
      <c r="BC66" s="18">
        <f t="shared" si="77"/>
        <v>6</v>
      </c>
      <c r="BD66" s="18">
        <f t="shared" si="78"/>
        <v>9</v>
      </c>
      <c r="BE66" s="8">
        <f t="shared" si="14"/>
        <v>2.260327800767359E-3</v>
      </c>
    </row>
    <row r="67" spans="1:57" x14ac:dyDescent="0.25">
      <c r="A67" t="str">
        <f t="shared" si="12"/>
        <v/>
      </c>
      <c r="B67" s="1">
        <v>42831</v>
      </c>
      <c r="C67" s="9">
        <f t="shared" si="54"/>
        <v>0.25143773981333806</v>
      </c>
      <c r="D67" s="9">
        <f t="shared" si="55"/>
        <v>0.25111984830154188</v>
      </c>
      <c r="E67" s="9">
        <f t="shared" si="56"/>
        <v>0</v>
      </c>
      <c r="F67" s="9">
        <f t="shared" si="57"/>
        <v>0.25044390483756712</v>
      </c>
      <c r="G67" s="9">
        <f t="shared" si="58"/>
        <v>0.246998507047553</v>
      </c>
      <c r="H67" s="9">
        <f t="shared" si="59"/>
        <v>0</v>
      </c>
      <c r="I67" s="9">
        <f t="shared" si="60"/>
        <v>0</v>
      </c>
      <c r="J67" s="9">
        <f t="shared" si="61"/>
        <v>0</v>
      </c>
      <c r="K67" s="9">
        <v>0</v>
      </c>
      <c r="L67" s="8">
        <f>+VLOOKUP($B67,NIFTY_50!$B$3:$I$1238,8,0)</f>
        <v>-3.453802690727148E-4</v>
      </c>
      <c r="M67" s="8">
        <f>+VLOOKUP($B67,NIFTY_BANK!$B$3:$I$41238,8,0)</f>
        <v>-1.3739626005071504E-3</v>
      </c>
      <c r="N67" s="8">
        <f>+VLOOKUP($B67,NIFTY_IT!$B$3:$I$1238,8,0)</f>
        <v>2.649781642769522E-3</v>
      </c>
      <c r="O67" s="8">
        <f>+VLOOKUP($B67,NIFTY_PHARMA!$B$3:$I$1238,8,0)</f>
        <v>-6.7781978247154484E-3</v>
      </c>
      <c r="P67" s="8">
        <f>+VLOOKUP($B67,NIFTY_FMCG!$B$3:$I$1238,8,0)</f>
        <v>-9.9517887354402257E-3</v>
      </c>
      <c r="Q67" s="8">
        <f>+VLOOKUP($B67,NIFTY_METAL!$B$3:$I$1238,8,0)</f>
        <v>2.8368794326241176E-3</v>
      </c>
      <c r="R67" s="8">
        <f>+VLOOKUP($B67,NIFTY_ENERGY!$B$3:$I$1238,8,0)</f>
        <v>1.2033257368961658E-2</v>
      </c>
      <c r="S67" s="8">
        <f>+VLOOKUP($B67,NIFTY_AUTO!$B$3:$I$1238,8,0)</f>
        <v>1.7441483821767356E-4</v>
      </c>
      <c r="T67" s="8">
        <v>0</v>
      </c>
      <c r="U67" s="8">
        <f>+VLOOKUP($B67,NIFTY_50!$B$63:$K$1238,10,0)</f>
        <v>0.1194312166114726</v>
      </c>
      <c r="V67" s="8">
        <f>+VLOOKUP($B67,NIFTY_BANK!$B$63:$K$1238,10,0)</f>
        <v>0.19358631482202138</v>
      </c>
      <c r="W67" s="8">
        <f>+VLOOKUP($B67,NIFTY_IT!$B$63:$K$1238,10,0)</f>
        <v>1.3278782313546511E-2</v>
      </c>
      <c r="X67" s="8">
        <f>+VLOOKUP($B67,NIFTY_PHARMA!$B$63:$K$1238,10,0)</f>
        <v>1.142693217948576E-3</v>
      </c>
      <c r="Y67" s="8">
        <f>+VLOOKUP($B67,NIFTY_FMCG!$B$63:$K$1238,10,0)</f>
        <v>0.10813696874777534</v>
      </c>
      <c r="Z67" s="8">
        <f>+VLOOKUP($B67,NIFTY_METAL!$B$63:$K$1238,10,0)</f>
        <v>0.12432770481550981</v>
      </c>
      <c r="AA67" s="8">
        <f>+VLOOKUP($B67,NIFTY_ENERGY!$B$63:$K$1238,10,0)</f>
        <v>0.15401529682212556</v>
      </c>
      <c r="AB67" s="8">
        <f>+VLOOKUP($B67,NIFTY_AUTO!$B$63:$K$1238,10,0)</f>
        <v>5.3873538955924616E-2</v>
      </c>
      <c r="AC67" s="8"/>
      <c r="AD67" s="16">
        <f t="shared" si="62"/>
        <v>4.4429145217709153E-2</v>
      </c>
      <c r="AE67" s="8">
        <f t="shared" si="63"/>
        <v>6.3676667595152781E-2</v>
      </c>
      <c r="AF67" s="8">
        <f t="shared" si="64"/>
        <v>8.0067380337382157E-2</v>
      </c>
      <c r="AG67" s="8">
        <f t="shared" si="65"/>
        <v>7.3256768178171977E-2</v>
      </c>
      <c r="AH67" s="8">
        <f t="shared" si="66"/>
        <v>6.7936228586877798E-2</v>
      </c>
      <c r="AI67" s="8">
        <f t="shared" si="67"/>
        <v>0.10124866241610467</v>
      </c>
      <c r="AJ67" s="8">
        <f t="shared" si="68"/>
        <v>7.5088224034125406E-2</v>
      </c>
      <c r="AK67" s="8">
        <f t="shared" si="69"/>
        <v>7.5661114773295568E-2</v>
      </c>
      <c r="AL67" s="9">
        <v>0</v>
      </c>
      <c r="AM67" s="17">
        <f t="shared" si="45"/>
        <v>22.507747900614728</v>
      </c>
      <c r="AN67" s="13">
        <f t="shared" si="46"/>
        <v>15.704339403529376</v>
      </c>
      <c r="AO67" s="13">
        <f t="shared" si="47"/>
        <v>12.489480682223798</v>
      </c>
      <c r="AP67" s="13">
        <f t="shared" si="48"/>
        <v>13.650615838905734</v>
      </c>
      <c r="AQ67" s="13">
        <f t="shared" si="49"/>
        <v>14.719686694429704</v>
      </c>
      <c r="AR67" s="13">
        <f t="shared" si="50"/>
        <v>9.8766736877003858</v>
      </c>
      <c r="AS67" s="13">
        <f t="shared" si="51"/>
        <v>13.31766748865347</v>
      </c>
      <c r="AT67" s="13">
        <f t="shared" si="52"/>
        <v>13.216828789746407</v>
      </c>
      <c r="AU67" s="9">
        <v>0</v>
      </c>
      <c r="AV67" s="18">
        <f t="shared" si="70"/>
        <v>1</v>
      </c>
      <c r="AW67" s="18">
        <f t="shared" si="71"/>
        <v>2</v>
      </c>
      <c r="AX67" s="18">
        <f t="shared" si="72"/>
        <v>7</v>
      </c>
      <c r="AY67" s="18">
        <f t="shared" si="73"/>
        <v>4</v>
      </c>
      <c r="AZ67" s="18">
        <f t="shared" si="74"/>
        <v>3</v>
      </c>
      <c r="BA67" s="18">
        <f t="shared" si="75"/>
        <v>8</v>
      </c>
      <c r="BB67" s="18">
        <f t="shared" si="76"/>
        <v>5</v>
      </c>
      <c r="BC67" s="18">
        <f t="shared" si="77"/>
        <v>6</v>
      </c>
      <c r="BD67" s="18">
        <f t="shared" si="78"/>
        <v>9</v>
      </c>
      <c r="BE67" s="8">
        <f t="shared" si="14"/>
        <v>-4.6030182268501432E-3</v>
      </c>
    </row>
    <row r="68" spans="1:57" x14ac:dyDescent="0.25">
      <c r="A68" t="str">
        <f t="shared" ref="A68:A131" si="79">+IF(MONTH(B68)&lt;&gt;MONTH(B69),"Y","")</f>
        <v/>
      </c>
      <c r="B68" s="1">
        <v>42832</v>
      </c>
      <c r="C68" s="9">
        <f t="shared" si="54"/>
        <v>0.25211870005892012</v>
      </c>
      <c r="D68" s="9">
        <f t="shared" si="55"/>
        <v>0.2512933694808272</v>
      </c>
      <c r="E68" s="9">
        <f t="shared" si="56"/>
        <v>0</v>
      </c>
      <c r="F68" s="9">
        <f t="shared" si="57"/>
        <v>0.2484184009286845</v>
      </c>
      <c r="G68" s="9">
        <f t="shared" si="58"/>
        <v>0.24816952953156818</v>
      </c>
      <c r="H68" s="9">
        <f t="shared" si="59"/>
        <v>0</v>
      </c>
      <c r="I68" s="9">
        <f t="shared" si="60"/>
        <v>0</v>
      </c>
      <c r="J68" s="9">
        <f t="shared" si="61"/>
        <v>0</v>
      </c>
      <c r="K68" s="9">
        <v>0</v>
      </c>
      <c r="L68" s="8">
        <f>+VLOOKUP($B68,NIFTY_50!$B$3:$I$1238,8,0)</f>
        <v>-6.8722029378264216E-3</v>
      </c>
      <c r="M68" s="8">
        <f>+VLOOKUP($B68,NIFTY_BANK!$B$3:$I$41238,8,0)</f>
        <v>-8.8702050367780449E-3</v>
      </c>
      <c r="N68" s="8">
        <f>+VLOOKUP($B68,NIFTY_IT!$B$3:$I$1238,8,0)</f>
        <v>-4.9724097683179203E-3</v>
      </c>
      <c r="O68" s="8">
        <f>+VLOOKUP($B68,NIFTY_PHARMA!$B$3:$I$1238,8,0)</f>
        <v>-1.7564973208401558E-2</v>
      </c>
      <c r="P68" s="8">
        <f>+VLOOKUP($B68,NIFTY_FMCG!$B$3:$I$1238,8,0)</f>
        <v>-4.8588804659728257E-3</v>
      </c>
      <c r="Q68" s="8">
        <f>+VLOOKUP($B68,NIFTY_METAL!$B$3:$I$1238,8,0)</f>
        <v>-1.1140600416381985E-2</v>
      </c>
      <c r="R68" s="8">
        <f>+VLOOKUP($B68,NIFTY_ENERGY!$B$3:$I$1238,8,0)</f>
        <v>-5.6419583534391693E-3</v>
      </c>
      <c r="S68" s="8">
        <f>+VLOOKUP($B68,NIFTY_AUTO!$B$3:$I$1238,8,0)</f>
        <v>-4.1403844429164227E-3</v>
      </c>
      <c r="T68" s="8">
        <v>0</v>
      </c>
      <c r="U68" s="8">
        <f>+VLOOKUP($B68,NIFTY_50!$B$63:$K$1238,10,0)</f>
        <v>0.11578398311458304</v>
      </c>
      <c r="V68" s="8">
        <f>+VLOOKUP($B68,NIFTY_BANK!$B$63:$K$1238,10,0)</f>
        <v>0.17340943933420938</v>
      </c>
      <c r="W68" s="8">
        <f>+VLOOKUP($B68,NIFTY_IT!$B$63:$K$1238,10,0)</f>
        <v>3.7120009495126283E-2</v>
      </c>
      <c r="X68" s="8">
        <f>+VLOOKUP($B68,NIFTY_PHARMA!$B$63:$K$1238,10,0)</f>
        <v>-1.7846400641668425E-2</v>
      </c>
      <c r="Y68" s="8">
        <f>+VLOOKUP($B68,NIFTY_FMCG!$B$63:$K$1238,10,0)</f>
        <v>0.11350163654748391</v>
      </c>
      <c r="Z68" s="8">
        <f>+VLOOKUP($B68,NIFTY_METAL!$B$63:$K$1238,10,0)</f>
        <v>0.11196097003055927</v>
      </c>
      <c r="AA68" s="8">
        <f>+VLOOKUP($B68,NIFTY_ENERGY!$B$63:$K$1238,10,0)</f>
        <v>0.15154916392432582</v>
      </c>
      <c r="AB68" s="8">
        <f>+VLOOKUP($B68,NIFTY_AUTO!$B$63:$K$1238,10,0)</f>
        <v>5.1237817738109648E-2</v>
      </c>
      <c r="AC68" s="8"/>
      <c r="AD68" s="16">
        <f t="shared" si="62"/>
        <v>4.4944189386766614E-2</v>
      </c>
      <c r="AE68" s="8">
        <f t="shared" si="63"/>
        <v>6.4513577015308146E-2</v>
      </c>
      <c r="AF68" s="8">
        <f t="shared" si="64"/>
        <v>7.5094786564853175E-2</v>
      </c>
      <c r="AG68" s="8">
        <f t="shared" si="65"/>
        <v>7.5296096452344016E-2</v>
      </c>
      <c r="AH68" s="8">
        <f t="shared" si="66"/>
        <v>6.7296816166158346E-2</v>
      </c>
      <c r="AI68" s="8">
        <f t="shared" si="67"/>
        <v>0.10206631688033886</v>
      </c>
      <c r="AJ68" s="8">
        <f t="shared" si="68"/>
        <v>7.5285258399079971E-2</v>
      </c>
      <c r="AK68" s="8">
        <f t="shared" si="69"/>
        <v>7.578571813685038E-2</v>
      </c>
      <c r="AL68" s="9">
        <v>0</v>
      </c>
      <c r="AM68" s="17">
        <f t="shared" si="45"/>
        <v>22.249817243214991</v>
      </c>
      <c r="AN68" s="13">
        <f t="shared" si="46"/>
        <v>15.500613146325994</v>
      </c>
      <c r="AO68" s="13">
        <f t="shared" si="47"/>
        <v>13.316503658165171</v>
      </c>
      <c r="AP68" s="13">
        <f t="shared" si="48"/>
        <v>13.280900964539567</v>
      </c>
      <c r="AQ68" s="13">
        <f t="shared" si="49"/>
        <v>14.859543986909614</v>
      </c>
      <c r="AR68" s="13">
        <f t="shared" si="50"/>
        <v>9.797551538696025</v>
      </c>
      <c r="AS68" s="13">
        <f t="shared" si="51"/>
        <v>13.282812880831138</v>
      </c>
      <c r="AT68" s="13">
        <f t="shared" si="52"/>
        <v>13.195098292718502</v>
      </c>
      <c r="AU68" s="9">
        <v>0</v>
      </c>
      <c r="AV68" s="18">
        <f t="shared" si="70"/>
        <v>1</v>
      </c>
      <c r="AW68" s="18">
        <f t="shared" si="71"/>
        <v>2</v>
      </c>
      <c r="AX68" s="18">
        <f t="shared" si="72"/>
        <v>4</v>
      </c>
      <c r="AY68" s="18">
        <f t="shared" si="73"/>
        <v>6</v>
      </c>
      <c r="AZ68" s="18">
        <f t="shared" si="74"/>
        <v>3</v>
      </c>
      <c r="BA68" s="18">
        <f t="shared" si="75"/>
        <v>8</v>
      </c>
      <c r="BB68" s="18">
        <f t="shared" si="76"/>
        <v>5</v>
      </c>
      <c r="BC68" s="18">
        <f t="shared" si="77"/>
        <v>7</v>
      </c>
      <c r="BD68" s="18">
        <f t="shared" si="78"/>
        <v>9</v>
      </c>
      <c r="BE68" s="8">
        <f t="shared" ref="BE68:BE131" si="80">+SUMPRODUCT(C67:J67,L68:S68)</f>
        <v>-9.5545924171620729E-3</v>
      </c>
    </row>
    <row r="69" spans="1:57" x14ac:dyDescent="0.25">
      <c r="A69" t="str">
        <f t="shared" si="79"/>
        <v/>
      </c>
      <c r="B69" s="1">
        <v>42835</v>
      </c>
      <c r="C69" s="9">
        <f t="shared" si="54"/>
        <v>0.25125029207892347</v>
      </c>
      <c r="D69" s="9">
        <f t="shared" si="55"/>
        <v>0.25192928855137259</v>
      </c>
      <c r="E69" s="9">
        <f t="shared" si="56"/>
        <v>0</v>
      </c>
      <c r="F69" s="9">
        <f t="shared" si="57"/>
        <v>0.24874044811629864</v>
      </c>
      <c r="G69" s="9">
        <f t="shared" si="58"/>
        <v>0.24807997125340542</v>
      </c>
      <c r="H69" s="9">
        <f t="shared" si="59"/>
        <v>0</v>
      </c>
      <c r="I69" s="9">
        <f t="shared" si="60"/>
        <v>0</v>
      </c>
      <c r="J69" s="9">
        <f t="shared" si="61"/>
        <v>0</v>
      </c>
      <c r="K69" s="9">
        <v>0</v>
      </c>
      <c r="L69" s="8">
        <f>+VLOOKUP($B69,NIFTY_50!$B$3:$I$1238,8,0)</f>
        <v>-1.8318602350432256E-3</v>
      </c>
      <c r="M69" s="8">
        <f>+VLOOKUP($B69,NIFTY_BANK!$B$3:$I$41238,8,0)</f>
        <v>4.1528336090224105E-3</v>
      </c>
      <c r="N69" s="8">
        <f>+VLOOKUP($B69,NIFTY_IT!$B$3:$I$1238,8,0)</f>
        <v>-1.4076246334310927E-2</v>
      </c>
      <c r="O69" s="8">
        <f>+VLOOKUP($B69,NIFTY_PHARMA!$B$3:$I$1238,8,0)</f>
        <v>2.916642361313615E-3</v>
      </c>
      <c r="P69" s="8">
        <f>+VLOOKUP($B69,NIFTY_FMCG!$B$3:$I$1238,8,0)</f>
        <v>1.2566950212067329E-3</v>
      </c>
      <c r="Q69" s="8">
        <f>+VLOOKUP($B69,NIFTY_METAL!$B$3:$I$1238,8,0)</f>
        <v>8.7911028253671031E-3</v>
      </c>
      <c r="R69" s="8">
        <f>+VLOOKUP($B69,NIFTY_ENERGY!$B$3:$I$1238,8,0)</f>
        <v>-3.1190248070309678E-3</v>
      </c>
      <c r="S69" s="8">
        <f>+VLOOKUP($B69,NIFTY_AUTO!$B$3:$I$1238,8,0)</f>
        <v>3.6772983114445879E-3</v>
      </c>
      <c r="T69" s="8">
        <v>0</v>
      </c>
      <c r="U69" s="8">
        <f>+VLOOKUP($B69,NIFTY_50!$B$63:$K$1238,10,0)</f>
        <v>0.11478803552673944</v>
      </c>
      <c r="V69" s="8">
        <f>+VLOOKUP($B69,NIFTY_BANK!$B$63:$K$1238,10,0)</f>
        <v>0.17682298288642251</v>
      </c>
      <c r="W69" s="8">
        <f>+VLOOKUP($B69,NIFTY_IT!$B$63:$K$1238,10,0)</f>
        <v>1.3698160014511851E-2</v>
      </c>
      <c r="X69" s="8">
        <f>+VLOOKUP($B69,NIFTY_PHARMA!$B$63:$K$1238,10,0)</f>
        <v>-7.4103134126690673E-4</v>
      </c>
      <c r="Y69" s="8">
        <f>+VLOOKUP($B69,NIFTY_FMCG!$B$63:$K$1238,10,0)</f>
        <v>0.10851826704308576</v>
      </c>
      <c r="Z69" s="8">
        <f>+VLOOKUP($B69,NIFTY_METAL!$B$63:$K$1238,10,0)</f>
        <v>0.12336244541484698</v>
      </c>
      <c r="AA69" s="8">
        <f>+VLOOKUP($B69,NIFTY_ENERGY!$B$63:$K$1238,10,0)</f>
        <v>0.15595196298629799</v>
      </c>
      <c r="AB69" s="8">
        <f>+VLOOKUP($B69,NIFTY_AUTO!$B$63:$K$1238,10,0)</f>
        <v>5.6292419399849303E-2</v>
      </c>
      <c r="AC69" s="8"/>
      <c r="AD69" s="16">
        <f t="shared" si="62"/>
        <v>4.5007494850425739E-2</v>
      </c>
      <c r="AE69" s="8">
        <f t="shared" si="63"/>
        <v>6.4514196066087909E-2</v>
      </c>
      <c r="AF69" s="8">
        <f t="shared" si="64"/>
        <v>7.6042372484236356E-2</v>
      </c>
      <c r="AG69" s="8">
        <f t="shared" si="65"/>
        <v>7.4017692744453051E-2</v>
      </c>
      <c r="AH69" s="8">
        <f t="shared" si="66"/>
        <v>6.7180117678860396E-2</v>
      </c>
      <c r="AI69" s="8">
        <f t="shared" si="67"/>
        <v>0.10224289037783672</v>
      </c>
      <c r="AJ69" s="8">
        <f t="shared" si="68"/>
        <v>7.4910575781380065E-2</v>
      </c>
      <c r="AK69" s="8">
        <f t="shared" si="69"/>
        <v>7.5809165924455121E-2</v>
      </c>
      <c r="AL69" s="9">
        <v>0</v>
      </c>
      <c r="AM69" s="17">
        <f t="shared" si="45"/>
        <v>22.218521677852078</v>
      </c>
      <c r="AN69" s="13">
        <f t="shared" si="46"/>
        <v>15.500464409036528</v>
      </c>
      <c r="AO69" s="13">
        <f t="shared" si="47"/>
        <v>13.150562868186428</v>
      </c>
      <c r="AP69" s="13">
        <f t="shared" si="48"/>
        <v>13.510283324454758</v>
      </c>
      <c r="AQ69" s="13">
        <f t="shared" si="49"/>
        <v>14.885356479729278</v>
      </c>
      <c r="AR69" s="13">
        <f t="shared" si="50"/>
        <v>9.7806311647149098</v>
      </c>
      <c r="AS69" s="13">
        <f t="shared" si="51"/>
        <v>13.349249949945815</v>
      </c>
      <c r="AT69" s="13">
        <f t="shared" si="52"/>
        <v>13.191017046626179</v>
      </c>
      <c r="AU69" s="9">
        <v>0</v>
      </c>
      <c r="AV69" s="18">
        <f t="shared" si="70"/>
        <v>1</v>
      </c>
      <c r="AW69" s="18">
        <f t="shared" si="71"/>
        <v>2</v>
      </c>
      <c r="AX69" s="18">
        <f t="shared" si="72"/>
        <v>7</v>
      </c>
      <c r="AY69" s="18">
        <f t="shared" si="73"/>
        <v>4</v>
      </c>
      <c r="AZ69" s="18">
        <f t="shared" si="74"/>
        <v>3</v>
      </c>
      <c r="BA69" s="18">
        <f t="shared" si="75"/>
        <v>8</v>
      </c>
      <c r="BB69" s="18">
        <f t="shared" si="76"/>
        <v>5</v>
      </c>
      <c r="BC69" s="18">
        <f t="shared" si="77"/>
        <v>6</v>
      </c>
      <c r="BD69" s="18">
        <f t="shared" si="78"/>
        <v>9</v>
      </c>
      <c r="BE69" s="8">
        <f t="shared" si="80"/>
        <v>1.6181543730116694E-3</v>
      </c>
    </row>
    <row r="70" spans="1:57" x14ac:dyDescent="0.25">
      <c r="A70" t="str">
        <f t="shared" si="79"/>
        <v/>
      </c>
      <c r="B70" s="1">
        <v>42836</v>
      </c>
      <c r="C70" s="9">
        <f t="shared" si="54"/>
        <v>0.2504825215600141</v>
      </c>
      <c r="D70" s="9">
        <f t="shared" si="55"/>
        <v>0.25215475932889209</v>
      </c>
      <c r="E70" s="9">
        <f t="shared" si="56"/>
        <v>0</v>
      </c>
      <c r="F70" s="9">
        <f t="shared" si="57"/>
        <v>0.24743882798260916</v>
      </c>
      <c r="G70" s="9">
        <f t="shared" si="58"/>
        <v>0.24992389112848465</v>
      </c>
      <c r="H70" s="9">
        <f t="shared" si="59"/>
        <v>0</v>
      </c>
      <c r="I70" s="9">
        <f t="shared" si="60"/>
        <v>0</v>
      </c>
      <c r="J70" s="9">
        <f t="shared" si="61"/>
        <v>0</v>
      </c>
      <c r="K70" s="9">
        <v>0</v>
      </c>
      <c r="L70" s="8">
        <f>+VLOOKUP($B70,NIFTY_50!$B$3:$I$1238,8,0)</f>
        <v>6.0502426087380989E-3</v>
      </c>
      <c r="M70" s="8">
        <f>+VLOOKUP($B70,NIFTY_BANK!$B$3:$I$41238,8,0)</f>
        <v>1.0037104759957449E-2</v>
      </c>
      <c r="N70" s="8">
        <f>+VLOOKUP($B70,NIFTY_IT!$B$3:$I$1238,8,0)</f>
        <v>5.8714566919613187E-3</v>
      </c>
      <c r="O70" s="8">
        <f>+VLOOKUP($B70,NIFTY_PHARMA!$B$3:$I$1238,8,0)</f>
        <v>3.8533123945792003E-3</v>
      </c>
      <c r="P70" s="8">
        <f>+VLOOKUP($B70,NIFTY_FMCG!$B$3:$I$1238,8,0)</f>
        <v>1.6634608151817609E-2</v>
      </c>
      <c r="Q70" s="8">
        <f>+VLOOKUP($B70,NIFTY_METAL!$B$3:$I$1238,8,0)</f>
        <v>-1.4784368079784449E-2</v>
      </c>
      <c r="R70" s="8">
        <f>+VLOOKUP($B70,NIFTY_ENERGY!$B$3:$I$1238,8,0)</f>
        <v>-4.3270410944096227E-4</v>
      </c>
      <c r="S70" s="8">
        <f>+VLOOKUP($B70,NIFTY_AUTO!$B$3:$I$1238,8,0)</f>
        <v>9.5209610687385648E-4</v>
      </c>
      <c r="T70" s="8">
        <v>0</v>
      </c>
      <c r="U70" s="8">
        <f>+VLOOKUP($B70,NIFTY_50!$B$63:$K$1238,10,0)</f>
        <v>0.11442221846874023</v>
      </c>
      <c r="V70" s="8">
        <f>+VLOOKUP($B70,NIFTY_BANK!$B$63:$K$1238,10,0)</f>
        <v>0.18069648444289954</v>
      </c>
      <c r="W70" s="8">
        <f>+VLOOKUP($B70,NIFTY_IT!$B$63:$K$1238,10,0)</f>
        <v>1.735068238516857E-2</v>
      </c>
      <c r="X70" s="8">
        <f>+VLOOKUP($B70,NIFTY_PHARMA!$B$63:$K$1238,10,0)</f>
        <v>-1.0755592425749638E-3</v>
      </c>
      <c r="Y70" s="8">
        <f>+VLOOKUP($B70,NIFTY_FMCG!$B$63:$K$1238,10,0)</f>
        <v>0.11787642825914846</v>
      </c>
      <c r="Z70" s="8">
        <f>+VLOOKUP($B70,NIFTY_METAL!$B$63:$K$1238,10,0)</f>
        <v>9.1093545996683067E-2</v>
      </c>
      <c r="AA70" s="8">
        <f>+VLOOKUP($B70,NIFTY_ENERGY!$B$63:$K$1238,10,0)</f>
        <v>0.14516351988407528</v>
      </c>
      <c r="AB70" s="8">
        <f>+VLOOKUP($B70,NIFTY_AUTO!$B$63:$K$1238,10,0)</f>
        <v>4.4033234199197135E-2</v>
      </c>
      <c r="AC70" s="8"/>
      <c r="AD70" s="16">
        <f t="shared" si="62"/>
        <v>4.4975061954270347E-2</v>
      </c>
      <c r="AE70" s="8">
        <f t="shared" si="63"/>
        <v>6.4803565411510305E-2</v>
      </c>
      <c r="AF70" s="8">
        <f t="shared" si="64"/>
        <v>7.6220997756730469E-2</v>
      </c>
      <c r="AG70" s="8">
        <f t="shared" si="65"/>
        <v>7.3999561650125237E-2</v>
      </c>
      <c r="AH70" s="8">
        <f t="shared" si="66"/>
        <v>6.8507618317024441E-2</v>
      </c>
      <c r="AI70" s="8">
        <f t="shared" si="67"/>
        <v>0.10280297802111928</v>
      </c>
      <c r="AJ70" s="8">
        <f t="shared" si="68"/>
        <v>7.4667749329500724E-2</v>
      </c>
      <c r="AK70" s="8">
        <f t="shared" si="69"/>
        <v>7.487631449952753E-2</v>
      </c>
      <c r="AL70" s="9">
        <v>0</v>
      </c>
      <c r="AM70" s="17">
        <f t="shared" si="45"/>
        <v>22.234544135075968</v>
      </c>
      <c r="AN70" s="13">
        <f t="shared" si="46"/>
        <v>15.431249710565796</v>
      </c>
      <c r="AO70" s="13">
        <f t="shared" si="47"/>
        <v>13.119744288727812</v>
      </c>
      <c r="AP70" s="13">
        <f t="shared" si="48"/>
        <v>13.513593563270893</v>
      </c>
      <c r="AQ70" s="13">
        <f t="shared" si="49"/>
        <v>14.596916730814092</v>
      </c>
      <c r="AR70" s="13">
        <f t="shared" si="50"/>
        <v>9.7273446669469585</v>
      </c>
      <c r="AS70" s="13">
        <f t="shared" si="51"/>
        <v>13.392662949931809</v>
      </c>
      <c r="AT70" s="13">
        <f t="shared" si="52"/>
        <v>13.355358188820979</v>
      </c>
      <c r="AU70" s="9">
        <v>0</v>
      </c>
      <c r="AV70" s="18">
        <f t="shared" si="70"/>
        <v>1</v>
      </c>
      <c r="AW70" s="18">
        <f t="shared" si="71"/>
        <v>2</v>
      </c>
      <c r="AX70" s="18">
        <f t="shared" si="72"/>
        <v>7</v>
      </c>
      <c r="AY70" s="18">
        <f t="shared" si="73"/>
        <v>4</v>
      </c>
      <c r="AZ70" s="18">
        <f t="shared" si="74"/>
        <v>3</v>
      </c>
      <c r="BA70" s="18">
        <f t="shared" si="75"/>
        <v>8</v>
      </c>
      <c r="BB70" s="18">
        <f t="shared" si="76"/>
        <v>5</v>
      </c>
      <c r="BC70" s="18">
        <f t="shared" si="77"/>
        <v>6</v>
      </c>
      <c r="BD70" s="18">
        <f t="shared" si="78"/>
        <v>9</v>
      </c>
      <c r="BE70" s="8">
        <f t="shared" si="80"/>
        <v>9.1339536477597662E-3</v>
      </c>
    </row>
    <row r="71" spans="1:57" x14ac:dyDescent="0.25">
      <c r="A71" t="str">
        <f t="shared" si="79"/>
        <v/>
      </c>
      <c r="B71" s="1">
        <v>42837</v>
      </c>
      <c r="C71" s="9">
        <f t="shared" si="54"/>
        <v>0.24941740164477283</v>
      </c>
      <c r="D71" s="9">
        <f t="shared" si="55"/>
        <v>0.25119380938339336</v>
      </c>
      <c r="E71" s="9">
        <f t="shared" si="56"/>
        <v>0</v>
      </c>
      <c r="F71" s="9">
        <f t="shared" si="57"/>
        <v>0.24942561425528995</v>
      </c>
      <c r="G71" s="9">
        <f t="shared" si="58"/>
        <v>0.24996317471654383</v>
      </c>
      <c r="H71" s="9">
        <f t="shared" si="59"/>
        <v>0</v>
      </c>
      <c r="I71" s="9">
        <f t="shared" si="60"/>
        <v>0</v>
      </c>
      <c r="J71" s="9">
        <f t="shared" si="61"/>
        <v>0</v>
      </c>
      <c r="K71" s="9">
        <v>0</v>
      </c>
      <c r="L71" s="8">
        <f>+VLOOKUP($B71,NIFTY_50!$B$3:$I$1238,8,0)</f>
        <v>-3.6321316444731799E-3</v>
      </c>
      <c r="M71" s="8">
        <f>+VLOOKUP($B71,NIFTY_BANK!$B$3:$I$41238,8,0)</f>
        <v>-3.1905374226807171E-3</v>
      </c>
      <c r="N71" s="8">
        <f>+VLOOKUP($B71,NIFTY_IT!$B$3:$I$1238,8,0)</f>
        <v>-7.2508017713497352E-3</v>
      </c>
      <c r="O71" s="8">
        <f>+VLOOKUP($B71,NIFTY_PHARMA!$B$3:$I$1238,8,0)</f>
        <v>8.6571934856189969E-3</v>
      </c>
      <c r="P71" s="8">
        <f>+VLOOKUP($B71,NIFTY_FMCG!$B$3:$I$1238,8,0)</f>
        <v>7.8006912807726536E-4</v>
      </c>
      <c r="Q71" s="8">
        <f>+VLOOKUP($B71,NIFTY_METAL!$B$3:$I$1238,8,0)</f>
        <v>-6.7430992383694655E-3</v>
      </c>
      <c r="R71" s="8">
        <f>+VLOOKUP($B71,NIFTY_ENERGY!$B$3:$I$1238,8,0)</f>
        <v>-8.179150450581707E-3</v>
      </c>
      <c r="S71" s="8">
        <f>+VLOOKUP($B71,NIFTY_AUTO!$B$3:$I$1238,8,0)</f>
        <v>-5.2688980632565885E-3</v>
      </c>
      <c r="T71" s="8">
        <v>0</v>
      </c>
      <c r="U71" s="8">
        <f>+VLOOKUP($B71,NIFTY_50!$B$63:$K$1238,10,0)</f>
        <v>9.817854223717748E-2</v>
      </c>
      <c r="V71" s="8">
        <f>+VLOOKUP($B71,NIFTY_BANK!$B$63:$K$1238,10,0)</f>
        <v>0.15065321295804557</v>
      </c>
      <c r="W71" s="8">
        <f>+VLOOKUP($B71,NIFTY_IT!$B$63:$K$1238,10,0)</f>
        <v>1.0067951333343261E-2</v>
      </c>
      <c r="X71" s="8">
        <f>+VLOOKUP($B71,NIFTY_PHARMA!$B$63:$K$1238,10,0)</f>
        <v>-1.8586383682205332E-3</v>
      </c>
      <c r="Y71" s="8">
        <f>+VLOOKUP($B71,NIFTY_FMCG!$B$63:$K$1238,10,0)</f>
        <v>0.11680597134640758</v>
      </c>
      <c r="Z71" s="8">
        <f>+VLOOKUP($B71,NIFTY_METAL!$B$63:$K$1238,10,0)</f>
        <v>3.9393529172871089E-2</v>
      </c>
      <c r="AA71" s="8">
        <f>+VLOOKUP($B71,NIFTY_ENERGY!$B$63:$K$1238,10,0)</f>
        <v>0.1321059508255138</v>
      </c>
      <c r="AB71" s="8">
        <f>+VLOOKUP($B71,NIFTY_AUTO!$B$63:$K$1238,10,0)</f>
        <v>2.9215810545516474E-2</v>
      </c>
      <c r="AC71" s="8"/>
      <c r="AD71" s="16">
        <f t="shared" si="62"/>
        <v>4.4293738698230535E-2</v>
      </c>
      <c r="AE71" s="8">
        <f t="shared" si="63"/>
        <v>6.1812740712990956E-2</v>
      </c>
      <c r="AF71" s="8">
        <f t="shared" si="64"/>
        <v>7.659037968672136E-2</v>
      </c>
      <c r="AG71" s="8">
        <f t="shared" si="65"/>
        <v>7.390291087785289E-2</v>
      </c>
      <c r="AH71" s="8">
        <f t="shared" si="66"/>
        <v>6.8516006554889E-2</v>
      </c>
      <c r="AI71" s="8">
        <f t="shared" si="67"/>
        <v>9.4359327773139726E-2</v>
      </c>
      <c r="AJ71" s="8">
        <f t="shared" si="68"/>
        <v>7.5374600354037244E-2</v>
      </c>
      <c r="AK71" s="8">
        <f t="shared" si="69"/>
        <v>7.4635619500634853E-2</v>
      </c>
      <c r="AL71" s="9">
        <v>0</v>
      </c>
      <c r="AM71" s="17">
        <f t="shared" si="45"/>
        <v>22.576554370650776</v>
      </c>
      <c r="AN71" s="13">
        <f t="shared" si="46"/>
        <v>16.177894532183942</v>
      </c>
      <c r="AO71" s="13">
        <f t="shared" si="47"/>
        <v>13.056470069613352</v>
      </c>
      <c r="AP71" s="13">
        <f t="shared" si="48"/>
        <v>13.53126674066743</v>
      </c>
      <c r="AQ71" s="13">
        <f t="shared" si="49"/>
        <v>14.595129667968724</v>
      </c>
      <c r="AR71" s="13">
        <f t="shared" si="50"/>
        <v>10.597786393775682</v>
      </c>
      <c r="AS71" s="13">
        <f t="shared" si="51"/>
        <v>13.267068684980929</v>
      </c>
      <c r="AT71" s="13">
        <f t="shared" si="52"/>
        <v>13.39842834682298</v>
      </c>
      <c r="AU71" s="9">
        <v>0</v>
      </c>
      <c r="AV71" s="18">
        <f t="shared" si="70"/>
        <v>1</v>
      </c>
      <c r="AW71" s="18">
        <f t="shared" si="71"/>
        <v>2</v>
      </c>
      <c r="AX71" s="18">
        <f t="shared" si="72"/>
        <v>7</v>
      </c>
      <c r="AY71" s="18">
        <f t="shared" si="73"/>
        <v>4</v>
      </c>
      <c r="AZ71" s="18">
        <f t="shared" si="74"/>
        <v>3</v>
      </c>
      <c r="BA71" s="18">
        <f t="shared" si="75"/>
        <v>8</v>
      </c>
      <c r="BB71" s="18">
        <f t="shared" si="76"/>
        <v>6</v>
      </c>
      <c r="BC71" s="18">
        <f t="shared" si="77"/>
        <v>5</v>
      </c>
      <c r="BD71" s="18">
        <f t="shared" si="78"/>
        <v>9</v>
      </c>
      <c r="BE71" s="8">
        <f t="shared" si="80"/>
        <v>6.2278903264707515E-4</v>
      </c>
    </row>
    <row r="72" spans="1:57" x14ac:dyDescent="0.25">
      <c r="A72" t="str">
        <f t="shared" si="79"/>
        <v/>
      </c>
      <c r="B72" s="1">
        <v>42838</v>
      </c>
      <c r="C72" s="9">
        <f t="shared" si="54"/>
        <v>0.24819897010027422</v>
      </c>
      <c r="D72" s="9">
        <f t="shared" si="55"/>
        <v>0.25163465111775418</v>
      </c>
      <c r="E72" s="9">
        <f t="shared" si="56"/>
        <v>0</v>
      </c>
      <c r="F72" s="9">
        <f t="shared" si="57"/>
        <v>0.25170850906944348</v>
      </c>
      <c r="G72" s="9">
        <f t="shared" si="58"/>
        <v>0.24845786971252812</v>
      </c>
      <c r="H72" s="9">
        <f t="shared" si="59"/>
        <v>0</v>
      </c>
      <c r="I72" s="9">
        <f t="shared" si="60"/>
        <v>0</v>
      </c>
      <c r="J72" s="9">
        <f t="shared" si="61"/>
        <v>0</v>
      </c>
      <c r="K72" s="9">
        <v>0</v>
      </c>
      <c r="L72" s="8">
        <f>+VLOOKUP($B72,NIFTY_50!$B$3:$I$1238,8,0)</f>
        <v>-5.7206808316447866E-3</v>
      </c>
      <c r="M72" s="8">
        <f>+VLOOKUP($B72,NIFTY_BANK!$B$3:$I$41238,8,0)</f>
        <v>9.1384053021204004E-4</v>
      </c>
      <c r="N72" s="8">
        <f>+VLOOKUP($B72,NIFTY_IT!$B$3:$I$1238,8,0)</f>
        <v>-2.5112728787372474E-2</v>
      </c>
      <c r="O72" s="8">
        <f>+VLOOKUP($B72,NIFTY_PHARMA!$B$3:$I$1238,8,0)</f>
        <v>8.3052502584919363E-3</v>
      </c>
      <c r="P72" s="8">
        <f>+VLOOKUP($B72,NIFTY_FMCG!$B$3:$I$1238,8,0)</f>
        <v>-6.8567227991314095E-3</v>
      </c>
      <c r="Q72" s="8">
        <f>+VLOOKUP($B72,NIFTY_METAL!$B$3:$I$1238,8,0)</f>
        <v>-2.7888121906746388E-2</v>
      </c>
      <c r="R72" s="8">
        <f>+VLOOKUP($B72,NIFTY_ENERGY!$B$3:$I$1238,8,0)</f>
        <v>8.7628000671478024E-3</v>
      </c>
      <c r="S72" s="8">
        <f>+VLOOKUP($B72,NIFTY_AUTO!$B$3:$I$1238,8,0)</f>
        <v>-7.9852610604627117E-3</v>
      </c>
      <c r="T72" s="8">
        <v>0</v>
      </c>
      <c r="U72" s="8">
        <f>+VLOOKUP($B72,NIFTY_50!$B$63:$K$1238,10,0)</f>
        <v>8.8447996954990726E-2</v>
      </c>
      <c r="V72" s="8">
        <f>+VLOOKUP($B72,NIFTY_BANK!$B$63:$K$1238,10,0)</f>
        <v>0.14902285954980266</v>
      </c>
      <c r="W72" s="8">
        <f>+VLOOKUP($B72,NIFTY_IT!$B$63:$K$1238,10,0)</f>
        <v>-3.2176789629572489E-2</v>
      </c>
      <c r="X72" s="8">
        <f>+VLOOKUP($B72,NIFTY_PHARMA!$B$63:$K$1238,10,0)</f>
        <v>1.2517124522316125E-2</v>
      </c>
      <c r="Y72" s="8">
        <f>+VLOOKUP($B72,NIFTY_FMCG!$B$63:$K$1238,10,0)</f>
        <v>0.12006117767015057</v>
      </c>
      <c r="Z72" s="8">
        <f>+VLOOKUP($B72,NIFTY_METAL!$B$63:$K$1238,10,0)</f>
        <v>9.1260921735309974E-3</v>
      </c>
      <c r="AA72" s="8">
        <f>+VLOOKUP($B72,NIFTY_ENERGY!$B$63:$K$1238,10,0)</f>
        <v>0.12909256597427743</v>
      </c>
      <c r="AB72" s="8">
        <f>+VLOOKUP($B72,NIFTY_AUTO!$B$63:$K$1238,10,0)</f>
        <v>2.3814321661267179E-2</v>
      </c>
      <c r="AC72" s="8"/>
      <c r="AD72" s="16">
        <f t="shared" si="62"/>
        <v>4.4843386913907074E-2</v>
      </c>
      <c r="AE72" s="8">
        <f t="shared" si="63"/>
        <v>6.1828792520582647E-2</v>
      </c>
      <c r="AF72" s="8">
        <f t="shared" si="64"/>
        <v>7.861907893243951E-2</v>
      </c>
      <c r="AG72" s="8">
        <f t="shared" si="65"/>
        <v>7.4099414502439634E-2</v>
      </c>
      <c r="AH72" s="8">
        <f t="shared" si="66"/>
        <v>6.8086040368143252E-2</v>
      </c>
      <c r="AI72" s="8">
        <f t="shared" si="67"/>
        <v>9.8524488885563338E-2</v>
      </c>
      <c r="AJ72" s="8">
        <f t="shared" si="68"/>
        <v>7.5086570069559752E-2</v>
      </c>
      <c r="AK72" s="8">
        <f t="shared" si="69"/>
        <v>7.5044251243189697E-2</v>
      </c>
      <c r="AL72" s="9">
        <v>0</v>
      </c>
      <c r="AM72" s="17">
        <f t="shared" si="45"/>
        <v>22.299832122846961</v>
      </c>
      <c r="AN72" s="13">
        <f t="shared" si="46"/>
        <v>16.173694475225318</v>
      </c>
      <c r="AO72" s="13">
        <f t="shared" si="47"/>
        <v>12.719558834558971</v>
      </c>
      <c r="AP72" s="13">
        <f t="shared" si="48"/>
        <v>13.495383286288668</v>
      </c>
      <c r="AQ72" s="13">
        <f t="shared" si="49"/>
        <v>14.68729852100328</v>
      </c>
      <c r="AR72" s="13">
        <f t="shared" si="50"/>
        <v>10.149760849421963</v>
      </c>
      <c r="AS72" s="13">
        <f t="shared" si="51"/>
        <v>13.317960842712697</v>
      </c>
      <c r="AT72" s="13">
        <f t="shared" si="52"/>
        <v>13.325471084512293</v>
      </c>
      <c r="AU72" s="9">
        <v>0</v>
      </c>
      <c r="AV72" s="18">
        <f t="shared" si="70"/>
        <v>1</v>
      </c>
      <c r="AW72" s="18">
        <f t="shared" si="71"/>
        <v>2</v>
      </c>
      <c r="AX72" s="18">
        <f t="shared" si="72"/>
        <v>7</v>
      </c>
      <c r="AY72" s="18">
        <f t="shared" si="73"/>
        <v>4</v>
      </c>
      <c r="AZ72" s="18">
        <f t="shared" si="74"/>
        <v>3</v>
      </c>
      <c r="BA72" s="18">
        <f t="shared" si="75"/>
        <v>8</v>
      </c>
      <c r="BB72" s="18">
        <f t="shared" si="76"/>
        <v>6</v>
      </c>
      <c r="BC72" s="18">
        <f t="shared" si="77"/>
        <v>5</v>
      </c>
      <c r="BD72" s="18">
        <f t="shared" si="78"/>
        <v>9</v>
      </c>
      <c r="BE72" s="8">
        <f t="shared" si="80"/>
        <v>-8.3967231646893598E-4</v>
      </c>
    </row>
    <row r="73" spans="1:57" x14ac:dyDescent="0.25">
      <c r="A73" t="str">
        <f t="shared" si="79"/>
        <v/>
      </c>
      <c r="B73" s="1">
        <v>42842</v>
      </c>
      <c r="C73" s="9">
        <f t="shared" si="54"/>
        <v>0.24869905082579433</v>
      </c>
      <c r="D73" s="9">
        <f t="shared" si="55"/>
        <v>0.25200491616999532</v>
      </c>
      <c r="E73" s="9">
        <f t="shared" si="56"/>
        <v>0</v>
      </c>
      <c r="F73" s="9">
        <f t="shared" si="57"/>
        <v>0.25053327564579192</v>
      </c>
      <c r="G73" s="9">
        <f t="shared" si="58"/>
        <v>0.24876275735841835</v>
      </c>
      <c r="H73" s="9">
        <f t="shared" si="59"/>
        <v>0</v>
      </c>
      <c r="I73" s="9">
        <f t="shared" si="60"/>
        <v>0</v>
      </c>
      <c r="J73" s="9">
        <f t="shared" si="61"/>
        <v>0</v>
      </c>
      <c r="K73" s="9">
        <v>0</v>
      </c>
      <c r="L73" s="8">
        <f>+VLOOKUP($B73,NIFTY_50!$B$3:$I$1238,8,0)</f>
        <v>-1.2567207238711742E-3</v>
      </c>
      <c r="M73" s="8">
        <f>+VLOOKUP($B73,NIFTY_BANK!$B$3:$I$41238,8,0)</f>
        <v>-1.7983455221196598E-3</v>
      </c>
      <c r="N73" s="8">
        <f>+VLOOKUP($B73,NIFTY_IT!$B$3:$I$1238,8,0)</f>
        <v>-6.2896206355200768E-3</v>
      </c>
      <c r="O73" s="8">
        <f>+VLOOKUP($B73,NIFTY_PHARMA!$B$3:$I$1238,8,0)</f>
        <v>-7.9187614829163699E-3</v>
      </c>
      <c r="P73" s="8">
        <f>+VLOOKUP($B73,NIFTY_FMCG!$B$3:$I$1238,8,0)</f>
        <v>-2.041866776700596E-3</v>
      </c>
      <c r="Q73" s="8">
        <f>+VLOOKUP($B73,NIFTY_METAL!$B$3:$I$1238,8,0)</f>
        <v>-1.0785282443770972E-2</v>
      </c>
      <c r="R73" s="8">
        <f>+VLOOKUP($B73,NIFTY_ENERGY!$B$3:$I$1238,8,0)</f>
        <v>7.442754443187205E-3</v>
      </c>
      <c r="S73" s="8">
        <f>+VLOOKUP($B73,NIFTY_AUTO!$B$3:$I$1238,8,0)</f>
        <v>-1.8117770555341473E-3</v>
      </c>
      <c r="T73" s="8">
        <v>0</v>
      </c>
      <c r="U73" s="8">
        <f>+VLOOKUP($B73,NIFTY_50!$B$63:$K$1238,10,0)</f>
        <v>8.7966572821370326E-2</v>
      </c>
      <c r="V73" s="8">
        <f>+VLOOKUP($B73,NIFTY_BANK!$B$63:$K$1238,10,0)</f>
        <v>0.14464284770067848</v>
      </c>
      <c r="W73" s="8">
        <f>+VLOOKUP($B73,NIFTY_IT!$B$63:$K$1238,10,0)</f>
        <v>-2.5590560770883286E-2</v>
      </c>
      <c r="X73" s="8">
        <f>+VLOOKUP($B73,NIFTY_PHARMA!$B$63:$K$1238,10,0)</f>
        <v>3.3029841743958954E-4</v>
      </c>
      <c r="Y73" s="8">
        <f>+VLOOKUP($B73,NIFTY_FMCG!$B$63:$K$1238,10,0)</f>
        <v>0.1048817992789508</v>
      </c>
      <c r="Z73" s="8">
        <f>+VLOOKUP($B73,NIFTY_METAL!$B$63:$K$1238,10,0)</f>
        <v>3.5565491311850828E-4</v>
      </c>
      <c r="AA73" s="8">
        <f>+VLOOKUP($B73,NIFTY_ENERGY!$B$63:$K$1238,10,0)</f>
        <v>0.13618321040481951</v>
      </c>
      <c r="AB73" s="8">
        <f>+VLOOKUP($B73,NIFTY_AUTO!$B$63:$K$1238,10,0)</f>
        <v>3.0075931963294389E-2</v>
      </c>
      <c r="AC73" s="8"/>
      <c r="AD73" s="16">
        <f t="shared" si="62"/>
        <v>4.4867416560255134E-2</v>
      </c>
      <c r="AE73" s="8">
        <f t="shared" si="63"/>
        <v>6.1962596980726627E-2</v>
      </c>
      <c r="AF73" s="8">
        <f t="shared" si="64"/>
        <v>7.7827587097769102E-2</v>
      </c>
      <c r="AG73" s="8">
        <f t="shared" si="65"/>
        <v>7.4429041566922469E-2</v>
      </c>
      <c r="AH73" s="8">
        <f t="shared" si="66"/>
        <v>6.7473649357550972E-2</v>
      </c>
      <c r="AI73" s="8">
        <f t="shared" si="67"/>
        <v>9.9104303831006421E-2</v>
      </c>
      <c r="AJ73" s="8">
        <f t="shared" si="68"/>
        <v>7.5271335951176591E-2</v>
      </c>
      <c r="AK73" s="8">
        <f t="shared" si="69"/>
        <v>7.4612259581512894E-2</v>
      </c>
      <c r="AL73" s="9">
        <v>0</v>
      </c>
      <c r="AM73" s="17">
        <f t="shared" si="45"/>
        <v>22.287888999738602</v>
      </c>
      <c r="AN73" s="13">
        <f t="shared" si="46"/>
        <v>16.138768365552021</v>
      </c>
      <c r="AO73" s="13">
        <f t="shared" si="47"/>
        <v>12.848914341180501</v>
      </c>
      <c r="AP73" s="13">
        <f t="shared" si="48"/>
        <v>13.435615707893476</v>
      </c>
      <c r="AQ73" s="13">
        <f t="shared" si="49"/>
        <v>14.820600479171949</v>
      </c>
      <c r="AR73" s="13">
        <f t="shared" si="50"/>
        <v>10.09037913938843</v>
      </c>
      <c r="AS73" s="13">
        <f t="shared" si="51"/>
        <v>13.285269716066049</v>
      </c>
      <c r="AT73" s="13">
        <f t="shared" si="52"/>
        <v>13.402623182957131</v>
      </c>
      <c r="AU73" s="9">
        <v>0</v>
      </c>
      <c r="AV73" s="18">
        <f t="shared" si="70"/>
        <v>1</v>
      </c>
      <c r="AW73" s="18">
        <f t="shared" si="71"/>
        <v>2</v>
      </c>
      <c r="AX73" s="18">
        <f t="shared" si="72"/>
        <v>7</v>
      </c>
      <c r="AY73" s="18">
        <f t="shared" si="73"/>
        <v>4</v>
      </c>
      <c r="AZ73" s="18">
        <f t="shared" si="74"/>
        <v>3</v>
      </c>
      <c r="BA73" s="18">
        <f t="shared" si="75"/>
        <v>8</v>
      </c>
      <c r="BB73" s="18">
        <f t="shared" si="76"/>
        <v>6</v>
      </c>
      <c r="BC73" s="18">
        <f t="shared" si="77"/>
        <v>5</v>
      </c>
      <c r="BD73" s="18">
        <f t="shared" si="78"/>
        <v>9</v>
      </c>
      <c r="BE73" s="8">
        <f t="shared" si="80"/>
        <v>-3.264980353533484E-3</v>
      </c>
    </row>
    <row r="74" spans="1:57" x14ac:dyDescent="0.25">
      <c r="A74" t="str">
        <f t="shared" si="79"/>
        <v/>
      </c>
      <c r="B74" s="1">
        <v>42843</v>
      </c>
      <c r="C74" s="9">
        <f t="shared" si="54"/>
        <v>0.2486866398892594</v>
      </c>
      <c r="D74" s="9">
        <f t="shared" si="55"/>
        <v>0.25322081368283622</v>
      </c>
      <c r="E74" s="9">
        <f t="shared" si="56"/>
        <v>0</v>
      </c>
      <c r="F74" s="9">
        <f t="shared" si="57"/>
        <v>0.24922821154419184</v>
      </c>
      <c r="G74" s="9">
        <f t="shared" si="58"/>
        <v>0.24886433488371248</v>
      </c>
      <c r="H74" s="9">
        <f t="shared" si="59"/>
        <v>0</v>
      </c>
      <c r="I74" s="9">
        <f t="shared" si="60"/>
        <v>0</v>
      </c>
      <c r="J74" s="9">
        <f t="shared" si="61"/>
        <v>0</v>
      </c>
      <c r="K74" s="9">
        <v>0</v>
      </c>
      <c r="L74" s="8">
        <f>+VLOOKUP($B74,NIFTY_50!$B$3:$I$1238,8,0)</f>
        <v>-3.7366100248377165E-3</v>
      </c>
      <c r="M74" s="8">
        <f>+VLOOKUP($B74,NIFTY_BANK!$B$3:$I$41238,8,0)</f>
        <v>1.120216559803433E-3</v>
      </c>
      <c r="N74" s="8">
        <f>+VLOOKUP($B74,NIFTY_IT!$B$3:$I$1238,8,0)</f>
        <v>-1.934825865672174E-3</v>
      </c>
      <c r="O74" s="8">
        <f>+VLOOKUP($B74,NIFTY_PHARMA!$B$3:$I$1238,8,0)</f>
        <v>-8.8768297993501166E-3</v>
      </c>
      <c r="P74" s="8">
        <f>+VLOOKUP($B74,NIFTY_FMCG!$B$3:$I$1238,8,0)</f>
        <v>-3.2800651324175201E-3</v>
      </c>
      <c r="Q74" s="8">
        <f>+VLOOKUP($B74,NIFTY_METAL!$B$3:$I$1238,8,0)</f>
        <v>-1.7640983967359025E-2</v>
      </c>
      <c r="R74" s="8">
        <f>+VLOOKUP($B74,NIFTY_ENERGY!$B$3:$I$1238,8,0)</f>
        <v>-6.3140854899921273E-3</v>
      </c>
      <c r="S74" s="8">
        <f>+VLOOKUP($B74,NIFTY_AUTO!$B$3:$I$1238,8,0)</f>
        <v>-7.6596777373868496E-3</v>
      </c>
      <c r="T74" s="8">
        <v>0</v>
      </c>
      <c r="U74" s="8">
        <f>+VLOOKUP($B74,NIFTY_50!$B$63:$K$1238,10,0)</f>
        <v>8.2297213769494171E-2</v>
      </c>
      <c r="V74" s="8">
        <f>+VLOOKUP($B74,NIFTY_BANK!$B$63:$K$1238,10,0)</f>
        <v>0.13486276245061246</v>
      </c>
      <c r="W74" s="8">
        <f>+VLOOKUP($B74,NIFTY_IT!$B$63:$K$1238,10,0)</f>
        <v>-1.8829068818747574E-2</v>
      </c>
      <c r="X74" s="8">
        <f>+VLOOKUP($B74,NIFTY_PHARMA!$B$63:$K$1238,10,0)</f>
        <v>-5.9895183429000687E-3</v>
      </c>
      <c r="Y74" s="8">
        <f>+VLOOKUP($B74,NIFTY_FMCG!$B$63:$K$1238,10,0)</f>
        <v>0.10308901437420093</v>
      </c>
      <c r="Z74" s="8">
        <f>+VLOOKUP($B74,NIFTY_METAL!$B$63:$K$1238,10,0)</f>
        <v>-2.6736443080226047E-2</v>
      </c>
      <c r="AA74" s="8">
        <f>+VLOOKUP($B74,NIFTY_ENERGY!$B$63:$K$1238,10,0)</f>
        <v>0.13505379793110261</v>
      </c>
      <c r="AB74" s="8">
        <f>+VLOOKUP($B74,NIFTY_AUTO!$B$63:$K$1238,10,0)</f>
        <v>1.6889966530925227E-2</v>
      </c>
      <c r="AC74" s="8"/>
      <c r="AD74" s="16">
        <f t="shared" si="62"/>
        <v>4.5155418434965629E-2</v>
      </c>
      <c r="AE74" s="8">
        <f t="shared" si="63"/>
        <v>6.15075302362489E-2</v>
      </c>
      <c r="AF74" s="8">
        <f t="shared" si="64"/>
        <v>7.7379563349825792E-2</v>
      </c>
      <c r="AG74" s="8">
        <f t="shared" si="65"/>
        <v>7.4912189238791421E-2</v>
      </c>
      <c r="AH74" s="8">
        <f t="shared" si="66"/>
        <v>6.7572737640262337E-2</v>
      </c>
      <c r="AI74" s="8">
        <f t="shared" si="67"/>
        <v>0.10015563298678362</v>
      </c>
      <c r="AJ74" s="8">
        <f t="shared" si="68"/>
        <v>7.5375731893785242E-2</v>
      </c>
      <c r="AK74" s="8">
        <f t="shared" si="69"/>
        <v>7.489659053397002E-2</v>
      </c>
      <c r="AL74" s="9">
        <v>0</v>
      </c>
      <c r="AM74" s="17">
        <f t="shared" si="45"/>
        <v>22.145736539685355</v>
      </c>
      <c r="AN74" s="13">
        <f t="shared" si="46"/>
        <v>16.258171904464781</v>
      </c>
      <c r="AO74" s="13">
        <f t="shared" si="47"/>
        <v>12.923308903658363</v>
      </c>
      <c r="AP74" s="13">
        <f t="shared" si="48"/>
        <v>13.348962434035698</v>
      </c>
      <c r="AQ74" s="13">
        <f t="shared" si="49"/>
        <v>14.79886763392228</v>
      </c>
      <c r="AR74" s="13">
        <f t="shared" si="50"/>
        <v>9.9844608853099501</v>
      </c>
      <c r="AS74" s="13">
        <f t="shared" si="51"/>
        <v>13.266869519875938</v>
      </c>
      <c r="AT74" s="13">
        <f t="shared" si="52"/>
        <v>13.351742621000097</v>
      </c>
      <c r="AU74" s="9">
        <v>0</v>
      </c>
      <c r="AV74" s="18">
        <f t="shared" si="70"/>
        <v>1</v>
      </c>
      <c r="AW74" s="18">
        <f t="shared" si="71"/>
        <v>2</v>
      </c>
      <c r="AX74" s="18">
        <f t="shared" si="72"/>
        <v>7</v>
      </c>
      <c r="AY74" s="18">
        <f t="shared" si="73"/>
        <v>5</v>
      </c>
      <c r="AZ74" s="18">
        <f t="shared" si="74"/>
        <v>3</v>
      </c>
      <c r="BA74" s="18">
        <f t="shared" si="75"/>
        <v>8</v>
      </c>
      <c r="BB74" s="18">
        <f t="shared" si="76"/>
        <v>6</v>
      </c>
      <c r="BC74" s="18">
        <f t="shared" si="77"/>
        <v>4</v>
      </c>
      <c r="BD74" s="18">
        <f t="shared" si="78"/>
        <v>9</v>
      </c>
      <c r="BE74" s="8">
        <f t="shared" si="80"/>
        <v>-3.6868905798745333E-3</v>
      </c>
    </row>
    <row r="75" spans="1:57" x14ac:dyDescent="0.25">
      <c r="A75" t="str">
        <f t="shared" si="79"/>
        <v/>
      </c>
      <c r="B75" s="1">
        <v>42844</v>
      </c>
      <c r="C75" s="9">
        <f t="shared" si="54"/>
        <v>0.24918634914936305</v>
      </c>
      <c r="D75" s="9">
        <f t="shared" si="55"/>
        <v>0.25242312639677761</v>
      </c>
      <c r="E75" s="9">
        <f t="shared" si="56"/>
        <v>0</v>
      </c>
      <c r="F75" s="9">
        <f t="shared" si="57"/>
        <v>0.24893612774305698</v>
      </c>
      <c r="G75" s="9">
        <f t="shared" si="58"/>
        <v>0.24945439671080233</v>
      </c>
      <c r="H75" s="9">
        <f t="shared" si="59"/>
        <v>0</v>
      </c>
      <c r="I75" s="9">
        <f t="shared" si="60"/>
        <v>0</v>
      </c>
      <c r="J75" s="9">
        <f t="shared" si="61"/>
        <v>0</v>
      </c>
      <c r="K75" s="9">
        <v>0</v>
      </c>
      <c r="L75" s="8">
        <f>+VLOOKUP($B75,NIFTY_50!$B$3:$I$1238,8,0)</f>
        <v>-1.812161249402644E-4</v>
      </c>
      <c r="M75" s="8">
        <f>+VLOOKUP($B75,NIFTY_BANK!$B$3:$I$41238,8,0)</f>
        <v>-5.3294942517597699E-3</v>
      </c>
      <c r="N75" s="8">
        <f>+VLOOKUP($B75,NIFTY_IT!$B$3:$I$1238,8,0)</f>
        <v>-3.681792907915149E-3</v>
      </c>
      <c r="O75" s="8">
        <f>+VLOOKUP($B75,NIFTY_PHARMA!$B$3:$I$1238,8,0)</f>
        <v>-3.3556074856602169E-3</v>
      </c>
      <c r="P75" s="8">
        <f>+VLOOKUP($B75,NIFTY_FMCG!$B$3:$I$1238,8,0)</f>
        <v>1.7961805503596828E-4</v>
      </c>
      <c r="Q75" s="8">
        <f>+VLOOKUP($B75,NIFTY_METAL!$B$3:$I$1238,8,0)</f>
        <v>5.0150797070229736E-3</v>
      </c>
      <c r="R75" s="8">
        <f>+VLOOKUP($B75,NIFTY_ENERGY!$B$3:$I$1238,8,0)</f>
        <v>5.7682397725951073E-3</v>
      </c>
      <c r="S75" s="8">
        <f>+VLOOKUP($B75,NIFTY_AUTO!$B$3:$I$1238,8,0)</f>
        <v>1.7985061699461458E-3</v>
      </c>
      <c r="T75" s="8">
        <v>0</v>
      </c>
      <c r="U75" s="8">
        <f>+VLOOKUP($B75,NIFTY_50!$B$63:$K$1238,10,0)</f>
        <v>8.4008097165992002E-2</v>
      </c>
      <c r="V75" s="8">
        <f>+VLOOKUP($B75,NIFTY_BANK!$B$63:$K$1238,10,0)</f>
        <v>0.13055506751175461</v>
      </c>
      <c r="W75" s="8">
        <f>+VLOOKUP($B75,NIFTY_IT!$B$63:$K$1238,10,0)</f>
        <v>-2.566916173531375E-2</v>
      </c>
      <c r="X75" s="8">
        <f>+VLOOKUP($B75,NIFTY_PHARMA!$B$63:$K$1238,10,0)</f>
        <v>-1.0127893426939649E-2</v>
      </c>
      <c r="Y75" s="8">
        <f>+VLOOKUP($B75,NIFTY_FMCG!$B$63:$K$1238,10,0)</f>
        <v>9.0668494773340491E-2</v>
      </c>
      <c r="Z75" s="8">
        <f>+VLOOKUP($B75,NIFTY_METAL!$B$63:$K$1238,10,0)</f>
        <v>-7.2520513431615363E-3</v>
      </c>
      <c r="AA75" s="8">
        <f>+VLOOKUP($B75,NIFTY_ENERGY!$B$63:$K$1238,10,0)</f>
        <v>0.158453518928932</v>
      </c>
      <c r="AB75" s="8">
        <f>+VLOOKUP($B75,NIFTY_AUTO!$B$63:$K$1238,10,0)</f>
        <v>1.9653904592998206E-2</v>
      </c>
      <c r="AC75" s="8"/>
      <c r="AD75" s="16">
        <f t="shared" si="62"/>
        <v>4.5075070704668263E-2</v>
      </c>
      <c r="AE75" s="8">
        <f t="shared" si="63"/>
        <v>6.184613752746717E-2</v>
      </c>
      <c r="AF75" s="8">
        <f t="shared" si="64"/>
        <v>7.736734919807306E-2</v>
      </c>
      <c r="AG75" s="8">
        <f t="shared" si="65"/>
        <v>7.4978100563759573E-2</v>
      </c>
      <c r="AH75" s="8">
        <f t="shared" si="66"/>
        <v>6.6840413829330911E-2</v>
      </c>
      <c r="AI75" s="8">
        <f t="shared" si="67"/>
        <v>9.9236186552150121E-2</v>
      </c>
      <c r="AJ75" s="8">
        <f t="shared" si="68"/>
        <v>7.3552933711142618E-2</v>
      </c>
      <c r="AK75" s="8">
        <f t="shared" si="69"/>
        <v>7.4900143440076644E-2</v>
      </c>
      <c r="AL75" s="9">
        <v>0</v>
      </c>
      <c r="AM75" s="17">
        <f t="shared" si="45"/>
        <v>22.185212011135761</v>
      </c>
      <c r="AN75" s="13">
        <f t="shared" si="46"/>
        <v>16.169158495239561</v>
      </c>
      <c r="AO75" s="13">
        <f t="shared" si="47"/>
        <v>12.925349134553345</v>
      </c>
      <c r="AP75" s="13">
        <f t="shared" si="48"/>
        <v>13.337227703569578</v>
      </c>
      <c r="AQ75" s="13">
        <f t="shared" si="49"/>
        <v>14.961008508316267</v>
      </c>
      <c r="AR75" s="13">
        <f t="shared" si="50"/>
        <v>10.076969246238466</v>
      </c>
      <c r="AS75" s="13">
        <f t="shared" si="51"/>
        <v>13.59565077209842</v>
      </c>
      <c r="AT75" s="13">
        <f t="shared" si="52"/>
        <v>13.351109277915379</v>
      </c>
      <c r="AU75" s="9">
        <v>0</v>
      </c>
      <c r="AV75" s="18">
        <f t="shared" si="70"/>
        <v>1</v>
      </c>
      <c r="AW75" s="18">
        <f t="shared" si="71"/>
        <v>2</v>
      </c>
      <c r="AX75" s="18">
        <f t="shared" si="72"/>
        <v>7</v>
      </c>
      <c r="AY75" s="18">
        <f t="shared" si="73"/>
        <v>6</v>
      </c>
      <c r="AZ75" s="18">
        <f t="shared" si="74"/>
        <v>3</v>
      </c>
      <c r="BA75" s="18">
        <f t="shared" si="75"/>
        <v>8</v>
      </c>
      <c r="BB75" s="18">
        <f t="shared" si="76"/>
        <v>4</v>
      </c>
      <c r="BC75" s="18">
        <f t="shared" si="77"/>
        <v>5</v>
      </c>
      <c r="BD75" s="18">
        <f t="shared" si="78"/>
        <v>9</v>
      </c>
      <c r="BE75" s="8">
        <f t="shared" si="80"/>
        <v>-2.1862164246495195E-3</v>
      </c>
    </row>
    <row r="76" spans="1:57" x14ac:dyDescent="0.25">
      <c r="A76" t="str">
        <f t="shared" si="79"/>
        <v/>
      </c>
      <c r="B76" s="1">
        <v>42845</v>
      </c>
      <c r="C76" s="9">
        <f t="shared" si="54"/>
        <v>0.24986714412062061</v>
      </c>
      <c r="D76" s="9">
        <f t="shared" si="55"/>
        <v>0.25144141935577896</v>
      </c>
      <c r="E76" s="9">
        <f t="shared" si="56"/>
        <v>0</v>
      </c>
      <c r="F76" s="9">
        <f t="shared" si="57"/>
        <v>0.24830529885276678</v>
      </c>
      <c r="G76" s="9">
        <f t="shared" si="58"/>
        <v>0.25038613767083362</v>
      </c>
      <c r="H76" s="9">
        <f t="shared" si="59"/>
        <v>0</v>
      </c>
      <c r="I76" s="9">
        <f t="shared" si="60"/>
        <v>0</v>
      </c>
      <c r="J76" s="9">
        <f t="shared" si="61"/>
        <v>0</v>
      </c>
      <c r="K76" s="9">
        <v>0</v>
      </c>
      <c r="L76" s="8">
        <f>+VLOOKUP($B76,NIFTY_50!$B$3:$I$1238,8,0)</f>
        <v>3.6139946174547077E-3</v>
      </c>
      <c r="M76" s="8">
        <f>+VLOOKUP($B76,NIFTY_BANK!$B$3:$I$41238,8,0)</f>
        <v>-3.0130332825361039E-3</v>
      </c>
      <c r="N76" s="8">
        <f>+VLOOKUP($B76,NIFTY_IT!$B$3:$I$1238,8,0)</f>
        <v>9.4773147775721878E-3</v>
      </c>
      <c r="O76" s="8">
        <f>+VLOOKUP($B76,NIFTY_PHARMA!$B$3:$I$1238,8,0)</f>
        <v>-1.6568081735868212E-3</v>
      </c>
      <c r="P76" s="8">
        <f>+VLOOKUP($B76,NIFTY_FMCG!$B$3:$I$1238,8,0)</f>
        <v>4.6179205247325328E-3</v>
      </c>
      <c r="Q76" s="8">
        <f>+VLOOKUP($B76,NIFTY_METAL!$B$3:$I$1238,8,0)</f>
        <v>1.320392345153909E-3</v>
      </c>
      <c r="R76" s="8">
        <f>+VLOOKUP($B76,NIFTY_ENERGY!$B$3:$I$1238,8,0)</f>
        <v>-2.6692450085944452E-3</v>
      </c>
      <c r="S76" s="8">
        <f>+VLOOKUP($B76,NIFTY_AUTO!$B$3:$I$1238,8,0)</f>
        <v>7.9897470845813334E-3</v>
      </c>
      <c r="T76" s="8">
        <v>0</v>
      </c>
      <c r="U76" s="8">
        <f>+VLOOKUP($B76,NIFTY_50!$B$63:$K$1238,10,0)</f>
        <v>8.5469882380895701E-2</v>
      </c>
      <c r="V76" s="8">
        <f>+VLOOKUP($B76,NIFTY_BANK!$B$63:$K$1238,10,0)</f>
        <v>0.12141720368389475</v>
      </c>
      <c r="W76" s="8">
        <f>+VLOOKUP($B76,NIFTY_IT!$B$63:$K$1238,10,0)</f>
        <v>-1.8819148520270668E-2</v>
      </c>
      <c r="X76" s="8">
        <f>+VLOOKUP($B76,NIFTY_PHARMA!$B$63:$K$1238,10,0)</f>
        <v>-1.4207195442216936E-2</v>
      </c>
      <c r="Y76" s="8">
        <f>+VLOOKUP($B76,NIFTY_FMCG!$B$63:$K$1238,10,0)</f>
        <v>9.1297774454180525E-2</v>
      </c>
      <c r="Z76" s="8">
        <f>+VLOOKUP($B76,NIFTY_METAL!$B$63:$K$1238,10,0)</f>
        <v>-2.8903560559445207E-2</v>
      </c>
      <c r="AA76" s="8">
        <f>+VLOOKUP($B76,NIFTY_ENERGY!$B$63:$K$1238,10,0)</f>
        <v>0.15999769317275248</v>
      </c>
      <c r="AB76" s="8">
        <f>+VLOOKUP($B76,NIFTY_AUTO!$B$63:$K$1238,10,0)</f>
        <v>2.7486313868613221E-2</v>
      </c>
      <c r="AC76" s="8"/>
      <c r="AD76" s="16">
        <f t="shared" si="62"/>
        <v>4.5122639465559639E-2</v>
      </c>
      <c r="AE76" s="8">
        <f t="shared" si="63"/>
        <v>6.1968090029886333E-2</v>
      </c>
      <c r="AF76" s="8">
        <f t="shared" si="64"/>
        <v>7.7936655941450758E-2</v>
      </c>
      <c r="AG76" s="8">
        <f t="shared" si="65"/>
        <v>7.4947042435916031E-2</v>
      </c>
      <c r="AH76" s="8">
        <f t="shared" si="66"/>
        <v>6.6865225123449293E-2</v>
      </c>
      <c r="AI76" s="8">
        <f t="shared" si="67"/>
        <v>9.6335573019201259E-2</v>
      </c>
      <c r="AJ76" s="8">
        <f t="shared" si="68"/>
        <v>7.3448130218952537E-2</v>
      </c>
      <c r="AK76" s="8">
        <f t="shared" si="69"/>
        <v>7.5280786844012626E-2</v>
      </c>
      <c r="AL76" s="9">
        <v>0</v>
      </c>
      <c r="AM76" s="17">
        <f t="shared" si="45"/>
        <v>22.161824127404188</v>
      </c>
      <c r="AN76" s="13">
        <f t="shared" si="46"/>
        <v>16.137337773646308</v>
      </c>
      <c r="AO76" s="13">
        <f t="shared" si="47"/>
        <v>12.830932863622497</v>
      </c>
      <c r="AP76" s="13">
        <f t="shared" si="48"/>
        <v>13.3427546638022</v>
      </c>
      <c r="AQ76" s="13">
        <f t="shared" si="49"/>
        <v>14.955457013025223</v>
      </c>
      <c r="AR76" s="13">
        <f t="shared" si="50"/>
        <v>10.380381500410898</v>
      </c>
      <c r="AS76" s="13">
        <f t="shared" si="51"/>
        <v>13.61505047193101</v>
      </c>
      <c r="AT76" s="13">
        <f t="shared" si="52"/>
        <v>13.283601858095269</v>
      </c>
      <c r="AU76" s="9">
        <v>0</v>
      </c>
      <c r="AV76" s="18">
        <f t="shared" si="70"/>
        <v>1</v>
      </c>
      <c r="AW76" s="18">
        <f t="shared" si="71"/>
        <v>2</v>
      </c>
      <c r="AX76" s="18">
        <f t="shared" si="72"/>
        <v>7</v>
      </c>
      <c r="AY76" s="18">
        <f t="shared" si="73"/>
        <v>5</v>
      </c>
      <c r="AZ76" s="18">
        <f t="shared" si="74"/>
        <v>3</v>
      </c>
      <c r="BA76" s="18">
        <f t="shared" si="75"/>
        <v>8</v>
      </c>
      <c r="BB76" s="18">
        <f t="shared" si="76"/>
        <v>4</v>
      </c>
      <c r="BC76" s="18">
        <f t="shared" si="77"/>
        <v>6</v>
      </c>
      <c r="BD76" s="18">
        <f t="shared" si="78"/>
        <v>9</v>
      </c>
      <c r="BE76" s="8">
        <f t="shared" si="80"/>
        <v>8.7952001086351469E-4</v>
      </c>
    </row>
    <row r="77" spans="1:57" x14ac:dyDescent="0.25">
      <c r="A77" t="str">
        <f t="shared" si="79"/>
        <v/>
      </c>
      <c r="B77" s="1">
        <v>42846</v>
      </c>
      <c r="C77" s="9">
        <f t="shared" si="54"/>
        <v>0.25062787432294592</v>
      </c>
      <c r="D77" s="9">
        <f t="shared" si="55"/>
        <v>0.2533831114329621</v>
      </c>
      <c r="E77" s="9">
        <f t="shared" si="56"/>
        <v>0</v>
      </c>
      <c r="F77" s="9">
        <f t="shared" si="57"/>
        <v>0.24721409891712801</v>
      </c>
      <c r="G77" s="9">
        <f t="shared" si="58"/>
        <v>0.24877491532696391</v>
      </c>
      <c r="H77" s="9">
        <f t="shared" si="59"/>
        <v>0</v>
      </c>
      <c r="I77" s="9">
        <f t="shared" si="60"/>
        <v>0</v>
      </c>
      <c r="J77" s="9">
        <f t="shared" si="61"/>
        <v>0</v>
      </c>
      <c r="K77" s="9">
        <v>0</v>
      </c>
      <c r="L77" s="8">
        <f>+VLOOKUP($B77,NIFTY_50!$B$3:$I$1238,8,0)</f>
        <v>-1.8606891116851321E-3</v>
      </c>
      <c r="M77" s="8">
        <f>+VLOOKUP($B77,NIFTY_BANK!$B$3:$I$41238,8,0)</f>
        <v>2.7941409121787775E-3</v>
      </c>
      <c r="N77" s="8">
        <f>+VLOOKUP($B77,NIFTY_IT!$B$3:$I$1238,8,0)</f>
        <v>-3.0779804862013371E-3</v>
      </c>
      <c r="O77" s="8">
        <f>+VLOOKUP($B77,NIFTY_PHARMA!$B$3:$I$1238,8,0)</f>
        <v>-9.2634378078310098E-3</v>
      </c>
      <c r="P77" s="8">
        <f>+VLOOKUP($B77,NIFTY_FMCG!$B$3:$I$1238,8,0)</f>
        <v>-1.1293820213959194E-2</v>
      </c>
      <c r="Q77" s="8">
        <f>+VLOOKUP($B77,NIFTY_METAL!$B$3:$I$1238,8,0)</f>
        <v>-4.9320980254482505E-3</v>
      </c>
      <c r="R77" s="8">
        <f>+VLOOKUP($B77,NIFTY_ENERGY!$B$3:$I$1238,8,0)</f>
        <v>1.0382400464017838E-2</v>
      </c>
      <c r="S77" s="8">
        <f>+VLOOKUP($B77,NIFTY_AUTO!$B$3:$I$1238,8,0)</f>
        <v>-5.1564597019142511E-3</v>
      </c>
      <c r="T77" s="8">
        <v>0</v>
      </c>
      <c r="U77" s="8">
        <f>+VLOOKUP($B77,NIFTY_50!$B$63:$K$1238,10,0)</f>
        <v>8.1125297862502999E-2</v>
      </c>
      <c r="V77" s="8">
        <f>+VLOOKUP($B77,NIFTY_BANK!$B$63:$K$1238,10,0)</f>
        <v>0.1269173954534164</v>
      </c>
      <c r="W77" s="8">
        <f>+VLOOKUP($B77,NIFTY_IT!$B$63:$K$1238,10,0)</f>
        <v>-2.0934930518530792E-2</v>
      </c>
      <c r="X77" s="8">
        <f>+VLOOKUP($B77,NIFTY_PHARMA!$B$63:$K$1238,10,0)</f>
        <v>-1.7445078081763321E-2</v>
      </c>
      <c r="Y77" s="8">
        <f>+VLOOKUP($B77,NIFTY_FMCG!$B$63:$K$1238,10,0)</f>
        <v>7.3756075464023185E-2</v>
      </c>
      <c r="Z77" s="8">
        <f>+VLOOKUP($B77,NIFTY_METAL!$B$63:$K$1238,10,0)</f>
        <v>-3.3451992813893217E-2</v>
      </c>
      <c r="AA77" s="8">
        <f>+VLOOKUP($B77,NIFTY_ENERGY!$B$63:$K$1238,10,0)</f>
        <v>0.15705522054532595</v>
      </c>
      <c r="AB77" s="8">
        <f>+VLOOKUP($B77,NIFTY_AUTO!$B$63:$K$1238,10,0)</f>
        <v>1.5428983417447695E-2</v>
      </c>
      <c r="AC77" s="8"/>
      <c r="AD77" s="16">
        <f t="shared" si="62"/>
        <v>4.5227790957938926E-2</v>
      </c>
      <c r="AE77" s="8">
        <f t="shared" si="63"/>
        <v>6.184120680492506E-2</v>
      </c>
      <c r="AF77" s="8">
        <f t="shared" si="64"/>
        <v>7.7984232466919906E-2</v>
      </c>
      <c r="AG77" s="8">
        <f t="shared" si="65"/>
        <v>7.5269389575089274E-2</v>
      </c>
      <c r="AH77" s="8">
        <f t="shared" si="66"/>
        <v>6.7956645822495415E-2</v>
      </c>
      <c r="AI77" s="8">
        <f t="shared" si="67"/>
        <v>9.6439911208893836E-2</v>
      </c>
      <c r="AJ77" s="8">
        <f t="shared" si="68"/>
        <v>7.3125284018329254E-2</v>
      </c>
      <c r="AK77" s="8">
        <f t="shared" si="69"/>
        <v>7.522492687677601E-2</v>
      </c>
      <c r="AL77" s="9">
        <v>0</v>
      </c>
      <c r="AM77" s="17">
        <f t="shared" si="45"/>
        <v>22.11029941590521</v>
      </c>
      <c r="AN77" s="13">
        <f t="shared" si="46"/>
        <v>16.170447694438582</v>
      </c>
      <c r="AO77" s="13">
        <f t="shared" si="47"/>
        <v>12.823104983743855</v>
      </c>
      <c r="AP77" s="13">
        <f t="shared" si="48"/>
        <v>13.285613257197907</v>
      </c>
      <c r="AQ77" s="13">
        <f t="shared" si="49"/>
        <v>14.715264237908782</v>
      </c>
      <c r="AR77" s="13">
        <f t="shared" si="50"/>
        <v>10.369150981837263</v>
      </c>
      <c r="AS77" s="13">
        <f t="shared" si="51"/>
        <v>13.675160560734978</v>
      </c>
      <c r="AT77" s="13">
        <f t="shared" si="52"/>
        <v>13.293465896458416</v>
      </c>
      <c r="AU77" s="9">
        <v>0</v>
      </c>
      <c r="AV77" s="18">
        <f t="shared" si="70"/>
        <v>1</v>
      </c>
      <c r="AW77" s="18">
        <f t="shared" si="71"/>
        <v>2</v>
      </c>
      <c r="AX77" s="18">
        <f t="shared" si="72"/>
        <v>7</v>
      </c>
      <c r="AY77" s="18">
        <f t="shared" si="73"/>
        <v>6</v>
      </c>
      <c r="AZ77" s="18">
        <f t="shared" si="74"/>
        <v>3</v>
      </c>
      <c r="BA77" s="18">
        <f t="shared" si="75"/>
        <v>8</v>
      </c>
      <c r="BB77" s="18">
        <f t="shared" si="76"/>
        <v>4</v>
      </c>
      <c r="BC77" s="18">
        <f t="shared" si="77"/>
        <v>5</v>
      </c>
      <c r="BD77" s="18">
        <f t="shared" si="78"/>
        <v>9</v>
      </c>
      <c r="BE77" s="8">
        <f t="shared" si="80"/>
        <v>-4.8903390337943437E-3</v>
      </c>
    </row>
    <row r="78" spans="1:57" x14ac:dyDescent="0.25">
      <c r="A78" t="str">
        <f t="shared" si="79"/>
        <v/>
      </c>
      <c r="B78" s="1">
        <v>42849</v>
      </c>
      <c r="C78" s="9">
        <f t="shared" si="54"/>
        <v>0.25162755460995345</v>
      </c>
      <c r="D78" s="9">
        <f t="shared" si="55"/>
        <v>0.25524686303392058</v>
      </c>
      <c r="E78" s="9">
        <f t="shared" si="56"/>
        <v>0</v>
      </c>
      <c r="F78" s="9">
        <f t="shared" si="57"/>
        <v>0.24480699607725398</v>
      </c>
      <c r="G78" s="9">
        <f t="shared" si="58"/>
        <v>0.24831858627887207</v>
      </c>
      <c r="H78" s="9">
        <f t="shared" si="59"/>
        <v>0</v>
      </c>
      <c r="I78" s="9">
        <f t="shared" si="60"/>
        <v>0</v>
      </c>
      <c r="J78" s="9">
        <f t="shared" si="61"/>
        <v>0</v>
      </c>
      <c r="K78" s="9">
        <v>0</v>
      </c>
      <c r="L78" s="8">
        <f>+VLOOKUP($B78,NIFTY_50!$B$3:$I$1238,8,0)</f>
        <v>1.0806632015264217E-2</v>
      </c>
      <c r="M78" s="8">
        <f>+VLOOKUP($B78,NIFTY_BANK!$B$3:$I$41238,8,0)</f>
        <v>1.4196260576434527E-2</v>
      </c>
      <c r="N78" s="8">
        <f>+VLOOKUP($B78,NIFTY_IT!$B$3:$I$1238,8,0)</f>
        <v>5.0159120316941586E-3</v>
      </c>
      <c r="O78" s="8">
        <f>+VLOOKUP($B78,NIFTY_PHARMA!$B$3:$I$1238,8,0)</f>
        <v>-3.0121957192535964E-3</v>
      </c>
      <c r="P78" s="8">
        <f>+VLOOKUP($B78,NIFTY_FMCG!$B$3:$I$1238,8,0)</f>
        <v>4.9440804483895651E-3</v>
      </c>
      <c r="Q78" s="8">
        <f>+VLOOKUP($B78,NIFTY_METAL!$B$3:$I$1238,8,0)</f>
        <v>7.0389811548059456E-3</v>
      </c>
      <c r="R78" s="8">
        <f>+VLOOKUP($B78,NIFTY_ENERGY!$B$3:$I$1238,8,0)</f>
        <v>6.5074054027456363E-3</v>
      </c>
      <c r="S78" s="8">
        <f>+VLOOKUP($B78,NIFTY_AUTO!$B$3:$I$1238,8,0)</f>
        <v>1.2111007424838949E-2</v>
      </c>
      <c r="T78" s="8">
        <v>0</v>
      </c>
      <c r="U78" s="8">
        <f>+VLOOKUP($B78,NIFTY_50!$B$63:$K$1238,10,0)</f>
        <v>0.10403205039913299</v>
      </c>
      <c r="V78" s="8">
        <f>+VLOOKUP($B78,NIFTY_BANK!$B$63:$K$1238,10,0)</f>
        <v>0.16134276970160677</v>
      </c>
      <c r="W78" s="8">
        <f>+VLOOKUP($B78,NIFTY_IT!$B$63:$K$1238,10,0)</f>
        <v>-7.3327313190526544E-3</v>
      </c>
      <c r="X78" s="8">
        <f>+VLOOKUP($B78,NIFTY_PHARMA!$B$63:$K$1238,10,0)</f>
        <v>-1.2621448701717664E-2</v>
      </c>
      <c r="Y78" s="8">
        <f>+VLOOKUP($B78,NIFTY_FMCG!$B$63:$K$1238,10,0)</f>
        <v>7.872076447307319E-2</v>
      </c>
      <c r="Z78" s="8">
        <f>+VLOOKUP($B78,NIFTY_METAL!$B$63:$K$1238,10,0)</f>
        <v>-2.5229279601787225E-3</v>
      </c>
      <c r="AA78" s="8">
        <f>+VLOOKUP($B78,NIFTY_ENERGY!$B$63:$K$1238,10,0)</f>
        <v>0.1793054741474569</v>
      </c>
      <c r="AB78" s="8">
        <f>+VLOOKUP($B78,NIFTY_AUTO!$B$63:$K$1238,10,0)</f>
        <v>3.9287574211019693E-2</v>
      </c>
      <c r="AC78" s="8"/>
      <c r="AD78" s="16">
        <f t="shared" si="62"/>
        <v>4.4692390156591377E-2</v>
      </c>
      <c r="AE78" s="8">
        <f t="shared" si="63"/>
        <v>6.0328383033941967E-2</v>
      </c>
      <c r="AF78" s="8">
        <f t="shared" si="64"/>
        <v>7.7685949525201498E-2</v>
      </c>
      <c r="AG78" s="8">
        <f t="shared" si="65"/>
        <v>7.4929206920566385E-2</v>
      </c>
      <c r="AH78" s="8">
        <f t="shared" si="66"/>
        <v>6.8051093721991446E-2</v>
      </c>
      <c r="AI78" s="8">
        <f t="shared" si="67"/>
        <v>9.3697901545143111E-2</v>
      </c>
      <c r="AJ78" s="8">
        <f t="shared" si="68"/>
        <v>7.1661263881925438E-2</v>
      </c>
      <c r="AK78" s="8">
        <f t="shared" si="69"/>
        <v>7.5226747416563045E-2</v>
      </c>
      <c r="AL78" s="9">
        <v>0</v>
      </c>
      <c r="AM78" s="17">
        <f t="shared" si="45"/>
        <v>22.375173860611184</v>
      </c>
      <c r="AN78" s="13">
        <f t="shared" si="46"/>
        <v>16.575945677797794</v>
      </c>
      <c r="AO78" s="13">
        <f t="shared" si="47"/>
        <v>12.87234057267457</v>
      </c>
      <c r="AP78" s="13">
        <f t="shared" si="48"/>
        <v>13.345930660391421</v>
      </c>
      <c r="AQ78" s="13">
        <f t="shared" si="49"/>
        <v>14.694840968835733</v>
      </c>
      <c r="AR78" s="13">
        <f t="shared" si="50"/>
        <v>10.672597609010547</v>
      </c>
      <c r="AS78" s="13">
        <f t="shared" si="51"/>
        <v>13.95454037271344</v>
      </c>
      <c r="AT78" s="13">
        <f t="shared" si="52"/>
        <v>13.293144185306423</v>
      </c>
      <c r="AU78" s="9">
        <v>0</v>
      </c>
      <c r="AV78" s="18">
        <f t="shared" si="70"/>
        <v>1</v>
      </c>
      <c r="AW78" s="18">
        <f t="shared" si="71"/>
        <v>2</v>
      </c>
      <c r="AX78" s="18">
        <f t="shared" si="72"/>
        <v>7</v>
      </c>
      <c r="AY78" s="18">
        <f t="shared" si="73"/>
        <v>5</v>
      </c>
      <c r="AZ78" s="18">
        <f t="shared" si="74"/>
        <v>3</v>
      </c>
      <c r="BA78" s="18">
        <f t="shared" si="75"/>
        <v>8</v>
      </c>
      <c r="BB78" s="18">
        <f t="shared" si="76"/>
        <v>4</v>
      </c>
      <c r="BC78" s="18">
        <f t="shared" si="77"/>
        <v>6</v>
      </c>
      <c r="BD78" s="18">
        <f t="shared" si="78"/>
        <v>9</v>
      </c>
      <c r="BE78" s="8">
        <f t="shared" si="80"/>
        <v>6.7908418305665441E-3</v>
      </c>
    </row>
    <row r="79" spans="1:57" x14ac:dyDescent="0.25">
      <c r="A79" t="str">
        <f t="shared" si="79"/>
        <v/>
      </c>
      <c r="B79" s="1">
        <v>42850</v>
      </c>
      <c r="C79" s="9">
        <f t="shared" si="54"/>
        <v>0.25135152601351324</v>
      </c>
      <c r="D79" s="9">
        <f t="shared" si="55"/>
        <v>0.25481776193566219</v>
      </c>
      <c r="E79" s="9">
        <f t="shared" si="56"/>
        <v>0</v>
      </c>
      <c r="F79" s="9">
        <f t="shared" si="57"/>
        <v>0.24372502529796178</v>
      </c>
      <c r="G79" s="9">
        <f t="shared" si="58"/>
        <v>0.25010568675286282</v>
      </c>
      <c r="H79" s="9">
        <f t="shared" si="59"/>
        <v>0</v>
      </c>
      <c r="I79" s="9">
        <f t="shared" si="60"/>
        <v>0</v>
      </c>
      <c r="J79" s="9">
        <f t="shared" si="61"/>
        <v>0</v>
      </c>
      <c r="K79" s="9">
        <v>0</v>
      </c>
      <c r="L79" s="8">
        <f>+VLOOKUP($B79,NIFTY_50!$B$3:$I$1238,8,0)</f>
        <v>9.6171057556180273E-3</v>
      </c>
      <c r="M79" s="8">
        <f>+VLOOKUP($B79,NIFTY_BANK!$B$3:$I$41238,8,0)</f>
        <v>9.0266911892540325E-3</v>
      </c>
      <c r="N79" s="8">
        <f>+VLOOKUP($B79,NIFTY_IT!$B$3:$I$1238,8,0)</f>
        <v>3.2709142155522564E-3</v>
      </c>
      <c r="O79" s="8">
        <f>+VLOOKUP($B79,NIFTY_PHARMA!$B$3:$I$1238,8,0)</f>
        <v>6.2587507061975245E-3</v>
      </c>
      <c r="P79" s="8">
        <f>+VLOOKUP($B79,NIFTY_FMCG!$B$3:$I$1238,8,0)</f>
        <v>1.7999841505441205E-2</v>
      </c>
      <c r="Q79" s="8">
        <f>+VLOOKUP($B79,NIFTY_METAL!$B$3:$I$1238,8,0)</f>
        <v>6.8872406603548431E-3</v>
      </c>
      <c r="R79" s="8">
        <f>+VLOOKUP($B79,NIFTY_ENERGY!$B$3:$I$1238,8,0)</f>
        <v>1.0893698846669464E-2</v>
      </c>
      <c r="S79" s="8">
        <f>+VLOOKUP($B79,NIFTY_AUTO!$B$3:$I$1238,8,0)</f>
        <v>1.1239502114609889E-2</v>
      </c>
      <c r="T79" s="8">
        <v>0</v>
      </c>
      <c r="U79" s="8">
        <f>+VLOOKUP($B79,NIFTY_50!$B$63:$K$1238,10,0)</f>
        <v>0.10905082523982612</v>
      </c>
      <c r="V79" s="8">
        <f>+VLOOKUP($B79,NIFTY_BANK!$B$63:$K$1238,10,0)</f>
        <v>0.17046389317879074</v>
      </c>
      <c r="W79" s="8">
        <f>+VLOOKUP($B79,NIFTY_IT!$B$63:$K$1238,10,0)</f>
        <v>-1.2539875139440659E-2</v>
      </c>
      <c r="X79" s="8">
        <f>+VLOOKUP($B79,NIFTY_PHARMA!$B$63:$K$1238,10,0)</f>
        <v>2.6727627849600921E-3</v>
      </c>
      <c r="Y79" s="8">
        <f>+VLOOKUP($B79,NIFTY_FMCG!$B$63:$K$1238,10,0)</f>
        <v>8.6452742550448436E-2</v>
      </c>
      <c r="Z79" s="8">
        <f>+VLOOKUP($B79,NIFTY_METAL!$B$63:$K$1238,10,0)</f>
        <v>-2.2448979591836782E-2</v>
      </c>
      <c r="AA79" s="8">
        <f>+VLOOKUP($B79,NIFTY_ENERGY!$B$63:$K$1238,10,0)</f>
        <v>0.18733222640642722</v>
      </c>
      <c r="AB79" s="8">
        <f>+VLOOKUP($B79,NIFTY_AUTO!$B$63:$K$1238,10,0)</f>
        <v>4.4009311950336194E-2</v>
      </c>
      <c r="AC79" s="8"/>
      <c r="AD79" s="16">
        <f t="shared" si="62"/>
        <v>4.5266816166675015E-2</v>
      </c>
      <c r="AE79" s="8">
        <f t="shared" si="63"/>
        <v>6.0659309500999119E-2</v>
      </c>
      <c r="AF79" s="8">
        <f t="shared" si="64"/>
        <v>7.7274167872674826E-2</v>
      </c>
      <c r="AG79" s="8">
        <f t="shared" si="65"/>
        <v>7.4646143873151244E-2</v>
      </c>
      <c r="AH79" s="8">
        <f t="shared" si="66"/>
        <v>6.9425190987730243E-2</v>
      </c>
      <c r="AI79" s="8">
        <f t="shared" si="67"/>
        <v>8.9831491923632781E-2</v>
      </c>
      <c r="AJ79" s="8">
        <f t="shared" si="68"/>
        <v>7.2105389854379434E-2</v>
      </c>
      <c r="AK79" s="8">
        <f t="shared" si="69"/>
        <v>7.5725875592216024E-2</v>
      </c>
      <c r="AL79" s="9">
        <v>0</v>
      </c>
      <c r="AM79" s="17">
        <f t="shared" si="45"/>
        <v>22.091237791452851</v>
      </c>
      <c r="AN79" s="13">
        <f t="shared" si="46"/>
        <v>16.485515714344373</v>
      </c>
      <c r="AO79" s="13">
        <f t="shared" si="47"/>
        <v>12.94093521198063</v>
      </c>
      <c r="AP79" s="13">
        <f t="shared" si="48"/>
        <v>13.396539300132293</v>
      </c>
      <c r="AQ79" s="13">
        <f t="shared" si="49"/>
        <v>14.403993503982344</v>
      </c>
      <c r="AR79" s="13">
        <f t="shared" si="50"/>
        <v>11.131953600972322</v>
      </c>
      <c r="AS79" s="13">
        <f t="shared" si="51"/>
        <v>13.868588770125946</v>
      </c>
      <c r="AT79" s="13">
        <f t="shared" si="52"/>
        <v>13.205525749018761</v>
      </c>
      <c r="AU79" s="9">
        <v>0</v>
      </c>
      <c r="AV79" s="18">
        <f t="shared" si="70"/>
        <v>1</v>
      </c>
      <c r="AW79" s="18">
        <f t="shared" si="71"/>
        <v>2</v>
      </c>
      <c r="AX79" s="18">
        <f t="shared" si="72"/>
        <v>7</v>
      </c>
      <c r="AY79" s="18">
        <f t="shared" si="73"/>
        <v>5</v>
      </c>
      <c r="AZ79" s="18">
        <f t="shared" si="74"/>
        <v>3</v>
      </c>
      <c r="BA79" s="18">
        <f t="shared" si="75"/>
        <v>8</v>
      </c>
      <c r="BB79" s="18">
        <f t="shared" si="76"/>
        <v>4</v>
      </c>
      <c r="BC79" s="18">
        <f t="shared" si="77"/>
        <v>6</v>
      </c>
      <c r="BD79" s="18">
        <f t="shared" si="78"/>
        <v>9</v>
      </c>
      <c r="BE79" s="8">
        <f t="shared" si="80"/>
        <v>1.0725844568800026E-2</v>
      </c>
    </row>
    <row r="80" spans="1:57" x14ac:dyDescent="0.25">
      <c r="A80" t="str">
        <f t="shared" si="79"/>
        <v/>
      </c>
      <c r="B80" s="1">
        <v>42851</v>
      </c>
      <c r="C80" s="9">
        <f t="shared" si="54"/>
        <v>0.2505640618722404</v>
      </c>
      <c r="D80" s="9">
        <f t="shared" si="55"/>
        <v>0.25494690601732423</v>
      </c>
      <c r="E80" s="9">
        <f t="shared" si="56"/>
        <v>0</v>
      </c>
      <c r="F80" s="9">
        <f t="shared" si="57"/>
        <v>0.24074117882388835</v>
      </c>
      <c r="G80" s="9">
        <f t="shared" si="58"/>
        <v>0.25374785328654703</v>
      </c>
      <c r="H80" s="9">
        <f t="shared" si="59"/>
        <v>0</v>
      </c>
      <c r="I80" s="9">
        <f t="shared" si="60"/>
        <v>0</v>
      </c>
      <c r="J80" s="9">
        <f t="shared" si="61"/>
        <v>0</v>
      </c>
      <c r="K80" s="9">
        <v>0</v>
      </c>
      <c r="L80" s="8">
        <f>+VLOOKUP($B80,NIFTY_50!$B$3:$I$1238,8,0)</f>
        <v>4.8621408462812266E-3</v>
      </c>
      <c r="M80" s="8">
        <f>+VLOOKUP($B80,NIFTY_BANK!$B$3:$I$41238,8,0)</f>
        <v>8.5310614064122436E-3</v>
      </c>
      <c r="N80" s="8">
        <f>+VLOOKUP($B80,NIFTY_IT!$B$3:$I$1238,8,0)</f>
        <v>-1.2337421033073226E-2</v>
      </c>
      <c r="O80" s="8">
        <f>+VLOOKUP($B80,NIFTY_PHARMA!$B$3:$I$1238,8,0)</f>
        <v>-4.3206772478506794E-3</v>
      </c>
      <c r="P80" s="8">
        <f>+VLOOKUP($B80,NIFTY_FMCG!$B$3:$I$1238,8,0)</f>
        <v>2.2699491055066634E-2</v>
      </c>
      <c r="Q80" s="8">
        <f>+VLOOKUP($B80,NIFTY_METAL!$B$3:$I$1238,8,0)</f>
        <v>4.0905001951898612E-3</v>
      </c>
      <c r="R80" s="8">
        <f>+VLOOKUP($B80,NIFTY_ENERGY!$B$3:$I$1238,8,0)</f>
        <v>-1.0333001527382146E-2</v>
      </c>
      <c r="S80" s="8">
        <f>+VLOOKUP($B80,NIFTY_AUTO!$B$3:$I$1238,8,0)</f>
        <v>9.8460410193899062E-3</v>
      </c>
      <c r="T80" s="8">
        <v>0</v>
      </c>
      <c r="U80" s="8">
        <f>+VLOOKUP($B80,NIFTY_50!$B$63:$K$1238,10,0)</f>
        <v>0.10335897496401536</v>
      </c>
      <c r="V80" s="8">
        <f>+VLOOKUP($B80,NIFTY_BANK!$B$63:$K$1238,10,0)</f>
        <v>0.16923016269351066</v>
      </c>
      <c r="W80" s="8">
        <f>+VLOOKUP($B80,NIFTY_IT!$B$63:$K$1238,10,0)</f>
        <v>-2.3020898682559632E-2</v>
      </c>
      <c r="X80" s="8">
        <f>+VLOOKUP($B80,NIFTY_PHARMA!$B$63:$K$1238,10,0)</f>
        <v>-1.3757985192635935E-2</v>
      </c>
      <c r="Y80" s="8">
        <f>+VLOOKUP($B80,NIFTY_FMCG!$B$63:$K$1238,10,0)</f>
        <v>0.109359880228588</v>
      </c>
      <c r="Z80" s="8">
        <f>+VLOOKUP($B80,NIFTY_METAL!$B$63:$K$1238,10,0)</f>
        <v>-3.4092022336152605E-2</v>
      </c>
      <c r="AA80" s="8">
        <f>+VLOOKUP($B80,NIFTY_ENERGY!$B$63:$K$1238,10,0)</f>
        <v>0.16001020316581549</v>
      </c>
      <c r="AB80" s="8">
        <f>+VLOOKUP($B80,NIFTY_AUTO!$B$63:$K$1238,10,0)</f>
        <v>3.6781913269978261E-2</v>
      </c>
      <c r="AC80" s="8"/>
      <c r="AD80" s="16">
        <f t="shared" si="62"/>
        <v>4.4599828769963629E-2</v>
      </c>
      <c r="AE80" s="8">
        <f t="shared" si="63"/>
        <v>6.0545904856615311E-2</v>
      </c>
      <c r="AF80" s="8">
        <f t="shared" si="64"/>
        <v>7.8200328924955334E-2</v>
      </c>
      <c r="AG80" s="8">
        <f t="shared" si="65"/>
        <v>7.3747416064390517E-2</v>
      </c>
      <c r="AH80" s="8">
        <f t="shared" si="66"/>
        <v>7.2568603628764494E-2</v>
      </c>
      <c r="AI80" s="8">
        <f t="shared" si="67"/>
        <v>8.8398987170921525E-2</v>
      </c>
      <c r="AJ80" s="8">
        <f t="shared" si="68"/>
        <v>7.2539911003836444E-2</v>
      </c>
      <c r="AK80" s="8">
        <f t="shared" si="69"/>
        <v>7.4538706587236686E-2</v>
      </c>
      <c r="AL80" s="9">
        <v>0</v>
      </c>
      <c r="AM80" s="17">
        <f t="shared" si="45"/>
        <v>22.421610745587969</v>
      </c>
      <c r="AN80" s="13">
        <f t="shared" si="46"/>
        <v>16.516393674653933</v>
      </c>
      <c r="AO80" s="13">
        <f t="shared" si="47"/>
        <v>12.787669997649836</v>
      </c>
      <c r="AP80" s="13">
        <f t="shared" si="48"/>
        <v>13.559797120578132</v>
      </c>
      <c r="AQ80" s="13">
        <f t="shared" si="49"/>
        <v>13.78006396699665</v>
      </c>
      <c r="AR80" s="13">
        <f t="shared" si="50"/>
        <v>11.312346804002138</v>
      </c>
      <c r="AS80" s="13">
        <f t="shared" si="51"/>
        <v>13.785514569312232</v>
      </c>
      <c r="AT80" s="13">
        <f t="shared" si="52"/>
        <v>13.415848567611592</v>
      </c>
      <c r="AU80" s="9">
        <v>0</v>
      </c>
      <c r="AV80" s="18">
        <f t="shared" si="70"/>
        <v>1</v>
      </c>
      <c r="AW80" s="18">
        <f t="shared" si="71"/>
        <v>2</v>
      </c>
      <c r="AX80" s="18">
        <f t="shared" si="72"/>
        <v>7</v>
      </c>
      <c r="AY80" s="18">
        <f t="shared" si="73"/>
        <v>5</v>
      </c>
      <c r="AZ80" s="18">
        <f t="shared" si="74"/>
        <v>4</v>
      </c>
      <c r="BA80" s="18">
        <f t="shared" si="75"/>
        <v>8</v>
      </c>
      <c r="BB80" s="18">
        <f t="shared" si="76"/>
        <v>3</v>
      </c>
      <c r="BC80" s="18">
        <f t="shared" si="77"/>
        <v>6</v>
      </c>
      <c r="BD80" s="18">
        <f t="shared" si="78"/>
        <v>9</v>
      </c>
      <c r="BE80" s="8">
        <f t="shared" si="80"/>
        <v>8.0201871236542637E-3</v>
      </c>
    </row>
    <row r="81" spans="1:57" x14ac:dyDescent="0.25">
      <c r="A81" t="str">
        <f t="shared" si="79"/>
        <v/>
      </c>
      <c r="B81" s="1">
        <v>42852</v>
      </c>
      <c r="C81" s="9">
        <f t="shared" si="54"/>
        <v>0.25132849967491699</v>
      </c>
      <c r="D81" s="9">
        <f t="shared" si="55"/>
        <v>0.25695065134519013</v>
      </c>
      <c r="E81" s="9">
        <f t="shared" si="56"/>
        <v>0</v>
      </c>
      <c r="F81" s="9">
        <f t="shared" si="57"/>
        <v>0.23942223099699603</v>
      </c>
      <c r="G81" s="9">
        <f t="shared" si="58"/>
        <v>0.25229861798289688</v>
      </c>
      <c r="H81" s="9">
        <f t="shared" si="59"/>
        <v>0</v>
      </c>
      <c r="I81" s="9">
        <f t="shared" si="60"/>
        <v>0</v>
      </c>
      <c r="J81" s="9">
        <f t="shared" si="61"/>
        <v>0</v>
      </c>
      <c r="K81" s="9">
        <v>0</v>
      </c>
      <c r="L81" s="8">
        <f>+VLOOKUP($B81,NIFTY_50!$B$3:$I$1238,8,0)</f>
        <v>-1.0372279281640751E-3</v>
      </c>
      <c r="M81" s="8">
        <f>+VLOOKUP($B81,NIFTY_BANK!$B$3:$I$41238,8,0)</f>
        <v>3.7517674218907615E-3</v>
      </c>
      <c r="N81" s="8">
        <f>+VLOOKUP($B81,NIFTY_IT!$B$3:$I$1238,8,0)</f>
        <v>4.5752125818345757E-3</v>
      </c>
      <c r="O81" s="8">
        <f>+VLOOKUP($B81,NIFTY_PHARMA!$B$3:$I$1238,8,0)</f>
        <v>-9.5320283999530409E-3</v>
      </c>
      <c r="P81" s="8">
        <f>+VLOOKUP($B81,NIFTY_FMCG!$B$3:$I$1238,8,0)</f>
        <v>-9.7637043650711242E-3</v>
      </c>
      <c r="Q81" s="8">
        <f>+VLOOKUP($B81,NIFTY_METAL!$B$3:$I$1238,8,0)</f>
        <v>-9.4830792116028517E-3</v>
      </c>
      <c r="R81" s="8">
        <f>+VLOOKUP($B81,NIFTY_ENERGY!$B$3:$I$1238,8,0)</f>
        <v>9.3251293912599564E-4</v>
      </c>
      <c r="S81" s="8">
        <f>+VLOOKUP($B81,NIFTY_AUTO!$B$3:$I$1238,8,0)</f>
        <v>-1.6290960479700134E-3</v>
      </c>
      <c r="T81" s="8">
        <v>0</v>
      </c>
      <c r="U81" s="8">
        <f>+VLOOKUP($B81,NIFTY_50!$B$63:$K$1238,10,0)</f>
        <v>8.5949260410915107E-2</v>
      </c>
      <c r="V81" s="8">
        <f>+VLOOKUP($B81,NIFTY_BANK!$B$63:$K$1238,10,0)</f>
        <v>0.14651418359591628</v>
      </c>
      <c r="W81" s="8">
        <f>+VLOOKUP($B81,NIFTY_IT!$B$63:$K$1238,10,0)</f>
        <v>-1.4963918362528306E-2</v>
      </c>
      <c r="X81" s="8">
        <f>+VLOOKUP($B81,NIFTY_PHARMA!$B$63:$K$1238,10,0)</f>
        <v>-2.2511274993709307E-2</v>
      </c>
      <c r="Y81" s="8">
        <f>+VLOOKUP($B81,NIFTY_FMCG!$B$63:$K$1238,10,0)</f>
        <v>8.379397692091195E-2</v>
      </c>
      <c r="Z81" s="8">
        <f>+VLOOKUP($B81,NIFTY_METAL!$B$63:$K$1238,10,0)</f>
        <v>-5.7638185297759881E-2</v>
      </c>
      <c r="AA81" s="8">
        <f>+VLOOKUP($B81,NIFTY_ENERGY!$B$63:$K$1238,10,0)</f>
        <v>0.15271199317194872</v>
      </c>
      <c r="AB81" s="8">
        <f>+VLOOKUP($B81,NIFTY_AUTO!$B$63:$K$1238,10,0)</f>
        <v>2.0606559186171269E-2</v>
      </c>
      <c r="AC81" s="8"/>
      <c r="AD81" s="16">
        <f t="shared" si="62"/>
        <v>4.2589744235220758E-2</v>
      </c>
      <c r="AE81" s="8">
        <f t="shared" si="63"/>
        <v>5.6726107387408277E-2</v>
      </c>
      <c r="AF81" s="8">
        <f t="shared" si="64"/>
        <v>7.8277092547383909E-2</v>
      </c>
      <c r="AG81" s="8">
        <f t="shared" si="65"/>
        <v>7.4327472798189853E-2</v>
      </c>
      <c r="AH81" s="8">
        <f t="shared" si="66"/>
        <v>7.2452137619252149E-2</v>
      </c>
      <c r="AI81" s="8">
        <f t="shared" si="67"/>
        <v>8.7385577876645235E-2</v>
      </c>
      <c r="AJ81" s="8">
        <f t="shared" si="68"/>
        <v>7.2393516331288071E-2</v>
      </c>
      <c r="AK81" s="8">
        <f t="shared" si="69"/>
        <v>7.3302701958272584E-2</v>
      </c>
      <c r="AL81" s="9">
        <v>0</v>
      </c>
      <c r="AM81" s="17">
        <f t="shared" si="45"/>
        <v>23.479831070998134</v>
      </c>
      <c r="AN81" s="13">
        <f t="shared" si="46"/>
        <v>17.628567269221332</v>
      </c>
      <c r="AO81" s="13">
        <f t="shared" si="47"/>
        <v>12.775129574398338</v>
      </c>
      <c r="AP81" s="13">
        <f t="shared" si="48"/>
        <v>13.453975526857327</v>
      </c>
      <c r="AQ81" s="13">
        <f t="shared" si="49"/>
        <v>13.802215267341921</v>
      </c>
      <c r="AR81" s="13">
        <f t="shared" si="50"/>
        <v>11.44353592776619</v>
      </c>
      <c r="AS81" s="13">
        <f t="shared" si="51"/>
        <v>13.813391732814692</v>
      </c>
      <c r="AT81" s="13">
        <f t="shared" si="52"/>
        <v>13.642061933395688</v>
      </c>
      <c r="AU81" s="9">
        <v>0</v>
      </c>
      <c r="AV81" s="18">
        <f t="shared" si="70"/>
        <v>1</v>
      </c>
      <c r="AW81" s="18">
        <f t="shared" si="71"/>
        <v>2</v>
      </c>
      <c r="AX81" s="18">
        <f t="shared" si="72"/>
        <v>7</v>
      </c>
      <c r="AY81" s="18">
        <f t="shared" si="73"/>
        <v>6</v>
      </c>
      <c r="AZ81" s="18">
        <f t="shared" si="74"/>
        <v>4</v>
      </c>
      <c r="BA81" s="18">
        <f t="shared" si="75"/>
        <v>8</v>
      </c>
      <c r="BB81" s="18">
        <f t="shared" si="76"/>
        <v>3</v>
      </c>
      <c r="BC81" s="18">
        <f t="shared" si="77"/>
        <v>5</v>
      </c>
      <c r="BD81" s="18">
        <f t="shared" si="78"/>
        <v>9</v>
      </c>
      <c r="BE81" s="8">
        <f t="shared" si="80"/>
        <v>-4.0756613228092398E-3</v>
      </c>
    </row>
    <row r="82" spans="1:57" x14ac:dyDescent="0.25">
      <c r="A82" t="str">
        <f t="shared" si="79"/>
        <v>Y</v>
      </c>
      <c r="B82" s="1">
        <v>42853</v>
      </c>
      <c r="C82" s="9">
        <f t="shared" si="54"/>
        <v>0.25</v>
      </c>
      <c r="D82" s="9">
        <f t="shared" si="55"/>
        <v>0.25</v>
      </c>
      <c r="E82" s="9">
        <f t="shared" si="56"/>
        <v>0</v>
      </c>
      <c r="F82" s="9">
        <f t="shared" si="57"/>
        <v>0</v>
      </c>
      <c r="G82" s="9">
        <f t="shared" si="58"/>
        <v>0.25</v>
      </c>
      <c r="H82" s="9">
        <f t="shared" si="59"/>
        <v>0</v>
      </c>
      <c r="I82" s="9">
        <f t="shared" si="60"/>
        <v>0.25</v>
      </c>
      <c r="J82" s="9">
        <f t="shared" si="61"/>
        <v>0</v>
      </c>
      <c r="K82" s="9">
        <v>0</v>
      </c>
      <c r="L82" s="8">
        <f>+VLOOKUP($B82,NIFTY_50!$B$3:$I$1238,8,0)</f>
        <v>-4.0782903293139494E-3</v>
      </c>
      <c r="M82" s="8">
        <f>+VLOOKUP($B82,NIFTY_BANK!$B$3:$I$41238,8,0)</f>
        <v>1.4310476881524981E-3</v>
      </c>
      <c r="N82" s="8">
        <f>+VLOOKUP($B82,NIFTY_IT!$B$3:$I$1238,8,0)</f>
        <v>-6.8565321827542824E-3</v>
      </c>
      <c r="O82" s="8">
        <f>+VLOOKUP($B82,NIFTY_PHARMA!$B$3:$I$1238,8,0)</f>
        <v>2.0693069306929601E-3</v>
      </c>
      <c r="P82" s="8">
        <f>+VLOOKUP($B82,NIFTY_FMCG!$B$3:$I$1238,8,0)</f>
        <v>-1.6271242780570794E-2</v>
      </c>
      <c r="Q82" s="8">
        <f>+VLOOKUP($B82,NIFTY_METAL!$B$3:$I$1238,8,0)</f>
        <v>1.520555659846079E-2</v>
      </c>
      <c r="R82" s="8">
        <f>+VLOOKUP($B82,NIFTY_ENERGY!$B$3:$I$1238,8,0)</f>
        <v>-2.1602753435693289E-3</v>
      </c>
      <c r="S82" s="8">
        <f>+VLOOKUP($B82,NIFTY_AUTO!$B$3:$I$1238,8,0)</f>
        <v>8.0653881314445286E-3</v>
      </c>
      <c r="T82" s="8">
        <v>0</v>
      </c>
      <c r="U82" s="8">
        <f>+VLOOKUP($B82,NIFTY_50!$B$63:$K$1238,10,0)</f>
        <v>7.6701866049471823E-2</v>
      </c>
      <c r="V82" s="8">
        <f>+VLOOKUP($B82,NIFTY_BANK!$B$63:$K$1238,10,0)</f>
        <v>0.13445857836546038</v>
      </c>
      <c r="W82" s="8">
        <f>+VLOOKUP($B82,NIFTY_IT!$B$63:$K$1238,10,0)</f>
        <v>-2.338965905017254E-2</v>
      </c>
      <c r="X82" s="8">
        <f>+VLOOKUP($B82,NIFTY_PHARMA!$B$63:$K$1238,10,0)</f>
        <v>-2.3757620186742878E-2</v>
      </c>
      <c r="Y82" s="8">
        <f>+VLOOKUP($B82,NIFTY_FMCG!$B$63:$K$1238,10,0)</f>
        <v>8.6117202337807841E-2</v>
      </c>
      <c r="Z82" s="8">
        <f>+VLOOKUP($B82,NIFTY_METAL!$B$63:$K$1238,10,0)</f>
        <v>-4.3493640763429986E-2</v>
      </c>
      <c r="AA82" s="8">
        <f>+VLOOKUP($B82,NIFTY_ENERGY!$B$63:$K$1238,10,0)</f>
        <v>0.14234149476733604</v>
      </c>
      <c r="AB82" s="8">
        <f>+VLOOKUP($B82,NIFTY_AUTO!$B$63:$K$1238,10,0)</f>
        <v>2.3994368362980856E-2</v>
      </c>
      <c r="AC82" s="8"/>
      <c r="AD82" s="16">
        <f t="shared" si="62"/>
        <v>4.2809859446171619E-2</v>
      </c>
      <c r="AE82" s="8">
        <f t="shared" si="63"/>
        <v>5.5862362472105201E-2</v>
      </c>
      <c r="AF82" s="8">
        <f t="shared" si="64"/>
        <v>7.852903523399804E-2</v>
      </c>
      <c r="AG82" s="8">
        <f t="shared" si="65"/>
        <v>7.4275001757294498E-2</v>
      </c>
      <c r="AH82" s="8">
        <f t="shared" si="66"/>
        <v>7.1906887326003449E-2</v>
      </c>
      <c r="AI82" s="8">
        <f t="shared" si="67"/>
        <v>8.8831548603823821E-2</v>
      </c>
      <c r="AJ82" s="8">
        <f t="shared" si="68"/>
        <v>7.2384987819626781E-2</v>
      </c>
      <c r="AK82" s="8">
        <f t="shared" si="69"/>
        <v>7.3574824436970943E-2</v>
      </c>
      <c r="AL82" s="9">
        <v>0</v>
      </c>
      <c r="AM82" s="17">
        <f t="shared" si="45"/>
        <v>23.359104957057447</v>
      </c>
      <c r="AN82" s="13">
        <f t="shared" si="46"/>
        <v>17.901140512976848</v>
      </c>
      <c r="AO82" s="13">
        <f t="shared" si="47"/>
        <v>12.734143454331706</v>
      </c>
      <c r="AP82" s="13">
        <f t="shared" si="48"/>
        <v>13.463479991123537</v>
      </c>
      <c r="AQ82" s="13">
        <f t="shared" si="49"/>
        <v>13.906873697178842</v>
      </c>
      <c r="AR82" s="13">
        <f t="shared" si="50"/>
        <v>11.257261814266675</v>
      </c>
      <c r="AS82" s="13">
        <f t="shared" si="51"/>
        <v>13.815019248077508</v>
      </c>
      <c r="AT82" s="13">
        <f t="shared" si="52"/>
        <v>13.591605656587955</v>
      </c>
      <c r="AU82" s="9">
        <v>0</v>
      </c>
      <c r="AV82" s="18">
        <f t="shared" si="70"/>
        <v>1</v>
      </c>
      <c r="AW82" s="18">
        <f t="shared" si="71"/>
        <v>2</v>
      </c>
      <c r="AX82" s="18">
        <f t="shared" si="72"/>
        <v>7</v>
      </c>
      <c r="AY82" s="18">
        <f t="shared" si="73"/>
        <v>6</v>
      </c>
      <c r="AZ82" s="18">
        <f t="shared" si="74"/>
        <v>3</v>
      </c>
      <c r="BA82" s="18">
        <f t="shared" si="75"/>
        <v>8</v>
      </c>
      <c r="BB82" s="18">
        <f t="shared" si="76"/>
        <v>4</v>
      </c>
      <c r="BC82" s="18">
        <f t="shared" si="77"/>
        <v>5</v>
      </c>
      <c r="BD82" s="18">
        <f t="shared" si="78"/>
        <v>9</v>
      </c>
      <c r="BE82" s="8">
        <f t="shared" si="80"/>
        <v>-4.2670559385665297E-3</v>
      </c>
    </row>
    <row r="83" spans="1:57" x14ac:dyDescent="0.25">
      <c r="A83" t="str">
        <f t="shared" si="79"/>
        <v/>
      </c>
      <c r="B83" s="1">
        <v>42857</v>
      </c>
      <c r="C83" s="9">
        <f t="shared" si="54"/>
        <v>0.25013875856903783</v>
      </c>
      <c r="D83" s="9">
        <f t="shared" si="55"/>
        <v>0.24968802964560227</v>
      </c>
      <c r="E83" s="9">
        <f t="shared" si="56"/>
        <v>0</v>
      </c>
      <c r="F83" s="9">
        <f t="shared" si="57"/>
        <v>0</v>
      </c>
      <c r="G83" s="9">
        <f t="shared" si="58"/>
        <v>0.25071808134590379</v>
      </c>
      <c r="H83" s="9">
        <f t="shared" si="59"/>
        <v>0</v>
      </c>
      <c r="I83" s="9">
        <f t="shared" si="60"/>
        <v>0.24945513043945611</v>
      </c>
      <c r="J83" s="9">
        <f t="shared" si="61"/>
        <v>0</v>
      </c>
      <c r="K83" s="9">
        <v>0</v>
      </c>
      <c r="L83" s="8">
        <f>+VLOOKUP($B83,NIFTY_50!$B$3:$I$1238,8,0)</f>
        <v>1.0479307398389981E-3</v>
      </c>
      <c r="M83" s="8">
        <f>+VLOOKUP($B83,NIFTY_BANK!$B$3:$I$41238,8,0)</f>
        <v>-7.5587311171498861E-4</v>
      </c>
      <c r="N83" s="8">
        <f>+VLOOKUP($B83,NIFTY_IT!$B$3:$I$1238,8,0)</f>
        <v>6.3004716554200257E-3</v>
      </c>
      <c r="O83" s="8">
        <f>+VLOOKUP($B83,NIFTY_PHARMA!$B$3:$I$1238,8,0)</f>
        <v>-8.3540001383275442E-3</v>
      </c>
      <c r="P83" s="8">
        <f>+VLOOKUP($B83,NIFTY_FMCG!$B$3:$I$1238,8,0)</f>
        <v>3.3663633982952135E-3</v>
      </c>
      <c r="Q83" s="8">
        <f>+VLOOKUP($B83,NIFTY_METAL!$B$3:$I$1238,8,0)</f>
        <v>-5.7322485207100815E-3</v>
      </c>
      <c r="R83" s="8">
        <f>+VLOOKUP($B83,NIFTY_ENERGY!$B$3:$I$1238,8,0)</f>
        <v>-1.687928862360355E-3</v>
      </c>
      <c r="S83" s="8">
        <f>+VLOOKUP($B83,NIFTY_AUTO!$B$3:$I$1238,8,0)</f>
        <v>3.8614744786766853E-3</v>
      </c>
      <c r="T83" s="8">
        <v>0</v>
      </c>
      <c r="U83" s="8">
        <f>+VLOOKUP($B83,NIFTY_50!$B$63:$K$1238,10,0)</f>
        <v>7.8891430888187397E-2</v>
      </c>
      <c r="V83" s="8">
        <f>+VLOOKUP($B83,NIFTY_BANK!$B$63:$K$1238,10,0)</f>
        <v>0.14072324836292616</v>
      </c>
      <c r="W83" s="8">
        <f>+VLOOKUP($B83,NIFTY_IT!$B$63:$K$1238,10,0)</f>
        <v>-1.6154326419648646E-2</v>
      </c>
      <c r="X83" s="8">
        <f>+VLOOKUP($B83,NIFTY_PHARMA!$B$63:$K$1238,10,0)</f>
        <v>-3.6092449686183858E-2</v>
      </c>
      <c r="Y83" s="8">
        <f>+VLOOKUP($B83,NIFTY_FMCG!$B$63:$K$1238,10,0)</f>
        <v>9.0368717955779498E-2</v>
      </c>
      <c r="Z83" s="8">
        <f>+VLOOKUP($B83,NIFTY_METAL!$B$63:$K$1238,10,0)</f>
        <v>-4.7429620563035457E-2</v>
      </c>
      <c r="AA83" s="8">
        <f>+VLOOKUP($B83,NIFTY_ENERGY!$B$63:$K$1238,10,0)</f>
        <v>0.13725116810492977</v>
      </c>
      <c r="AB83" s="8">
        <f>+VLOOKUP($B83,NIFTY_AUTO!$B$63:$K$1238,10,0)</f>
        <v>3.6873089493536515E-2</v>
      </c>
      <c r="AC83" s="8"/>
      <c r="AD83" s="16">
        <f t="shared" si="62"/>
        <v>4.2752316700938493E-2</v>
      </c>
      <c r="AE83" s="8">
        <f t="shared" si="63"/>
        <v>5.5305494879808841E-2</v>
      </c>
      <c r="AF83" s="8">
        <f t="shared" si="64"/>
        <v>7.8799675188042304E-2</v>
      </c>
      <c r="AG83" s="8">
        <f t="shared" si="65"/>
        <v>7.4540387965345636E-2</v>
      </c>
      <c r="AH83" s="8">
        <f t="shared" si="66"/>
        <v>7.1905847566888059E-2</v>
      </c>
      <c r="AI83" s="8">
        <f t="shared" si="67"/>
        <v>8.8969278205804594E-2</v>
      </c>
      <c r="AJ83" s="8">
        <f t="shared" si="68"/>
        <v>7.2486387390671203E-2</v>
      </c>
      <c r="AK83" s="8">
        <f t="shared" si="69"/>
        <v>7.3080322155881949E-2</v>
      </c>
      <c r="AL83" s="9">
        <v>0</v>
      </c>
      <c r="AM83" s="17">
        <f t="shared" si="45"/>
        <v>23.390545288930461</v>
      </c>
      <c r="AN83" s="13">
        <f t="shared" si="46"/>
        <v>18.081385984760153</v>
      </c>
      <c r="AO83" s="13">
        <f t="shared" si="47"/>
        <v>12.690407639545043</v>
      </c>
      <c r="AP83" s="13">
        <f t="shared" si="48"/>
        <v>13.41554595161092</v>
      </c>
      <c r="AQ83" s="13">
        <f t="shared" si="49"/>
        <v>13.907074790680726</v>
      </c>
      <c r="AR83" s="13">
        <f t="shared" si="50"/>
        <v>11.239834920170875</v>
      </c>
      <c r="AS83" s="13">
        <f t="shared" si="51"/>
        <v>13.795693729505649</v>
      </c>
      <c r="AT83" s="13">
        <f t="shared" si="52"/>
        <v>13.68357405249224</v>
      </c>
      <c r="AU83" s="9">
        <v>0</v>
      </c>
      <c r="AV83" s="18">
        <f t="shared" si="70"/>
        <v>1</v>
      </c>
      <c r="AW83" s="18">
        <f t="shared" si="71"/>
        <v>2</v>
      </c>
      <c r="AX83" s="18">
        <f t="shared" si="72"/>
        <v>7</v>
      </c>
      <c r="AY83" s="18">
        <f t="shared" si="73"/>
        <v>6</v>
      </c>
      <c r="AZ83" s="18">
        <f t="shared" si="74"/>
        <v>3</v>
      </c>
      <c r="BA83" s="18">
        <f t="shared" si="75"/>
        <v>8</v>
      </c>
      <c r="BB83" s="18">
        <f t="shared" si="76"/>
        <v>4</v>
      </c>
      <c r="BC83" s="18">
        <f t="shared" si="77"/>
        <v>5</v>
      </c>
      <c r="BD83" s="18">
        <f t="shared" si="78"/>
        <v>9</v>
      </c>
      <c r="BE83" s="8">
        <f t="shared" si="80"/>
        <v>4.9262304101471699E-4</v>
      </c>
    </row>
    <row r="84" spans="1:57" x14ac:dyDescent="0.25">
      <c r="A84" t="str">
        <f t="shared" si="79"/>
        <v/>
      </c>
      <c r="B84" s="1">
        <v>42858</v>
      </c>
      <c r="C84" s="9">
        <f t="shared" si="54"/>
        <v>0.25053854399731562</v>
      </c>
      <c r="D84" s="9">
        <f t="shared" si="55"/>
        <v>0.24975555095027643</v>
      </c>
      <c r="E84" s="9">
        <f t="shared" si="56"/>
        <v>0</v>
      </c>
      <c r="F84" s="9">
        <f t="shared" si="57"/>
        <v>0</v>
      </c>
      <c r="G84" s="9">
        <f t="shared" si="58"/>
        <v>0.25041480937350691</v>
      </c>
      <c r="H84" s="9">
        <f t="shared" si="59"/>
        <v>0</v>
      </c>
      <c r="I84" s="9">
        <f t="shared" si="60"/>
        <v>0.24929109567890101</v>
      </c>
      <c r="J84" s="9">
        <f t="shared" si="61"/>
        <v>0</v>
      </c>
      <c r="K84" s="9">
        <v>0</v>
      </c>
      <c r="L84" s="8">
        <f>+VLOOKUP($B84,NIFTY_50!$B$3:$I$1238,8,0)</f>
        <v>-1.9862998990727299E-4</v>
      </c>
      <c r="M84" s="8">
        <f>+VLOOKUP($B84,NIFTY_BANK!$B$3:$I$41238,8,0)</f>
        <v>-1.5240797892696056E-3</v>
      </c>
      <c r="N84" s="8">
        <f>+VLOOKUP($B84,NIFTY_IT!$B$3:$I$1238,8,0)</f>
        <v>1.2462086575024678E-2</v>
      </c>
      <c r="O84" s="8">
        <f>+VLOOKUP($B84,NIFTY_PHARMA!$B$3:$I$1238,8,0)</f>
        <v>-5.4352428920874107E-3</v>
      </c>
      <c r="P84" s="8">
        <f>+VLOOKUP($B84,NIFTY_FMCG!$B$3:$I$1238,8,0)</f>
        <v>-3.0014607389571291E-3</v>
      </c>
      <c r="Q84" s="8">
        <f>+VLOOKUP($B84,NIFTY_METAL!$B$3:$I$1238,8,0)</f>
        <v>-2.1979136727137139E-3</v>
      </c>
      <c r="R84" s="8">
        <f>+VLOOKUP($B84,NIFTY_ENERGY!$B$3:$I$1238,8,0)</f>
        <v>-2.4504098310442757E-3</v>
      </c>
      <c r="S84" s="8">
        <f>+VLOOKUP($B84,NIFTY_AUTO!$B$3:$I$1238,8,0)</f>
        <v>-2.1127273610335173E-3</v>
      </c>
      <c r="T84" s="8">
        <v>0</v>
      </c>
      <c r="U84" s="8">
        <f>+VLOOKUP($B84,NIFTY_50!$B$63:$K$1238,10,0)</f>
        <v>8.7679441206359066E-2</v>
      </c>
      <c r="V84" s="8">
        <f>+VLOOKUP($B84,NIFTY_BANK!$B$63:$K$1238,10,0)</f>
        <v>0.14307602042515666</v>
      </c>
      <c r="W84" s="8">
        <f>+VLOOKUP($B84,NIFTY_IT!$B$63:$K$1238,10,0)</f>
        <v>2.8689648169772042E-2</v>
      </c>
      <c r="X84" s="8">
        <f>+VLOOKUP($B84,NIFTY_PHARMA!$B$63:$K$1238,10,0)</f>
        <v>-2.4867262256566214E-2</v>
      </c>
      <c r="Y84" s="8">
        <f>+VLOOKUP($B84,NIFTY_FMCG!$B$63:$K$1238,10,0)</f>
        <v>8.4788149858125328E-2</v>
      </c>
      <c r="Z84" s="8">
        <f>+VLOOKUP($B84,NIFTY_METAL!$B$63:$K$1238,10,0)</f>
        <v>-3.946811627225677E-2</v>
      </c>
      <c r="AA84" s="8">
        <f>+VLOOKUP($B84,NIFTY_ENERGY!$B$63:$K$1238,10,0)</f>
        <v>0.14415199336715334</v>
      </c>
      <c r="AB84" s="8">
        <f>+VLOOKUP($B84,NIFTY_AUTO!$B$63:$K$1238,10,0)</f>
        <v>4.4242840080302992E-2</v>
      </c>
      <c r="AC84" s="8"/>
      <c r="AD84" s="16">
        <f t="shared" si="62"/>
        <v>4.1687681908414098E-2</v>
      </c>
      <c r="AE84" s="8">
        <f t="shared" si="63"/>
        <v>5.5128547015524165E-2</v>
      </c>
      <c r="AF84" s="8">
        <f t="shared" si="64"/>
        <v>7.3133740817858076E-2</v>
      </c>
      <c r="AG84" s="8">
        <f t="shared" si="65"/>
        <v>7.2878962104460709E-2</v>
      </c>
      <c r="AH84" s="8">
        <f t="shared" si="66"/>
        <v>7.2038136724229207E-2</v>
      </c>
      <c r="AI84" s="8">
        <f t="shared" si="67"/>
        <v>8.8440680420537932E-2</v>
      </c>
      <c r="AJ84" s="8">
        <f t="shared" si="68"/>
        <v>7.1847648895121255E-2</v>
      </c>
      <c r="AK84" s="8">
        <f t="shared" si="69"/>
        <v>7.2467822098732676E-2</v>
      </c>
      <c r="AL84" s="9">
        <v>0</v>
      </c>
      <c r="AM84" s="17">
        <f t="shared" si="45"/>
        <v>23.98790132291245</v>
      </c>
      <c r="AN84" s="13">
        <f t="shared" si="46"/>
        <v>18.139422388883215</v>
      </c>
      <c r="AO84" s="13">
        <f t="shared" si="47"/>
        <v>13.673579237393749</v>
      </c>
      <c r="AP84" s="13">
        <f t="shared" si="48"/>
        <v>13.721380918771247</v>
      </c>
      <c r="AQ84" s="13">
        <f t="shared" si="49"/>
        <v>13.881536162270857</v>
      </c>
      <c r="AR84" s="13">
        <f t="shared" si="50"/>
        <v>11.307013867882651</v>
      </c>
      <c r="AS84" s="13">
        <f t="shared" si="51"/>
        <v>13.918339923130095</v>
      </c>
      <c r="AT84" s="13">
        <f t="shared" si="52"/>
        <v>13.799228002706709</v>
      </c>
      <c r="AU84" s="9">
        <v>0</v>
      </c>
      <c r="AV84" s="18">
        <f t="shared" si="70"/>
        <v>1</v>
      </c>
      <c r="AW84" s="18">
        <f t="shared" si="71"/>
        <v>2</v>
      </c>
      <c r="AX84" s="18">
        <f t="shared" si="72"/>
        <v>7</v>
      </c>
      <c r="AY84" s="18">
        <f t="shared" si="73"/>
        <v>6</v>
      </c>
      <c r="AZ84" s="18">
        <f t="shared" si="74"/>
        <v>4</v>
      </c>
      <c r="BA84" s="18">
        <f t="shared" si="75"/>
        <v>8</v>
      </c>
      <c r="BB84" s="18">
        <f t="shared" si="76"/>
        <v>3</v>
      </c>
      <c r="BC84" s="18">
        <f t="shared" si="77"/>
        <v>5</v>
      </c>
      <c r="BD84" s="18">
        <f t="shared" si="78"/>
        <v>9</v>
      </c>
      <c r="BE84" s="8">
        <f t="shared" si="80"/>
        <v>-1.7940173204350636E-3</v>
      </c>
    </row>
    <row r="85" spans="1:57" x14ac:dyDescent="0.25">
      <c r="A85" t="str">
        <f t="shared" si="79"/>
        <v/>
      </c>
      <c r="B85" s="1">
        <v>42859</v>
      </c>
      <c r="C85" s="9">
        <f t="shared" si="54"/>
        <v>0.25001316406339108</v>
      </c>
      <c r="D85" s="9">
        <f t="shared" si="55"/>
        <v>0.25254346438465419</v>
      </c>
      <c r="E85" s="9">
        <f t="shared" si="56"/>
        <v>0</v>
      </c>
      <c r="F85" s="9">
        <f t="shared" si="57"/>
        <v>0</v>
      </c>
      <c r="G85" s="9">
        <f t="shared" si="58"/>
        <v>0.25142272817974254</v>
      </c>
      <c r="H85" s="9">
        <f t="shared" si="59"/>
        <v>0</v>
      </c>
      <c r="I85" s="9">
        <f t="shared" si="60"/>
        <v>0.24602064337221208</v>
      </c>
      <c r="J85" s="9">
        <f t="shared" si="61"/>
        <v>0</v>
      </c>
      <c r="K85" s="9">
        <v>0</v>
      </c>
      <c r="L85" s="8">
        <f>+VLOOKUP($B85,NIFTY_50!$B$3:$I$1238,8,0)</f>
        <v>5.1492974081690512E-3</v>
      </c>
      <c r="M85" s="8">
        <f>+VLOOKUP($B85,NIFTY_BANK!$B$3:$I$41238,8,0)</f>
        <v>1.8505153021656451E-2</v>
      </c>
      <c r="N85" s="8">
        <f>+VLOOKUP($B85,NIFTY_IT!$B$3:$I$1238,8,0)</f>
        <v>-2.4232433953044197E-3</v>
      </c>
      <c r="O85" s="8">
        <f>+VLOOKUP($B85,NIFTY_PHARMA!$B$3:$I$1238,8,0)</f>
        <v>-2.8051052916300279E-4</v>
      </c>
      <c r="P85" s="8">
        <f>+VLOOKUP($B85,NIFTY_FMCG!$B$3:$I$1238,8,0)</f>
        <v>1.1315751695251564E-2</v>
      </c>
      <c r="Q85" s="8">
        <f>+VLOOKUP($B85,NIFTY_METAL!$B$3:$I$1238,8,0)</f>
        <v>-7.8960299574697412E-3</v>
      </c>
      <c r="R85" s="8">
        <f>+VLOOKUP($B85,NIFTY_ENERGY!$B$3:$I$1238,8,0)</f>
        <v>-5.9527464924240547E-3</v>
      </c>
      <c r="S85" s="8">
        <f>+VLOOKUP($B85,NIFTY_AUTO!$B$3:$I$1238,8,0)</f>
        <v>-5.9573639637886533E-3</v>
      </c>
      <c r="T85" s="8">
        <v>0</v>
      </c>
      <c r="U85" s="8">
        <f>+VLOOKUP($B85,NIFTY_50!$B$63:$K$1238,10,0)</f>
        <v>7.382635032811713E-2</v>
      </c>
      <c r="V85" s="8">
        <f>+VLOOKUP($B85,NIFTY_BANK!$B$63:$K$1238,10,0)</f>
        <v>0.13483611879763835</v>
      </c>
      <c r="W85" s="8">
        <f>+VLOOKUP($B85,NIFTY_IT!$B$63:$K$1238,10,0)</f>
        <v>3.6564102564102585E-2</v>
      </c>
      <c r="X85" s="8">
        <f>+VLOOKUP($B85,NIFTY_PHARMA!$B$63:$K$1238,10,0)</f>
        <v>-2.0658521026546972E-2</v>
      </c>
      <c r="Y85" s="8">
        <f>+VLOOKUP($B85,NIFTY_FMCG!$B$63:$K$1238,10,0)</f>
        <v>6.4680597598758771E-2</v>
      </c>
      <c r="Z85" s="8">
        <f>+VLOOKUP($B85,NIFTY_METAL!$B$63:$K$1238,10,0)</f>
        <v>-6.9673954493453705E-2</v>
      </c>
      <c r="AA85" s="8">
        <f>+VLOOKUP($B85,NIFTY_ENERGY!$B$63:$K$1238,10,0)</f>
        <v>0.13011524426571341</v>
      </c>
      <c r="AB85" s="8">
        <f>+VLOOKUP($B85,NIFTY_AUTO!$B$63:$K$1238,10,0)</f>
        <v>1.9476155200917056E-3</v>
      </c>
      <c r="AC85" s="8"/>
      <c r="AD85" s="16">
        <f t="shared" si="62"/>
        <v>3.8334612012636458E-2</v>
      </c>
      <c r="AE85" s="8">
        <f t="shared" si="63"/>
        <v>5.2370757711083508E-2</v>
      </c>
      <c r="AF85" s="8">
        <f t="shared" si="64"/>
        <v>7.2427550882688138E-2</v>
      </c>
      <c r="AG85" s="8">
        <f t="shared" si="65"/>
        <v>7.2755379728473846E-2</v>
      </c>
      <c r="AH85" s="8">
        <f t="shared" si="66"/>
        <v>6.6626360820425432E-2</v>
      </c>
      <c r="AI85" s="8">
        <f t="shared" si="67"/>
        <v>8.507324774912467E-2</v>
      </c>
      <c r="AJ85" s="8">
        <f t="shared" si="68"/>
        <v>7.2178588260496251E-2</v>
      </c>
      <c r="AK85" s="8">
        <f t="shared" si="69"/>
        <v>6.3443656112564126E-2</v>
      </c>
      <c r="AL85" s="9">
        <v>0</v>
      </c>
      <c r="AM85" s="17">
        <f t="shared" si="45"/>
        <v>26.086086372032778</v>
      </c>
      <c r="AN85" s="13">
        <f t="shared" si="46"/>
        <v>19.094625392222738</v>
      </c>
      <c r="AO85" s="13">
        <f t="shared" si="47"/>
        <v>13.806900658835106</v>
      </c>
      <c r="AP85" s="13">
        <f t="shared" si="48"/>
        <v>13.744688072992572</v>
      </c>
      <c r="AQ85" s="13">
        <f t="shared" si="49"/>
        <v>15.009074301615362</v>
      </c>
      <c r="AR85" s="13">
        <f t="shared" si="50"/>
        <v>11.754576514451797</v>
      </c>
      <c r="AS85" s="13">
        <f t="shared" si="51"/>
        <v>13.854524230800253</v>
      </c>
      <c r="AT85" s="13">
        <f t="shared" si="52"/>
        <v>15.76201721769884</v>
      </c>
      <c r="AU85" s="9">
        <v>0</v>
      </c>
      <c r="AV85" s="18">
        <f t="shared" si="70"/>
        <v>1</v>
      </c>
      <c r="AW85" s="18">
        <f t="shared" si="71"/>
        <v>2</v>
      </c>
      <c r="AX85" s="18">
        <f t="shared" si="72"/>
        <v>6</v>
      </c>
      <c r="AY85" s="18">
        <f t="shared" si="73"/>
        <v>7</v>
      </c>
      <c r="AZ85" s="18">
        <f t="shared" si="74"/>
        <v>4</v>
      </c>
      <c r="BA85" s="18">
        <f t="shared" si="75"/>
        <v>8</v>
      </c>
      <c r="BB85" s="18">
        <f t="shared" si="76"/>
        <v>5</v>
      </c>
      <c r="BC85" s="18">
        <f t="shared" si="77"/>
        <v>3</v>
      </c>
      <c r="BD85" s="18">
        <f t="shared" si="78"/>
        <v>9</v>
      </c>
      <c r="BE85" s="8">
        <f t="shared" si="80"/>
        <v>7.2615272718840355E-3</v>
      </c>
    </row>
    <row r="86" spans="1:57" x14ac:dyDescent="0.25">
      <c r="A86" t="str">
        <f t="shared" si="79"/>
        <v/>
      </c>
      <c r="B86" s="1">
        <v>42860</v>
      </c>
      <c r="C86" s="9">
        <f t="shared" si="54"/>
        <v>0.25077850983129052</v>
      </c>
      <c r="D86" s="9">
        <f t="shared" si="55"/>
        <v>0.25405757937022305</v>
      </c>
      <c r="E86" s="9">
        <f t="shared" si="56"/>
        <v>0</v>
      </c>
      <c r="F86" s="9">
        <f t="shared" si="57"/>
        <v>0</v>
      </c>
      <c r="G86" s="9">
        <f t="shared" si="58"/>
        <v>0.25080782378844607</v>
      </c>
      <c r="H86" s="9">
        <f t="shared" si="59"/>
        <v>0</v>
      </c>
      <c r="I86" s="9">
        <f t="shared" si="60"/>
        <v>0.24435608701004033</v>
      </c>
      <c r="J86" s="9">
        <f t="shared" si="61"/>
        <v>0</v>
      </c>
      <c r="K86" s="9">
        <v>0</v>
      </c>
      <c r="L86" s="8">
        <f>+VLOOKUP($B86,NIFTY_50!$B$3:$I$1238,8,0)</f>
        <v>-7.9701706214810875E-3</v>
      </c>
      <c r="M86" s="8">
        <f>+VLOOKUP($B86,NIFTY_BANK!$B$3:$I$41238,8,0)</f>
        <v>-5.0681995237695787E-3</v>
      </c>
      <c r="N86" s="8">
        <f>+VLOOKUP($B86,NIFTY_IT!$B$3:$I$1238,8,0)</f>
        <v>-1.99376638796811E-3</v>
      </c>
      <c r="O86" s="8">
        <f>+VLOOKUP($B86,NIFTY_PHARMA!$B$3:$I$1238,8,0)</f>
        <v>-4.3942278785449318E-3</v>
      </c>
      <c r="P86" s="8">
        <f>+VLOOKUP($B86,NIFTY_FMCG!$B$3:$I$1238,8,0)</f>
        <v>-1.341652819412309E-2</v>
      </c>
      <c r="Q86" s="8">
        <f>+VLOOKUP($B86,NIFTY_METAL!$B$3:$I$1238,8,0)</f>
        <v>-2.4201123806596114E-2</v>
      </c>
      <c r="R86" s="8">
        <f>+VLOOKUP($B86,NIFTY_ENERGY!$B$3:$I$1238,8,0)</f>
        <v>-1.7689237777127942E-2</v>
      </c>
      <c r="S86" s="8">
        <f>+VLOOKUP($B86,NIFTY_AUTO!$B$3:$I$1238,8,0)</f>
        <v>-1.0169607708728989E-2</v>
      </c>
      <c r="T86" s="8">
        <v>0</v>
      </c>
      <c r="U86" s="8">
        <f>+VLOOKUP($B86,NIFTY_50!$B$63:$K$1238,10,0)</f>
        <v>6.3090706128173579E-2</v>
      </c>
      <c r="V86" s="8">
        <f>+VLOOKUP($B86,NIFTY_BANK!$B$63:$K$1238,10,0)</f>
        <v>0.1262885955865134</v>
      </c>
      <c r="W86" s="8">
        <f>+VLOOKUP($B86,NIFTY_IT!$B$63:$K$1238,10,0)</f>
        <v>1.615454362280877E-2</v>
      </c>
      <c r="X86" s="8">
        <f>+VLOOKUP($B86,NIFTY_PHARMA!$B$63:$K$1238,10,0)</f>
        <v>-4.4880792155354787E-2</v>
      </c>
      <c r="Y86" s="8">
        <f>+VLOOKUP($B86,NIFTY_FMCG!$B$63:$K$1238,10,0)</f>
        <v>4.1163278434275252E-2</v>
      </c>
      <c r="Z86" s="8">
        <f>+VLOOKUP($B86,NIFTY_METAL!$B$63:$K$1238,10,0)</f>
        <v>-9.2376368171059098E-2</v>
      </c>
      <c r="AA86" s="8">
        <f>+VLOOKUP($B86,NIFTY_ENERGY!$B$63:$K$1238,10,0)</f>
        <v>0.10867433028554951</v>
      </c>
      <c r="AB86" s="8">
        <f>+VLOOKUP($B86,NIFTY_AUTO!$B$63:$K$1238,10,0)</f>
        <v>4.886268739810129E-3</v>
      </c>
      <c r="AC86" s="8"/>
      <c r="AD86" s="16">
        <f t="shared" si="62"/>
        <v>3.9381177964644166E-2</v>
      </c>
      <c r="AE86" s="8">
        <f t="shared" si="63"/>
        <v>5.28485612637732E-2</v>
      </c>
      <c r="AF86" s="8">
        <f t="shared" si="64"/>
        <v>7.0303779489219856E-2</v>
      </c>
      <c r="AG86" s="8">
        <f t="shared" si="65"/>
        <v>6.965764521480175E-2</v>
      </c>
      <c r="AH86" s="8">
        <f t="shared" si="66"/>
        <v>6.767365939087909E-2</v>
      </c>
      <c r="AI86" s="8">
        <f t="shared" si="67"/>
        <v>8.8082235705255724E-2</v>
      </c>
      <c r="AJ86" s="8">
        <f t="shared" si="68"/>
        <v>7.4785728084405548E-2</v>
      </c>
      <c r="AK86" s="8">
        <f t="shared" si="69"/>
        <v>6.2907316423995677E-2</v>
      </c>
      <c r="AL86" s="9">
        <v>0</v>
      </c>
      <c r="AM86" s="17">
        <f t="shared" si="45"/>
        <v>25.392841242529236</v>
      </c>
      <c r="AN86" s="13">
        <f t="shared" si="46"/>
        <v>18.921990988721262</v>
      </c>
      <c r="AO86" s="13">
        <f t="shared" si="47"/>
        <v>14.223986352729964</v>
      </c>
      <c r="AP86" s="13">
        <f t="shared" si="48"/>
        <v>14.355925999455222</v>
      </c>
      <c r="AQ86" s="13">
        <f t="shared" si="49"/>
        <v>14.776798077728568</v>
      </c>
      <c r="AR86" s="13">
        <f t="shared" si="50"/>
        <v>11.353026997932247</v>
      </c>
      <c r="AS86" s="13">
        <f t="shared" si="51"/>
        <v>13.37153525966035</v>
      </c>
      <c r="AT86" s="13">
        <f t="shared" si="52"/>
        <v>15.896402149155342</v>
      </c>
      <c r="AU86" s="9">
        <v>0</v>
      </c>
      <c r="AV86" s="18">
        <f t="shared" si="70"/>
        <v>1</v>
      </c>
      <c r="AW86" s="18">
        <f t="shared" si="71"/>
        <v>2</v>
      </c>
      <c r="AX86" s="18">
        <f t="shared" si="72"/>
        <v>6</v>
      </c>
      <c r="AY86" s="18">
        <f t="shared" si="73"/>
        <v>5</v>
      </c>
      <c r="AZ86" s="18">
        <f t="shared" si="74"/>
        <v>4</v>
      </c>
      <c r="BA86" s="18">
        <f t="shared" si="75"/>
        <v>8</v>
      </c>
      <c r="BB86" s="18">
        <f t="shared" si="76"/>
        <v>7</v>
      </c>
      <c r="BC86" s="18">
        <f t="shared" si="77"/>
        <v>3</v>
      </c>
      <c r="BD86" s="18">
        <f t="shared" si="78"/>
        <v>9</v>
      </c>
      <c r="BE86" s="8">
        <f t="shared" si="80"/>
        <v>-1.0997726021086911E-2</v>
      </c>
    </row>
    <row r="87" spans="1:57" x14ac:dyDescent="0.25">
      <c r="A87" t="str">
        <f t="shared" si="79"/>
        <v/>
      </c>
      <c r="B87" s="1">
        <v>42863</v>
      </c>
      <c r="C87" s="9">
        <f t="shared" si="54"/>
        <v>0.25148485700369688</v>
      </c>
      <c r="D87" s="9">
        <f t="shared" si="55"/>
        <v>0.25581145393711086</v>
      </c>
      <c r="E87" s="9">
        <f t="shared" si="56"/>
        <v>0</v>
      </c>
      <c r="F87" s="9">
        <f t="shared" si="57"/>
        <v>0</v>
      </c>
      <c r="G87" s="9">
        <f t="shared" si="58"/>
        <v>0.24874041335091487</v>
      </c>
      <c r="H87" s="9">
        <f t="shared" si="59"/>
        <v>0</v>
      </c>
      <c r="I87" s="9">
        <f t="shared" si="60"/>
        <v>0.24396327570827747</v>
      </c>
      <c r="J87" s="9">
        <f t="shared" si="61"/>
        <v>0</v>
      </c>
      <c r="K87" s="9">
        <v>0</v>
      </c>
      <c r="L87" s="8">
        <f>+VLOOKUP($B87,NIFTY_50!$B$3:$I$1238,8,0)</f>
        <v>3.0962919884118811E-3</v>
      </c>
      <c r="M87" s="8">
        <f>+VLOOKUP($B87,NIFTY_BANK!$B$3:$I$41238,8,0)</f>
        <v>7.1842671627231347E-3</v>
      </c>
      <c r="N87" s="8">
        <f>+VLOOKUP($B87,NIFTY_IT!$B$3:$I$1238,8,0)</f>
        <v>1.2174869997571003E-2</v>
      </c>
      <c r="O87" s="8">
        <f>+VLOOKUP($B87,NIFTY_PHARMA!$B$3:$I$1238,8,0)</f>
        <v>8.6460697624091143E-3</v>
      </c>
      <c r="P87" s="8">
        <f>+VLOOKUP($B87,NIFTY_FMCG!$B$3:$I$1238,8,0)</f>
        <v>-7.9664162129794436E-3</v>
      </c>
      <c r="Q87" s="8">
        <f>+VLOOKUP($B87,NIFTY_METAL!$B$3:$I$1238,8,0)</f>
        <v>-8.2262750726358469E-4</v>
      </c>
      <c r="R87" s="8">
        <f>+VLOOKUP($B87,NIFTY_ENERGY!$B$3:$I$1238,8,0)</f>
        <v>-1.3290958793835683E-3</v>
      </c>
      <c r="S87" s="8">
        <f>+VLOOKUP($B87,NIFTY_AUTO!$B$3:$I$1238,8,0)</f>
        <v>5.8468828991040667E-3</v>
      </c>
      <c r="T87" s="8">
        <v>0</v>
      </c>
      <c r="U87" s="8">
        <f>+VLOOKUP($B87,NIFTY_50!$B$63:$K$1238,10,0)</f>
        <v>6.5564955754237042E-2</v>
      </c>
      <c r="V87" s="8">
        <f>+VLOOKUP($B87,NIFTY_BANK!$B$63:$K$1238,10,0)</f>
        <v>0.12727511288917048</v>
      </c>
      <c r="W87" s="8">
        <f>+VLOOKUP($B87,NIFTY_IT!$B$63:$K$1238,10,0)</f>
        <v>1.828781743102792E-2</v>
      </c>
      <c r="X87" s="8">
        <f>+VLOOKUP($B87,NIFTY_PHARMA!$B$63:$K$1238,10,0)</f>
        <v>-5.0587399336807226E-2</v>
      </c>
      <c r="Y87" s="8">
        <f>+VLOOKUP($B87,NIFTY_FMCG!$B$63:$K$1238,10,0)</f>
        <v>3.5197382220917062E-2</v>
      </c>
      <c r="Z87" s="8">
        <f>+VLOOKUP($B87,NIFTY_METAL!$B$63:$K$1238,10,0)</f>
        <v>-8.7688177198197326E-2</v>
      </c>
      <c r="AA87" s="8">
        <f>+VLOOKUP($B87,NIFTY_ENERGY!$B$63:$K$1238,10,0)</f>
        <v>0.11220011019695364</v>
      </c>
      <c r="AB87" s="8">
        <f>+VLOOKUP($B87,NIFTY_AUTO!$B$63:$K$1238,10,0)</f>
        <v>1.9242914857996229E-2</v>
      </c>
      <c r="AC87" s="8"/>
      <c r="AD87" s="16">
        <f t="shared" si="62"/>
        <v>3.9434163153153456E-2</v>
      </c>
      <c r="AE87" s="8">
        <f t="shared" si="63"/>
        <v>5.2927922994985457E-2</v>
      </c>
      <c r="AF87" s="8">
        <f t="shared" si="64"/>
        <v>7.0628592021674402E-2</v>
      </c>
      <c r="AG87" s="8">
        <f t="shared" si="65"/>
        <v>6.8566394103832876E-2</v>
      </c>
      <c r="AH87" s="8">
        <f t="shared" si="66"/>
        <v>6.8158522655089593E-2</v>
      </c>
      <c r="AI87" s="8">
        <f t="shared" si="67"/>
        <v>8.7970942852724027E-2</v>
      </c>
      <c r="AJ87" s="8">
        <f t="shared" si="68"/>
        <v>7.4587509711997277E-2</v>
      </c>
      <c r="AK87" s="8">
        <f t="shared" si="69"/>
        <v>6.2576340827154728E-2</v>
      </c>
      <c r="AL87" s="9">
        <v>0</v>
      </c>
      <c r="AM87" s="17">
        <f t="shared" si="45"/>
        <v>25.358722489335555</v>
      </c>
      <c r="AN87" s="13">
        <f t="shared" si="46"/>
        <v>18.893618782183136</v>
      </c>
      <c r="AO87" s="13">
        <f t="shared" si="47"/>
        <v>14.158571923579071</v>
      </c>
      <c r="AP87" s="13">
        <f t="shared" si="48"/>
        <v>14.584404110352651</v>
      </c>
      <c r="AQ87" s="13">
        <f t="shared" si="49"/>
        <v>14.671679506030594</v>
      </c>
      <c r="AR87" s="13">
        <f t="shared" si="50"/>
        <v>11.367389817273454</v>
      </c>
      <c r="AS87" s="13">
        <f t="shared" si="51"/>
        <v>13.407070484874382</v>
      </c>
      <c r="AT87" s="13">
        <f t="shared" si="52"/>
        <v>15.98048059029451</v>
      </c>
      <c r="AU87" s="9">
        <v>0</v>
      </c>
      <c r="AV87" s="18">
        <f t="shared" si="70"/>
        <v>1</v>
      </c>
      <c r="AW87" s="18">
        <f t="shared" si="71"/>
        <v>2</v>
      </c>
      <c r="AX87" s="18">
        <f t="shared" si="72"/>
        <v>6</v>
      </c>
      <c r="AY87" s="18">
        <f t="shared" si="73"/>
        <v>5</v>
      </c>
      <c r="AZ87" s="18">
        <f t="shared" si="74"/>
        <v>4</v>
      </c>
      <c r="BA87" s="18">
        <f t="shared" si="75"/>
        <v>8</v>
      </c>
      <c r="BB87" s="18">
        <f t="shared" si="76"/>
        <v>7</v>
      </c>
      <c r="BC87" s="18">
        <f t="shared" si="77"/>
        <v>3</v>
      </c>
      <c r="BD87" s="18">
        <f t="shared" si="78"/>
        <v>9</v>
      </c>
      <c r="BE87" s="8">
        <f t="shared" si="80"/>
        <v>2.7888883364920916E-4</v>
      </c>
    </row>
    <row r="88" spans="1:57" x14ac:dyDescent="0.25">
      <c r="A88" t="str">
        <f t="shared" si="79"/>
        <v/>
      </c>
      <c r="B88" s="1">
        <v>42864</v>
      </c>
      <c r="C88" s="9">
        <f t="shared" si="54"/>
        <v>0.25111668879833798</v>
      </c>
      <c r="D88" s="9">
        <f t="shared" si="55"/>
        <v>0.25468666004278284</v>
      </c>
      <c r="E88" s="9">
        <f t="shared" si="56"/>
        <v>0</v>
      </c>
      <c r="F88" s="9">
        <f t="shared" si="57"/>
        <v>0</v>
      </c>
      <c r="G88" s="9">
        <f t="shared" si="58"/>
        <v>0.24920882975046538</v>
      </c>
      <c r="H88" s="9">
        <f t="shared" si="59"/>
        <v>0</v>
      </c>
      <c r="I88" s="9">
        <f t="shared" si="60"/>
        <v>0.24498782140841385</v>
      </c>
      <c r="J88" s="9">
        <f t="shared" si="61"/>
        <v>0</v>
      </c>
      <c r="K88" s="9">
        <v>0</v>
      </c>
      <c r="L88" s="8">
        <f>+VLOOKUP($B88,NIFTY_50!$B$3:$I$1238,8,0)</f>
        <v>3.0062110467521386E-4</v>
      </c>
      <c r="M88" s="8">
        <f>+VLOOKUP($B88,NIFTY_BANK!$B$3:$I$41238,8,0)</f>
        <v>-2.6375489461882839E-3</v>
      </c>
      <c r="N88" s="8">
        <f>+VLOOKUP($B88,NIFTY_IT!$B$3:$I$1238,8,0)</f>
        <v>6.9006724360010097E-3</v>
      </c>
      <c r="O88" s="8">
        <f>+VLOOKUP($B88,NIFTY_PHARMA!$B$3:$I$1238,8,0)</f>
        <v>-2.3300951497097211E-3</v>
      </c>
      <c r="P88" s="8">
        <f>+VLOOKUP($B88,NIFTY_FMCG!$B$3:$I$1238,8,0)</f>
        <v>3.6536673179137225E-3</v>
      </c>
      <c r="Q88" s="8">
        <f>+VLOOKUP($B88,NIFTY_METAL!$B$3:$I$1238,8,0)</f>
        <v>7.7425683605725215E-3</v>
      </c>
      <c r="R88" s="8">
        <f>+VLOOKUP($B88,NIFTY_ENERGY!$B$3:$I$1238,8,0)</f>
        <v>5.9741971778952685E-3</v>
      </c>
      <c r="S88" s="8">
        <f>+VLOOKUP($B88,NIFTY_AUTO!$B$3:$I$1238,8,0)</f>
        <v>-9.0980176157295922E-4</v>
      </c>
      <c r="T88" s="8">
        <v>0</v>
      </c>
      <c r="U88" s="8">
        <f>+VLOOKUP($B88,NIFTY_50!$B$63:$K$1238,10,0)</f>
        <v>5.8606643525488611E-2</v>
      </c>
      <c r="V88" s="8">
        <f>+VLOOKUP($B88,NIFTY_BANK!$B$63:$K$1238,10,0)</f>
        <v>0.11465471538808925</v>
      </c>
      <c r="W88" s="8">
        <f>+VLOOKUP($B88,NIFTY_IT!$B$63:$K$1238,10,0)</f>
        <v>2.4982426052318152E-2</v>
      </c>
      <c r="X88" s="8">
        <f>+VLOOKUP($B88,NIFTY_PHARMA!$B$63:$K$1238,10,0)</f>
        <v>-6.657765993203113E-2</v>
      </c>
      <c r="Y88" s="8">
        <f>+VLOOKUP($B88,NIFTY_FMCG!$B$63:$K$1238,10,0)</f>
        <v>2.7219660851190097E-2</v>
      </c>
      <c r="Z88" s="8">
        <f>+VLOOKUP($B88,NIFTY_METAL!$B$63:$K$1238,10,0)</f>
        <v>-7.8001794986858219E-2</v>
      </c>
      <c r="AA88" s="8">
        <f>+VLOOKUP($B88,NIFTY_ENERGY!$B$63:$K$1238,10,0)</f>
        <v>0.1110678333124675</v>
      </c>
      <c r="AB88" s="8">
        <f>+VLOOKUP($B88,NIFTY_AUTO!$B$63:$K$1238,10,0)</f>
        <v>1.2630718465572066E-2</v>
      </c>
      <c r="AC88" s="8"/>
      <c r="AD88" s="16">
        <f t="shared" si="62"/>
        <v>3.9000313188329826E-2</v>
      </c>
      <c r="AE88" s="8">
        <f t="shared" si="63"/>
        <v>5.2690055183726554E-2</v>
      </c>
      <c r="AF88" s="8">
        <f t="shared" si="64"/>
        <v>7.0927830106727083E-2</v>
      </c>
      <c r="AG88" s="8">
        <f t="shared" si="65"/>
        <v>6.6755887807167666E-2</v>
      </c>
      <c r="AH88" s="8">
        <f t="shared" si="66"/>
        <v>6.7352108744762718E-2</v>
      </c>
      <c r="AI88" s="8">
        <f t="shared" si="67"/>
        <v>8.8427328231636543E-2</v>
      </c>
      <c r="AJ88" s="8">
        <f t="shared" si="68"/>
        <v>7.4522812013040604E-2</v>
      </c>
      <c r="AK88" s="8">
        <f t="shared" si="69"/>
        <v>6.2361123449347355E-2</v>
      </c>
      <c r="AL88" s="9">
        <v>0</v>
      </c>
      <c r="AM88" s="17">
        <f t="shared" si="45"/>
        <v>25.640819733192114</v>
      </c>
      <c r="AN88" s="13">
        <f t="shared" si="46"/>
        <v>18.978913506791169</v>
      </c>
      <c r="AO88" s="13">
        <f t="shared" si="47"/>
        <v>14.098838192219784</v>
      </c>
      <c r="AP88" s="13">
        <f t="shared" si="48"/>
        <v>14.979952073869786</v>
      </c>
      <c r="AQ88" s="13">
        <f t="shared" si="49"/>
        <v>14.847345074073271</v>
      </c>
      <c r="AR88" s="13">
        <f t="shared" si="50"/>
        <v>11.308721183800634</v>
      </c>
      <c r="AS88" s="13">
        <f t="shared" si="51"/>
        <v>13.418709962595237</v>
      </c>
      <c r="AT88" s="13">
        <f t="shared" si="52"/>
        <v>16.035631571202323</v>
      </c>
      <c r="AU88" s="9">
        <v>0</v>
      </c>
      <c r="AV88" s="18">
        <f t="shared" si="70"/>
        <v>1</v>
      </c>
      <c r="AW88" s="18">
        <f t="shared" si="71"/>
        <v>2</v>
      </c>
      <c r="AX88" s="18">
        <f t="shared" si="72"/>
        <v>6</v>
      </c>
      <c r="AY88" s="18">
        <f t="shared" si="73"/>
        <v>4</v>
      </c>
      <c r="AZ88" s="18">
        <f t="shared" si="74"/>
        <v>5</v>
      </c>
      <c r="BA88" s="18">
        <f t="shared" si="75"/>
        <v>8</v>
      </c>
      <c r="BB88" s="18">
        <f t="shared" si="76"/>
        <v>7</v>
      </c>
      <c r="BC88" s="18">
        <f t="shared" si="77"/>
        <v>3</v>
      </c>
      <c r="BD88" s="18">
        <f t="shared" si="78"/>
        <v>9</v>
      </c>
      <c r="BE88" s="8">
        <f t="shared" si="80"/>
        <v>1.7671858569178844E-3</v>
      </c>
    </row>
    <row r="89" spans="1:57" x14ac:dyDescent="0.25">
      <c r="A89" t="str">
        <f t="shared" si="79"/>
        <v/>
      </c>
      <c r="B89" s="1">
        <v>42865</v>
      </c>
      <c r="C89" s="9">
        <f t="shared" si="54"/>
        <v>0.25075804498530074</v>
      </c>
      <c r="D89" s="9">
        <f t="shared" si="55"/>
        <v>0.25324255029508808</v>
      </c>
      <c r="E89" s="9">
        <f t="shared" si="56"/>
        <v>0</v>
      </c>
      <c r="F89" s="9">
        <f t="shared" si="57"/>
        <v>0</v>
      </c>
      <c r="G89" s="9">
        <f t="shared" si="58"/>
        <v>0.25092791759577238</v>
      </c>
      <c r="H89" s="9">
        <f t="shared" si="59"/>
        <v>0</v>
      </c>
      <c r="I89" s="9">
        <f t="shared" si="60"/>
        <v>0.24507148712383886</v>
      </c>
      <c r="J89" s="9">
        <f t="shared" si="61"/>
        <v>0</v>
      </c>
      <c r="K89" s="9">
        <v>0</v>
      </c>
      <c r="L89" s="8">
        <f>+VLOOKUP($B89,NIFTY_50!$B$3:$I$1238,8,0)</f>
        <v>9.708216832942318E-3</v>
      </c>
      <c r="M89" s="8">
        <f>+VLOOKUP($B89,NIFTY_BANK!$B$3:$I$41238,8,0)</f>
        <v>5.418962183967313E-3</v>
      </c>
      <c r="N89" s="8">
        <f>+VLOOKUP($B89,NIFTY_IT!$B$3:$I$1238,8,0)</f>
        <v>-5.8416669909335805E-3</v>
      </c>
      <c r="O89" s="8">
        <f>+VLOOKUP($B89,NIFTY_PHARMA!$B$3:$I$1238,8,0)</f>
        <v>1.0852496074096996E-2</v>
      </c>
      <c r="P89" s="8">
        <f>+VLOOKUP($B89,NIFTY_FMCG!$B$3:$I$1238,8,0)</f>
        <v>1.8127453209706879E-2</v>
      </c>
      <c r="Q89" s="8">
        <f>+VLOOKUP($B89,NIFTY_METAL!$B$3:$I$1238,8,0)</f>
        <v>7.8742894887795511E-3</v>
      </c>
      <c r="R89" s="8">
        <f>+VLOOKUP($B89,NIFTY_ENERGY!$B$3:$I$1238,8,0)</f>
        <v>1.1497658734464622E-2</v>
      </c>
      <c r="S89" s="8">
        <f>+VLOOKUP($B89,NIFTY_AUTO!$B$3:$I$1238,8,0)</f>
        <v>1.438303569670607E-2</v>
      </c>
      <c r="T89" s="8">
        <v>0</v>
      </c>
      <c r="U89" s="8">
        <f>+VLOOKUP($B89,NIFTY_50!$B$63:$K$1238,10,0)</f>
        <v>7.287615615341636E-2</v>
      </c>
      <c r="V89" s="8">
        <f>+VLOOKUP($B89,NIFTY_BANK!$B$63:$K$1238,10,0)</f>
        <v>0.12314011978993711</v>
      </c>
      <c r="W89" s="8">
        <f>+VLOOKUP($B89,NIFTY_IT!$B$63:$K$1238,10,0)</f>
        <v>2.2164543731464814E-2</v>
      </c>
      <c r="X89" s="8">
        <f>+VLOOKUP($B89,NIFTY_PHARMA!$B$63:$K$1238,10,0)</f>
        <v>-4.6944549226706878E-2</v>
      </c>
      <c r="Y89" s="8">
        <f>+VLOOKUP($B89,NIFTY_FMCG!$B$63:$K$1238,10,0)</f>
        <v>4.7058823529411598E-2</v>
      </c>
      <c r="Z89" s="8">
        <f>+VLOOKUP($B89,NIFTY_METAL!$B$63:$K$1238,10,0)</f>
        <v>-5.8596223474209008E-2</v>
      </c>
      <c r="AA89" s="8">
        <f>+VLOOKUP($B89,NIFTY_ENERGY!$B$63:$K$1238,10,0)</f>
        <v>0.13340223155413811</v>
      </c>
      <c r="AB89" s="8">
        <f>+VLOOKUP($B89,NIFTY_AUTO!$B$63:$K$1238,10,0)</f>
        <v>3.7475960812348275E-2</v>
      </c>
      <c r="AC89" s="8"/>
      <c r="AD89" s="16">
        <f t="shared" si="62"/>
        <v>3.966166351518171E-2</v>
      </c>
      <c r="AE89" s="8">
        <f t="shared" si="63"/>
        <v>5.265472346644888E-2</v>
      </c>
      <c r="AF89" s="8">
        <f t="shared" si="64"/>
        <v>7.1116711682461212E-2</v>
      </c>
      <c r="AG89" s="8">
        <f t="shared" si="65"/>
        <v>6.717950103390273E-2</v>
      </c>
      <c r="AH89" s="8">
        <f t="shared" si="66"/>
        <v>6.9563195310289164E-2</v>
      </c>
      <c r="AI89" s="8">
        <f t="shared" si="67"/>
        <v>8.8093635910156107E-2</v>
      </c>
      <c r="AJ89" s="8">
        <f t="shared" si="68"/>
        <v>7.4414380114816589E-2</v>
      </c>
      <c r="AK89" s="8">
        <f t="shared" si="69"/>
        <v>6.305840613068868E-2</v>
      </c>
      <c r="AL89" s="9">
        <v>0</v>
      </c>
      <c r="AM89" s="17">
        <f t="shared" si="45"/>
        <v>25.213264179330743</v>
      </c>
      <c r="AN89" s="13">
        <f t="shared" si="46"/>
        <v>18.991648501149019</v>
      </c>
      <c r="AO89" s="13">
        <f t="shared" si="47"/>
        <v>14.061392552358685</v>
      </c>
      <c r="AP89" s="13">
        <f t="shared" si="48"/>
        <v>14.885493113373098</v>
      </c>
      <c r="AQ89" s="13">
        <f t="shared" si="49"/>
        <v>14.375417856230779</v>
      </c>
      <c r="AR89" s="13">
        <f t="shared" si="50"/>
        <v>11.351557801744818</v>
      </c>
      <c r="AS89" s="13">
        <f t="shared" si="51"/>
        <v>13.438262852651121</v>
      </c>
      <c r="AT89" s="13">
        <f t="shared" si="52"/>
        <v>15.858313924514645</v>
      </c>
      <c r="AU89" s="9">
        <v>0</v>
      </c>
      <c r="AV89" s="18">
        <f t="shared" si="70"/>
        <v>1</v>
      </c>
      <c r="AW89" s="18">
        <f t="shared" si="71"/>
        <v>2</v>
      </c>
      <c r="AX89" s="18">
        <f t="shared" si="72"/>
        <v>6</v>
      </c>
      <c r="AY89" s="18">
        <f t="shared" si="73"/>
        <v>4</v>
      </c>
      <c r="AZ89" s="18">
        <f t="shared" si="74"/>
        <v>5</v>
      </c>
      <c r="BA89" s="18">
        <f t="shared" si="75"/>
        <v>8</v>
      </c>
      <c r="BB89" s="18">
        <f t="shared" si="76"/>
        <v>7</v>
      </c>
      <c r="BC89" s="18">
        <f t="shared" si="77"/>
        <v>3</v>
      </c>
      <c r="BD89" s="18">
        <f t="shared" si="78"/>
        <v>9</v>
      </c>
      <c r="BE89" s="8">
        <f t="shared" si="80"/>
        <v>1.115234041015882E-2</v>
      </c>
    </row>
    <row r="90" spans="1:57" x14ac:dyDescent="0.25">
      <c r="A90" t="str">
        <f t="shared" si="79"/>
        <v/>
      </c>
      <c r="B90" s="1">
        <v>42866</v>
      </c>
      <c r="C90" s="9">
        <f t="shared" si="54"/>
        <v>0.25131829367428876</v>
      </c>
      <c r="D90" s="9">
        <f t="shared" si="55"/>
        <v>0.25326952372960237</v>
      </c>
      <c r="E90" s="9">
        <f t="shared" si="56"/>
        <v>0</v>
      </c>
      <c r="F90" s="9">
        <f t="shared" si="57"/>
        <v>0</v>
      </c>
      <c r="G90" s="9">
        <f t="shared" si="58"/>
        <v>0.25183497042993114</v>
      </c>
      <c r="H90" s="9">
        <f t="shared" si="59"/>
        <v>0</v>
      </c>
      <c r="I90" s="9">
        <f t="shared" si="60"/>
        <v>0.24357721216617775</v>
      </c>
      <c r="J90" s="9">
        <f t="shared" si="61"/>
        <v>0</v>
      </c>
      <c r="K90" s="9">
        <v>0</v>
      </c>
      <c r="L90" s="8">
        <f>+VLOOKUP($B90,NIFTY_50!$B$3:$I$1238,8,0)</f>
        <v>1.6051364365972098E-3</v>
      </c>
      <c r="M90" s="8">
        <f>+VLOOKUP($B90,NIFTY_BANK!$B$3:$I$41238,8,0)</f>
        <v>-5.2123598630759993E-4</v>
      </c>
      <c r="N90" s="8">
        <f>+VLOOKUP($B90,NIFTY_IT!$B$3:$I$1238,8,0)</f>
        <v>3.5764784163687668E-3</v>
      </c>
      <c r="O90" s="8">
        <f>+VLOOKUP($B90,NIFTY_PHARMA!$B$3:$I$1238,8,0)</f>
        <v>7.1886564683065757E-3</v>
      </c>
      <c r="P90" s="8">
        <f>+VLOOKUP($B90,NIFTY_FMCG!$B$3:$I$1238,8,0)</f>
        <v>2.9848440888606831E-3</v>
      </c>
      <c r="Q90" s="8">
        <f>+VLOOKUP($B90,NIFTY_METAL!$B$3:$I$1238,8,0)</f>
        <v>5.6051878169087743E-3</v>
      </c>
      <c r="R90" s="8">
        <f>+VLOOKUP($B90,NIFTY_ENERGY!$B$3:$I$1238,8,0)</f>
        <v>-6.7211565835565423E-3</v>
      </c>
      <c r="S90" s="8">
        <f>+VLOOKUP($B90,NIFTY_AUTO!$B$3:$I$1238,8,0)</f>
        <v>1.0369859955938976E-2</v>
      </c>
      <c r="T90" s="8">
        <v>0</v>
      </c>
      <c r="U90" s="8">
        <f>+VLOOKUP($B90,NIFTY_50!$B$63:$K$1238,10,0)</f>
        <v>7.4506360438131969E-2</v>
      </c>
      <c r="V90" s="8">
        <f>+VLOOKUP($B90,NIFTY_BANK!$B$63:$K$1238,10,0)</f>
        <v>0.12709306805496556</v>
      </c>
      <c r="W90" s="8">
        <f>+VLOOKUP($B90,NIFTY_IT!$B$63:$K$1238,10,0)</f>
        <v>2.4887454344687088E-2</v>
      </c>
      <c r="X90" s="8">
        <f>+VLOOKUP($B90,NIFTY_PHARMA!$B$63:$K$1238,10,0)</f>
        <v>-3.8224956063268811E-2</v>
      </c>
      <c r="Y90" s="8">
        <f>+VLOOKUP($B90,NIFTY_FMCG!$B$63:$K$1238,10,0)</f>
        <v>5.5327513314665344E-2</v>
      </c>
      <c r="Z90" s="8">
        <f>+VLOOKUP($B90,NIFTY_METAL!$B$63:$K$1238,10,0)</f>
        <v>-6.1562479881542509E-2</v>
      </c>
      <c r="AA90" s="8">
        <f>+VLOOKUP($B90,NIFTY_ENERGY!$B$63:$K$1238,10,0)</f>
        <v>0.12258220953873122</v>
      </c>
      <c r="AB90" s="8">
        <f>+VLOOKUP($B90,NIFTY_AUTO!$B$63:$K$1238,10,0)</f>
        <v>4.1673962528453901E-2</v>
      </c>
      <c r="AC90" s="8"/>
      <c r="AD90" s="16">
        <f t="shared" si="62"/>
        <v>3.9648871644992305E-2</v>
      </c>
      <c r="AE90" s="8">
        <f t="shared" si="63"/>
        <v>5.2372304457971863E-2</v>
      </c>
      <c r="AF90" s="8">
        <f t="shared" si="64"/>
        <v>7.1184935216666911E-2</v>
      </c>
      <c r="AG90" s="8">
        <f t="shared" si="65"/>
        <v>6.7626448280998175E-2</v>
      </c>
      <c r="AH90" s="8">
        <f t="shared" si="66"/>
        <v>6.9359268655063311E-2</v>
      </c>
      <c r="AI90" s="8">
        <f t="shared" si="67"/>
        <v>8.7799215170031863E-2</v>
      </c>
      <c r="AJ90" s="8">
        <f t="shared" si="68"/>
        <v>7.4921591409953289E-2</v>
      </c>
      <c r="AK90" s="8">
        <f t="shared" si="69"/>
        <v>6.3551398006615106E-2</v>
      </c>
      <c r="AL90" s="9">
        <v>0</v>
      </c>
      <c r="AM90" s="17">
        <f t="shared" si="45"/>
        <v>25.221398705965473</v>
      </c>
      <c r="AN90" s="13">
        <f t="shared" si="46"/>
        <v>19.094061457663905</v>
      </c>
      <c r="AO90" s="13">
        <f t="shared" si="47"/>
        <v>14.047916135012013</v>
      </c>
      <c r="AP90" s="13">
        <f t="shared" si="48"/>
        <v>14.787113997837768</v>
      </c>
      <c r="AQ90" s="13">
        <f t="shared" si="49"/>
        <v>14.417683741349524</v>
      </c>
      <c r="AR90" s="13">
        <f t="shared" si="50"/>
        <v>11.389623450088946</v>
      </c>
      <c r="AS90" s="13">
        <f t="shared" si="51"/>
        <v>13.347287226298167</v>
      </c>
      <c r="AT90" s="13">
        <f t="shared" si="52"/>
        <v>15.735295074010951</v>
      </c>
      <c r="AU90" s="9">
        <v>0</v>
      </c>
      <c r="AV90" s="18">
        <f t="shared" si="70"/>
        <v>1</v>
      </c>
      <c r="AW90" s="18">
        <f t="shared" si="71"/>
        <v>2</v>
      </c>
      <c r="AX90" s="18">
        <f t="shared" si="72"/>
        <v>6</v>
      </c>
      <c r="AY90" s="18">
        <f t="shared" si="73"/>
        <v>4</v>
      </c>
      <c r="AZ90" s="18">
        <f t="shared" si="74"/>
        <v>5</v>
      </c>
      <c r="BA90" s="18">
        <f t="shared" si="75"/>
        <v>8</v>
      </c>
      <c r="BB90" s="18">
        <f t="shared" si="76"/>
        <v>7</v>
      </c>
      <c r="BC90" s="18">
        <f t="shared" si="77"/>
        <v>3</v>
      </c>
      <c r="BD90" s="18">
        <f t="shared" si="78"/>
        <v>9</v>
      </c>
      <c r="BE90" s="8">
        <f t="shared" si="80"/>
        <v>-6.2768138326084379E-4</v>
      </c>
    </row>
    <row r="91" spans="1:57" x14ac:dyDescent="0.25">
      <c r="A91" t="str">
        <f t="shared" si="79"/>
        <v/>
      </c>
      <c r="B91" s="1">
        <v>42867</v>
      </c>
      <c r="C91" s="9">
        <f t="shared" si="54"/>
        <v>0.25155262853580457</v>
      </c>
      <c r="D91" s="9">
        <f t="shared" si="55"/>
        <v>0.25245137510156845</v>
      </c>
      <c r="E91" s="9">
        <f t="shared" si="56"/>
        <v>0</v>
      </c>
      <c r="F91" s="9">
        <f t="shared" si="57"/>
        <v>0</v>
      </c>
      <c r="G91" s="9">
        <f t="shared" si="58"/>
        <v>0.25202690550173562</v>
      </c>
      <c r="H91" s="9">
        <f t="shared" si="59"/>
        <v>0</v>
      </c>
      <c r="I91" s="9">
        <f t="shared" si="60"/>
        <v>0.24396909086089133</v>
      </c>
      <c r="J91" s="9">
        <f t="shared" si="61"/>
        <v>0</v>
      </c>
      <c r="K91" s="9">
        <v>0</v>
      </c>
      <c r="L91" s="8">
        <f>+VLOOKUP($B91,NIFTY_50!$B$3:$I$1238,8,0)</f>
        <v>-2.2817965698760379E-3</v>
      </c>
      <c r="M91" s="8">
        <f>+VLOOKUP($B91,NIFTY_BANK!$B$3:$I$41238,8,0)</f>
        <v>-6.4311993145896862E-3</v>
      </c>
      <c r="N91" s="8">
        <f>+VLOOKUP($B91,NIFTY_IT!$B$3:$I$1238,8,0)</f>
        <v>1.0842327980421285E-2</v>
      </c>
      <c r="O91" s="8">
        <f>+VLOOKUP($B91,NIFTY_PHARMA!$B$3:$I$1238,8,0)</f>
        <v>-5.6440560574132492E-3</v>
      </c>
      <c r="P91" s="8">
        <f>+VLOOKUP($B91,NIFTY_FMCG!$B$3:$I$1238,8,0)</f>
        <v>-2.4515261686890444E-3</v>
      </c>
      <c r="Q91" s="8">
        <f>+VLOOKUP($B91,NIFTY_METAL!$B$3:$I$1238,8,0)</f>
        <v>-1.1319395612875427E-3</v>
      </c>
      <c r="R91" s="8">
        <f>+VLOOKUP($B91,NIFTY_ENERGY!$B$3:$I$1238,8,0)</f>
        <v>-1.6075434078258732E-3</v>
      </c>
      <c r="S91" s="8">
        <f>+VLOOKUP($B91,NIFTY_AUTO!$B$3:$I$1238,8,0)</f>
        <v>1.7722066133565306E-3</v>
      </c>
      <c r="T91" s="8">
        <v>0</v>
      </c>
      <c r="U91" s="8">
        <f>+VLOOKUP($B91,NIFTY_50!$B$63:$K$1238,10,0)</f>
        <v>7.0912694796318343E-2</v>
      </c>
      <c r="V91" s="8">
        <f>+VLOOKUP($B91,NIFTY_BANK!$B$63:$K$1238,10,0)</f>
        <v>0.12508219133895571</v>
      </c>
      <c r="W91" s="8">
        <f>+VLOOKUP($B91,NIFTY_IT!$B$63:$K$1238,10,0)</f>
        <v>1.9610735746810937E-2</v>
      </c>
      <c r="X91" s="8">
        <f>+VLOOKUP($B91,NIFTY_PHARMA!$B$63:$K$1238,10,0)</f>
        <v>-3.9952193955950177E-2</v>
      </c>
      <c r="Y91" s="8">
        <f>+VLOOKUP($B91,NIFTY_FMCG!$B$63:$K$1238,10,0)</f>
        <v>4.7737809262970998E-2</v>
      </c>
      <c r="Z91" s="8">
        <f>+VLOOKUP($B91,NIFTY_METAL!$B$63:$K$1238,10,0)</f>
        <v>-5.5954484301298346E-2</v>
      </c>
      <c r="AA91" s="8">
        <f>+VLOOKUP($B91,NIFTY_ENERGY!$B$63:$K$1238,10,0)</f>
        <v>0.12041711534068922</v>
      </c>
      <c r="AB91" s="8">
        <f>+VLOOKUP($B91,NIFTY_AUTO!$B$63:$K$1238,10,0)</f>
        <v>4.0002792167969092E-2</v>
      </c>
      <c r="AC91" s="8"/>
      <c r="AD91" s="16">
        <f t="shared" si="62"/>
        <v>3.9798216981983631E-2</v>
      </c>
      <c r="AE91" s="8">
        <f t="shared" si="63"/>
        <v>5.2626483643250864E-2</v>
      </c>
      <c r="AF91" s="8">
        <f t="shared" si="64"/>
        <v>7.0218883245716499E-2</v>
      </c>
      <c r="AG91" s="8">
        <f t="shared" si="65"/>
        <v>6.7735708755044102E-2</v>
      </c>
      <c r="AH91" s="8">
        <f t="shared" si="66"/>
        <v>6.932818219162773E-2</v>
      </c>
      <c r="AI91" s="8">
        <f t="shared" si="67"/>
        <v>8.7584744052394817E-2</v>
      </c>
      <c r="AJ91" s="8">
        <f t="shared" si="68"/>
        <v>7.4987746732018926E-2</v>
      </c>
      <c r="AK91" s="8">
        <f t="shared" si="69"/>
        <v>6.3503570358252853E-2</v>
      </c>
      <c r="AL91" s="9">
        <v>0</v>
      </c>
      <c r="AM91" s="17">
        <f t="shared" si="45"/>
        <v>25.126753805395172</v>
      </c>
      <c r="AN91" s="13">
        <f t="shared" si="46"/>
        <v>19.001839582877889</v>
      </c>
      <c r="AO91" s="13">
        <f t="shared" si="47"/>
        <v>14.241183479103567</v>
      </c>
      <c r="AP91" s="13">
        <f t="shared" si="48"/>
        <v>14.763261776980116</v>
      </c>
      <c r="AQ91" s="13">
        <f t="shared" si="49"/>
        <v>14.424148569710557</v>
      </c>
      <c r="AR91" s="13">
        <f t="shared" si="50"/>
        <v>11.417513527262026</v>
      </c>
      <c r="AS91" s="13">
        <f t="shared" si="51"/>
        <v>13.335512048037193</v>
      </c>
      <c r="AT91" s="13">
        <f t="shared" si="52"/>
        <v>15.747146095228032</v>
      </c>
      <c r="AU91" s="9">
        <v>0</v>
      </c>
      <c r="AV91" s="18">
        <f t="shared" si="70"/>
        <v>1</v>
      </c>
      <c r="AW91" s="18">
        <f t="shared" si="71"/>
        <v>2</v>
      </c>
      <c r="AX91" s="18">
        <f t="shared" si="72"/>
        <v>6</v>
      </c>
      <c r="AY91" s="18">
        <f t="shared" si="73"/>
        <v>4</v>
      </c>
      <c r="AZ91" s="18">
        <f t="shared" si="74"/>
        <v>5</v>
      </c>
      <c r="BA91" s="18">
        <f t="shared" si="75"/>
        <v>8</v>
      </c>
      <c r="BB91" s="18">
        <f t="shared" si="76"/>
        <v>7</v>
      </c>
      <c r="BC91" s="18">
        <f t="shared" si="77"/>
        <v>3</v>
      </c>
      <c r="BD91" s="18">
        <f t="shared" si="78"/>
        <v>9</v>
      </c>
      <c r="BE91" s="8">
        <f t="shared" si="80"/>
        <v>-3.2112249697837168E-3</v>
      </c>
    </row>
    <row r="92" spans="1:57" x14ac:dyDescent="0.25">
      <c r="A92" t="str">
        <f t="shared" si="79"/>
        <v/>
      </c>
      <c r="B92" s="1">
        <v>42870</v>
      </c>
      <c r="C92" s="9">
        <f t="shared" si="54"/>
        <v>0.25152446285323349</v>
      </c>
      <c r="D92" s="9">
        <f t="shared" si="55"/>
        <v>0.25289386251771639</v>
      </c>
      <c r="E92" s="9">
        <f t="shared" si="56"/>
        <v>0</v>
      </c>
      <c r="F92" s="9">
        <f t="shared" si="57"/>
        <v>0</v>
      </c>
      <c r="G92" s="9">
        <f t="shared" si="58"/>
        <v>0.25240734374373663</v>
      </c>
      <c r="H92" s="9">
        <f t="shared" si="59"/>
        <v>0</v>
      </c>
      <c r="I92" s="9">
        <f t="shared" si="60"/>
        <v>0.24317433088531334</v>
      </c>
      <c r="J92" s="9">
        <f t="shared" si="61"/>
        <v>0</v>
      </c>
      <c r="K92" s="9">
        <v>0</v>
      </c>
      <c r="L92" s="8">
        <f>+VLOOKUP($B92,NIFTY_50!$B$3:$I$1238,8,0)</f>
        <v>4.7335893371911464E-3</v>
      </c>
      <c r="M92" s="8">
        <f>+VLOOKUP($B92,NIFTY_BANK!$B$3:$I$41238,8,0)</f>
        <v>6.6073563076434194E-3</v>
      </c>
      <c r="N92" s="8">
        <f>+VLOOKUP($B92,NIFTY_IT!$B$3:$I$1238,8,0)</f>
        <v>-2.6573939212716224E-3</v>
      </c>
      <c r="O92" s="8">
        <f>+VLOOKUP($B92,NIFTY_PHARMA!$B$3:$I$1238,8,0)</f>
        <v>1.2987333768055942E-2</v>
      </c>
      <c r="P92" s="8">
        <f>+VLOOKUP($B92,NIFTY_FMCG!$B$3:$I$1238,8,0)</f>
        <v>6.3629289500750641E-3</v>
      </c>
      <c r="Q92" s="8">
        <f>+VLOOKUP($B92,NIFTY_METAL!$B$3:$I$1238,8,0)</f>
        <v>2.2818976322521944E-2</v>
      </c>
      <c r="R92" s="8">
        <f>+VLOOKUP($B92,NIFTY_ENERGY!$B$3:$I$1238,8,0)</f>
        <v>1.5726868397731852E-3</v>
      </c>
      <c r="S92" s="8">
        <f>+VLOOKUP($B92,NIFTY_AUTO!$B$3:$I$1238,8,0)</f>
        <v>4.9955893069457691E-3</v>
      </c>
      <c r="T92" s="8">
        <v>0</v>
      </c>
      <c r="U92" s="8">
        <f>+VLOOKUP($B92,NIFTY_50!$B$63:$K$1238,10,0)</f>
        <v>7.4128196234740207E-2</v>
      </c>
      <c r="V92" s="8">
        <f>+VLOOKUP($B92,NIFTY_BANK!$B$63:$K$1238,10,0)</f>
        <v>0.12900034134926952</v>
      </c>
      <c r="W92" s="8">
        <f>+VLOOKUP($B92,NIFTY_IT!$B$63:$K$1238,10,0)</f>
        <v>-4.6304095650206989E-3</v>
      </c>
      <c r="X92" s="8">
        <f>+VLOOKUP($B92,NIFTY_PHARMA!$B$63:$K$1238,10,0)</f>
        <v>-1.7747482779433055E-2</v>
      </c>
      <c r="Y92" s="8">
        <f>+VLOOKUP($B92,NIFTY_FMCG!$B$63:$K$1238,10,0)</f>
        <v>6.2095705283738534E-2</v>
      </c>
      <c r="Z92" s="8">
        <f>+VLOOKUP($B92,NIFTY_METAL!$B$63:$K$1238,10,0)</f>
        <v>-3.1523842039376304E-2</v>
      </c>
      <c r="AA92" s="8">
        <f>+VLOOKUP($B92,NIFTY_ENERGY!$B$63:$K$1238,10,0)</f>
        <v>0.12736085419252108</v>
      </c>
      <c r="AB92" s="8">
        <f>+VLOOKUP($B92,NIFTY_AUTO!$B$63:$K$1238,10,0)</f>
        <v>4.9462817778578749E-2</v>
      </c>
      <c r="AC92" s="8"/>
      <c r="AD92" s="16">
        <f t="shared" si="62"/>
        <v>3.9954226182049052E-2</v>
      </c>
      <c r="AE92" s="8">
        <f t="shared" si="63"/>
        <v>5.281701402011206E-2</v>
      </c>
      <c r="AF92" s="8">
        <f t="shared" si="64"/>
        <v>6.691472039299784E-2</v>
      </c>
      <c r="AG92" s="8">
        <f t="shared" si="65"/>
        <v>6.8401987059237682E-2</v>
      </c>
      <c r="AH92" s="8">
        <f t="shared" si="66"/>
        <v>6.9061810206110588E-2</v>
      </c>
      <c r="AI92" s="8">
        <f t="shared" si="67"/>
        <v>9.0649997170637889E-2</v>
      </c>
      <c r="AJ92" s="8">
        <f t="shared" si="68"/>
        <v>7.4701419361374699E-2</v>
      </c>
      <c r="AK92" s="8">
        <f t="shared" si="69"/>
        <v>6.3462950328263323E-2</v>
      </c>
      <c r="AL92" s="9">
        <v>0</v>
      </c>
      <c r="AM92" s="17">
        <f t="shared" si="45"/>
        <v>25.028641411888685</v>
      </c>
      <c r="AN92" s="13">
        <f t="shared" si="46"/>
        <v>18.933292965392031</v>
      </c>
      <c r="AO92" s="13">
        <f t="shared" si="47"/>
        <v>14.944394807702777</v>
      </c>
      <c r="AP92" s="13">
        <f t="shared" si="48"/>
        <v>14.619458337284518</v>
      </c>
      <c r="AQ92" s="13">
        <f t="shared" si="49"/>
        <v>14.479782632623783</v>
      </c>
      <c r="AR92" s="13">
        <f t="shared" si="50"/>
        <v>11.031439947180786</v>
      </c>
      <c r="AS92" s="13">
        <f t="shared" si="51"/>
        <v>13.386626499858213</v>
      </c>
      <c r="AT92" s="13">
        <f t="shared" si="52"/>
        <v>15.757225197181677</v>
      </c>
      <c r="AU92" s="9">
        <v>0</v>
      </c>
      <c r="AV92" s="18">
        <f t="shared" si="70"/>
        <v>1</v>
      </c>
      <c r="AW92" s="18">
        <f t="shared" si="71"/>
        <v>2</v>
      </c>
      <c r="AX92" s="18">
        <f t="shared" si="72"/>
        <v>4</v>
      </c>
      <c r="AY92" s="18">
        <f t="shared" si="73"/>
        <v>5</v>
      </c>
      <c r="AZ92" s="18">
        <f t="shared" si="74"/>
        <v>6</v>
      </c>
      <c r="BA92" s="18">
        <f t="shared" si="75"/>
        <v>8</v>
      </c>
      <c r="BB92" s="18">
        <f t="shared" si="76"/>
        <v>7</v>
      </c>
      <c r="BC92" s="18">
        <f t="shared" si="77"/>
        <v>3</v>
      </c>
      <c r="BD92" s="18">
        <f t="shared" si="78"/>
        <v>9</v>
      </c>
      <c r="BE92" s="8">
        <f t="shared" si="80"/>
        <v>4.8460992975532715E-3</v>
      </c>
    </row>
    <row r="93" spans="1:57" x14ac:dyDescent="0.25">
      <c r="A93" t="str">
        <f t="shared" si="79"/>
        <v/>
      </c>
      <c r="B93" s="1">
        <v>42871</v>
      </c>
      <c r="C93" s="9">
        <f t="shared" si="54"/>
        <v>0.25157717801163137</v>
      </c>
      <c r="D93" s="9">
        <f t="shared" si="55"/>
        <v>0.25234793256935117</v>
      </c>
      <c r="E93" s="9">
        <f t="shared" si="56"/>
        <v>0</v>
      </c>
      <c r="F93" s="9">
        <f t="shared" si="57"/>
        <v>0</v>
      </c>
      <c r="G93" s="9">
        <f t="shared" si="58"/>
        <v>0.2532958220042939</v>
      </c>
      <c r="H93" s="9">
        <f t="shared" si="59"/>
        <v>0</v>
      </c>
      <c r="I93" s="9">
        <f t="shared" si="60"/>
        <v>0.24277906741472352</v>
      </c>
      <c r="J93" s="9">
        <f t="shared" si="61"/>
        <v>0</v>
      </c>
      <c r="K93" s="9">
        <v>0</v>
      </c>
      <c r="L93" s="8">
        <f>+VLOOKUP($B93,NIFTY_50!$B$3:$I$1238,8,0)</f>
        <v>7.0775192157028766E-3</v>
      </c>
      <c r="M93" s="8">
        <f>+VLOOKUP($B93,NIFTY_BANK!$B$3:$I$41238,8,0)</f>
        <v>4.6929430580811005E-3</v>
      </c>
      <c r="N93" s="8">
        <f>+VLOOKUP($B93,NIFTY_IT!$B$3:$I$1238,8,0)</f>
        <v>1.175560337532322E-2</v>
      </c>
      <c r="O93" s="8">
        <f>+VLOOKUP($B93,NIFTY_PHARMA!$B$3:$I$1238,8,0)</f>
        <v>-5.5594298170758005E-4</v>
      </c>
      <c r="P93" s="8">
        <f>+VLOOKUP($B93,NIFTY_FMCG!$B$3:$I$1238,8,0)</f>
        <v>1.0410685152439259E-2</v>
      </c>
      <c r="Q93" s="8">
        <f>+VLOOKUP($B93,NIFTY_METAL!$B$3:$I$1238,8,0)</f>
        <v>-4.834648312909251E-3</v>
      </c>
      <c r="R93" s="8">
        <f>+VLOOKUP($B93,NIFTY_ENERGY!$B$3:$I$1238,8,0)</f>
        <v>5.2299039176508799E-3</v>
      </c>
      <c r="S93" s="8">
        <f>+VLOOKUP($B93,NIFTY_AUTO!$B$3:$I$1238,8,0)</f>
        <v>1.1081640636180667E-2</v>
      </c>
      <c r="T93" s="8">
        <v>0</v>
      </c>
      <c r="U93" s="8">
        <f>+VLOOKUP($B93,NIFTY_50!$B$63:$K$1238,10,0)</f>
        <v>8.0317545045172967E-2</v>
      </c>
      <c r="V93" s="8">
        <f>+VLOOKUP($B93,NIFTY_BANK!$B$63:$K$1238,10,0)</f>
        <v>0.13217590535162294</v>
      </c>
      <c r="W93" s="8">
        <f>+VLOOKUP($B93,NIFTY_IT!$B$63:$K$1238,10,0)</f>
        <v>8.0360474126783821E-4</v>
      </c>
      <c r="X93" s="8">
        <f>+VLOOKUP($B93,NIFTY_PHARMA!$B$63:$K$1238,10,0)</f>
        <v>-1.5038063747164543E-2</v>
      </c>
      <c r="Y93" s="8">
        <f>+VLOOKUP($B93,NIFTY_FMCG!$B$63:$K$1238,10,0)</f>
        <v>7.6009978365490616E-2</v>
      </c>
      <c r="Z93" s="8">
        <f>+VLOOKUP($B93,NIFTY_METAL!$B$63:$K$1238,10,0)</f>
        <v>-3.8581923744344215E-2</v>
      </c>
      <c r="AA93" s="8">
        <f>+VLOOKUP($B93,NIFTY_ENERGY!$B$63:$K$1238,10,0)</f>
        <v>0.13029790652703954</v>
      </c>
      <c r="AB93" s="8">
        <f>+VLOOKUP($B93,NIFTY_AUTO!$B$63:$K$1238,10,0)</f>
        <v>6.2582094191491411E-2</v>
      </c>
      <c r="AC93" s="8"/>
      <c r="AD93" s="16">
        <f t="shared" si="62"/>
        <v>4.0379317738951453E-2</v>
      </c>
      <c r="AE93" s="8">
        <f t="shared" si="63"/>
        <v>5.2883504995708992E-2</v>
      </c>
      <c r="AF93" s="8">
        <f t="shared" si="64"/>
        <v>6.7649812472089843E-2</v>
      </c>
      <c r="AG93" s="8">
        <f t="shared" si="65"/>
        <v>6.8333710869598621E-2</v>
      </c>
      <c r="AH93" s="8">
        <f t="shared" si="66"/>
        <v>6.9578937549570855E-2</v>
      </c>
      <c r="AI93" s="8">
        <f t="shared" si="67"/>
        <v>9.0703519829449367E-2</v>
      </c>
      <c r="AJ93" s="8">
        <f t="shared" si="68"/>
        <v>7.4767472105769964E-2</v>
      </c>
      <c r="AK93" s="8">
        <f t="shared" si="69"/>
        <v>6.4227984814293829E-2</v>
      </c>
      <c r="AL93" s="9">
        <v>0</v>
      </c>
      <c r="AM93" s="17">
        <f t="shared" si="45"/>
        <v>24.765153449716692</v>
      </c>
      <c r="AN93" s="13">
        <f t="shared" si="46"/>
        <v>18.909487941110196</v>
      </c>
      <c r="AO93" s="13">
        <f t="shared" si="47"/>
        <v>14.782006977662624</v>
      </c>
      <c r="AP93" s="13">
        <f t="shared" si="48"/>
        <v>14.634065489408329</v>
      </c>
      <c r="AQ93" s="13">
        <f t="shared" si="49"/>
        <v>14.372165416977795</v>
      </c>
      <c r="AR93" s="13">
        <f t="shared" si="50"/>
        <v>11.024930475468967</v>
      </c>
      <c r="AS93" s="13">
        <f t="shared" si="51"/>
        <v>13.374800188313815</v>
      </c>
      <c r="AT93" s="13">
        <f t="shared" si="52"/>
        <v>15.569537217948829</v>
      </c>
      <c r="AU93" s="9">
        <v>0</v>
      </c>
      <c r="AV93" s="18">
        <f t="shared" si="70"/>
        <v>1</v>
      </c>
      <c r="AW93" s="18">
        <f t="shared" si="71"/>
        <v>2</v>
      </c>
      <c r="AX93" s="18">
        <f t="shared" si="72"/>
        <v>4</v>
      </c>
      <c r="AY93" s="18">
        <f t="shared" si="73"/>
        <v>5</v>
      </c>
      <c r="AZ93" s="18">
        <f t="shared" si="74"/>
        <v>6</v>
      </c>
      <c r="BA93" s="18">
        <f t="shared" si="75"/>
        <v>8</v>
      </c>
      <c r="BB93" s="18">
        <f t="shared" si="76"/>
        <v>7</v>
      </c>
      <c r="BC93" s="18">
        <f t="shared" si="77"/>
        <v>3</v>
      </c>
      <c r="BD93" s="18">
        <f t="shared" si="78"/>
        <v>9</v>
      </c>
      <c r="BE93" s="8">
        <f t="shared" si="80"/>
        <v>6.8664974872457204E-3</v>
      </c>
    </row>
    <row r="94" spans="1:57" x14ac:dyDescent="0.25">
      <c r="A94" t="str">
        <f t="shared" si="79"/>
        <v/>
      </c>
      <c r="B94" s="1">
        <v>42872</v>
      </c>
      <c r="C94" s="9">
        <f t="shared" si="54"/>
        <v>0.25222923668720126</v>
      </c>
      <c r="D94" s="9">
        <f t="shared" si="55"/>
        <v>0.25272441915389432</v>
      </c>
      <c r="E94" s="9">
        <f t="shared" si="56"/>
        <v>0</v>
      </c>
      <c r="F94" s="9">
        <f t="shared" si="57"/>
        <v>0</v>
      </c>
      <c r="G94" s="9">
        <f t="shared" si="58"/>
        <v>0.2525123202960195</v>
      </c>
      <c r="H94" s="9">
        <f t="shared" si="59"/>
        <v>0</v>
      </c>
      <c r="I94" s="9">
        <f t="shared" si="60"/>
        <v>0.24253402386288503</v>
      </c>
      <c r="J94" s="9">
        <f t="shared" si="61"/>
        <v>0</v>
      </c>
      <c r="K94" s="9">
        <v>0</v>
      </c>
      <c r="L94" s="8">
        <f>+VLOOKUP($B94,NIFTY_50!$B$3:$I$1238,8,0)</f>
        <v>1.4192225814082526E-3</v>
      </c>
      <c r="M94" s="8">
        <f>+VLOOKUP($B94,NIFTY_BANK!$B$3:$I$41238,8,0)</f>
        <v>3.2056034821148494E-4</v>
      </c>
      <c r="N94" s="8">
        <f>+VLOOKUP($B94,NIFTY_IT!$B$3:$I$1238,8,0)</f>
        <v>-2.2941699406383576E-3</v>
      </c>
      <c r="O94" s="8">
        <f>+VLOOKUP($B94,NIFTY_PHARMA!$B$3:$I$1238,8,0)</f>
        <v>-2.3957880971782197E-3</v>
      </c>
      <c r="P94" s="8">
        <f>+VLOOKUP($B94,NIFTY_FMCG!$B$3:$I$1238,8,0)</f>
        <v>-4.2592391226294879E-3</v>
      </c>
      <c r="Q94" s="8">
        <f>+VLOOKUP($B94,NIFTY_METAL!$B$3:$I$1238,8,0)</f>
        <v>2.245200904153033E-2</v>
      </c>
      <c r="R94" s="8">
        <f>+VLOOKUP($B94,NIFTY_ENERGY!$B$3:$I$1238,8,0)</f>
        <v>-2.1777759411546471E-3</v>
      </c>
      <c r="S94" s="8">
        <f>+VLOOKUP($B94,NIFTY_AUTO!$B$3:$I$1238,8,0)</f>
        <v>6.8176778375930169E-3</v>
      </c>
      <c r="T94" s="8">
        <v>0</v>
      </c>
      <c r="U94" s="8">
        <f>+VLOOKUP($B94,NIFTY_50!$B$63:$K$1238,10,0)</f>
        <v>8.3419583044254786E-2</v>
      </c>
      <c r="V94" s="8">
        <f>+VLOOKUP($B94,NIFTY_BANK!$B$63:$K$1238,10,0)</f>
        <v>0.13218663152023158</v>
      </c>
      <c r="W94" s="8">
        <f>+VLOOKUP($B94,NIFTY_IT!$B$63:$K$1238,10,0)</f>
        <v>-3.5134283613867945E-3</v>
      </c>
      <c r="X94" s="8">
        <f>+VLOOKUP($B94,NIFTY_PHARMA!$B$63:$K$1238,10,0)</f>
        <v>-9.6539029765796425E-3</v>
      </c>
      <c r="Y94" s="8">
        <f>+VLOOKUP($B94,NIFTY_FMCG!$B$63:$K$1238,10,0)</f>
        <v>7.3937701500926156E-2</v>
      </c>
      <c r="Z94" s="8">
        <f>+VLOOKUP($B94,NIFTY_METAL!$B$63:$K$1238,10,0)</f>
        <v>-8.1166440295209474E-3</v>
      </c>
      <c r="AA94" s="8">
        <f>+VLOOKUP($B94,NIFTY_ENERGY!$B$63:$K$1238,10,0)</f>
        <v>0.12529767868876895</v>
      </c>
      <c r="AB94" s="8">
        <f>+VLOOKUP($B94,NIFTY_AUTO!$B$63:$K$1238,10,0)</f>
        <v>8.6461112355660674E-2</v>
      </c>
      <c r="AC94" s="8"/>
      <c r="AD94" s="16">
        <f t="shared" si="62"/>
        <v>4.0285583389321519E-2</v>
      </c>
      <c r="AE94" s="8">
        <f t="shared" si="63"/>
        <v>5.2883192412479595E-2</v>
      </c>
      <c r="AF94" s="8">
        <f t="shared" si="64"/>
        <v>6.7659288250343452E-2</v>
      </c>
      <c r="AG94" s="8">
        <f t="shared" si="65"/>
        <v>6.794034239233987E-2</v>
      </c>
      <c r="AH94" s="8">
        <f t="shared" si="66"/>
        <v>6.9703754033351689E-2</v>
      </c>
      <c r="AI94" s="8">
        <f t="shared" si="67"/>
        <v>9.3119130913458914E-2</v>
      </c>
      <c r="AJ94" s="8">
        <f t="shared" si="68"/>
        <v>7.4884794282502595E-2</v>
      </c>
      <c r="AK94" s="8">
        <f t="shared" si="69"/>
        <v>6.2319335651606349E-2</v>
      </c>
      <c r="AL94" s="9">
        <v>0</v>
      </c>
      <c r="AM94" s="17">
        <f t="shared" si="45"/>
        <v>24.822775689654517</v>
      </c>
      <c r="AN94" s="13">
        <f t="shared" si="46"/>
        <v>18.909599711760514</v>
      </c>
      <c r="AO94" s="13">
        <f t="shared" si="47"/>
        <v>14.779936736844462</v>
      </c>
      <c r="AP94" s="13">
        <f t="shared" si="48"/>
        <v>14.718795413558997</v>
      </c>
      <c r="AQ94" s="13">
        <f t="shared" si="49"/>
        <v>14.346429598634277</v>
      </c>
      <c r="AR94" s="13">
        <f t="shared" si="50"/>
        <v>10.738931841292192</v>
      </c>
      <c r="AS94" s="13">
        <f t="shared" si="51"/>
        <v>13.353845858579833</v>
      </c>
      <c r="AT94" s="13">
        <f t="shared" si="52"/>
        <v>16.046384152592037</v>
      </c>
      <c r="AU94" s="9">
        <v>0</v>
      </c>
      <c r="AV94" s="18">
        <f t="shared" si="70"/>
        <v>1</v>
      </c>
      <c r="AW94" s="18">
        <f t="shared" si="71"/>
        <v>2</v>
      </c>
      <c r="AX94" s="18">
        <f t="shared" si="72"/>
        <v>4</v>
      </c>
      <c r="AY94" s="18">
        <f t="shared" si="73"/>
        <v>5</v>
      </c>
      <c r="AZ94" s="18">
        <f t="shared" si="74"/>
        <v>6</v>
      </c>
      <c r="BA94" s="18">
        <f t="shared" si="75"/>
        <v>8</v>
      </c>
      <c r="BB94" s="18">
        <f t="shared" si="76"/>
        <v>7</v>
      </c>
      <c r="BC94" s="18">
        <f t="shared" si="77"/>
        <v>3</v>
      </c>
      <c r="BD94" s="18">
        <f t="shared" si="78"/>
        <v>9</v>
      </c>
      <c r="BE94" s="8">
        <f t="shared" si="80"/>
        <v>-1.1696291335750802E-3</v>
      </c>
    </row>
    <row r="95" spans="1:57" x14ac:dyDescent="0.25">
      <c r="A95" t="str">
        <f t="shared" si="79"/>
        <v/>
      </c>
      <c r="B95" s="1">
        <v>42873</v>
      </c>
      <c r="C95" s="9">
        <f t="shared" si="54"/>
        <v>0.25300581576228126</v>
      </c>
      <c r="D95" s="9">
        <f t="shared" si="55"/>
        <v>0.25344133156141307</v>
      </c>
      <c r="E95" s="9">
        <f t="shared" si="56"/>
        <v>0</v>
      </c>
      <c r="F95" s="9">
        <f t="shared" si="57"/>
        <v>0</v>
      </c>
      <c r="G95" s="9">
        <f t="shared" si="58"/>
        <v>0.25162981195044926</v>
      </c>
      <c r="H95" s="9">
        <f t="shared" si="59"/>
        <v>0</v>
      </c>
      <c r="I95" s="9">
        <f t="shared" si="60"/>
        <v>0.24192304072585649</v>
      </c>
      <c r="J95" s="9">
        <f t="shared" si="61"/>
        <v>0</v>
      </c>
      <c r="K95" s="9">
        <v>0</v>
      </c>
      <c r="L95" s="8">
        <f>+VLOOKUP($B95,NIFTY_50!$B$3:$I$1238,8,0)</f>
        <v>-1.0109440201558906E-2</v>
      </c>
      <c r="M95" s="8">
        <f>+VLOOKUP($B95,NIFTY_BANK!$B$3:$I$41238,8,0)</f>
        <v>-1.0348383214996648E-2</v>
      </c>
      <c r="N95" s="8">
        <f>+VLOOKUP($B95,NIFTY_IT!$B$3:$I$1238,8,0)</f>
        <v>1.0376246730476435E-2</v>
      </c>
      <c r="O95" s="8">
        <f>+VLOOKUP($B95,NIFTY_PHARMA!$B$3:$I$1238,8,0)</f>
        <v>-6.0943399917829932E-3</v>
      </c>
      <c r="P95" s="8">
        <f>+VLOOKUP($B95,NIFTY_FMCG!$B$3:$I$1238,8,0)</f>
        <v>-1.6596783664891257E-2</v>
      </c>
      <c r="Q95" s="8">
        <f>+VLOOKUP($B95,NIFTY_METAL!$B$3:$I$1238,8,0)</f>
        <v>-2.7584841535644111E-2</v>
      </c>
      <c r="R95" s="8">
        <f>+VLOOKUP($B95,NIFTY_ENERGY!$B$3:$I$1238,8,0)</f>
        <v>-1.5633865229869537E-2</v>
      </c>
      <c r="S95" s="8">
        <f>+VLOOKUP($B95,NIFTY_AUTO!$B$3:$I$1238,8,0)</f>
        <v>-2.1870343121174973E-2</v>
      </c>
      <c r="T95" s="8">
        <v>0</v>
      </c>
      <c r="U95" s="8">
        <f>+VLOOKUP($B95,NIFTY_50!$B$63:$K$1238,10,0)</f>
        <v>8.0776416381078908E-2</v>
      </c>
      <c r="V95" s="8">
        <f>+VLOOKUP($B95,NIFTY_BANK!$B$63:$K$1238,10,0)</f>
        <v>0.12571601442195623</v>
      </c>
      <c r="W95" s="8">
        <f>+VLOOKUP($B95,NIFTY_IT!$B$63:$K$1238,10,0)</f>
        <v>1.1311273393334043E-2</v>
      </c>
      <c r="X95" s="8">
        <f>+VLOOKUP($B95,NIFTY_PHARMA!$B$63:$K$1238,10,0)</f>
        <v>2.2342456091895002E-3</v>
      </c>
      <c r="Y95" s="8">
        <f>+VLOOKUP($B95,NIFTY_FMCG!$B$63:$K$1238,10,0)</f>
        <v>5.2464453304166714E-2</v>
      </c>
      <c r="Z95" s="8">
        <f>+VLOOKUP($B95,NIFTY_METAL!$B$63:$K$1238,10,0)</f>
        <v>-2.1320049813200459E-2</v>
      </c>
      <c r="AA95" s="8">
        <f>+VLOOKUP($B95,NIFTY_ENERGY!$B$63:$K$1238,10,0)</f>
        <v>0.11603709355558167</v>
      </c>
      <c r="AB95" s="8">
        <f>+VLOOKUP($B95,NIFTY_AUTO!$B$63:$K$1238,10,0)</f>
        <v>9.5869625709440465E-2</v>
      </c>
      <c r="AC95" s="8"/>
      <c r="AD95" s="16">
        <f t="shared" si="62"/>
        <v>4.0894342451085239E-2</v>
      </c>
      <c r="AE95" s="8">
        <f t="shared" si="63"/>
        <v>5.3897264488198704E-2</v>
      </c>
      <c r="AF95" s="8">
        <f t="shared" si="64"/>
        <v>6.8284542188350714E-2</v>
      </c>
      <c r="AG95" s="8">
        <f t="shared" si="65"/>
        <v>6.5831488132932922E-2</v>
      </c>
      <c r="AH95" s="8">
        <f t="shared" si="66"/>
        <v>7.1860894813571913E-2</v>
      </c>
      <c r="AI95" s="8">
        <f t="shared" si="67"/>
        <v>9.601234861688987E-2</v>
      </c>
      <c r="AJ95" s="8">
        <f t="shared" si="68"/>
        <v>7.633942420982176E-2</v>
      </c>
      <c r="AK95" s="8">
        <f t="shared" si="69"/>
        <v>5.8492040802521114E-2</v>
      </c>
      <c r="AL95" s="9">
        <v>0</v>
      </c>
      <c r="AM95" s="17">
        <f t="shared" si="45"/>
        <v>24.453260281568909</v>
      </c>
      <c r="AN95" s="13">
        <f t="shared" si="46"/>
        <v>18.553817331841749</v>
      </c>
      <c r="AO95" s="13">
        <f t="shared" si="47"/>
        <v>14.644602833269039</v>
      </c>
      <c r="AP95" s="13">
        <f t="shared" si="48"/>
        <v>15.190299176903142</v>
      </c>
      <c r="AQ95" s="13">
        <f t="shared" si="49"/>
        <v>13.915774394325192</v>
      </c>
      <c r="AR95" s="13">
        <f t="shared" si="50"/>
        <v>10.415326928312286</v>
      </c>
      <c r="AS95" s="13">
        <f t="shared" si="51"/>
        <v>13.099391439624467</v>
      </c>
      <c r="AT95" s="13">
        <f t="shared" si="52"/>
        <v>17.096343131130727</v>
      </c>
      <c r="AU95" s="9">
        <v>0</v>
      </c>
      <c r="AV95" s="18">
        <f t="shared" si="70"/>
        <v>1</v>
      </c>
      <c r="AW95" s="18">
        <f t="shared" si="71"/>
        <v>2</v>
      </c>
      <c r="AX95" s="18">
        <f t="shared" si="72"/>
        <v>5</v>
      </c>
      <c r="AY95" s="18">
        <f t="shared" si="73"/>
        <v>4</v>
      </c>
      <c r="AZ95" s="18">
        <f t="shared" si="74"/>
        <v>6</v>
      </c>
      <c r="BA95" s="18">
        <f t="shared" si="75"/>
        <v>8</v>
      </c>
      <c r="BB95" s="18">
        <f t="shared" si="76"/>
        <v>7</v>
      </c>
      <c r="BC95" s="18">
        <f t="shared" si="77"/>
        <v>3</v>
      </c>
      <c r="BD95" s="18">
        <f t="shared" si="78"/>
        <v>9</v>
      </c>
      <c r="BE95" s="8">
        <f t="shared" si="80"/>
        <v>-1.3147822117969121E-2</v>
      </c>
    </row>
    <row r="96" spans="1:57" x14ac:dyDescent="0.25">
      <c r="A96" t="str">
        <f t="shared" si="79"/>
        <v/>
      </c>
      <c r="B96" s="1">
        <v>42874</v>
      </c>
      <c r="C96" s="9">
        <f t="shared" si="54"/>
        <v>0.25193568655813414</v>
      </c>
      <c r="D96" s="9">
        <f t="shared" si="55"/>
        <v>0.25320260280891765</v>
      </c>
      <c r="E96" s="9">
        <f t="shared" si="56"/>
        <v>0</v>
      </c>
      <c r="F96" s="9">
        <f t="shared" si="57"/>
        <v>0</v>
      </c>
      <c r="G96" s="9">
        <f t="shared" si="58"/>
        <v>0.25574085799978302</v>
      </c>
      <c r="H96" s="9">
        <f t="shared" si="59"/>
        <v>0</v>
      </c>
      <c r="I96" s="9">
        <f t="shared" si="60"/>
        <v>0.2391208526331651</v>
      </c>
      <c r="J96" s="9">
        <f t="shared" si="61"/>
        <v>0</v>
      </c>
      <c r="K96" s="9">
        <v>0</v>
      </c>
      <c r="L96" s="8">
        <f>+VLOOKUP($B96,NIFTY_50!$B$3:$I$1238,8,0)</f>
        <v>-1.643786222951249E-4</v>
      </c>
      <c r="M96" s="8">
        <f>+VLOOKUP($B96,NIFTY_BANK!$B$3:$I$41238,8,0)</f>
        <v>3.1367573330514098E-3</v>
      </c>
      <c r="N96" s="8">
        <f>+VLOOKUP($B96,NIFTY_IT!$B$3:$I$1238,8,0)</f>
        <v>-8.4632453345471204E-3</v>
      </c>
      <c r="O96" s="8">
        <f>+VLOOKUP($B96,NIFTY_PHARMA!$B$3:$I$1238,8,0)</f>
        <v>-4.1337362085758222E-4</v>
      </c>
      <c r="P96" s="8">
        <f>+VLOOKUP($B96,NIFTY_FMCG!$B$3:$I$1238,8,0)</f>
        <v>2.0486925913509868E-2</v>
      </c>
      <c r="Q96" s="8">
        <f>+VLOOKUP($B96,NIFTY_METAL!$B$3:$I$1238,8,0)</f>
        <v>-1.3063911368997871E-3</v>
      </c>
      <c r="R96" s="8">
        <f>+VLOOKUP($B96,NIFTY_ENERGY!$B$3:$I$1238,8,0)</f>
        <v>-7.5477096025040602E-3</v>
      </c>
      <c r="S96" s="8">
        <f>+VLOOKUP($B96,NIFTY_AUTO!$B$3:$I$1238,8,0)</f>
        <v>-2.543992871070877E-3</v>
      </c>
      <c r="T96" s="8">
        <v>0</v>
      </c>
      <c r="U96" s="8">
        <f>+VLOOKUP($B96,NIFTY_50!$B$63:$K$1238,10,0)</f>
        <v>7.4037366142629235E-2</v>
      </c>
      <c r="V96" s="8">
        <f>+VLOOKUP($B96,NIFTY_BANK!$B$63:$K$1238,10,0)</f>
        <v>0.12478450085705672</v>
      </c>
      <c r="W96" s="8">
        <f>+VLOOKUP($B96,NIFTY_IT!$B$63:$K$1238,10,0)</f>
        <v>-1.6155362460658296E-2</v>
      </c>
      <c r="X96" s="8">
        <f>+VLOOKUP($B96,NIFTY_PHARMA!$B$63:$K$1238,10,0)</f>
        <v>-2.4179097307295061E-2</v>
      </c>
      <c r="Y96" s="8">
        <f>+VLOOKUP($B96,NIFTY_FMCG!$B$63:$K$1238,10,0)</f>
        <v>8.8169189041855001E-2</v>
      </c>
      <c r="Z96" s="8">
        <f>+VLOOKUP($B96,NIFTY_METAL!$B$63:$K$1238,10,0)</f>
        <v>-4.3095180037389325E-2</v>
      </c>
      <c r="AA96" s="8">
        <f>+VLOOKUP($B96,NIFTY_ENERGY!$B$63:$K$1238,10,0)</f>
        <v>9.7579587012962765E-2</v>
      </c>
      <c r="AB96" s="8">
        <f>+VLOOKUP($B96,NIFTY_AUTO!$B$63:$K$1238,10,0)</f>
        <v>7.468757581545149E-2</v>
      </c>
      <c r="AC96" s="8"/>
      <c r="AD96" s="16">
        <f t="shared" si="62"/>
        <v>4.0627178876310517E-2</v>
      </c>
      <c r="AE96" s="8">
        <f t="shared" si="63"/>
        <v>5.3872719690961607E-2</v>
      </c>
      <c r="AF96" s="8">
        <f t="shared" si="64"/>
        <v>6.6066898291623585E-2</v>
      </c>
      <c r="AG96" s="8">
        <f t="shared" si="65"/>
        <v>6.013309289197543E-2</v>
      </c>
      <c r="AH96" s="8">
        <f t="shared" si="66"/>
        <v>7.305760807942796E-2</v>
      </c>
      <c r="AI96" s="8">
        <f t="shared" si="67"/>
        <v>9.3488998432815912E-2</v>
      </c>
      <c r="AJ96" s="8">
        <f t="shared" si="68"/>
        <v>7.6539190416802141E-2</v>
      </c>
      <c r="AK96" s="8">
        <f t="shared" si="69"/>
        <v>5.6468230861956431E-2</v>
      </c>
      <c r="AL96" s="9">
        <v>0</v>
      </c>
      <c r="AM96" s="17">
        <f t="shared" si="45"/>
        <v>24.614064467643715</v>
      </c>
      <c r="AN96" s="13">
        <f t="shared" si="46"/>
        <v>18.562270584007162</v>
      </c>
      <c r="AO96" s="13">
        <f t="shared" si="47"/>
        <v>15.136172967980652</v>
      </c>
      <c r="AP96" s="13">
        <f t="shared" si="48"/>
        <v>16.629778245340294</v>
      </c>
      <c r="AQ96" s="13">
        <f t="shared" si="49"/>
        <v>13.687828362965343</v>
      </c>
      <c r="AR96" s="13">
        <f t="shared" si="50"/>
        <v>10.696445750444433</v>
      </c>
      <c r="AS96" s="13">
        <f t="shared" si="51"/>
        <v>13.06520221280622</v>
      </c>
      <c r="AT96" s="13">
        <f t="shared" si="52"/>
        <v>17.709072601275992</v>
      </c>
      <c r="AU96" s="9">
        <v>0</v>
      </c>
      <c r="AV96" s="18">
        <f t="shared" si="70"/>
        <v>1</v>
      </c>
      <c r="AW96" s="18">
        <f t="shared" si="71"/>
        <v>2</v>
      </c>
      <c r="AX96" s="18">
        <f t="shared" si="72"/>
        <v>5</v>
      </c>
      <c r="AY96" s="18">
        <f t="shared" si="73"/>
        <v>4</v>
      </c>
      <c r="AZ96" s="18">
        <f t="shared" si="74"/>
        <v>6</v>
      </c>
      <c r="BA96" s="18">
        <f t="shared" si="75"/>
        <v>8</v>
      </c>
      <c r="BB96" s="18">
        <f t="shared" si="76"/>
        <v>7</v>
      </c>
      <c r="BC96" s="18">
        <f t="shared" si="77"/>
        <v>3</v>
      </c>
      <c r="BD96" s="18">
        <f t="shared" si="78"/>
        <v>9</v>
      </c>
      <c r="BE96" s="8">
        <f t="shared" si="80"/>
        <v>4.0825516653516646E-3</v>
      </c>
    </row>
    <row r="97" spans="1:57" x14ac:dyDescent="0.25">
      <c r="A97" t="str">
        <f t="shared" si="79"/>
        <v/>
      </c>
      <c r="B97" s="1">
        <v>42877</v>
      </c>
      <c r="C97" s="9">
        <f t="shared" si="54"/>
        <v>0.25063871618774786</v>
      </c>
      <c r="D97" s="9">
        <f t="shared" si="55"/>
        <v>0.25033049466436019</v>
      </c>
      <c r="E97" s="9">
        <f t="shared" si="56"/>
        <v>0</v>
      </c>
      <c r="F97" s="9">
        <f t="shared" si="57"/>
        <v>0</v>
      </c>
      <c r="G97" s="9">
        <f t="shared" si="58"/>
        <v>0.26329865556066412</v>
      </c>
      <c r="H97" s="9">
        <f t="shared" si="59"/>
        <v>0</v>
      </c>
      <c r="I97" s="9">
        <f t="shared" si="60"/>
        <v>0.23573213358722769</v>
      </c>
      <c r="J97" s="9">
        <f t="shared" si="61"/>
        <v>0</v>
      </c>
      <c r="K97" s="9">
        <v>0</v>
      </c>
      <c r="L97" s="8">
        <f>+VLOOKUP($B97,NIFTY_50!$B$3:$I$1238,8,0)</f>
        <v>1.0978054497821077E-3</v>
      </c>
      <c r="M97" s="8">
        <f>+VLOOKUP($B97,NIFTY_BANK!$B$3:$I$41238,8,0)</f>
        <v>-5.1361891628385337E-3</v>
      </c>
      <c r="N97" s="8">
        <f>+VLOOKUP($B97,NIFTY_IT!$B$3:$I$1238,8,0)</f>
        <v>4.6383298187226973E-3</v>
      </c>
      <c r="O97" s="8">
        <f>+VLOOKUP($B97,NIFTY_PHARMA!$B$3:$I$1238,8,0)</f>
        <v>-1.9387363259518842E-2</v>
      </c>
      <c r="P97" s="8">
        <f>+VLOOKUP($B97,NIFTY_FMCG!$B$3:$I$1238,8,0)</f>
        <v>3.6016244471910985E-2</v>
      </c>
      <c r="Q97" s="8">
        <f>+VLOOKUP($B97,NIFTY_METAL!$B$3:$I$1238,8,0)</f>
        <v>-5.7420494699645941E-3</v>
      </c>
      <c r="R97" s="8">
        <f>+VLOOKUP($B97,NIFTY_ENERGY!$B$3:$I$1238,8,0)</f>
        <v>-7.9823988740707064E-3</v>
      </c>
      <c r="S97" s="8">
        <f>+VLOOKUP($B97,NIFTY_AUTO!$B$3:$I$1238,8,0)</f>
        <v>-6.7100232473245036E-3</v>
      </c>
      <c r="T97" s="8">
        <v>0</v>
      </c>
      <c r="U97" s="8">
        <f>+VLOOKUP($B97,NIFTY_50!$B$63:$K$1238,10,0)</f>
        <v>6.9890157225931393E-2</v>
      </c>
      <c r="V97" s="8">
        <f>+VLOOKUP($B97,NIFTY_BANK!$B$63:$K$1238,10,0)</f>
        <v>0.10225605617149247</v>
      </c>
      <c r="W97" s="8">
        <f>+VLOOKUP($B97,NIFTY_IT!$B$63:$K$1238,10,0)</f>
        <v>-2.1230716619804468E-3</v>
      </c>
      <c r="X97" s="8">
        <f>+VLOOKUP($B97,NIFTY_PHARMA!$B$63:$K$1238,10,0)</f>
        <v>-6.2610594480629445E-2</v>
      </c>
      <c r="Y97" s="8">
        <f>+VLOOKUP($B97,NIFTY_FMCG!$B$63:$K$1238,10,0)</f>
        <v>0.1240410232649316</v>
      </c>
      <c r="Z97" s="8">
        <f>+VLOOKUP($B97,NIFTY_METAL!$B$63:$K$1238,10,0)</f>
        <v>-4.1688498821063624E-2</v>
      </c>
      <c r="AA97" s="8">
        <f>+VLOOKUP($B97,NIFTY_ENERGY!$B$63:$K$1238,10,0)</f>
        <v>7.8769522966568806E-2</v>
      </c>
      <c r="AB97" s="8">
        <f>+VLOOKUP($B97,NIFTY_AUTO!$B$63:$K$1238,10,0)</f>
        <v>6.7779544797389457E-2</v>
      </c>
      <c r="AC97" s="8"/>
      <c r="AD97" s="16">
        <f t="shared" si="62"/>
        <v>4.0446749426832802E-2</v>
      </c>
      <c r="AE97" s="8">
        <f t="shared" si="63"/>
        <v>5.2634109466344441E-2</v>
      </c>
      <c r="AF97" s="8">
        <f t="shared" si="64"/>
        <v>6.5571071647373261E-2</v>
      </c>
      <c r="AG97" s="8">
        <f t="shared" si="65"/>
        <v>5.9179158306788687E-2</v>
      </c>
      <c r="AH97" s="8">
        <f t="shared" si="66"/>
        <v>8.0705634768771684E-2</v>
      </c>
      <c r="AI97" s="8">
        <f t="shared" si="67"/>
        <v>9.3397886076106162E-2</v>
      </c>
      <c r="AJ97" s="8">
        <f t="shared" si="68"/>
        <v>7.6712367403399803E-2</v>
      </c>
      <c r="AK97" s="8">
        <f t="shared" si="69"/>
        <v>5.6995169665503637E-2</v>
      </c>
      <c r="AL97" s="9">
        <v>0</v>
      </c>
      <c r="AM97" s="17">
        <f t="shared" si="45"/>
        <v>24.723865679465192</v>
      </c>
      <c r="AN97" s="13">
        <f t="shared" si="46"/>
        <v>18.999086526569332</v>
      </c>
      <c r="AO97" s="13">
        <f t="shared" si="47"/>
        <v>15.250627675841248</v>
      </c>
      <c r="AP97" s="13">
        <f t="shared" si="48"/>
        <v>16.89784087188151</v>
      </c>
      <c r="AQ97" s="13">
        <f t="shared" si="49"/>
        <v>12.390708565332305</v>
      </c>
      <c r="AR97" s="13">
        <f t="shared" si="50"/>
        <v>10.706880444650968</v>
      </c>
      <c r="AS97" s="13">
        <f t="shared" si="51"/>
        <v>13.035707720261037</v>
      </c>
      <c r="AT97" s="13">
        <f t="shared" si="52"/>
        <v>17.545346489340318</v>
      </c>
      <c r="AU97" s="9">
        <v>0</v>
      </c>
      <c r="AV97" s="18">
        <f t="shared" si="70"/>
        <v>1</v>
      </c>
      <c r="AW97" s="18">
        <f t="shared" si="71"/>
        <v>2</v>
      </c>
      <c r="AX97" s="18">
        <f t="shared" si="72"/>
        <v>5</v>
      </c>
      <c r="AY97" s="18">
        <f t="shared" si="73"/>
        <v>4</v>
      </c>
      <c r="AZ97" s="18">
        <f t="shared" si="74"/>
        <v>7</v>
      </c>
      <c r="BA97" s="18">
        <f t="shared" si="75"/>
        <v>8</v>
      </c>
      <c r="BB97" s="18">
        <f t="shared" si="76"/>
        <v>6</v>
      </c>
      <c r="BC97" s="18">
        <f t="shared" si="77"/>
        <v>3</v>
      </c>
      <c r="BD97" s="18">
        <f t="shared" si="78"/>
        <v>9</v>
      </c>
      <c r="BE97" s="8">
        <f t="shared" si="80"/>
        <v>6.2781471434990958E-3</v>
      </c>
    </row>
    <row r="98" spans="1:57" x14ac:dyDescent="0.25">
      <c r="A98" t="str">
        <f t="shared" si="79"/>
        <v/>
      </c>
      <c r="B98" s="1">
        <v>42878</v>
      </c>
      <c r="C98" s="9">
        <f t="shared" si="54"/>
        <v>0.25110839222953246</v>
      </c>
      <c r="D98" s="9">
        <f t="shared" si="55"/>
        <v>0.2514118553389898</v>
      </c>
      <c r="E98" s="9">
        <f t="shared" si="56"/>
        <v>0</v>
      </c>
      <c r="F98" s="9">
        <f t="shared" si="57"/>
        <v>0</v>
      </c>
      <c r="G98" s="9">
        <f t="shared" si="58"/>
        <v>0.26286288969270305</v>
      </c>
      <c r="H98" s="9">
        <f t="shared" si="59"/>
        <v>0</v>
      </c>
      <c r="I98" s="9">
        <f t="shared" si="60"/>
        <v>0.23461686273877455</v>
      </c>
      <c r="J98" s="9">
        <f t="shared" si="61"/>
        <v>0</v>
      </c>
      <c r="K98" s="9">
        <v>0</v>
      </c>
      <c r="L98" s="8">
        <f>+VLOOKUP($B98,NIFTY_50!$B$3:$I$1238,8,0)</f>
        <v>-5.5200911185866453E-3</v>
      </c>
      <c r="M98" s="8">
        <f>+VLOOKUP($B98,NIFTY_BANK!$B$3:$I$41238,8,0)</f>
        <v>-3.0923261311490702E-3</v>
      </c>
      <c r="N98" s="8">
        <f>+VLOOKUP($B98,NIFTY_IT!$B$3:$I$1238,8,0)</f>
        <v>5.0928856670973133E-4</v>
      </c>
      <c r="O98" s="8">
        <f>+VLOOKUP($B98,NIFTY_PHARMA!$B$3:$I$1238,8,0)</f>
        <v>-3.1217366856775786E-2</v>
      </c>
      <c r="P98" s="8">
        <f>+VLOOKUP($B98,NIFTY_FMCG!$B$3:$I$1238,8,0)</f>
        <v>-9.0229885057472314E-3</v>
      </c>
      <c r="Q98" s="8">
        <f>+VLOOKUP($B98,NIFTY_METAL!$B$3:$I$1238,8,0)</f>
        <v>-4.2374329357892648E-3</v>
      </c>
      <c r="R98" s="8">
        <f>+VLOOKUP($B98,NIFTY_ENERGY!$B$3:$I$1238,8,0)</f>
        <v>-1.2076355385003179E-2</v>
      </c>
      <c r="S98" s="8">
        <f>+VLOOKUP($B98,NIFTY_AUTO!$B$3:$I$1238,8,0)</f>
        <v>3.9361892465630266E-3</v>
      </c>
      <c r="T98" s="8">
        <v>0</v>
      </c>
      <c r="U98" s="8">
        <f>+VLOOKUP($B98,NIFTY_50!$B$63:$K$1238,10,0)</f>
        <v>5.7094107577259079E-2</v>
      </c>
      <c r="V98" s="8">
        <f>+VLOOKUP($B98,NIFTY_BANK!$B$63:$K$1238,10,0)</f>
        <v>9.2164761983063448E-2</v>
      </c>
      <c r="W98" s="8">
        <f>+VLOOKUP($B98,NIFTY_IT!$B$63:$K$1238,10,0)</f>
        <v>-1.5091952676584253E-2</v>
      </c>
      <c r="X98" s="8">
        <f>+VLOOKUP($B98,NIFTY_PHARMA!$B$63:$K$1238,10,0)</f>
        <v>-9.3341226883175588E-2</v>
      </c>
      <c r="Y98" s="8">
        <f>+VLOOKUP($B98,NIFTY_FMCG!$B$63:$K$1238,10,0)</f>
        <v>0.114204098548774</v>
      </c>
      <c r="Z98" s="8">
        <f>+VLOOKUP($B98,NIFTY_METAL!$B$63:$K$1238,10,0)</f>
        <v>-6.5083821288200783E-2</v>
      </c>
      <c r="AA98" s="8">
        <f>+VLOOKUP($B98,NIFTY_ENERGY!$B$63:$K$1238,10,0)</f>
        <v>5.5914096362980281E-2</v>
      </c>
      <c r="AB98" s="8">
        <f>+VLOOKUP($B98,NIFTY_AUTO!$B$63:$K$1238,10,0)</f>
        <v>6.5343110340262411E-2</v>
      </c>
      <c r="AC98" s="8"/>
      <c r="AD98" s="16">
        <f t="shared" si="62"/>
        <v>4.0602358462336972E-2</v>
      </c>
      <c r="AE98" s="8">
        <f t="shared" si="63"/>
        <v>5.2639574975007722E-2</v>
      </c>
      <c r="AF98" s="8">
        <f t="shared" si="64"/>
        <v>6.4107342366944417E-2</v>
      </c>
      <c r="AG98" s="8">
        <f t="shared" si="65"/>
        <v>6.6247396513771067E-2</v>
      </c>
      <c r="AH98" s="8">
        <f t="shared" si="66"/>
        <v>8.1412438766095607E-2</v>
      </c>
      <c r="AI98" s="8">
        <f t="shared" si="67"/>
        <v>9.0950821914413116E-2</v>
      </c>
      <c r="AJ98" s="8">
        <f t="shared" si="68"/>
        <v>7.7406353754436344E-2</v>
      </c>
      <c r="AK98" s="8">
        <f t="shared" si="69"/>
        <v>5.6833777874530769E-2</v>
      </c>
      <c r="AL98" s="9">
        <v>0</v>
      </c>
      <c r="AM98" s="17">
        <f t="shared" si="45"/>
        <v>24.629111161796349</v>
      </c>
      <c r="AN98" s="13">
        <f t="shared" si="46"/>
        <v>18.997113872495763</v>
      </c>
      <c r="AO98" s="13">
        <f t="shared" si="47"/>
        <v>15.598837248252996</v>
      </c>
      <c r="AP98" s="13">
        <f t="shared" si="48"/>
        <v>15.094932821882693</v>
      </c>
      <c r="AQ98" s="13">
        <f t="shared" si="49"/>
        <v>12.28313529426479</v>
      </c>
      <c r="AR98" s="13">
        <f t="shared" si="50"/>
        <v>10.994952865198115</v>
      </c>
      <c r="AS98" s="13">
        <f t="shared" si="51"/>
        <v>12.9188361354986</v>
      </c>
      <c r="AT98" s="13">
        <f t="shared" si="52"/>
        <v>17.595170291294949</v>
      </c>
      <c r="AU98" s="9">
        <v>0</v>
      </c>
      <c r="AV98" s="18">
        <f t="shared" si="70"/>
        <v>1</v>
      </c>
      <c r="AW98" s="18">
        <f t="shared" si="71"/>
        <v>2</v>
      </c>
      <c r="AX98" s="18">
        <f t="shared" si="72"/>
        <v>4</v>
      </c>
      <c r="AY98" s="18">
        <f t="shared" si="73"/>
        <v>5</v>
      </c>
      <c r="AZ98" s="18">
        <f t="shared" si="74"/>
        <v>7</v>
      </c>
      <c r="BA98" s="18">
        <f t="shared" si="75"/>
        <v>8</v>
      </c>
      <c r="BB98" s="18">
        <f t="shared" si="76"/>
        <v>6</v>
      </c>
      <c r="BC98" s="18">
        <f t="shared" si="77"/>
        <v>3</v>
      </c>
      <c r="BD98" s="18">
        <f t="shared" si="78"/>
        <v>9</v>
      </c>
      <c r="BE98" s="8">
        <f t="shared" si="80"/>
        <v>-7.3801778448429967E-3</v>
      </c>
    </row>
    <row r="99" spans="1:57" x14ac:dyDescent="0.25">
      <c r="A99" t="str">
        <f t="shared" si="79"/>
        <v/>
      </c>
      <c r="B99" s="1">
        <v>42879</v>
      </c>
      <c r="C99" s="9">
        <f t="shared" si="54"/>
        <v>0.25083262838667242</v>
      </c>
      <c r="D99" s="9">
        <f t="shared" si="55"/>
        <v>0.25130405974019182</v>
      </c>
      <c r="E99" s="9">
        <f t="shared" si="56"/>
        <v>0</v>
      </c>
      <c r="F99" s="9">
        <f t="shared" si="57"/>
        <v>0</v>
      </c>
      <c r="G99" s="9">
        <f t="shared" si="58"/>
        <v>0.26312541508273884</v>
      </c>
      <c r="H99" s="9">
        <f t="shared" si="59"/>
        <v>0</v>
      </c>
      <c r="I99" s="9">
        <f t="shared" si="60"/>
        <v>0.23473789679039694</v>
      </c>
      <c r="J99" s="9">
        <f t="shared" si="61"/>
        <v>0</v>
      </c>
      <c r="K99" s="9">
        <v>0</v>
      </c>
      <c r="L99" s="8">
        <f>+VLOOKUP($B99,NIFTY_50!$B$3:$I$1238,8,0)</f>
        <v>-2.7274228517549792E-3</v>
      </c>
      <c r="M99" s="8">
        <f>+VLOOKUP($B99,NIFTY_BANK!$B$3:$I$41238,8,0)</f>
        <v>-2.0590892183431908E-3</v>
      </c>
      <c r="N99" s="8">
        <f>+VLOOKUP($B99,NIFTY_IT!$B$3:$I$1238,8,0)</f>
        <v>-9.5145668017715401E-5</v>
      </c>
      <c r="O99" s="8">
        <f>+VLOOKUP($B99,NIFTY_PHARMA!$B$3:$I$1238,8,0)</f>
        <v>-2.0868961371433126E-2</v>
      </c>
      <c r="P99" s="8">
        <f>+VLOOKUP($B99,NIFTY_FMCG!$B$3:$I$1238,8,0)</f>
        <v>-6.3394040960140785E-4</v>
      </c>
      <c r="Q99" s="8">
        <f>+VLOOKUP($B99,NIFTY_METAL!$B$3:$I$1238,8,0)</f>
        <v>-2.2581420089913928E-2</v>
      </c>
      <c r="R99" s="8">
        <f>+VLOOKUP($B99,NIFTY_ENERGY!$B$3:$I$1238,8,0)</f>
        <v>-1.1159893591712322E-3</v>
      </c>
      <c r="S99" s="8">
        <f>+VLOOKUP($B99,NIFTY_AUTO!$B$3:$I$1238,8,0)</f>
        <v>5.4428190912902963E-4</v>
      </c>
      <c r="T99" s="8">
        <v>0</v>
      </c>
      <c r="U99" s="8">
        <f>+VLOOKUP($B99,NIFTY_50!$B$63:$K$1238,10,0)</f>
        <v>5.0820343854016237E-2</v>
      </c>
      <c r="V99" s="8">
        <f>+VLOOKUP($B99,NIFTY_BANK!$B$63:$K$1238,10,0)</f>
        <v>8.0310340612484099E-2</v>
      </c>
      <c r="W99" s="8">
        <f>+VLOOKUP($B99,NIFTY_IT!$B$63:$K$1238,10,0)</f>
        <v>-1.6061606160616027E-2</v>
      </c>
      <c r="X99" s="8">
        <f>+VLOOKUP($B99,NIFTY_PHARMA!$B$63:$K$1238,10,0)</f>
        <v>-0.1125124476260263</v>
      </c>
      <c r="Y99" s="8">
        <f>+VLOOKUP($B99,NIFTY_FMCG!$B$63:$K$1238,10,0)</f>
        <v>0.11295714358890985</v>
      </c>
      <c r="Z99" s="8">
        <f>+VLOOKUP($B99,NIFTY_METAL!$B$63:$K$1238,10,0)</f>
        <v>-8.9190917812599912E-2</v>
      </c>
      <c r="AA99" s="8">
        <f>+VLOOKUP($B99,NIFTY_ENERGY!$B$63:$K$1238,10,0)</f>
        <v>4.7340230124858884E-2</v>
      </c>
      <c r="AB99" s="8">
        <f>+VLOOKUP($B99,NIFTY_AUTO!$B$63:$K$1238,10,0)</f>
        <v>6.4290032688110399E-2</v>
      </c>
      <c r="AC99" s="8"/>
      <c r="AD99" s="16">
        <f t="shared" si="62"/>
        <v>4.0694011558493129E-2</v>
      </c>
      <c r="AE99" s="8">
        <f t="shared" si="63"/>
        <v>5.2214105101439402E-2</v>
      </c>
      <c r="AF99" s="8">
        <f t="shared" si="64"/>
        <v>6.4097794569450209E-2</v>
      </c>
      <c r="AG99" s="8">
        <f t="shared" si="65"/>
        <v>6.892351106020346E-2</v>
      </c>
      <c r="AH99" s="8">
        <f t="shared" si="66"/>
        <v>8.1438472597471959E-2</v>
      </c>
      <c r="AI99" s="8">
        <f t="shared" si="67"/>
        <v>9.3309436541770513E-2</v>
      </c>
      <c r="AJ99" s="8">
        <f t="shared" si="68"/>
        <v>7.7184349819714212E-2</v>
      </c>
      <c r="AK99" s="8">
        <f t="shared" si="69"/>
        <v>5.6834079207414748E-2</v>
      </c>
      <c r="AL99" s="9">
        <v>0</v>
      </c>
      <c r="AM99" s="17">
        <f t="shared" si="45"/>
        <v>24.573640240962995</v>
      </c>
      <c r="AN99" s="13">
        <f t="shared" si="46"/>
        <v>19.151913033025107</v>
      </c>
      <c r="AO99" s="13">
        <f t="shared" si="47"/>
        <v>15.601160799947587</v>
      </c>
      <c r="AP99" s="13">
        <f t="shared" si="48"/>
        <v>14.50883718222825</v>
      </c>
      <c r="AQ99" s="13">
        <f t="shared" si="49"/>
        <v>12.279208684852501</v>
      </c>
      <c r="AR99" s="13">
        <f t="shared" si="50"/>
        <v>10.717029670973783</v>
      </c>
      <c r="AS99" s="13">
        <f t="shared" si="51"/>
        <v>12.955994347763266</v>
      </c>
      <c r="AT99" s="13">
        <f t="shared" si="52"/>
        <v>17.595077002136719</v>
      </c>
      <c r="AU99" s="9">
        <v>0</v>
      </c>
      <c r="AV99" s="18">
        <f t="shared" si="70"/>
        <v>1</v>
      </c>
      <c r="AW99" s="18">
        <f t="shared" si="71"/>
        <v>2</v>
      </c>
      <c r="AX99" s="18">
        <f t="shared" si="72"/>
        <v>4</v>
      </c>
      <c r="AY99" s="18">
        <f t="shared" si="73"/>
        <v>5</v>
      </c>
      <c r="AZ99" s="18">
        <f t="shared" si="74"/>
        <v>7</v>
      </c>
      <c r="BA99" s="18">
        <f t="shared" si="75"/>
        <v>8</v>
      </c>
      <c r="BB99" s="18">
        <f t="shared" si="76"/>
        <v>6</v>
      </c>
      <c r="BC99" s="18">
        <f t="shared" si="77"/>
        <v>3</v>
      </c>
      <c r="BD99" s="18">
        <f t="shared" si="78"/>
        <v>9</v>
      </c>
      <c r="BE99" s="8">
        <f t="shared" si="80"/>
        <v>-1.631027538185863E-3</v>
      </c>
    </row>
    <row r="100" spans="1:57" x14ac:dyDescent="0.25">
      <c r="A100" t="str">
        <f t="shared" si="79"/>
        <v/>
      </c>
      <c r="B100" s="1">
        <v>42880</v>
      </c>
      <c r="C100" s="9">
        <f t="shared" si="54"/>
        <v>0.25139018481223985</v>
      </c>
      <c r="D100" s="9">
        <f t="shared" si="55"/>
        <v>0.25511099430884771</v>
      </c>
      <c r="E100" s="9">
        <f t="shared" si="56"/>
        <v>0</v>
      </c>
      <c r="F100" s="9">
        <f t="shared" si="57"/>
        <v>0</v>
      </c>
      <c r="G100" s="9">
        <f t="shared" si="58"/>
        <v>0.26030165795806692</v>
      </c>
      <c r="H100" s="9">
        <f t="shared" si="59"/>
        <v>0</v>
      </c>
      <c r="I100" s="9">
        <f t="shared" si="60"/>
        <v>0.23319716292084536</v>
      </c>
      <c r="J100" s="9">
        <f t="shared" si="61"/>
        <v>0</v>
      </c>
      <c r="K100" s="9">
        <v>0</v>
      </c>
      <c r="L100" s="8">
        <f>+VLOOKUP($B100,NIFTY_50!$B$3:$I$1238,8,0)</f>
        <v>1.5939234339862551E-2</v>
      </c>
      <c r="M100" s="8">
        <f>+VLOOKUP($B100,NIFTY_BANK!$B$3:$I$41238,8,0)</f>
        <v>2.9042034406712824E-2</v>
      </c>
      <c r="N100" s="8">
        <f>+VLOOKUP($B100,NIFTY_IT!$B$3:$I$1238,8,0)</f>
        <v>2.180470444943472E-2</v>
      </c>
      <c r="O100" s="8">
        <f>+VLOOKUP($B100,NIFTY_PHARMA!$B$3:$I$1238,8,0)</f>
        <v>-2.6230688211539288E-2</v>
      </c>
      <c r="P100" s="8">
        <f>+VLOOKUP($B100,NIFTY_FMCG!$B$3:$I$1238,8,0)</f>
        <v>2.8075160586717995E-3</v>
      </c>
      <c r="Q100" s="8">
        <f>+VLOOKUP($B100,NIFTY_METAL!$B$3:$I$1238,8,0)</f>
        <v>1.8152452512201211E-2</v>
      </c>
      <c r="R100" s="8">
        <f>+VLOOKUP($B100,NIFTY_ENERGY!$B$3:$I$1238,8,0)</f>
        <v>7.0325254301142337E-3</v>
      </c>
      <c r="S100" s="8">
        <f>+VLOOKUP($B100,NIFTY_AUTO!$B$3:$I$1238,8,0)</f>
        <v>1.9429440705544865E-2</v>
      </c>
      <c r="T100" s="8">
        <v>0</v>
      </c>
      <c r="U100" s="8">
        <f>+VLOOKUP($B100,NIFTY_50!$B$63:$K$1238,10,0)</f>
        <v>6.5291422554302203E-2</v>
      </c>
      <c r="V100" s="8">
        <f>+VLOOKUP($B100,NIFTY_BANK!$B$63:$K$1238,10,0)</f>
        <v>0.11128521763715082</v>
      </c>
      <c r="W100" s="8">
        <f>+VLOOKUP($B100,NIFTY_IT!$B$63:$K$1238,10,0)</f>
        <v>2.1260508996842731E-2</v>
      </c>
      <c r="X100" s="8">
        <f>+VLOOKUP($B100,NIFTY_PHARMA!$B$63:$K$1238,10,0)</f>
        <v>-0.13070410024285828</v>
      </c>
      <c r="Y100" s="8">
        <f>+VLOOKUP($B100,NIFTY_FMCG!$B$63:$K$1238,10,0)</f>
        <v>0.11728364784361278</v>
      </c>
      <c r="Z100" s="8">
        <f>+VLOOKUP($B100,NIFTY_METAL!$B$63:$K$1238,10,0)</f>
        <v>-6.6733179923724295E-2</v>
      </c>
      <c r="AA100" s="8">
        <f>+VLOOKUP($B100,NIFTY_ENERGY!$B$63:$K$1238,10,0)</f>
        <v>1.8303549925340779E-2</v>
      </c>
      <c r="AB100" s="8">
        <f>+VLOOKUP($B100,NIFTY_AUTO!$B$63:$K$1238,10,0)</f>
        <v>8.3907887126412062E-2</v>
      </c>
      <c r="AC100" s="8"/>
      <c r="AD100" s="16">
        <f t="shared" si="62"/>
        <v>4.3353812224810072E-2</v>
      </c>
      <c r="AE100" s="8">
        <f t="shared" si="63"/>
        <v>5.9009886347745136E-2</v>
      </c>
      <c r="AF100" s="8">
        <f t="shared" si="64"/>
        <v>6.5855943734026548E-2</v>
      </c>
      <c r="AG100" s="8">
        <f t="shared" si="65"/>
        <v>7.2933967444647363E-2</v>
      </c>
      <c r="AH100" s="8">
        <f t="shared" si="66"/>
        <v>8.1391927224155905E-2</v>
      </c>
      <c r="AI100" s="8">
        <f t="shared" si="67"/>
        <v>9.5170936451403482E-2</v>
      </c>
      <c r="AJ100" s="8">
        <f t="shared" si="68"/>
        <v>6.9005848751784657E-2</v>
      </c>
      <c r="AK100" s="8">
        <f t="shared" si="69"/>
        <v>5.9685735010614888E-2</v>
      </c>
      <c r="AL100" s="9">
        <v>0</v>
      </c>
      <c r="AM100" s="17">
        <f t="shared" si="45"/>
        <v>23.066022309976475</v>
      </c>
      <c r="AN100" s="13">
        <f t="shared" si="46"/>
        <v>16.946312929786071</v>
      </c>
      <c r="AO100" s="13">
        <f t="shared" si="47"/>
        <v>15.184658260136944</v>
      </c>
      <c r="AP100" s="13">
        <f t="shared" si="48"/>
        <v>13.711032527593426</v>
      </c>
      <c r="AQ100" s="13">
        <f t="shared" si="49"/>
        <v>12.286230761509907</v>
      </c>
      <c r="AR100" s="13">
        <f t="shared" si="50"/>
        <v>10.507409481156293</v>
      </c>
      <c r="AS100" s="13">
        <f t="shared" si="51"/>
        <v>14.491525256026035</v>
      </c>
      <c r="AT100" s="13">
        <f t="shared" si="52"/>
        <v>16.754422138257219</v>
      </c>
      <c r="AU100" s="9">
        <v>0</v>
      </c>
      <c r="AV100" s="18">
        <f t="shared" si="70"/>
        <v>1</v>
      </c>
      <c r="AW100" s="18">
        <f t="shared" si="71"/>
        <v>2</v>
      </c>
      <c r="AX100" s="18">
        <f t="shared" si="72"/>
        <v>4</v>
      </c>
      <c r="AY100" s="18">
        <f t="shared" si="73"/>
        <v>6</v>
      </c>
      <c r="AZ100" s="18">
        <f t="shared" si="74"/>
        <v>7</v>
      </c>
      <c r="BA100" s="18">
        <f t="shared" si="75"/>
        <v>8</v>
      </c>
      <c r="BB100" s="18">
        <f t="shared" si="76"/>
        <v>5</v>
      </c>
      <c r="BC100" s="18">
        <f t="shared" si="77"/>
        <v>3</v>
      </c>
      <c r="BD100" s="18">
        <f t="shared" si="78"/>
        <v>9</v>
      </c>
      <c r="BE100" s="8">
        <f t="shared" si="80"/>
        <v>1.3685990250339565E-2</v>
      </c>
    </row>
    <row r="101" spans="1:57" x14ac:dyDescent="0.25">
      <c r="A101" t="str">
        <f t="shared" si="79"/>
        <v/>
      </c>
      <c r="B101" s="1">
        <v>42881</v>
      </c>
      <c r="C101" s="9">
        <f t="shared" si="54"/>
        <v>0.2502789757231747</v>
      </c>
      <c r="D101" s="9">
        <f t="shared" si="55"/>
        <v>0.25358457269085516</v>
      </c>
      <c r="E101" s="9">
        <f t="shared" si="56"/>
        <v>0</v>
      </c>
      <c r="F101" s="9">
        <f t="shared" si="57"/>
        <v>0</v>
      </c>
      <c r="G101" s="9">
        <f t="shared" si="58"/>
        <v>0.26146786498758123</v>
      </c>
      <c r="H101" s="9">
        <f t="shared" si="59"/>
        <v>0</v>
      </c>
      <c r="I101" s="9">
        <f t="shared" si="60"/>
        <v>0.23466858659838902</v>
      </c>
      <c r="J101" s="9">
        <f t="shared" si="61"/>
        <v>0</v>
      </c>
      <c r="K101" s="9">
        <v>0</v>
      </c>
      <c r="L101" s="8">
        <f>+VLOOKUP($B101,NIFTY_50!$B$3:$I$1238,8,0)</f>
        <v>8.9749993427798991E-3</v>
      </c>
      <c r="M101" s="8">
        <f>+VLOOKUP($B101,NIFTY_BANK!$B$3:$I$41238,8,0)</f>
        <v>7.3908618935094594E-3</v>
      </c>
      <c r="N101" s="8">
        <f>+VLOOKUP($B101,NIFTY_IT!$B$3:$I$1238,8,0)</f>
        <v>-2.7471632047759709E-4</v>
      </c>
      <c r="O101" s="8">
        <f>+VLOOKUP($B101,NIFTY_PHARMA!$B$3:$I$1238,8,0)</f>
        <v>-1.5077479984563658E-2</v>
      </c>
      <c r="P101" s="8">
        <f>+VLOOKUP($B101,NIFTY_FMCG!$B$3:$I$1238,8,0)</f>
        <v>1.7995222825078372E-2</v>
      </c>
      <c r="Q101" s="8">
        <f>+VLOOKUP($B101,NIFTY_METAL!$B$3:$I$1238,8,0)</f>
        <v>3.3778191599420637E-2</v>
      </c>
      <c r="R101" s="8">
        <f>+VLOOKUP($B101,NIFTY_ENERGY!$B$3:$I$1238,8,0)</f>
        <v>1.9849409376867966E-2</v>
      </c>
      <c r="S101" s="8">
        <f>+VLOOKUP($B101,NIFTY_AUTO!$B$3:$I$1238,8,0)</f>
        <v>1.1659315646810997E-2</v>
      </c>
      <c r="T101" s="8">
        <v>0</v>
      </c>
      <c r="U101" s="8">
        <f>+VLOOKUP($B101,NIFTY_50!$B$63:$K$1238,10,0)</f>
        <v>7.3337434979585003E-2</v>
      </c>
      <c r="V101" s="8">
        <f>+VLOOKUP($B101,NIFTY_BANK!$B$63:$K$1238,10,0)</f>
        <v>0.11905885283318929</v>
      </c>
      <c r="W101" s="8">
        <f>+VLOOKUP($B101,NIFTY_IT!$B$63:$K$1238,10,0)</f>
        <v>4.2798407805682004E-3</v>
      </c>
      <c r="X101" s="8">
        <f>+VLOOKUP($B101,NIFTY_PHARMA!$B$63:$K$1238,10,0)</f>
        <v>-0.14213282078472955</v>
      </c>
      <c r="Y101" s="8">
        <f>+VLOOKUP($B101,NIFTY_FMCG!$B$63:$K$1238,10,0)</f>
        <v>0.13696609055148823</v>
      </c>
      <c r="Z101" s="8">
        <f>+VLOOKUP($B101,NIFTY_METAL!$B$63:$K$1238,10,0)</f>
        <v>-3.9259674705552472E-2</v>
      </c>
      <c r="AA101" s="8">
        <f>+VLOOKUP($B101,NIFTY_ENERGY!$B$63:$K$1238,10,0)</f>
        <v>4.8377043890320603E-2</v>
      </c>
      <c r="AB101" s="8">
        <f>+VLOOKUP($B101,NIFTY_AUTO!$B$63:$K$1238,10,0)</f>
        <v>9.7298127897149422E-2</v>
      </c>
      <c r="AC101" s="8"/>
      <c r="AD101" s="16">
        <f t="shared" si="62"/>
        <v>4.4059601014010637E-2</v>
      </c>
      <c r="AE101" s="8">
        <f t="shared" si="63"/>
        <v>5.9255432759712692E-2</v>
      </c>
      <c r="AF101" s="8">
        <f t="shared" si="64"/>
        <v>6.3786670481496277E-2</v>
      </c>
      <c r="AG101" s="8">
        <f t="shared" si="65"/>
        <v>7.4033821284176821E-2</v>
      </c>
      <c r="AH101" s="8">
        <f t="shared" si="66"/>
        <v>8.2928928947204467E-2</v>
      </c>
      <c r="AI101" s="8">
        <f t="shared" si="67"/>
        <v>0.10113789518860559</v>
      </c>
      <c r="AJ101" s="8">
        <f t="shared" si="68"/>
        <v>7.0948070786118533E-2</v>
      </c>
      <c r="AK101" s="8">
        <f t="shared" si="69"/>
        <v>6.0514481657343501E-2</v>
      </c>
      <c r="AL101" s="9">
        <v>0</v>
      </c>
      <c r="AM101" s="17">
        <f t="shared" si="45"/>
        <v>22.696528724397826</v>
      </c>
      <c r="AN101" s="13">
        <f t="shared" si="46"/>
        <v>16.876089725900918</v>
      </c>
      <c r="AO101" s="13">
        <f t="shared" si="47"/>
        <v>15.677256587488566</v>
      </c>
      <c r="AP101" s="13">
        <f t="shared" si="48"/>
        <v>13.507340059640134</v>
      </c>
      <c r="AQ101" s="13">
        <f t="shared" si="49"/>
        <v>12.058518211861097</v>
      </c>
      <c r="AR101" s="13">
        <f t="shared" si="50"/>
        <v>9.8874907188365349</v>
      </c>
      <c r="AS101" s="13">
        <f t="shared" si="51"/>
        <v>14.094815953694075</v>
      </c>
      <c r="AT101" s="13">
        <f t="shared" si="52"/>
        <v>16.524970099923987</v>
      </c>
      <c r="AU101" s="9">
        <v>0</v>
      </c>
      <c r="AV101" s="18">
        <f t="shared" si="70"/>
        <v>1</v>
      </c>
      <c r="AW101" s="18">
        <f t="shared" si="71"/>
        <v>2</v>
      </c>
      <c r="AX101" s="18">
        <f t="shared" si="72"/>
        <v>4</v>
      </c>
      <c r="AY101" s="18">
        <f t="shared" si="73"/>
        <v>6</v>
      </c>
      <c r="AZ101" s="18">
        <f t="shared" si="74"/>
        <v>7</v>
      </c>
      <c r="BA101" s="18">
        <f t="shared" si="75"/>
        <v>8</v>
      </c>
      <c r="BB101" s="18">
        <f t="shared" si="76"/>
        <v>5</v>
      </c>
      <c r="BC101" s="18">
        <f t="shared" si="77"/>
        <v>3</v>
      </c>
      <c r="BD101" s="18">
        <f t="shared" si="78"/>
        <v>9</v>
      </c>
      <c r="BE101" s="8">
        <f t="shared" si="80"/>
        <v>1.3454729158956525E-2</v>
      </c>
    </row>
    <row r="102" spans="1:57" x14ac:dyDescent="0.25">
      <c r="A102" t="str">
        <f t="shared" si="79"/>
        <v/>
      </c>
      <c r="B102" s="1">
        <v>42884</v>
      </c>
      <c r="C102" s="9">
        <f t="shared" si="54"/>
        <v>0.24952621117812568</v>
      </c>
      <c r="D102" s="9">
        <f t="shared" si="55"/>
        <v>0.25062391176668908</v>
      </c>
      <c r="E102" s="9">
        <f t="shared" si="56"/>
        <v>0</v>
      </c>
      <c r="F102" s="9">
        <f t="shared" si="57"/>
        <v>0</v>
      </c>
      <c r="G102" s="9">
        <f t="shared" si="58"/>
        <v>0.26491268912548593</v>
      </c>
      <c r="H102" s="9">
        <f t="shared" si="59"/>
        <v>0</v>
      </c>
      <c r="I102" s="9">
        <f t="shared" si="60"/>
        <v>0.23493718792969936</v>
      </c>
      <c r="J102" s="9">
        <f t="shared" si="61"/>
        <v>0</v>
      </c>
      <c r="K102" s="9">
        <v>0</v>
      </c>
      <c r="L102" s="8">
        <f>+VLOOKUP($B102,NIFTY_50!$B$3:$I$1238,8,0)</f>
        <v>1.0213546497690462E-3</v>
      </c>
      <c r="M102" s="8">
        <f>+VLOOKUP($B102,NIFTY_BANK!$B$3:$I$41238,8,0)</f>
        <v>-7.6812115297361094E-3</v>
      </c>
      <c r="N102" s="8">
        <f>+VLOOKUP($B102,NIFTY_IT!$B$3:$I$1238,8,0)</f>
        <v>-1.5560668442722192E-2</v>
      </c>
      <c r="O102" s="8">
        <f>+VLOOKUP($B102,NIFTY_PHARMA!$B$3:$I$1238,8,0)</f>
        <v>-3.3403418152520126E-2</v>
      </c>
      <c r="P102" s="8">
        <f>+VLOOKUP($B102,NIFTY_FMCG!$B$3:$I$1238,8,0)</f>
        <v>1.7269396708033513E-2</v>
      </c>
      <c r="Q102" s="8">
        <f>+VLOOKUP($B102,NIFTY_METAL!$B$3:$I$1238,8,0)</f>
        <v>-3.0022516887665551E-3</v>
      </c>
      <c r="R102" s="8">
        <f>+VLOOKUP($B102,NIFTY_ENERGY!$B$3:$I$1238,8,0)</f>
        <v>5.1904354315734924E-3</v>
      </c>
      <c r="S102" s="8">
        <f>+VLOOKUP($B102,NIFTY_AUTO!$B$3:$I$1238,8,0)</f>
        <v>3.9163333037703918E-3</v>
      </c>
      <c r="T102" s="8">
        <v>0</v>
      </c>
      <c r="U102" s="8">
        <f>+VLOOKUP($B102,NIFTY_50!$B$63:$K$1238,10,0)</f>
        <v>7.9602549259837785E-2</v>
      </c>
      <c r="V102" s="8">
        <f>+VLOOKUP($B102,NIFTY_BANK!$B$63:$K$1238,10,0)</f>
        <v>0.12466374456958107</v>
      </c>
      <c r="W102" s="8">
        <f>+VLOOKUP($B102,NIFTY_IT!$B$63:$K$1238,10,0)</f>
        <v>-1.2921815311907503E-2</v>
      </c>
      <c r="X102" s="8">
        <f>+VLOOKUP($B102,NIFTY_PHARMA!$B$63:$K$1238,10,0)</f>
        <v>-0.17158072968396765</v>
      </c>
      <c r="Y102" s="8">
        <f>+VLOOKUP($B102,NIFTY_FMCG!$B$63:$K$1238,10,0)</f>
        <v>0.15738237970347368</v>
      </c>
      <c r="Z102" s="8">
        <f>+VLOOKUP($B102,NIFTY_METAL!$B$63:$K$1238,10,0)</f>
        <v>-3.9265164421871557E-2</v>
      </c>
      <c r="AA102" s="8">
        <f>+VLOOKUP($B102,NIFTY_ENERGY!$B$63:$K$1238,10,0)</f>
        <v>4.0239815687506564E-2</v>
      </c>
      <c r="AB102" s="8">
        <f>+VLOOKUP($B102,NIFTY_AUTO!$B$63:$K$1238,10,0)</f>
        <v>0.11240993705291791</v>
      </c>
      <c r="AC102" s="8"/>
      <c r="AD102" s="16">
        <f t="shared" si="62"/>
        <v>4.3647957940102275E-2</v>
      </c>
      <c r="AE102" s="8">
        <f t="shared" si="63"/>
        <v>5.8239486444373836E-2</v>
      </c>
      <c r="AF102" s="8">
        <f t="shared" si="64"/>
        <v>6.5628142226210842E-2</v>
      </c>
      <c r="AG102" s="8">
        <f t="shared" si="65"/>
        <v>8.0044651160119315E-2</v>
      </c>
      <c r="AH102" s="8">
        <f t="shared" si="66"/>
        <v>8.4214567761069364E-2</v>
      </c>
      <c r="AI102" s="8">
        <f t="shared" si="67"/>
        <v>0.1011380318885684</v>
      </c>
      <c r="AJ102" s="8">
        <f t="shared" si="68"/>
        <v>7.001423758455666E-2</v>
      </c>
      <c r="AK102" s="8">
        <f t="shared" si="69"/>
        <v>5.9476154919012224E-2</v>
      </c>
      <c r="AL102" s="9">
        <v>0</v>
      </c>
      <c r="AM102" s="17">
        <f t="shared" si="45"/>
        <v>22.910579261744424</v>
      </c>
      <c r="AN102" s="13">
        <f t="shared" si="46"/>
        <v>17.170481078247967</v>
      </c>
      <c r="AO102" s="13">
        <f t="shared" si="47"/>
        <v>15.237365649527952</v>
      </c>
      <c r="AP102" s="13">
        <f t="shared" si="48"/>
        <v>12.493027148055464</v>
      </c>
      <c r="AQ102" s="13">
        <f t="shared" si="49"/>
        <v>11.874430120417706</v>
      </c>
      <c r="AR102" s="13">
        <f t="shared" si="50"/>
        <v>9.8874773547282135</v>
      </c>
      <c r="AS102" s="13">
        <f t="shared" si="51"/>
        <v>14.282809247080543</v>
      </c>
      <c r="AT102" s="13">
        <f t="shared" si="52"/>
        <v>16.813460812348829</v>
      </c>
      <c r="AU102" s="9">
        <v>0</v>
      </c>
      <c r="AV102" s="18">
        <f t="shared" si="70"/>
        <v>1</v>
      </c>
      <c r="AW102" s="18">
        <f t="shared" si="71"/>
        <v>2</v>
      </c>
      <c r="AX102" s="18">
        <f t="shared" si="72"/>
        <v>4</v>
      </c>
      <c r="AY102" s="18">
        <f t="shared" si="73"/>
        <v>6</v>
      </c>
      <c r="AZ102" s="18">
        <f t="shared" si="74"/>
        <v>7</v>
      </c>
      <c r="BA102" s="18">
        <f t="shared" si="75"/>
        <v>8</v>
      </c>
      <c r="BB102" s="18">
        <f t="shared" si="76"/>
        <v>5</v>
      </c>
      <c r="BC102" s="18">
        <f t="shared" si="77"/>
        <v>3</v>
      </c>
      <c r="BD102" s="18">
        <f t="shared" si="78"/>
        <v>9</v>
      </c>
      <c r="BE102" s="8">
        <f t="shared" si="80"/>
        <v>4.0412112855087341E-3</v>
      </c>
    </row>
    <row r="103" spans="1:57" x14ac:dyDescent="0.25">
      <c r="A103" t="str">
        <f t="shared" si="79"/>
        <v/>
      </c>
      <c r="B103" s="1">
        <v>42885</v>
      </c>
      <c r="C103" s="9">
        <f t="shared" si="54"/>
        <v>0.24982495736013233</v>
      </c>
      <c r="D103" s="9">
        <f t="shared" si="55"/>
        <v>0.25175647619475788</v>
      </c>
      <c r="E103" s="9">
        <f t="shared" si="56"/>
        <v>0</v>
      </c>
      <c r="F103" s="9">
        <f t="shared" si="57"/>
        <v>0</v>
      </c>
      <c r="G103" s="9">
        <f t="shared" si="58"/>
        <v>0.26300880352006623</v>
      </c>
      <c r="H103" s="9">
        <f t="shared" si="59"/>
        <v>0</v>
      </c>
      <c r="I103" s="9">
        <f t="shared" si="60"/>
        <v>0.23540976292504354</v>
      </c>
      <c r="J103" s="9">
        <f t="shared" si="61"/>
        <v>0</v>
      </c>
      <c r="K103" s="9">
        <v>0</v>
      </c>
      <c r="L103" s="8">
        <f>+VLOOKUP($B103,NIFTY_50!$B$3:$I$1238,8,0)</f>
        <v>2.0458307738757675E-3</v>
      </c>
      <c r="M103" s="8">
        <f>+VLOOKUP($B103,NIFTY_BANK!$B$3:$I$41238,8,0)</f>
        <v>5.3703723673852455E-3</v>
      </c>
      <c r="N103" s="8">
        <f>+VLOOKUP($B103,NIFTY_IT!$B$3:$I$1238,8,0)</f>
        <v>3.8463904015291206E-3</v>
      </c>
      <c r="O103" s="8">
        <f>+VLOOKUP($B103,NIFTY_PHARMA!$B$3:$I$1238,8,0)</f>
        <v>2.6547763136860913E-2</v>
      </c>
      <c r="P103" s="8">
        <f>+VLOOKUP($B103,NIFTY_FMCG!$B$3:$I$1238,8,0)</f>
        <v>-6.3453708467494652E-3</v>
      </c>
      <c r="Q103" s="8">
        <f>+VLOOKUP($B103,NIFTY_METAL!$B$3:$I$1238,8,0)</f>
        <v>3.3458803847763452E-3</v>
      </c>
      <c r="R103" s="8">
        <f>+VLOOKUP($B103,NIFTY_ENERGY!$B$3:$I$1238,8,0)</f>
        <v>2.8607622547169864E-3</v>
      </c>
      <c r="S103" s="8">
        <f>+VLOOKUP($B103,NIFTY_AUTO!$B$3:$I$1238,8,0)</f>
        <v>4.514809131910491E-3</v>
      </c>
      <c r="T103" s="8">
        <v>0</v>
      </c>
      <c r="U103" s="8">
        <f>+VLOOKUP($B103,NIFTY_50!$B$63:$K$1238,10,0)</f>
        <v>8.3894544799315129E-2</v>
      </c>
      <c r="V103" s="8">
        <f>+VLOOKUP($B103,NIFTY_BANK!$B$63:$K$1238,10,0)</f>
        <v>0.13102184910650383</v>
      </c>
      <c r="W103" s="8">
        <f>+VLOOKUP($B103,NIFTY_IT!$B$63:$K$1238,10,0)</f>
        <v>-6.7362921837477163E-3</v>
      </c>
      <c r="X103" s="8">
        <f>+VLOOKUP($B103,NIFTY_PHARMA!$B$63:$K$1238,10,0)</f>
        <v>-0.1506686253855638</v>
      </c>
      <c r="Y103" s="8">
        <f>+VLOOKUP($B103,NIFTY_FMCG!$B$63:$K$1238,10,0)</f>
        <v>0.15422907843962363</v>
      </c>
      <c r="Z103" s="8">
        <f>+VLOOKUP($B103,NIFTY_METAL!$B$63:$K$1238,10,0)</f>
        <v>-4.1105746170818303E-2</v>
      </c>
      <c r="AA103" s="8">
        <f>+VLOOKUP($B103,NIFTY_ENERGY!$B$63:$K$1238,10,0)</f>
        <v>5.227020651044878E-2</v>
      </c>
      <c r="AB103" s="8">
        <f>+VLOOKUP($B103,NIFTY_AUTO!$B$63:$K$1238,10,0)</f>
        <v>0.11884428746769693</v>
      </c>
      <c r="AC103" s="8"/>
      <c r="AD103" s="16">
        <f t="shared" si="62"/>
        <v>4.3534848820819962E-2</v>
      </c>
      <c r="AE103" s="8">
        <f t="shared" si="63"/>
        <v>5.8292129573762043E-2</v>
      </c>
      <c r="AF103" s="8">
        <f t="shared" si="64"/>
        <v>6.5708799036682711E-2</v>
      </c>
      <c r="AG103" s="8">
        <f t="shared" si="65"/>
        <v>8.5164024233727154E-2</v>
      </c>
      <c r="AH103" s="8">
        <f t="shared" si="66"/>
        <v>8.4453489561131856E-2</v>
      </c>
      <c r="AI103" s="8">
        <f t="shared" si="67"/>
        <v>0.10104473419194084</v>
      </c>
      <c r="AJ103" s="8">
        <f t="shared" si="68"/>
        <v>6.9413447844114476E-2</v>
      </c>
      <c r="AK103" s="8">
        <f t="shared" si="69"/>
        <v>5.9456933587643708E-2</v>
      </c>
      <c r="AL103" s="9">
        <v>0</v>
      </c>
      <c r="AM103" s="17">
        <f t="shared" si="45"/>
        <v>22.970103884264859</v>
      </c>
      <c r="AN103" s="13">
        <f t="shared" si="46"/>
        <v>17.154974561953754</v>
      </c>
      <c r="AO103" s="13">
        <f t="shared" si="47"/>
        <v>15.218661954873626</v>
      </c>
      <c r="AP103" s="13">
        <f t="shared" si="48"/>
        <v>11.742047290479894</v>
      </c>
      <c r="AQ103" s="13">
        <f t="shared" si="49"/>
        <v>11.840836952937838</v>
      </c>
      <c r="AR103" s="13">
        <f t="shared" si="50"/>
        <v>9.8966067652811773</v>
      </c>
      <c r="AS103" s="13">
        <f t="shared" si="51"/>
        <v>14.406430325226806</v>
      </c>
      <c r="AT103" s="13">
        <f t="shared" si="52"/>
        <v>16.81889629450751</v>
      </c>
      <c r="AU103" s="9">
        <v>0</v>
      </c>
      <c r="AV103" s="18">
        <f t="shared" si="70"/>
        <v>1</v>
      </c>
      <c r="AW103" s="18">
        <f t="shared" si="71"/>
        <v>2</v>
      </c>
      <c r="AX103" s="18">
        <f t="shared" si="72"/>
        <v>4</v>
      </c>
      <c r="AY103" s="18">
        <f t="shared" si="73"/>
        <v>7</v>
      </c>
      <c r="AZ103" s="18">
        <f t="shared" si="74"/>
        <v>6</v>
      </c>
      <c r="BA103" s="18">
        <f t="shared" si="75"/>
        <v>8</v>
      </c>
      <c r="BB103" s="18">
        <f t="shared" si="76"/>
        <v>5</v>
      </c>
      <c r="BC103" s="18">
        <f t="shared" si="77"/>
        <v>3</v>
      </c>
      <c r="BD103" s="18">
        <f t="shared" si="78"/>
        <v>9</v>
      </c>
      <c r="BE103" s="8">
        <f t="shared" si="80"/>
        <v>8.475623170224305E-4</v>
      </c>
    </row>
    <row r="104" spans="1:57" x14ac:dyDescent="0.25">
      <c r="A104" t="str">
        <f t="shared" si="79"/>
        <v>Y</v>
      </c>
      <c r="B104" s="1">
        <v>42886</v>
      </c>
      <c r="C104" s="9">
        <f t="shared" si="54"/>
        <v>0.25</v>
      </c>
      <c r="D104" s="9">
        <f t="shared" si="55"/>
        <v>0.25</v>
      </c>
      <c r="E104" s="9">
        <f t="shared" si="56"/>
        <v>0.25</v>
      </c>
      <c r="F104" s="9">
        <f t="shared" si="57"/>
        <v>0</v>
      </c>
      <c r="G104" s="9">
        <f t="shared" si="58"/>
        <v>0</v>
      </c>
      <c r="H104" s="9">
        <f t="shared" si="59"/>
        <v>0</v>
      </c>
      <c r="I104" s="9">
        <f t="shared" si="60"/>
        <v>0</v>
      </c>
      <c r="J104" s="9">
        <f t="shared" si="61"/>
        <v>0.25</v>
      </c>
      <c r="K104" s="9">
        <v>0</v>
      </c>
      <c r="L104" s="8">
        <f>+VLOOKUP($B104,NIFTY_50!$B$3:$I$1238,8,0)</f>
        <v>-3.428731732911805E-4</v>
      </c>
      <c r="M104" s="8">
        <f>+VLOOKUP($B104,NIFTY_BANK!$B$3:$I$41238,8,0)</f>
        <v>5.0434950498234876E-3</v>
      </c>
      <c r="N104" s="8">
        <f>+VLOOKUP($B104,NIFTY_IT!$B$3:$I$1238,8,0)</f>
        <v>-5.6461494957111835E-3</v>
      </c>
      <c r="O104" s="8">
        <f>+VLOOKUP($B104,NIFTY_PHARMA!$B$3:$I$1238,8,0)</f>
        <v>3.8875232194699461E-3</v>
      </c>
      <c r="P104" s="8">
        <f>+VLOOKUP($B104,NIFTY_FMCG!$B$3:$I$1238,8,0)</f>
        <v>2.2650232320018393E-3</v>
      </c>
      <c r="Q104" s="8">
        <f>+VLOOKUP($B104,NIFTY_METAL!$B$3:$I$1238,8,0)</f>
        <v>-1.527303042934558E-2</v>
      </c>
      <c r="R104" s="8">
        <f>+VLOOKUP($B104,NIFTY_ENERGY!$B$3:$I$1238,8,0)</f>
        <v>-2.371591099213699E-3</v>
      </c>
      <c r="S104" s="8">
        <f>+VLOOKUP($B104,NIFTY_AUTO!$B$3:$I$1238,8,0)</f>
        <v>6.3645326581529549E-3</v>
      </c>
      <c r="T104" s="8">
        <v>0</v>
      </c>
      <c r="U104" s="8">
        <f>+VLOOKUP($B104,NIFTY_50!$B$63:$K$1238,10,0)</f>
        <v>7.5504706119072784E-2</v>
      </c>
      <c r="V104" s="8">
        <f>+VLOOKUP($B104,NIFTY_BANK!$B$63:$K$1238,10,0)</f>
        <v>0.12707283334335706</v>
      </c>
      <c r="W104" s="8">
        <f>+VLOOKUP($B104,NIFTY_IT!$B$63:$K$1238,10,0)</f>
        <v>-1.8510334432757514E-2</v>
      </c>
      <c r="X104" s="8">
        <f>+VLOOKUP($B104,NIFTY_PHARMA!$B$63:$K$1238,10,0)</f>
        <v>-0.15658175089712911</v>
      </c>
      <c r="Y104" s="8">
        <f>+VLOOKUP($B104,NIFTY_FMCG!$B$63:$K$1238,10,0)</f>
        <v>0.14087550798314408</v>
      </c>
      <c r="Z104" s="8">
        <f>+VLOOKUP($B104,NIFTY_METAL!$B$63:$K$1238,10,0)</f>
        <v>-7.2740689568548622E-2</v>
      </c>
      <c r="AA104" s="8">
        <f>+VLOOKUP($B104,NIFTY_ENERGY!$B$63:$K$1238,10,0)</f>
        <v>5.7486909601989655E-2</v>
      </c>
      <c r="AB104" s="8">
        <f>+VLOOKUP($B104,NIFTY_AUTO!$B$63:$K$1238,10,0)</f>
        <v>0.12410812152296646</v>
      </c>
      <c r="AC104" s="8"/>
      <c r="AD104" s="16">
        <f t="shared" si="62"/>
        <v>4.3123950493694732E-2</v>
      </c>
      <c r="AE104" s="8">
        <f t="shared" si="63"/>
        <v>5.8002346840452572E-2</v>
      </c>
      <c r="AF104" s="8">
        <f t="shared" si="64"/>
        <v>6.5619578027108591E-2</v>
      </c>
      <c r="AG104" s="8">
        <f t="shared" si="65"/>
        <v>8.4327038918497202E-2</v>
      </c>
      <c r="AH104" s="8">
        <f t="shared" si="66"/>
        <v>8.3641902506993229E-2</v>
      </c>
      <c r="AI104" s="8">
        <f t="shared" si="67"/>
        <v>0.10024216316761025</v>
      </c>
      <c r="AJ104" s="8">
        <f t="shared" si="68"/>
        <v>6.9004738430592363E-2</v>
      </c>
      <c r="AK104" s="8">
        <f t="shared" si="69"/>
        <v>5.9622991976458872E-2</v>
      </c>
      <c r="AL104" s="9">
        <v>0</v>
      </c>
      <c r="AM104" s="17">
        <f t="shared" si="45"/>
        <v>23.188970132646187</v>
      </c>
      <c r="AN104" s="13">
        <f t="shared" si="46"/>
        <v>17.240681704668027</v>
      </c>
      <c r="AO104" s="13">
        <f t="shared" si="47"/>
        <v>15.23935432176785</v>
      </c>
      <c r="AP104" s="13">
        <f t="shared" si="48"/>
        <v>11.858592603571774</v>
      </c>
      <c r="AQ104" s="13">
        <f t="shared" si="49"/>
        <v>11.955729963416253</v>
      </c>
      <c r="AR104" s="13">
        <f t="shared" si="50"/>
        <v>9.9758421845700447</v>
      </c>
      <c r="AS104" s="13">
        <f t="shared" si="51"/>
        <v>14.491758432007371</v>
      </c>
      <c r="AT104" s="13">
        <f t="shared" si="52"/>
        <v>16.772053311159443</v>
      </c>
      <c r="AU104" s="9">
        <v>0</v>
      </c>
      <c r="AV104" s="18">
        <f t="shared" si="70"/>
        <v>1</v>
      </c>
      <c r="AW104" s="18">
        <f t="shared" si="71"/>
        <v>2</v>
      </c>
      <c r="AX104" s="18">
        <f t="shared" si="72"/>
        <v>4</v>
      </c>
      <c r="AY104" s="18">
        <f t="shared" si="73"/>
        <v>7</v>
      </c>
      <c r="AZ104" s="18">
        <f t="shared" si="74"/>
        <v>6</v>
      </c>
      <c r="BA104" s="18">
        <f t="shared" si="75"/>
        <v>8</v>
      </c>
      <c r="BB104" s="18">
        <f t="shared" si="76"/>
        <v>5</v>
      </c>
      <c r="BC104" s="18">
        <f t="shared" si="77"/>
        <v>3</v>
      </c>
      <c r="BD104" s="18">
        <f t="shared" si="78"/>
        <v>9</v>
      </c>
      <c r="BE104" s="8">
        <f t="shared" si="80"/>
        <v>1.2214996173247805E-3</v>
      </c>
    </row>
    <row r="105" spans="1:57" x14ac:dyDescent="0.25">
      <c r="A105" t="str">
        <f t="shared" si="79"/>
        <v/>
      </c>
      <c r="B105" s="1">
        <v>42887</v>
      </c>
      <c r="C105" s="9">
        <f t="shared" si="54"/>
        <v>0.24993454675396276</v>
      </c>
      <c r="D105" s="9">
        <f t="shared" si="55"/>
        <v>0.24884447059450712</v>
      </c>
      <c r="E105" s="9">
        <f t="shared" si="56"/>
        <v>0.25067525455849204</v>
      </c>
      <c r="F105" s="9">
        <f t="shared" si="57"/>
        <v>0</v>
      </c>
      <c r="G105" s="9">
        <f t="shared" si="58"/>
        <v>0</v>
      </c>
      <c r="H105" s="9">
        <f t="shared" si="59"/>
        <v>0</v>
      </c>
      <c r="I105" s="9">
        <f t="shared" si="60"/>
        <v>0</v>
      </c>
      <c r="J105" s="9">
        <f t="shared" si="61"/>
        <v>0.2505457280930381</v>
      </c>
      <c r="K105" s="9">
        <v>0</v>
      </c>
      <c r="L105" s="8">
        <f>+VLOOKUP($B105,NIFTY_50!$B$3:$I$1238,8,0)</f>
        <v>-5.3527348317528034E-4</v>
      </c>
      <c r="M105" s="8">
        <f>+VLOOKUP($B105,NIFTY_BANK!$B$3:$I$41238,8,0)</f>
        <v>-4.8943854376557461E-3</v>
      </c>
      <c r="N105" s="8">
        <f>+VLOOKUP($B105,NIFTY_IT!$B$3:$I$1238,8,0)</f>
        <v>2.426747305457333E-3</v>
      </c>
      <c r="O105" s="8">
        <f>+VLOOKUP($B105,NIFTY_PHARMA!$B$3:$I$1238,8,0)</f>
        <v>8.8307803107947613E-3</v>
      </c>
      <c r="P105" s="8">
        <f>+VLOOKUP($B105,NIFTY_FMCG!$B$3:$I$1238,8,0)</f>
        <v>1.253589146266898E-2</v>
      </c>
      <c r="Q105" s="8">
        <f>+VLOOKUP($B105,NIFTY_METAL!$B$3:$I$1238,8,0)</f>
        <v>-8.8047545674664329E-3</v>
      </c>
      <c r="R105" s="8">
        <f>+VLOOKUP($B105,NIFTY_ENERGY!$B$3:$I$1238,8,0)</f>
        <v>-1.0812827812320402E-2</v>
      </c>
      <c r="S105" s="8">
        <f>+VLOOKUP($B105,NIFTY_AUTO!$B$3:$I$1238,8,0)</f>
        <v>1.9087831622328633E-3</v>
      </c>
      <c r="T105" s="8">
        <v>0</v>
      </c>
      <c r="U105" s="8">
        <f>+VLOOKUP($B105,NIFTY_50!$B$63:$K$1238,10,0)</f>
        <v>8.0491025028792906E-2</v>
      </c>
      <c r="V105" s="8">
        <f>+VLOOKUP($B105,NIFTY_BANK!$B$63:$K$1238,10,0)</f>
        <v>0.13375940233608397</v>
      </c>
      <c r="W105" s="8">
        <f>+VLOOKUP($B105,NIFTY_IT!$B$63:$K$1238,10,0)</f>
        <v>-1.5537722499441409E-2</v>
      </c>
      <c r="X105" s="8">
        <f>+VLOOKUP($B105,NIFTY_PHARMA!$B$63:$K$1238,10,0)</f>
        <v>-0.13624289685137225</v>
      </c>
      <c r="Y105" s="8">
        <f>+VLOOKUP($B105,NIFTY_FMCG!$B$63:$K$1238,10,0)</f>
        <v>0.16721237615591544</v>
      </c>
      <c r="Z105" s="8">
        <f>+VLOOKUP($B105,NIFTY_METAL!$B$63:$K$1238,10,0)</f>
        <v>-7.5592963395761714E-2</v>
      </c>
      <c r="AA105" s="8">
        <f>+VLOOKUP($B105,NIFTY_ENERGY!$B$63:$K$1238,10,0)</f>
        <v>5.5888223552894356E-2</v>
      </c>
      <c r="AB105" s="8">
        <f>+VLOOKUP($B105,NIFTY_AUTO!$B$63:$K$1238,10,0)</f>
        <v>0.12220390500231826</v>
      </c>
      <c r="AC105" s="8"/>
      <c r="AD105" s="16">
        <f t="shared" si="62"/>
        <v>4.2684421789371235E-2</v>
      </c>
      <c r="AE105" s="8">
        <f t="shared" si="63"/>
        <v>5.6995204836351024E-2</v>
      </c>
      <c r="AF105" s="8">
        <f t="shared" si="64"/>
        <v>6.5673036356884221E-2</v>
      </c>
      <c r="AG105" s="8">
        <f t="shared" si="65"/>
        <v>8.4182609416005832E-2</v>
      </c>
      <c r="AH105" s="8">
        <f t="shared" si="66"/>
        <v>8.3287525772389001E-2</v>
      </c>
      <c r="AI105" s="8">
        <f t="shared" si="67"/>
        <v>0.10042796501074099</v>
      </c>
      <c r="AJ105" s="8">
        <f t="shared" si="68"/>
        <v>6.9243232843560584E-2</v>
      </c>
      <c r="AK105" s="8">
        <f t="shared" si="69"/>
        <v>5.959949419435346E-2</v>
      </c>
      <c r="AL105" s="9">
        <v>0</v>
      </c>
      <c r="AM105" s="17">
        <f t="shared" si="45"/>
        <v>23.427750876761507</v>
      </c>
      <c r="AN105" s="13">
        <f t="shared" si="46"/>
        <v>17.545335662382058</v>
      </c>
      <c r="AO105" s="13">
        <f t="shared" si="47"/>
        <v>15.226949376388539</v>
      </c>
      <c r="AP105" s="13">
        <f t="shared" si="48"/>
        <v>11.878938024578122</v>
      </c>
      <c r="AQ105" s="13">
        <f t="shared" si="49"/>
        <v>12.006599916689016</v>
      </c>
      <c r="AR105" s="13">
        <f t="shared" si="50"/>
        <v>9.9573858724813142</v>
      </c>
      <c r="AS105" s="13">
        <f t="shared" si="51"/>
        <v>14.441844479723725</v>
      </c>
      <c r="AT105" s="13">
        <f t="shared" si="52"/>
        <v>16.778665884965537</v>
      </c>
      <c r="AU105" s="9">
        <v>0</v>
      </c>
      <c r="AV105" s="18">
        <f t="shared" si="70"/>
        <v>1</v>
      </c>
      <c r="AW105" s="18">
        <f t="shared" si="71"/>
        <v>2</v>
      </c>
      <c r="AX105" s="18">
        <f t="shared" si="72"/>
        <v>4</v>
      </c>
      <c r="AY105" s="18">
        <f t="shared" si="73"/>
        <v>7</v>
      </c>
      <c r="AZ105" s="18">
        <f t="shared" si="74"/>
        <v>6</v>
      </c>
      <c r="BA105" s="18">
        <f t="shared" si="75"/>
        <v>8</v>
      </c>
      <c r="BB105" s="18">
        <f t="shared" si="76"/>
        <v>5</v>
      </c>
      <c r="BC105" s="18">
        <f t="shared" si="77"/>
        <v>3</v>
      </c>
      <c r="BD105" s="18">
        <f t="shared" si="78"/>
        <v>9</v>
      </c>
      <c r="BE105" s="8">
        <f t="shared" si="80"/>
        <v>-2.7353211328520755E-4</v>
      </c>
    </row>
    <row r="106" spans="1:57" x14ac:dyDescent="0.25">
      <c r="A106" t="str">
        <f t="shared" si="79"/>
        <v/>
      </c>
      <c r="B106" s="1">
        <v>42888</v>
      </c>
      <c r="C106" s="9">
        <f t="shared" si="54"/>
        <v>0.24999388772810541</v>
      </c>
      <c r="D106" s="9">
        <f t="shared" si="55"/>
        <v>0.24863859224789961</v>
      </c>
      <c r="E106" s="9">
        <f t="shared" si="56"/>
        <v>0.2505723132985696</v>
      </c>
      <c r="F106" s="9">
        <f t="shared" si="57"/>
        <v>0</v>
      </c>
      <c r="G106" s="9">
        <f t="shared" si="58"/>
        <v>0</v>
      </c>
      <c r="H106" s="9">
        <f t="shared" si="59"/>
        <v>0</v>
      </c>
      <c r="I106" s="9">
        <f t="shared" si="60"/>
        <v>0</v>
      </c>
      <c r="J106" s="9">
        <f t="shared" si="61"/>
        <v>0.25079520672542527</v>
      </c>
      <c r="K106" s="9">
        <v>0</v>
      </c>
      <c r="L106" s="8">
        <f>+VLOOKUP($B106,NIFTY_50!$B$3:$I$1238,8,0)</f>
        <v>3.8893106352886342E-3</v>
      </c>
      <c r="M106" s="8">
        <f>+VLOOKUP($B106,NIFTY_BANK!$B$3:$I$41238,8,0)</f>
        <v>2.8206596697146757E-3</v>
      </c>
      <c r="N106" s="8">
        <f>+VLOOKUP($B106,NIFTY_IT!$B$3:$I$1238,8,0)</f>
        <v>3.2388625682051586E-3</v>
      </c>
      <c r="O106" s="8">
        <f>+VLOOKUP($B106,NIFTY_PHARMA!$B$3:$I$1238,8,0)</f>
        <v>1.6447097457976234E-2</v>
      </c>
      <c r="P106" s="8">
        <f>+VLOOKUP($B106,NIFTY_FMCG!$B$3:$I$1238,8,0)</f>
        <v>9.0175133523786588E-3</v>
      </c>
      <c r="Q106" s="8">
        <f>+VLOOKUP($B106,NIFTY_METAL!$B$3:$I$1238,8,0)</f>
        <v>-1.2299492645928556E-3</v>
      </c>
      <c r="R106" s="8">
        <f>+VLOOKUP($B106,NIFTY_ENERGY!$B$3:$I$1238,8,0)</f>
        <v>-3.3187247281020182E-3</v>
      </c>
      <c r="S106" s="8">
        <f>+VLOOKUP($B106,NIFTY_AUTO!$B$3:$I$1238,8,0)</f>
        <v>4.6503941128674953E-3</v>
      </c>
      <c r="T106" s="8">
        <v>0</v>
      </c>
      <c r="U106" s="8">
        <f>+VLOOKUP($B106,NIFTY_50!$B$63:$K$1238,10,0)</f>
        <v>8.4961590550207688E-2</v>
      </c>
      <c r="V106" s="8">
        <f>+VLOOKUP($B106,NIFTY_BANK!$B$63:$K$1238,10,0)</f>
        <v>0.14053260211947949</v>
      </c>
      <c r="W106" s="8">
        <f>+VLOOKUP($B106,NIFTY_IT!$B$63:$K$1238,10,0)</f>
        <v>-1.8257952573741965E-2</v>
      </c>
      <c r="X106" s="8">
        <f>+VLOOKUP($B106,NIFTY_PHARMA!$B$63:$K$1238,10,0)</f>
        <v>-0.12807081180133861</v>
      </c>
      <c r="Y106" s="8">
        <f>+VLOOKUP($B106,NIFTY_FMCG!$B$63:$K$1238,10,0)</f>
        <v>0.18495828228017963</v>
      </c>
      <c r="Z106" s="8">
        <f>+VLOOKUP($B106,NIFTY_METAL!$B$63:$K$1238,10,0)</f>
        <v>-8.2755483041009104E-2</v>
      </c>
      <c r="AA106" s="8">
        <f>+VLOOKUP($B106,NIFTY_ENERGY!$B$63:$K$1238,10,0)</f>
        <v>4.0026359901106146E-2</v>
      </c>
      <c r="AB106" s="8">
        <f>+VLOOKUP($B106,NIFTY_AUTO!$B$63:$K$1238,10,0)</f>
        <v>0.13033417695366989</v>
      </c>
      <c r="AC106" s="8"/>
      <c r="AD106" s="16">
        <f t="shared" si="62"/>
        <v>4.2733076030333966E-2</v>
      </c>
      <c r="AE106" s="8">
        <f t="shared" si="63"/>
        <v>5.6755164845467755E-2</v>
      </c>
      <c r="AF106" s="8">
        <f t="shared" si="64"/>
        <v>6.5466455928191003E-2</v>
      </c>
      <c r="AG106" s="8">
        <f t="shared" si="65"/>
        <v>8.5746227929039576E-2</v>
      </c>
      <c r="AH106" s="8">
        <f t="shared" si="66"/>
        <v>8.3059287256775971E-2</v>
      </c>
      <c r="AI106" s="8">
        <f t="shared" si="67"/>
        <v>0.10012162992131333</v>
      </c>
      <c r="AJ106" s="8">
        <f t="shared" si="68"/>
        <v>6.8476090154123134E-2</v>
      </c>
      <c r="AK106" s="8">
        <f t="shared" si="69"/>
        <v>5.9485055322565379E-2</v>
      </c>
      <c r="AL106" s="9">
        <v>0</v>
      </c>
      <c r="AM106" s="17">
        <f t="shared" si="45"/>
        <v>23.401076938391999</v>
      </c>
      <c r="AN106" s="13">
        <f t="shared" si="46"/>
        <v>17.619541811265766</v>
      </c>
      <c r="AO106" s="13">
        <f t="shared" si="47"/>
        <v>15.274998254020078</v>
      </c>
      <c r="AP106" s="13">
        <f t="shared" si="48"/>
        <v>11.662320595928293</v>
      </c>
      <c r="AQ106" s="13">
        <f t="shared" si="49"/>
        <v>12.039592838167776</v>
      </c>
      <c r="AR106" s="13">
        <f t="shared" si="50"/>
        <v>9.987851783734552</v>
      </c>
      <c r="AS106" s="13">
        <f t="shared" si="51"/>
        <v>14.603637528796426</v>
      </c>
      <c r="AT106" s="13">
        <f t="shared" si="52"/>
        <v>16.810945111799445</v>
      </c>
      <c r="AU106" s="9">
        <v>0</v>
      </c>
      <c r="AV106" s="18">
        <f t="shared" si="70"/>
        <v>1</v>
      </c>
      <c r="AW106" s="18">
        <f t="shared" si="71"/>
        <v>2</v>
      </c>
      <c r="AX106" s="18">
        <f t="shared" si="72"/>
        <v>4</v>
      </c>
      <c r="AY106" s="18">
        <f t="shared" si="73"/>
        <v>7</v>
      </c>
      <c r="AZ106" s="18">
        <f t="shared" si="74"/>
        <v>6</v>
      </c>
      <c r="BA106" s="18">
        <f t="shared" si="75"/>
        <v>8</v>
      </c>
      <c r="BB106" s="18">
        <f t="shared" si="76"/>
        <v>5</v>
      </c>
      <c r="BC106" s="18">
        <f t="shared" si="77"/>
        <v>3</v>
      </c>
      <c r="BD106" s="18">
        <f t="shared" si="78"/>
        <v>9</v>
      </c>
      <c r="BE106" s="8">
        <f t="shared" si="80"/>
        <v>3.6510177307464212E-3</v>
      </c>
    </row>
    <row r="107" spans="1:57" x14ac:dyDescent="0.25">
      <c r="A107" t="str">
        <f t="shared" si="79"/>
        <v/>
      </c>
      <c r="B107" s="1">
        <v>42891</v>
      </c>
      <c r="C107" s="9">
        <f t="shared" si="54"/>
        <v>0.24974197527249037</v>
      </c>
      <c r="D107" s="9">
        <f t="shared" si="55"/>
        <v>0.2487214359167649</v>
      </c>
      <c r="E107" s="9">
        <f t="shared" si="56"/>
        <v>0.25096516794853335</v>
      </c>
      <c r="F107" s="9">
        <f t="shared" si="57"/>
        <v>0</v>
      </c>
      <c r="G107" s="9">
        <f t="shared" si="58"/>
        <v>0</v>
      </c>
      <c r="H107" s="9">
        <f t="shared" si="59"/>
        <v>0</v>
      </c>
      <c r="I107" s="9">
        <f t="shared" si="60"/>
        <v>0</v>
      </c>
      <c r="J107" s="9">
        <f t="shared" si="61"/>
        <v>0.2505714208622114</v>
      </c>
      <c r="K107" s="9">
        <v>0</v>
      </c>
      <c r="L107" s="8">
        <f>+VLOOKUP($B107,NIFTY_50!$B$3:$I$1238,8,0)</f>
        <v>2.2375304293780207E-3</v>
      </c>
      <c r="M107" s="8">
        <f>+VLOOKUP($B107,NIFTY_BANK!$B$3:$I$41238,8,0)</f>
        <v>3.5827497550895426E-3</v>
      </c>
      <c r="N107" s="8">
        <f>+VLOOKUP($B107,NIFTY_IT!$B$3:$I$1238,8,0)</f>
        <v>4.821400798382447E-3</v>
      </c>
      <c r="O107" s="8">
        <f>+VLOOKUP($B107,NIFTY_PHARMA!$B$3:$I$1238,8,0)</f>
        <v>-2.6959274746886086E-3</v>
      </c>
      <c r="P107" s="8">
        <f>+VLOOKUP($B107,NIFTY_FMCG!$B$3:$I$1238,8,0)</f>
        <v>1.0965202998292067E-3</v>
      </c>
      <c r="Q107" s="8">
        <f>+VLOOKUP($B107,NIFTY_METAL!$B$3:$I$1238,8,0)</f>
        <v>-5.9520755297860495E-3</v>
      </c>
      <c r="R107" s="8">
        <f>+VLOOKUP($B107,NIFTY_ENERGY!$B$3:$I$1238,8,0)</f>
        <v>4.1547771431973413E-3</v>
      </c>
      <c r="S107" s="8">
        <f>+VLOOKUP($B107,NIFTY_AUTO!$B$3:$I$1238,8,0)</f>
        <v>2.3532744786241011E-3</v>
      </c>
      <c r="T107" s="8">
        <v>0</v>
      </c>
      <c r="U107" s="8">
        <f>+VLOOKUP($B107,NIFTY_50!$B$63:$K$1238,10,0)</f>
        <v>7.9394652728580928E-2</v>
      </c>
      <c r="V107" s="8">
        <f>+VLOOKUP($B107,NIFTY_BANK!$B$63:$K$1238,10,0)</f>
        <v>0.13531007348653312</v>
      </c>
      <c r="W107" s="8">
        <f>+VLOOKUP($B107,NIFTY_IT!$B$63:$K$1238,10,0)</f>
        <v>-1.1035295318232996E-2</v>
      </c>
      <c r="X107" s="8">
        <f>+VLOOKUP($B107,NIFTY_PHARMA!$B$63:$K$1238,10,0)</f>
        <v>-0.1303231459975408</v>
      </c>
      <c r="Y107" s="8">
        <f>+VLOOKUP($B107,NIFTY_FMCG!$B$63:$K$1238,10,0)</f>
        <v>0.18034547590019789</v>
      </c>
      <c r="Z107" s="8">
        <f>+VLOOKUP($B107,NIFTY_METAL!$B$63:$K$1238,10,0)</f>
        <v>-8.8872515206621983E-2</v>
      </c>
      <c r="AA107" s="8">
        <f>+VLOOKUP($B107,NIFTY_ENERGY!$B$63:$K$1238,10,0)</f>
        <v>2.3120385455301706E-2</v>
      </c>
      <c r="AB107" s="8">
        <f>+VLOOKUP($B107,NIFTY_AUTO!$B$63:$K$1238,10,0)</f>
        <v>0.11917857142857158</v>
      </c>
      <c r="AC107" s="8"/>
      <c r="AD107" s="16">
        <f t="shared" si="62"/>
        <v>4.2306157119253278E-2</v>
      </c>
      <c r="AE107" s="8">
        <f t="shared" si="63"/>
        <v>5.644974567486357E-2</v>
      </c>
      <c r="AF107" s="8">
        <f t="shared" si="64"/>
        <v>6.5618600622157214E-2</v>
      </c>
      <c r="AG107" s="8">
        <f t="shared" si="65"/>
        <v>8.5722120910949814E-2</v>
      </c>
      <c r="AH107" s="8">
        <f t="shared" si="66"/>
        <v>8.3047858739076164E-2</v>
      </c>
      <c r="AI107" s="8">
        <f t="shared" si="67"/>
        <v>0.1002034231027545</v>
      </c>
      <c r="AJ107" s="8">
        <f t="shared" si="68"/>
        <v>6.5527856692124103E-2</v>
      </c>
      <c r="AK107" s="8">
        <f t="shared" si="69"/>
        <v>5.8572533183253672E-2</v>
      </c>
      <c r="AL107" s="9">
        <v>0</v>
      </c>
      <c r="AM107" s="17">
        <f t="shared" si="45"/>
        <v>23.637221343011227</v>
      </c>
      <c r="AN107" s="13">
        <f t="shared" si="46"/>
        <v>17.714871662305622</v>
      </c>
      <c r="AO107" s="13">
        <f t="shared" si="47"/>
        <v>15.239581315641976</v>
      </c>
      <c r="AP107" s="13">
        <f t="shared" si="48"/>
        <v>11.665600306819565</v>
      </c>
      <c r="AQ107" s="13">
        <f t="shared" si="49"/>
        <v>12.041249650299221</v>
      </c>
      <c r="AR107" s="13">
        <f t="shared" si="50"/>
        <v>9.9796989866757446</v>
      </c>
      <c r="AS107" s="13">
        <f t="shared" si="51"/>
        <v>15.260685309736242</v>
      </c>
      <c r="AT107" s="13">
        <f t="shared" si="52"/>
        <v>17.07284875098944</v>
      </c>
      <c r="AU107" s="9">
        <v>0</v>
      </c>
      <c r="AV107" s="18">
        <f t="shared" si="70"/>
        <v>1</v>
      </c>
      <c r="AW107" s="18">
        <f t="shared" si="71"/>
        <v>2</v>
      </c>
      <c r="AX107" s="18">
        <f t="shared" si="72"/>
        <v>5</v>
      </c>
      <c r="AY107" s="18">
        <f t="shared" si="73"/>
        <v>7</v>
      </c>
      <c r="AZ107" s="18">
        <f t="shared" si="74"/>
        <v>6</v>
      </c>
      <c r="BA107" s="18">
        <f t="shared" si="75"/>
        <v>8</v>
      </c>
      <c r="BB107" s="18">
        <f t="shared" si="76"/>
        <v>4</v>
      </c>
      <c r="BC107" s="18">
        <f t="shared" si="77"/>
        <v>3</v>
      </c>
      <c r="BD107" s="18">
        <f t="shared" si="78"/>
        <v>9</v>
      </c>
      <c r="BE107" s="8">
        <f t="shared" si="80"/>
        <v>3.248478297170578E-3</v>
      </c>
    </row>
    <row r="108" spans="1:57" x14ac:dyDescent="0.25">
      <c r="A108" t="str">
        <f t="shared" si="79"/>
        <v/>
      </c>
      <c r="B108" s="1">
        <v>42892</v>
      </c>
      <c r="C108" s="9">
        <f t="shared" si="54"/>
        <v>0.24834853238662255</v>
      </c>
      <c r="D108" s="9">
        <f t="shared" si="55"/>
        <v>0.24784882285927398</v>
      </c>
      <c r="E108" s="9">
        <f t="shared" si="56"/>
        <v>0.25635650200960952</v>
      </c>
      <c r="F108" s="9">
        <f t="shared" si="57"/>
        <v>0</v>
      </c>
      <c r="G108" s="9">
        <f t="shared" si="58"/>
        <v>0</v>
      </c>
      <c r="H108" s="9">
        <f t="shared" si="59"/>
        <v>0</v>
      </c>
      <c r="I108" s="9">
        <f t="shared" si="60"/>
        <v>0</v>
      </c>
      <c r="J108" s="9">
        <f t="shared" si="61"/>
        <v>0.247446142744494</v>
      </c>
      <c r="K108" s="9">
        <v>0</v>
      </c>
      <c r="L108" s="8">
        <f>+VLOOKUP($B108,NIFTY_50!$B$3:$I$1238,8,0)</f>
        <v>-3.9224400781388002E-3</v>
      </c>
      <c r="M108" s="8">
        <f>+VLOOKUP($B108,NIFTY_BANK!$B$3:$I$41238,8,0)</f>
        <v>-1.8478536551057578E-3</v>
      </c>
      <c r="N108" s="8">
        <f>+VLOOKUP($B108,NIFTY_IT!$B$3:$I$1238,8,0)</f>
        <v>2.318458551045488E-2</v>
      </c>
      <c r="O108" s="8">
        <f>+VLOOKUP($B108,NIFTY_PHARMA!$B$3:$I$1238,8,0)</f>
        <v>-5.9752430997589423E-3</v>
      </c>
      <c r="P108" s="8">
        <f>+VLOOKUP($B108,NIFTY_FMCG!$B$3:$I$1238,8,0)</f>
        <v>-1.4065110014320537E-2</v>
      </c>
      <c r="Q108" s="8">
        <f>+VLOOKUP($B108,NIFTY_METAL!$B$3:$I$1238,8,0)</f>
        <v>-3.2863607426142361E-3</v>
      </c>
      <c r="R108" s="8">
        <f>+VLOOKUP($B108,NIFTY_ENERGY!$B$3:$I$1238,8,0)</f>
        <v>-1.0943217238108094E-2</v>
      </c>
      <c r="S108" s="8">
        <f>+VLOOKUP($B108,NIFTY_AUTO!$B$3:$I$1238,8,0)</f>
        <v>-1.0827000487784844E-2</v>
      </c>
      <c r="T108" s="8">
        <v>0</v>
      </c>
      <c r="U108" s="8">
        <f>+VLOOKUP($B108,NIFTY_50!$B$63:$K$1238,10,0)</f>
        <v>7.7149627245191033E-2</v>
      </c>
      <c r="V108" s="8">
        <f>+VLOOKUP($B108,NIFTY_BANK!$B$63:$K$1238,10,0)</f>
        <v>0.13519815779905464</v>
      </c>
      <c r="W108" s="8">
        <f>+VLOOKUP($B108,NIFTY_IT!$B$63:$K$1238,10,0)</f>
        <v>1.001472344917631E-2</v>
      </c>
      <c r="X108" s="8">
        <f>+VLOOKUP($B108,NIFTY_PHARMA!$B$63:$K$1238,10,0)</f>
        <v>-0.13126722154361836</v>
      </c>
      <c r="Y108" s="8">
        <f>+VLOOKUP($B108,NIFTY_FMCG!$B$63:$K$1238,10,0)</f>
        <v>0.16370221184204081</v>
      </c>
      <c r="Z108" s="8">
        <f>+VLOOKUP($B108,NIFTY_METAL!$B$63:$K$1238,10,0)</f>
        <v>-7.5651438510268121E-2</v>
      </c>
      <c r="AA108" s="8">
        <f>+VLOOKUP($B108,NIFTY_ENERGY!$B$63:$K$1238,10,0)</f>
        <v>8.9296128773053152E-3</v>
      </c>
      <c r="AB108" s="8">
        <f>+VLOOKUP($B108,NIFTY_AUTO!$B$63:$K$1238,10,0)</f>
        <v>0.11233345807423989</v>
      </c>
      <c r="AC108" s="8"/>
      <c r="AD108" s="16">
        <f t="shared" si="62"/>
        <v>4.2508599442018007E-2</v>
      </c>
      <c r="AE108" s="8">
        <f t="shared" si="63"/>
        <v>5.6456554976828534E-2</v>
      </c>
      <c r="AF108" s="8">
        <f t="shared" si="64"/>
        <v>6.9560484020445665E-2</v>
      </c>
      <c r="AG108" s="8">
        <f t="shared" si="65"/>
        <v>8.5762441696100131E-2</v>
      </c>
      <c r="AH108" s="8">
        <f t="shared" si="66"/>
        <v>8.4675009390988029E-2</v>
      </c>
      <c r="AI108" s="8">
        <f t="shared" si="67"/>
        <v>9.8901867804101137E-2</v>
      </c>
      <c r="AJ108" s="8">
        <f t="shared" si="68"/>
        <v>6.6430992620939947E-2</v>
      </c>
      <c r="AK108" s="8">
        <f t="shared" si="69"/>
        <v>5.9562802590742141E-2</v>
      </c>
      <c r="AL108" s="9">
        <v>0</v>
      </c>
      <c r="AM108" s="17">
        <f t="shared" si="45"/>
        <v>23.524651791080679</v>
      </c>
      <c r="AN108" s="13">
        <f t="shared" si="46"/>
        <v>17.712735047514499</v>
      </c>
      <c r="AO108" s="13">
        <f t="shared" si="47"/>
        <v>14.375978173269662</v>
      </c>
      <c r="AP108" s="13">
        <f t="shared" si="48"/>
        <v>11.660115782891392</v>
      </c>
      <c r="AQ108" s="13">
        <f t="shared" si="49"/>
        <v>11.809859924343039</v>
      </c>
      <c r="AR108" s="13">
        <f t="shared" si="50"/>
        <v>10.111032503256054</v>
      </c>
      <c r="AS108" s="13">
        <f t="shared" si="51"/>
        <v>15.053214780427449</v>
      </c>
      <c r="AT108" s="13">
        <f t="shared" si="52"/>
        <v>16.789001801527558</v>
      </c>
      <c r="AU108" s="9">
        <v>0</v>
      </c>
      <c r="AV108" s="18">
        <f t="shared" si="70"/>
        <v>1</v>
      </c>
      <c r="AW108" s="18">
        <f t="shared" si="71"/>
        <v>2</v>
      </c>
      <c r="AX108" s="18">
        <f t="shared" si="72"/>
        <v>5</v>
      </c>
      <c r="AY108" s="18">
        <f t="shared" si="73"/>
        <v>7</v>
      </c>
      <c r="AZ108" s="18">
        <f t="shared" si="74"/>
        <v>6</v>
      </c>
      <c r="BA108" s="18">
        <f t="shared" si="75"/>
        <v>8</v>
      </c>
      <c r="BB108" s="18">
        <f t="shared" si="76"/>
        <v>4</v>
      </c>
      <c r="BC108" s="18">
        <f t="shared" si="77"/>
        <v>3</v>
      </c>
      <c r="BD108" s="18">
        <f t="shared" si="78"/>
        <v>9</v>
      </c>
      <c r="BE108" s="8">
        <f t="shared" si="80"/>
        <v>1.6663877530840258E-3</v>
      </c>
    </row>
    <row r="109" spans="1:57" x14ac:dyDescent="0.25">
      <c r="A109" t="str">
        <f t="shared" si="79"/>
        <v/>
      </c>
      <c r="B109" s="1">
        <v>42893</v>
      </c>
      <c r="C109" s="9">
        <f t="shared" si="54"/>
        <v>0.24920054884323906</v>
      </c>
      <c r="D109" s="9">
        <f t="shared" si="55"/>
        <v>0.24961372139078539</v>
      </c>
      <c r="E109" s="9">
        <f t="shared" si="56"/>
        <v>0.25167910887303968</v>
      </c>
      <c r="F109" s="9">
        <f t="shared" si="57"/>
        <v>0</v>
      </c>
      <c r="G109" s="9">
        <f t="shared" si="58"/>
        <v>0</v>
      </c>
      <c r="H109" s="9">
        <f t="shared" si="59"/>
        <v>0</v>
      </c>
      <c r="I109" s="9">
        <f t="shared" si="60"/>
        <v>0</v>
      </c>
      <c r="J109" s="9">
        <f t="shared" si="61"/>
        <v>0.24950662089293585</v>
      </c>
      <c r="K109" s="9">
        <v>0</v>
      </c>
      <c r="L109" s="8">
        <f>+VLOOKUP($B109,NIFTY_50!$B$3:$I$1238,8,0)</f>
        <v>2.7757168872539761E-3</v>
      </c>
      <c r="M109" s="8">
        <f>+VLOOKUP($B109,NIFTY_BANK!$B$3:$I$41238,8,0)</f>
        <v>6.4634464027195637E-3</v>
      </c>
      <c r="N109" s="8">
        <f>+VLOOKUP($B109,NIFTY_IT!$B$3:$I$1238,8,0)</f>
        <v>-1.8886520433656462E-2</v>
      </c>
      <c r="O109" s="8">
        <f>+VLOOKUP($B109,NIFTY_PHARMA!$B$3:$I$1238,8,0)</f>
        <v>1.372811893706527E-2</v>
      </c>
      <c r="P109" s="8">
        <f>+VLOOKUP($B109,NIFTY_FMCG!$B$3:$I$1238,8,0)</f>
        <v>6.5735698743998316E-3</v>
      </c>
      <c r="Q109" s="8">
        <f>+VLOOKUP($B109,NIFTY_METAL!$B$3:$I$1238,8,0)</f>
        <v>9.8225383234358254E-3</v>
      </c>
      <c r="R109" s="8">
        <f>+VLOOKUP($B109,NIFTY_ENERGY!$B$3:$I$1238,8,0)</f>
        <v>9.5656492994895537E-3</v>
      </c>
      <c r="S109" s="8">
        <f>+VLOOKUP($B109,NIFTY_AUTO!$B$3:$I$1238,8,0)</f>
        <v>7.6687682041072236E-3</v>
      </c>
      <c r="T109" s="8">
        <v>0</v>
      </c>
      <c r="U109" s="8">
        <f>+VLOOKUP($B109,NIFTY_50!$B$63:$K$1238,10,0)</f>
        <v>8.2874847326961376E-2</v>
      </c>
      <c r="V109" s="8">
        <f>+VLOOKUP($B109,NIFTY_BANK!$B$63:$K$1238,10,0)</f>
        <v>0.13982506752819024</v>
      </c>
      <c r="W109" s="8">
        <f>+VLOOKUP($B109,NIFTY_IT!$B$63:$K$1238,10,0)</f>
        <v>-3.5569791749112678E-3</v>
      </c>
      <c r="X109" s="8">
        <f>+VLOOKUP($B109,NIFTY_PHARMA!$B$63:$K$1238,10,0)</f>
        <v>-0.1212922853080256</v>
      </c>
      <c r="Y109" s="8">
        <f>+VLOOKUP($B109,NIFTY_FMCG!$B$63:$K$1238,10,0)</f>
        <v>0.17281312038345287</v>
      </c>
      <c r="Z109" s="8">
        <f>+VLOOKUP($B109,NIFTY_METAL!$B$63:$K$1238,10,0)</f>
        <v>-4.8334092535953777E-2</v>
      </c>
      <c r="AA109" s="8">
        <f>+VLOOKUP($B109,NIFTY_ENERGY!$B$63:$K$1238,10,0)</f>
        <v>2.901409680094269E-2</v>
      </c>
      <c r="AB109" s="8">
        <f>+VLOOKUP($B109,NIFTY_AUTO!$B$63:$K$1238,10,0)</f>
        <v>0.12690632650431644</v>
      </c>
      <c r="AC109" s="8"/>
      <c r="AD109" s="16">
        <f t="shared" si="62"/>
        <v>4.2364620492450697E-2</v>
      </c>
      <c r="AE109" s="8">
        <f t="shared" si="63"/>
        <v>5.6621328351910874E-2</v>
      </c>
      <c r="AF109" s="8">
        <f t="shared" si="64"/>
        <v>7.1884285299338602E-2</v>
      </c>
      <c r="AG109" s="8">
        <f t="shared" si="65"/>
        <v>8.7110233129594761E-2</v>
      </c>
      <c r="AH109" s="8">
        <f t="shared" si="66"/>
        <v>8.4679894842405248E-2</v>
      </c>
      <c r="AI109" s="8">
        <f t="shared" si="67"/>
        <v>9.7811498035364736E-2</v>
      </c>
      <c r="AJ109" s="8">
        <f t="shared" si="68"/>
        <v>6.6243809928774738E-2</v>
      </c>
      <c r="AK109" s="8">
        <f t="shared" si="69"/>
        <v>5.9403020529882257E-2</v>
      </c>
      <c r="AL109" s="9">
        <v>0</v>
      </c>
      <c r="AM109" s="17">
        <f t="shared" si="45"/>
        <v>23.604601867688118</v>
      </c>
      <c r="AN109" s="13">
        <f t="shared" si="46"/>
        <v>17.661189327541653</v>
      </c>
      <c r="AO109" s="13">
        <f t="shared" si="47"/>
        <v>13.911246329233531</v>
      </c>
      <c r="AP109" s="13">
        <f t="shared" si="48"/>
        <v>11.479707539208281</v>
      </c>
      <c r="AQ109" s="13">
        <f t="shared" si="49"/>
        <v>11.809178576107877</v>
      </c>
      <c r="AR109" s="13">
        <f t="shared" si="50"/>
        <v>10.223746901805347</v>
      </c>
      <c r="AS109" s="13">
        <f t="shared" si="51"/>
        <v>15.095750094615614</v>
      </c>
      <c r="AT109" s="13">
        <f t="shared" si="52"/>
        <v>16.834160806637051</v>
      </c>
      <c r="AU109" s="9">
        <v>0</v>
      </c>
      <c r="AV109" s="18">
        <f t="shared" si="70"/>
        <v>1</v>
      </c>
      <c r="AW109" s="18">
        <f t="shared" si="71"/>
        <v>2</v>
      </c>
      <c r="AX109" s="18">
        <f t="shared" si="72"/>
        <v>5</v>
      </c>
      <c r="AY109" s="18">
        <f t="shared" si="73"/>
        <v>7</v>
      </c>
      <c r="AZ109" s="18">
        <f t="shared" si="74"/>
        <v>6</v>
      </c>
      <c r="BA109" s="18">
        <f t="shared" si="75"/>
        <v>8</v>
      </c>
      <c r="BB109" s="18">
        <f t="shared" si="76"/>
        <v>4</v>
      </c>
      <c r="BC109" s="18">
        <f t="shared" si="77"/>
        <v>3</v>
      </c>
      <c r="BD109" s="18">
        <f t="shared" si="78"/>
        <v>9</v>
      </c>
      <c r="BE109" s="8">
        <f t="shared" si="80"/>
        <v>-6.5277240399888949E-4</v>
      </c>
    </row>
    <row r="110" spans="1:57" x14ac:dyDescent="0.25">
      <c r="A110" t="str">
        <f t="shared" si="79"/>
        <v/>
      </c>
      <c r="B110" s="1">
        <v>42894</v>
      </c>
      <c r="C110" s="9">
        <f t="shared" si="54"/>
        <v>0.2498092169251982</v>
      </c>
      <c r="D110" s="9">
        <f t="shared" si="55"/>
        <v>0.25031970225694022</v>
      </c>
      <c r="E110" s="9">
        <f t="shared" si="56"/>
        <v>0.24915721908116495</v>
      </c>
      <c r="F110" s="9">
        <f t="shared" si="57"/>
        <v>0</v>
      </c>
      <c r="G110" s="9">
        <f t="shared" si="58"/>
        <v>0</v>
      </c>
      <c r="H110" s="9">
        <f t="shared" si="59"/>
        <v>0</v>
      </c>
      <c r="I110" s="9">
        <f t="shared" si="60"/>
        <v>0</v>
      </c>
      <c r="J110" s="9">
        <f t="shared" si="61"/>
        <v>0.25071386173669652</v>
      </c>
      <c r="K110" s="9">
        <v>0</v>
      </c>
      <c r="L110" s="8">
        <f>+VLOOKUP($B110,NIFTY_50!$B$3:$I$1238,8,0)</f>
        <v>-1.7229069009405684E-3</v>
      </c>
      <c r="M110" s="8">
        <f>+VLOOKUP($B110,NIFTY_BANK!$B$3:$I$41238,8,0)</f>
        <v>-1.3386994460627966E-3</v>
      </c>
      <c r="N110" s="8">
        <f>+VLOOKUP($B110,NIFTY_IT!$B$3:$I$1238,8,0)</f>
        <v>-1.4133862866487545E-2</v>
      </c>
      <c r="O110" s="8">
        <f>+VLOOKUP($B110,NIFTY_PHARMA!$B$3:$I$1238,8,0)</f>
        <v>2.0009569326545185E-2</v>
      </c>
      <c r="P110" s="8">
        <f>+VLOOKUP($B110,NIFTY_FMCG!$B$3:$I$1238,8,0)</f>
        <v>-1.7861091413714503E-3</v>
      </c>
      <c r="Q110" s="8">
        <f>+VLOOKUP($B110,NIFTY_METAL!$B$3:$I$1238,8,0)</f>
        <v>8.8380600714565993E-3</v>
      </c>
      <c r="R110" s="8">
        <f>+VLOOKUP($B110,NIFTY_ENERGY!$B$3:$I$1238,8,0)</f>
        <v>-7.4434425603745469E-3</v>
      </c>
      <c r="S110" s="8">
        <f>+VLOOKUP($B110,NIFTY_AUTO!$B$3:$I$1238,8,0)</f>
        <v>6.6316636786067917E-4</v>
      </c>
      <c r="T110" s="8">
        <v>0</v>
      </c>
      <c r="U110" s="8">
        <f>+VLOOKUP($B110,NIFTY_50!$B$63:$K$1238,10,0)</f>
        <v>8.0682200067211829E-2</v>
      </c>
      <c r="V110" s="8">
        <f>+VLOOKUP($B110,NIFTY_BANK!$B$63:$K$1238,10,0)</f>
        <v>0.1358381572629197</v>
      </c>
      <c r="W110" s="8">
        <f>+VLOOKUP($B110,NIFTY_IT!$B$63:$K$1238,10,0)</f>
        <v>-1.629408610923333E-2</v>
      </c>
      <c r="X110" s="8">
        <f>+VLOOKUP($B110,NIFTY_PHARMA!$B$63:$K$1238,10,0)</f>
        <v>-9.6427772036517534E-2</v>
      </c>
      <c r="Y110" s="8">
        <f>+VLOOKUP($B110,NIFTY_FMCG!$B$63:$K$1238,10,0)</f>
        <v>0.16931716684530174</v>
      </c>
      <c r="Z110" s="8">
        <f>+VLOOKUP($B110,NIFTY_METAL!$B$63:$K$1238,10,0)</f>
        <v>-3.3413044190388819E-2</v>
      </c>
      <c r="AA110" s="8">
        <f>+VLOOKUP($B110,NIFTY_ENERGY!$B$63:$K$1238,10,0)</f>
        <v>2.6637303631043441E-2</v>
      </c>
      <c r="AB110" s="8">
        <f>+VLOOKUP($B110,NIFTY_AUTO!$B$63:$K$1238,10,0)</f>
        <v>0.12151501637730844</v>
      </c>
      <c r="AC110" s="8"/>
      <c r="AD110" s="16">
        <f t="shared" si="62"/>
        <v>4.2460816669856044E-2</v>
      </c>
      <c r="AE110" s="8">
        <f t="shared" si="63"/>
        <v>5.672840286679634E-2</v>
      </c>
      <c r="AF110" s="8">
        <f t="shared" si="64"/>
        <v>7.3226789280691984E-2</v>
      </c>
      <c r="AG110" s="8">
        <f t="shared" si="65"/>
        <v>8.9588329650848286E-2</v>
      </c>
      <c r="AH110" s="8">
        <f t="shared" si="66"/>
        <v>8.4783603902008647E-2</v>
      </c>
      <c r="AI110" s="8">
        <f t="shared" si="67"/>
        <v>9.8074997194032787E-2</v>
      </c>
      <c r="AJ110" s="8">
        <f t="shared" si="68"/>
        <v>6.6478600033484186E-2</v>
      </c>
      <c r="AK110" s="8">
        <f t="shared" si="69"/>
        <v>5.9312394368919538E-2</v>
      </c>
      <c r="AL110" s="9">
        <v>0</v>
      </c>
      <c r="AM110" s="17">
        <f t="shared" si="45"/>
        <v>23.5511249765934</v>
      </c>
      <c r="AN110" s="13">
        <f t="shared" si="46"/>
        <v>17.627853940258017</v>
      </c>
      <c r="AO110" s="13">
        <f t="shared" si="47"/>
        <v>13.656204373058237</v>
      </c>
      <c r="AP110" s="13">
        <f t="shared" si="48"/>
        <v>11.16216815178149</v>
      </c>
      <c r="AQ110" s="13">
        <f t="shared" si="49"/>
        <v>11.794733344383213</v>
      </c>
      <c r="AR110" s="13">
        <f t="shared" si="50"/>
        <v>10.196278650119027</v>
      </c>
      <c r="AS110" s="13">
        <f t="shared" si="51"/>
        <v>15.042434700735519</v>
      </c>
      <c r="AT110" s="13">
        <f t="shared" si="52"/>
        <v>16.859882502467528</v>
      </c>
      <c r="AU110" s="9">
        <v>0</v>
      </c>
      <c r="AV110" s="18">
        <f t="shared" si="70"/>
        <v>1</v>
      </c>
      <c r="AW110" s="18">
        <f t="shared" si="71"/>
        <v>2</v>
      </c>
      <c r="AX110" s="18">
        <f t="shared" si="72"/>
        <v>5</v>
      </c>
      <c r="AY110" s="18">
        <f t="shared" si="73"/>
        <v>7</v>
      </c>
      <c r="AZ110" s="18">
        <f t="shared" si="74"/>
        <v>6</v>
      </c>
      <c r="BA110" s="18">
        <f t="shared" si="75"/>
        <v>8</v>
      </c>
      <c r="BB110" s="18">
        <f t="shared" si="76"/>
        <v>4</v>
      </c>
      <c r="BC110" s="18">
        <f t="shared" si="77"/>
        <v>3</v>
      </c>
      <c r="BD110" s="18">
        <f t="shared" si="78"/>
        <v>9</v>
      </c>
      <c r="BE110" s="8">
        <f t="shared" si="80"/>
        <v>-4.1552407075122833E-3</v>
      </c>
    </row>
    <row r="111" spans="1:57" x14ac:dyDescent="0.25">
      <c r="A111" t="str">
        <f t="shared" si="79"/>
        <v/>
      </c>
      <c r="B111" s="1">
        <v>42895</v>
      </c>
      <c r="C111" s="9">
        <f t="shared" si="54"/>
        <v>0.24982201309447435</v>
      </c>
      <c r="D111" s="9">
        <f t="shared" si="55"/>
        <v>0.25143168124879811</v>
      </c>
      <c r="E111" s="9">
        <f t="shared" si="56"/>
        <v>0.24609888408210909</v>
      </c>
      <c r="F111" s="9">
        <f t="shared" si="57"/>
        <v>0</v>
      </c>
      <c r="G111" s="9">
        <f t="shared" si="58"/>
        <v>0</v>
      </c>
      <c r="H111" s="9">
        <f t="shared" si="59"/>
        <v>0</v>
      </c>
      <c r="I111" s="9">
        <f t="shared" si="60"/>
        <v>0</v>
      </c>
      <c r="J111" s="9">
        <f t="shared" si="61"/>
        <v>0.25264742157461845</v>
      </c>
      <c r="K111" s="9">
        <v>0</v>
      </c>
      <c r="L111" s="8">
        <f>+VLOOKUP($B111,NIFTY_50!$B$3:$I$1238,8,0)</f>
        <v>2.1767861307626646E-3</v>
      </c>
      <c r="M111" s="8">
        <f>+VLOOKUP($B111,NIFTY_BANK!$B$3:$I$41238,8,0)</f>
        <v>6.5771304506694328E-3</v>
      </c>
      <c r="N111" s="8">
        <f>+VLOOKUP($B111,NIFTY_IT!$B$3:$I$1238,8,0)</f>
        <v>-1.0175355450236956E-2</v>
      </c>
      <c r="O111" s="8">
        <f>+VLOOKUP($B111,NIFTY_PHARMA!$B$3:$I$1238,8,0)</f>
        <v>2.1820136718442296E-3</v>
      </c>
      <c r="P111" s="8">
        <f>+VLOOKUP($B111,NIFTY_FMCG!$B$3:$I$1238,8,0)</f>
        <v>-9.2386955832618467E-3</v>
      </c>
      <c r="Q111" s="8">
        <f>+VLOOKUP($B111,NIFTY_METAL!$B$3:$I$1238,8,0)</f>
        <v>1.5928423763852617E-2</v>
      </c>
      <c r="R111" s="8">
        <f>+VLOOKUP($B111,NIFTY_ENERGY!$B$3:$I$1238,8,0)</f>
        <v>-1.0939095729906034E-3</v>
      </c>
      <c r="S111" s="8">
        <f>+VLOOKUP($B111,NIFTY_AUTO!$B$3:$I$1238,8,0)</f>
        <v>9.8540629727643658E-3</v>
      </c>
      <c r="T111" s="8">
        <v>0</v>
      </c>
      <c r="U111" s="8">
        <f>+VLOOKUP($B111,NIFTY_50!$B$63:$K$1238,10,0)</f>
        <v>8.2119412841161754E-2</v>
      </c>
      <c r="V111" s="8">
        <f>+VLOOKUP($B111,NIFTY_BANK!$B$63:$K$1238,10,0)</f>
        <v>0.14296672785736875</v>
      </c>
      <c r="W111" s="8">
        <f>+VLOOKUP($B111,NIFTY_IT!$B$63:$K$1238,10,0)</f>
        <v>-2.8577142936878297E-2</v>
      </c>
      <c r="X111" s="8">
        <f>+VLOOKUP($B111,NIFTY_PHARMA!$B$63:$K$1238,10,0)</f>
        <v>-9.1800522527427875E-2</v>
      </c>
      <c r="Y111" s="8">
        <f>+VLOOKUP($B111,NIFTY_FMCG!$B$63:$K$1238,10,0)</f>
        <v>0.16111987646446679</v>
      </c>
      <c r="Z111" s="8">
        <f>+VLOOKUP($B111,NIFTY_METAL!$B$63:$K$1238,10,0)</f>
        <v>-1.2176033479973092E-2</v>
      </c>
      <c r="AA111" s="8">
        <f>+VLOOKUP($B111,NIFTY_ENERGY!$B$63:$K$1238,10,0)</f>
        <v>2.9724384302635354E-2</v>
      </c>
      <c r="AB111" s="8">
        <f>+VLOOKUP($B111,NIFTY_AUTO!$B$63:$K$1238,10,0)</f>
        <v>0.12968274663189927</v>
      </c>
      <c r="AC111" s="8"/>
      <c r="AD111" s="16">
        <f t="shared" si="62"/>
        <v>4.2467486999565367E-2</v>
      </c>
      <c r="AE111" s="8">
        <f t="shared" si="63"/>
        <v>5.686880585318551E-2</v>
      </c>
      <c r="AF111" s="8">
        <f t="shared" si="64"/>
        <v>7.3837768008018251E-2</v>
      </c>
      <c r="AG111" s="8">
        <f t="shared" si="65"/>
        <v>8.9655666209222773E-2</v>
      </c>
      <c r="AH111" s="8">
        <f t="shared" si="66"/>
        <v>8.5466436638179294E-2</v>
      </c>
      <c r="AI111" s="8">
        <f t="shared" si="67"/>
        <v>9.9249805045042452E-2</v>
      </c>
      <c r="AJ111" s="8">
        <f t="shared" si="68"/>
        <v>6.6339573009026973E-2</v>
      </c>
      <c r="AK111" s="8">
        <f t="shared" si="69"/>
        <v>5.9831196731773124E-2</v>
      </c>
      <c r="AL111" s="9">
        <v>0</v>
      </c>
      <c r="AM111" s="17">
        <f t="shared" si="45"/>
        <v>23.547425822729622</v>
      </c>
      <c r="AN111" s="13">
        <f t="shared" si="46"/>
        <v>17.584332658252659</v>
      </c>
      <c r="AO111" s="13">
        <f t="shared" si="47"/>
        <v>13.543204608939522</v>
      </c>
      <c r="AP111" s="13">
        <f t="shared" si="48"/>
        <v>11.15378472194244</v>
      </c>
      <c r="AQ111" s="13">
        <f t="shared" si="49"/>
        <v>11.700499509924381</v>
      </c>
      <c r="AR111" s="13">
        <f t="shared" si="50"/>
        <v>10.075586541919865</v>
      </c>
      <c r="AS111" s="13">
        <f t="shared" si="51"/>
        <v>15.073958945498907</v>
      </c>
      <c r="AT111" s="13">
        <f t="shared" si="52"/>
        <v>16.713688754765521</v>
      </c>
      <c r="AU111" s="9">
        <v>0</v>
      </c>
      <c r="AV111" s="18">
        <f t="shared" si="70"/>
        <v>1</v>
      </c>
      <c r="AW111" s="18">
        <f t="shared" si="71"/>
        <v>2</v>
      </c>
      <c r="AX111" s="18">
        <f t="shared" si="72"/>
        <v>5</v>
      </c>
      <c r="AY111" s="18">
        <f t="shared" si="73"/>
        <v>7</v>
      </c>
      <c r="AZ111" s="18">
        <f t="shared" si="74"/>
        <v>6</v>
      </c>
      <c r="BA111" s="18">
        <f t="shared" si="75"/>
        <v>8</v>
      </c>
      <c r="BB111" s="18">
        <f t="shared" si="76"/>
        <v>4</v>
      </c>
      <c r="BC111" s="18">
        <f t="shared" si="77"/>
        <v>3</v>
      </c>
      <c r="BD111" s="18">
        <f t="shared" si="78"/>
        <v>9</v>
      </c>
      <c r="BE111" s="8">
        <f t="shared" si="80"/>
        <v>2.125453489411012E-3</v>
      </c>
    </row>
    <row r="112" spans="1:57" x14ac:dyDescent="0.25">
      <c r="A112" t="str">
        <f t="shared" si="79"/>
        <v/>
      </c>
      <c r="B112" s="1">
        <v>42898</v>
      </c>
      <c r="C112" s="9">
        <f t="shared" si="54"/>
        <v>0.24971308981692245</v>
      </c>
      <c r="D112" s="9">
        <f t="shared" si="55"/>
        <v>0.25032591543617022</v>
      </c>
      <c r="E112" s="9">
        <f t="shared" si="56"/>
        <v>0.24798343386823105</v>
      </c>
      <c r="F112" s="9">
        <f t="shared" si="57"/>
        <v>0</v>
      </c>
      <c r="G112" s="9">
        <f t="shared" si="58"/>
        <v>0</v>
      </c>
      <c r="H112" s="9">
        <f t="shared" si="59"/>
        <v>0</v>
      </c>
      <c r="I112" s="9">
        <f t="shared" si="60"/>
        <v>0</v>
      </c>
      <c r="J112" s="9">
        <f t="shared" si="61"/>
        <v>0.25197756087867623</v>
      </c>
      <c r="K112" s="9">
        <v>0</v>
      </c>
      <c r="L112" s="8">
        <f>+VLOOKUP($B112,NIFTY_50!$B$3:$I$1238,8,0)</f>
        <v>-5.3629146950069373E-3</v>
      </c>
      <c r="M112" s="8">
        <f>+VLOOKUP($B112,NIFTY_BANK!$B$3:$I$41238,8,0)</f>
        <v>-9.3052606697086038E-3</v>
      </c>
      <c r="N112" s="8">
        <f>+VLOOKUP($B112,NIFTY_IT!$B$3:$I$1238,8,0)</f>
        <v>2.6908878493485666E-3</v>
      </c>
      <c r="O112" s="8">
        <f>+VLOOKUP($B112,NIFTY_PHARMA!$B$3:$I$1238,8,0)</f>
        <v>8.0464062015177529E-3</v>
      </c>
      <c r="P112" s="8">
        <f>+VLOOKUP($B112,NIFTY_FMCG!$B$3:$I$1238,8,0)</f>
        <v>-2.9528033321191138E-3</v>
      </c>
      <c r="Q112" s="8">
        <f>+VLOOKUP($B112,NIFTY_METAL!$B$3:$I$1238,8,0)</f>
        <v>-3.5860826633752341E-3</v>
      </c>
      <c r="R112" s="8">
        <f>+VLOOKUP($B112,NIFTY_ENERGY!$B$3:$I$1238,8,0)</f>
        <v>-4.6713180217909933E-3</v>
      </c>
      <c r="S112" s="8">
        <f>+VLOOKUP($B112,NIFTY_AUTO!$B$3:$I$1238,8,0)</f>
        <v>-7.5673571729223399E-3</v>
      </c>
      <c r="T112" s="8">
        <v>0</v>
      </c>
      <c r="U112" s="8">
        <f>+VLOOKUP($B112,NIFTY_50!$B$63:$K$1238,10,0)</f>
        <v>5.8259051392098637E-2</v>
      </c>
      <c r="V112" s="8">
        <f>+VLOOKUP($B112,NIFTY_BANK!$B$63:$K$1238,10,0)</f>
        <v>0.11220128230036908</v>
      </c>
      <c r="W112" s="8">
        <f>+VLOOKUP($B112,NIFTY_IT!$B$63:$K$1238,10,0)</f>
        <v>-3.7548544247075877E-2</v>
      </c>
      <c r="X112" s="8">
        <f>+VLOOKUP($B112,NIFTY_PHARMA!$B$63:$K$1238,10,0)</f>
        <v>-9.9943182084982651E-2</v>
      </c>
      <c r="Y112" s="8">
        <f>+VLOOKUP($B112,NIFTY_FMCG!$B$63:$K$1238,10,0)</f>
        <v>0.13722890904094531</v>
      </c>
      <c r="Z112" s="8">
        <f>+VLOOKUP($B112,NIFTY_METAL!$B$63:$K$1238,10,0)</f>
        <v>-1.4890669832789194E-2</v>
      </c>
      <c r="AA112" s="8">
        <f>+VLOOKUP($B112,NIFTY_ENERGY!$B$63:$K$1238,10,0)</f>
        <v>1.7323020554144364E-2</v>
      </c>
      <c r="AB112" s="8">
        <f>+VLOOKUP($B112,NIFTY_AUTO!$B$63:$K$1238,10,0)</f>
        <v>0.10629742492734917</v>
      </c>
      <c r="AC112" s="8"/>
      <c r="AD112" s="16">
        <f t="shared" si="62"/>
        <v>3.9894690700600172E-2</v>
      </c>
      <c r="AE112" s="8">
        <f t="shared" si="63"/>
        <v>5.5699191281151444E-2</v>
      </c>
      <c r="AF112" s="8">
        <f t="shared" si="64"/>
        <v>7.2834605240177416E-2</v>
      </c>
      <c r="AG112" s="8">
        <f t="shared" si="65"/>
        <v>8.8200263314103675E-2</v>
      </c>
      <c r="AH112" s="8">
        <f t="shared" si="66"/>
        <v>8.4187239140045556E-2</v>
      </c>
      <c r="AI112" s="8">
        <f t="shared" si="67"/>
        <v>9.9307072910250746E-2</v>
      </c>
      <c r="AJ112" s="8">
        <f t="shared" si="68"/>
        <v>6.6160375366226182E-2</v>
      </c>
      <c r="AK112" s="8">
        <f t="shared" si="69"/>
        <v>5.9457143633665499E-2</v>
      </c>
      <c r="AL112" s="9">
        <v>0</v>
      </c>
      <c r="AM112" s="17">
        <f t="shared" si="45"/>
        <v>25.065992051542739</v>
      </c>
      <c r="AN112" s="13">
        <f t="shared" si="46"/>
        <v>17.953582035910081</v>
      </c>
      <c r="AO112" s="13">
        <f t="shared" si="47"/>
        <v>13.729737350843424</v>
      </c>
      <c r="AP112" s="13">
        <f t="shared" si="48"/>
        <v>11.337834632519684</v>
      </c>
      <c r="AQ112" s="13">
        <f t="shared" si="49"/>
        <v>11.878284763994921</v>
      </c>
      <c r="AR112" s="13">
        <f t="shared" si="50"/>
        <v>10.069776207216931</v>
      </c>
      <c r="AS112" s="13">
        <f t="shared" si="51"/>
        <v>15.114787279615165</v>
      </c>
      <c r="AT112" s="13">
        <f t="shared" si="52"/>
        <v>16.818836877891751</v>
      </c>
      <c r="AU112" s="9">
        <v>0</v>
      </c>
      <c r="AV112" s="18">
        <f t="shared" si="70"/>
        <v>1</v>
      </c>
      <c r="AW112" s="18">
        <f t="shared" si="71"/>
        <v>2</v>
      </c>
      <c r="AX112" s="18">
        <f t="shared" si="72"/>
        <v>5</v>
      </c>
      <c r="AY112" s="18">
        <f t="shared" si="73"/>
        <v>7</v>
      </c>
      <c r="AZ112" s="18">
        <f t="shared" si="74"/>
        <v>6</v>
      </c>
      <c r="BA112" s="18">
        <f t="shared" si="75"/>
        <v>8</v>
      </c>
      <c r="BB112" s="18">
        <f t="shared" si="76"/>
        <v>4</v>
      </c>
      <c r="BC112" s="18">
        <f t="shared" si="77"/>
        <v>3</v>
      </c>
      <c r="BD112" s="18">
        <f t="shared" si="78"/>
        <v>9</v>
      </c>
      <c r="BE112" s="8">
        <f t="shared" si="80"/>
        <v>-4.9290602607619579E-3</v>
      </c>
    </row>
    <row r="113" spans="1:57" x14ac:dyDescent="0.25">
      <c r="A113" t="str">
        <f t="shared" si="79"/>
        <v/>
      </c>
      <c r="B113" s="1">
        <v>42899</v>
      </c>
      <c r="C113" s="9">
        <f t="shared" si="54"/>
        <v>0.25059937779969271</v>
      </c>
      <c r="D113" s="9">
        <f t="shared" si="55"/>
        <v>0.25154208121083294</v>
      </c>
      <c r="E113" s="9">
        <f t="shared" si="56"/>
        <v>0.24597521223042573</v>
      </c>
      <c r="F113" s="9">
        <f t="shared" si="57"/>
        <v>0</v>
      </c>
      <c r="G113" s="9">
        <f t="shared" si="58"/>
        <v>0</v>
      </c>
      <c r="H113" s="9">
        <f t="shared" si="59"/>
        <v>0</v>
      </c>
      <c r="I113" s="9">
        <f t="shared" si="60"/>
        <v>0</v>
      </c>
      <c r="J113" s="9">
        <f t="shared" si="61"/>
        <v>0.25188332875904862</v>
      </c>
      <c r="K113" s="9">
        <v>0</v>
      </c>
      <c r="L113" s="8">
        <f>+VLOOKUP($B113,NIFTY_50!$B$3:$I$1238,8,0)</f>
        <v>-9.8789567821633284E-4</v>
      </c>
      <c r="M113" s="8">
        <f>+VLOOKUP($B113,NIFTY_BANK!$B$3:$I$41238,8,0)</f>
        <v>3.1529007752295612E-4</v>
      </c>
      <c r="N113" s="8">
        <f>+VLOOKUP($B113,NIFTY_IT!$B$3:$I$1238,8,0)</f>
        <v>-1.258267077334474E-2</v>
      </c>
      <c r="O113" s="8">
        <f>+VLOOKUP($B113,NIFTY_PHARMA!$B$3:$I$1238,8,0)</f>
        <v>8.6604026565506587E-4</v>
      </c>
      <c r="P113" s="8">
        <f>+VLOOKUP($B113,NIFTY_FMCG!$B$3:$I$1238,8,0)</f>
        <v>2.9924782088432966E-3</v>
      </c>
      <c r="Q113" s="8">
        <f>+VLOOKUP($B113,NIFTY_METAL!$B$3:$I$1238,8,0)</f>
        <v>-7.7336413398282344E-3</v>
      </c>
      <c r="R113" s="8">
        <f>+VLOOKUP($B113,NIFTY_ENERGY!$B$3:$I$1238,8,0)</f>
        <v>-3.6961426882986537E-4</v>
      </c>
      <c r="S113" s="8">
        <f>+VLOOKUP($B113,NIFTY_AUTO!$B$3:$I$1238,8,0)</f>
        <v>-4.893354068142064E-3</v>
      </c>
      <c r="T113" s="8">
        <v>0</v>
      </c>
      <c r="U113" s="8">
        <f>+VLOOKUP($B113,NIFTY_50!$B$63:$K$1238,10,0)</f>
        <v>5.7469619584360698E-2</v>
      </c>
      <c r="V113" s="8">
        <f>+VLOOKUP($B113,NIFTY_BANK!$B$63:$K$1238,10,0)</f>
        <v>0.10964935083349459</v>
      </c>
      <c r="W113" s="8">
        <f>+VLOOKUP($B113,NIFTY_IT!$B$63:$K$1238,10,0)</f>
        <v>-3.342666560713492E-2</v>
      </c>
      <c r="X113" s="8">
        <f>+VLOOKUP($B113,NIFTY_PHARMA!$B$63:$K$1238,10,0)</f>
        <v>-0.10110532702967368</v>
      </c>
      <c r="Y113" s="8">
        <f>+VLOOKUP($B113,NIFTY_FMCG!$B$63:$K$1238,10,0)</f>
        <v>0.13815992962798029</v>
      </c>
      <c r="Z113" s="8">
        <f>+VLOOKUP($B113,NIFTY_METAL!$B$63:$K$1238,10,0)</f>
        <v>-2.7129492860659798E-2</v>
      </c>
      <c r="AA113" s="8">
        <f>+VLOOKUP($B113,NIFTY_ENERGY!$B$63:$K$1238,10,0)</f>
        <v>1.3945682026243578E-2</v>
      </c>
      <c r="AB113" s="8">
        <f>+VLOOKUP($B113,NIFTY_AUTO!$B$63:$K$1238,10,0)</f>
        <v>9.2369075808623746E-2</v>
      </c>
      <c r="AC113" s="8"/>
      <c r="AD113" s="16">
        <f t="shared" si="62"/>
        <v>3.9923667533649829E-2</v>
      </c>
      <c r="AE113" s="8">
        <f t="shared" si="63"/>
        <v>5.571099038730519E-2</v>
      </c>
      <c r="AF113" s="8">
        <f t="shared" si="64"/>
        <v>7.2012558870297713E-2</v>
      </c>
      <c r="AG113" s="8">
        <f t="shared" si="65"/>
        <v>8.8153535680595113E-2</v>
      </c>
      <c r="AH113" s="8">
        <f t="shared" si="66"/>
        <v>8.4191210167344224E-2</v>
      </c>
      <c r="AI113" s="8">
        <f t="shared" si="67"/>
        <v>9.9460913766882014E-2</v>
      </c>
      <c r="AJ113" s="8">
        <f t="shared" si="68"/>
        <v>6.6109771918828775E-2</v>
      </c>
      <c r="AK113" s="8">
        <f t="shared" si="69"/>
        <v>5.9485234959624218E-2</v>
      </c>
      <c r="AL113" s="9">
        <v>0</v>
      </c>
      <c r="AM113" s="17">
        <f t="shared" si="45"/>
        <v>25.047799006870946</v>
      </c>
      <c r="AN113" s="13">
        <f t="shared" si="46"/>
        <v>17.949779622439973</v>
      </c>
      <c r="AO113" s="13">
        <f t="shared" si="47"/>
        <v>13.88646668980485</v>
      </c>
      <c r="AP113" s="13">
        <f t="shared" si="48"/>
        <v>11.343844489950799</v>
      </c>
      <c r="AQ113" s="13">
        <f t="shared" si="49"/>
        <v>11.877724503690247</v>
      </c>
      <c r="AR113" s="13">
        <f t="shared" si="50"/>
        <v>10.054200812429846</v>
      </c>
      <c r="AS113" s="13">
        <f t="shared" si="51"/>
        <v>15.126356830088975</v>
      </c>
      <c r="AT113" s="13">
        <f t="shared" si="52"/>
        <v>16.810894345105183</v>
      </c>
      <c r="AU113" s="9">
        <v>0</v>
      </c>
      <c r="AV113" s="18">
        <f t="shared" si="70"/>
        <v>1</v>
      </c>
      <c r="AW113" s="18">
        <f t="shared" si="71"/>
        <v>2</v>
      </c>
      <c r="AX113" s="18">
        <f t="shared" si="72"/>
        <v>5</v>
      </c>
      <c r="AY113" s="18">
        <f t="shared" si="73"/>
        <v>7</v>
      </c>
      <c r="AZ113" s="18">
        <f t="shared" si="74"/>
        <v>6</v>
      </c>
      <c r="BA113" s="18">
        <f t="shared" si="75"/>
        <v>8</v>
      </c>
      <c r="BB113" s="18">
        <f t="shared" si="76"/>
        <v>4</v>
      </c>
      <c r="BC113" s="18">
        <f t="shared" si="77"/>
        <v>3</v>
      </c>
      <c r="BD113" s="18">
        <f t="shared" si="78"/>
        <v>9</v>
      </c>
      <c r="BE113" s="8">
        <f t="shared" si="80"/>
        <v>-4.5210745331539532E-3</v>
      </c>
    </row>
    <row r="114" spans="1:57" x14ac:dyDescent="0.25">
      <c r="A114" t="str">
        <f t="shared" si="79"/>
        <v/>
      </c>
      <c r="B114" s="1">
        <v>42900</v>
      </c>
      <c r="C114" s="9">
        <f t="shared" si="54"/>
        <v>0.25063035202698636</v>
      </c>
      <c r="D114" s="9">
        <f t="shared" si="55"/>
        <v>0.25150206951615328</v>
      </c>
      <c r="E114" s="9">
        <f t="shared" si="56"/>
        <v>0.24636193283162719</v>
      </c>
      <c r="F114" s="9">
        <f t="shared" si="57"/>
        <v>0</v>
      </c>
      <c r="G114" s="9">
        <f t="shared" si="58"/>
        <v>0</v>
      </c>
      <c r="H114" s="9">
        <f t="shared" si="59"/>
        <v>0</v>
      </c>
      <c r="I114" s="9">
        <f t="shared" si="60"/>
        <v>0</v>
      </c>
      <c r="J114" s="9">
        <f t="shared" si="61"/>
        <v>0.25150564562523314</v>
      </c>
      <c r="K114" s="9">
        <v>0</v>
      </c>
      <c r="L114" s="8">
        <f>+VLOOKUP($B114,NIFTY_50!$B$3:$I$1238,8,0)</f>
        <v>1.1710333198013956E-3</v>
      </c>
      <c r="M114" s="8">
        <f>+VLOOKUP($B114,NIFTY_BANK!$B$3:$I$41238,8,0)</f>
        <v>8.8807109679978069E-4</v>
      </c>
      <c r="N114" s="8">
        <f>+VLOOKUP($B114,NIFTY_IT!$B$3:$I$1238,8,0)</f>
        <v>2.6211432440275129E-3</v>
      </c>
      <c r="O114" s="8">
        <f>+VLOOKUP($B114,NIFTY_PHARMA!$B$3:$I$1238,8,0)</f>
        <v>-1.6836684163612503E-3</v>
      </c>
      <c r="P114" s="8">
        <f>+VLOOKUP($B114,NIFTY_FMCG!$B$3:$I$1238,8,0)</f>
        <v>-7.6188457053648628E-3</v>
      </c>
      <c r="Q114" s="8">
        <f>+VLOOKUP($B114,NIFTY_METAL!$B$3:$I$1238,8,0)</f>
        <v>-6.7985896722169148E-3</v>
      </c>
      <c r="R114" s="8">
        <f>+VLOOKUP($B114,NIFTY_ENERGY!$B$3:$I$1238,8,0)</f>
        <v>1.4437484145853885E-2</v>
      </c>
      <c r="S114" s="8">
        <f>+VLOOKUP($B114,NIFTY_AUTO!$B$3:$I$1238,8,0)</f>
        <v>-4.5370387343957042E-4</v>
      </c>
      <c r="T114" s="8">
        <v>0</v>
      </c>
      <c r="U114" s="8">
        <f>+VLOOKUP($B114,NIFTY_50!$B$63:$K$1238,10,0)</f>
        <v>5.0739045413330075E-2</v>
      </c>
      <c r="V114" s="8">
        <f>+VLOOKUP($B114,NIFTY_BANK!$B$63:$K$1238,10,0)</f>
        <v>0.10582638035943703</v>
      </c>
      <c r="W114" s="8">
        <f>+VLOOKUP($B114,NIFTY_IT!$B$63:$K$1238,10,0)</f>
        <v>-4.2135999482540321E-2</v>
      </c>
      <c r="X114" s="8">
        <f>+VLOOKUP($B114,NIFTY_PHARMA!$B$63:$K$1238,10,0)</f>
        <v>-0.1076487252124646</v>
      </c>
      <c r="Y114" s="8">
        <f>+VLOOKUP($B114,NIFTY_FMCG!$B$63:$K$1238,10,0)</f>
        <v>0.12395085012518847</v>
      </c>
      <c r="Z114" s="8">
        <f>+VLOOKUP($B114,NIFTY_METAL!$B$63:$K$1238,10,0)</f>
        <v>-6.1185437961442268E-2</v>
      </c>
      <c r="AA114" s="8">
        <f>+VLOOKUP($B114,NIFTY_ENERGY!$B$63:$K$1238,10,0)</f>
        <v>2.3649000416493315E-2</v>
      </c>
      <c r="AB114" s="8">
        <f>+VLOOKUP($B114,NIFTY_AUTO!$B$63:$K$1238,10,0)</f>
        <v>8.4398150449957798E-2</v>
      </c>
      <c r="AC114" s="8"/>
      <c r="AD114" s="16">
        <f t="shared" si="62"/>
        <v>3.9357335067082229E-2</v>
      </c>
      <c r="AE114" s="8">
        <f t="shared" si="63"/>
        <v>5.56541845999435E-2</v>
      </c>
      <c r="AF114" s="8">
        <f t="shared" si="64"/>
        <v>7.1022291653592792E-2</v>
      </c>
      <c r="AG114" s="8">
        <f t="shared" si="65"/>
        <v>8.7844217210021835E-2</v>
      </c>
      <c r="AH114" s="8">
        <f t="shared" si="66"/>
        <v>8.4699994024762193E-2</v>
      </c>
      <c r="AI114" s="8">
        <f t="shared" si="67"/>
        <v>9.5059795872558084E-2</v>
      </c>
      <c r="AJ114" s="8">
        <f t="shared" si="68"/>
        <v>6.7447208230780847E-2</v>
      </c>
      <c r="AK114" s="8">
        <f t="shared" si="69"/>
        <v>5.9262281007773934E-2</v>
      </c>
      <c r="AL114" s="9">
        <v>0</v>
      </c>
      <c r="AM114" s="17">
        <f t="shared" si="45"/>
        <v>25.408224370261852</v>
      </c>
      <c r="AN114" s="13">
        <f t="shared" si="46"/>
        <v>17.968100820958128</v>
      </c>
      <c r="AO114" s="13">
        <f t="shared" si="47"/>
        <v>14.080086360454874</v>
      </c>
      <c r="AP114" s="13">
        <f t="shared" si="48"/>
        <v>11.383788617629273</v>
      </c>
      <c r="AQ114" s="13">
        <f t="shared" si="49"/>
        <v>11.80637627563053</v>
      </c>
      <c r="AR114" s="13">
        <f t="shared" si="50"/>
        <v>10.519694375744821</v>
      </c>
      <c r="AS114" s="13">
        <f t="shared" si="51"/>
        <v>14.826410554731167</v>
      </c>
      <c r="AT114" s="13">
        <f t="shared" si="52"/>
        <v>16.874139553771506</v>
      </c>
      <c r="AU114" s="9">
        <v>0</v>
      </c>
      <c r="AV114" s="18">
        <f t="shared" si="70"/>
        <v>1</v>
      </c>
      <c r="AW114" s="18">
        <f t="shared" si="71"/>
        <v>2</v>
      </c>
      <c r="AX114" s="18">
        <f t="shared" si="72"/>
        <v>5</v>
      </c>
      <c r="AY114" s="18">
        <f t="shared" si="73"/>
        <v>7</v>
      </c>
      <c r="AZ114" s="18">
        <f t="shared" si="74"/>
        <v>6</v>
      </c>
      <c r="BA114" s="18">
        <f t="shared" si="75"/>
        <v>8</v>
      </c>
      <c r="BB114" s="18">
        <f t="shared" si="76"/>
        <v>4</v>
      </c>
      <c r="BC114" s="18">
        <f t="shared" si="77"/>
        <v>3</v>
      </c>
      <c r="BD114" s="18">
        <f t="shared" si="78"/>
        <v>9</v>
      </c>
      <c r="BE114" s="8">
        <f t="shared" si="80"/>
        <v>1.0473032971003232E-3</v>
      </c>
    </row>
    <row r="115" spans="1:57" x14ac:dyDescent="0.25">
      <c r="A115" t="str">
        <f t="shared" si="79"/>
        <v/>
      </c>
      <c r="B115" s="1">
        <v>42901</v>
      </c>
      <c r="C115" s="9">
        <f t="shared" si="54"/>
        <v>0.25104168787673542</v>
      </c>
      <c r="D115" s="9">
        <f t="shared" si="55"/>
        <v>0.25181817267058693</v>
      </c>
      <c r="E115" s="9">
        <f t="shared" si="56"/>
        <v>0.24569457247980339</v>
      </c>
      <c r="F115" s="9">
        <f t="shared" si="57"/>
        <v>0</v>
      </c>
      <c r="G115" s="9">
        <f t="shared" si="58"/>
        <v>0</v>
      </c>
      <c r="H115" s="9">
        <f t="shared" si="59"/>
        <v>0</v>
      </c>
      <c r="I115" s="9">
        <f t="shared" si="60"/>
        <v>0</v>
      </c>
      <c r="J115" s="9">
        <f t="shared" si="61"/>
        <v>0.25144556697287429</v>
      </c>
      <c r="K115" s="9">
        <v>0</v>
      </c>
      <c r="L115" s="8">
        <f>+VLOOKUP($B115,NIFTY_50!$B$3:$I$1238,8,0)</f>
        <v>-4.1692009378103689E-3</v>
      </c>
      <c r="M115" s="8">
        <f>+VLOOKUP($B115,NIFTY_BANK!$B$3:$I$41238,8,0)</f>
        <v>-4.5513156046930181E-3</v>
      </c>
      <c r="N115" s="8">
        <f>+VLOOKUP($B115,NIFTY_IT!$B$3:$I$1238,8,0)</f>
        <v>-8.4940334359113745E-3</v>
      </c>
      <c r="O115" s="8">
        <f>+VLOOKUP($B115,NIFTY_PHARMA!$B$3:$I$1238,8,0)</f>
        <v>1.2515664160400952E-2</v>
      </c>
      <c r="P115" s="8">
        <f>+VLOOKUP($B115,NIFTY_FMCG!$B$3:$I$1238,8,0)</f>
        <v>3.3987710044058872E-4</v>
      </c>
      <c r="Q115" s="8">
        <f>+VLOOKUP($B115,NIFTY_METAL!$B$3:$I$1238,8,0)</f>
        <v>-3.8217209634133775E-3</v>
      </c>
      <c r="R115" s="8">
        <f>+VLOOKUP($B115,NIFTY_ENERGY!$B$3:$I$1238,8,0)</f>
        <v>-1.5554340593438853E-3</v>
      </c>
      <c r="S115" s="8">
        <f>+VLOOKUP($B115,NIFTY_AUTO!$B$3:$I$1238,8,0)</f>
        <v>-6.038376011554103E-3</v>
      </c>
      <c r="T115" s="8">
        <v>0</v>
      </c>
      <c r="U115" s="8">
        <f>+VLOOKUP($B115,NIFTY_50!$B$63:$K$1238,10,0)</f>
        <v>4.5632938684832425E-2</v>
      </c>
      <c r="V115" s="8">
        <f>+VLOOKUP($B115,NIFTY_BANK!$B$63:$K$1238,10,0)</f>
        <v>0.10468452258672367</v>
      </c>
      <c r="W115" s="8">
        <f>+VLOOKUP($B115,NIFTY_IT!$B$63:$K$1238,10,0)</f>
        <v>-5.7124509781437127E-2</v>
      </c>
      <c r="X115" s="8">
        <f>+VLOOKUP($B115,NIFTY_PHARMA!$B$63:$K$1238,10,0)</f>
        <v>-9.1719399154094439E-2</v>
      </c>
      <c r="Y115" s="8">
        <f>+VLOOKUP($B115,NIFTY_FMCG!$B$63:$K$1238,10,0)</f>
        <v>9.6295429149151124E-2</v>
      </c>
      <c r="Z115" s="8">
        <f>+VLOOKUP($B115,NIFTY_METAL!$B$63:$K$1238,10,0)</f>
        <v>-6.2366107114308567E-2</v>
      </c>
      <c r="AA115" s="8">
        <f>+VLOOKUP($B115,NIFTY_ENERGY!$B$63:$K$1238,10,0)</f>
        <v>2.5406650039391909E-2</v>
      </c>
      <c r="AB115" s="8">
        <f>+VLOOKUP($B115,NIFTY_AUTO!$B$63:$K$1238,10,0)</f>
        <v>8.2922053269926188E-2</v>
      </c>
      <c r="AC115" s="8"/>
      <c r="AD115" s="16">
        <f t="shared" si="62"/>
        <v>3.9667756539825495E-2</v>
      </c>
      <c r="AE115" s="8">
        <f t="shared" si="63"/>
        <v>5.5759542923680877E-2</v>
      </c>
      <c r="AF115" s="8">
        <f t="shared" si="64"/>
        <v>7.0982323935532332E-2</v>
      </c>
      <c r="AG115" s="8">
        <f t="shared" si="65"/>
        <v>8.8907781144863349E-2</v>
      </c>
      <c r="AH115" s="8">
        <f t="shared" si="66"/>
        <v>8.12983355196472E-2</v>
      </c>
      <c r="AI115" s="8">
        <f t="shared" si="67"/>
        <v>9.508913730196604E-2</v>
      </c>
      <c r="AJ115" s="8">
        <f t="shared" si="68"/>
        <v>6.7374963265528012E-2</v>
      </c>
      <c r="AK115" s="8">
        <f t="shared" si="69"/>
        <v>5.941543534173592E-2</v>
      </c>
      <c r="AL115" s="9">
        <v>0</v>
      </c>
      <c r="AM115" s="17">
        <f t="shared" si="45"/>
        <v>25.209391385570886</v>
      </c>
      <c r="AN115" s="13">
        <f t="shared" si="46"/>
        <v>17.934149879397658</v>
      </c>
      <c r="AO115" s="13">
        <f t="shared" si="47"/>
        <v>14.088014375356623</v>
      </c>
      <c r="AP115" s="13">
        <f t="shared" si="48"/>
        <v>11.247609456934187</v>
      </c>
      <c r="AQ115" s="13">
        <f t="shared" si="49"/>
        <v>12.30037483065483</v>
      </c>
      <c r="AR115" s="13">
        <f t="shared" si="50"/>
        <v>10.516448338619266</v>
      </c>
      <c r="AS115" s="13">
        <f t="shared" si="51"/>
        <v>14.84230864897026</v>
      </c>
      <c r="AT115" s="13">
        <f t="shared" si="52"/>
        <v>16.830643321021963</v>
      </c>
      <c r="AU115" s="9">
        <v>0</v>
      </c>
      <c r="AV115" s="18">
        <f t="shared" si="70"/>
        <v>1</v>
      </c>
      <c r="AW115" s="18">
        <f t="shared" si="71"/>
        <v>2</v>
      </c>
      <c r="AX115" s="18">
        <f t="shared" si="72"/>
        <v>5</v>
      </c>
      <c r="AY115" s="18">
        <f t="shared" si="73"/>
        <v>7</v>
      </c>
      <c r="AZ115" s="18">
        <f t="shared" si="74"/>
        <v>6</v>
      </c>
      <c r="BA115" s="18">
        <f t="shared" si="75"/>
        <v>8</v>
      </c>
      <c r="BB115" s="18">
        <f t="shared" si="76"/>
        <v>4</v>
      </c>
      <c r="BC115" s="18">
        <f t="shared" si="77"/>
        <v>3</v>
      </c>
      <c r="BD115" s="18">
        <f t="shared" si="78"/>
        <v>9</v>
      </c>
      <c r="BE115" s="8">
        <f t="shared" si="80"/>
        <v>-5.8008857444375398E-3</v>
      </c>
    </row>
    <row r="116" spans="1:57" x14ac:dyDescent="0.25">
      <c r="A116" t="str">
        <f t="shared" si="79"/>
        <v/>
      </c>
      <c r="B116" s="1">
        <v>42902</v>
      </c>
      <c r="C116" s="9">
        <f t="shared" si="54"/>
        <v>0.25129585868373522</v>
      </c>
      <c r="D116" s="9">
        <f t="shared" si="55"/>
        <v>0.25300513189139423</v>
      </c>
      <c r="E116" s="9">
        <f t="shared" si="56"/>
        <v>0.24357011736350712</v>
      </c>
      <c r="F116" s="9">
        <f t="shared" si="57"/>
        <v>0</v>
      </c>
      <c r="G116" s="9">
        <f t="shared" si="58"/>
        <v>0</v>
      </c>
      <c r="H116" s="9">
        <f t="shared" si="59"/>
        <v>0</v>
      </c>
      <c r="I116" s="9">
        <f t="shared" si="60"/>
        <v>0</v>
      </c>
      <c r="J116" s="9">
        <f t="shared" si="61"/>
        <v>0.25212889206136346</v>
      </c>
      <c r="K116" s="9">
        <v>0</v>
      </c>
      <c r="L116" s="8">
        <f>+VLOOKUP($B116,NIFTY_50!$B$3:$I$1238,8,0)</f>
        <v>1.0440538522977771E-3</v>
      </c>
      <c r="M116" s="8">
        <f>+VLOOKUP($B116,NIFTY_BANK!$B$3:$I$41238,8,0)</f>
        <v>4.7452627528936642E-3</v>
      </c>
      <c r="N116" s="8">
        <f>+VLOOKUP($B116,NIFTY_IT!$B$3:$I$1238,8,0)</f>
        <v>-8.6154474827422334E-3</v>
      </c>
      <c r="O116" s="8">
        <f>+VLOOKUP($B116,NIFTY_PHARMA!$B$3:$I$1238,8,0)</f>
        <v>-1.7569372463476673E-2</v>
      </c>
      <c r="P116" s="8">
        <f>+VLOOKUP($B116,NIFTY_FMCG!$B$3:$I$1238,8,0)</f>
        <v>6.2496723727205605E-3</v>
      </c>
      <c r="Q116" s="8">
        <f>+VLOOKUP($B116,NIFTY_METAL!$B$3:$I$1238,8,0)</f>
        <v>-4.7741649473975745E-4</v>
      </c>
      <c r="R116" s="8">
        <f>+VLOOKUP($B116,NIFTY_ENERGY!$B$3:$I$1238,8,0)</f>
        <v>3.7566856269632964E-3</v>
      </c>
      <c r="S116" s="8">
        <f>+VLOOKUP($B116,NIFTY_AUTO!$B$3:$I$1238,8,0)</f>
        <v>2.7492296621585144E-3</v>
      </c>
      <c r="T116" s="8">
        <v>0</v>
      </c>
      <c r="U116" s="8">
        <f>+VLOOKUP($B116,NIFTY_50!$B$63:$K$1238,10,0)</f>
        <v>5.0532220864810906E-2</v>
      </c>
      <c r="V116" s="8">
        <f>+VLOOKUP($B116,NIFTY_BANK!$B$63:$K$1238,10,0)</f>
        <v>0.11333357018509971</v>
      </c>
      <c r="W116" s="8">
        <f>+VLOOKUP($B116,NIFTY_IT!$B$63:$K$1238,10,0)</f>
        <v>-5.4492309833669705E-2</v>
      </c>
      <c r="X116" s="8">
        <f>+VLOOKUP($B116,NIFTY_PHARMA!$B$63:$K$1238,10,0)</f>
        <v>-0.11064739603757023</v>
      </c>
      <c r="Y116" s="8">
        <f>+VLOOKUP($B116,NIFTY_FMCG!$B$63:$K$1238,10,0)</f>
        <v>0.1027244391017117</v>
      </c>
      <c r="Z116" s="8">
        <f>+VLOOKUP($B116,NIFTY_METAL!$B$63:$K$1238,10,0)</f>
        <v>-6.2543977483528357E-2</v>
      </c>
      <c r="AA116" s="8">
        <f>+VLOOKUP($B116,NIFTY_ENERGY!$B$63:$K$1238,10,0)</f>
        <v>3.6041167372797833E-2</v>
      </c>
      <c r="AB116" s="8">
        <f>+VLOOKUP($B116,NIFTY_AUTO!$B$63:$K$1238,10,0)</f>
        <v>8.5910103603648702E-2</v>
      </c>
      <c r="AC116" s="8"/>
      <c r="AD116" s="16">
        <f t="shared" si="62"/>
        <v>3.9423017211113798E-2</v>
      </c>
      <c r="AE116" s="8">
        <f t="shared" si="63"/>
        <v>5.5636185844783324E-2</v>
      </c>
      <c r="AF116" s="8">
        <f t="shared" si="64"/>
        <v>7.0627788048938073E-2</v>
      </c>
      <c r="AG116" s="8">
        <f t="shared" si="65"/>
        <v>9.017639847697323E-2</v>
      </c>
      <c r="AH116" s="8">
        <f t="shared" si="66"/>
        <v>8.1421360767264431E-2</v>
      </c>
      <c r="AI116" s="8">
        <f t="shared" si="67"/>
        <v>9.5087940886523836E-2</v>
      </c>
      <c r="AJ116" s="8">
        <f t="shared" si="68"/>
        <v>6.7079505626155861E-2</v>
      </c>
      <c r="AK116" s="8">
        <f t="shared" si="69"/>
        <v>5.9415957771178952E-2</v>
      </c>
      <c r="AL116" s="9">
        <v>0</v>
      </c>
      <c r="AM116" s="17">
        <f t="shared" si="45"/>
        <v>25.36589207885612</v>
      </c>
      <c r="AN116" s="13">
        <f t="shared" si="46"/>
        <v>17.973913646594163</v>
      </c>
      <c r="AO116" s="13">
        <f t="shared" si="47"/>
        <v>14.158733093936043</v>
      </c>
      <c r="AP116" s="13">
        <f t="shared" si="48"/>
        <v>11.089376121573014</v>
      </c>
      <c r="AQ116" s="13">
        <f t="shared" si="49"/>
        <v>12.281789331161011</v>
      </c>
      <c r="AR116" s="13">
        <f t="shared" si="50"/>
        <v>10.516580658670286</v>
      </c>
      <c r="AS116" s="13">
        <f t="shared" si="51"/>
        <v>14.907682915451851</v>
      </c>
      <c r="AT116" s="13">
        <f t="shared" si="52"/>
        <v>16.830495333445125</v>
      </c>
      <c r="AU116" s="9">
        <v>0</v>
      </c>
      <c r="AV116" s="18">
        <f t="shared" si="70"/>
        <v>1</v>
      </c>
      <c r="AW116" s="18">
        <f t="shared" si="71"/>
        <v>2</v>
      </c>
      <c r="AX116" s="18">
        <f t="shared" si="72"/>
        <v>5</v>
      </c>
      <c r="AY116" s="18">
        <f t="shared" si="73"/>
        <v>7</v>
      </c>
      <c r="AZ116" s="18">
        <f t="shared" si="74"/>
        <v>6</v>
      </c>
      <c r="BA116" s="18">
        <f t="shared" si="75"/>
        <v>8</v>
      </c>
      <c r="BB116" s="18">
        <f t="shared" si="76"/>
        <v>4</v>
      </c>
      <c r="BC116" s="18">
        <f t="shared" si="77"/>
        <v>3</v>
      </c>
      <c r="BD116" s="18">
        <f t="shared" si="78"/>
        <v>9</v>
      </c>
      <c r="BE116" s="8">
        <f t="shared" si="80"/>
        <v>3.155736173606307E-5</v>
      </c>
    </row>
    <row r="117" spans="1:57" x14ac:dyDescent="0.25">
      <c r="A117" t="str">
        <f t="shared" si="79"/>
        <v/>
      </c>
      <c r="B117" s="1">
        <v>42905</v>
      </c>
      <c r="C117" s="9">
        <f t="shared" si="54"/>
        <v>0.25181839860955763</v>
      </c>
      <c r="D117" s="9">
        <f t="shared" si="55"/>
        <v>0.25427059830934873</v>
      </c>
      <c r="E117" s="9">
        <f t="shared" si="56"/>
        <v>0.24251987282157594</v>
      </c>
      <c r="F117" s="9">
        <f t="shared" si="57"/>
        <v>0</v>
      </c>
      <c r="G117" s="9">
        <f t="shared" si="58"/>
        <v>0</v>
      </c>
      <c r="H117" s="9">
        <f t="shared" si="59"/>
        <v>0</v>
      </c>
      <c r="I117" s="9">
        <f t="shared" si="60"/>
        <v>0</v>
      </c>
      <c r="J117" s="9">
        <f t="shared" si="61"/>
        <v>0.25139113025951793</v>
      </c>
      <c r="K117" s="9">
        <v>0</v>
      </c>
      <c r="L117" s="8">
        <f>+VLOOKUP($B117,NIFTY_50!$B$3:$I$1238,8,0)</f>
        <v>7.2486063380978738E-3</v>
      </c>
      <c r="M117" s="8">
        <f>+VLOOKUP($B117,NIFTY_BANK!$B$3:$I$41238,8,0)</f>
        <v>1.0186042058908162E-2</v>
      </c>
      <c r="N117" s="8">
        <f>+VLOOKUP($B117,NIFTY_IT!$B$3:$I$1238,8,0)</f>
        <v>8.2437803621382422E-4</v>
      </c>
      <c r="O117" s="8">
        <f>+VLOOKUP($B117,NIFTY_PHARMA!$B$3:$I$1238,8,0)</f>
        <v>-3.8108235788146816E-3</v>
      </c>
      <c r="P117" s="8">
        <f>+VLOOKUP($B117,NIFTY_FMCG!$B$3:$I$1238,8,0)</f>
        <v>8.1750230567678717E-3</v>
      </c>
      <c r="Q117" s="8">
        <f>+VLOOKUP($B117,NIFTY_METAL!$B$3:$I$1238,8,0)</f>
        <v>1.7519319015369961E-2</v>
      </c>
      <c r="R117" s="8">
        <f>+VLOOKUP($B117,NIFTY_ENERGY!$B$3:$I$1238,8,0)</f>
        <v>7.6078912312604885E-3</v>
      </c>
      <c r="S117" s="8">
        <f>+VLOOKUP($B117,NIFTY_AUTO!$B$3:$I$1238,8,0)</f>
        <v>2.2172745004229721E-3</v>
      </c>
      <c r="T117" s="8">
        <v>0</v>
      </c>
      <c r="U117" s="8">
        <f>+VLOOKUP($B117,NIFTY_50!$B$63:$K$1238,10,0)</f>
        <v>5.8767746532916609E-2</v>
      </c>
      <c r="V117" s="8">
        <f>+VLOOKUP($B117,NIFTY_BANK!$B$63:$K$1238,10,0)</f>
        <v>0.12955659165516931</v>
      </c>
      <c r="W117" s="8">
        <f>+VLOOKUP($B117,NIFTY_IT!$B$63:$K$1238,10,0)</f>
        <v>-5.4629560961139245E-2</v>
      </c>
      <c r="X117" s="8">
        <f>+VLOOKUP($B117,NIFTY_PHARMA!$B$63:$K$1238,10,0)</f>
        <v>-9.5728409767718792E-2</v>
      </c>
      <c r="Y117" s="8">
        <f>+VLOOKUP($B117,NIFTY_FMCG!$B$63:$K$1238,10,0)</f>
        <v>9.7891930166640995E-2</v>
      </c>
      <c r="Z117" s="8">
        <f>+VLOOKUP($B117,NIFTY_METAL!$B$63:$K$1238,10,0)</f>
        <v>-4.3918702314547642E-2</v>
      </c>
      <c r="AA117" s="8">
        <f>+VLOOKUP($B117,NIFTY_ENERGY!$B$63:$K$1238,10,0)</f>
        <v>4.878488958143512E-2</v>
      </c>
      <c r="AB117" s="8">
        <f>+VLOOKUP($B117,NIFTY_AUTO!$B$63:$K$1238,10,0)</f>
        <v>9.3293187805795874E-2</v>
      </c>
      <c r="AC117" s="8"/>
      <c r="AD117" s="16">
        <f t="shared" si="62"/>
        <v>3.9906126903420824E-2</v>
      </c>
      <c r="AE117" s="8">
        <f t="shared" si="63"/>
        <v>5.590312069120832E-2</v>
      </c>
      <c r="AF117" s="8">
        <f t="shared" si="64"/>
        <v>7.0624135306587163E-2</v>
      </c>
      <c r="AG117" s="8">
        <f t="shared" si="65"/>
        <v>8.8277342290877192E-2</v>
      </c>
      <c r="AH117" s="8">
        <f t="shared" si="66"/>
        <v>8.09418655803925E-2</v>
      </c>
      <c r="AI117" s="8">
        <f t="shared" si="67"/>
        <v>9.6829282159459282E-2</v>
      </c>
      <c r="AJ117" s="8">
        <f t="shared" si="68"/>
        <v>6.7219613687983557E-2</v>
      </c>
      <c r="AK117" s="8">
        <f t="shared" si="69"/>
        <v>5.9118683883526618E-2</v>
      </c>
      <c r="AL117" s="9">
        <v>0</v>
      </c>
      <c r="AM117" s="17">
        <f t="shared" si="45"/>
        <v>25.058808699229548</v>
      </c>
      <c r="AN117" s="13">
        <f t="shared" si="46"/>
        <v>17.888089030372615</v>
      </c>
      <c r="AO117" s="13">
        <f t="shared" si="47"/>
        <v>14.159465396056031</v>
      </c>
      <c r="AP117" s="13">
        <f t="shared" si="48"/>
        <v>11.327935051612249</v>
      </c>
      <c r="AQ117" s="13">
        <f t="shared" si="49"/>
        <v>12.354545979753668</v>
      </c>
      <c r="AR117" s="13">
        <f t="shared" si="50"/>
        <v>10.327454440415984</v>
      </c>
      <c r="AS117" s="13">
        <f t="shared" si="51"/>
        <v>14.876610339383189</v>
      </c>
      <c r="AT117" s="13">
        <f t="shared" si="52"/>
        <v>16.915126222535026</v>
      </c>
      <c r="AU117" s="9">
        <v>0</v>
      </c>
      <c r="AV117" s="18">
        <f t="shared" si="70"/>
        <v>1</v>
      </c>
      <c r="AW117" s="18">
        <f t="shared" si="71"/>
        <v>2</v>
      </c>
      <c r="AX117" s="18">
        <f t="shared" si="72"/>
        <v>5</v>
      </c>
      <c r="AY117" s="18">
        <f t="shared" si="73"/>
        <v>7</v>
      </c>
      <c r="AZ117" s="18">
        <f t="shared" si="74"/>
        <v>6</v>
      </c>
      <c r="BA117" s="18">
        <f t="shared" si="75"/>
        <v>8</v>
      </c>
      <c r="BB117" s="18">
        <f t="shared" si="76"/>
        <v>4</v>
      </c>
      <c r="BC117" s="18">
        <f t="shared" si="77"/>
        <v>3</v>
      </c>
      <c r="BD117" s="18">
        <f t="shared" si="78"/>
        <v>9</v>
      </c>
      <c r="BE117" s="8">
        <f t="shared" si="80"/>
        <v>5.1584984867780754E-3</v>
      </c>
    </row>
    <row r="118" spans="1:57" x14ac:dyDescent="0.25">
      <c r="A118" t="str">
        <f t="shared" si="79"/>
        <v/>
      </c>
      <c r="B118" s="1">
        <v>42906</v>
      </c>
      <c r="C118" s="9">
        <f t="shared" si="54"/>
        <v>0.25126532300565274</v>
      </c>
      <c r="D118" s="9">
        <f t="shared" si="55"/>
        <v>0.25334605257427562</v>
      </c>
      <c r="E118" s="9">
        <f t="shared" si="56"/>
        <v>0.24427392452414606</v>
      </c>
      <c r="F118" s="9">
        <f t="shared" si="57"/>
        <v>0</v>
      </c>
      <c r="G118" s="9">
        <f t="shared" si="58"/>
        <v>0</v>
      </c>
      <c r="H118" s="9">
        <f t="shared" si="59"/>
        <v>0</v>
      </c>
      <c r="I118" s="9">
        <f t="shared" si="60"/>
        <v>0</v>
      </c>
      <c r="J118" s="9">
        <f t="shared" si="61"/>
        <v>0.25111469989592577</v>
      </c>
      <c r="K118" s="9">
        <v>0</v>
      </c>
      <c r="L118" s="8">
        <f>+VLOOKUP($B118,NIFTY_50!$B$3:$I$1238,8,0)</f>
        <v>-4.1936101806350212E-4</v>
      </c>
      <c r="M118" s="8">
        <f>+VLOOKUP($B118,NIFTY_BANK!$B$3:$I$41238,8,0)</f>
        <v>-1.8616679618316256E-3</v>
      </c>
      <c r="N118" s="8">
        <f>+VLOOKUP($B118,NIFTY_IT!$B$3:$I$1238,8,0)</f>
        <v>9.0263681738398382E-3</v>
      </c>
      <c r="O118" s="8">
        <f>+VLOOKUP($B118,NIFTY_PHARMA!$B$3:$I$1238,8,0)</f>
        <v>-7.6929562028427156E-4</v>
      </c>
      <c r="P118" s="8">
        <f>+VLOOKUP($B118,NIFTY_FMCG!$B$3:$I$1238,8,0)</f>
        <v>-2.7022733927503095E-3</v>
      </c>
      <c r="Q118" s="8">
        <f>+VLOOKUP($B118,NIFTY_METAL!$B$3:$I$1238,8,0)</f>
        <v>2.1123927038626533E-3</v>
      </c>
      <c r="R118" s="8">
        <f>+VLOOKUP($B118,NIFTY_ENERGY!$B$3:$I$1238,8,0)</f>
        <v>1.670416009132758E-3</v>
      </c>
      <c r="S118" s="8">
        <f>+VLOOKUP($B118,NIFTY_AUTO!$B$3:$I$1238,8,0)</f>
        <v>6.7931664417586468E-4</v>
      </c>
      <c r="T118" s="8">
        <v>0</v>
      </c>
      <c r="U118" s="8">
        <f>+VLOOKUP($B118,NIFTY_50!$B$63:$K$1238,10,0)</f>
        <v>6.8994346904085457E-2</v>
      </c>
      <c r="V118" s="8">
        <f>+VLOOKUP($B118,NIFTY_BANK!$B$63:$K$1238,10,0)</f>
        <v>0.14034699381897719</v>
      </c>
      <c r="W118" s="8">
        <f>+VLOOKUP($B118,NIFTY_IT!$B$63:$K$1238,10,0)</f>
        <v>-4.5751300622258406E-2</v>
      </c>
      <c r="X118" s="8">
        <f>+VLOOKUP($B118,NIFTY_PHARMA!$B$63:$K$1238,10,0)</f>
        <v>-9.7868332294694382E-2</v>
      </c>
      <c r="Y118" s="8">
        <f>+VLOOKUP($B118,NIFTY_FMCG!$B$63:$K$1238,10,0)</f>
        <v>0.11392537648429402</v>
      </c>
      <c r="Z118" s="8">
        <f>+VLOOKUP($B118,NIFTY_METAL!$B$63:$K$1238,10,0)</f>
        <v>-2.9374989851095323E-2</v>
      </c>
      <c r="AA118" s="8">
        <f>+VLOOKUP($B118,NIFTY_ENERGY!$B$63:$K$1238,10,0)</f>
        <v>5.4007145601568718E-2</v>
      </c>
      <c r="AB118" s="8">
        <f>+VLOOKUP($B118,NIFTY_AUTO!$B$63:$K$1238,10,0)</f>
        <v>0.11186817558229079</v>
      </c>
      <c r="AC118" s="8"/>
      <c r="AD118" s="16">
        <f t="shared" si="62"/>
        <v>3.8384573233171293E-2</v>
      </c>
      <c r="AE118" s="8">
        <f t="shared" si="63"/>
        <v>5.4415835006636638E-2</v>
      </c>
      <c r="AF118" s="8">
        <f t="shared" si="64"/>
        <v>7.1303463979099341E-2</v>
      </c>
      <c r="AG118" s="8">
        <f t="shared" si="65"/>
        <v>8.8223107991529312E-2</v>
      </c>
      <c r="AH118" s="8">
        <f t="shared" si="66"/>
        <v>7.8860934334331098E-2</v>
      </c>
      <c r="AI118" s="8">
        <f t="shared" si="67"/>
        <v>9.6072774846125031E-2</v>
      </c>
      <c r="AJ118" s="8">
        <f t="shared" si="68"/>
        <v>6.7096211602442016E-2</v>
      </c>
      <c r="AK118" s="8">
        <f t="shared" si="69"/>
        <v>5.6425118869442688E-2</v>
      </c>
      <c r="AL118" s="9">
        <v>0</v>
      </c>
      <c r="AM118" s="17">
        <f t="shared" si="45"/>
        <v>26.052132817144809</v>
      </c>
      <c r="AN118" s="13">
        <f t="shared" si="46"/>
        <v>18.377003676926734</v>
      </c>
      <c r="AO118" s="13">
        <f t="shared" si="47"/>
        <v>14.024564084195442</v>
      </c>
      <c r="AP118" s="13">
        <f t="shared" si="48"/>
        <v>11.334898789736748</v>
      </c>
      <c r="AQ118" s="13">
        <f t="shared" si="49"/>
        <v>12.680549735316321</v>
      </c>
      <c r="AR118" s="13">
        <f t="shared" si="50"/>
        <v>10.408776072114604</v>
      </c>
      <c r="AS118" s="13">
        <f t="shared" si="51"/>
        <v>14.903971120235413</v>
      </c>
      <c r="AT118" s="13">
        <f t="shared" si="52"/>
        <v>17.722603337598905</v>
      </c>
      <c r="AU118" s="9">
        <v>0</v>
      </c>
      <c r="AV118" s="18">
        <f t="shared" si="70"/>
        <v>1</v>
      </c>
      <c r="AW118" s="18">
        <f t="shared" si="71"/>
        <v>2</v>
      </c>
      <c r="AX118" s="18">
        <f t="shared" si="72"/>
        <v>5</v>
      </c>
      <c r="AY118" s="18">
        <f t="shared" si="73"/>
        <v>7</v>
      </c>
      <c r="AZ118" s="18">
        <f t="shared" si="74"/>
        <v>6</v>
      </c>
      <c r="BA118" s="18">
        <f t="shared" si="75"/>
        <v>8</v>
      </c>
      <c r="BB118" s="18">
        <f t="shared" si="76"/>
        <v>4</v>
      </c>
      <c r="BC118" s="18">
        <f t="shared" si="77"/>
        <v>3</v>
      </c>
      <c r="BD118" s="18">
        <f t="shared" si="78"/>
        <v>9</v>
      </c>
      <c r="BE118" s="8">
        <f t="shared" si="80"/>
        <v>1.7808775940275335E-3</v>
      </c>
    </row>
    <row r="119" spans="1:57" x14ac:dyDescent="0.25">
      <c r="A119" t="str">
        <f t="shared" si="79"/>
        <v/>
      </c>
      <c r="B119" s="1">
        <v>42907</v>
      </c>
      <c r="C119" s="9">
        <f t="shared" si="54"/>
        <v>0.25162409800658386</v>
      </c>
      <c r="D119" s="9">
        <f t="shared" si="55"/>
        <v>0.2543477419581367</v>
      </c>
      <c r="E119" s="9">
        <f t="shared" si="56"/>
        <v>0.24354267105922023</v>
      </c>
      <c r="F119" s="9">
        <f t="shared" si="57"/>
        <v>0</v>
      </c>
      <c r="G119" s="9">
        <f t="shared" si="58"/>
        <v>0</v>
      </c>
      <c r="H119" s="9">
        <f t="shared" si="59"/>
        <v>0</v>
      </c>
      <c r="I119" s="9">
        <f t="shared" si="60"/>
        <v>0</v>
      </c>
      <c r="J119" s="9">
        <f t="shared" si="61"/>
        <v>0.25048548897605921</v>
      </c>
      <c r="K119" s="9">
        <v>0</v>
      </c>
      <c r="L119" s="8">
        <f>+VLOOKUP($B119,NIFTY_50!$B$3:$I$1238,8,0)</f>
        <v>-2.0614284974361796E-3</v>
      </c>
      <c r="M119" s="8">
        <f>+VLOOKUP($B119,NIFTY_BANK!$B$3:$I$41238,8,0)</f>
        <v>4.5573562270151413E-4</v>
      </c>
      <c r="N119" s="8">
        <f>+VLOOKUP($B119,NIFTY_IT!$B$3:$I$1238,8,0)</f>
        <v>-6.4674755465284894E-3</v>
      </c>
      <c r="O119" s="8">
        <f>+VLOOKUP($B119,NIFTY_PHARMA!$B$3:$I$1238,8,0)</f>
        <v>-2.6471487781984937E-3</v>
      </c>
      <c r="P119" s="8">
        <f>+VLOOKUP($B119,NIFTY_FMCG!$B$3:$I$1238,8,0)</f>
        <v>7.7219632669431881E-3</v>
      </c>
      <c r="Q119" s="8">
        <f>+VLOOKUP($B119,NIFTY_METAL!$B$3:$I$1238,8,0)</f>
        <v>-1.1760966306420761E-2</v>
      </c>
      <c r="R119" s="8">
        <f>+VLOOKUP($B119,NIFTY_ENERGY!$B$3:$I$1238,8,0)</f>
        <v>-2.9539683736833355E-3</v>
      </c>
      <c r="S119" s="8">
        <f>+VLOOKUP($B119,NIFTY_AUTO!$B$3:$I$1238,8,0)</f>
        <v>-5.9812672580660253E-3</v>
      </c>
      <c r="T119" s="8">
        <v>0</v>
      </c>
      <c r="U119" s="8">
        <f>+VLOOKUP($B119,NIFTY_50!$B$63:$K$1238,10,0)</f>
        <v>6.0233538403970943E-2</v>
      </c>
      <c r="V119" s="8">
        <f>+VLOOKUP($B119,NIFTY_BANK!$B$63:$K$1238,10,0)</f>
        <v>0.13463425139384078</v>
      </c>
      <c r="W119" s="8">
        <f>+VLOOKUP($B119,NIFTY_IT!$B$63:$K$1238,10,0)</f>
        <v>-5.7820621520993765E-2</v>
      </c>
      <c r="X119" s="8">
        <f>+VLOOKUP($B119,NIFTY_PHARMA!$B$63:$K$1238,10,0)</f>
        <v>-0.10575686511839033</v>
      </c>
      <c r="Y119" s="8">
        <f>+VLOOKUP($B119,NIFTY_FMCG!$B$63:$K$1238,10,0)</f>
        <v>0.12519444789653456</v>
      </c>
      <c r="Z119" s="8">
        <f>+VLOOKUP($B119,NIFTY_METAL!$B$63:$K$1238,10,0)</f>
        <v>-5.1281639470641016E-2</v>
      </c>
      <c r="AA119" s="8">
        <f>+VLOOKUP($B119,NIFTY_ENERGY!$B$63:$K$1238,10,0)</f>
        <v>3.8510384798348563E-2</v>
      </c>
      <c r="AB119" s="8">
        <f>+VLOOKUP($B119,NIFTY_AUTO!$B$63:$K$1238,10,0)</f>
        <v>9.4721634277805E-2</v>
      </c>
      <c r="AC119" s="8"/>
      <c r="AD119" s="16">
        <f t="shared" si="62"/>
        <v>3.8164215465542793E-2</v>
      </c>
      <c r="AE119" s="8">
        <f t="shared" si="63"/>
        <v>5.433837648158283E-2</v>
      </c>
      <c r="AF119" s="8">
        <f t="shared" si="64"/>
        <v>7.1173733831887603E-2</v>
      </c>
      <c r="AG119" s="8">
        <f t="shared" si="65"/>
        <v>8.787869123141287E-2</v>
      </c>
      <c r="AH119" s="8">
        <f t="shared" si="66"/>
        <v>7.8959680848884412E-2</v>
      </c>
      <c r="AI119" s="8">
        <f t="shared" si="67"/>
        <v>9.6013708706708487E-2</v>
      </c>
      <c r="AJ119" s="8">
        <f t="shared" si="68"/>
        <v>6.6269002703806049E-2</v>
      </c>
      <c r="AK119" s="8">
        <f t="shared" si="69"/>
        <v>5.6379579446729715E-2</v>
      </c>
      <c r="AL119" s="9">
        <v>0</v>
      </c>
      <c r="AM119" s="17">
        <f t="shared" si="45"/>
        <v>26.202556185200947</v>
      </c>
      <c r="AN119" s="13">
        <f t="shared" si="46"/>
        <v>18.403199814755872</v>
      </c>
      <c r="AO119" s="13">
        <f t="shared" si="47"/>
        <v>14.05012700839892</v>
      </c>
      <c r="AP119" s="13">
        <f t="shared" si="48"/>
        <v>11.379322859584677</v>
      </c>
      <c r="AQ119" s="13">
        <f t="shared" si="49"/>
        <v>12.664691514063136</v>
      </c>
      <c r="AR119" s="13">
        <f t="shared" si="50"/>
        <v>10.415179389171225</v>
      </c>
      <c r="AS119" s="13">
        <f t="shared" si="51"/>
        <v>15.090011305429933</v>
      </c>
      <c r="AT119" s="13">
        <f t="shared" si="52"/>
        <v>17.736918398705878</v>
      </c>
      <c r="AU119" s="9">
        <v>0</v>
      </c>
      <c r="AV119" s="18">
        <f t="shared" si="70"/>
        <v>1</v>
      </c>
      <c r="AW119" s="18">
        <f t="shared" si="71"/>
        <v>2</v>
      </c>
      <c r="AX119" s="18">
        <f t="shared" si="72"/>
        <v>5</v>
      </c>
      <c r="AY119" s="18">
        <f t="shared" si="73"/>
        <v>7</v>
      </c>
      <c r="AZ119" s="18">
        <f t="shared" si="74"/>
        <v>6</v>
      </c>
      <c r="BA119" s="18">
        <f t="shared" si="75"/>
        <v>8</v>
      </c>
      <c r="BB119" s="18">
        <f t="shared" si="76"/>
        <v>4</v>
      </c>
      <c r="BC119" s="18">
        <f t="shared" si="77"/>
        <v>3</v>
      </c>
      <c r="BD119" s="18">
        <f t="shared" si="78"/>
        <v>9</v>
      </c>
      <c r="BE119" s="8">
        <f t="shared" si="80"/>
        <v>-3.4843264422534884E-3</v>
      </c>
    </row>
    <row r="120" spans="1:57" x14ac:dyDescent="0.25">
      <c r="A120" t="str">
        <f t="shared" si="79"/>
        <v/>
      </c>
      <c r="B120" s="1">
        <v>42908</v>
      </c>
      <c r="C120" s="9">
        <f t="shared" si="54"/>
        <v>0.25170871906815179</v>
      </c>
      <c r="D120" s="9">
        <f t="shared" si="55"/>
        <v>0.25482201373534291</v>
      </c>
      <c r="E120" s="9">
        <f t="shared" si="56"/>
        <v>0.2431470887599351</v>
      </c>
      <c r="F120" s="9">
        <f t="shared" si="57"/>
        <v>0</v>
      </c>
      <c r="G120" s="9">
        <f t="shared" si="58"/>
        <v>0</v>
      </c>
      <c r="H120" s="9">
        <f t="shared" si="59"/>
        <v>0</v>
      </c>
      <c r="I120" s="9">
        <f t="shared" si="60"/>
        <v>0</v>
      </c>
      <c r="J120" s="9">
        <f t="shared" si="61"/>
        <v>0.25032217843657023</v>
      </c>
      <c r="K120" s="9">
        <v>0</v>
      </c>
      <c r="L120" s="8">
        <f>+VLOOKUP($B120,NIFTY_50!$B$3:$I$1238,8,0)</f>
        <v>-3.7369207772797175E-4</v>
      </c>
      <c r="M120" s="8">
        <f>+VLOOKUP($B120,NIFTY_BANK!$B$3:$I$41238,8,0)</f>
        <v>1.1535825380923903E-3</v>
      </c>
      <c r="N120" s="8">
        <f>+VLOOKUP($B120,NIFTY_IT!$B$3:$I$1238,8,0)</f>
        <v>-2.3328833851752329E-3</v>
      </c>
      <c r="O120" s="8">
        <f>+VLOOKUP($B120,NIFTY_PHARMA!$B$3:$I$1238,8,0)</f>
        <v>1.5650114203538124E-3</v>
      </c>
      <c r="P120" s="8">
        <f>+VLOOKUP($B120,NIFTY_FMCG!$B$3:$I$1238,8,0)</f>
        <v>-2.6297999562017171E-3</v>
      </c>
      <c r="Q120" s="8">
        <f>+VLOOKUP($B120,NIFTY_METAL!$B$3:$I$1238,8,0)</f>
        <v>-1.3847742547104414E-2</v>
      </c>
      <c r="R120" s="8">
        <f>+VLOOKUP($B120,NIFTY_ENERGY!$B$3:$I$1238,8,0)</f>
        <v>-7.2618162104918227E-3</v>
      </c>
      <c r="S120" s="8">
        <f>+VLOOKUP($B120,NIFTY_AUTO!$B$3:$I$1238,8,0)</f>
        <v>-1.3612662082967963E-3</v>
      </c>
      <c r="T120" s="8">
        <v>0</v>
      </c>
      <c r="U120" s="8">
        <f>+VLOOKUP($B120,NIFTY_50!$B$63:$K$1238,10,0)</f>
        <v>5.7312252964426769E-2</v>
      </c>
      <c r="V120" s="8">
        <f>+VLOOKUP($B120,NIFTY_BANK!$B$63:$K$1238,10,0)</f>
        <v>0.12373269325909986</v>
      </c>
      <c r="W120" s="8">
        <f>+VLOOKUP($B120,NIFTY_IT!$B$63:$K$1238,10,0)</f>
        <v>-5.2874235649715273E-2</v>
      </c>
      <c r="X120" s="8">
        <f>+VLOOKUP($B120,NIFTY_PHARMA!$B$63:$K$1238,10,0)</f>
        <v>-0.10275805557792228</v>
      </c>
      <c r="Y120" s="8">
        <f>+VLOOKUP($B120,NIFTY_FMCG!$B$63:$K$1238,10,0)</f>
        <v>0.11650344701152426</v>
      </c>
      <c r="Z120" s="8">
        <f>+VLOOKUP($B120,NIFTY_METAL!$B$63:$K$1238,10,0)</f>
        <v>-6.7355107268651904E-2</v>
      </c>
      <c r="AA120" s="8">
        <f>+VLOOKUP($B120,NIFTY_ENERGY!$B$63:$K$1238,10,0)</f>
        <v>2.8388214602887318E-2</v>
      </c>
      <c r="AB120" s="8">
        <f>+VLOOKUP($B120,NIFTY_AUTO!$B$63:$K$1238,10,0)</f>
        <v>9.5400547662312096E-2</v>
      </c>
      <c r="AC120" s="8"/>
      <c r="AD120" s="16">
        <f t="shared" si="62"/>
        <v>3.8159968170259052E-2</v>
      </c>
      <c r="AE120" s="8">
        <f t="shared" si="63"/>
        <v>5.3620005863099451E-2</v>
      </c>
      <c r="AF120" s="8">
        <f t="shared" si="64"/>
        <v>7.0876894803969109E-2</v>
      </c>
      <c r="AG120" s="8">
        <f t="shared" si="65"/>
        <v>8.7940795190725105E-2</v>
      </c>
      <c r="AH120" s="8">
        <f t="shared" si="66"/>
        <v>7.9025597577026346E-2</v>
      </c>
      <c r="AI120" s="8">
        <f t="shared" si="67"/>
        <v>9.6793576735776626E-2</v>
      </c>
      <c r="AJ120" s="8">
        <f t="shared" si="68"/>
        <v>6.6702802360456157E-2</v>
      </c>
      <c r="AK120" s="8">
        <f t="shared" si="69"/>
        <v>5.6344586021469939E-2</v>
      </c>
      <c r="AL120" s="9">
        <v>0</v>
      </c>
      <c r="AM120" s="17">
        <f t="shared" si="45"/>
        <v>26.205472592070336</v>
      </c>
      <c r="AN120" s="13">
        <f t="shared" si="46"/>
        <v>18.649755513887143</v>
      </c>
      <c r="AO120" s="13">
        <f t="shared" si="47"/>
        <v>14.108970247155918</v>
      </c>
      <c r="AP120" s="13">
        <f t="shared" si="48"/>
        <v>11.371286759816194</v>
      </c>
      <c r="AQ120" s="13">
        <f t="shared" si="49"/>
        <v>12.654127658133794</v>
      </c>
      <c r="AR120" s="13">
        <f t="shared" si="50"/>
        <v>10.331264054119639</v>
      </c>
      <c r="AS120" s="13">
        <f t="shared" si="51"/>
        <v>14.991873873545623</v>
      </c>
      <c r="AT120" s="13">
        <f t="shared" si="52"/>
        <v>17.747934107084451</v>
      </c>
      <c r="AU120" s="9">
        <v>0</v>
      </c>
      <c r="AV120" s="18">
        <f t="shared" si="70"/>
        <v>1</v>
      </c>
      <c r="AW120" s="18">
        <f t="shared" si="71"/>
        <v>2</v>
      </c>
      <c r="AX120" s="18">
        <f t="shared" si="72"/>
        <v>5</v>
      </c>
      <c r="AY120" s="18">
        <f t="shared" si="73"/>
        <v>7</v>
      </c>
      <c r="AZ120" s="18">
        <f t="shared" si="74"/>
        <v>6</v>
      </c>
      <c r="BA120" s="18">
        <f t="shared" si="75"/>
        <v>8</v>
      </c>
      <c r="BB120" s="18">
        <f t="shared" si="76"/>
        <v>4</v>
      </c>
      <c r="BC120" s="18">
        <f t="shared" si="77"/>
        <v>3</v>
      </c>
      <c r="BD120" s="18">
        <f t="shared" si="78"/>
        <v>9</v>
      </c>
      <c r="BE120" s="8">
        <f t="shared" si="80"/>
        <v>-7.0975290097143235E-4</v>
      </c>
    </row>
    <row r="121" spans="1:57" x14ac:dyDescent="0.25">
      <c r="A121" t="str">
        <f t="shared" si="79"/>
        <v/>
      </c>
      <c r="B121" s="1">
        <v>42909</v>
      </c>
      <c r="C121" s="9">
        <f t="shared" si="54"/>
        <v>0.25240138992607913</v>
      </c>
      <c r="D121" s="9">
        <f t="shared" si="55"/>
        <v>0.25489893811215669</v>
      </c>
      <c r="E121" s="9">
        <f t="shared" si="56"/>
        <v>0.24452197333804965</v>
      </c>
      <c r="F121" s="9">
        <f t="shared" si="57"/>
        <v>0</v>
      </c>
      <c r="G121" s="9">
        <f t="shared" si="58"/>
        <v>0</v>
      </c>
      <c r="H121" s="9">
        <f t="shared" si="59"/>
        <v>0</v>
      </c>
      <c r="I121" s="9">
        <f t="shared" si="60"/>
        <v>0</v>
      </c>
      <c r="J121" s="9">
        <f t="shared" si="61"/>
        <v>0.24817769862371455</v>
      </c>
      <c r="K121" s="9">
        <v>0</v>
      </c>
      <c r="L121" s="8">
        <f>+VLOOKUP($B121,NIFTY_50!$B$3:$I$1238,8,0)</f>
        <v>-5.7165109034267303E-3</v>
      </c>
      <c r="M121" s="8">
        <f>+VLOOKUP($B121,NIFTY_BANK!$B$3:$I$41238,8,0)</f>
        <v>-8.1458200799625624E-3</v>
      </c>
      <c r="N121" s="8">
        <f>+VLOOKUP($B121,NIFTY_IT!$B$3:$I$1238,8,0)</f>
        <v>-2.8383605159050251E-3</v>
      </c>
      <c r="O121" s="8">
        <f>+VLOOKUP($B121,NIFTY_PHARMA!$B$3:$I$1238,8,0)</f>
        <v>6.9154102791491034E-4</v>
      </c>
      <c r="P121" s="8">
        <f>+VLOOKUP($B121,NIFTY_FMCG!$B$3:$I$1238,8,0)</f>
        <v>-9.1073290132404061E-4</v>
      </c>
      <c r="Q121" s="8">
        <f>+VLOOKUP($B121,NIFTY_METAL!$B$3:$I$1238,8,0)</f>
        <v>-6.9524316344222736E-3</v>
      </c>
      <c r="R121" s="8">
        <f>+VLOOKUP($B121,NIFTY_ENERGY!$B$3:$I$1238,8,0)</f>
        <v>-3.615136160251331E-3</v>
      </c>
      <c r="S121" s="8">
        <f>+VLOOKUP($B121,NIFTY_AUTO!$B$3:$I$1238,8,0)</f>
        <v>-1.6939676085299005E-2</v>
      </c>
      <c r="T121" s="8">
        <v>0</v>
      </c>
      <c r="U121" s="8">
        <f>+VLOOKUP($B121,NIFTY_50!$B$63:$K$1238,10,0)</f>
        <v>5.856697474903827E-2</v>
      </c>
      <c r="V121" s="8">
        <f>+VLOOKUP($B121,NIFTY_BANK!$B$63:$K$1238,10,0)</f>
        <v>0.11805393956375343</v>
      </c>
      <c r="W121" s="8">
        <f>+VLOOKUP($B121,NIFTY_IT!$B$63:$K$1238,10,0)</f>
        <v>-4.487956050147901E-2</v>
      </c>
      <c r="X121" s="8">
        <f>+VLOOKUP($B121,NIFTY_PHARMA!$B$63:$K$1238,10,0)</f>
        <v>-9.2296421149407726E-2</v>
      </c>
      <c r="Y121" s="8">
        <f>+VLOOKUP($B121,NIFTY_FMCG!$B$63:$K$1238,10,0)</f>
        <v>0.11601237840731438</v>
      </c>
      <c r="Z121" s="8">
        <f>+VLOOKUP($B121,NIFTY_METAL!$B$63:$K$1238,10,0)</f>
        <v>-4.8615222682718118E-2</v>
      </c>
      <c r="AA121" s="8">
        <f>+VLOOKUP($B121,NIFTY_ENERGY!$B$63:$K$1238,10,0)</f>
        <v>4.0754693621273708E-2</v>
      </c>
      <c r="AB121" s="8">
        <f>+VLOOKUP($B121,NIFTY_AUTO!$B$63:$K$1238,10,0)</f>
        <v>8.4546603862074576E-2</v>
      </c>
      <c r="AC121" s="8"/>
      <c r="AD121" s="16">
        <f t="shared" si="62"/>
        <v>3.7935667673790252E-2</v>
      </c>
      <c r="AE121" s="8">
        <f t="shared" si="63"/>
        <v>5.4322242953652171E-2</v>
      </c>
      <c r="AF121" s="8">
        <f t="shared" si="64"/>
        <v>7.0139271201128658E-2</v>
      </c>
      <c r="AG121" s="8">
        <f t="shared" si="65"/>
        <v>8.7486179744910089E-2</v>
      </c>
      <c r="AH121" s="8">
        <f t="shared" si="66"/>
        <v>7.9039761898801936E-2</v>
      </c>
      <c r="AI121" s="8">
        <f t="shared" si="67"/>
        <v>9.3540425496836666E-2</v>
      </c>
      <c r="AJ121" s="8">
        <f t="shared" si="68"/>
        <v>6.4880400437838853E-2</v>
      </c>
      <c r="AK121" s="8">
        <f t="shared" si="69"/>
        <v>5.8647888148330218E-2</v>
      </c>
      <c r="AL121" s="9">
        <v>0</v>
      </c>
      <c r="AM121" s="17">
        <f t="shared" si="45"/>
        <v>26.360416497714628</v>
      </c>
      <c r="AN121" s="13">
        <f t="shared" si="46"/>
        <v>18.408665504721551</v>
      </c>
      <c r="AO121" s="13">
        <f t="shared" si="47"/>
        <v>14.257348028787449</v>
      </c>
      <c r="AP121" s="13">
        <f t="shared" si="48"/>
        <v>11.430376808265875</v>
      </c>
      <c r="AQ121" s="13">
        <f t="shared" si="49"/>
        <v>12.651859974987573</v>
      </c>
      <c r="AR121" s="13">
        <f t="shared" si="50"/>
        <v>10.690565011742628</v>
      </c>
      <c r="AS121" s="13">
        <f t="shared" si="51"/>
        <v>15.412975155079202</v>
      </c>
      <c r="AT121" s="13">
        <f t="shared" si="52"/>
        <v>17.050912344376911</v>
      </c>
      <c r="AU121" s="9">
        <v>0</v>
      </c>
      <c r="AV121" s="18">
        <f t="shared" si="70"/>
        <v>1</v>
      </c>
      <c r="AW121" s="18">
        <f t="shared" si="71"/>
        <v>2</v>
      </c>
      <c r="AX121" s="18">
        <f t="shared" si="72"/>
        <v>5</v>
      </c>
      <c r="AY121" s="18">
        <f t="shared" si="73"/>
        <v>7</v>
      </c>
      <c r="AZ121" s="18">
        <f t="shared" si="74"/>
        <v>6</v>
      </c>
      <c r="BA121" s="18">
        <f t="shared" si="75"/>
        <v>8</v>
      </c>
      <c r="BB121" s="18">
        <f t="shared" si="76"/>
        <v>4</v>
      </c>
      <c r="BC121" s="18">
        <f t="shared" si="77"/>
        <v>3</v>
      </c>
      <c r="BD121" s="18">
        <f t="shared" si="78"/>
        <v>9</v>
      </c>
      <c r="BE121" s="8">
        <f t="shared" si="80"/>
        <v>-8.4451456293178906E-3</v>
      </c>
    </row>
    <row r="122" spans="1:57" x14ac:dyDescent="0.25">
      <c r="A122" t="str">
        <f t="shared" si="79"/>
        <v/>
      </c>
      <c r="B122" s="1">
        <v>42913</v>
      </c>
      <c r="C122" s="9">
        <f t="shared" si="54"/>
        <v>0.25302504010927285</v>
      </c>
      <c r="D122" s="9">
        <f t="shared" si="55"/>
        <v>0.2536686139217143</v>
      </c>
      <c r="E122" s="9">
        <f t="shared" si="56"/>
        <v>0.24429524704356531</v>
      </c>
      <c r="F122" s="9">
        <f t="shared" si="57"/>
        <v>0</v>
      </c>
      <c r="G122" s="9">
        <f t="shared" si="58"/>
        <v>0</v>
      </c>
      <c r="H122" s="9">
        <f t="shared" si="59"/>
        <v>0</v>
      </c>
      <c r="I122" s="9">
        <f t="shared" si="60"/>
        <v>0</v>
      </c>
      <c r="J122" s="9">
        <f t="shared" si="61"/>
        <v>0.24901109892544743</v>
      </c>
      <c r="K122" s="9">
        <v>0</v>
      </c>
      <c r="L122" s="8">
        <f>+VLOOKUP($B122,NIFTY_50!$B$3:$I$1238,8,0)</f>
        <v>-6.6371103765555661E-3</v>
      </c>
      <c r="M122" s="8">
        <f>+VLOOKUP($B122,NIFTY_BANK!$B$3:$I$41238,8,0)</f>
        <v>-1.3868388357349937E-2</v>
      </c>
      <c r="N122" s="8">
        <f>+VLOOKUP($B122,NIFTY_IT!$B$3:$I$1238,8,0)</f>
        <v>-1.0004326195111379E-2</v>
      </c>
      <c r="O122" s="8">
        <f>+VLOOKUP($B122,NIFTY_PHARMA!$B$3:$I$1238,8,0)</f>
        <v>-1.0814346681577991E-3</v>
      </c>
      <c r="P122" s="8">
        <f>+VLOOKUP($B122,NIFTY_FMCG!$B$3:$I$1238,8,0)</f>
        <v>9.3449549664903486E-4</v>
      </c>
      <c r="Q122" s="8">
        <f>+VLOOKUP($B122,NIFTY_METAL!$B$3:$I$1238,8,0)</f>
        <v>-2.5584289863089804E-3</v>
      </c>
      <c r="R122" s="8">
        <f>+VLOOKUP($B122,NIFTY_ENERGY!$B$3:$I$1238,8,0)</f>
        <v>8.1147105682410903E-4</v>
      </c>
      <c r="S122" s="8">
        <f>+VLOOKUP($B122,NIFTY_AUTO!$B$3:$I$1238,8,0)</f>
        <v>-5.7579589093250672E-3</v>
      </c>
      <c r="T122" s="8">
        <v>0</v>
      </c>
      <c r="U122" s="8">
        <f>+VLOOKUP($B122,NIFTY_50!$B$63:$K$1238,10,0)</f>
        <v>4.5116912798874864E-2</v>
      </c>
      <c r="V122" s="8">
        <f>+VLOOKUP($B122,NIFTY_BANK!$B$63:$K$1238,10,0)</f>
        <v>9.3795641071546365E-2</v>
      </c>
      <c r="W122" s="8">
        <f>+VLOOKUP($B122,NIFTY_IT!$B$63:$K$1238,10,0)</f>
        <v>-5.7316462332822948E-2</v>
      </c>
      <c r="X122" s="8">
        <f>+VLOOKUP($B122,NIFTY_PHARMA!$B$63:$K$1238,10,0)</f>
        <v>-9.8097678539108668E-2</v>
      </c>
      <c r="Y122" s="8">
        <f>+VLOOKUP($B122,NIFTY_FMCG!$B$63:$K$1238,10,0)</f>
        <v>0.1159295542383787</v>
      </c>
      <c r="Z122" s="8">
        <f>+VLOOKUP($B122,NIFTY_METAL!$B$63:$K$1238,10,0)</f>
        <v>-5.6989229738343083E-2</v>
      </c>
      <c r="AA122" s="8">
        <f>+VLOOKUP($B122,NIFTY_ENERGY!$B$63:$K$1238,10,0)</f>
        <v>4.2493494538953014E-2</v>
      </c>
      <c r="AB122" s="8">
        <f>+VLOOKUP($B122,NIFTY_AUTO!$B$63:$K$1238,10,0)</f>
        <v>6.9621149295091111E-2</v>
      </c>
      <c r="AC122" s="8"/>
      <c r="AD122" s="16">
        <f t="shared" si="62"/>
        <v>3.8299748834343249E-2</v>
      </c>
      <c r="AE122" s="8">
        <f t="shared" si="63"/>
        <v>5.6147169742430364E-2</v>
      </c>
      <c r="AF122" s="8">
        <f t="shared" si="64"/>
        <v>7.0631871611947603E-2</v>
      </c>
      <c r="AG122" s="8">
        <f t="shared" si="65"/>
        <v>8.7213497114516148E-2</v>
      </c>
      <c r="AH122" s="8">
        <f t="shared" si="66"/>
        <v>7.9040588642426274E-2</v>
      </c>
      <c r="AI122" s="8">
        <f t="shared" si="67"/>
        <v>9.3285569411323349E-2</v>
      </c>
      <c r="AJ122" s="8">
        <f t="shared" si="68"/>
        <v>6.4861710218856783E-2</v>
      </c>
      <c r="AK122" s="8">
        <f t="shared" si="69"/>
        <v>5.8663748711537289E-2</v>
      </c>
      <c r="AL122" s="9">
        <v>0</v>
      </c>
      <c r="AM122" s="17">
        <f t="shared" si="45"/>
        <v>26.109831798774188</v>
      </c>
      <c r="AN122" s="13">
        <f t="shared" si="46"/>
        <v>17.810336738029751</v>
      </c>
      <c r="AO122" s="13">
        <f t="shared" si="47"/>
        <v>14.157914510520303</v>
      </c>
      <c r="AP122" s="13">
        <f t="shared" si="48"/>
        <v>11.46611514370241</v>
      </c>
      <c r="AQ122" s="13">
        <f t="shared" si="49"/>
        <v>12.651727639882914</v>
      </c>
      <c r="AR122" s="13">
        <f t="shared" si="50"/>
        <v>10.7197716250271</v>
      </c>
      <c r="AS122" s="13">
        <f t="shared" si="51"/>
        <v>15.417416479241664</v>
      </c>
      <c r="AT122" s="13">
        <f t="shared" si="52"/>
        <v>17.046302392252883</v>
      </c>
      <c r="AU122" s="9">
        <v>0</v>
      </c>
      <c r="AV122" s="18">
        <f t="shared" si="70"/>
        <v>1</v>
      </c>
      <c r="AW122" s="18">
        <f t="shared" si="71"/>
        <v>2</v>
      </c>
      <c r="AX122" s="18">
        <f t="shared" si="72"/>
        <v>5</v>
      </c>
      <c r="AY122" s="18">
        <f t="shared" si="73"/>
        <v>7</v>
      </c>
      <c r="AZ122" s="18">
        <f t="shared" si="74"/>
        <v>6</v>
      </c>
      <c r="BA122" s="18">
        <f t="shared" si="75"/>
        <v>8</v>
      </c>
      <c r="BB122" s="18">
        <f t="shared" si="76"/>
        <v>4</v>
      </c>
      <c r="BC122" s="18">
        <f t="shared" si="77"/>
        <v>3</v>
      </c>
      <c r="BD122" s="18">
        <f t="shared" si="78"/>
        <v>9</v>
      </c>
      <c r="BE122" s="8">
        <f t="shared" si="80"/>
        <v>-9.085527923783308E-3</v>
      </c>
    </row>
    <row r="123" spans="1:57" x14ac:dyDescent="0.25">
      <c r="A123" t="str">
        <f t="shared" si="79"/>
        <v/>
      </c>
      <c r="B123" s="1">
        <v>42914</v>
      </c>
      <c r="C123" s="9">
        <f t="shared" si="54"/>
        <v>0.25213607286910394</v>
      </c>
      <c r="D123" s="9">
        <f t="shared" si="55"/>
        <v>0.25352789088934019</v>
      </c>
      <c r="E123" s="9">
        <f t="shared" si="56"/>
        <v>0.2455213573266318</v>
      </c>
      <c r="F123" s="9">
        <f t="shared" si="57"/>
        <v>0</v>
      </c>
      <c r="G123" s="9">
        <f t="shared" si="58"/>
        <v>0</v>
      </c>
      <c r="H123" s="9">
        <f t="shared" si="59"/>
        <v>0</v>
      </c>
      <c r="I123" s="9">
        <f t="shared" si="60"/>
        <v>0</v>
      </c>
      <c r="J123" s="9">
        <f t="shared" si="61"/>
        <v>0.24881467891492412</v>
      </c>
      <c r="K123" s="9">
        <v>0</v>
      </c>
      <c r="L123" s="8">
        <f>+VLOOKUP($B123,NIFTY_50!$B$3:$I$1238,8,0)</f>
        <v>-2.1185104190760695E-3</v>
      </c>
      <c r="M123" s="8">
        <f>+VLOOKUP($B123,NIFTY_BANK!$B$3:$I$41238,8,0)</f>
        <v>8.4423625693208493E-4</v>
      </c>
      <c r="N123" s="8">
        <f>+VLOOKUP($B123,NIFTY_IT!$B$3:$I$1238,8,0)</f>
        <v>6.4257586516831555E-3</v>
      </c>
      <c r="O123" s="8">
        <f>+VLOOKUP($B123,NIFTY_PHARMA!$B$3:$I$1238,8,0)</f>
        <v>1.5262096135364445E-3</v>
      </c>
      <c r="P123" s="8">
        <f>+VLOOKUP($B123,NIFTY_FMCG!$B$3:$I$1238,8,0)</f>
        <v>-7.8813821439344123E-3</v>
      </c>
      <c r="Q123" s="8">
        <f>+VLOOKUP($B123,NIFTY_METAL!$B$3:$I$1238,8,0)</f>
        <v>1.6204506065857993E-2</v>
      </c>
      <c r="R123" s="8">
        <f>+VLOOKUP($B123,NIFTY_ENERGY!$B$3:$I$1238,8,0)</f>
        <v>-1.1385344234736694E-2</v>
      </c>
      <c r="S123" s="8">
        <f>+VLOOKUP($B123,NIFTY_AUTO!$B$3:$I$1238,8,0)</f>
        <v>6.0985987405670627E-4</v>
      </c>
      <c r="T123" s="8">
        <v>0</v>
      </c>
      <c r="U123" s="8">
        <f>+VLOOKUP($B123,NIFTY_50!$B$63:$K$1238,10,0)</f>
        <v>3.7998425162405258E-2</v>
      </c>
      <c r="V123" s="8">
        <f>+VLOOKUP($B123,NIFTY_BANK!$B$63:$K$1238,10,0)</f>
        <v>8.6236597845370522E-2</v>
      </c>
      <c r="W123" s="8">
        <f>+VLOOKUP($B123,NIFTY_IT!$B$63:$K$1238,10,0)</f>
        <v>-5.6576283021063767E-2</v>
      </c>
      <c r="X123" s="8">
        <f>+VLOOKUP($B123,NIFTY_PHARMA!$B$63:$K$1238,10,0)</f>
        <v>-8.9941935793464101E-2</v>
      </c>
      <c r="Y123" s="8">
        <f>+VLOOKUP($B123,NIFTY_FMCG!$B$63:$K$1238,10,0)</f>
        <v>9.7556236138979902E-2</v>
      </c>
      <c r="Z123" s="8">
        <f>+VLOOKUP($B123,NIFTY_METAL!$B$63:$K$1238,10,0)</f>
        <v>-4.5359079142312964E-2</v>
      </c>
      <c r="AA123" s="8">
        <f>+VLOOKUP($B123,NIFTY_ENERGY!$B$63:$K$1238,10,0)</f>
        <v>2.6897841117539123E-2</v>
      </c>
      <c r="AB123" s="8">
        <f>+VLOOKUP($B123,NIFTY_AUTO!$B$63:$K$1238,10,0)</f>
        <v>7.4844476042962738E-2</v>
      </c>
      <c r="AC123" s="8"/>
      <c r="AD123" s="16">
        <f t="shared" si="62"/>
        <v>3.8188164236335261E-2</v>
      </c>
      <c r="AE123" s="8">
        <f t="shared" si="63"/>
        <v>5.5787874595920599E-2</v>
      </c>
      <c r="AF123" s="8">
        <f t="shared" si="64"/>
        <v>7.070953249547908E-2</v>
      </c>
      <c r="AG123" s="8">
        <f t="shared" si="65"/>
        <v>8.7068618701295827E-2</v>
      </c>
      <c r="AH123" s="8">
        <f t="shared" si="66"/>
        <v>7.9311553080593733E-2</v>
      </c>
      <c r="AI123" s="8">
        <f t="shared" si="67"/>
        <v>9.4708425878913968E-2</v>
      </c>
      <c r="AJ123" s="8">
        <f t="shared" si="68"/>
        <v>6.5888762121983122E-2</v>
      </c>
      <c r="AK123" s="8">
        <f t="shared" si="69"/>
        <v>5.8415095978427027E-2</v>
      </c>
      <c r="AL123" s="9">
        <v>0</v>
      </c>
      <c r="AM123" s="17">
        <f t="shared" si="45"/>
        <v>26.186123894599792</v>
      </c>
      <c r="AN123" s="13">
        <f t="shared" si="46"/>
        <v>17.925042085634921</v>
      </c>
      <c r="AO123" s="13">
        <f t="shared" si="47"/>
        <v>14.142364752078322</v>
      </c>
      <c r="AP123" s="13">
        <f t="shared" si="48"/>
        <v>11.485194263052174</v>
      </c>
      <c r="AQ123" s="13">
        <f t="shared" si="49"/>
        <v>12.608503567996376</v>
      </c>
      <c r="AR123" s="13">
        <f t="shared" si="50"/>
        <v>10.558722634441352</v>
      </c>
      <c r="AS123" s="13">
        <f t="shared" si="51"/>
        <v>15.177094967251783</v>
      </c>
      <c r="AT123" s="13">
        <f t="shared" si="52"/>
        <v>17.118862568835027</v>
      </c>
      <c r="AU123" s="9">
        <v>0</v>
      </c>
      <c r="AV123" s="18">
        <f t="shared" si="70"/>
        <v>1</v>
      </c>
      <c r="AW123" s="18">
        <f t="shared" si="71"/>
        <v>2</v>
      </c>
      <c r="AX123" s="18">
        <f t="shared" si="72"/>
        <v>5</v>
      </c>
      <c r="AY123" s="18">
        <f t="shared" si="73"/>
        <v>7</v>
      </c>
      <c r="AZ123" s="18">
        <f t="shared" si="74"/>
        <v>6</v>
      </c>
      <c r="BA123" s="18">
        <f t="shared" si="75"/>
        <v>8</v>
      </c>
      <c r="BB123" s="18">
        <f t="shared" si="76"/>
        <v>4</v>
      </c>
      <c r="BC123" s="18">
        <f t="shared" si="77"/>
        <v>3</v>
      </c>
      <c r="BD123" s="18">
        <f t="shared" si="78"/>
        <v>9</v>
      </c>
      <c r="BE123" s="8">
        <f t="shared" si="80"/>
        <v>1.3997642320444422E-3</v>
      </c>
    </row>
    <row r="124" spans="1:57" x14ac:dyDescent="0.25">
      <c r="A124" t="str">
        <f t="shared" si="79"/>
        <v/>
      </c>
      <c r="B124" s="1">
        <v>42915</v>
      </c>
      <c r="C124" s="9">
        <f t="shared" si="54"/>
        <v>0.25255687299051499</v>
      </c>
      <c r="D124" s="9">
        <f t="shared" si="55"/>
        <v>0.25351434092996411</v>
      </c>
      <c r="E124" s="9">
        <f t="shared" si="56"/>
        <v>0.2453768460832241</v>
      </c>
      <c r="F124" s="9">
        <f t="shared" si="57"/>
        <v>0</v>
      </c>
      <c r="G124" s="9">
        <f t="shared" si="58"/>
        <v>0</v>
      </c>
      <c r="H124" s="9">
        <f t="shared" si="59"/>
        <v>0</v>
      </c>
      <c r="I124" s="9">
        <f t="shared" si="60"/>
        <v>0</v>
      </c>
      <c r="J124" s="9">
        <f t="shared" si="61"/>
        <v>0.24855193999629685</v>
      </c>
      <c r="K124" s="9">
        <v>0</v>
      </c>
      <c r="L124" s="8">
        <f>+VLOOKUP($B124,NIFTY_50!$B$3:$I$1238,8,0)</f>
        <v>1.3538785723692381E-3</v>
      </c>
      <c r="M124" s="8">
        <f>+VLOOKUP($B124,NIFTY_BANK!$B$3:$I$41238,8,0)</f>
        <v>-3.6796588030996169E-4</v>
      </c>
      <c r="N124" s="8">
        <f>+VLOOKUP($B124,NIFTY_IT!$B$3:$I$1238,8,0)</f>
        <v>-9.0294122000678101E-4</v>
      </c>
      <c r="O124" s="8">
        <f>+VLOOKUP($B124,NIFTY_PHARMA!$B$3:$I$1238,8,0)</f>
        <v>-5.7106097117275434E-3</v>
      </c>
      <c r="P124" s="8">
        <f>+VLOOKUP($B124,NIFTY_FMCG!$B$3:$I$1238,8,0)</f>
        <v>6.2254877433904898E-3</v>
      </c>
      <c r="Q124" s="8">
        <f>+VLOOKUP($B124,NIFTY_METAL!$B$3:$I$1238,8,0)</f>
        <v>2.0277990961030001E-2</v>
      </c>
      <c r="R124" s="8">
        <f>+VLOOKUP($B124,NIFTY_ENERGY!$B$3:$I$1238,8,0)</f>
        <v>-1.1507875165319703E-3</v>
      </c>
      <c r="S124" s="8">
        <f>+VLOOKUP($B124,NIFTY_AUTO!$B$3:$I$1238,8,0)</f>
        <v>-1.3701672076464888E-3</v>
      </c>
      <c r="T124" s="8">
        <v>0</v>
      </c>
      <c r="U124" s="8">
        <f>+VLOOKUP($B124,NIFTY_50!$B$63:$K$1238,10,0)</f>
        <v>3.6010355634282565E-2</v>
      </c>
      <c r="V124" s="8">
        <f>+VLOOKUP($B124,NIFTY_BANK!$B$63:$K$1238,10,0)</f>
        <v>7.4308417396291349E-2</v>
      </c>
      <c r="W124" s="8">
        <f>+VLOOKUP($B124,NIFTY_IT!$B$63:$K$1238,10,0)</f>
        <v>-5.6505836031964241E-2</v>
      </c>
      <c r="X124" s="8">
        <f>+VLOOKUP($B124,NIFTY_PHARMA!$B$63:$K$1238,10,0)</f>
        <v>-9.4078195113045493E-2</v>
      </c>
      <c r="Y124" s="8">
        <f>+VLOOKUP($B124,NIFTY_FMCG!$B$63:$K$1238,10,0)</f>
        <v>0.10445904271048967</v>
      </c>
      <c r="Z124" s="8">
        <f>+VLOOKUP($B124,NIFTY_METAL!$B$63:$K$1238,10,0)</f>
        <v>-2.3026423228925119E-2</v>
      </c>
      <c r="AA124" s="8">
        <f>+VLOOKUP($B124,NIFTY_ENERGY!$B$63:$K$1238,10,0)</f>
        <v>2.2249761594002271E-2</v>
      </c>
      <c r="AB124" s="8">
        <f>+VLOOKUP($B124,NIFTY_AUTO!$B$63:$K$1238,10,0)</f>
        <v>7.1787876636613568E-2</v>
      </c>
      <c r="AC124" s="8"/>
      <c r="AD124" s="16">
        <f t="shared" si="62"/>
        <v>3.8102178192730131E-2</v>
      </c>
      <c r="AE124" s="8">
        <f t="shared" si="63"/>
        <v>5.5008473781274186E-2</v>
      </c>
      <c r="AF124" s="8">
        <f t="shared" si="64"/>
        <v>7.0709503421912526E-2</v>
      </c>
      <c r="AG124" s="8">
        <f t="shared" si="65"/>
        <v>8.7168782938707015E-2</v>
      </c>
      <c r="AH124" s="8">
        <f t="shared" si="66"/>
        <v>7.9426534511307295E-2</v>
      </c>
      <c r="AI124" s="8">
        <f t="shared" si="67"/>
        <v>9.6926524858215152E-2</v>
      </c>
      <c r="AJ124" s="8">
        <f t="shared" si="68"/>
        <v>6.5841420511329782E-2</v>
      </c>
      <c r="AK124" s="8">
        <f t="shared" si="69"/>
        <v>5.8470392990842869E-2</v>
      </c>
      <c r="AL124" s="9">
        <v>0</v>
      </c>
      <c r="AM124" s="17">
        <f t="shared" si="45"/>
        <v>26.245218710115616</v>
      </c>
      <c r="AN124" s="13">
        <f t="shared" si="46"/>
        <v>18.179017363328793</v>
      </c>
      <c r="AO124" s="13">
        <f t="shared" si="47"/>
        <v>14.142370566982443</v>
      </c>
      <c r="AP124" s="13">
        <f t="shared" si="48"/>
        <v>11.471996812243587</v>
      </c>
      <c r="AQ124" s="13">
        <f t="shared" si="49"/>
        <v>12.590250930029415</v>
      </c>
      <c r="AR124" s="13">
        <f t="shared" si="50"/>
        <v>10.31709329786462</v>
      </c>
      <c r="AS124" s="13">
        <f t="shared" si="51"/>
        <v>15.188007674104224</v>
      </c>
      <c r="AT124" s="13">
        <f t="shared" si="52"/>
        <v>17.102672803252947</v>
      </c>
      <c r="AU124" s="9">
        <v>0</v>
      </c>
      <c r="AV124" s="18">
        <f t="shared" si="70"/>
        <v>1</v>
      </c>
      <c r="AW124" s="18">
        <f t="shared" si="71"/>
        <v>2</v>
      </c>
      <c r="AX124" s="18">
        <f t="shared" si="72"/>
        <v>5</v>
      </c>
      <c r="AY124" s="18">
        <f t="shared" si="73"/>
        <v>7</v>
      </c>
      <c r="AZ124" s="18">
        <f t="shared" si="74"/>
        <v>6</v>
      </c>
      <c r="BA124" s="18">
        <f t="shared" si="75"/>
        <v>8</v>
      </c>
      <c r="BB124" s="18">
        <f t="shared" si="76"/>
        <v>4</v>
      </c>
      <c r="BC124" s="18">
        <f t="shared" si="77"/>
        <v>3</v>
      </c>
      <c r="BD124" s="18">
        <f t="shared" si="78"/>
        <v>9</v>
      </c>
      <c r="BE124" s="8">
        <f t="shared" si="80"/>
        <v>-3.1453705492796429E-4</v>
      </c>
    </row>
    <row r="125" spans="1:57" x14ac:dyDescent="0.25">
      <c r="A125" t="str">
        <f t="shared" si="79"/>
        <v>Y</v>
      </c>
      <c r="B125" s="1">
        <v>42916</v>
      </c>
      <c r="C125" s="9">
        <f t="shared" si="54"/>
        <v>0.25</v>
      </c>
      <c r="D125" s="9">
        <f t="shared" si="55"/>
        <v>0.25</v>
      </c>
      <c r="E125" s="9">
        <f t="shared" si="56"/>
        <v>0</v>
      </c>
      <c r="F125" s="9">
        <f t="shared" si="57"/>
        <v>0</v>
      </c>
      <c r="G125" s="9">
        <f t="shared" si="58"/>
        <v>0</v>
      </c>
      <c r="H125" s="9">
        <f t="shared" si="59"/>
        <v>0</v>
      </c>
      <c r="I125" s="9">
        <f t="shared" si="60"/>
        <v>0.25</v>
      </c>
      <c r="J125" s="9">
        <f t="shared" si="61"/>
        <v>0.25</v>
      </c>
      <c r="K125" s="9">
        <v>0</v>
      </c>
      <c r="L125" s="8">
        <f>+VLOOKUP($B125,NIFTY_50!$B$3:$I$1238,8,0)</f>
        <v>1.767658168579711E-3</v>
      </c>
      <c r="M125" s="8">
        <f>+VLOOKUP($B125,NIFTY_BANK!$B$3:$I$41238,8,0)</f>
        <v>-6.9314987105684178E-4</v>
      </c>
      <c r="N125" s="8">
        <f>+VLOOKUP($B125,NIFTY_IT!$B$3:$I$1238,8,0)</f>
        <v>3.0273398917466388E-3</v>
      </c>
      <c r="O125" s="8">
        <f>+VLOOKUP($B125,NIFTY_PHARMA!$B$3:$I$1238,8,0)</f>
        <v>1.8900744574786188E-2</v>
      </c>
      <c r="P125" s="8">
        <f>+VLOOKUP($B125,NIFTY_FMCG!$B$3:$I$1238,8,0)</f>
        <v>2.3271425374804089E-2</v>
      </c>
      <c r="Q125" s="8">
        <f>+VLOOKUP($B125,NIFTY_METAL!$B$3:$I$1238,8,0)</f>
        <v>5.0147098154651459E-5</v>
      </c>
      <c r="R125" s="8">
        <f>+VLOOKUP($B125,NIFTY_ENERGY!$B$3:$I$1238,8,0)</f>
        <v>-2.6137496990747966E-3</v>
      </c>
      <c r="S125" s="8">
        <f>+VLOOKUP($B125,NIFTY_AUTO!$B$3:$I$1238,8,0)</f>
        <v>-2.6400079484110162E-3</v>
      </c>
      <c r="T125" s="8">
        <v>0</v>
      </c>
      <c r="U125" s="8">
        <f>+VLOOKUP($B125,NIFTY_50!$B$63:$K$1238,10,0)</f>
        <v>3.7841667802152923E-2</v>
      </c>
      <c r="V125" s="8">
        <f>+VLOOKUP($B125,NIFTY_BANK!$B$63:$K$1238,10,0)</f>
        <v>8.2402426769072168E-2</v>
      </c>
      <c r="W125" s="8">
        <f>+VLOOKUP($B125,NIFTY_IT!$B$63:$K$1238,10,0)</f>
        <v>-5.1218087963936232E-2</v>
      </c>
      <c r="X125" s="8">
        <f>+VLOOKUP($B125,NIFTY_PHARMA!$B$63:$K$1238,10,0)</f>
        <v>-7.7296936457547871E-2</v>
      </c>
      <c r="Y125" s="8">
        <f>+VLOOKUP($B125,NIFTY_FMCG!$B$63:$K$1238,10,0)</f>
        <v>0.13633969493210096</v>
      </c>
      <c r="Z125" s="8">
        <f>+VLOOKUP($B125,NIFTY_METAL!$B$63:$K$1238,10,0)</f>
        <v>-3.3973292858180959E-2</v>
      </c>
      <c r="AA125" s="8">
        <f>+VLOOKUP($B125,NIFTY_ENERGY!$B$63:$K$1238,10,0)</f>
        <v>-4.146385433567823E-3</v>
      </c>
      <c r="AB125" s="8">
        <f>+VLOOKUP($B125,NIFTY_AUTO!$B$63:$K$1238,10,0)</f>
        <v>6.6805327827371919E-2</v>
      </c>
      <c r="AC125" s="8"/>
      <c r="AD125" s="16">
        <f t="shared" si="62"/>
        <v>3.8115042857305777E-2</v>
      </c>
      <c r="AE125" s="8">
        <f t="shared" si="63"/>
        <v>5.4229854008393093E-2</v>
      </c>
      <c r="AF125" s="8">
        <f t="shared" si="64"/>
        <v>7.0796298546362976E-2</v>
      </c>
      <c r="AG125" s="8">
        <f t="shared" si="65"/>
        <v>8.9484793282683425E-2</v>
      </c>
      <c r="AH125" s="8">
        <f t="shared" si="66"/>
        <v>8.1917739678830315E-2</v>
      </c>
      <c r="AI125" s="8">
        <f t="shared" si="67"/>
        <v>9.6209021557801977E-2</v>
      </c>
      <c r="AJ125" s="8">
        <f t="shared" si="68"/>
        <v>6.151326875823479E-2</v>
      </c>
      <c r="AK125" s="8">
        <f t="shared" si="69"/>
        <v>5.8584838309889038E-2</v>
      </c>
      <c r="AL125" s="9">
        <v>0</v>
      </c>
      <c r="AM125" s="17">
        <f t="shared" si="45"/>
        <v>26.236360372039382</v>
      </c>
      <c r="AN125" s="13">
        <f t="shared" si="46"/>
        <v>18.440027514092719</v>
      </c>
      <c r="AO125" s="13">
        <f t="shared" si="47"/>
        <v>14.125032247909422</v>
      </c>
      <c r="AP125" s="13">
        <f t="shared" si="48"/>
        <v>11.175083087480454</v>
      </c>
      <c r="AQ125" s="13">
        <f t="shared" si="49"/>
        <v>12.20736807339456</v>
      </c>
      <c r="AR125" s="13">
        <f t="shared" si="50"/>
        <v>10.394035650796056</v>
      </c>
      <c r="AS125" s="13">
        <f t="shared" si="51"/>
        <v>16.256655193049383</v>
      </c>
      <c r="AT125" s="13">
        <f t="shared" si="52"/>
        <v>17.069262779397334</v>
      </c>
      <c r="AU125" s="9">
        <v>0</v>
      </c>
      <c r="AV125" s="18">
        <f t="shared" si="70"/>
        <v>1</v>
      </c>
      <c r="AW125" s="18">
        <f t="shared" si="71"/>
        <v>2</v>
      </c>
      <c r="AX125" s="18">
        <f t="shared" si="72"/>
        <v>5</v>
      </c>
      <c r="AY125" s="18">
        <f t="shared" si="73"/>
        <v>7</v>
      </c>
      <c r="AZ125" s="18">
        <f t="shared" si="74"/>
        <v>6</v>
      </c>
      <c r="BA125" s="18">
        <f t="shared" si="75"/>
        <v>8</v>
      </c>
      <c r="BB125" s="18">
        <f t="shared" si="76"/>
        <v>4</v>
      </c>
      <c r="BC125" s="18">
        <f t="shared" si="77"/>
        <v>3</v>
      </c>
      <c r="BD125" s="18">
        <f t="shared" si="78"/>
        <v>9</v>
      </c>
      <c r="BE125" s="8">
        <f t="shared" si="80"/>
        <v>3.5737080432148515E-4</v>
      </c>
    </row>
    <row r="126" spans="1:57" x14ac:dyDescent="0.25">
      <c r="A126" t="str">
        <f t="shared" si="79"/>
        <v/>
      </c>
      <c r="B126" s="1">
        <v>42919</v>
      </c>
      <c r="C126" s="9">
        <f t="shared" si="54"/>
        <v>0.25061889846639412</v>
      </c>
      <c r="D126" s="9">
        <f t="shared" si="55"/>
        <v>0.24882474951898614</v>
      </c>
      <c r="E126" s="9">
        <f t="shared" si="56"/>
        <v>0</v>
      </c>
      <c r="F126" s="9">
        <f t="shared" si="57"/>
        <v>0</v>
      </c>
      <c r="G126" s="9">
        <f t="shared" si="58"/>
        <v>0</v>
      </c>
      <c r="H126" s="9">
        <f t="shared" si="59"/>
        <v>0</v>
      </c>
      <c r="I126" s="9">
        <f t="shared" si="60"/>
        <v>0.24907748091144236</v>
      </c>
      <c r="J126" s="9">
        <f t="shared" si="61"/>
        <v>0.25147887110317729</v>
      </c>
      <c r="K126" s="9">
        <v>0</v>
      </c>
      <c r="L126" s="8">
        <f>+VLOOKUP($B126,NIFTY_50!$B$3:$I$1238,8,0)</f>
        <v>9.8835194151813965E-3</v>
      </c>
      <c r="M126" s="8">
        <f>+VLOOKUP($B126,NIFTY_BANK!$B$3:$I$41238,8,0)</f>
        <v>2.653891224925875E-3</v>
      </c>
      <c r="N126" s="8">
        <f>+VLOOKUP($B126,NIFTY_IT!$B$3:$I$1238,8,0)</f>
        <v>3.426866435911391E-3</v>
      </c>
      <c r="O126" s="8">
        <f>+VLOOKUP($B126,NIFTY_PHARMA!$B$3:$I$1238,8,0)</f>
        <v>1.0305629580278364E-3</v>
      </c>
      <c r="P126" s="8">
        <f>+VLOOKUP($B126,NIFTY_FMCG!$B$3:$I$1238,8,0)</f>
        <v>3.8694230909406935E-2</v>
      </c>
      <c r="Q126" s="8">
        <f>+VLOOKUP($B126,NIFTY_METAL!$B$3:$I$1238,8,0)</f>
        <v>1.8369632440202732E-2</v>
      </c>
      <c r="R126" s="8">
        <f>+VLOOKUP($B126,NIFTY_ENERGY!$B$3:$I$1238,8,0)</f>
        <v>3.6722871625116671E-3</v>
      </c>
      <c r="S126" s="8">
        <f>+VLOOKUP($B126,NIFTY_AUTO!$B$3:$I$1238,8,0)</f>
        <v>1.3348829486966807E-2</v>
      </c>
      <c r="T126" s="8">
        <v>0</v>
      </c>
      <c r="U126" s="8">
        <f>+VLOOKUP($B126,NIFTY_50!$B$63:$K$1238,10,0)</f>
        <v>4.08265992628154E-2</v>
      </c>
      <c r="V126" s="8">
        <f>+VLOOKUP($B126,NIFTY_BANK!$B$63:$K$1238,10,0)</f>
        <v>8.0057082526017842E-2</v>
      </c>
      <c r="W126" s="8">
        <f>+VLOOKUP($B126,NIFTY_IT!$B$63:$K$1238,10,0)</f>
        <v>-3.7967333836858019E-2</v>
      </c>
      <c r="X126" s="8">
        <f>+VLOOKUP($B126,NIFTY_PHARMA!$B$63:$K$1238,10,0)</f>
        <v>-8.4480156897840275E-2</v>
      </c>
      <c r="Y126" s="8">
        <f>+VLOOKUP($B126,NIFTY_FMCG!$B$63:$K$1238,10,0)</f>
        <v>0.17545136127514849</v>
      </c>
      <c r="Z126" s="8">
        <f>+VLOOKUP($B126,NIFTY_METAL!$B$63:$K$1238,10,0)</f>
        <v>-1.9126122935247958E-2</v>
      </c>
      <c r="AA126" s="8">
        <f>+VLOOKUP($B126,NIFTY_ENERGY!$B$63:$K$1238,10,0)</f>
        <v>-1.4924615462713842E-2</v>
      </c>
      <c r="AB126" s="8">
        <f>+VLOOKUP($B126,NIFTY_AUTO!$B$63:$K$1238,10,0)</f>
        <v>7.6589289494108481E-2</v>
      </c>
      <c r="AC126" s="8"/>
      <c r="AD126" s="16">
        <f t="shared" si="62"/>
        <v>3.8702497153654952E-2</v>
      </c>
      <c r="AE126" s="8">
        <f t="shared" si="63"/>
        <v>5.4131903670245181E-2</v>
      </c>
      <c r="AF126" s="8">
        <f t="shared" si="64"/>
        <v>7.0252188646210662E-2</v>
      </c>
      <c r="AG126" s="8">
        <f t="shared" si="65"/>
        <v>8.8932414690929593E-2</v>
      </c>
      <c r="AH126" s="8">
        <f t="shared" si="66"/>
        <v>8.95675021127985E-2</v>
      </c>
      <c r="AI126" s="8">
        <f t="shared" si="67"/>
        <v>9.7959781741718058E-2</v>
      </c>
      <c r="AJ126" s="8">
        <f t="shared" si="68"/>
        <v>5.9831729241101431E-2</v>
      </c>
      <c r="AK126" s="8">
        <f t="shared" si="69"/>
        <v>5.9764479522376526E-2</v>
      </c>
      <c r="AL126" s="9">
        <v>0</v>
      </c>
      <c r="AM126" s="17">
        <f t="shared" si="45"/>
        <v>25.838126052431292</v>
      </c>
      <c r="AN126" s="13">
        <f t="shared" si="46"/>
        <v>18.473394286882847</v>
      </c>
      <c r="AO126" s="13">
        <f t="shared" si="47"/>
        <v>14.234431969600125</v>
      </c>
      <c r="AP126" s="13">
        <f t="shared" si="48"/>
        <v>11.244493961794925</v>
      </c>
      <c r="AQ126" s="13">
        <f t="shared" si="49"/>
        <v>11.16476374143639</v>
      </c>
      <c r="AR126" s="13">
        <f t="shared" si="50"/>
        <v>10.208271008980114</v>
      </c>
      <c r="AS126" s="13">
        <f t="shared" si="51"/>
        <v>16.71354000099749</v>
      </c>
      <c r="AT126" s="13">
        <f t="shared" si="52"/>
        <v>16.732346838653353</v>
      </c>
      <c r="AU126" s="9">
        <v>0</v>
      </c>
      <c r="AV126" s="18">
        <f t="shared" si="70"/>
        <v>1</v>
      </c>
      <c r="AW126" s="18">
        <f t="shared" si="71"/>
        <v>2</v>
      </c>
      <c r="AX126" s="18">
        <f t="shared" si="72"/>
        <v>5</v>
      </c>
      <c r="AY126" s="18">
        <f t="shared" si="73"/>
        <v>6</v>
      </c>
      <c r="AZ126" s="18">
        <f t="shared" si="74"/>
        <v>7</v>
      </c>
      <c r="BA126" s="18">
        <f t="shared" si="75"/>
        <v>8</v>
      </c>
      <c r="BB126" s="18">
        <f t="shared" si="76"/>
        <v>4</v>
      </c>
      <c r="BC126" s="18">
        <f t="shared" si="77"/>
        <v>3</v>
      </c>
      <c r="BD126" s="18">
        <f t="shared" si="78"/>
        <v>9</v>
      </c>
      <c r="BE126" s="8">
        <f t="shared" si="80"/>
        <v>7.3896318223964363E-3</v>
      </c>
    </row>
    <row r="127" spans="1:57" x14ac:dyDescent="0.25">
      <c r="A127" t="str">
        <f t="shared" si="79"/>
        <v/>
      </c>
      <c r="B127" s="1">
        <v>42920</v>
      </c>
      <c r="C127" s="9">
        <f t="shared" si="54"/>
        <v>0.2502123550824023</v>
      </c>
      <c r="D127" s="9">
        <f t="shared" si="55"/>
        <v>0.24783942163659473</v>
      </c>
      <c r="E127" s="9">
        <f t="shared" si="56"/>
        <v>0</v>
      </c>
      <c r="F127" s="9">
        <f t="shared" si="57"/>
        <v>0</v>
      </c>
      <c r="G127" s="9">
        <f t="shared" si="58"/>
        <v>0</v>
      </c>
      <c r="H127" s="9">
        <f t="shared" si="59"/>
        <v>0</v>
      </c>
      <c r="I127" s="9">
        <f t="shared" si="60"/>
        <v>0.25204133542918145</v>
      </c>
      <c r="J127" s="9">
        <f t="shared" si="61"/>
        <v>0.24990688785182158</v>
      </c>
      <c r="K127" s="9">
        <v>0</v>
      </c>
      <c r="L127" s="8">
        <f>+VLOOKUP($B127,NIFTY_50!$B$3:$I$1238,8,0)</f>
        <v>-1.7680707228295844E-4</v>
      </c>
      <c r="M127" s="8">
        <f>+VLOOKUP($B127,NIFTY_BANK!$B$3:$I$41238,8,0)</f>
        <v>-2.5179608813722387E-3</v>
      </c>
      <c r="N127" s="8">
        <f>+VLOOKUP($B127,NIFTY_IT!$B$3:$I$1238,8,0)</f>
        <v>2.3111233236994266E-3</v>
      </c>
      <c r="O127" s="8">
        <f>+VLOOKUP($B127,NIFTY_PHARMA!$B$3:$I$1238,8,0)</f>
        <v>-1.0227426349011415E-2</v>
      </c>
      <c r="P127" s="8">
        <f>+VLOOKUP($B127,NIFTY_FMCG!$B$3:$I$1238,8,0)</f>
        <v>-8.6262739678700795E-3</v>
      </c>
      <c r="Q127" s="8">
        <f>+VLOOKUP($B127,NIFTY_METAL!$B$3:$I$1238,8,0)</f>
        <v>1.2638282506647336E-3</v>
      </c>
      <c r="R127" s="8">
        <f>+VLOOKUP($B127,NIFTY_ENERGY!$B$3:$I$1238,8,0)</f>
        <v>1.3364253199347198E-2</v>
      </c>
      <c r="S127" s="8">
        <f>+VLOOKUP($B127,NIFTY_AUTO!$B$3:$I$1238,8,0)</f>
        <v>-4.8123060214683155E-3</v>
      </c>
      <c r="T127" s="8">
        <v>0</v>
      </c>
      <c r="U127" s="8">
        <f>+VLOOKUP($B127,NIFTY_50!$B$63:$K$1238,10,0)</f>
        <v>3.7576293961781415E-2</v>
      </c>
      <c r="V127" s="8">
        <f>+VLOOKUP($B127,NIFTY_BANK!$B$63:$K$1238,10,0)</f>
        <v>7.2115717670313551E-2</v>
      </c>
      <c r="W127" s="8">
        <f>+VLOOKUP($B127,NIFTY_IT!$B$63:$K$1238,10,0)</f>
        <v>-2.8248480062414982E-2</v>
      </c>
      <c r="X127" s="8">
        <f>+VLOOKUP($B127,NIFTY_PHARMA!$B$63:$K$1238,10,0)</f>
        <v>-9.7067208037073693E-2</v>
      </c>
      <c r="Y127" s="8">
        <f>+VLOOKUP($B127,NIFTY_FMCG!$B$63:$K$1238,10,0)</f>
        <v>0.16807371192815368</v>
      </c>
      <c r="Z127" s="8">
        <f>+VLOOKUP($B127,NIFTY_METAL!$B$63:$K$1238,10,0)</f>
        <v>-2.776316837995052E-2</v>
      </c>
      <c r="AA127" s="8">
        <f>+VLOOKUP($B127,NIFTY_ENERGY!$B$63:$K$1238,10,0)</f>
        <v>-1.5084353843713649E-2</v>
      </c>
      <c r="AB127" s="8">
        <f>+VLOOKUP($B127,NIFTY_AUTO!$B$63:$K$1238,10,0)</f>
        <v>5.9400710615883812E-2</v>
      </c>
      <c r="AC127" s="8"/>
      <c r="AD127" s="16">
        <f t="shared" si="62"/>
        <v>3.8642043846073115E-2</v>
      </c>
      <c r="AE127" s="8">
        <f t="shared" si="63"/>
        <v>5.4138772302824281E-2</v>
      </c>
      <c r="AF127" s="8">
        <f t="shared" si="64"/>
        <v>6.9939074355530581E-2</v>
      </c>
      <c r="AG127" s="8">
        <f t="shared" si="65"/>
        <v>8.9216620875798444E-2</v>
      </c>
      <c r="AH127" s="8">
        <f t="shared" si="66"/>
        <v>9.0136353414174003E-2</v>
      </c>
      <c r="AI127" s="8">
        <f t="shared" si="67"/>
        <v>9.7411426626971859E-2</v>
      </c>
      <c r="AJ127" s="8">
        <f t="shared" si="68"/>
        <v>5.9794181128697853E-2</v>
      </c>
      <c r="AK127" s="8">
        <f t="shared" si="69"/>
        <v>5.9179777932246616E-2</v>
      </c>
      <c r="AL127" s="9">
        <v>0</v>
      </c>
      <c r="AM127" s="17">
        <f t="shared" si="45"/>
        <v>25.878548349652629</v>
      </c>
      <c r="AN127" s="13">
        <f t="shared" si="46"/>
        <v>18.471050551470164</v>
      </c>
      <c r="AO127" s="13">
        <f t="shared" si="47"/>
        <v>14.298158922100788</v>
      </c>
      <c r="AP127" s="13">
        <f t="shared" si="48"/>
        <v>11.208673789518825</v>
      </c>
      <c r="AQ127" s="13">
        <f t="shared" si="49"/>
        <v>11.094302821471246</v>
      </c>
      <c r="AR127" s="13">
        <f t="shared" si="50"/>
        <v>10.265736111528357</v>
      </c>
      <c r="AS127" s="13">
        <f t="shared" si="51"/>
        <v>16.724035368051158</v>
      </c>
      <c r="AT127" s="13">
        <f t="shared" si="52"/>
        <v>16.897663947723391</v>
      </c>
      <c r="AU127" s="9">
        <v>0</v>
      </c>
      <c r="AV127" s="18">
        <f t="shared" si="70"/>
        <v>1</v>
      </c>
      <c r="AW127" s="18">
        <f t="shared" si="71"/>
        <v>2</v>
      </c>
      <c r="AX127" s="18">
        <f t="shared" si="72"/>
        <v>5</v>
      </c>
      <c r="AY127" s="18">
        <f t="shared" si="73"/>
        <v>6</v>
      </c>
      <c r="AZ127" s="18">
        <f t="shared" si="74"/>
        <v>7</v>
      </c>
      <c r="BA127" s="18">
        <f t="shared" si="75"/>
        <v>8</v>
      </c>
      <c r="BB127" s="18">
        <f t="shared" si="76"/>
        <v>4</v>
      </c>
      <c r="BC127" s="18">
        <f t="shared" si="77"/>
        <v>3</v>
      </c>
      <c r="BD127" s="18">
        <f t="shared" si="78"/>
        <v>9</v>
      </c>
      <c r="BE127" s="8">
        <f t="shared" si="80"/>
        <v>1.4476990561715338E-3</v>
      </c>
    </row>
    <row r="128" spans="1:57" x14ac:dyDescent="0.25">
      <c r="A128" t="str">
        <f t="shared" si="79"/>
        <v/>
      </c>
      <c r="B128" s="1">
        <v>42921</v>
      </c>
      <c r="C128" s="9">
        <f t="shared" si="54"/>
        <v>0.24922874913002044</v>
      </c>
      <c r="D128" s="9">
        <f t="shared" si="55"/>
        <v>0.24771077091967234</v>
      </c>
      <c r="E128" s="9">
        <f t="shared" si="56"/>
        <v>0</v>
      </c>
      <c r="F128" s="9">
        <f t="shared" si="57"/>
        <v>0</v>
      </c>
      <c r="G128" s="9">
        <f t="shared" si="58"/>
        <v>0</v>
      </c>
      <c r="H128" s="9">
        <f t="shared" si="59"/>
        <v>0</v>
      </c>
      <c r="I128" s="9">
        <f t="shared" si="60"/>
        <v>0.25300585591401947</v>
      </c>
      <c r="J128" s="9">
        <f t="shared" si="61"/>
        <v>0.25005462403628764</v>
      </c>
      <c r="K128" s="9">
        <v>0</v>
      </c>
      <c r="L128" s="8">
        <f>+VLOOKUP($B128,NIFTY_50!$B$3:$I$1238,8,0)</f>
        <v>2.5277480157699372E-3</v>
      </c>
      <c r="M128" s="8">
        <f>+VLOOKUP($B128,NIFTY_BANK!$B$3:$I$41238,8,0)</f>
        <v>5.9618681668978102E-3</v>
      </c>
      <c r="N128" s="8">
        <f>+VLOOKUP($B128,NIFTY_IT!$B$3:$I$1238,8,0)</f>
        <v>-5.1647835196898528E-3</v>
      </c>
      <c r="O128" s="8">
        <f>+VLOOKUP($B128,NIFTY_PHARMA!$B$3:$I$1238,8,0)</f>
        <v>7.4806024406515181E-3</v>
      </c>
      <c r="P128" s="8">
        <f>+VLOOKUP($B128,NIFTY_FMCG!$B$3:$I$1238,8,0)</f>
        <v>-7.1912151737906216E-3</v>
      </c>
      <c r="Q128" s="8">
        <f>+VLOOKUP($B128,NIFTY_METAL!$B$3:$I$1238,8,0)</f>
        <v>1.0720784223726687E-2</v>
      </c>
      <c r="R128" s="8">
        <f>+VLOOKUP($B128,NIFTY_ENERGY!$B$3:$I$1238,8,0)</f>
        <v>1.0335972064482224E-2</v>
      </c>
      <c r="S128" s="8">
        <f>+VLOOKUP($B128,NIFTY_AUTO!$B$3:$I$1238,8,0)</f>
        <v>7.0793213259263688E-3</v>
      </c>
      <c r="T128" s="8">
        <v>0</v>
      </c>
      <c r="U128" s="8">
        <f>+VLOOKUP($B128,NIFTY_50!$B$63:$K$1238,10,0)</f>
        <v>4.0558413724971487E-2</v>
      </c>
      <c r="V128" s="8">
        <f>+VLOOKUP($B128,NIFTY_BANK!$B$63:$K$1238,10,0)</f>
        <v>7.9991398028483429E-2</v>
      </c>
      <c r="W128" s="8">
        <f>+VLOOKUP($B128,NIFTY_IT!$B$63:$K$1238,10,0)</f>
        <v>-3.5822226861450979E-2</v>
      </c>
      <c r="X128" s="8">
        <f>+VLOOKUP($B128,NIFTY_PHARMA!$B$63:$K$1238,10,0)</f>
        <v>-8.4104606626742018E-2</v>
      </c>
      <c r="Y128" s="8">
        <f>+VLOOKUP($B128,NIFTY_FMCG!$B$63:$K$1238,10,0)</f>
        <v>0.17133067797336077</v>
      </c>
      <c r="Z128" s="8">
        <f>+VLOOKUP($B128,NIFTY_METAL!$B$63:$K$1238,10,0)</f>
        <v>-2.011982899734599E-2</v>
      </c>
      <c r="AA128" s="8">
        <f>+VLOOKUP($B128,NIFTY_ENERGY!$B$63:$K$1238,10,0)</f>
        <v>-1.6736160086444185E-2</v>
      </c>
      <c r="AB128" s="8">
        <f>+VLOOKUP($B128,NIFTY_AUTO!$B$63:$K$1238,10,0)</f>
        <v>6.6714497822685903E-2</v>
      </c>
      <c r="AC128" s="8"/>
      <c r="AD128" s="16">
        <f t="shared" si="62"/>
        <v>3.8675527233271778E-2</v>
      </c>
      <c r="AE128" s="8">
        <f t="shared" si="63"/>
        <v>5.4283260178508014E-2</v>
      </c>
      <c r="AF128" s="8">
        <f t="shared" si="64"/>
        <v>7.0024378595002976E-2</v>
      </c>
      <c r="AG128" s="8">
        <f t="shared" si="65"/>
        <v>8.9510412348345239E-2</v>
      </c>
      <c r="AH128" s="8">
        <f t="shared" si="66"/>
        <v>8.9792367380060842E-2</v>
      </c>
      <c r="AI128" s="8">
        <f t="shared" si="67"/>
        <v>9.7984210654198309E-2</v>
      </c>
      <c r="AJ128" s="8">
        <f t="shared" si="68"/>
        <v>5.9469181961861121E-2</v>
      </c>
      <c r="AK128" s="8">
        <f t="shared" si="69"/>
        <v>5.9481800968635042E-2</v>
      </c>
      <c r="AL128" s="9">
        <v>0</v>
      </c>
      <c r="AM128" s="17">
        <f t="shared" ref="AM128:AM191" si="81">1/AD128</f>
        <v>25.856143963299875</v>
      </c>
      <c r="AN128" s="13">
        <f t="shared" ref="AN128:AN191" si="82">1/AE128</f>
        <v>18.421885434138368</v>
      </c>
      <c r="AO128" s="13">
        <f t="shared" ref="AO128:AO191" si="83">1/AF128</f>
        <v>14.280740794340462</v>
      </c>
      <c r="AP128" s="13">
        <f t="shared" ref="AP128:AP191" si="84">1/AG128</f>
        <v>11.171884630676566</v>
      </c>
      <c r="AQ128" s="13">
        <f t="shared" ref="AQ128:AQ191" si="85">1/AH128</f>
        <v>11.136804042233756</v>
      </c>
      <c r="AR128" s="13">
        <f t="shared" ref="AR128:AR191" si="86">1/AI128</f>
        <v>10.205725936081246</v>
      </c>
      <c r="AS128" s="13">
        <f t="shared" ref="AS128:AS191" si="87">1/AJ128</f>
        <v>16.815432245920615</v>
      </c>
      <c r="AT128" s="13">
        <f t="shared" ref="AT128:AT191" si="88">1/AK128</f>
        <v>16.811864868168726</v>
      </c>
      <c r="AU128" s="9">
        <v>0</v>
      </c>
      <c r="AV128" s="18">
        <f t="shared" si="70"/>
        <v>1</v>
      </c>
      <c r="AW128" s="18">
        <f t="shared" si="71"/>
        <v>2</v>
      </c>
      <c r="AX128" s="18">
        <f t="shared" si="72"/>
        <v>5</v>
      </c>
      <c r="AY128" s="18">
        <f t="shared" si="73"/>
        <v>6</v>
      </c>
      <c r="AZ128" s="18">
        <f t="shared" si="74"/>
        <v>7</v>
      </c>
      <c r="BA128" s="18">
        <f t="shared" si="75"/>
        <v>8</v>
      </c>
      <c r="BB128" s="18">
        <f t="shared" si="76"/>
        <v>3</v>
      </c>
      <c r="BC128" s="18">
        <f t="shared" si="77"/>
        <v>4</v>
      </c>
      <c r="BD128" s="18">
        <f t="shared" si="78"/>
        <v>9</v>
      </c>
      <c r="BE128" s="8">
        <f t="shared" si="80"/>
        <v>6.4843231051943465E-3</v>
      </c>
    </row>
    <row r="129" spans="1:57" x14ac:dyDescent="0.25">
      <c r="A129" t="str">
        <f t="shared" si="79"/>
        <v/>
      </c>
      <c r="B129" s="1">
        <v>42922</v>
      </c>
      <c r="C129" s="9">
        <f t="shared" ref="C129:C192" si="89">+IF($A129="Y",IF(AV129&lt;=4,0.25,0),C128*(1+L129)/SUMPRODUCT($C128:$J128,1+$L129:$S129))</f>
        <v>0.24959007464782373</v>
      </c>
      <c r="D129" s="9">
        <f t="shared" ref="D129:D192" si="90">+IF($A129="Y",IF(AW129&lt;=4,0.25,0),D128*(1+M129)/SUMPRODUCT($C128:$J128,1+$L129:$S129))</f>
        <v>0.24832934522391217</v>
      </c>
      <c r="E129" s="9">
        <f t="shared" ref="E129:E192" si="91">+IF($A129="Y",IF(AX129&lt;=4,0.25,0),E128*(1+N129)/SUMPRODUCT($C128:$J128,1+$L129:$S129))</f>
        <v>0</v>
      </c>
      <c r="F129" s="9">
        <f t="shared" ref="F129:F192" si="92">+IF($A129="Y",IF(AY129&lt;=4,0.25,0),F128*(1+O129)/SUMPRODUCT($C128:$J128,1+$L129:$S129))</f>
        <v>0</v>
      </c>
      <c r="G129" s="9">
        <f t="shared" ref="G129:G192" si="93">+IF($A129="Y",IF(AZ129&lt;=4,0.25,0),G128*(1+P129)/SUMPRODUCT($C128:$J128,1+$L129:$S129))</f>
        <v>0</v>
      </c>
      <c r="H129" s="9">
        <f t="shared" ref="H129:H192" si="94">+IF($A129="Y",IF(BA129&lt;=4,0.25,0),H128*(1+Q129)/SUMPRODUCT($C128:$J128,1+$L129:$S129))</f>
        <v>0</v>
      </c>
      <c r="I129" s="9">
        <f t="shared" ref="I129:I192" si="95">+IF($A129="Y",IF(BB129&lt;=4,0.25,0),I128*(1+R129)/SUMPRODUCT($C128:$J128,1+$L129:$S129))</f>
        <v>0.25164692455123921</v>
      </c>
      <c r="J129" s="9">
        <f t="shared" ref="J129:J192" si="96">+IF($A129="Y",IF(BC129&lt;=4,0.25,0),J128*(1+S129)/SUMPRODUCT($C128:$J128,1+$L129:$S129))</f>
        <v>0.25043365557702502</v>
      </c>
      <c r="K129" s="9">
        <v>0</v>
      </c>
      <c r="L129" s="8">
        <f>+VLOOKUP($B129,NIFTY_50!$B$3:$I$1238,8,0)</f>
        <v>3.833942060263773E-3</v>
      </c>
      <c r="M129" s="8">
        <f>+VLOOKUP($B129,NIFTY_BANK!$B$3:$I$41238,8,0)</f>
        <v>4.8838244991993296E-3</v>
      </c>
      <c r="N129" s="8">
        <f>+VLOOKUP($B129,NIFTY_IT!$B$3:$I$1238,8,0)</f>
        <v>-1.1564220792961155E-3</v>
      </c>
      <c r="O129" s="8">
        <f>+VLOOKUP($B129,NIFTY_PHARMA!$B$3:$I$1238,8,0)</f>
        <v>9.6984612817618832E-4</v>
      </c>
      <c r="P129" s="8">
        <f>+VLOOKUP($B129,NIFTY_FMCG!$B$3:$I$1238,8,0)</f>
        <v>8.4937877979041065E-3</v>
      </c>
      <c r="Q129" s="8">
        <f>+VLOOKUP($B129,NIFTY_METAL!$B$3:$I$1238,8,0)</f>
        <v>3.6978769644970821E-3</v>
      </c>
      <c r="R129" s="8">
        <f>+VLOOKUP($B129,NIFTY_ENERGY!$B$3:$I$1238,8,0)</f>
        <v>-3.0032171334375413E-3</v>
      </c>
      <c r="S129" s="8">
        <f>+VLOOKUP($B129,NIFTY_AUTO!$B$3:$I$1238,8,0)</f>
        <v>3.9001195725281157E-3</v>
      </c>
      <c r="T129" s="8">
        <v>0</v>
      </c>
      <c r="U129" s="8">
        <f>+VLOOKUP($B129,NIFTY_50!$B$63:$K$1238,10,0)</f>
        <v>5.1775871628453096E-2</v>
      </c>
      <c r="V129" s="8">
        <f>+VLOOKUP($B129,NIFTY_BANK!$B$63:$K$1238,10,0)</f>
        <v>9.497857091196682E-2</v>
      </c>
      <c r="W129" s="8">
        <f>+VLOOKUP($B129,NIFTY_IT!$B$63:$K$1238,10,0)</f>
        <v>-3.2124549984502759E-2</v>
      </c>
      <c r="X129" s="8">
        <f>+VLOOKUP($B129,NIFTY_PHARMA!$B$63:$K$1238,10,0)</f>
        <v>-6.6825137568297888E-2</v>
      </c>
      <c r="Y129" s="8">
        <f>+VLOOKUP($B129,NIFTY_FMCG!$B$63:$K$1238,10,0)</f>
        <v>0.18704743378142541</v>
      </c>
      <c r="Z129" s="8">
        <f>+VLOOKUP($B129,NIFTY_METAL!$B$63:$K$1238,10,0)</f>
        <v>-5.4160907717527573E-3</v>
      </c>
      <c r="AA129" s="8">
        <f>+VLOOKUP($B129,NIFTY_ENERGY!$B$63:$K$1238,10,0)</f>
        <v>-1.4126859697802918E-2</v>
      </c>
      <c r="AB129" s="8">
        <f>+VLOOKUP($B129,NIFTY_AUTO!$B$63:$K$1238,10,0)</f>
        <v>7.5327079424640342E-2</v>
      </c>
      <c r="AC129" s="8"/>
      <c r="AD129" s="16">
        <f t="shared" ref="AD129:AD192" si="97">+_xlfn.STDEV.S(L69:L129)*SQRT(60)</f>
        <v>3.8041650166068156E-2</v>
      </c>
      <c r="AE129" s="8">
        <f t="shared" ref="AE129:AE192" si="98">+_xlfn.STDEV.S(M69:M129)*SQRT(60)</f>
        <v>5.3416830971387309E-2</v>
      </c>
      <c r="AF129" s="8">
        <f t="shared" ref="AF129:AF192" si="99">+_xlfn.STDEV.S(N69:N129)*SQRT(60)</f>
        <v>6.9885929581779124E-2</v>
      </c>
      <c r="AG129" s="8">
        <f t="shared" ref="AG129:AG192" si="100">+_xlfn.STDEV.S(O69:O129)*SQRT(60)</f>
        <v>8.8032937139035983E-2</v>
      </c>
      <c r="AH129" s="8">
        <f t="shared" ref="AH129:AH192" si="101">+_xlfn.STDEV.S(P69:P129)*SQRT(60)</f>
        <v>8.9650496120793469E-2</v>
      </c>
      <c r="AI129" s="8">
        <f t="shared" ref="AI129:AI192" si="102">+_xlfn.STDEV.S(Q69:Q129)*SQRT(60)</f>
        <v>9.7439266792186494E-2</v>
      </c>
      <c r="AJ129" s="8">
        <f t="shared" ref="AJ129:AJ192" si="103">+_xlfn.STDEV.S(R69:R129)*SQRT(60)</f>
        <v>5.9287133372009478E-2</v>
      </c>
      <c r="AK129" s="8">
        <f t="shared" ref="AK129:AK192" si="104">+_xlfn.STDEV.S(S69:S129)*SQRT(60)</f>
        <v>5.9309288857052868E-2</v>
      </c>
      <c r="AL129" s="9">
        <v>0</v>
      </c>
      <c r="AM129" s="17">
        <f t="shared" si="81"/>
        <v>26.286977447996346</v>
      </c>
      <c r="AN129" s="13">
        <f t="shared" si="82"/>
        <v>18.720691246840332</v>
      </c>
      <c r="AO129" s="13">
        <f t="shared" si="83"/>
        <v>14.309031960858729</v>
      </c>
      <c r="AP129" s="13">
        <f t="shared" si="84"/>
        <v>11.359384708710069</v>
      </c>
      <c r="AQ129" s="13">
        <f t="shared" si="85"/>
        <v>11.154427953779731</v>
      </c>
      <c r="AR129" s="13">
        <f t="shared" si="86"/>
        <v>10.262803004591046</v>
      </c>
      <c r="AS129" s="13">
        <f t="shared" si="87"/>
        <v>16.867066142754645</v>
      </c>
      <c r="AT129" s="13">
        <f t="shared" si="88"/>
        <v>16.860765307946924</v>
      </c>
      <c r="AU129" s="9">
        <v>0</v>
      </c>
      <c r="AV129" s="18">
        <f t="shared" ref="AV129:AV192" si="105">+RANK(AM129,$AM129:$AU129)</f>
        <v>1</v>
      </c>
      <c r="AW129" s="18">
        <f t="shared" ref="AW129:AW192" si="106">+RANK(AN129,$AM129:$AU129)</f>
        <v>2</v>
      </c>
      <c r="AX129" s="18">
        <f t="shared" ref="AX129:AX192" si="107">+RANK(AO129,$AM129:$AU129)</f>
        <v>5</v>
      </c>
      <c r="AY129" s="18">
        <f t="shared" ref="AY129:AY192" si="108">+RANK(AP129,$AM129:$AU129)</f>
        <v>6</v>
      </c>
      <c r="AZ129" s="18">
        <f t="shared" ref="AZ129:AZ192" si="109">+RANK(AQ129,$AM129:$AU129)</f>
        <v>7</v>
      </c>
      <c r="BA129" s="18">
        <f t="shared" ref="BA129:BA192" si="110">+RANK(AR129,$AM129:$AU129)</f>
        <v>8</v>
      </c>
      <c r="BB129" s="18">
        <f t="shared" ref="BB129:BB192" si="111">+RANK(AS129,$AM129:$AU129)</f>
        <v>3</v>
      </c>
      <c r="BC129" s="18">
        <f t="shared" ref="BC129:BC192" si="112">+RANK(AT129,$AM129:$AU129)</f>
        <v>4</v>
      </c>
      <c r="BD129" s="18">
        <f t="shared" ref="BD129:BD192" si="113">+RANK(AU129,$AM129:$AU129)</f>
        <v>9</v>
      </c>
      <c r="BE129" s="8">
        <f t="shared" si="80"/>
        <v>2.3807159277136336E-3</v>
      </c>
    </row>
    <row r="130" spans="1:57" x14ac:dyDescent="0.25">
      <c r="A130" t="str">
        <f t="shared" si="79"/>
        <v/>
      </c>
      <c r="B130" s="1">
        <v>42923</v>
      </c>
      <c r="C130" s="9">
        <f t="shared" si="89"/>
        <v>0.24866785848711534</v>
      </c>
      <c r="D130" s="9">
        <f t="shared" si="90"/>
        <v>0.24745108608301999</v>
      </c>
      <c r="E130" s="9">
        <f t="shared" si="91"/>
        <v>0</v>
      </c>
      <c r="F130" s="9">
        <f t="shared" si="92"/>
        <v>0</v>
      </c>
      <c r="G130" s="9">
        <f t="shared" si="93"/>
        <v>0</v>
      </c>
      <c r="H130" s="9">
        <f t="shared" si="94"/>
        <v>0</v>
      </c>
      <c r="I130" s="9">
        <f t="shared" si="95"/>
        <v>0.25455470115243511</v>
      </c>
      <c r="J130" s="9">
        <f t="shared" si="96"/>
        <v>0.24932635427742963</v>
      </c>
      <c r="K130" s="9">
        <v>0</v>
      </c>
      <c r="L130" s="8">
        <f>+VLOOKUP($B130,NIFTY_50!$B$3:$I$1238,8,0)</f>
        <v>-9.0443483159419191E-4</v>
      </c>
      <c r="M130" s="8">
        <f>+VLOOKUP($B130,NIFTY_BANK!$B$3:$I$41238,8,0)</f>
        <v>-7.4573916600795265E-4</v>
      </c>
      <c r="N130" s="8">
        <f>+VLOOKUP($B130,NIFTY_IT!$B$3:$I$1238,8,0)</f>
        <v>-6.0203568859680257E-3</v>
      </c>
      <c r="O130" s="8">
        <f>+VLOOKUP($B130,NIFTY_PHARMA!$B$3:$I$1238,8,0)</f>
        <v>1.3064609390057713E-2</v>
      </c>
      <c r="P130" s="8">
        <f>+VLOOKUP($B130,NIFTY_FMCG!$B$3:$I$1238,8,0)</f>
        <v>-4.2002487156339585E-3</v>
      </c>
      <c r="Q130" s="8">
        <f>+VLOOKUP($B130,NIFTY_METAL!$B$3:$I$1238,8,0)</f>
        <v>-2.1006705986911234E-3</v>
      </c>
      <c r="R130" s="8">
        <f>+VLOOKUP($B130,NIFTY_ENERGY!$B$3:$I$1238,8,0)</f>
        <v>1.4388186541576475E-2</v>
      </c>
      <c r="S130" s="8">
        <f>+VLOOKUP($B130,NIFTY_AUTO!$B$3:$I$1238,8,0)</f>
        <v>-1.6330822449994731E-3</v>
      </c>
      <c r="T130" s="8">
        <v>0</v>
      </c>
      <c r="U130" s="8">
        <f>+VLOOKUP($B130,NIFTY_50!$B$63:$K$1238,10,0)</f>
        <v>5.2753105446307291E-2</v>
      </c>
      <c r="V130" s="8">
        <f>+VLOOKUP($B130,NIFTY_BANK!$B$63:$K$1238,10,0)</f>
        <v>8.9636921675731784E-2</v>
      </c>
      <c r="W130" s="8">
        <f>+VLOOKUP($B130,NIFTY_IT!$B$63:$K$1238,10,0)</f>
        <v>-2.4216131512891592E-2</v>
      </c>
      <c r="X130" s="8">
        <f>+VLOOKUP($B130,NIFTY_PHARMA!$B$63:$K$1238,10,0)</f>
        <v>-5.7382849609337039E-2</v>
      </c>
      <c r="Y130" s="8">
        <f>+VLOOKUP($B130,NIFTY_FMCG!$B$63:$K$1238,10,0)</f>
        <v>0.18057791293695402</v>
      </c>
      <c r="Z130" s="8">
        <f>+VLOOKUP($B130,NIFTY_METAL!$B$63:$K$1238,10,0)</f>
        <v>-1.6154471156143879E-2</v>
      </c>
      <c r="AA130" s="8">
        <f>+VLOOKUP($B130,NIFTY_ENERGY!$B$63:$K$1238,10,0)</f>
        <v>3.1870321906892762E-3</v>
      </c>
      <c r="AB130" s="8">
        <f>+VLOOKUP($B130,NIFTY_AUTO!$B$63:$K$1238,10,0)</f>
        <v>6.9637605303823236E-2</v>
      </c>
      <c r="AC130" s="8"/>
      <c r="AD130" s="16">
        <f t="shared" si="97"/>
        <v>3.7987600475190113E-2</v>
      </c>
      <c r="AE130" s="8">
        <f t="shared" si="98"/>
        <v>5.3395561231743653E-2</v>
      </c>
      <c r="AF130" s="8">
        <f t="shared" si="99"/>
        <v>6.8768159465021475E-2</v>
      </c>
      <c r="AG130" s="8">
        <f t="shared" si="100"/>
        <v>8.9061721533582772E-2</v>
      </c>
      <c r="AH130" s="8">
        <f t="shared" si="101"/>
        <v>8.9912291280436193E-2</v>
      </c>
      <c r="AI130" s="8">
        <f t="shared" si="102"/>
        <v>9.7053335125526094E-2</v>
      </c>
      <c r="AJ130" s="8">
        <f t="shared" si="103"/>
        <v>6.0945785257089838E-2</v>
      </c>
      <c r="AK130" s="8">
        <f t="shared" si="104"/>
        <v>5.9323119997373212E-2</v>
      </c>
      <c r="AL130" s="9">
        <v>0</v>
      </c>
      <c r="AM130" s="17">
        <f t="shared" si="81"/>
        <v>26.324379205080479</v>
      </c>
      <c r="AN130" s="13">
        <f t="shared" si="82"/>
        <v>18.728148500207169</v>
      </c>
      <c r="AO130" s="13">
        <f t="shared" si="83"/>
        <v>14.54161355748723</v>
      </c>
      <c r="AP130" s="13">
        <f t="shared" si="84"/>
        <v>11.228168317215012</v>
      </c>
      <c r="AQ130" s="13">
        <f t="shared" si="85"/>
        <v>11.121949910952694</v>
      </c>
      <c r="AR130" s="13">
        <f t="shared" si="86"/>
        <v>10.303612943405064</v>
      </c>
      <c r="AS130" s="13">
        <f t="shared" si="87"/>
        <v>16.4080255227111</v>
      </c>
      <c r="AT130" s="13">
        <f t="shared" si="88"/>
        <v>16.856834233335661</v>
      </c>
      <c r="AU130" s="9">
        <v>0</v>
      </c>
      <c r="AV130" s="18">
        <f t="shared" si="105"/>
        <v>1</v>
      </c>
      <c r="AW130" s="18">
        <f t="shared" si="106"/>
        <v>2</v>
      </c>
      <c r="AX130" s="18">
        <f t="shared" si="107"/>
        <v>5</v>
      </c>
      <c r="AY130" s="18">
        <f t="shared" si="108"/>
        <v>6</v>
      </c>
      <c r="AZ130" s="18">
        <f t="shared" si="109"/>
        <v>7</v>
      </c>
      <c r="BA130" s="18">
        <f t="shared" si="110"/>
        <v>8</v>
      </c>
      <c r="BB130" s="18">
        <f t="shared" si="111"/>
        <v>4</v>
      </c>
      <c r="BC130" s="18">
        <f t="shared" si="112"/>
        <v>3</v>
      </c>
      <c r="BD130" s="18">
        <f t="shared" si="113"/>
        <v>9</v>
      </c>
      <c r="BE130" s="8">
        <f t="shared" si="80"/>
        <v>2.8008372606498307E-3</v>
      </c>
    </row>
    <row r="131" spans="1:57" x14ac:dyDescent="0.25">
      <c r="A131" t="str">
        <f t="shared" si="79"/>
        <v/>
      </c>
      <c r="B131" s="1">
        <v>42926</v>
      </c>
      <c r="C131" s="9">
        <f t="shared" si="89"/>
        <v>0.24932744800098028</v>
      </c>
      <c r="D131" s="9">
        <f t="shared" si="90"/>
        <v>0.24779935467408171</v>
      </c>
      <c r="E131" s="9">
        <f t="shared" si="91"/>
        <v>0</v>
      </c>
      <c r="F131" s="9">
        <f t="shared" si="92"/>
        <v>0</v>
      </c>
      <c r="G131" s="9">
        <f t="shared" si="93"/>
        <v>0</v>
      </c>
      <c r="H131" s="9">
        <f t="shared" si="94"/>
        <v>0</v>
      </c>
      <c r="I131" s="9">
        <f t="shared" si="95"/>
        <v>0.25405242096086827</v>
      </c>
      <c r="J131" s="9">
        <f t="shared" si="96"/>
        <v>0.24882077636406977</v>
      </c>
      <c r="K131" s="9">
        <v>0</v>
      </c>
      <c r="L131" s="8">
        <f>+VLOOKUP($B131,NIFTY_50!$B$3:$I$1238,8,0)</f>
        <v>1.0888907281342508E-2</v>
      </c>
      <c r="M131" s="8">
        <f>+VLOOKUP($B131,NIFTY_BANK!$B$3:$I$41238,8,0)</f>
        <v>9.633611452867008E-3</v>
      </c>
      <c r="N131" s="8">
        <f>+VLOOKUP($B131,NIFTY_IT!$B$3:$I$1238,8,0)</f>
        <v>2.6993001447292775E-2</v>
      </c>
      <c r="O131" s="8">
        <f>+VLOOKUP($B131,NIFTY_PHARMA!$B$3:$I$1238,8,0)</f>
        <v>1.6516091877188499E-2</v>
      </c>
      <c r="P131" s="8">
        <f>+VLOOKUP($B131,NIFTY_FMCG!$B$3:$I$1238,8,0)</f>
        <v>3.1493654847758457E-4</v>
      </c>
      <c r="Q131" s="8">
        <f>+VLOOKUP($B131,NIFTY_METAL!$B$3:$I$1238,8,0)</f>
        <v>1.3650716541170782E-2</v>
      </c>
      <c r="R131" s="8">
        <f>+VLOOKUP($B131,NIFTY_ENERGY!$B$3:$I$1238,8,0)</f>
        <v>6.2252452149389459E-3</v>
      </c>
      <c r="S131" s="8">
        <f>+VLOOKUP($B131,NIFTY_AUTO!$B$3:$I$1238,8,0)</f>
        <v>6.1701929350359563E-3</v>
      </c>
      <c r="T131" s="8">
        <v>0</v>
      </c>
      <c r="U131" s="8">
        <f>+VLOOKUP($B131,NIFTY_50!$B$63:$K$1238,10,0)</f>
        <v>5.7816390603009582E-2</v>
      </c>
      <c r="V131" s="8">
        <f>+VLOOKUP($B131,NIFTY_BANK!$B$63:$K$1238,10,0)</f>
        <v>8.9201629543410377E-2</v>
      </c>
      <c r="W131" s="8">
        <f>+VLOOKUP($B131,NIFTY_IT!$B$63:$K$1238,10,0)</f>
        <v>-3.7263735893873218E-3</v>
      </c>
      <c r="X131" s="8">
        <f>+VLOOKUP($B131,NIFTY_PHARMA!$B$63:$K$1238,10,0)</f>
        <v>-4.5492513676241075E-2</v>
      </c>
      <c r="Y131" s="8">
        <f>+VLOOKUP($B131,NIFTY_FMCG!$B$63:$K$1238,10,0)</f>
        <v>0.16162651812233775</v>
      </c>
      <c r="Z131" s="8">
        <f>+VLOOKUP($B131,NIFTY_METAL!$B$63:$K$1238,10,0)</f>
        <v>1.224106984039719E-2</v>
      </c>
      <c r="AA131" s="8">
        <f>+VLOOKUP($B131,NIFTY_ENERGY!$B$63:$K$1238,10,0)</f>
        <v>9.8690919686152956E-3</v>
      </c>
      <c r="AB131" s="8">
        <f>+VLOOKUP($B131,NIFTY_AUTO!$B$63:$K$1238,10,0)</f>
        <v>7.5213768855732832E-2</v>
      </c>
      <c r="AC131" s="8"/>
      <c r="AD131" s="16">
        <f t="shared" si="97"/>
        <v>3.894051236869675E-2</v>
      </c>
      <c r="AE131" s="8">
        <f t="shared" si="98"/>
        <v>5.333199314060131E-2</v>
      </c>
      <c r="AF131" s="8">
        <f t="shared" si="99"/>
        <v>7.3696872910428146E-2</v>
      </c>
      <c r="AG131" s="8">
        <f t="shared" si="100"/>
        <v>9.0609951577846862E-2</v>
      </c>
      <c r="AH131" s="8">
        <f t="shared" si="101"/>
        <v>8.8850045376689391E-2</v>
      </c>
      <c r="AI131" s="8">
        <f t="shared" si="102"/>
        <v>9.6874426349267337E-2</v>
      </c>
      <c r="AJ131" s="8">
        <f t="shared" si="103"/>
        <v>6.1246459471022835E-2</v>
      </c>
      <c r="AK131" s="8">
        <f t="shared" si="104"/>
        <v>5.9532562766766363E-2</v>
      </c>
      <c r="AL131" s="9">
        <v>0</v>
      </c>
      <c r="AM131" s="17">
        <f t="shared" si="81"/>
        <v>25.680196257609431</v>
      </c>
      <c r="AN131" s="13">
        <f t="shared" si="82"/>
        <v>18.750471173347286</v>
      </c>
      <c r="AO131" s="13">
        <f t="shared" si="83"/>
        <v>13.569096767720513</v>
      </c>
      <c r="AP131" s="13">
        <f t="shared" si="84"/>
        <v>11.036315355944733</v>
      </c>
      <c r="AQ131" s="13">
        <f t="shared" si="85"/>
        <v>11.254918281250074</v>
      </c>
      <c r="AR131" s="13">
        <f t="shared" si="86"/>
        <v>10.322641771262091</v>
      </c>
      <c r="AS131" s="13">
        <f t="shared" si="87"/>
        <v>16.32747441463329</v>
      </c>
      <c r="AT131" s="13">
        <f t="shared" si="88"/>
        <v>16.797529847954792</v>
      </c>
      <c r="AU131" s="9">
        <v>0</v>
      </c>
      <c r="AV131" s="18">
        <f t="shared" si="105"/>
        <v>1</v>
      </c>
      <c r="AW131" s="18">
        <f t="shared" si="106"/>
        <v>2</v>
      </c>
      <c r="AX131" s="18">
        <f t="shared" si="107"/>
        <v>5</v>
      </c>
      <c r="AY131" s="18">
        <f t="shared" si="108"/>
        <v>7</v>
      </c>
      <c r="AZ131" s="18">
        <f t="shared" si="109"/>
        <v>6</v>
      </c>
      <c r="BA131" s="18">
        <f t="shared" si="110"/>
        <v>8</v>
      </c>
      <c r="BB131" s="18">
        <f t="shared" si="111"/>
        <v>4</v>
      </c>
      <c r="BC131" s="18">
        <f t="shared" si="112"/>
        <v>3</v>
      </c>
      <c r="BD131" s="18">
        <f t="shared" si="113"/>
        <v>9</v>
      </c>
      <c r="BE131" s="8">
        <f t="shared" si="80"/>
        <v>8.2146260168002392E-3</v>
      </c>
    </row>
    <row r="132" spans="1:57" x14ac:dyDescent="0.25">
      <c r="A132" t="str">
        <f t="shared" ref="A132:A195" si="114">+IF(MONTH(B132)&lt;&gt;MONTH(B133),"Y","")</f>
        <v/>
      </c>
      <c r="B132" s="1">
        <v>42927</v>
      </c>
      <c r="C132" s="9">
        <f t="shared" si="89"/>
        <v>0.24923514166986596</v>
      </c>
      <c r="D132" s="9">
        <f t="shared" si="90"/>
        <v>0.24638301846624092</v>
      </c>
      <c r="E132" s="9">
        <f t="shared" si="91"/>
        <v>0</v>
      </c>
      <c r="F132" s="9">
        <f t="shared" si="92"/>
        <v>0</v>
      </c>
      <c r="G132" s="9">
        <f t="shared" si="93"/>
        <v>0</v>
      </c>
      <c r="H132" s="9">
        <f t="shared" si="94"/>
        <v>0</v>
      </c>
      <c r="I132" s="9">
        <f t="shared" si="95"/>
        <v>0.25417214859333059</v>
      </c>
      <c r="J132" s="9">
        <f t="shared" si="96"/>
        <v>0.25020969127056253</v>
      </c>
      <c r="K132" s="9">
        <v>0</v>
      </c>
      <c r="L132" s="8">
        <f>+VLOOKUP($B132,NIFTY_50!$B$3:$I$1238,8,0)</f>
        <v>1.5351471950302287E-3</v>
      </c>
      <c r="M132" s="8">
        <f>+VLOOKUP($B132,NIFTY_BANK!$B$3:$I$41238,8,0)</f>
        <v>-3.8204776758655745E-3</v>
      </c>
      <c r="N132" s="8">
        <f>+VLOOKUP($B132,NIFTY_IT!$B$3:$I$1238,8,0)</f>
        <v>6.7470391212438585E-3</v>
      </c>
      <c r="O132" s="8">
        <f>+VLOOKUP($B132,NIFTY_PHARMA!$B$3:$I$1238,8,0)</f>
        <v>-8.3767938529711872E-3</v>
      </c>
      <c r="P132" s="8">
        <f>+VLOOKUP($B132,NIFTY_FMCG!$B$3:$I$1238,8,0)</f>
        <v>-4.1092649547762594E-3</v>
      </c>
      <c r="Q132" s="8">
        <f>+VLOOKUP($B132,NIFTY_METAL!$B$3:$I$1238,8,0)</f>
        <v>-4.8084603341960186E-3</v>
      </c>
      <c r="R132" s="8">
        <f>+VLOOKUP($B132,NIFTY_ENERGY!$B$3:$I$1238,8,0)</f>
        <v>2.3782438091470848E-3</v>
      </c>
      <c r="S132" s="8">
        <f>+VLOOKUP($B132,NIFTY_AUTO!$B$3:$I$1238,8,0)</f>
        <v>7.498703127315709E-3</v>
      </c>
      <c r="T132" s="8">
        <v>0</v>
      </c>
      <c r="U132" s="8">
        <f>+VLOOKUP($B132,NIFTY_50!$B$63:$K$1238,10,0)</f>
        <v>6.3302348575805745E-2</v>
      </c>
      <c r="V132" s="8">
        <f>+VLOOKUP($B132,NIFTY_BANK!$B$63:$K$1238,10,0)</f>
        <v>8.8513301456606408E-2</v>
      </c>
      <c r="W132" s="8">
        <f>+VLOOKUP($B132,NIFTY_IT!$B$63:$K$1238,10,0)</f>
        <v>1.0321162014636398E-2</v>
      </c>
      <c r="X132" s="8">
        <f>+VLOOKUP($B132,NIFTY_PHARMA!$B$63:$K$1238,10,0)</f>
        <v>-6.1612032321066268E-2</v>
      </c>
      <c r="Y132" s="8">
        <f>+VLOOKUP($B132,NIFTY_FMCG!$B$63:$K$1238,10,0)</f>
        <v>0.15595136500747775</v>
      </c>
      <c r="Z132" s="8">
        <f>+VLOOKUP($B132,NIFTY_METAL!$B$63:$K$1238,10,0)</f>
        <v>1.4212685595207164E-2</v>
      </c>
      <c r="AA132" s="8">
        <f>+VLOOKUP($B132,NIFTY_ENERGY!$B$63:$K$1238,10,0)</f>
        <v>2.0618599966426121E-2</v>
      </c>
      <c r="AB132" s="8">
        <f>+VLOOKUP($B132,NIFTY_AUTO!$B$63:$K$1238,10,0)</f>
        <v>8.9014383482775461E-2</v>
      </c>
      <c r="AC132" s="8"/>
      <c r="AD132" s="16">
        <f t="shared" si="97"/>
        <v>3.8670856022408794E-2</v>
      </c>
      <c r="AE132" s="8">
        <f t="shared" si="98"/>
        <v>5.3390136708134611E-2</v>
      </c>
      <c r="AF132" s="8">
        <f t="shared" si="99"/>
        <v>7.3630390574418919E-2</v>
      </c>
      <c r="AG132" s="8">
        <f t="shared" si="100"/>
        <v>9.0426432774775203E-2</v>
      </c>
      <c r="AH132" s="8">
        <f t="shared" si="101"/>
        <v>8.9077997747274415E-2</v>
      </c>
      <c r="AI132" s="8">
        <f t="shared" si="102"/>
        <v>9.6753169621903473E-2</v>
      </c>
      <c r="AJ132" s="8">
        <f t="shared" si="103"/>
        <v>6.0696052367749082E-2</v>
      </c>
      <c r="AK132" s="8">
        <f t="shared" si="104"/>
        <v>5.9487859216496325E-2</v>
      </c>
      <c r="AL132" s="9">
        <v>0</v>
      </c>
      <c r="AM132" s="17">
        <f t="shared" si="81"/>
        <v>25.859267232680988</v>
      </c>
      <c r="AN132" s="13">
        <f t="shared" si="82"/>
        <v>18.730051310163404</v>
      </c>
      <c r="AO132" s="13">
        <f t="shared" si="83"/>
        <v>13.581348573579692</v>
      </c>
      <c r="AP132" s="13">
        <f t="shared" si="84"/>
        <v>11.058713357527843</v>
      </c>
      <c r="AQ132" s="13">
        <f t="shared" si="85"/>
        <v>11.226116721180992</v>
      </c>
      <c r="AR132" s="13">
        <f t="shared" si="86"/>
        <v>10.335578709285148</v>
      </c>
      <c r="AS132" s="13">
        <f t="shared" si="87"/>
        <v>16.475536068493167</v>
      </c>
      <c r="AT132" s="13">
        <f t="shared" si="88"/>
        <v>16.810152746641357</v>
      </c>
      <c r="AU132" s="9">
        <v>0</v>
      </c>
      <c r="AV132" s="18">
        <f t="shared" si="105"/>
        <v>1</v>
      </c>
      <c r="AW132" s="18">
        <f t="shared" si="106"/>
        <v>2</v>
      </c>
      <c r="AX132" s="18">
        <f t="shared" si="107"/>
        <v>5</v>
      </c>
      <c r="AY132" s="18">
        <f t="shared" si="108"/>
        <v>7</v>
      </c>
      <c r="AZ132" s="18">
        <f t="shared" si="109"/>
        <v>6</v>
      </c>
      <c r="BA132" s="18">
        <f t="shared" si="110"/>
        <v>8</v>
      </c>
      <c r="BB132" s="18">
        <f t="shared" si="111"/>
        <v>4</v>
      </c>
      <c r="BC132" s="18">
        <f t="shared" si="112"/>
        <v>3</v>
      </c>
      <c r="BD132" s="18">
        <f t="shared" si="113"/>
        <v>9</v>
      </c>
      <c r="BE132" s="8">
        <f t="shared" ref="BE132:BE195" si="115">+SUMPRODUCT(C131:J131,L132:S132)</f>
        <v>1.9060741610279119E-3</v>
      </c>
    </row>
    <row r="133" spans="1:57" x14ac:dyDescent="0.25">
      <c r="A133" t="str">
        <f t="shared" si="114"/>
        <v/>
      </c>
      <c r="B133" s="1">
        <v>42928</v>
      </c>
      <c r="C133" s="9">
        <f t="shared" si="89"/>
        <v>0.24853854415503207</v>
      </c>
      <c r="D133" s="9">
        <f t="shared" si="90"/>
        <v>0.2460935021856141</v>
      </c>
      <c r="E133" s="9">
        <f t="shared" si="91"/>
        <v>0</v>
      </c>
      <c r="F133" s="9">
        <f t="shared" si="92"/>
        <v>0</v>
      </c>
      <c r="G133" s="9">
        <f t="shared" si="93"/>
        <v>0</v>
      </c>
      <c r="H133" s="9">
        <f t="shared" si="94"/>
        <v>0</v>
      </c>
      <c r="I133" s="9">
        <f t="shared" si="95"/>
        <v>0.25597645180325523</v>
      </c>
      <c r="J133" s="9">
        <f t="shared" si="96"/>
        <v>0.24939150185609871</v>
      </c>
      <c r="K133" s="9">
        <v>0</v>
      </c>
      <c r="L133" s="8">
        <f>+VLOOKUP($B133,NIFTY_50!$B$3:$I$1238,8,0)</f>
        <v>3.0706975746088716E-3</v>
      </c>
      <c r="M133" s="8">
        <f>+VLOOKUP($B133,NIFTY_BANK!$B$3:$I$41238,8,0)</f>
        <v>4.7001009133078586E-3</v>
      </c>
      <c r="N133" s="8">
        <f>+VLOOKUP($B133,NIFTY_IT!$B$3:$I$1238,8,0)</f>
        <v>-2.7325023969319018E-3</v>
      </c>
      <c r="O133" s="8">
        <f>+VLOOKUP($B133,NIFTY_PHARMA!$B$3:$I$1238,8,0)</f>
        <v>1.6476817678656719E-3</v>
      </c>
      <c r="P133" s="8">
        <f>+VLOOKUP($B133,NIFTY_FMCG!$B$3:$I$1238,8,0)</f>
        <v>2.3481813929009387E-3</v>
      </c>
      <c r="Q133" s="8">
        <f>+VLOOKUP($B133,NIFTY_METAL!$B$3:$I$1238,8,0)</f>
        <v>3.7562001380484489E-3</v>
      </c>
      <c r="R133" s="8">
        <f>+VLOOKUP($B133,NIFTY_ENERGY!$B$3:$I$1238,8,0)</f>
        <v>1.3022578774882554E-2</v>
      </c>
      <c r="S133" s="8">
        <f>+VLOOKUP($B133,NIFTY_AUTO!$B$3:$I$1238,8,0)</f>
        <v>2.5928292640318151E-3</v>
      </c>
      <c r="T133" s="8">
        <v>0</v>
      </c>
      <c r="U133" s="8">
        <f>+VLOOKUP($B133,NIFTY_50!$B$63:$K$1238,10,0)</f>
        <v>7.2704025877519118E-2</v>
      </c>
      <c r="V133" s="8">
        <f>+VLOOKUP($B133,NIFTY_BANK!$B$63:$K$1238,10,0)</f>
        <v>9.2630933387437553E-2</v>
      </c>
      <c r="W133" s="8">
        <f>+VLOOKUP($B133,NIFTY_IT!$B$63:$K$1238,10,0)</f>
        <v>3.3514834760835388E-2</v>
      </c>
      <c r="X133" s="8">
        <f>+VLOOKUP($B133,NIFTY_PHARMA!$B$63:$K$1238,10,0)</f>
        <v>-6.7807955791662655E-2</v>
      </c>
      <c r="Y133" s="8">
        <f>+VLOOKUP($B133,NIFTY_FMCG!$B$63:$K$1238,10,0)</f>
        <v>0.16666524870362709</v>
      </c>
      <c r="Z133" s="8">
        <f>+VLOOKUP($B133,NIFTY_METAL!$B$63:$K$1238,10,0)</f>
        <v>4.7227479023965513E-2</v>
      </c>
      <c r="AA133" s="8">
        <f>+VLOOKUP($B133,NIFTY_ENERGY!$B$63:$K$1238,10,0)</f>
        <v>2.4928443053984006E-2</v>
      </c>
      <c r="AB133" s="8">
        <f>+VLOOKUP($B133,NIFTY_AUTO!$B$63:$K$1238,10,0)</f>
        <v>0.10062680420695647</v>
      </c>
      <c r="AC133" s="8"/>
      <c r="AD133" s="16">
        <f t="shared" si="97"/>
        <v>3.8117648183613503E-2</v>
      </c>
      <c r="AE133" s="8">
        <f t="shared" si="98"/>
        <v>5.3486593901004985E-2</v>
      </c>
      <c r="AF133" s="8">
        <f t="shared" si="99"/>
        <v>6.9141300328939184E-2</v>
      </c>
      <c r="AG133" s="8">
        <f t="shared" si="100"/>
        <v>8.998318385269205E-2</v>
      </c>
      <c r="AH133" s="8">
        <f t="shared" si="101"/>
        <v>8.8583430048160619E-2</v>
      </c>
      <c r="AI133" s="8">
        <f t="shared" si="102"/>
        <v>9.252905499337169E-2</v>
      </c>
      <c r="AJ133" s="8">
        <f t="shared" si="103"/>
        <v>6.1428057335037693E-2</v>
      </c>
      <c r="AK133" s="8">
        <f t="shared" si="104"/>
        <v>5.8734317696815981E-2</v>
      </c>
      <c r="AL133" s="9">
        <v>0</v>
      </c>
      <c r="AM133" s="17">
        <f t="shared" si="81"/>
        <v>26.234567127095019</v>
      </c>
      <c r="AN133" s="13">
        <f t="shared" si="82"/>
        <v>18.696273721427055</v>
      </c>
      <c r="AO133" s="13">
        <f t="shared" si="83"/>
        <v>14.463135567924063</v>
      </c>
      <c r="AP133" s="13">
        <f t="shared" si="84"/>
        <v>11.113187566657576</v>
      </c>
      <c r="AQ133" s="13">
        <f t="shared" si="85"/>
        <v>11.288792943063108</v>
      </c>
      <c r="AR133" s="13">
        <f t="shared" si="86"/>
        <v>10.807416114555963</v>
      </c>
      <c r="AS133" s="13">
        <f t="shared" si="87"/>
        <v>16.27920600753907</v>
      </c>
      <c r="AT133" s="13">
        <f t="shared" si="88"/>
        <v>17.025821346252066</v>
      </c>
      <c r="AU133" s="9">
        <v>0</v>
      </c>
      <c r="AV133" s="18">
        <f t="shared" si="105"/>
        <v>1</v>
      </c>
      <c r="AW133" s="18">
        <f t="shared" si="106"/>
        <v>2</v>
      </c>
      <c r="AX133" s="18">
        <f t="shared" si="107"/>
        <v>5</v>
      </c>
      <c r="AY133" s="18">
        <f t="shared" si="108"/>
        <v>7</v>
      </c>
      <c r="AZ133" s="18">
        <f t="shared" si="109"/>
        <v>6</v>
      </c>
      <c r="BA133" s="18">
        <f t="shared" si="110"/>
        <v>8</v>
      </c>
      <c r="BB133" s="18">
        <f t="shared" si="111"/>
        <v>4</v>
      </c>
      <c r="BC133" s="18">
        <f t="shared" si="112"/>
        <v>3</v>
      </c>
      <c r="BD133" s="18">
        <f t="shared" si="113"/>
        <v>9</v>
      </c>
      <c r="BE133" s="8">
        <f t="shared" si="115"/>
        <v>5.8820786322581631E-3</v>
      </c>
    </row>
    <row r="134" spans="1:57" x14ac:dyDescent="0.25">
      <c r="A134" t="str">
        <f t="shared" si="114"/>
        <v/>
      </c>
      <c r="B134" s="1">
        <v>42929</v>
      </c>
      <c r="C134" s="9">
        <f t="shared" si="89"/>
        <v>0.24913294943133393</v>
      </c>
      <c r="D134" s="9">
        <f t="shared" si="90"/>
        <v>0.24679266665128927</v>
      </c>
      <c r="E134" s="9">
        <f t="shared" si="91"/>
        <v>0</v>
      </c>
      <c r="F134" s="9">
        <f t="shared" si="92"/>
        <v>0</v>
      </c>
      <c r="G134" s="9">
        <f t="shared" si="93"/>
        <v>0</v>
      </c>
      <c r="H134" s="9">
        <f t="shared" si="94"/>
        <v>0</v>
      </c>
      <c r="I134" s="9">
        <f t="shared" si="95"/>
        <v>0.25526220251142784</v>
      </c>
      <c r="J134" s="9">
        <f t="shared" si="96"/>
        <v>0.24881218140594882</v>
      </c>
      <c r="K134" s="9">
        <v>0</v>
      </c>
      <c r="L134" s="8">
        <f>+VLOOKUP($B134,NIFTY_50!$B$3:$I$1238,8,0)</f>
        <v>7.7016330314483294E-3</v>
      </c>
      <c r="M134" s="8">
        <f>+VLOOKUP($B134,NIFTY_BANK!$B$3:$I$41238,8,0)</f>
        <v>8.1534640616658383E-3</v>
      </c>
      <c r="N134" s="8">
        <f>+VLOOKUP($B134,NIFTY_IT!$B$3:$I$1238,8,0)</f>
        <v>3.7542662116041292E-3</v>
      </c>
      <c r="O134" s="8">
        <f>+VLOOKUP($B134,NIFTY_PHARMA!$B$3:$I$1238,8,0)</f>
        <v>5.8516164517510294E-3</v>
      </c>
      <c r="P134" s="8">
        <f>+VLOOKUP($B134,NIFTY_FMCG!$B$3:$I$1238,8,0)</f>
        <v>1.7968449473763082E-2</v>
      </c>
      <c r="Q134" s="8">
        <f>+VLOOKUP($B134,NIFTY_METAL!$B$3:$I$1238,8,0)</f>
        <v>8.5397642769184934E-3</v>
      </c>
      <c r="R134" s="8">
        <f>+VLOOKUP($B134,NIFTY_ENERGY!$B$3:$I$1238,8,0)</f>
        <v>2.4922877090436391E-3</v>
      </c>
      <c r="S134" s="8">
        <f>+VLOOKUP($B134,NIFTY_AUTO!$B$3:$I$1238,8,0)</f>
        <v>2.962120621586628E-3</v>
      </c>
      <c r="T134" s="8">
        <v>0</v>
      </c>
      <c r="U134" s="8">
        <f>+VLOOKUP($B134,NIFTY_50!$B$63:$K$1238,10,0)</f>
        <v>8.2325779873732241E-2</v>
      </c>
      <c r="V134" s="8">
        <f>+VLOOKUP($B134,NIFTY_BANK!$B$63:$K$1238,10,0)</f>
        <v>0.10352417819989301</v>
      </c>
      <c r="W134" s="8">
        <f>+VLOOKUP($B134,NIFTY_IT!$B$63:$K$1238,10,0)</f>
        <v>4.396104350608443E-2</v>
      </c>
      <c r="X134" s="8">
        <f>+VLOOKUP($B134,NIFTY_PHARMA!$B$63:$K$1238,10,0)</f>
        <v>-5.4868857401266125E-2</v>
      </c>
      <c r="Y134" s="8">
        <f>+VLOOKUP($B134,NIFTY_FMCG!$B$63:$K$1238,10,0)</f>
        <v>0.19005835489494838</v>
      </c>
      <c r="Z134" s="8">
        <f>+VLOOKUP($B134,NIFTY_METAL!$B$63:$K$1238,10,0)</f>
        <v>6.7685848273993932E-2</v>
      </c>
      <c r="AA134" s="8">
        <f>+VLOOKUP($B134,NIFTY_ENERGY!$B$63:$K$1238,10,0)</f>
        <v>1.9892053502479801E-2</v>
      </c>
      <c r="AB134" s="8">
        <f>+VLOOKUP($B134,NIFTY_AUTO!$B$63:$K$1238,10,0)</f>
        <v>0.10589062081308853</v>
      </c>
      <c r="AC134" s="8"/>
      <c r="AD134" s="16">
        <f t="shared" si="97"/>
        <v>3.8581561290526215E-2</v>
      </c>
      <c r="AE134" s="8">
        <f t="shared" si="98"/>
        <v>5.378705003563411E-2</v>
      </c>
      <c r="AF134" s="8">
        <f t="shared" si="99"/>
        <v>6.8860422689863157E-2</v>
      </c>
      <c r="AG134" s="8">
        <f t="shared" si="100"/>
        <v>8.9973593306543531E-2</v>
      </c>
      <c r="AH134" s="8">
        <f t="shared" si="101"/>
        <v>8.9751572606079952E-2</v>
      </c>
      <c r="AI134" s="8">
        <f t="shared" si="102"/>
        <v>9.2087746051982347E-2</v>
      </c>
      <c r="AJ134" s="8">
        <f t="shared" si="103"/>
        <v>6.1058371097517668E-2</v>
      </c>
      <c r="AK134" s="8">
        <f t="shared" si="104"/>
        <v>5.8647667545437349E-2</v>
      </c>
      <c r="AL134" s="9">
        <v>0</v>
      </c>
      <c r="AM134" s="17">
        <f t="shared" si="81"/>
        <v>25.919116970664227</v>
      </c>
      <c r="AN134" s="13">
        <f t="shared" si="82"/>
        <v>18.59183575484241</v>
      </c>
      <c r="AO134" s="13">
        <f t="shared" si="83"/>
        <v>14.522129852496658</v>
      </c>
      <c r="AP134" s="13">
        <f t="shared" si="84"/>
        <v>11.114372153537996</v>
      </c>
      <c r="AQ134" s="13">
        <f t="shared" si="85"/>
        <v>11.141866052743215</v>
      </c>
      <c r="AR134" s="13">
        <f t="shared" si="86"/>
        <v>10.859208123472941</v>
      </c>
      <c r="AS134" s="13">
        <f t="shared" si="87"/>
        <v>16.377770681154889</v>
      </c>
      <c r="AT134" s="13">
        <f t="shared" si="88"/>
        <v>17.050976481293972</v>
      </c>
      <c r="AU134" s="9">
        <v>0</v>
      </c>
      <c r="AV134" s="18">
        <f t="shared" si="105"/>
        <v>1</v>
      </c>
      <c r="AW134" s="18">
        <f t="shared" si="106"/>
        <v>2</v>
      </c>
      <c r="AX134" s="18">
        <f t="shared" si="107"/>
        <v>5</v>
      </c>
      <c r="AY134" s="18">
        <f t="shared" si="108"/>
        <v>7</v>
      </c>
      <c r="AZ134" s="18">
        <f t="shared" si="109"/>
        <v>6</v>
      </c>
      <c r="BA134" s="18">
        <f t="shared" si="110"/>
        <v>8</v>
      </c>
      <c r="BB134" s="18">
        <f t="shared" si="111"/>
        <v>4</v>
      </c>
      <c r="BC134" s="18">
        <f t="shared" si="112"/>
        <v>3</v>
      </c>
      <c r="BD134" s="18">
        <f t="shared" si="113"/>
        <v>9</v>
      </c>
      <c r="BE134" s="8">
        <f t="shared" si="115"/>
        <v>5.2973618622626263E-3</v>
      </c>
    </row>
    <row r="135" spans="1:57" x14ac:dyDescent="0.25">
      <c r="A135" t="str">
        <f t="shared" si="114"/>
        <v/>
      </c>
      <c r="B135" s="1">
        <v>42930</v>
      </c>
      <c r="C135" s="9">
        <f t="shared" si="89"/>
        <v>0.24866804655496513</v>
      </c>
      <c r="D135" s="9">
        <f t="shared" si="90"/>
        <v>0.24697149525798218</v>
      </c>
      <c r="E135" s="9">
        <f t="shared" si="91"/>
        <v>0</v>
      </c>
      <c r="F135" s="9">
        <f t="shared" si="92"/>
        <v>0</v>
      </c>
      <c r="G135" s="9">
        <f t="shared" si="93"/>
        <v>0</v>
      </c>
      <c r="H135" s="9">
        <f t="shared" si="94"/>
        <v>0</v>
      </c>
      <c r="I135" s="9">
        <f t="shared" si="95"/>
        <v>0.25688696200620081</v>
      </c>
      <c r="J135" s="9">
        <f t="shared" si="96"/>
        <v>0.24747349618085171</v>
      </c>
      <c r="K135" s="9">
        <v>0</v>
      </c>
      <c r="L135" s="8">
        <f>+VLOOKUP($B135,NIFTY_50!$B$3:$I$1238,8,0)</f>
        <v>-5.4085748657972665E-4</v>
      </c>
      <c r="M135" s="8">
        <f>+VLOOKUP($B135,NIFTY_BANK!$B$3:$I$41238,8,0)</f>
        <v>2.0532763467169257E-3</v>
      </c>
      <c r="N135" s="8">
        <f>+VLOOKUP($B135,NIFTY_IT!$B$3:$I$1238,8,0)</f>
        <v>-1.0526265378739574E-2</v>
      </c>
      <c r="O135" s="8">
        <f>+VLOOKUP($B135,NIFTY_PHARMA!$B$3:$I$1238,8,0)</f>
        <v>8.4048505101137483E-3</v>
      </c>
      <c r="P135" s="8">
        <f>+VLOOKUP($B135,NIFTY_FMCG!$B$3:$I$1238,8,0)</f>
        <v>-1.9413546142095228E-3</v>
      </c>
      <c r="Q135" s="8">
        <f>+VLOOKUP($B135,NIFTY_METAL!$B$3:$I$1238,8,0)</f>
        <v>-4.1861571394592456E-3</v>
      </c>
      <c r="R135" s="8">
        <f>+VLOOKUP($B135,NIFTY_ENERGY!$B$3:$I$1238,8,0)</f>
        <v>7.7012155125639747E-3</v>
      </c>
      <c r="S135" s="8">
        <f>+VLOOKUP($B135,NIFTY_AUTO!$B$3:$I$1238,8,0)</f>
        <v>-4.0597440715391953E-3</v>
      </c>
      <c r="T135" s="8">
        <v>0</v>
      </c>
      <c r="U135" s="8">
        <f>+VLOOKUP($B135,NIFTY_50!$B$63:$K$1238,10,0)</f>
        <v>8.5797598062634872E-2</v>
      </c>
      <c r="V135" s="8">
        <f>+VLOOKUP($B135,NIFTY_BANK!$B$63:$K$1238,10,0)</f>
        <v>0.1045526800896095</v>
      </c>
      <c r="W135" s="8">
        <f>+VLOOKUP($B135,NIFTY_IT!$B$63:$K$1238,10,0)</f>
        <v>3.4974528004167782E-2</v>
      </c>
      <c r="X135" s="8">
        <f>+VLOOKUP($B135,NIFTY_PHARMA!$B$63:$K$1238,10,0)</f>
        <v>-3.8389115278394614E-2</v>
      </c>
      <c r="Y135" s="8">
        <f>+VLOOKUP($B135,NIFTY_FMCG!$B$63:$K$1238,10,0)</f>
        <v>0.1916567413435859</v>
      </c>
      <c r="Z135" s="8">
        <f>+VLOOKUP($B135,NIFTY_METAL!$B$63:$K$1238,10,0)</f>
        <v>8.2309349418354216E-2</v>
      </c>
      <c r="AA135" s="8">
        <f>+VLOOKUP($B135,NIFTY_ENERGY!$B$63:$K$1238,10,0)</f>
        <v>3.4276975248100694E-2</v>
      </c>
      <c r="AB135" s="8">
        <f>+VLOOKUP($B135,NIFTY_AUTO!$B$63:$K$1238,10,0)</f>
        <v>0.10990248326319318</v>
      </c>
      <c r="AC135" s="8"/>
      <c r="AD135" s="16">
        <f t="shared" si="97"/>
        <v>3.8292653239810605E-2</v>
      </c>
      <c r="AE135" s="8">
        <f t="shared" si="98"/>
        <v>5.378599742450909E-2</v>
      </c>
      <c r="AF135" s="8">
        <f t="shared" si="99"/>
        <v>6.9716533391365326E-2</v>
      </c>
      <c r="AG135" s="8">
        <f t="shared" si="100"/>
        <v>9.0065817206616022E-2</v>
      </c>
      <c r="AH135" s="8">
        <f t="shared" si="101"/>
        <v>8.9668846718611805E-2</v>
      </c>
      <c r="AI135" s="8">
        <f t="shared" si="102"/>
        <v>9.0292473282042304E-2</v>
      </c>
      <c r="AJ135" s="8">
        <f t="shared" si="103"/>
        <v>6.111004251525004E-2</v>
      </c>
      <c r="AK135" s="8">
        <f t="shared" si="104"/>
        <v>5.818122101756807E-2</v>
      </c>
      <c r="AL135" s="9">
        <v>0</v>
      </c>
      <c r="AM135" s="17">
        <f t="shared" si="81"/>
        <v>26.114669927346775</v>
      </c>
      <c r="AN135" s="13">
        <f t="shared" si="82"/>
        <v>18.592199603689455</v>
      </c>
      <c r="AO135" s="13">
        <f t="shared" si="83"/>
        <v>14.343799832764692</v>
      </c>
      <c r="AP135" s="13">
        <f t="shared" si="84"/>
        <v>11.102991467961081</v>
      </c>
      <c r="AQ135" s="13">
        <f t="shared" si="85"/>
        <v>11.152145216477267</v>
      </c>
      <c r="AR135" s="13">
        <f t="shared" si="86"/>
        <v>11.07512025810111</v>
      </c>
      <c r="AS135" s="13">
        <f t="shared" si="87"/>
        <v>16.363922505052251</v>
      </c>
      <c r="AT135" s="13">
        <f t="shared" si="88"/>
        <v>17.187676410195063</v>
      </c>
      <c r="AU135" s="9">
        <v>0</v>
      </c>
      <c r="AV135" s="18">
        <f t="shared" si="105"/>
        <v>1</v>
      </c>
      <c r="AW135" s="18">
        <f t="shared" si="106"/>
        <v>2</v>
      </c>
      <c r="AX135" s="18">
        <f t="shared" si="107"/>
        <v>5</v>
      </c>
      <c r="AY135" s="18">
        <f t="shared" si="108"/>
        <v>7</v>
      </c>
      <c r="AZ135" s="18">
        <f t="shared" si="109"/>
        <v>6</v>
      </c>
      <c r="BA135" s="18">
        <f t="shared" si="110"/>
        <v>8</v>
      </c>
      <c r="BB135" s="18">
        <f t="shared" si="111"/>
        <v>4</v>
      </c>
      <c r="BC135" s="18">
        <f t="shared" si="112"/>
        <v>3</v>
      </c>
      <c r="BD135" s="18">
        <f t="shared" si="113"/>
        <v>9</v>
      </c>
      <c r="BE135" s="8">
        <f t="shared" si="115"/>
        <v>1.3277035794873816E-3</v>
      </c>
    </row>
    <row r="136" spans="1:57" x14ac:dyDescent="0.25">
      <c r="A136" t="str">
        <f t="shared" si="114"/>
        <v/>
      </c>
      <c r="B136" s="1">
        <v>42933</v>
      </c>
      <c r="C136" s="9">
        <f t="shared" si="89"/>
        <v>0.24833818429167867</v>
      </c>
      <c r="D136" s="9">
        <f t="shared" si="90"/>
        <v>0.24670223183974929</v>
      </c>
      <c r="E136" s="9">
        <f t="shared" si="91"/>
        <v>0</v>
      </c>
      <c r="F136" s="9">
        <f t="shared" si="92"/>
        <v>0</v>
      </c>
      <c r="G136" s="9">
        <f t="shared" si="93"/>
        <v>0</v>
      </c>
      <c r="H136" s="9">
        <f t="shared" si="94"/>
        <v>0</v>
      </c>
      <c r="I136" s="9">
        <f t="shared" si="95"/>
        <v>0.25755221147457458</v>
      </c>
      <c r="J136" s="9">
        <f t="shared" si="96"/>
        <v>0.24740737239399729</v>
      </c>
      <c r="K136" s="9">
        <v>0</v>
      </c>
      <c r="L136" s="8">
        <f>+VLOOKUP($B136,NIFTY_50!$B$3:$I$1238,8,0)</f>
        <v>2.9940271181982947E-3</v>
      </c>
      <c r="M136" s="8">
        <f>+VLOOKUP($B136,NIFTY_BANK!$B$3:$I$41238,8,0)</f>
        <v>3.2313045948439978E-3</v>
      </c>
      <c r="N136" s="8">
        <f>+VLOOKUP($B136,NIFTY_IT!$B$3:$I$1238,8,0)</f>
        <v>1.1151282833122833E-2</v>
      </c>
      <c r="O136" s="8">
        <f>+VLOOKUP($B136,NIFTY_PHARMA!$B$3:$I$1238,8,0)</f>
        <v>3.6653026385158327E-3</v>
      </c>
      <c r="P136" s="8">
        <f>+VLOOKUP($B136,NIFTY_FMCG!$B$3:$I$1238,8,0)</f>
        <v>-1.6967856892922684E-2</v>
      </c>
      <c r="Q136" s="8">
        <f>+VLOOKUP($B136,NIFTY_METAL!$B$3:$I$1238,8,0)</f>
        <v>9.5858346204678035E-3</v>
      </c>
      <c r="R136" s="8">
        <f>+VLOOKUP($B136,NIFTY_ENERGY!$B$3:$I$1238,8,0)</f>
        <v>6.9271444414087391E-3</v>
      </c>
      <c r="S136" s="8">
        <f>+VLOOKUP($B136,NIFTY_AUTO!$B$3:$I$1238,8,0)</f>
        <v>4.0579310977990612E-3</v>
      </c>
      <c r="T136" s="8">
        <v>0</v>
      </c>
      <c r="U136" s="8">
        <f>+VLOOKUP($B136,NIFTY_50!$B$63:$K$1238,10,0)</f>
        <v>8.9245894436206008E-2</v>
      </c>
      <c r="V136" s="8">
        <f>+VLOOKUP($B136,NIFTY_BANK!$B$63:$K$1238,10,0)</f>
        <v>0.11405919833366962</v>
      </c>
      <c r="W136" s="8">
        <f>+VLOOKUP($B136,NIFTY_IT!$B$63:$K$1238,10,0)</f>
        <v>5.0383114793661088E-2</v>
      </c>
      <c r="X136" s="8">
        <f>+VLOOKUP($B136,NIFTY_PHARMA!$B$63:$K$1238,10,0)</f>
        <v>-3.1615000411779781E-2</v>
      </c>
      <c r="Y136" s="8">
        <f>+VLOOKUP($B136,NIFTY_FMCG!$B$63:$K$1238,10,0)</f>
        <v>0.17122650686381191</v>
      </c>
      <c r="Z136" s="8">
        <f>+VLOOKUP($B136,NIFTY_METAL!$B$63:$K$1238,10,0)</f>
        <v>8.7231634542835446E-2</v>
      </c>
      <c r="AA136" s="8">
        <f>+VLOOKUP($B136,NIFTY_ENERGY!$B$63:$K$1238,10,0)</f>
        <v>3.5468729340208949E-2</v>
      </c>
      <c r="AB136" s="8">
        <f>+VLOOKUP($B136,NIFTY_AUTO!$B$63:$K$1238,10,0)</f>
        <v>0.11240572251013337</v>
      </c>
      <c r="AC136" s="8"/>
      <c r="AD136" s="16">
        <f t="shared" si="97"/>
        <v>3.8294150661631179E-2</v>
      </c>
      <c r="AE136" s="8">
        <f t="shared" si="98"/>
        <v>5.3342594815750301E-2</v>
      </c>
      <c r="AF136" s="8">
        <f t="shared" si="99"/>
        <v>7.0353980436927657E-2</v>
      </c>
      <c r="AG136" s="8">
        <f t="shared" si="100"/>
        <v>9.0118188565960988E-2</v>
      </c>
      <c r="AH136" s="8">
        <f t="shared" si="101"/>
        <v>9.1785180900535376E-2</v>
      </c>
      <c r="AI136" s="8">
        <f t="shared" si="102"/>
        <v>9.0590588854566681E-2</v>
      </c>
      <c r="AJ136" s="8">
        <f t="shared" si="103"/>
        <v>6.1219083458353286E-2</v>
      </c>
      <c r="AK136" s="8">
        <f t="shared" si="104"/>
        <v>5.8226681745291248E-2</v>
      </c>
      <c r="AL136" s="9">
        <v>0</v>
      </c>
      <c r="AM136" s="17">
        <f t="shared" si="81"/>
        <v>26.113648761557464</v>
      </c>
      <c r="AN136" s="13">
        <f t="shared" si="82"/>
        <v>18.746744575401365</v>
      </c>
      <c r="AO136" s="13">
        <f t="shared" si="83"/>
        <v>14.213836854568591</v>
      </c>
      <c r="AP136" s="13">
        <f t="shared" si="84"/>
        <v>11.096539066229248</v>
      </c>
      <c r="AQ136" s="13">
        <f t="shared" si="85"/>
        <v>10.895004947298274</v>
      </c>
      <c r="AR136" s="13">
        <f t="shared" si="86"/>
        <v>11.038674244687725</v>
      </c>
      <c r="AS136" s="13">
        <f t="shared" si="87"/>
        <v>16.334775751425447</v>
      </c>
      <c r="AT136" s="13">
        <f t="shared" si="88"/>
        <v>17.174257059236751</v>
      </c>
      <c r="AU136" s="9">
        <v>0</v>
      </c>
      <c r="AV136" s="18">
        <f t="shared" si="105"/>
        <v>1</v>
      </c>
      <c r="AW136" s="18">
        <f t="shared" si="106"/>
        <v>2</v>
      </c>
      <c r="AX136" s="18">
        <f t="shared" si="107"/>
        <v>5</v>
      </c>
      <c r="AY136" s="18">
        <f t="shared" si="108"/>
        <v>6</v>
      </c>
      <c r="AZ136" s="18">
        <f t="shared" si="109"/>
        <v>8</v>
      </c>
      <c r="BA136" s="18">
        <f t="shared" si="110"/>
        <v>7</v>
      </c>
      <c r="BB136" s="18">
        <f t="shared" si="111"/>
        <v>4</v>
      </c>
      <c r="BC136" s="18">
        <f t="shared" si="112"/>
        <v>3</v>
      </c>
      <c r="BD136" s="18">
        <f t="shared" si="113"/>
        <v>9</v>
      </c>
      <c r="BE136" s="8">
        <f t="shared" si="115"/>
        <v>4.3262824892025395E-3</v>
      </c>
    </row>
    <row r="137" spans="1:57" x14ac:dyDescent="0.25">
      <c r="A137" t="str">
        <f t="shared" si="114"/>
        <v/>
      </c>
      <c r="B137" s="1">
        <v>42934</v>
      </c>
      <c r="C137" s="9">
        <f t="shared" si="89"/>
        <v>0.24734328681108811</v>
      </c>
      <c r="D137" s="9">
        <f t="shared" si="90"/>
        <v>0.24800647468670026</v>
      </c>
      <c r="E137" s="9">
        <f t="shared" si="91"/>
        <v>0</v>
      </c>
      <c r="F137" s="9">
        <f t="shared" si="92"/>
        <v>0</v>
      </c>
      <c r="G137" s="9">
        <f t="shared" si="93"/>
        <v>0</v>
      </c>
      <c r="H137" s="9">
        <f t="shared" si="94"/>
        <v>0</v>
      </c>
      <c r="I137" s="9">
        <f t="shared" si="95"/>
        <v>0.25559927313311837</v>
      </c>
      <c r="J137" s="9">
        <f t="shared" si="96"/>
        <v>0.24905096536909321</v>
      </c>
      <c r="K137" s="9">
        <v>0</v>
      </c>
      <c r="L137" s="8">
        <f>+VLOOKUP($B137,NIFTY_50!$B$3:$I$1238,8,0)</f>
        <v>-8.9552690362497689E-3</v>
      </c>
      <c r="M137" s="8">
        <f>+VLOOKUP($B137,NIFTY_BANK!$B$3:$I$41238,8,0)</f>
        <v>2.914838819823018E-4</v>
      </c>
      <c r="N137" s="8">
        <f>+VLOOKUP($B137,NIFTY_IT!$B$3:$I$1238,8,0)</f>
        <v>4.5329006256074056E-3</v>
      </c>
      <c r="O137" s="8">
        <f>+VLOOKUP($B137,NIFTY_PHARMA!$B$3:$I$1238,8,0)</f>
        <v>2.9565521898995417E-3</v>
      </c>
      <c r="P137" s="8">
        <f>+VLOOKUP($B137,NIFTY_FMCG!$B$3:$I$1238,8,0)</f>
        <v>-6.7321610782848151E-2</v>
      </c>
      <c r="Q137" s="8">
        <f>+VLOOKUP($B137,NIFTY_METAL!$B$3:$I$1238,8,0)</f>
        <v>-1.7033894295223062E-3</v>
      </c>
      <c r="R137" s="8">
        <f>+VLOOKUP($B137,NIFTY_ENERGY!$B$3:$I$1238,8,0)</f>
        <v>-1.2513966480446892E-2</v>
      </c>
      <c r="S137" s="8">
        <f>+VLOOKUP($B137,NIFTY_AUTO!$B$3:$I$1238,8,0)</f>
        <v>1.6413004219832938E-3</v>
      </c>
      <c r="T137" s="8">
        <v>0</v>
      </c>
      <c r="U137" s="8">
        <f>+VLOOKUP($B137,NIFTY_50!$B$63:$K$1238,10,0)</f>
        <v>7.5604176699794134E-2</v>
      </c>
      <c r="V137" s="8">
        <f>+VLOOKUP($B137,NIFTY_BANK!$B$63:$K$1238,10,0)</f>
        <v>0.11775175186353604</v>
      </c>
      <c r="W137" s="8">
        <f>+VLOOKUP($B137,NIFTY_IT!$B$63:$K$1238,10,0)</f>
        <v>4.5238344265642771E-2</v>
      </c>
      <c r="X137" s="8">
        <f>+VLOOKUP($B137,NIFTY_PHARMA!$B$63:$K$1238,10,0)</f>
        <v>-2.7140077348977942E-2</v>
      </c>
      <c r="Y137" s="8">
        <f>+VLOOKUP($B137,NIFTY_FMCG!$B$63:$K$1238,10,0)</f>
        <v>8.7356326731261369E-2</v>
      </c>
      <c r="Z137" s="8">
        <f>+VLOOKUP($B137,NIFTY_METAL!$B$63:$K$1238,10,0)</f>
        <v>8.3948418474817155E-2</v>
      </c>
      <c r="AA137" s="8">
        <f>+VLOOKUP($B137,NIFTY_ENERGY!$B$63:$K$1238,10,0)</f>
        <v>2.5247545262460092E-2</v>
      </c>
      <c r="AB137" s="8">
        <f>+VLOOKUP($B137,NIFTY_AUTO!$B$63:$K$1238,10,0)</f>
        <v>0.10539965085419634</v>
      </c>
      <c r="AC137" s="8"/>
      <c r="AD137" s="16">
        <f t="shared" si="97"/>
        <v>3.9579580335442788E-2</v>
      </c>
      <c r="AE137" s="8">
        <f t="shared" si="98"/>
        <v>5.3145028474304613E-2</v>
      </c>
      <c r="AF137" s="8">
        <f t="shared" si="99"/>
        <v>6.9916959291053904E-2</v>
      </c>
      <c r="AG137" s="8">
        <f t="shared" si="100"/>
        <v>9.017303411096883E-2</v>
      </c>
      <c r="AH137" s="8">
        <f t="shared" si="101"/>
        <v>0.11503771685155122</v>
      </c>
      <c r="AI137" s="8">
        <f t="shared" si="102"/>
        <v>9.0644173029047093E-2</v>
      </c>
      <c r="AJ137" s="8">
        <f t="shared" si="103"/>
        <v>6.2510155821293031E-2</v>
      </c>
      <c r="AK137" s="8">
        <f t="shared" si="104"/>
        <v>5.7888589302308224E-2</v>
      </c>
      <c r="AL137" s="9">
        <v>0</v>
      </c>
      <c r="AM137" s="17">
        <f t="shared" si="81"/>
        <v>25.265553386995322</v>
      </c>
      <c r="AN137" s="13">
        <f t="shared" si="82"/>
        <v>18.816435491863469</v>
      </c>
      <c r="AO137" s="13">
        <f t="shared" si="83"/>
        <v>14.302681497305235</v>
      </c>
      <c r="AP137" s="13">
        <f t="shared" si="84"/>
        <v>11.089789867438407</v>
      </c>
      <c r="AQ137" s="13">
        <f t="shared" si="85"/>
        <v>8.692801173118168</v>
      </c>
      <c r="AR137" s="13">
        <f t="shared" si="86"/>
        <v>11.032148748045262</v>
      </c>
      <c r="AS137" s="13">
        <f t="shared" si="87"/>
        <v>15.997400532144679</v>
      </c>
      <c r="AT137" s="13">
        <f t="shared" si="88"/>
        <v>17.274561568217841</v>
      </c>
      <c r="AU137" s="9">
        <v>0</v>
      </c>
      <c r="AV137" s="18">
        <f t="shared" si="105"/>
        <v>1</v>
      </c>
      <c r="AW137" s="18">
        <f t="shared" si="106"/>
        <v>2</v>
      </c>
      <c r="AX137" s="18">
        <f t="shared" si="107"/>
        <v>5</v>
      </c>
      <c r="AY137" s="18">
        <f t="shared" si="108"/>
        <v>6</v>
      </c>
      <c r="AZ137" s="18">
        <f t="shared" si="109"/>
        <v>8</v>
      </c>
      <c r="BA137" s="18">
        <f t="shared" si="110"/>
        <v>7</v>
      </c>
      <c r="BB137" s="18">
        <f t="shared" si="111"/>
        <v>4</v>
      </c>
      <c r="BC137" s="18">
        <f t="shared" si="112"/>
        <v>3</v>
      </c>
      <c r="BD137" s="18">
        <f t="shared" si="113"/>
        <v>9</v>
      </c>
      <c r="BE137" s="8">
        <f t="shared" si="115"/>
        <v>-4.9689554447211615E-3</v>
      </c>
    </row>
    <row r="138" spans="1:57" x14ac:dyDescent="0.25">
      <c r="A138" t="str">
        <f t="shared" si="114"/>
        <v/>
      </c>
      <c r="B138" s="1">
        <v>42935</v>
      </c>
      <c r="C138" s="9">
        <f t="shared" si="89"/>
        <v>0.24746525804683939</v>
      </c>
      <c r="D138" s="9">
        <f t="shared" si="90"/>
        <v>0.24765197020837107</v>
      </c>
      <c r="E138" s="9">
        <f t="shared" si="91"/>
        <v>0</v>
      </c>
      <c r="F138" s="9">
        <f t="shared" si="92"/>
        <v>0</v>
      </c>
      <c r="G138" s="9">
        <f t="shared" si="93"/>
        <v>0</v>
      </c>
      <c r="H138" s="9">
        <f t="shared" si="94"/>
        <v>0</v>
      </c>
      <c r="I138" s="9">
        <f t="shared" si="95"/>
        <v>0.25622857150665812</v>
      </c>
      <c r="J138" s="9">
        <f t="shared" si="96"/>
        <v>0.24865420023813148</v>
      </c>
      <c r="K138" s="9">
        <v>0</v>
      </c>
      <c r="L138" s="8">
        <f>+VLOOKUP($B138,NIFTY_50!$B$3:$I$1238,8,0)</f>
        <v>7.372432495688086E-3</v>
      </c>
      <c r="M138" s="8">
        <f>+VLOOKUP($B138,NIFTY_BANK!$B$3:$I$41238,8,0)</f>
        <v>5.4366717245197815E-3</v>
      </c>
      <c r="N138" s="8">
        <f>+VLOOKUP($B138,NIFTY_IT!$B$3:$I$1238,8,0)</f>
        <v>8.6341630770401245E-3</v>
      </c>
      <c r="O138" s="8">
        <f>+VLOOKUP($B138,NIFTY_PHARMA!$B$3:$I$1238,8,0)</f>
        <v>2.0979020979021046E-2</v>
      </c>
      <c r="P138" s="8">
        <f>+VLOOKUP($B138,NIFTY_FMCG!$B$3:$I$1238,8,0)</f>
        <v>1.4410355571560673E-2</v>
      </c>
      <c r="Q138" s="8">
        <f>+VLOOKUP($B138,NIFTY_METAL!$B$3:$I$1238,8,0)</f>
        <v>1.9417015562050555E-2</v>
      </c>
      <c r="R138" s="8">
        <f>+VLOOKUP($B138,NIFTY_ENERGY!$B$3:$I$1238,8,0)</f>
        <v>9.354896065690399E-3</v>
      </c>
      <c r="S138" s="8">
        <f>+VLOOKUP($B138,NIFTY_AUTO!$B$3:$I$1238,8,0)</f>
        <v>5.2718542320893125E-3</v>
      </c>
      <c r="T138" s="8">
        <v>0</v>
      </c>
      <c r="U138" s="8">
        <f>+VLOOKUP($B138,NIFTY_50!$B$63:$K$1238,10,0)</f>
        <v>8.5553874158387666E-2</v>
      </c>
      <c r="V138" s="8">
        <f>+VLOOKUP($B138,NIFTY_BANK!$B$63:$K$1238,10,0)</f>
        <v>0.12069721526857835</v>
      </c>
      <c r="W138" s="8">
        <f>+VLOOKUP($B138,NIFTY_IT!$B$63:$K$1238,10,0)</f>
        <v>5.751812272997503E-2</v>
      </c>
      <c r="X138" s="8">
        <f>+VLOOKUP($B138,NIFTY_PHARMA!$B$63:$K$1238,10,0)</f>
        <v>2.5566929519518222E-3</v>
      </c>
      <c r="Y138" s="8">
        <f>+VLOOKUP($B138,NIFTY_FMCG!$B$63:$K$1238,10,0)</f>
        <v>0.11562518833567226</v>
      </c>
      <c r="Z138" s="8">
        <f>+VLOOKUP($B138,NIFTY_METAL!$B$63:$K$1238,10,0)</f>
        <v>0.1104724206178469</v>
      </c>
      <c r="AA138" s="8">
        <f>+VLOOKUP($B138,NIFTY_ENERGY!$B$63:$K$1238,10,0)</f>
        <v>2.4204923813741619E-2</v>
      </c>
      <c r="AB138" s="8">
        <f>+VLOOKUP($B138,NIFTY_AUTO!$B$63:$K$1238,10,0)</f>
        <v>0.11698685438390077</v>
      </c>
      <c r="AC138" s="8"/>
      <c r="AD138" s="16">
        <f t="shared" si="97"/>
        <v>3.9921461665575191E-2</v>
      </c>
      <c r="AE138" s="8">
        <f t="shared" si="98"/>
        <v>5.3256497977785859E-2</v>
      </c>
      <c r="AF138" s="8">
        <f t="shared" si="99"/>
        <v>7.0237278695649427E-2</v>
      </c>
      <c r="AG138" s="8">
        <f t="shared" si="100"/>
        <v>9.2161363423843845E-2</v>
      </c>
      <c r="AH138" s="8">
        <f t="shared" si="101"/>
        <v>0.11500734643601376</v>
      </c>
      <c r="AI138" s="8">
        <f t="shared" si="102"/>
        <v>9.2150277167844921E-2</v>
      </c>
      <c r="AJ138" s="8">
        <f t="shared" si="103"/>
        <v>6.2354855978905874E-2</v>
      </c>
      <c r="AK138" s="8">
        <f t="shared" si="104"/>
        <v>5.7581646087419586E-2</v>
      </c>
      <c r="AL138" s="9">
        <v>0</v>
      </c>
      <c r="AM138" s="17">
        <f t="shared" si="81"/>
        <v>25.049183027842723</v>
      </c>
      <c r="AN138" s="13">
        <f t="shared" si="82"/>
        <v>18.777051401635834</v>
      </c>
      <c r="AO138" s="13">
        <f t="shared" si="83"/>
        <v>14.237453650976104</v>
      </c>
      <c r="AP138" s="13">
        <f t="shared" si="84"/>
        <v>10.850533920609095</v>
      </c>
      <c r="AQ138" s="13">
        <f t="shared" si="85"/>
        <v>8.6950967132901074</v>
      </c>
      <c r="AR138" s="13">
        <f t="shared" si="86"/>
        <v>10.851839307857684</v>
      </c>
      <c r="AS138" s="13">
        <f t="shared" si="87"/>
        <v>16.037243359816141</v>
      </c>
      <c r="AT138" s="13">
        <f t="shared" si="88"/>
        <v>17.36664489378812</v>
      </c>
      <c r="AU138" s="9">
        <v>0</v>
      </c>
      <c r="AV138" s="18">
        <f t="shared" si="105"/>
        <v>1</v>
      </c>
      <c r="AW138" s="18">
        <f t="shared" si="106"/>
        <v>2</v>
      </c>
      <c r="AX138" s="18">
        <f t="shared" si="107"/>
        <v>5</v>
      </c>
      <c r="AY138" s="18">
        <f t="shared" si="108"/>
        <v>7</v>
      </c>
      <c r="AZ138" s="18">
        <f t="shared" si="109"/>
        <v>8</v>
      </c>
      <c r="BA138" s="18">
        <f t="shared" si="110"/>
        <v>6</v>
      </c>
      <c r="BB138" s="18">
        <f t="shared" si="111"/>
        <v>4</v>
      </c>
      <c r="BC138" s="18">
        <f t="shared" si="112"/>
        <v>3</v>
      </c>
      <c r="BD138" s="18">
        <f t="shared" si="113"/>
        <v>9</v>
      </c>
      <c r="BE138" s="8">
        <f t="shared" si="115"/>
        <v>6.8759164941166965E-3</v>
      </c>
    </row>
    <row r="139" spans="1:57" x14ac:dyDescent="0.25">
      <c r="A139" t="str">
        <f t="shared" si="114"/>
        <v/>
      </c>
      <c r="B139" s="1">
        <v>42936</v>
      </c>
      <c r="C139" s="9">
        <f t="shared" si="89"/>
        <v>0.24732276555084742</v>
      </c>
      <c r="D139" s="9">
        <f t="shared" si="90"/>
        <v>0.24879236620353609</v>
      </c>
      <c r="E139" s="9">
        <f t="shared" si="91"/>
        <v>0</v>
      </c>
      <c r="F139" s="9">
        <f t="shared" si="92"/>
        <v>0</v>
      </c>
      <c r="G139" s="9">
        <f t="shared" si="93"/>
        <v>0</v>
      </c>
      <c r="H139" s="9">
        <f t="shared" si="94"/>
        <v>0</v>
      </c>
      <c r="I139" s="9">
        <f t="shared" si="95"/>
        <v>0.25587603811886195</v>
      </c>
      <c r="J139" s="9">
        <f t="shared" si="96"/>
        <v>0.24800883012675454</v>
      </c>
      <c r="K139" s="9">
        <v>0</v>
      </c>
      <c r="L139" s="8">
        <f>+VLOOKUP($B139,NIFTY_50!$B$3:$I$1238,8,0)</f>
        <v>-2.6566729968888758E-3</v>
      </c>
      <c r="M139" s="8">
        <f>+VLOOKUP($B139,NIFTY_BANK!$B$3:$I$41238,8,0)</f>
        <v>2.513181783365237E-3</v>
      </c>
      <c r="N139" s="8">
        <f>+VLOOKUP($B139,NIFTY_IT!$B$3:$I$1238,8,0)</f>
        <v>-8.7539447079498789E-3</v>
      </c>
      <c r="O139" s="8">
        <f>+VLOOKUP($B139,NIFTY_PHARMA!$B$3:$I$1238,8,0)</f>
        <v>-9.1698747386317336E-3</v>
      </c>
      <c r="P139" s="8">
        <f>+VLOOKUP($B139,NIFTY_FMCG!$B$3:$I$1238,8,0)</f>
        <v>-5.8960284768914129E-3</v>
      </c>
      <c r="Q139" s="8">
        <f>+VLOOKUP($B139,NIFTY_METAL!$B$3:$I$1238,8,0)</f>
        <v>-9.2368731014815797E-3</v>
      </c>
      <c r="R139" s="8">
        <f>+VLOOKUP($B139,NIFTY_ENERGY!$B$3:$I$1238,8,0)</f>
        <v>-3.4550542679729901E-3</v>
      </c>
      <c r="S139" s="8">
        <f>+VLOOKUP($B139,NIFTY_AUTO!$B$3:$I$1238,8,0)</f>
        <v>-4.6721121670154631E-3</v>
      </c>
      <c r="T139" s="8">
        <v>0</v>
      </c>
      <c r="U139" s="8">
        <f>+VLOOKUP($B139,NIFTY_50!$B$63:$K$1238,10,0)</f>
        <v>7.1094983157860225E-2</v>
      </c>
      <c r="V139" s="8">
        <f>+VLOOKUP($B139,NIFTY_BANK!$B$63:$K$1238,10,0)</f>
        <v>0.1077872940056912</v>
      </c>
      <c r="W139" s="8">
        <f>+VLOOKUP($B139,NIFTY_IT!$B$63:$K$1238,10,0)</f>
        <v>4.3028926215532337E-2</v>
      </c>
      <c r="X139" s="8">
        <f>+VLOOKUP($B139,NIFTY_PHARMA!$B$63:$K$1238,10,0)</f>
        <v>-3.6353811009309789E-3</v>
      </c>
      <c r="Y139" s="8">
        <f>+VLOOKUP($B139,NIFTY_FMCG!$B$63:$K$1238,10,0)</f>
        <v>0.10359118684580837</v>
      </c>
      <c r="Z139" s="8">
        <f>+VLOOKUP($B139,NIFTY_METAL!$B$63:$K$1238,10,0)</f>
        <v>9.2524865844071602E-2</v>
      </c>
      <c r="AA139" s="8">
        <f>+VLOOKUP($B139,NIFTY_ENERGY!$B$63:$K$1238,10,0)</f>
        <v>1.4067293237677303E-2</v>
      </c>
      <c r="AB139" s="8">
        <f>+VLOOKUP($B139,NIFTY_AUTO!$B$63:$K$1238,10,0)</f>
        <v>9.8464652943416553E-2</v>
      </c>
      <c r="AC139" s="8"/>
      <c r="AD139" s="16">
        <f t="shared" si="97"/>
        <v>3.8956871902923997E-2</v>
      </c>
      <c r="AE139" s="8">
        <f t="shared" si="98"/>
        <v>5.1797964982236246E-2</v>
      </c>
      <c r="AF139" s="8">
        <f t="shared" si="99"/>
        <v>7.0767289313200504E-2</v>
      </c>
      <c r="AG139" s="8">
        <f t="shared" si="100"/>
        <v>9.2571513752820508E-2</v>
      </c>
      <c r="AH139" s="8">
        <f t="shared" si="101"/>
        <v>0.11522317646463516</v>
      </c>
      <c r="AI139" s="8">
        <f t="shared" si="102"/>
        <v>9.2635462283759185E-2</v>
      </c>
      <c r="AJ139" s="8">
        <f t="shared" si="103"/>
        <v>6.2165427307498876E-2</v>
      </c>
      <c r="AK139" s="8">
        <f t="shared" si="104"/>
        <v>5.6991466915129019E-2</v>
      </c>
      <c r="AL139" s="9">
        <v>0</v>
      </c>
      <c r="AM139" s="17">
        <f t="shared" si="81"/>
        <v>25.669412125590679</v>
      </c>
      <c r="AN139" s="13">
        <f t="shared" si="82"/>
        <v>19.305777752908693</v>
      </c>
      <c r="AO139" s="13">
        <f t="shared" si="83"/>
        <v>14.130822442191043</v>
      </c>
      <c r="AP139" s="13">
        <f t="shared" si="84"/>
        <v>10.802459195710533</v>
      </c>
      <c r="AQ139" s="13">
        <f t="shared" si="85"/>
        <v>8.6788095128320357</v>
      </c>
      <c r="AR139" s="13">
        <f t="shared" si="86"/>
        <v>10.795001993262785</v>
      </c>
      <c r="AS139" s="13">
        <f t="shared" si="87"/>
        <v>16.086111578603632</v>
      </c>
      <c r="AT139" s="13">
        <f t="shared" si="88"/>
        <v>17.546486415048545</v>
      </c>
      <c r="AU139" s="9">
        <v>0</v>
      </c>
      <c r="AV139" s="18">
        <f t="shared" si="105"/>
        <v>1</v>
      </c>
      <c r="AW139" s="18">
        <f t="shared" si="106"/>
        <v>2</v>
      </c>
      <c r="AX139" s="18">
        <f t="shared" si="107"/>
        <v>5</v>
      </c>
      <c r="AY139" s="18">
        <f t="shared" si="108"/>
        <v>6</v>
      </c>
      <c r="AZ139" s="18">
        <f t="shared" si="109"/>
        <v>8</v>
      </c>
      <c r="BA139" s="18">
        <f t="shared" si="110"/>
        <v>7</v>
      </c>
      <c r="BB139" s="18">
        <f t="shared" si="111"/>
        <v>4</v>
      </c>
      <c r="BC139" s="18">
        <f t="shared" si="112"/>
        <v>3</v>
      </c>
      <c r="BD139" s="18">
        <f t="shared" si="113"/>
        <v>9</v>
      </c>
      <c r="BE139" s="8">
        <f t="shared" si="115"/>
        <v>-2.0820637824517621E-3</v>
      </c>
    </row>
    <row r="140" spans="1:57" x14ac:dyDescent="0.25">
      <c r="A140" t="str">
        <f t="shared" si="114"/>
        <v/>
      </c>
      <c r="B140" s="1">
        <v>42937</v>
      </c>
      <c r="C140" s="9">
        <f t="shared" si="89"/>
        <v>0.24703926241042631</v>
      </c>
      <c r="D140" s="9">
        <f t="shared" si="90"/>
        <v>0.24790238585938917</v>
      </c>
      <c r="E140" s="9">
        <f t="shared" si="91"/>
        <v>0</v>
      </c>
      <c r="F140" s="9">
        <f t="shared" si="92"/>
        <v>0</v>
      </c>
      <c r="G140" s="9">
        <f t="shared" si="93"/>
        <v>0</v>
      </c>
      <c r="H140" s="9">
        <f t="shared" si="94"/>
        <v>0</v>
      </c>
      <c r="I140" s="9">
        <f t="shared" si="95"/>
        <v>0.25850117750929896</v>
      </c>
      <c r="J140" s="9">
        <f t="shared" si="96"/>
        <v>0.24655717422088552</v>
      </c>
      <c r="K140" s="9">
        <v>0</v>
      </c>
      <c r="L140" s="8">
        <f>+VLOOKUP($B140,NIFTY_50!$B$3:$I$1238,8,0)</f>
        <v>4.2488327104412971E-3</v>
      </c>
      <c r="M140" s="8">
        <f>+VLOOKUP($B140,NIFTY_BANK!$B$3:$I$41238,8,0)</f>
        <v>1.8047895066151121E-3</v>
      </c>
      <c r="N140" s="8">
        <f>+VLOOKUP($B140,NIFTY_IT!$B$3:$I$1238,8,0)</f>
        <v>2.1008183087650067E-2</v>
      </c>
      <c r="O140" s="8">
        <f>+VLOOKUP($B140,NIFTY_PHARMA!$B$3:$I$1238,8,0)</f>
        <v>-8.712373345166835E-3</v>
      </c>
      <c r="P140" s="8">
        <f>+VLOOKUP($B140,NIFTY_FMCG!$B$3:$I$1238,8,0)</f>
        <v>1.2673238119080832E-3</v>
      </c>
      <c r="Q140" s="8">
        <f>+VLOOKUP($B140,NIFTY_METAL!$B$3:$I$1238,8,0)</f>
        <v>2.1117507195596019E-3</v>
      </c>
      <c r="R140" s="8">
        <f>+VLOOKUP($B140,NIFTY_ENERGY!$B$3:$I$1238,8,0)</f>
        <v>1.5716145205611598E-2</v>
      </c>
      <c r="S140" s="8">
        <f>+VLOOKUP($B140,NIFTY_AUTO!$B$3:$I$1238,8,0)</f>
        <v>-4.8354575893883034E-4</v>
      </c>
      <c r="T140" s="8">
        <v>0</v>
      </c>
      <c r="U140" s="8">
        <f>+VLOOKUP($B140,NIFTY_50!$B$63:$K$1238,10,0)</f>
        <v>6.5399823780972532E-2</v>
      </c>
      <c r="V140" s="8">
        <f>+VLOOKUP($B140,NIFTY_BANK!$B$63:$K$1238,10,0)</f>
        <v>9.9858533555205797E-2</v>
      </c>
      <c r="W140" s="8">
        <f>+VLOOKUP($B140,NIFTY_IT!$B$63:$K$1238,10,0)</f>
        <v>6.1469094512572653E-2</v>
      </c>
      <c r="X140" s="8">
        <f>+VLOOKUP($B140,NIFTY_PHARMA!$B$63:$K$1238,10,0)</f>
        <v>-1.8459300196749573E-2</v>
      </c>
      <c r="Y140" s="8">
        <f>+VLOOKUP($B140,NIFTY_FMCG!$B$63:$K$1238,10,0)</f>
        <v>8.545183327477357E-2</v>
      </c>
      <c r="Z140" s="8">
        <f>+VLOOKUP($B140,NIFTY_METAL!$B$63:$K$1238,10,0)</f>
        <v>8.7343211636709439E-2</v>
      </c>
      <c r="AA140" s="8">
        <f>+VLOOKUP($B140,NIFTY_ENERGY!$B$63:$K$1238,10,0)</f>
        <v>1.8904879159496568E-2</v>
      </c>
      <c r="AB140" s="8">
        <f>+VLOOKUP($B140,NIFTY_AUTO!$B$63:$K$1238,10,0)</f>
        <v>8.573042560466182E-2</v>
      </c>
      <c r="AC140" s="8"/>
      <c r="AD140" s="16">
        <f t="shared" si="97"/>
        <v>3.8143910687546981E-2</v>
      </c>
      <c r="AE140" s="8">
        <f t="shared" si="98"/>
        <v>5.1269139600038663E-2</v>
      </c>
      <c r="AF140" s="8">
        <f t="shared" si="99"/>
        <v>7.35359538124397E-2</v>
      </c>
      <c r="AG140" s="8">
        <f t="shared" si="100"/>
        <v>9.275165010464978E-2</v>
      </c>
      <c r="AH140" s="8">
        <f t="shared" si="101"/>
        <v>0.11404911967299461</v>
      </c>
      <c r="AI140" s="8">
        <f t="shared" si="102"/>
        <v>9.2479813690953108E-2</v>
      </c>
      <c r="AJ140" s="8">
        <f t="shared" si="103"/>
        <v>6.3166204258560954E-2</v>
      </c>
      <c r="AK140" s="8">
        <f t="shared" si="104"/>
        <v>5.6182124329058024E-2</v>
      </c>
      <c r="AL140" s="9">
        <v>0</v>
      </c>
      <c r="AM140" s="17">
        <f t="shared" si="81"/>
        <v>26.21650433778083</v>
      </c>
      <c r="AN140" s="13">
        <f t="shared" si="82"/>
        <v>19.504910903541784</v>
      </c>
      <c r="AO140" s="13">
        <f t="shared" si="83"/>
        <v>13.598790090499039</v>
      </c>
      <c r="AP140" s="13">
        <f t="shared" si="84"/>
        <v>10.781479346962783</v>
      </c>
      <c r="AQ140" s="13">
        <f t="shared" si="85"/>
        <v>8.7681518530544817</v>
      </c>
      <c r="AR140" s="13">
        <f t="shared" si="86"/>
        <v>10.81317057300501</v>
      </c>
      <c r="AS140" s="13">
        <f t="shared" si="87"/>
        <v>15.831250456441181</v>
      </c>
      <c r="AT140" s="13">
        <f t="shared" si="88"/>
        <v>17.799255758700259</v>
      </c>
      <c r="AU140" s="9">
        <v>0</v>
      </c>
      <c r="AV140" s="18">
        <f t="shared" si="105"/>
        <v>1</v>
      </c>
      <c r="AW140" s="18">
        <f t="shared" si="106"/>
        <v>2</v>
      </c>
      <c r="AX140" s="18">
        <f t="shared" si="107"/>
        <v>5</v>
      </c>
      <c r="AY140" s="18">
        <f t="shared" si="108"/>
        <v>7</v>
      </c>
      <c r="AZ140" s="18">
        <f t="shared" si="109"/>
        <v>8</v>
      </c>
      <c r="BA140" s="18">
        <f t="shared" si="110"/>
        <v>6</v>
      </c>
      <c r="BB140" s="18">
        <f t="shared" si="111"/>
        <v>4</v>
      </c>
      <c r="BC140" s="18">
        <f t="shared" si="112"/>
        <v>3</v>
      </c>
      <c r="BD140" s="18">
        <f t="shared" si="113"/>
        <v>9</v>
      </c>
      <c r="BE140" s="8">
        <f t="shared" si="115"/>
        <v>5.4013122598848013E-3</v>
      </c>
    </row>
    <row r="141" spans="1:57" x14ac:dyDescent="0.25">
      <c r="A141" t="str">
        <f t="shared" si="114"/>
        <v/>
      </c>
      <c r="B141" s="1">
        <v>42940</v>
      </c>
      <c r="C141" s="9">
        <f t="shared" si="89"/>
        <v>0.24698495760137434</v>
      </c>
      <c r="D141" s="9">
        <f t="shared" si="90"/>
        <v>0.24824092238097212</v>
      </c>
      <c r="E141" s="9">
        <f t="shared" si="91"/>
        <v>0</v>
      </c>
      <c r="F141" s="9">
        <f t="shared" si="92"/>
        <v>0</v>
      </c>
      <c r="G141" s="9">
        <f t="shared" si="93"/>
        <v>0</v>
      </c>
      <c r="H141" s="9">
        <f t="shared" si="94"/>
        <v>0</v>
      </c>
      <c r="I141" s="9">
        <f t="shared" si="95"/>
        <v>0.25923629762441514</v>
      </c>
      <c r="J141" s="9">
        <f t="shared" si="96"/>
        <v>0.24553782239323835</v>
      </c>
      <c r="K141" s="9">
        <v>0</v>
      </c>
      <c r="L141" s="8">
        <f>+VLOOKUP($B141,NIFTY_50!$B$3:$I$1238,8,0)</f>
        <v>5.1587201532992122E-3</v>
      </c>
      <c r="M141" s="8">
        <f>+VLOOKUP($B141,NIFTY_BANK!$B$3:$I$41238,8,0)</f>
        <v>6.7526760261449326E-3</v>
      </c>
      <c r="N141" s="8">
        <f>+VLOOKUP($B141,NIFTY_IT!$B$3:$I$1238,8,0)</f>
        <v>1.0456003099458044E-2</v>
      </c>
      <c r="O141" s="8">
        <f>+VLOOKUP($B141,NIFTY_PHARMA!$B$3:$I$1238,8,0)</f>
        <v>-7.1525207910548838E-3</v>
      </c>
      <c r="P141" s="8">
        <f>+VLOOKUP($B141,NIFTY_FMCG!$B$3:$I$1238,8,0)</f>
        <v>9.2205647474763452E-3</v>
      </c>
      <c r="Q141" s="8">
        <f>+VLOOKUP($B141,NIFTY_METAL!$B$3:$I$1238,8,0)</f>
        <v>-4.8858155253422852E-3</v>
      </c>
      <c r="R141" s="8">
        <f>+VLOOKUP($B141,NIFTY_ENERGY!$B$3:$I$1238,8,0)</f>
        <v>8.2388026642619128E-3</v>
      </c>
      <c r="S141" s="8">
        <f>+VLOOKUP($B141,NIFTY_AUTO!$B$3:$I$1238,8,0)</f>
        <v>1.2231410993663872E-3</v>
      </c>
      <c r="T141" s="8">
        <v>0</v>
      </c>
      <c r="U141" s="8">
        <f>+VLOOKUP($B141,NIFTY_50!$B$63:$K$1238,10,0)</f>
        <v>6.5714270438469224E-2</v>
      </c>
      <c r="V141" s="8">
        <f>+VLOOKUP($B141,NIFTY_BANK!$B$63:$K$1238,10,0)</f>
        <v>9.791910658930858E-2</v>
      </c>
      <c r="W141" s="8">
        <f>+VLOOKUP($B141,NIFTY_IT!$B$63:$K$1238,10,0)</f>
        <v>8.5965836406050045E-2</v>
      </c>
      <c r="X141" s="8">
        <f>+VLOOKUP($B141,NIFTY_PHARMA!$B$63:$K$1238,10,0)</f>
        <v>-2.1250931628290171E-2</v>
      </c>
      <c r="Y141" s="8">
        <f>+VLOOKUP($B141,NIFTY_FMCG!$B$63:$K$1238,10,0)</f>
        <v>7.114584661973411E-2</v>
      </c>
      <c r="Z141" s="8">
        <f>+VLOOKUP($B141,NIFTY_METAL!$B$63:$K$1238,10,0)</f>
        <v>7.7622637682139395E-2</v>
      </c>
      <c r="AA141" s="8">
        <f>+VLOOKUP($B141,NIFTY_ENERGY!$B$63:$K$1238,10,0)</f>
        <v>3.8025352950039171E-2</v>
      </c>
      <c r="AB141" s="8">
        <f>+VLOOKUP($B141,NIFTY_AUTO!$B$63:$K$1238,10,0)</f>
        <v>7.6459562106833134E-2</v>
      </c>
      <c r="AC141" s="8"/>
      <c r="AD141" s="16">
        <f t="shared" si="97"/>
        <v>3.8174665288747862E-2</v>
      </c>
      <c r="AE141" s="8">
        <f t="shared" si="98"/>
        <v>5.1058033454761086E-2</v>
      </c>
      <c r="AF141" s="8">
        <f t="shared" si="99"/>
        <v>7.2866451783712607E-2</v>
      </c>
      <c r="AG141" s="8">
        <f t="shared" si="100"/>
        <v>9.2918774989316874E-2</v>
      </c>
      <c r="AH141" s="8">
        <f t="shared" si="101"/>
        <v>0.11230824087229993</v>
      </c>
      <c r="AI141" s="8">
        <f t="shared" si="102"/>
        <v>9.2651230361381703E-2</v>
      </c>
      <c r="AJ141" s="8">
        <f t="shared" si="103"/>
        <v>6.2712062164045318E-2</v>
      </c>
      <c r="AK141" s="8">
        <f t="shared" si="104"/>
        <v>5.5529095187177073E-2</v>
      </c>
      <c r="AL141" s="9">
        <v>0</v>
      </c>
      <c r="AM141" s="17">
        <f t="shared" si="81"/>
        <v>26.195383572747502</v>
      </c>
      <c r="AN141" s="13">
        <f t="shared" si="82"/>
        <v>19.585556519446236</v>
      </c>
      <c r="AO141" s="13">
        <f t="shared" si="83"/>
        <v>13.723736719996621</v>
      </c>
      <c r="AP141" s="13">
        <f t="shared" si="84"/>
        <v>10.762087641759942</v>
      </c>
      <c r="AQ141" s="13">
        <f t="shared" si="85"/>
        <v>8.9040660973138195</v>
      </c>
      <c r="AR141" s="13">
        <f t="shared" si="86"/>
        <v>10.793164819285698</v>
      </c>
      <c r="AS141" s="13">
        <f t="shared" si="87"/>
        <v>15.945895661733312</v>
      </c>
      <c r="AT141" s="13">
        <f t="shared" si="88"/>
        <v>18.008577244581552</v>
      </c>
      <c r="AU141" s="9">
        <v>0</v>
      </c>
      <c r="AV141" s="18">
        <f t="shared" si="105"/>
        <v>1</v>
      </c>
      <c r="AW141" s="18">
        <f t="shared" si="106"/>
        <v>2</v>
      </c>
      <c r="AX141" s="18">
        <f t="shared" si="107"/>
        <v>5</v>
      </c>
      <c r="AY141" s="18">
        <f t="shared" si="108"/>
        <v>7</v>
      </c>
      <c r="AZ141" s="18">
        <f t="shared" si="109"/>
        <v>8</v>
      </c>
      <c r="BA141" s="18">
        <f t="shared" si="110"/>
        <v>6</v>
      </c>
      <c r="BB141" s="18">
        <f t="shared" si="111"/>
        <v>4</v>
      </c>
      <c r="BC141" s="18">
        <f t="shared" si="112"/>
        <v>3</v>
      </c>
      <c r="BD141" s="18">
        <f t="shared" si="113"/>
        <v>9</v>
      </c>
      <c r="BE141" s="8">
        <f t="shared" si="115"/>
        <v>5.3797253225813238E-3</v>
      </c>
    </row>
    <row r="142" spans="1:57" x14ac:dyDescent="0.25">
      <c r="A142" t="str">
        <f t="shared" si="114"/>
        <v/>
      </c>
      <c r="B142" s="1">
        <v>42941</v>
      </c>
      <c r="C142" s="9">
        <f t="shared" si="89"/>
        <v>0.24717339848100717</v>
      </c>
      <c r="D142" s="9">
        <f t="shared" si="90"/>
        <v>0.24949239506117701</v>
      </c>
      <c r="E142" s="9">
        <f t="shared" si="91"/>
        <v>0</v>
      </c>
      <c r="F142" s="9">
        <f t="shared" si="92"/>
        <v>0</v>
      </c>
      <c r="G142" s="9">
        <f t="shared" si="93"/>
        <v>0</v>
      </c>
      <c r="H142" s="9">
        <f t="shared" si="94"/>
        <v>0</v>
      </c>
      <c r="I142" s="9">
        <f t="shared" si="95"/>
        <v>0.25837677695000549</v>
      </c>
      <c r="J142" s="9">
        <f t="shared" si="96"/>
        <v>0.24495742950781035</v>
      </c>
      <c r="K142" s="9">
        <v>0</v>
      </c>
      <c r="L142" s="8">
        <f>+VLOOKUP($B142,NIFTY_50!$B$3:$I$1238,8,0)</f>
        <v>-1.8562369561736514E-4</v>
      </c>
      <c r="M142" s="8">
        <f>+VLOOKUP($B142,NIFTY_BANK!$B$3:$I$41238,8,0)</f>
        <v>4.0887192706233755E-3</v>
      </c>
      <c r="N142" s="8">
        <f>+VLOOKUP($B142,NIFTY_IT!$B$3:$I$1238,8,0)</f>
        <v>-1.2195628975705253E-3</v>
      </c>
      <c r="O142" s="8">
        <f>+VLOOKUP($B142,NIFTY_PHARMA!$B$3:$I$1238,8,0)</f>
        <v>-5.0047592805971819E-3</v>
      </c>
      <c r="P142" s="8">
        <f>+VLOOKUP($B142,NIFTY_FMCG!$B$3:$I$1238,8,0)</f>
        <v>-4.1657943914463758E-3</v>
      </c>
      <c r="Q142" s="8">
        <f>+VLOOKUP($B142,NIFTY_METAL!$B$3:$I$1238,8,0)</f>
        <v>1.2564705882353033E-2</v>
      </c>
      <c r="R142" s="8">
        <f>+VLOOKUP($B142,NIFTY_ENERGY!$B$3:$I$1238,8,0)</f>
        <v>-4.2603104612981557E-3</v>
      </c>
      <c r="S142" s="8">
        <f>+VLOOKUP($B142,NIFTY_AUTO!$B$3:$I$1238,8,0)</f>
        <v>-3.3093866238785852E-3</v>
      </c>
      <c r="T142" s="8">
        <v>0</v>
      </c>
      <c r="U142" s="8">
        <f>+VLOOKUP($B142,NIFTY_50!$B$63:$K$1238,10,0)</f>
        <v>6.6622779552886646E-2</v>
      </c>
      <c r="V142" s="8">
        <f>+VLOOKUP($B142,NIFTY_BANK!$B$63:$K$1238,10,0)</f>
        <v>9.8287669698964963E-2</v>
      </c>
      <c r="W142" s="8">
        <f>+VLOOKUP($B142,NIFTY_IT!$B$63:$K$1238,10,0)</f>
        <v>7.9701568562824843E-2</v>
      </c>
      <c r="X142" s="8">
        <f>+VLOOKUP($B142,NIFTY_PHARMA!$B$63:$K$1238,10,0)</f>
        <v>-1.6777227722772348E-2</v>
      </c>
      <c r="Y142" s="8">
        <f>+VLOOKUP($B142,NIFTY_FMCG!$B$63:$K$1238,10,0)</f>
        <v>7.7201146798520748E-2</v>
      </c>
      <c r="Z142" s="8">
        <f>+VLOOKUP($B142,NIFTY_METAL!$B$63:$K$1238,10,0)</f>
        <v>0.10160929740430413</v>
      </c>
      <c r="AA142" s="8">
        <f>+VLOOKUP($B142,NIFTY_ENERGY!$B$63:$K$1238,10,0)</f>
        <v>3.2640092432120182E-2</v>
      </c>
      <c r="AB142" s="8">
        <f>+VLOOKUP($B142,NIFTY_AUTO!$B$63:$K$1238,10,0)</f>
        <v>7.4647845789385769E-2</v>
      </c>
      <c r="AC142" s="8"/>
      <c r="AD142" s="16">
        <f t="shared" si="97"/>
        <v>3.8137297975331205E-2</v>
      </c>
      <c r="AE142" s="8">
        <f t="shared" si="98"/>
        <v>5.107362969908949E-2</v>
      </c>
      <c r="AF142" s="8">
        <f t="shared" si="99"/>
        <v>7.2840275776373475E-2</v>
      </c>
      <c r="AG142" s="8">
        <f t="shared" si="100"/>
        <v>9.2575889479655296E-2</v>
      </c>
      <c r="AH142" s="8">
        <f t="shared" si="101"/>
        <v>0.1118966452325524</v>
      </c>
      <c r="AI142" s="8">
        <f t="shared" si="102"/>
        <v>9.2666374573460428E-2</v>
      </c>
      <c r="AJ142" s="8">
        <f t="shared" si="103"/>
        <v>6.2899378130979747E-2</v>
      </c>
      <c r="AK142" s="8">
        <f t="shared" si="104"/>
        <v>5.5640620848591421E-2</v>
      </c>
      <c r="AL142" s="9">
        <v>0</v>
      </c>
      <c r="AM142" s="17">
        <f t="shared" si="81"/>
        <v>26.221050076668821</v>
      </c>
      <c r="AN142" s="13">
        <f t="shared" si="82"/>
        <v>19.579575720223922</v>
      </c>
      <c r="AO142" s="13">
        <f t="shared" si="83"/>
        <v>13.728668505732934</v>
      </c>
      <c r="AP142" s="13">
        <f t="shared" si="84"/>
        <v>10.801948602608483</v>
      </c>
      <c r="AQ142" s="13">
        <f t="shared" si="85"/>
        <v>8.9368184177615113</v>
      </c>
      <c r="AR142" s="13">
        <f t="shared" si="86"/>
        <v>10.791400921887357</v>
      </c>
      <c r="AS142" s="13">
        <f t="shared" si="87"/>
        <v>15.898408374048318</v>
      </c>
      <c r="AT142" s="13">
        <f t="shared" si="88"/>
        <v>17.972480981497093</v>
      </c>
      <c r="AU142" s="9">
        <v>0</v>
      </c>
      <c r="AV142" s="18">
        <f t="shared" si="105"/>
        <v>1</v>
      </c>
      <c r="AW142" s="18">
        <f t="shared" si="106"/>
        <v>2</v>
      </c>
      <c r="AX142" s="18">
        <f t="shared" si="107"/>
        <v>5</v>
      </c>
      <c r="AY142" s="18">
        <f t="shared" si="108"/>
        <v>6</v>
      </c>
      <c r="AZ142" s="18">
        <f t="shared" si="109"/>
        <v>8</v>
      </c>
      <c r="BA142" s="18">
        <f t="shared" si="110"/>
        <v>7</v>
      </c>
      <c r="BB142" s="18">
        <f t="shared" si="111"/>
        <v>4</v>
      </c>
      <c r="BC142" s="18">
        <f t="shared" si="112"/>
        <v>3</v>
      </c>
      <c r="BD142" s="18">
        <f t="shared" si="113"/>
        <v>9</v>
      </c>
      <c r="BE142" s="8">
        <f t="shared" si="115"/>
        <v>-9.4786551329741986E-4</v>
      </c>
    </row>
    <row r="143" spans="1:57" x14ac:dyDescent="0.25">
      <c r="A143" t="str">
        <f t="shared" si="114"/>
        <v/>
      </c>
      <c r="B143" s="1">
        <v>42942</v>
      </c>
      <c r="C143" s="9">
        <f t="shared" si="89"/>
        <v>0.24694454539396771</v>
      </c>
      <c r="D143" s="9">
        <f t="shared" si="90"/>
        <v>0.24938218545014579</v>
      </c>
      <c r="E143" s="9">
        <f t="shared" si="91"/>
        <v>0</v>
      </c>
      <c r="F143" s="9">
        <f t="shared" si="92"/>
        <v>0</v>
      </c>
      <c r="G143" s="9">
        <f t="shared" si="93"/>
        <v>0</v>
      </c>
      <c r="H143" s="9">
        <f t="shared" si="94"/>
        <v>0</v>
      </c>
      <c r="I143" s="9">
        <f t="shared" si="95"/>
        <v>0.25873115761709503</v>
      </c>
      <c r="J143" s="9">
        <f t="shared" si="96"/>
        <v>0.24494211153879145</v>
      </c>
      <c r="K143" s="9">
        <v>0</v>
      </c>
      <c r="L143" s="8">
        <f>+VLOOKUP($B143,NIFTY_50!$B$3:$I$1238,8,0)</f>
        <v>5.6299582018255467E-3</v>
      </c>
      <c r="M143" s="8">
        <f>+VLOOKUP($B143,NIFTY_BANK!$B$3:$I$41238,8,0)</f>
        <v>6.1172805017801757E-3</v>
      </c>
      <c r="N143" s="8">
        <f>+VLOOKUP($B143,NIFTY_IT!$B$3:$I$1238,8,0)</f>
        <v>-2.534608037667585E-3</v>
      </c>
      <c r="O143" s="8">
        <f>+VLOOKUP($B143,NIFTY_PHARMA!$B$3:$I$1238,8,0)</f>
        <v>1.0699306684926801E-2</v>
      </c>
      <c r="P143" s="8">
        <f>+VLOOKUP($B143,NIFTY_FMCG!$B$3:$I$1238,8,0)</f>
        <v>6.7309546769527273E-3</v>
      </c>
      <c r="Q143" s="8">
        <f>+VLOOKUP($B143,NIFTY_METAL!$B$3:$I$1238,8,0)</f>
        <v>1.7257672228160548E-2</v>
      </c>
      <c r="R143" s="8">
        <f>+VLOOKUP($B143,NIFTY_ENERGY!$B$3:$I$1238,8,0)</f>
        <v>7.9424800551559649E-3</v>
      </c>
      <c r="S143" s="8">
        <f>+VLOOKUP($B143,NIFTY_AUTO!$B$3:$I$1238,8,0)</f>
        <v>6.498970958152217E-3</v>
      </c>
      <c r="T143" s="8">
        <v>0</v>
      </c>
      <c r="U143" s="8">
        <f>+VLOOKUP($B143,NIFTY_50!$B$63:$K$1238,10,0)</f>
        <v>7.7020222376277037E-2</v>
      </c>
      <c r="V143" s="8">
        <f>+VLOOKUP($B143,NIFTY_BANK!$B$63:$K$1238,10,0)</f>
        <v>0.10342714657900332</v>
      </c>
      <c r="W143" s="8">
        <f>+VLOOKUP($B143,NIFTY_IT!$B$63:$K$1238,10,0)</f>
        <v>8.4400172973842835E-2</v>
      </c>
      <c r="X143" s="8">
        <f>+VLOOKUP($B143,NIFTY_PHARMA!$B$63:$K$1238,10,0)</f>
        <v>-8.3095376893359552E-3</v>
      </c>
      <c r="Y143" s="8">
        <f>+VLOOKUP($B143,NIFTY_FMCG!$B$63:$K$1238,10,0)</f>
        <v>0.10238897758855181</v>
      </c>
      <c r="Z143" s="8">
        <f>+VLOOKUP($B143,NIFTY_METAL!$B$63:$K$1238,10,0)</f>
        <v>0.1038360677783754</v>
      </c>
      <c r="AA143" s="8">
        <f>+VLOOKUP($B143,NIFTY_ENERGY!$B$63:$K$1238,10,0)</f>
        <v>4.3095188587317645E-2</v>
      </c>
      <c r="AB143" s="8">
        <f>+VLOOKUP($B143,NIFTY_AUTO!$B$63:$K$1238,10,0)</f>
        <v>7.2977967167715763E-2</v>
      </c>
      <c r="AC143" s="8"/>
      <c r="AD143" s="16">
        <f t="shared" si="97"/>
        <v>3.8042092533204036E-2</v>
      </c>
      <c r="AE143" s="8">
        <f t="shared" si="98"/>
        <v>5.1272934658057233E-2</v>
      </c>
      <c r="AF143" s="8">
        <f t="shared" si="99"/>
        <v>7.2481474079096969E-2</v>
      </c>
      <c r="AG143" s="8">
        <f t="shared" si="100"/>
        <v>9.3181741502534804E-2</v>
      </c>
      <c r="AH143" s="8">
        <f t="shared" si="101"/>
        <v>0.11059766701370624</v>
      </c>
      <c r="AI143" s="8">
        <f t="shared" si="102"/>
        <v>9.2988181438975054E-2</v>
      </c>
      <c r="AJ143" s="8">
        <f t="shared" si="103"/>
        <v>6.3259611591841805E-2</v>
      </c>
      <c r="AK143" s="8">
        <f t="shared" si="104"/>
        <v>5.546894423158686E-2</v>
      </c>
      <c r="AL143" s="9">
        <v>0</v>
      </c>
      <c r="AM143" s="17">
        <f t="shared" si="81"/>
        <v>26.28667177356704</v>
      </c>
      <c r="AN143" s="13">
        <f t="shared" si="82"/>
        <v>19.503467212654581</v>
      </c>
      <c r="AO143" s="13">
        <f t="shared" si="83"/>
        <v>13.796628900079053</v>
      </c>
      <c r="AP143" s="13">
        <f t="shared" si="84"/>
        <v>10.73171614819838</v>
      </c>
      <c r="AQ143" s="13">
        <f t="shared" si="85"/>
        <v>9.0417820465966177</v>
      </c>
      <c r="AR143" s="13">
        <f t="shared" si="86"/>
        <v>10.754054811323153</v>
      </c>
      <c r="AS143" s="13">
        <f t="shared" si="87"/>
        <v>15.807874484783648</v>
      </c>
      <c r="AT143" s="13">
        <f t="shared" si="88"/>
        <v>18.028105886150051</v>
      </c>
      <c r="AU143" s="9">
        <v>0</v>
      </c>
      <c r="AV143" s="18">
        <f t="shared" si="105"/>
        <v>1</v>
      </c>
      <c r="AW143" s="18">
        <f t="shared" si="106"/>
        <v>2</v>
      </c>
      <c r="AX143" s="18">
        <f t="shared" si="107"/>
        <v>5</v>
      </c>
      <c r="AY143" s="18">
        <f t="shared" si="108"/>
        <v>7</v>
      </c>
      <c r="AZ143" s="18">
        <f t="shared" si="109"/>
        <v>8</v>
      </c>
      <c r="BA143" s="18">
        <f t="shared" si="110"/>
        <v>6</v>
      </c>
      <c r="BB143" s="18">
        <f t="shared" si="111"/>
        <v>4</v>
      </c>
      <c r="BC143" s="18">
        <f t="shared" si="112"/>
        <v>3</v>
      </c>
      <c r="BD143" s="18">
        <f t="shared" si="113"/>
        <v>9</v>
      </c>
      <c r="BE143" s="8">
        <f t="shared" si="115"/>
        <v>6.5619144836971937E-3</v>
      </c>
    </row>
    <row r="144" spans="1:57" x14ac:dyDescent="0.25">
      <c r="A144" t="str">
        <f t="shared" si="114"/>
        <v/>
      </c>
      <c r="B144" s="1">
        <v>42943</v>
      </c>
      <c r="C144" s="9">
        <f t="shared" si="89"/>
        <v>0.24741814840845916</v>
      </c>
      <c r="D144" s="9">
        <f t="shared" si="90"/>
        <v>0.25241215526801147</v>
      </c>
      <c r="E144" s="9">
        <f t="shared" si="91"/>
        <v>0</v>
      </c>
      <c r="F144" s="9">
        <f t="shared" si="92"/>
        <v>0</v>
      </c>
      <c r="G144" s="9">
        <f t="shared" si="93"/>
        <v>0</v>
      </c>
      <c r="H144" s="9">
        <f t="shared" si="94"/>
        <v>0</v>
      </c>
      <c r="I144" s="9">
        <f t="shared" si="95"/>
        <v>0.25664110820758274</v>
      </c>
      <c r="J144" s="9">
        <f t="shared" si="96"/>
        <v>0.24352858811594658</v>
      </c>
      <c r="K144" s="9">
        <v>0</v>
      </c>
      <c r="L144" s="8">
        <f>+VLOOKUP($B144,NIFTY_50!$B$3:$I$1238,8,0)</f>
        <v>-9.9793925544267026E-6</v>
      </c>
      <c r="M144" s="8">
        <f>+VLOOKUP($B144,NIFTY_BANK!$B$3:$I$41238,8,0)</f>
        <v>1.0202385826101334E-2</v>
      </c>
      <c r="N144" s="8">
        <f>+VLOOKUP($B144,NIFTY_IT!$B$3:$I$1238,8,0)</f>
        <v>-1.5825910349208883E-2</v>
      </c>
      <c r="O144" s="8">
        <f>+VLOOKUP($B144,NIFTY_PHARMA!$B$3:$I$1238,8,0)</f>
        <v>-1.5597600828949343E-2</v>
      </c>
      <c r="P144" s="8">
        <f>+VLOOKUP($B144,NIFTY_FMCG!$B$3:$I$1238,8,0)</f>
        <v>-4.9445391674169947E-3</v>
      </c>
      <c r="Q144" s="8">
        <f>+VLOOKUP($B144,NIFTY_METAL!$B$3:$I$1238,8,0)</f>
        <v>-1.0020558897433918E-2</v>
      </c>
      <c r="R144" s="8">
        <f>+VLOOKUP($B144,NIFTY_ENERGY!$B$3:$I$1238,8,0)</f>
        <v>-9.9866714091955133E-3</v>
      </c>
      <c r="S144" s="8">
        <f>+VLOOKUP($B144,NIFTY_AUTO!$B$3:$I$1238,8,0)</f>
        <v>-7.6838838374887475E-3</v>
      </c>
      <c r="T144" s="8">
        <v>0</v>
      </c>
      <c r="U144" s="8">
        <f>+VLOOKUP($B144,NIFTY_50!$B$63:$K$1238,10,0)</f>
        <v>7.5882024522751168E-2</v>
      </c>
      <c r="V144" s="8">
        <f>+VLOOKUP($B144,NIFTY_BANK!$B$63:$K$1238,10,0)</f>
        <v>0.1155279336297943</v>
      </c>
      <c r="W144" s="8">
        <f>+VLOOKUP($B144,NIFTY_IT!$B$63:$K$1238,10,0)</f>
        <v>6.0556546592913429E-2</v>
      </c>
      <c r="X144" s="8">
        <f>+VLOOKUP($B144,NIFTY_PHARMA!$B$63:$K$1238,10,0)</f>
        <v>-1.5553463161408265E-2</v>
      </c>
      <c r="Y144" s="8">
        <f>+VLOOKUP($B144,NIFTY_FMCG!$B$63:$K$1238,10,0)</f>
        <v>9.3257868836586821E-2</v>
      </c>
      <c r="Z144" s="8">
        <f>+VLOOKUP($B144,NIFTY_METAL!$B$63:$K$1238,10,0)</f>
        <v>9.9075185554635015E-2</v>
      </c>
      <c r="AA144" s="8">
        <f>+VLOOKUP($B144,NIFTY_ENERGY!$B$63:$K$1238,10,0)</f>
        <v>3.4424174109786376E-2</v>
      </c>
      <c r="AB144" s="8">
        <f>+VLOOKUP($B144,NIFTY_AUTO!$B$63:$K$1238,10,0)</f>
        <v>6.0637703683916522E-2</v>
      </c>
      <c r="AC144" s="8"/>
      <c r="AD144" s="16">
        <f t="shared" si="97"/>
        <v>3.8061589809604321E-2</v>
      </c>
      <c r="AE144" s="8">
        <f t="shared" si="98"/>
        <v>5.1909567239517521E-2</v>
      </c>
      <c r="AF144" s="8">
        <f t="shared" si="99"/>
        <v>7.4276647444660726E-2</v>
      </c>
      <c r="AG144" s="8">
        <f t="shared" si="100"/>
        <v>9.409849198832454E-2</v>
      </c>
      <c r="AH144" s="8">
        <f t="shared" si="101"/>
        <v>0.1107794974306794</v>
      </c>
      <c r="AI144" s="8">
        <f t="shared" si="102"/>
        <v>9.3426767815916176E-2</v>
      </c>
      <c r="AJ144" s="8">
        <f t="shared" si="103"/>
        <v>6.410586540211978E-2</v>
      </c>
      <c r="AK144" s="8">
        <f t="shared" si="104"/>
        <v>5.6089315615248402E-2</v>
      </c>
      <c r="AL144" s="9">
        <v>0</v>
      </c>
      <c r="AM144" s="17">
        <f t="shared" si="81"/>
        <v>26.27320626916282</v>
      </c>
      <c r="AN144" s="13">
        <f t="shared" si="82"/>
        <v>19.264271562617147</v>
      </c>
      <c r="AO144" s="13">
        <f t="shared" si="83"/>
        <v>13.463181691729458</v>
      </c>
      <c r="AP144" s="13">
        <f t="shared" si="84"/>
        <v>10.627162868073135</v>
      </c>
      <c r="AQ144" s="13">
        <f t="shared" si="85"/>
        <v>9.0269411144941589</v>
      </c>
      <c r="AR144" s="13">
        <f t="shared" si="86"/>
        <v>10.70357054383337</v>
      </c>
      <c r="AS144" s="13">
        <f t="shared" si="87"/>
        <v>15.599196637113538</v>
      </c>
      <c r="AT144" s="13">
        <f t="shared" si="88"/>
        <v>17.82870746470903</v>
      </c>
      <c r="AU144" s="9">
        <v>0</v>
      </c>
      <c r="AV144" s="18">
        <f t="shared" si="105"/>
        <v>1</v>
      </c>
      <c r="AW144" s="18">
        <f t="shared" si="106"/>
        <v>2</v>
      </c>
      <c r="AX144" s="18">
        <f t="shared" si="107"/>
        <v>5</v>
      </c>
      <c r="AY144" s="18">
        <f t="shared" si="108"/>
        <v>7</v>
      </c>
      <c r="AZ144" s="18">
        <f t="shared" si="109"/>
        <v>8</v>
      </c>
      <c r="BA144" s="18">
        <f t="shared" si="110"/>
        <v>6</v>
      </c>
      <c r="BB144" s="18">
        <f t="shared" si="111"/>
        <v>4</v>
      </c>
      <c r="BC144" s="18">
        <f t="shared" si="112"/>
        <v>3</v>
      </c>
      <c r="BD144" s="18">
        <f t="shared" si="113"/>
        <v>9</v>
      </c>
      <c r="BE144" s="8">
        <f t="shared" si="115"/>
        <v>-1.9241408688549053E-3</v>
      </c>
    </row>
    <row r="145" spans="1:57" x14ac:dyDescent="0.25">
      <c r="A145" t="str">
        <f t="shared" si="114"/>
        <v/>
      </c>
      <c r="B145" s="1">
        <v>42944</v>
      </c>
      <c r="C145" s="9">
        <f t="shared" si="89"/>
        <v>0.24746134675205919</v>
      </c>
      <c r="D145" s="9">
        <f t="shared" si="90"/>
        <v>0.25148265179614521</v>
      </c>
      <c r="E145" s="9">
        <f t="shared" si="91"/>
        <v>0</v>
      </c>
      <c r="F145" s="9">
        <f t="shared" si="92"/>
        <v>0</v>
      </c>
      <c r="G145" s="9">
        <f t="shared" si="93"/>
        <v>0</v>
      </c>
      <c r="H145" s="9">
        <f t="shared" si="94"/>
        <v>0</v>
      </c>
      <c r="I145" s="9">
        <f t="shared" si="95"/>
        <v>0.25698396597639184</v>
      </c>
      <c r="J145" s="9">
        <f t="shared" si="96"/>
        <v>0.24407203547540374</v>
      </c>
      <c r="K145" s="9">
        <v>0</v>
      </c>
      <c r="L145" s="8">
        <f>+VLOOKUP($B145,NIFTY_50!$B$3:$I$1238,8,0)</f>
        <v>-6.0375927469047408E-4</v>
      </c>
      <c r="M145" s="8">
        <f>+VLOOKUP($B145,NIFTY_BANK!$B$3:$I$41238,8,0)</f>
        <v>-4.4578371264405448E-3</v>
      </c>
      <c r="N145" s="8">
        <f>+VLOOKUP($B145,NIFTY_IT!$B$3:$I$1238,8,0)</f>
        <v>8.2121688983538554E-3</v>
      </c>
      <c r="O145" s="8">
        <f>+VLOOKUP($B145,NIFTY_PHARMA!$B$3:$I$1238,8,0)</f>
        <v>-2.1016674679284364E-2</v>
      </c>
      <c r="P145" s="8">
        <f>+VLOOKUP($B145,NIFTY_FMCG!$B$3:$I$1238,8,0)</f>
        <v>2.4450866273013627E-3</v>
      </c>
      <c r="Q145" s="8">
        <f>+VLOOKUP($B145,NIFTY_METAL!$B$3:$I$1238,8,0)</f>
        <v>-1.329087636716042E-2</v>
      </c>
      <c r="R145" s="8">
        <f>+VLOOKUP($B145,NIFTY_ENERGY!$B$3:$I$1238,8,0)</f>
        <v>5.5668295918454014E-4</v>
      </c>
      <c r="S145" s="8">
        <f>+VLOOKUP($B145,NIFTY_AUTO!$B$3:$I$1238,8,0)</f>
        <v>1.4515981316971516E-3</v>
      </c>
      <c r="T145" s="8">
        <v>0</v>
      </c>
      <c r="U145" s="8">
        <f>+VLOOKUP($B145,NIFTY_50!$B$63:$K$1238,10,0)</f>
        <v>7.5446066613330087E-2</v>
      </c>
      <c r="V145" s="8">
        <f>+VLOOKUP($B145,NIFTY_BANK!$B$63:$K$1238,10,0)</f>
        <v>0.11225024991818833</v>
      </c>
      <c r="W145" s="8">
        <f>+VLOOKUP($B145,NIFTY_IT!$B$63:$K$1238,10,0)</f>
        <v>5.6104747286806589E-2</v>
      </c>
      <c r="X145" s="8">
        <f>+VLOOKUP($B145,NIFTY_PHARMA!$B$63:$K$1238,10,0)</f>
        <v>-3.0976377006151079E-2</v>
      </c>
      <c r="Y145" s="8">
        <f>+VLOOKUP($B145,NIFTY_FMCG!$B$63:$K$1238,10,0)</f>
        <v>9.9230275546998481E-2</v>
      </c>
      <c r="Z145" s="8">
        <f>+VLOOKUP($B145,NIFTY_METAL!$B$63:$K$1238,10,0)</f>
        <v>8.6856329532168708E-2</v>
      </c>
      <c r="AA145" s="8">
        <f>+VLOOKUP($B145,NIFTY_ENERGY!$B$63:$K$1238,10,0)</f>
        <v>3.7542424577391875E-2</v>
      </c>
      <c r="AB145" s="8">
        <f>+VLOOKUP($B145,NIFTY_AUTO!$B$63:$K$1238,10,0)</f>
        <v>6.4426165677017533E-2</v>
      </c>
      <c r="AC145" s="8"/>
      <c r="AD145" s="16">
        <f t="shared" si="97"/>
        <v>3.8078717263158583E-2</v>
      </c>
      <c r="AE145" s="8">
        <f t="shared" si="98"/>
        <v>5.2179171599667465E-2</v>
      </c>
      <c r="AF145" s="8">
        <f t="shared" si="99"/>
        <v>7.3738997567616885E-2</v>
      </c>
      <c r="AG145" s="8">
        <f t="shared" si="100"/>
        <v>9.6213141448622683E-2</v>
      </c>
      <c r="AH145" s="8">
        <f t="shared" si="101"/>
        <v>0.11068666692950672</v>
      </c>
      <c r="AI145" s="8">
        <f t="shared" si="102"/>
        <v>9.4521577907599824E-2</v>
      </c>
      <c r="AJ145" s="8">
        <f t="shared" si="103"/>
        <v>6.4032639416191986E-2</v>
      </c>
      <c r="AK145" s="8">
        <f t="shared" si="104"/>
        <v>5.6003388216444079E-2</v>
      </c>
      <c r="AL145" s="9">
        <v>0</v>
      </c>
      <c r="AM145" s="17">
        <f t="shared" si="81"/>
        <v>26.261388824867449</v>
      </c>
      <c r="AN145" s="13">
        <f t="shared" si="82"/>
        <v>19.164735072305611</v>
      </c>
      <c r="AO145" s="13">
        <f t="shared" si="83"/>
        <v>13.561345190284477</v>
      </c>
      <c r="AP145" s="13">
        <f t="shared" si="84"/>
        <v>10.393590573424888</v>
      </c>
      <c r="AQ145" s="13">
        <f t="shared" si="85"/>
        <v>9.0345118137568665</v>
      </c>
      <c r="AR145" s="13">
        <f t="shared" si="86"/>
        <v>10.579594862218196</v>
      </c>
      <c r="AS145" s="13">
        <f t="shared" si="87"/>
        <v>15.617035454376868</v>
      </c>
      <c r="AT145" s="13">
        <f t="shared" si="88"/>
        <v>17.856062496346848</v>
      </c>
      <c r="AU145" s="9">
        <v>0</v>
      </c>
      <c r="AV145" s="18">
        <f t="shared" si="105"/>
        <v>1</v>
      </c>
      <c r="AW145" s="18">
        <f t="shared" si="106"/>
        <v>2</v>
      </c>
      <c r="AX145" s="18">
        <f t="shared" si="107"/>
        <v>5</v>
      </c>
      <c r="AY145" s="18">
        <f t="shared" si="108"/>
        <v>7</v>
      </c>
      <c r="AZ145" s="18">
        <f t="shared" si="109"/>
        <v>8</v>
      </c>
      <c r="BA145" s="18">
        <f t="shared" si="110"/>
        <v>6</v>
      </c>
      <c r="BB145" s="18">
        <f t="shared" si="111"/>
        <v>4</v>
      </c>
      <c r="BC145" s="18">
        <f t="shared" si="112"/>
        <v>3</v>
      </c>
      <c r="BD145" s="18">
        <f t="shared" si="113"/>
        <v>9</v>
      </c>
      <c r="BE145" s="8">
        <f t="shared" si="115"/>
        <v>-7.7821990365761827E-4</v>
      </c>
    </row>
    <row r="146" spans="1:57" x14ac:dyDescent="0.25">
      <c r="A146" t="str">
        <f t="shared" si="114"/>
        <v>Y</v>
      </c>
      <c r="B146" s="1">
        <v>42947</v>
      </c>
      <c r="C146" s="9">
        <f t="shared" si="89"/>
        <v>0.25</v>
      </c>
      <c r="D146" s="9">
        <f t="shared" si="90"/>
        <v>0.25</v>
      </c>
      <c r="E146" s="9">
        <f t="shared" si="91"/>
        <v>0</v>
      </c>
      <c r="F146" s="9">
        <f t="shared" si="92"/>
        <v>0</v>
      </c>
      <c r="G146" s="9">
        <f t="shared" si="93"/>
        <v>0</v>
      </c>
      <c r="H146" s="9">
        <f t="shared" si="94"/>
        <v>0</v>
      </c>
      <c r="I146" s="9">
        <f t="shared" si="95"/>
        <v>0.25</v>
      </c>
      <c r="J146" s="9">
        <f t="shared" si="96"/>
        <v>0.25</v>
      </c>
      <c r="K146" s="9">
        <v>0</v>
      </c>
      <c r="L146" s="8">
        <f>+VLOOKUP($B146,NIFTY_50!$B$3:$I$1238,8,0)</f>
        <v>6.2509361425933108E-3</v>
      </c>
      <c r="M146" s="8">
        <f>+VLOOKUP($B146,NIFTY_BANK!$B$3:$I$41238,8,0)</f>
        <v>1.1782937613103783E-2</v>
      </c>
      <c r="N146" s="8">
        <f>+VLOOKUP($B146,NIFTY_IT!$B$3:$I$1238,8,0)</f>
        <v>5.2619527171957614E-3</v>
      </c>
      <c r="O146" s="8">
        <f>+VLOOKUP($B146,NIFTY_PHARMA!$B$3:$I$1238,8,0)</f>
        <v>-2.0284101482538341E-2</v>
      </c>
      <c r="P146" s="8">
        <f>+VLOOKUP($B146,NIFTY_FMCG!$B$3:$I$1238,8,0)</f>
        <v>-1.1123936244788135E-2</v>
      </c>
      <c r="Q146" s="8">
        <f>+VLOOKUP($B146,NIFTY_METAL!$B$3:$I$1238,8,0)</f>
        <v>1.6463215003975407E-2</v>
      </c>
      <c r="R146" s="8">
        <f>+VLOOKUP($B146,NIFTY_ENERGY!$B$3:$I$1238,8,0)</f>
        <v>1.2453290296613906E-2</v>
      </c>
      <c r="S146" s="8">
        <f>+VLOOKUP($B146,NIFTY_AUTO!$B$3:$I$1238,8,0)</f>
        <v>6.2003594013635421E-3</v>
      </c>
      <c r="T146" s="8">
        <v>0</v>
      </c>
      <c r="U146" s="8">
        <f>+VLOOKUP($B146,NIFTY_50!$B$63:$K$1238,10,0)</f>
        <v>7.6624750264425945E-2</v>
      </c>
      <c r="V146" s="8">
        <f>+VLOOKUP($B146,NIFTY_BANK!$B$63:$K$1238,10,0)</f>
        <v>0.10490930937803977</v>
      </c>
      <c r="W146" s="8">
        <f>+VLOOKUP($B146,NIFTY_IT!$B$63:$K$1238,10,0)</f>
        <v>6.4240835106119887E-2</v>
      </c>
      <c r="X146" s="8">
        <f>+VLOOKUP($B146,NIFTY_PHARMA!$B$63:$K$1238,10,0)</f>
        <v>-5.036576811303739E-2</v>
      </c>
      <c r="Y146" s="8">
        <f>+VLOOKUP($B146,NIFTY_FMCG!$B$63:$K$1238,10,0)</f>
        <v>7.4839886772601671E-2</v>
      </c>
      <c r="Z146" s="8">
        <f>+VLOOKUP($B146,NIFTY_METAL!$B$63:$K$1238,10,0)</f>
        <v>0.11354204027258286</v>
      </c>
      <c r="AA146" s="8">
        <f>+VLOOKUP($B146,NIFTY_ENERGY!$B$63:$K$1238,10,0)</f>
        <v>5.6753829236047437E-2</v>
      </c>
      <c r="AB146" s="8">
        <f>+VLOOKUP($B146,NIFTY_AUTO!$B$63:$K$1238,10,0)</f>
        <v>7.7444720813176993E-2</v>
      </c>
      <c r="AC146" s="8"/>
      <c r="AD146" s="16">
        <f t="shared" si="97"/>
        <v>3.8208283071600395E-2</v>
      </c>
      <c r="AE146" s="8">
        <f t="shared" si="98"/>
        <v>5.041912561113325E-2</v>
      </c>
      <c r="AF146" s="8">
        <f t="shared" si="99"/>
        <v>7.3782411114071328E-2</v>
      </c>
      <c r="AG146" s="8">
        <f t="shared" si="100"/>
        <v>9.8204844115443002E-2</v>
      </c>
      <c r="AH146" s="8">
        <f t="shared" si="101"/>
        <v>0.11096485896093947</v>
      </c>
      <c r="AI146" s="8">
        <f t="shared" si="102"/>
        <v>9.5200667940618752E-2</v>
      </c>
      <c r="AJ146" s="8">
        <f t="shared" si="103"/>
        <v>6.4736314558841435E-2</v>
      </c>
      <c r="AK146" s="8">
        <f t="shared" si="104"/>
        <v>5.5779784907574369E-2</v>
      </c>
      <c r="AL146" s="9">
        <v>0</v>
      </c>
      <c r="AM146" s="17">
        <f t="shared" si="81"/>
        <v>26.172335410257784</v>
      </c>
      <c r="AN146" s="13">
        <f t="shared" si="82"/>
        <v>19.833743403498968</v>
      </c>
      <c r="AO146" s="13">
        <f t="shared" si="83"/>
        <v>13.553365699230804</v>
      </c>
      <c r="AP146" s="13">
        <f t="shared" si="84"/>
        <v>10.182797081012291</v>
      </c>
      <c r="AQ146" s="13">
        <f t="shared" si="85"/>
        <v>9.0118620378007073</v>
      </c>
      <c r="AR146" s="13">
        <f t="shared" si="86"/>
        <v>10.504127981788407</v>
      </c>
      <c r="AS146" s="13">
        <f t="shared" si="87"/>
        <v>15.447280352839053</v>
      </c>
      <c r="AT146" s="13">
        <f t="shared" si="88"/>
        <v>17.927641737180839</v>
      </c>
      <c r="AU146" s="9">
        <v>0</v>
      </c>
      <c r="AV146" s="18">
        <f t="shared" si="105"/>
        <v>1</v>
      </c>
      <c r="AW146" s="18">
        <f t="shared" si="106"/>
        <v>2</v>
      </c>
      <c r="AX146" s="18">
        <f t="shared" si="107"/>
        <v>5</v>
      </c>
      <c r="AY146" s="18">
        <f t="shared" si="108"/>
        <v>7</v>
      </c>
      <c r="AZ146" s="18">
        <f t="shared" si="109"/>
        <v>8</v>
      </c>
      <c r="BA146" s="18">
        <f t="shared" si="110"/>
        <v>6</v>
      </c>
      <c r="BB146" s="18">
        <f t="shared" si="111"/>
        <v>4</v>
      </c>
      <c r="BC146" s="18">
        <f t="shared" si="112"/>
        <v>3</v>
      </c>
      <c r="BD146" s="18">
        <f t="shared" si="113"/>
        <v>9</v>
      </c>
      <c r="BE146" s="8">
        <f t="shared" si="115"/>
        <v>9.2236997428481581E-3</v>
      </c>
    </row>
    <row r="147" spans="1:57" x14ac:dyDescent="0.25">
      <c r="A147" t="str">
        <f t="shared" si="114"/>
        <v/>
      </c>
      <c r="B147" s="1">
        <v>42948</v>
      </c>
      <c r="C147" s="9">
        <f t="shared" si="89"/>
        <v>0.24974131539709107</v>
      </c>
      <c r="D147" s="9">
        <f t="shared" si="90"/>
        <v>0.24900397124083479</v>
      </c>
      <c r="E147" s="9">
        <f t="shared" si="91"/>
        <v>0</v>
      </c>
      <c r="F147" s="9">
        <f t="shared" si="92"/>
        <v>0</v>
      </c>
      <c r="G147" s="9">
        <f t="shared" si="93"/>
        <v>0</v>
      </c>
      <c r="H147" s="9">
        <f t="shared" si="94"/>
        <v>0</v>
      </c>
      <c r="I147" s="9">
        <f t="shared" si="95"/>
        <v>0.24863573768126873</v>
      </c>
      <c r="J147" s="9">
        <f t="shared" si="96"/>
        <v>0.25261897568080527</v>
      </c>
      <c r="K147" s="9">
        <v>0</v>
      </c>
      <c r="L147" s="8">
        <f>+VLOOKUP($B147,NIFTY_50!$B$3:$I$1238,8,0)</f>
        <v>3.7262704547935677E-3</v>
      </c>
      <c r="M147" s="8">
        <f>+VLOOKUP($B147,NIFTY_BANK!$B$3:$I$41238,8,0)</f>
        <v>7.6283727665082957E-4</v>
      </c>
      <c r="N147" s="8">
        <f>+VLOOKUP($B147,NIFTY_IT!$B$3:$I$1238,8,0)</f>
        <v>4.2860795388512951E-3</v>
      </c>
      <c r="O147" s="8">
        <f>+VLOOKUP($B147,NIFTY_PHARMA!$B$3:$I$1238,8,0)</f>
        <v>4.3159849731966293E-3</v>
      </c>
      <c r="P147" s="8">
        <f>+VLOOKUP($B147,NIFTY_FMCG!$B$3:$I$1238,8,0)</f>
        <v>1.4430350737153486E-3</v>
      </c>
      <c r="Q147" s="8">
        <f>+VLOOKUP($B147,NIFTY_METAL!$B$3:$I$1238,8,0)</f>
        <v>9.4479976686758782E-3</v>
      </c>
      <c r="R147" s="8">
        <f>+VLOOKUP($B147,NIFTY_ENERGY!$B$3:$I$1238,8,0)</f>
        <v>-7.1711687835895876E-4</v>
      </c>
      <c r="S147" s="8">
        <f>+VLOOKUP($B147,NIFTY_AUTO!$B$3:$I$1238,8,0)</f>
        <v>1.5291770618896416E-2</v>
      </c>
      <c r="T147" s="8">
        <v>0</v>
      </c>
      <c r="U147" s="8">
        <f>+VLOOKUP($B147,NIFTY_50!$B$63:$K$1238,10,0)</f>
        <v>8.9318600368324175E-2</v>
      </c>
      <c r="V147" s="8">
        <f>+VLOOKUP($B147,NIFTY_BANK!$B$63:$K$1238,10,0)</f>
        <v>0.11138489578609989</v>
      </c>
      <c r="W147" s="8">
        <f>+VLOOKUP($B147,NIFTY_IT!$B$63:$K$1238,10,0)</f>
        <v>7.0937455075423816E-2</v>
      </c>
      <c r="X147" s="8">
        <f>+VLOOKUP($B147,NIFTY_PHARMA!$B$63:$K$1238,10,0)</f>
        <v>-4.2057744472906888E-2</v>
      </c>
      <c r="Y147" s="8">
        <f>+VLOOKUP($B147,NIFTY_FMCG!$B$63:$K$1238,10,0)</f>
        <v>9.1028736228044638E-2</v>
      </c>
      <c r="Z147" s="8">
        <f>+VLOOKUP($B147,NIFTY_METAL!$B$63:$K$1238,10,0)</f>
        <v>0.15194105086288379</v>
      </c>
      <c r="AA147" s="8">
        <f>+VLOOKUP($B147,NIFTY_ENERGY!$B$63:$K$1238,10,0)</f>
        <v>7.5012158921294203E-2</v>
      </c>
      <c r="AB147" s="8">
        <f>+VLOOKUP($B147,NIFTY_AUTO!$B$63:$K$1238,10,0)</f>
        <v>0.10515979995943781</v>
      </c>
      <c r="AC147" s="8"/>
      <c r="AD147" s="16">
        <f t="shared" si="97"/>
        <v>3.7140028625249871E-2</v>
      </c>
      <c r="AE147" s="8">
        <f t="shared" si="98"/>
        <v>4.9970950182260554E-2</v>
      </c>
      <c r="AF147" s="8">
        <f t="shared" si="99"/>
        <v>7.3784879977822224E-2</v>
      </c>
      <c r="AG147" s="8">
        <f t="shared" si="100"/>
        <v>9.8263091967542349E-2</v>
      </c>
      <c r="AH147" s="8">
        <f t="shared" si="101"/>
        <v>0.10997019091745588</v>
      </c>
      <c r="AI147" s="8">
        <f t="shared" si="102"/>
        <v>9.1784714980967352E-2</v>
      </c>
      <c r="AJ147" s="8">
        <f t="shared" si="103"/>
        <v>6.1982067301791441E-2</v>
      </c>
      <c r="AK147" s="8">
        <f t="shared" si="104"/>
        <v>5.6281137477837209E-2</v>
      </c>
      <c r="AL147" s="9">
        <v>0</v>
      </c>
      <c r="AM147" s="17">
        <f t="shared" si="81"/>
        <v>26.925127336066296</v>
      </c>
      <c r="AN147" s="13">
        <f t="shared" si="82"/>
        <v>20.011626682155729</v>
      </c>
      <c r="AO147" s="13">
        <f t="shared" si="83"/>
        <v>13.552912199634578</v>
      </c>
      <c r="AP147" s="13">
        <f t="shared" si="84"/>
        <v>10.176760978886293</v>
      </c>
      <c r="AQ147" s="13">
        <f t="shared" si="85"/>
        <v>9.0933733192352495</v>
      </c>
      <c r="AR147" s="13">
        <f t="shared" si="86"/>
        <v>10.895060252759535</v>
      </c>
      <c r="AS147" s="13">
        <f t="shared" si="87"/>
        <v>16.133698721776863</v>
      </c>
      <c r="AT147" s="13">
        <f t="shared" si="88"/>
        <v>17.767942241639791</v>
      </c>
      <c r="AU147" s="9">
        <v>0</v>
      </c>
      <c r="AV147" s="18">
        <f t="shared" si="105"/>
        <v>1</v>
      </c>
      <c r="AW147" s="18">
        <f t="shared" si="106"/>
        <v>2</v>
      </c>
      <c r="AX147" s="18">
        <f t="shared" si="107"/>
        <v>5</v>
      </c>
      <c r="AY147" s="18">
        <f t="shared" si="108"/>
        <v>7</v>
      </c>
      <c r="AZ147" s="18">
        <f t="shared" si="109"/>
        <v>8</v>
      </c>
      <c r="BA147" s="18">
        <f t="shared" si="110"/>
        <v>6</v>
      </c>
      <c r="BB147" s="18">
        <f t="shared" si="111"/>
        <v>4</v>
      </c>
      <c r="BC147" s="18">
        <f t="shared" si="112"/>
        <v>3</v>
      </c>
      <c r="BD147" s="18">
        <f t="shared" si="113"/>
        <v>9</v>
      </c>
      <c r="BE147" s="8">
        <f t="shared" si="115"/>
        <v>4.7659403679954637E-3</v>
      </c>
    </row>
    <row r="148" spans="1:57" x14ac:dyDescent="0.25">
      <c r="A148" t="str">
        <f t="shared" si="114"/>
        <v/>
      </c>
      <c r="B148" s="1">
        <v>42949</v>
      </c>
      <c r="C148" s="9">
        <f t="shared" si="89"/>
        <v>0.24900386259764448</v>
      </c>
      <c r="D148" s="9">
        <f t="shared" si="90"/>
        <v>0.24841481933847365</v>
      </c>
      <c r="E148" s="9">
        <f t="shared" si="91"/>
        <v>0</v>
      </c>
      <c r="F148" s="9">
        <f t="shared" si="92"/>
        <v>0</v>
      </c>
      <c r="G148" s="9">
        <f t="shared" si="93"/>
        <v>0</v>
      </c>
      <c r="H148" s="9">
        <f t="shared" si="94"/>
        <v>0</v>
      </c>
      <c r="I148" s="9">
        <f t="shared" si="95"/>
        <v>0.25070915713140768</v>
      </c>
      <c r="J148" s="9">
        <f t="shared" si="96"/>
        <v>0.25187216093247417</v>
      </c>
      <c r="K148" s="9">
        <v>0</v>
      </c>
      <c r="L148" s="8">
        <f>+VLOOKUP($B148,NIFTY_50!$B$3:$I$1238,8,0)</f>
        <v>-3.2774243300558448E-3</v>
      </c>
      <c r="M148" s="8">
        <f>+VLOOKUP($B148,NIFTY_BANK!$B$3:$I$41238,8,0)</f>
        <v>-2.6907828745202922E-3</v>
      </c>
      <c r="N148" s="8">
        <f>+VLOOKUP($B148,NIFTY_IT!$B$3:$I$1238,8,0)</f>
        <v>-6.8969667232927634E-3</v>
      </c>
      <c r="O148" s="8">
        <f>+VLOOKUP($B148,NIFTY_PHARMA!$B$3:$I$1238,8,0)</f>
        <v>-6.656299580763303E-3</v>
      </c>
      <c r="P148" s="8">
        <f>+VLOOKUP($B148,NIFTY_FMCG!$B$3:$I$1238,8,0)</f>
        <v>-9.712390667726889E-3</v>
      </c>
      <c r="Q148" s="8">
        <f>+VLOOKUP($B148,NIFTY_METAL!$B$3:$I$1238,8,0)</f>
        <v>-2.0208159234217371E-3</v>
      </c>
      <c r="R148" s="8">
        <f>+VLOOKUP($B148,NIFTY_ENERGY!$B$3:$I$1238,8,0)</f>
        <v>8.0109516807786996E-3</v>
      </c>
      <c r="S148" s="8">
        <f>+VLOOKUP($B148,NIFTY_AUTO!$B$3:$I$1238,8,0)</f>
        <v>-3.2808457689174064E-3</v>
      </c>
      <c r="T148" s="8">
        <v>0</v>
      </c>
      <c r="U148" s="8">
        <f>+VLOOKUP($B148,NIFTY_50!$B$63:$K$1238,10,0)</f>
        <v>8.2397023851063844E-2</v>
      </c>
      <c r="V148" s="8">
        <f>+VLOOKUP($B148,NIFTY_BANK!$B$63:$K$1238,10,0)</f>
        <v>0.10048819910968998</v>
      </c>
      <c r="W148" s="8">
        <f>+VLOOKUP($B148,NIFTY_IT!$B$63:$K$1238,10,0)</f>
        <v>5.0758388308527191E-2</v>
      </c>
      <c r="X148" s="8">
        <f>+VLOOKUP($B148,NIFTY_PHARMA!$B$63:$K$1238,10,0)</f>
        <v>-5.6590876205587115E-2</v>
      </c>
      <c r="Y148" s="8">
        <f>+VLOOKUP($B148,NIFTY_FMCG!$B$63:$K$1238,10,0)</f>
        <v>8.9108530769296257E-2</v>
      </c>
      <c r="Z148" s="8">
        <f>+VLOOKUP($B148,NIFTY_METAL!$B$63:$K$1238,10,0)</f>
        <v>0.15055967207945775</v>
      </c>
      <c r="AA148" s="8">
        <f>+VLOOKUP($B148,NIFTY_ENERGY!$B$63:$K$1238,10,0)</f>
        <v>8.5066186379838094E-2</v>
      </c>
      <c r="AB148" s="8">
        <f>+VLOOKUP($B148,NIFTY_AUTO!$B$63:$K$1238,10,0)</f>
        <v>9.5130839329008898E-2</v>
      </c>
      <c r="AC148" s="8"/>
      <c r="AD148" s="16">
        <f t="shared" si="97"/>
        <v>3.7388565518753268E-2</v>
      </c>
      <c r="AE148" s="8">
        <f t="shared" si="98"/>
        <v>4.985727803940726E-2</v>
      </c>
      <c r="AF148" s="8">
        <f t="shared" si="99"/>
        <v>7.3363219146573913E-2</v>
      </c>
      <c r="AG148" s="8">
        <f t="shared" si="100"/>
        <v>9.799097490699904E-2</v>
      </c>
      <c r="AH148" s="8">
        <f t="shared" si="101"/>
        <v>0.11013446626631776</v>
      </c>
      <c r="AI148" s="8">
        <f t="shared" si="102"/>
        <v>9.1834337201297453E-2</v>
      </c>
      <c r="AJ148" s="8">
        <f t="shared" si="103"/>
        <v>6.2289683917966361E-2</v>
      </c>
      <c r="AK148" s="8">
        <f t="shared" si="104"/>
        <v>5.6331174949755078E-2</v>
      </c>
      <c r="AL148" s="9">
        <v>0</v>
      </c>
      <c r="AM148" s="17">
        <f t="shared" si="81"/>
        <v>26.746145141578708</v>
      </c>
      <c r="AN148" s="13">
        <f t="shared" si="82"/>
        <v>20.057252207182241</v>
      </c>
      <c r="AO148" s="13">
        <f t="shared" si="83"/>
        <v>13.630808620898696</v>
      </c>
      <c r="AP148" s="13">
        <f t="shared" si="84"/>
        <v>10.205021441505984</v>
      </c>
      <c r="AQ148" s="13">
        <f t="shared" si="85"/>
        <v>9.0798097444072177</v>
      </c>
      <c r="AR148" s="13">
        <f t="shared" si="86"/>
        <v>10.889173161973579</v>
      </c>
      <c r="AS148" s="13">
        <f t="shared" si="87"/>
        <v>16.054022706504178</v>
      </c>
      <c r="AT148" s="13">
        <f t="shared" si="88"/>
        <v>17.752159455078932</v>
      </c>
      <c r="AU148" s="9">
        <v>0</v>
      </c>
      <c r="AV148" s="18">
        <f t="shared" si="105"/>
        <v>1</v>
      </c>
      <c r="AW148" s="18">
        <f t="shared" si="106"/>
        <v>2</v>
      </c>
      <c r="AX148" s="18">
        <f t="shared" si="107"/>
        <v>5</v>
      </c>
      <c r="AY148" s="18">
        <f t="shared" si="108"/>
        <v>7</v>
      </c>
      <c r="AZ148" s="18">
        <f t="shared" si="109"/>
        <v>8</v>
      </c>
      <c r="BA148" s="18">
        <f t="shared" si="110"/>
        <v>6</v>
      </c>
      <c r="BB148" s="18">
        <f t="shared" si="111"/>
        <v>4</v>
      </c>
      <c r="BC148" s="18">
        <f t="shared" si="112"/>
        <v>3</v>
      </c>
      <c r="BD148" s="18">
        <f t="shared" si="113"/>
        <v>9</v>
      </c>
      <c r="BE148" s="8">
        <f t="shared" si="115"/>
        <v>-3.255189016361658E-4</v>
      </c>
    </row>
    <row r="149" spans="1:57" x14ac:dyDescent="0.25">
      <c r="A149" t="str">
        <f t="shared" si="114"/>
        <v/>
      </c>
      <c r="B149" s="1">
        <v>42950</v>
      </c>
      <c r="C149" s="9">
        <f t="shared" si="89"/>
        <v>0.24834139915685138</v>
      </c>
      <c r="D149" s="9">
        <f t="shared" si="90"/>
        <v>0.24564812539605951</v>
      </c>
      <c r="E149" s="9">
        <f t="shared" si="91"/>
        <v>0</v>
      </c>
      <c r="F149" s="9">
        <f t="shared" si="92"/>
        <v>0</v>
      </c>
      <c r="G149" s="9">
        <f t="shared" si="93"/>
        <v>0</v>
      </c>
      <c r="H149" s="9">
        <f t="shared" si="94"/>
        <v>0</v>
      </c>
      <c r="I149" s="9">
        <f t="shared" si="95"/>
        <v>0.25482010293925461</v>
      </c>
      <c r="J149" s="9">
        <f t="shared" si="96"/>
        <v>0.25119037250783455</v>
      </c>
      <c r="K149" s="9">
        <v>0</v>
      </c>
      <c r="L149" s="8">
        <f>+VLOOKUP($B149,NIFTY_50!$B$3:$I$1238,8,0)</f>
        <v>-6.7301492833408139E-3</v>
      </c>
      <c r="M149" s="8">
        <f>+VLOOKUP($B149,NIFTY_BANK!$B$3:$I$41238,8,0)</f>
        <v>-1.5172499121938854E-2</v>
      </c>
      <c r="N149" s="8">
        <f>+VLOOKUP($B149,NIFTY_IT!$B$3:$I$1238,8,0)</f>
        <v>-4.1809020867222824E-3</v>
      </c>
      <c r="O149" s="8">
        <f>+VLOOKUP($B149,NIFTY_PHARMA!$B$3:$I$1238,8,0)</f>
        <v>-1.23810682307397E-2</v>
      </c>
      <c r="P149" s="8">
        <f>+VLOOKUP($B149,NIFTY_FMCG!$B$3:$I$1238,8,0)</f>
        <v>-1.86243444269929E-3</v>
      </c>
      <c r="Q149" s="8">
        <f>+VLOOKUP($B149,NIFTY_METAL!$B$3:$I$1238,8,0)</f>
        <v>-1.9061538929996069E-2</v>
      </c>
      <c r="R149" s="8">
        <f>+VLOOKUP($B149,NIFTY_ENERGY!$B$3:$I$1238,8,0)</f>
        <v>1.2249809443109605E-2</v>
      </c>
      <c r="S149" s="8">
        <f>+VLOOKUP($B149,NIFTY_AUTO!$B$3:$I$1238,8,0)</f>
        <v>-6.7763881716326191E-3</v>
      </c>
      <c r="T149" s="8">
        <v>0</v>
      </c>
      <c r="U149" s="8">
        <f>+VLOOKUP($B149,NIFTY_50!$B$63:$K$1238,10,0)</f>
        <v>7.4789225972297313E-2</v>
      </c>
      <c r="V149" s="8">
        <f>+VLOOKUP($B149,NIFTY_BANK!$B$63:$K$1238,10,0)</f>
        <v>8.665715430720522E-2</v>
      </c>
      <c r="W149" s="8">
        <f>+VLOOKUP($B149,NIFTY_IT!$B$63:$K$1238,10,0)</f>
        <v>3.9194132067395637E-2</v>
      </c>
      <c r="X149" s="8">
        <f>+VLOOKUP($B149,NIFTY_PHARMA!$B$63:$K$1238,10,0)</f>
        <v>-6.6095201896436251E-2</v>
      </c>
      <c r="Y149" s="8">
        <f>+VLOOKUP($B149,NIFTY_FMCG!$B$63:$K$1238,10,0)</f>
        <v>8.3122767273677844E-2</v>
      </c>
      <c r="Z149" s="8">
        <f>+VLOOKUP($B149,NIFTY_METAL!$B$63:$K$1238,10,0)</f>
        <v>0.11995689130699305</v>
      </c>
      <c r="AA149" s="8">
        <f>+VLOOKUP($B149,NIFTY_ENERGY!$B$63:$K$1238,10,0)</f>
        <v>9.1835201615932283E-2</v>
      </c>
      <c r="AB149" s="8">
        <f>+VLOOKUP($B149,NIFTY_AUTO!$B$63:$K$1238,10,0)</f>
        <v>8.8700309122053955E-2</v>
      </c>
      <c r="AC149" s="8"/>
      <c r="AD149" s="16">
        <f t="shared" si="97"/>
        <v>3.8219412643792618E-2</v>
      </c>
      <c r="AE149" s="8">
        <f t="shared" si="98"/>
        <v>5.2405272015843919E-2</v>
      </c>
      <c r="AF149" s="8">
        <f t="shared" si="99"/>
        <v>7.3273326982488951E-2</v>
      </c>
      <c r="AG149" s="8">
        <f t="shared" si="100"/>
        <v>9.8645006008528865E-2</v>
      </c>
      <c r="AH149" s="8">
        <f t="shared" si="101"/>
        <v>0.11016251363594011</v>
      </c>
      <c r="AI149" s="8">
        <f t="shared" si="102"/>
        <v>9.4086401045349113E-2</v>
      </c>
      <c r="AJ149" s="8">
        <f t="shared" si="103"/>
        <v>6.3059637130964366E-2</v>
      </c>
      <c r="AK149" s="8">
        <f t="shared" si="104"/>
        <v>5.6881687913874192E-2</v>
      </c>
      <c r="AL149" s="9">
        <v>0</v>
      </c>
      <c r="AM149" s="17">
        <f t="shared" si="81"/>
        <v>26.164713971930031</v>
      </c>
      <c r="AN149" s="13">
        <f t="shared" si="82"/>
        <v>19.082049601758875</v>
      </c>
      <c r="AO149" s="13">
        <f t="shared" si="83"/>
        <v>13.647530979983788</v>
      </c>
      <c r="AP149" s="13">
        <f t="shared" si="84"/>
        <v>10.137360627394962</v>
      </c>
      <c r="AQ149" s="13">
        <f t="shared" si="85"/>
        <v>9.0774980253696178</v>
      </c>
      <c r="AR149" s="13">
        <f t="shared" si="86"/>
        <v>10.628528553430433</v>
      </c>
      <c r="AS149" s="13">
        <f t="shared" si="87"/>
        <v>15.85800435107431</v>
      </c>
      <c r="AT149" s="13">
        <f t="shared" si="88"/>
        <v>17.580350314395062</v>
      </c>
      <c r="AU149" s="9">
        <v>0</v>
      </c>
      <c r="AV149" s="18">
        <f t="shared" si="105"/>
        <v>1</v>
      </c>
      <c r="AW149" s="18">
        <f t="shared" si="106"/>
        <v>2</v>
      </c>
      <c r="AX149" s="18">
        <f t="shared" si="107"/>
        <v>5</v>
      </c>
      <c r="AY149" s="18">
        <f t="shared" si="108"/>
        <v>7</v>
      </c>
      <c r="AZ149" s="18">
        <f t="shared" si="109"/>
        <v>8</v>
      </c>
      <c r="BA149" s="18">
        <f t="shared" si="110"/>
        <v>6</v>
      </c>
      <c r="BB149" s="18">
        <f t="shared" si="111"/>
        <v>4</v>
      </c>
      <c r="BC149" s="18">
        <f t="shared" si="112"/>
        <v>3</v>
      </c>
      <c r="BD149" s="18">
        <f t="shared" si="113"/>
        <v>9</v>
      </c>
      <c r="BE149" s="8">
        <f t="shared" si="115"/>
        <v>-4.08055092730422E-3</v>
      </c>
    </row>
    <row r="150" spans="1:57" x14ac:dyDescent="0.25">
      <c r="A150" t="str">
        <f t="shared" si="114"/>
        <v/>
      </c>
      <c r="B150" s="1">
        <v>42951</v>
      </c>
      <c r="C150" s="9">
        <f t="shared" si="89"/>
        <v>0.24791314002871614</v>
      </c>
      <c r="D150" s="9">
        <f t="shared" si="90"/>
        <v>0.24544612242116715</v>
      </c>
      <c r="E150" s="9">
        <f t="shared" si="91"/>
        <v>0</v>
      </c>
      <c r="F150" s="9">
        <f t="shared" si="92"/>
        <v>0</v>
      </c>
      <c r="G150" s="9">
        <f t="shared" si="93"/>
        <v>0</v>
      </c>
      <c r="H150" s="9">
        <f t="shared" si="94"/>
        <v>0</v>
      </c>
      <c r="I150" s="9">
        <f t="shared" si="95"/>
        <v>0.25542126497884454</v>
      </c>
      <c r="J150" s="9">
        <f t="shared" si="96"/>
        <v>0.25121947257127208</v>
      </c>
      <c r="K150" s="9">
        <v>0</v>
      </c>
      <c r="L150" s="8">
        <f>+VLOOKUP($B150,NIFTY_50!$B$3:$I$1238,8,0)</f>
        <v>5.2678094401141795E-3</v>
      </c>
      <c r="M150" s="8">
        <f>+VLOOKUP($B150,NIFTY_BANK!$B$3:$I$41238,8,0)</f>
        <v>6.1762792780561959E-3</v>
      </c>
      <c r="N150" s="8">
        <f>+VLOOKUP($B150,NIFTY_IT!$B$3:$I$1238,8,0)</f>
        <v>7.0629534285047146E-3</v>
      </c>
      <c r="O150" s="8">
        <f>+VLOOKUP($B150,NIFTY_PHARMA!$B$3:$I$1238,8,0)</f>
        <v>-8.573509408904334E-3</v>
      </c>
      <c r="P150" s="8">
        <f>+VLOOKUP($B150,NIFTY_FMCG!$B$3:$I$1238,8,0)</f>
        <v>2.6507295883029247E-3</v>
      </c>
      <c r="Q150" s="8">
        <f>+VLOOKUP($B150,NIFTY_METAL!$B$3:$I$1238,8,0)</f>
        <v>2.4988359459878984E-2</v>
      </c>
      <c r="R150" s="8">
        <f>+VLOOKUP($B150,NIFTY_ENERGY!$B$3:$I$1238,8,0)</f>
        <v>9.3800526720153599E-3</v>
      </c>
      <c r="S150" s="8">
        <f>+VLOOKUP($B150,NIFTY_AUTO!$B$3:$I$1238,8,0)</f>
        <v>7.1210257894165352E-3</v>
      </c>
      <c r="T150" s="8">
        <v>0</v>
      </c>
      <c r="U150" s="8">
        <f>+VLOOKUP($B150,NIFTY_50!$B$63:$K$1238,10,0)</f>
        <v>7.0062610951070026E-2</v>
      </c>
      <c r="V150" s="8">
        <f>+VLOOKUP($B150,NIFTY_BANK!$B$63:$K$1238,10,0)</f>
        <v>8.7475662878580662E-2</v>
      </c>
      <c r="W150" s="8">
        <f>+VLOOKUP($B150,NIFTY_IT!$B$63:$K$1238,10,0)</f>
        <v>5.2683337328943258E-2</v>
      </c>
      <c r="X150" s="8">
        <f>+VLOOKUP($B150,NIFTY_PHARMA!$B$63:$K$1238,10,0)</f>
        <v>-8.4042468979438345E-2</v>
      </c>
      <c r="Y150" s="8">
        <f>+VLOOKUP($B150,NIFTY_FMCG!$B$63:$K$1238,10,0)</f>
        <v>6.6658039145290893E-2</v>
      </c>
      <c r="Z150" s="8">
        <f>+VLOOKUP($B150,NIFTY_METAL!$B$63:$K$1238,10,0)</f>
        <v>0.13897416439584709</v>
      </c>
      <c r="AA150" s="8">
        <f>+VLOOKUP($B150,NIFTY_ENERGY!$B$63:$K$1238,10,0)</f>
        <v>8.9549406070908333E-2</v>
      </c>
      <c r="AB150" s="8">
        <f>+VLOOKUP($B150,NIFTY_AUTO!$B$63:$K$1238,10,0)</f>
        <v>8.0906258795213404E-2</v>
      </c>
      <c r="AC150" s="8"/>
      <c r="AD150" s="16">
        <f t="shared" si="97"/>
        <v>3.7476837321520282E-2</v>
      </c>
      <c r="AE150" s="8">
        <f t="shared" si="98"/>
        <v>5.2468900421819092E-2</v>
      </c>
      <c r="AF150" s="8">
        <f t="shared" si="99"/>
        <v>7.3243480213667347E-2</v>
      </c>
      <c r="AG150" s="8">
        <f t="shared" si="100"/>
        <v>9.8183310317730754E-2</v>
      </c>
      <c r="AH150" s="8">
        <f t="shared" si="101"/>
        <v>0.10887577023330221</v>
      </c>
      <c r="AI150" s="8">
        <f t="shared" si="102"/>
        <v>9.66631208822534E-2</v>
      </c>
      <c r="AJ150" s="8">
        <f t="shared" si="103"/>
        <v>6.2757277311890555E-2</v>
      </c>
      <c r="AK150" s="8">
        <f t="shared" si="104"/>
        <v>5.5669860369625151E-2</v>
      </c>
      <c r="AL150" s="9">
        <v>0</v>
      </c>
      <c r="AM150" s="17">
        <f t="shared" si="81"/>
        <v>26.683148084797729</v>
      </c>
      <c r="AN150" s="13">
        <f t="shared" si="82"/>
        <v>19.058909029169438</v>
      </c>
      <c r="AO150" s="13">
        <f t="shared" si="83"/>
        <v>13.653092358292914</v>
      </c>
      <c r="AP150" s="13">
        <f t="shared" si="84"/>
        <v>10.185030396346411</v>
      </c>
      <c r="AQ150" s="13">
        <f t="shared" si="85"/>
        <v>9.1847800282576237</v>
      </c>
      <c r="AR150" s="13">
        <f t="shared" si="86"/>
        <v>10.345207053868176</v>
      </c>
      <c r="AS150" s="13">
        <f t="shared" si="87"/>
        <v>15.934407017535337</v>
      </c>
      <c r="AT150" s="13">
        <f t="shared" si="88"/>
        <v>17.96304128230982</v>
      </c>
      <c r="AU150" s="9">
        <v>0</v>
      </c>
      <c r="AV150" s="18">
        <f t="shared" si="105"/>
        <v>1</v>
      </c>
      <c r="AW150" s="18">
        <f t="shared" si="106"/>
        <v>2</v>
      </c>
      <c r="AX150" s="18">
        <f t="shared" si="107"/>
        <v>5</v>
      </c>
      <c r="AY150" s="18">
        <f t="shared" si="108"/>
        <v>7</v>
      </c>
      <c r="AZ150" s="18">
        <f t="shared" si="109"/>
        <v>8</v>
      </c>
      <c r="BA150" s="18">
        <f t="shared" si="110"/>
        <v>6</v>
      </c>
      <c r="BB150" s="18">
        <f t="shared" si="111"/>
        <v>4</v>
      </c>
      <c r="BC150" s="18">
        <f t="shared" si="112"/>
        <v>3</v>
      </c>
      <c r="BD150" s="18">
        <f t="shared" si="113"/>
        <v>9</v>
      </c>
      <c r="BE150" s="8">
        <f t="shared" si="115"/>
        <v>7.0043657015666783E-3</v>
      </c>
    </row>
    <row r="151" spans="1:57" x14ac:dyDescent="0.25">
      <c r="A151" t="str">
        <f t="shared" si="114"/>
        <v/>
      </c>
      <c r="B151" s="1">
        <v>42954</v>
      </c>
      <c r="C151" s="9">
        <f t="shared" si="89"/>
        <v>0.24712976378745896</v>
      </c>
      <c r="D151" s="9">
        <f t="shared" si="90"/>
        <v>0.24566773105361248</v>
      </c>
      <c r="E151" s="9">
        <f t="shared" si="91"/>
        <v>0</v>
      </c>
      <c r="F151" s="9">
        <f t="shared" si="92"/>
        <v>0</v>
      </c>
      <c r="G151" s="9">
        <f t="shared" si="93"/>
        <v>0</v>
      </c>
      <c r="H151" s="9">
        <f t="shared" si="94"/>
        <v>0</v>
      </c>
      <c r="I151" s="9">
        <f t="shared" si="95"/>
        <v>0.25607340474383733</v>
      </c>
      <c r="J151" s="9">
        <f t="shared" si="96"/>
        <v>0.25112910041509134</v>
      </c>
      <c r="K151" s="9">
        <v>0</v>
      </c>
      <c r="L151" s="8">
        <f>+VLOOKUP($B151,NIFTY_50!$B$3:$I$1238,8,0)</f>
        <v>-8.9406341889852747E-4</v>
      </c>
      <c r="M151" s="8">
        <f>+VLOOKUP($B151,NIFTY_BANK!$B$3:$I$41238,8,0)</f>
        <v>3.1779341011661799E-3</v>
      </c>
      <c r="N151" s="8">
        <f>+VLOOKUP($B151,NIFTY_IT!$B$3:$I$1238,8,0)</f>
        <v>-7.3573496809338224E-3</v>
      </c>
      <c r="O151" s="8">
        <f>+VLOOKUP($B151,NIFTY_PHARMA!$B$3:$I$1238,8,0)</f>
        <v>-3.0031814278076441E-3</v>
      </c>
      <c r="P151" s="8">
        <f>+VLOOKUP($B151,NIFTY_FMCG!$B$3:$I$1238,8,0)</f>
        <v>2.2484354881002755E-3</v>
      </c>
      <c r="Q151" s="8">
        <f>+VLOOKUP($B151,NIFTY_METAL!$B$3:$I$1238,8,0)</f>
        <v>1.1826165960024282E-2</v>
      </c>
      <c r="R151" s="8">
        <f>+VLOOKUP($B151,NIFTY_ENERGY!$B$3:$I$1238,8,0)</f>
        <v>4.8319972128920696E-3</v>
      </c>
      <c r="S151" s="8">
        <f>+VLOOKUP($B151,NIFTY_AUTO!$B$3:$I$1238,8,0)</f>
        <v>1.9124493268269926E-3</v>
      </c>
      <c r="T151" s="8">
        <v>0</v>
      </c>
      <c r="U151" s="8">
        <f>+VLOOKUP($B151,NIFTY_50!$B$63:$K$1238,10,0)</f>
        <v>6.7392596366106394E-2</v>
      </c>
      <c r="V151" s="8">
        <f>+VLOOKUP($B151,NIFTY_BANK!$B$63:$K$1238,10,0)</f>
        <v>9.1500518221000915E-2</v>
      </c>
      <c r="W151" s="8">
        <f>+VLOOKUP($B151,NIFTY_IT!$B$63:$K$1238,10,0)</f>
        <v>4.1214496738526174E-2</v>
      </c>
      <c r="X151" s="8">
        <f>+VLOOKUP($B151,NIFTY_PHARMA!$B$63:$K$1238,10,0)</f>
        <v>-9.3311130432219835E-2</v>
      </c>
      <c r="Y151" s="8">
        <f>+VLOOKUP($B151,NIFTY_FMCG!$B$63:$K$1238,10,0)</f>
        <v>6.5874880597356578E-2</v>
      </c>
      <c r="Z151" s="8">
        <f>+VLOOKUP($B151,NIFTY_METAL!$B$63:$K$1238,10,0)</f>
        <v>0.14602020340610911</v>
      </c>
      <c r="AA151" s="8">
        <f>+VLOOKUP($B151,NIFTY_ENERGY!$B$63:$K$1238,10,0)</f>
        <v>0.10222231453019859</v>
      </c>
      <c r="AB151" s="8">
        <f>+VLOOKUP($B151,NIFTY_AUTO!$B$63:$K$1238,10,0)</f>
        <v>7.1858415580049462E-2</v>
      </c>
      <c r="AC151" s="8"/>
      <c r="AD151" s="16">
        <f t="shared" si="97"/>
        <v>3.7526565914514878E-2</v>
      </c>
      <c r="AE151" s="8">
        <f t="shared" si="98"/>
        <v>5.2461840456488849E-2</v>
      </c>
      <c r="AF151" s="8">
        <f t="shared" si="99"/>
        <v>7.3643455772756244E-2</v>
      </c>
      <c r="AG151" s="8">
        <f t="shared" si="100"/>
        <v>9.7815673047507365E-2</v>
      </c>
      <c r="AH151" s="8">
        <f t="shared" si="101"/>
        <v>0.10886585462847101</v>
      </c>
      <c r="AI151" s="8">
        <f t="shared" si="102"/>
        <v>9.7077520489632668E-2</v>
      </c>
      <c r="AJ151" s="8">
        <f t="shared" si="103"/>
        <v>6.2299338772529564E-2</v>
      </c>
      <c r="AK151" s="8">
        <f t="shared" si="104"/>
        <v>5.4919043234769038E-2</v>
      </c>
      <c r="AL151" s="9">
        <v>0</v>
      </c>
      <c r="AM151" s="17">
        <f t="shared" si="81"/>
        <v>26.647788723273784</v>
      </c>
      <c r="AN151" s="13">
        <f t="shared" si="82"/>
        <v>19.061473850300519</v>
      </c>
      <c r="AO151" s="13">
        <f t="shared" si="83"/>
        <v>13.578939085717666</v>
      </c>
      <c r="AP151" s="13">
        <f t="shared" si="84"/>
        <v>10.223310527284491</v>
      </c>
      <c r="AQ151" s="13">
        <f t="shared" si="85"/>
        <v>9.1856165866949091</v>
      </c>
      <c r="AR151" s="13">
        <f t="shared" si="86"/>
        <v>10.3010459574603</v>
      </c>
      <c r="AS151" s="13">
        <f t="shared" si="87"/>
        <v>16.051534730589189</v>
      </c>
      <c r="AT151" s="13">
        <f t="shared" si="88"/>
        <v>18.208620199830865</v>
      </c>
      <c r="AU151" s="9">
        <v>0</v>
      </c>
      <c r="AV151" s="18">
        <f t="shared" si="105"/>
        <v>1</v>
      </c>
      <c r="AW151" s="18">
        <f t="shared" si="106"/>
        <v>2</v>
      </c>
      <c r="AX151" s="18">
        <f t="shared" si="107"/>
        <v>5</v>
      </c>
      <c r="AY151" s="18">
        <f t="shared" si="108"/>
        <v>7</v>
      </c>
      <c r="AZ151" s="18">
        <f t="shared" si="109"/>
        <v>8</v>
      </c>
      <c r="BA151" s="18">
        <f t="shared" si="110"/>
        <v>6</v>
      </c>
      <c r="BB151" s="18">
        <f t="shared" si="111"/>
        <v>4</v>
      </c>
      <c r="BC151" s="18">
        <f t="shared" si="112"/>
        <v>3</v>
      </c>
      <c r="BD151" s="18">
        <f t="shared" si="113"/>
        <v>9</v>
      </c>
      <c r="BE151" s="8">
        <f t="shared" si="115"/>
        <v>2.2730008845731975E-3</v>
      </c>
    </row>
    <row r="152" spans="1:57" x14ac:dyDescent="0.25">
      <c r="A152" t="str">
        <f t="shared" si="114"/>
        <v/>
      </c>
      <c r="B152" s="1">
        <v>42955</v>
      </c>
      <c r="C152" s="9">
        <f t="shared" si="89"/>
        <v>0.24772668043203214</v>
      </c>
      <c r="D152" s="9">
        <f t="shared" si="90"/>
        <v>0.24514911073702206</v>
      </c>
      <c r="E152" s="9">
        <f t="shared" si="91"/>
        <v>0</v>
      </c>
      <c r="F152" s="9">
        <f t="shared" si="92"/>
        <v>0</v>
      </c>
      <c r="G152" s="9">
        <f t="shared" si="93"/>
        <v>0</v>
      </c>
      <c r="H152" s="9">
        <f t="shared" si="94"/>
        <v>0</v>
      </c>
      <c r="I152" s="9">
        <f t="shared" si="95"/>
        <v>0.25433270544658593</v>
      </c>
      <c r="J152" s="9">
        <f t="shared" si="96"/>
        <v>0.25279150338435996</v>
      </c>
      <c r="K152" s="9">
        <v>0</v>
      </c>
      <c r="L152" s="8">
        <f>+VLOOKUP($B152,NIFTY_50!$B$3:$I$1238,8,0)</f>
        <v>-7.8399984091316322E-3</v>
      </c>
      <c r="M152" s="8">
        <f>+VLOOKUP($B152,NIFTY_BANK!$B$3:$I$41238,8,0)</f>
        <v>-1.2320151286720038E-2</v>
      </c>
      <c r="N152" s="8">
        <f>+VLOOKUP($B152,NIFTY_IT!$B$3:$I$1238,8,0)</f>
        <v>-5.1597557778025882E-3</v>
      </c>
      <c r="O152" s="8">
        <f>+VLOOKUP($B152,NIFTY_PHARMA!$B$3:$I$1238,8,0)</f>
        <v>-1.1182082662895887E-2</v>
      </c>
      <c r="P152" s="8">
        <f>+VLOOKUP($B152,NIFTY_FMCG!$B$3:$I$1238,8,0)</f>
        <v>-1.1812461072571501E-2</v>
      </c>
      <c r="Q152" s="8">
        <f>+VLOOKUP($B152,NIFTY_METAL!$B$3:$I$1238,8,0)</f>
        <v>1.4710944164259665E-2</v>
      </c>
      <c r="R152" s="8">
        <f>+VLOOKUP($B152,NIFTY_ENERGY!$B$3:$I$1238,8,0)</f>
        <v>-1.6958797658932157E-2</v>
      </c>
      <c r="S152" s="8">
        <f>+VLOOKUP($B152,NIFTY_AUTO!$B$3:$I$1238,8,0)</f>
        <v>-3.6786944891276097E-3</v>
      </c>
      <c r="T152" s="8">
        <v>0</v>
      </c>
      <c r="U152" s="8">
        <f>+VLOOKUP($B152,NIFTY_50!$B$63:$K$1238,10,0)</f>
        <v>6.1446244508504444E-2</v>
      </c>
      <c r="V152" s="8">
        <f>+VLOOKUP($B152,NIFTY_BANK!$B$63:$K$1238,10,0)</f>
        <v>8.503111808995345E-2</v>
      </c>
      <c r="W152" s="8">
        <f>+VLOOKUP($B152,NIFTY_IT!$B$63:$K$1238,10,0)</f>
        <v>2.4731608036808073E-2</v>
      </c>
      <c r="X152" s="8">
        <f>+VLOOKUP($B152,NIFTY_PHARMA!$B$63:$K$1238,10,0)</f>
        <v>-9.8360898689904497E-2</v>
      </c>
      <c r="Y152" s="8">
        <f>+VLOOKUP($B152,NIFTY_FMCG!$B$63:$K$1238,10,0)</f>
        <v>5.5872774800297842E-2</v>
      </c>
      <c r="Z152" s="8">
        <f>+VLOOKUP($B152,NIFTY_METAL!$B$63:$K$1238,10,0)</f>
        <v>0.16419704331999774</v>
      </c>
      <c r="AA152" s="8">
        <f>+VLOOKUP($B152,NIFTY_ENERGY!$B$63:$K$1238,10,0)</f>
        <v>8.5274575312145107E-2</v>
      </c>
      <c r="AB152" s="8">
        <f>+VLOOKUP($B152,NIFTY_AUTO!$B$63:$K$1238,10,0)</f>
        <v>6.6026157327503388E-2</v>
      </c>
      <c r="AC152" s="8"/>
      <c r="AD152" s="16">
        <f t="shared" si="97"/>
        <v>3.8418944795570113E-2</v>
      </c>
      <c r="AE152" s="8">
        <f t="shared" si="98"/>
        <v>5.3658956501129056E-2</v>
      </c>
      <c r="AF152" s="8">
        <f t="shared" si="99"/>
        <v>7.3149452048246549E-2</v>
      </c>
      <c r="AG152" s="8">
        <f t="shared" si="100"/>
        <v>9.820227451779133E-2</v>
      </c>
      <c r="AH152" s="8">
        <f t="shared" si="101"/>
        <v>0.10956866600623512</v>
      </c>
      <c r="AI152" s="8">
        <f t="shared" si="102"/>
        <v>9.7784179060551021E-2</v>
      </c>
      <c r="AJ152" s="8">
        <f t="shared" si="103"/>
        <v>6.4902716609776936E-2</v>
      </c>
      <c r="AK152" s="8">
        <f t="shared" si="104"/>
        <v>5.5124269365644456E-2</v>
      </c>
      <c r="AL152" s="9">
        <v>0</v>
      </c>
      <c r="AM152" s="17">
        <f t="shared" si="81"/>
        <v>26.028825240283663</v>
      </c>
      <c r="AN152" s="13">
        <f t="shared" si="82"/>
        <v>18.636217794860745</v>
      </c>
      <c r="AO152" s="13">
        <f t="shared" si="83"/>
        <v>13.670642390327663</v>
      </c>
      <c r="AP152" s="13">
        <f t="shared" si="84"/>
        <v>10.183063527910749</v>
      </c>
      <c r="AQ152" s="13">
        <f t="shared" si="85"/>
        <v>9.1266968600593703</v>
      </c>
      <c r="AR152" s="13">
        <f t="shared" si="86"/>
        <v>10.226603215442129</v>
      </c>
      <c r="AS152" s="13">
        <f t="shared" si="87"/>
        <v>15.407675552510851</v>
      </c>
      <c r="AT152" s="13">
        <f t="shared" si="88"/>
        <v>18.140830010224825</v>
      </c>
      <c r="AU152" s="9">
        <v>0</v>
      </c>
      <c r="AV152" s="18">
        <f t="shared" si="105"/>
        <v>1</v>
      </c>
      <c r="AW152" s="18">
        <f t="shared" si="106"/>
        <v>2</v>
      </c>
      <c r="AX152" s="18">
        <f t="shared" si="107"/>
        <v>5</v>
      </c>
      <c r="AY152" s="18">
        <f t="shared" si="108"/>
        <v>7</v>
      </c>
      <c r="AZ152" s="18">
        <f t="shared" si="109"/>
        <v>8</v>
      </c>
      <c r="BA152" s="18">
        <f t="shared" si="110"/>
        <v>6</v>
      </c>
      <c r="BB152" s="18">
        <f t="shared" si="111"/>
        <v>4</v>
      </c>
      <c r="BC152" s="18">
        <f t="shared" si="112"/>
        <v>3</v>
      </c>
      <c r="BD152" s="18">
        <f t="shared" si="113"/>
        <v>9</v>
      </c>
      <c r="BE152" s="8">
        <f t="shared" si="115"/>
        <v>-1.0230684862429656E-2</v>
      </c>
    </row>
    <row r="153" spans="1:57" x14ac:dyDescent="0.25">
      <c r="A153" t="str">
        <f t="shared" si="114"/>
        <v/>
      </c>
      <c r="B153" s="1">
        <v>42956</v>
      </c>
      <c r="C153" s="9">
        <f t="shared" si="89"/>
        <v>0.24821086617249555</v>
      </c>
      <c r="D153" s="9">
        <f t="shared" si="90"/>
        <v>0.24511438254191625</v>
      </c>
      <c r="E153" s="9">
        <f t="shared" si="91"/>
        <v>0</v>
      </c>
      <c r="F153" s="9">
        <f t="shared" si="92"/>
        <v>0</v>
      </c>
      <c r="G153" s="9">
        <f t="shared" si="93"/>
        <v>0</v>
      </c>
      <c r="H153" s="9">
        <f t="shared" si="94"/>
        <v>0</v>
      </c>
      <c r="I153" s="9">
        <f t="shared" si="95"/>
        <v>0.25599563516645035</v>
      </c>
      <c r="J153" s="9">
        <f t="shared" si="96"/>
        <v>0.25067911611913779</v>
      </c>
      <c r="K153" s="9">
        <v>0</v>
      </c>
      <c r="L153" s="8">
        <f>+VLOOKUP($B153,NIFTY_50!$B$3:$I$1238,8,0)</f>
        <v>-7.0651547569536843E-3</v>
      </c>
      <c r="M153" s="8">
        <f>+VLOOKUP($B153,NIFTY_BANK!$B$3:$I$41238,8,0)</f>
        <v>-9.1424622451676818E-3</v>
      </c>
      <c r="N153" s="8">
        <f>+VLOOKUP($B153,NIFTY_IT!$B$3:$I$1238,8,0)</f>
        <v>-9.5541101499496683E-4</v>
      </c>
      <c r="O153" s="8">
        <f>+VLOOKUP($B153,NIFTY_PHARMA!$B$3:$I$1238,8,0)</f>
        <v>-3.9404548617389068E-2</v>
      </c>
      <c r="P153" s="8">
        <f>+VLOOKUP($B153,NIFTY_FMCG!$B$3:$I$1238,8,0)</f>
        <v>-8.0316762197182312E-3</v>
      </c>
      <c r="Q153" s="8">
        <f>+VLOOKUP($B153,NIFTY_METAL!$B$3:$I$1238,8,0)</f>
        <v>-2.0057813698306504E-3</v>
      </c>
      <c r="R153" s="8">
        <f>+VLOOKUP($B153,NIFTY_ENERGY!$B$3:$I$1238,8,0)</f>
        <v>-2.5225321929546185E-3</v>
      </c>
      <c r="S153" s="8">
        <f>+VLOOKUP($B153,NIFTY_AUTO!$B$3:$I$1238,8,0)</f>
        <v>-1.7283095576462904E-2</v>
      </c>
      <c r="T153" s="8">
        <v>0</v>
      </c>
      <c r="U153" s="8">
        <f>+VLOOKUP($B153,NIFTY_50!$B$63:$K$1238,10,0)</f>
        <v>4.8981514811442528E-2</v>
      </c>
      <c r="V153" s="8">
        <f>+VLOOKUP($B153,NIFTY_BANK!$B$63:$K$1238,10,0)</f>
        <v>6.8054247091558384E-2</v>
      </c>
      <c r="W153" s="8">
        <f>+VLOOKUP($B153,NIFTY_IT!$B$63:$K$1238,10,0)</f>
        <v>2.6480330762349125E-2</v>
      </c>
      <c r="X153" s="8">
        <f>+VLOOKUP($B153,NIFTY_PHARMA!$B$63:$K$1238,10,0)</f>
        <v>-0.14499383098358021</v>
      </c>
      <c r="Y153" s="8">
        <f>+VLOOKUP($B153,NIFTY_FMCG!$B$63:$K$1238,10,0)</f>
        <v>4.0770000974317266E-2</v>
      </c>
      <c r="Z153" s="8">
        <f>+VLOOKUP($B153,NIFTY_METAL!$B$63:$K$1238,10,0)</f>
        <v>0.13594090985395346</v>
      </c>
      <c r="AA153" s="8">
        <f>+VLOOKUP($B153,NIFTY_ENERGY!$B$63:$K$1238,10,0)</f>
        <v>8.0837116947962695E-2</v>
      </c>
      <c r="AB153" s="8">
        <f>+VLOOKUP($B153,NIFTY_AUTO!$B$63:$K$1238,10,0)</f>
        <v>4.2394550294333699E-2</v>
      </c>
      <c r="AC153" s="8"/>
      <c r="AD153" s="16">
        <f t="shared" si="97"/>
        <v>3.9046221576724889E-2</v>
      </c>
      <c r="AE153" s="8">
        <f t="shared" si="98"/>
        <v>5.438800703614672E-2</v>
      </c>
      <c r="AF153" s="8">
        <f t="shared" si="99"/>
        <v>7.3096741292802178E-2</v>
      </c>
      <c r="AG153" s="8">
        <f t="shared" si="100"/>
        <v>0.10398722167151457</v>
      </c>
      <c r="AH153" s="8">
        <f t="shared" si="101"/>
        <v>0.10979277382978432</v>
      </c>
      <c r="AI153" s="8">
        <f t="shared" si="102"/>
        <v>9.572217834419712E-2</v>
      </c>
      <c r="AJ153" s="8">
        <f t="shared" si="103"/>
        <v>6.5017344970509774E-2</v>
      </c>
      <c r="AK153" s="8">
        <f t="shared" si="104"/>
        <v>5.7897636926018965E-2</v>
      </c>
      <c r="AL153" s="9">
        <v>0</v>
      </c>
      <c r="AM153" s="17">
        <f t="shared" si="81"/>
        <v>25.610672675076231</v>
      </c>
      <c r="AN153" s="13">
        <f t="shared" si="82"/>
        <v>18.386406388000054</v>
      </c>
      <c r="AO153" s="13">
        <f t="shared" si="83"/>
        <v>13.680500420590839</v>
      </c>
      <c r="AP153" s="13">
        <f t="shared" si="84"/>
        <v>9.6165661888621461</v>
      </c>
      <c r="AQ153" s="13">
        <f t="shared" si="85"/>
        <v>9.1080675450493302</v>
      </c>
      <c r="AR153" s="13">
        <f t="shared" si="86"/>
        <v>10.446899739412608</v>
      </c>
      <c r="AS153" s="13">
        <f t="shared" si="87"/>
        <v>15.380511161345865</v>
      </c>
      <c r="AT153" s="13">
        <f t="shared" si="88"/>
        <v>17.271862084419617</v>
      </c>
      <c r="AU153" s="9">
        <v>0</v>
      </c>
      <c r="AV153" s="18">
        <f t="shared" si="105"/>
        <v>1</v>
      </c>
      <c r="AW153" s="18">
        <f t="shared" si="106"/>
        <v>2</v>
      </c>
      <c r="AX153" s="18">
        <f t="shared" si="107"/>
        <v>5</v>
      </c>
      <c r="AY153" s="18">
        <f t="shared" si="108"/>
        <v>7</v>
      </c>
      <c r="AZ153" s="18">
        <f t="shared" si="109"/>
        <v>8</v>
      </c>
      <c r="BA153" s="18">
        <f t="shared" si="110"/>
        <v>6</v>
      </c>
      <c r="BB153" s="18">
        <f t="shared" si="111"/>
        <v>4</v>
      </c>
      <c r="BC153" s="18">
        <f t="shared" si="112"/>
        <v>3</v>
      </c>
      <c r="BD153" s="18">
        <f t="shared" si="113"/>
        <v>9</v>
      </c>
      <c r="BE153" s="8">
        <f t="shared" si="115"/>
        <v>-9.0020759751482694E-3</v>
      </c>
    </row>
    <row r="154" spans="1:57" x14ac:dyDescent="0.25">
      <c r="A154" t="str">
        <f t="shared" si="114"/>
        <v/>
      </c>
      <c r="B154" s="1">
        <v>42957</v>
      </c>
      <c r="C154" s="9">
        <f t="shared" si="89"/>
        <v>0.24979054900749953</v>
      </c>
      <c r="D154" s="9">
        <f t="shared" si="90"/>
        <v>0.24727418206461121</v>
      </c>
      <c r="E154" s="9">
        <f t="shared" si="91"/>
        <v>0</v>
      </c>
      <c r="F154" s="9">
        <f t="shared" si="92"/>
        <v>0</v>
      </c>
      <c r="G154" s="9">
        <f t="shared" si="93"/>
        <v>0</v>
      </c>
      <c r="H154" s="9">
        <f t="shared" si="94"/>
        <v>0</v>
      </c>
      <c r="I154" s="9">
        <f t="shared" si="95"/>
        <v>0.2558403442738576</v>
      </c>
      <c r="J154" s="9">
        <f t="shared" si="96"/>
        <v>0.24709492465403163</v>
      </c>
      <c r="K154" s="9">
        <v>0</v>
      </c>
      <c r="L154" s="8">
        <f>+VLOOKUP($B154,NIFTY_50!$B$3:$I$1238,8,0)</f>
        <v>-8.8614813207441578E-3</v>
      </c>
      <c r="M154" s="8">
        <f>+VLOOKUP($B154,NIFTY_BANK!$B$3:$I$41238,8,0)</f>
        <v>-6.4513879202120483E-3</v>
      </c>
      <c r="N154" s="8">
        <f>+VLOOKUP($B154,NIFTY_IT!$B$3:$I$1238,8,0)</f>
        <v>4.5978960856640771E-3</v>
      </c>
      <c r="O154" s="8">
        <f>+VLOOKUP($B154,NIFTY_PHARMA!$B$3:$I$1238,8,0)</f>
        <v>-2.8866390988164792E-2</v>
      </c>
      <c r="P154" s="8">
        <f>+VLOOKUP($B154,NIFTY_FMCG!$B$3:$I$1238,8,0)</f>
        <v>-5.3201236515447725E-3</v>
      </c>
      <c r="Q154" s="8">
        <f>+VLOOKUP($B154,NIFTY_METAL!$B$3:$I$1238,8,0)</f>
        <v>-1.6181947153750653E-2</v>
      </c>
      <c r="R154" s="8">
        <f>+VLOOKUP($B154,NIFTY_ENERGY!$B$3:$I$1238,8,0)</f>
        <v>-1.5726908309664722E-2</v>
      </c>
      <c r="S154" s="8">
        <f>+VLOOKUP($B154,NIFTY_AUTO!$B$3:$I$1238,8,0)</f>
        <v>-2.9211076686512905E-2</v>
      </c>
      <c r="T154" s="8">
        <v>0</v>
      </c>
      <c r="U154" s="8">
        <f>+VLOOKUP($B154,NIFTY_50!$B$63:$K$1238,10,0)</f>
        <v>3.2379300375831255E-2</v>
      </c>
      <c r="V154" s="8">
        <f>+VLOOKUP($B154,NIFTY_BANK!$B$63:$K$1238,10,0)</f>
        <v>5.6207095069040314E-2</v>
      </c>
      <c r="W154" s="8">
        <f>+VLOOKUP($B154,NIFTY_IT!$B$63:$K$1238,10,0)</f>
        <v>1.9218452773555939E-2</v>
      </c>
      <c r="X154" s="8">
        <f>+VLOOKUP($B154,NIFTY_PHARMA!$B$63:$K$1238,10,0)</f>
        <v>-0.16921290309988624</v>
      </c>
      <c r="Y154" s="8">
        <f>+VLOOKUP($B154,NIFTY_FMCG!$B$63:$K$1238,10,0)</f>
        <v>2.4566536249694737E-2</v>
      </c>
      <c r="Z154" s="8">
        <f>+VLOOKUP($B154,NIFTY_METAL!$B$63:$K$1238,10,0)</f>
        <v>0.1229884281906819</v>
      </c>
      <c r="AA154" s="8">
        <f>+VLOOKUP($B154,NIFTY_ENERGY!$B$63:$K$1238,10,0)</f>
        <v>5.8304062151328662E-2</v>
      </c>
      <c r="AB154" s="8">
        <f>+VLOOKUP($B154,NIFTY_AUTO!$B$63:$K$1238,10,0)</f>
        <v>8.5397902325556885E-4</v>
      </c>
      <c r="AC154" s="8"/>
      <c r="AD154" s="16">
        <f t="shared" si="97"/>
        <v>3.967713219554083E-2</v>
      </c>
      <c r="AE154" s="8">
        <f t="shared" si="98"/>
        <v>5.4774302294612186E-2</v>
      </c>
      <c r="AF154" s="8">
        <f t="shared" si="99"/>
        <v>7.2332563016636486E-2</v>
      </c>
      <c r="AG154" s="8">
        <f t="shared" si="100"/>
        <v>0.10720540350644946</v>
      </c>
      <c r="AH154" s="8">
        <f t="shared" si="101"/>
        <v>0.10951748270593158</v>
      </c>
      <c r="AI154" s="8">
        <f t="shared" si="102"/>
        <v>9.7202241620119173E-2</v>
      </c>
      <c r="AJ154" s="8">
        <f t="shared" si="103"/>
        <v>6.7044292894862786E-2</v>
      </c>
      <c r="AK154" s="8">
        <f t="shared" si="104"/>
        <v>6.4133405459902773E-2</v>
      </c>
      <c r="AL154" s="9">
        <v>0</v>
      </c>
      <c r="AM154" s="17">
        <f t="shared" si="81"/>
        <v>25.203434438550133</v>
      </c>
      <c r="AN154" s="13">
        <f t="shared" si="82"/>
        <v>18.256736427628834</v>
      </c>
      <c r="AO154" s="13">
        <f t="shared" si="83"/>
        <v>13.825032022852557</v>
      </c>
      <c r="AP154" s="13">
        <f t="shared" si="84"/>
        <v>9.3278880288887702</v>
      </c>
      <c r="AQ154" s="13">
        <f t="shared" si="85"/>
        <v>9.130962247234331</v>
      </c>
      <c r="AR154" s="13">
        <f t="shared" si="86"/>
        <v>10.287828586383315</v>
      </c>
      <c r="AS154" s="13">
        <f t="shared" si="87"/>
        <v>14.915512668142767</v>
      </c>
      <c r="AT154" s="13">
        <f t="shared" si="88"/>
        <v>15.592498056651863</v>
      </c>
      <c r="AU154" s="9">
        <v>0</v>
      </c>
      <c r="AV154" s="18">
        <f t="shared" si="105"/>
        <v>1</v>
      </c>
      <c r="AW154" s="18">
        <f t="shared" si="106"/>
        <v>2</v>
      </c>
      <c r="AX154" s="18">
        <f t="shared" si="107"/>
        <v>5</v>
      </c>
      <c r="AY154" s="18">
        <f t="shared" si="108"/>
        <v>7</v>
      </c>
      <c r="AZ154" s="18">
        <f t="shared" si="109"/>
        <v>8</v>
      </c>
      <c r="BA154" s="18">
        <f t="shared" si="110"/>
        <v>6</v>
      </c>
      <c r="BB154" s="18">
        <f t="shared" si="111"/>
        <v>4</v>
      </c>
      <c r="BC154" s="18">
        <f t="shared" si="112"/>
        <v>3</v>
      </c>
      <c r="BD154" s="18">
        <f t="shared" si="113"/>
        <v>9</v>
      </c>
      <c r="BE154" s="8">
        <f t="shared" si="115"/>
        <v>-1.5129470687395005E-2</v>
      </c>
    </row>
    <row r="155" spans="1:57" x14ac:dyDescent="0.25">
      <c r="A155" t="str">
        <f t="shared" si="114"/>
        <v/>
      </c>
      <c r="B155" s="1">
        <v>42958</v>
      </c>
      <c r="C155" s="9">
        <f t="shared" si="89"/>
        <v>0.24988729891148762</v>
      </c>
      <c r="D155" s="9">
        <f t="shared" si="90"/>
        <v>0.24776569382693397</v>
      </c>
      <c r="E155" s="9">
        <f t="shared" si="91"/>
        <v>0</v>
      </c>
      <c r="F155" s="9">
        <f t="shared" si="92"/>
        <v>0</v>
      </c>
      <c r="G155" s="9">
        <f t="shared" si="93"/>
        <v>0</v>
      </c>
      <c r="H155" s="9">
        <f t="shared" si="94"/>
        <v>0</v>
      </c>
      <c r="I155" s="9">
        <f t="shared" si="95"/>
        <v>0.25587608010324731</v>
      </c>
      <c r="J155" s="9">
        <f t="shared" si="96"/>
        <v>0.24647092715833116</v>
      </c>
      <c r="K155" s="9">
        <v>0</v>
      </c>
      <c r="L155" s="8">
        <f>+VLOOKUP($B155,NIFTY_50!$B$3:$I$1238,8,0)</f>
        <v>-1.1145337440492953E-2</v>
      </c>
      <c r="M155" s="8">
        <f>+VLOOKUP($B155,NIFTY_BANK!$B$3:$I$41238,8,0)</f>
        <v>-9.5633915354074173E-3</v>
      </c>
      <c r="N155" s="8">
        <f>+VLOOKUP($B155,NIFTY_IT!$B$3:$I$1238,8,0)</f>
        <v>-1.4349557086384968E-3</v>
      </c>
      <c r="O155" s="8">
        <f>+VLOOKUP($B155,NIFTY_PHARMA!$B$3:$I$1238,8,0)</f>
        <v>9.5733684161070087E-4</v>
      </c>
      <c r="P155" s="8">
        <f>+VLOOKUP($B155,NIFTY_FMCG!$B$3:$I$1238,8,0)</f>
        <v>-8.2781821640618425E-3</v>
      </c>
      <c r="Q155" s="8">
        <f>+VLOOKUP($B155,NIFTY_METAL!$B$3:$I$1238,8,0)</f>
        <v>-3.3662295525212937E-2</v>
      </c>
      <c r="R155" s="8">
        <f>+VLOOKUP($B155,NIFTY_ENERGY!$B$3:$I$1238,8,0)</f>
        <v>-1.1390126474527418E-2</v>
      </c>
      <c r="S155" s="8">
        <f>+VLOOKUP($B155,NIFTY_AUTO!$B$3:$I$1238,8,0)</f>
        <v>-1.4024418988356158E-2</v>
      </c>
      <c r="T155" s="8">
        <v>0</v>
      </c>
      <c r="U155" s="8">
        <f>+VLOOKUP($B155,NIFTY_50!$B$63:$K$1238,10,0)</f>
        <v>1.9426291893026804E-2</v>
      </c>
      <c r="V155" s="8">
        <f>+VLOOKUP($B155,NIFTY_BANK!$B$63:$K$1238,10,0)</f>
        <v>4.577094037962226E-2</v>
      </c>
      <c r="W155" s="8">
        <f>+VLOOKUP($B155,NIFTY_IT!$B$63:$K$1238,10,0)</f>
        <v>2.009619345999436E-2</v>
      </c>
      <c r="X155" s="8">
        <f>+VLOOKUP($B155,NIFTY_PHARMA!$B$63:$K$1238,10,0)</f>
        <v>-0.1664204801126915</v>
      </c>
      <c r="Y155" s="8">
        <f>+VLOOKUP($B155,NIFTY_FMCG!$B$63:$K$1238,10,0)</f>
        <v>2.0431248519064082E-2</v>
      </c>
      <c r="Z155" s="8">
        <f>+VLOOKUP($B155,NIFTY_METAL!$B$63:$K$1238,10,0)</f>
        <v>6.1356474683648576E-2</v>
      </c>
      <c r="AA155" s="8">
        <f>+VLOOKUP($B155,NIFTY_ENERGY!$B$63:$K$1238,10,0)</f>
        <v>4.8533315663269461E-2</v>
      </c>
      <c r="AB155" s="8">
        <f>+VLOOKUP($B155,NIFTY_AUTO!$B$63:$K$1238,10,0)</f>
        <v>-1.9864663486321099E-2</v>
      </c>
      <c r="AC155" s="8"/>
      <c r="AD155" s="16">
        <f t="shared" si="97"/>
        <v>4.1320040473519594E-2</v>
      </c>
      <c r="AE155" s="8">
        <f t="shared" si="98"/>
        <v>5.5751161446759734E-2</v>
      </c>
      <c r="AF155" s="8">
        <f t="shared" si="99"/>
        <v>7.2306110910784191E-2</v>
      </c>
      <c r="AG155" s="8">
        <f t="shared" si="100"/>
        <v>0.10727396954192832</v>
      </c>
      <c r="AH155" s="8">
        <f t="shared" si="101"/>
        <v>0.10976428903703411</v>
      </c>
      <c r="AI155" s="8">
        <f t="shared" si="102"/>
        <v>0.10123234821198177</v>
      </c>
      <c r="AJ155" s="8">
        <f t="shared" si="103"/>
        <v>6.8090681069085598E-2</v>
      </c>
      <c r="AK155" s="8">
        <f t="shared" si="104"/>
        <v>6.5254669268761639E-2</v>
      </c>
      <c r="AL155" s="9">
        <v>0</v>
      </c>
      <c r="AM155" s="17">
        <f t="shared" si="81"/>
        <v>24.201331570351705</v>
      </c>
      <c r="AN155" s="13">
        <f t="shared" si="82"/>
        <v>17.936846050372644</v>
      </c>
      <c r="AO155" s="13">
        <f t="shared" si="83"/>
        <v>13.830089703398135</v>
      </c>
      <c r="AP155" s="13">
        <f t="shared" si="84"/>
        <v>9.3219259459690953</v>
      </c>
      <c r="AQ155" s="13">
        <f t="shared" si="85"/>
        <v>9.1104311682154044</v>
      </c>
      <c r="AR155" s="13">
        <f t="shared" si="86"/>
        <v>9.8782653732973564</v>
      </c>
      <c r="AS155" s="13">
        <f t="shared" si="87"/>
        <v>14.68629751236279</v>
      </c>
      <c r="AT155" s="13">
        <f t="shared" si="88"/>
        <v>15.324573876565712</v>
      </c>
      <c r="AU155" s="9">
        <v>0</v>
      </c>
      <c r="AV155" s="18">
        <f t="shared" si="105"/>
        <v>1</v>
      </c>
      <c r="AW155" s="18">
        <f t="shared" si="106"/>
        <v>2</v>
      </c>
      <c r="AX155" s="18">
        <f t="shared" si="107"/>
        <v>5</v>
      </c>
      <c r="AY155" s="18">
        <f t="shared" si="108"/>
        <v>7</v>
      </c>
      <c r="AZ155" s="18">
        <f t="shared" si="109"/>
        <v>8</v>
      </c>
      <c r="BA155" s="18">
        <f t="shared" si="110"/>
        <v>6</v>
      </c>
      <c r="BB155" s="18">
        <f t="shared" si="111"/>
        <v>4</v>
      </c>
      <c r="BC155" s="18">
        <f t="shared" si="112"/>
        <v>3</v>
      </c>
      <c r="BD155" s="18">
        <f t="shared" si="113"/>
        <v>9</v>
      </c>
      <c r="BE155" s="8">
        <f t="shared" si="115"/>
        <v>-1.1528196409626379E-2</v>
      </c>
    </row>
    <row r="156" spans="1:57" x14ac:dyDescent="0.25">
      <c r="A156" t="str">
        <f t="shared" si="114"/>
        <v/>
      </c>
      <c r="B156" s="1">
        <v>42961</v>
      </c>
      <c r="C156" s="9">
        <f t="shared" si="89"/>
        <v>0.24931572386535741</v>
      </c>
      <c r="D156" s="9">
        <f t="shared" si="90"/>
        <v>0.24642365140520403</v>
      </c>
      <c r="E156" s="9">
        <f t="shared" si="91"/>
        <v>0</v>
      </c>
      <c r="F156" s="9">
        <f t="shared" si="92"/>
        <v>0</v>
      </c>
      <c r="G156" s="9">
        <f t="shared" si="93"/>
        <v>0</v>
      </c>
      <c r="H156" s="9">
        <f t="shared" si="94"/>
        <v>0</v>
      </c>
      <c r="I156" s="9">
        <f t="shared" si="95"/>
        <v>0.25712622580023459</v>
      </c>
      <c r="J156" s="9">
        <f t="shared" si="96"/>
        <v>0.24713439892920383</v>
      </c>
      <c r="K156" s="9">
        <v>0</v>
      </c>
      <c r="L156" s="8">
        <f>+VLOOKUP($B156,NIFTY_50!$B$3:$I$1238,8,0)</f>
        <v>8.5832269226016056E-3</v>
      </c>
      <c r="M156" s="8">
        <f>+VLOOKUP($B156,NIFTY_BANK!$B$3:$I$41238,8,0)</f>
        <v>5.419884723220969E-3</v>
      </c>
      <c r="N156" s="8">
        <f>+VLOOKUP($B156,NIFTY_IT!$B$3:$I$1238,8,0)</f>
        <v>-5.6118831037704764E-3</v>
      </c>
      <c r="O156" s="8">
        <f>+VLOOKUP($B156,NIFTY_PHARMA!$B$3:$I$1238,8,0)</f>
        <v>2.7783156424744826E-2</v>
      </c>
      <c r="P156" s="8">
        <f>+VLOOKUP($B156,NIFTY_FMCG!$B$3:$I$1238,8,0)</f>
        <v>5.8899426755323336E-3</v>
      </c>
      <c r="Q156" s="8">
        <f>+VLOOKUP($B156,NIFTY_METAL!$B$3:$I$1238,8,0)</f>
        <v>3.4197599950257951E-2</v>
      </c>
      <c r="R156" s="8">
        <f>+VLOOKUP($B156,NIFTY_ENERGY!$B$3:$I$1238,8,0)</f>
        <v>1.5834459005774404E-2</v>
      </c>
      <c r="S156" s="8">
        <f>+VLOOKUP($B156,NIFTY_AUTO!$B$3:$I$1238,8,0)</f>
        <v>1.3616695751954344E-2</v>
      </c>
      <c r="T156" s="8">
        <v>0</v>
      </c>
      <c r="U156" s="8">
        <f>+VLOOKUP($B156,NIFTY_50!$B$63:$K$1238,10,0)</f>
        <v>3.8676699065162801E-2</v>
      </c>
      <c r="V156" s="8">
        <f>+VLOOKUP($B156,NIFTY_BANK!$B$63:$K$1238,10,0)</f>
        <v>6.2433365934462914E-2</v>
      </c>
      <c r="W156" s="8">
        <f>+VLOOKUP($B156,NIFTY_IT!$B$63:$K$1238,10,0)</f>
        <v>3.9542558033680564E-3</v>
      </c>
      <c r="X156" s="8">
        <f>+VLOOKUP($B156,NIFTY_PHARMA!$B$63:$K$1238,10,0)</f>
        <v>-0.13800773599204741</v>
      </c>
      <c r="Y156" s="8">
        <f>+VLOOKUP($B156,NIFTY_FMCG!$B$63:$K$1238,10,0)</f>
        <v>4.3764666443178113E-2</v>
      </c>
      <c r="Z156" s="8">
        <f>+VLOOKUP($B156,NIFTY_METAL!$B$63:$K$1238,10,0)</f>
        <v>0.12878980675590834</v>
      </c>
      <c r="AA156" s="8">
        <f>+VLOOKUP($B156,NIFTY_ENERGY!$B$63:$K$1238,10,0)</f>
        <v>8.2052943354313124E-2</v>
      </c>
      <c r="AB156" s="8">
        <f>+VLOOKUP($B156,NIFTY_AUTO!$B$63:$K$1238,10,0)</f>
        <v>1.5695142458809652E-2</v>
      </c>
      <c r="AC156" s="8"/>
      <c r="AD156" s="16">
        <f t="shared" si="97"/>
        <v>4.0752574748991376E-2</v>
      </c>
      <c r="AE156" s="8">
        <f t="shared" si="98"/>
        <v>5.4794662794427705E-2</v>
      </c>
      <c r="AF156" s="8">
        <f t="shared" si="99"/>
        <v>7.1830404138335829E-2</v>
      </c>
      <c r="AG156" s="8">
        <f t="shared" si="100"/>
        <v>0.11144101715053151</v>
      </c>
      <c r="AH156" s="8">
        <f t="shared" si="101"/>
        <v>0.10853452421729397</v>
      </c>
      <c r="AI156" s="8">
        <f t="shared" si="102"/>
        <v>0.10228835102967875</v>
      </c>
      <c r="AJ156" s="8">
        <f t="shared" si="103"/>
        <v>6.7639578570000261E-2</v>
      </c>
      <c r="AK156" s="8">
        <f t="shared" si="104"/>
        <v>6.2972068946189355E-2</v>
      </c>
      <c r="AL156" s="9">
        <v>0</v>
      </c>
      <c r="AM156" s="17">
        <f t="shared" si="81"/>
        <v>24.538326870371545</v>
      </c>
      <c r="AN156" s="13">
        <f t="shared" si="82"/>
        <v>18.249952623153913</v>
      </c>
      <c r="AO156" s="13">
        <f t="shared" si="83"/>
        <v>13.921681382637534</v>
      </c>
      <c r="AP156" s="13">
        <f t="shared" si="84"/>
        <v>8.9733567188212859</v>
      </c>
      <c r="AQ156" s="13">
        <f t="shared" si="85"/>
        <v>9.2136581167290856</v>
      </c>
      <c r="AR156" s="13">
        <f t="shared" si="86"/>
        <v>9.7762842976112907</v>
      </c>
      <c r="AS156" s="13">
        <f t="shared" si="87"/>
        <v>14.784243502716373</v>
      </c>
      <c r="AT156" s="13">
        <f t="shared" si="88"/>
        <v>15.880056296935647</v>
      </c>
      <c r="AU156" s="9">
        <v>0</v>
      </c>
      <c r="AV156" s="18">
        <f t="shared" si="105"/>
        <v>1</v>
      </c>
      <c r="AW156" s="18">
        <f t="shared" si="106"/>
        <v>2</v>
      </c>
      <c r="AX156" s="18">
        <f t="shared" si="107"/>
        <v>5</v>
      </c>
      <c r="AY156" s="18">
        <f t="shared" si="108"/>
        <v>8</v>
      </c>
      <c r="AZ156" s="18">
        <f t="shared" si="109"/>
        <v>7</v>
      </c>
      <c r="BA156" s="18">
        <f t="shared" si="110"/>
        <v>6</v>
      </c>
      <c r="BB156" s="18">
        <f t="shared" si="111"/>
        <v>4</v>
      </c>
      <c r="BC156" s="18">
        <f t="shared" si="112"/>
        <v>3</v>
      </c>
      <c r="BD156" s="18">
        <f t="shared" si="113"/>
        <v>9</v>
      </c>
      <c r="BE156" s="8">
        <f t="shared" si="115"/>
        <v>1.0895479818314333E-2</v>
      </c>
    </row>
    <row r="157" spans="1:57" x14ac:dyDescent="0.25">
      <c r="A157" t="str">
        <f t="shared" si="114"/>
        <v/>
      </c>
      <c r="B157" s="1">
        <v>42963</v>
      </c>
      <c r="C157" s="9">
        <f t="shared" si="89"/>
        <v>0.24956742832700449</v>
      </c>
      <c r="D157" s="9">
        <f t="shared" si="90"/>
        <v>0.24736041191057503</v>
      </c>
      <c r="E157" s="9">
        <f t="shared" si="91"/>
        <v>0</v>
      </c>
      <c r="F157" s="9">
        <f t="shared" si="92"/>
        <v>0</v>
      </c>
      <c r="G157" s="9">
        <f t="shared" si="93"/>
        <v>0</v>
      </c>
      <c r="H157" s="9">
        <f t="shared" si="94"/>
        <v>0</v>
      </c>
      <c r="I157" s="9">
        <f t="shared" si="95"/>
        <v>0.25414181608272868</v>
      </c>
      <c r="J157" s="9">
        <f t="shared" si="96"/>
        <v>0.24893034367969163</v>
      </c>
      <c r="K157" s="9">
        <v>0</v>
      </c>
      <c r="L157" s="8">
        <f>+VLOOKUP($B157,NIFTY_50!$B$3:$I$1238,8,0)</f>
        <v>1.0531797042111934E-2</v>
      </c>
      <c r="M157" s="8">
        <f>+VLOOKUP($B157,NIFTY_BANK!$B$3:$I$41238,8,0)</f>
        <v>1.3350196448379092E-2</v>
      </c>
      <c r="N157" s="8">
        <f>+VLOOKUP($B157,NIFTY_IT!$B$3:$I$1238,8,0)</f>
        <v>6.8383818348400904E-3</v>
      </c>
      <c r="O157" s="8">
        <f>+VLOOKUP($B157,NIFTY_PHARMA!$B$3:$I$1238,8,0)</f>
        <v>1.156643564243387E-2</v>
      </c>
      <c r="P157" s="8">
        <f>+VLOOKUP($B157,NIFTY_FMCG!$B$3:$I$1238,8,0)</f>
        <v>2.5148142795201611E-2</v>
      </c>
      <c r="Q157" s="8">
        <f>+VLOOKUP($B157,NIFTY_METAL!$B$3:$I$1238,8,0)</f>
        <v>1.7239824445379748E-2</v>
      </c>
      <c r="R157" s="8">
        <f>+VLOOKUP($B157,NIFTY_ENERGY!$B$3:$I$1238,8,0)</f>
        <v>-2.2045872522754584E-3</v>
      </c>
      <c r="S157" s="8">
        <f>+VLOOKUP($B157,NIFTY_AUTO!$B$3:$I$1238,8,0)</f>
        <v>1.6848818177101377E-2</v>
      </c>
      <c r="T157" s="8">
        <v>0</v>
      </c>
      <c r="U157" s="8">
        <f>+VLOOKUP($B157,NIFTY_50!$B$63:$K$1238,10,0)</f>
        <v>4.9788394021998528E-2</v>
      </c>
      <c r="V157" s="8">
        <f>+VLOOKUP($B157,NIFTY_BANK!$B$63:$K$1238,10,0)</f>
        <v>7.3250533601525003E-2</v>
      </c>
      <c r="W157" s="8">
        <f>+VLOOKUP($B157,NIFTY_IT!$B$63:$K$1238,10,0)</f>
        <v>1.9447512755407015E-2</v>
      </c>
      <c r="X157" s="8">
        <f>+VLOOKUP($B157,NIFTY_PHARMA!$B$63:$K$1238,10,0)</f>
        <v>-0.12767696261360173</v>
      </c>
      <c r="Y157" s="8">
        <f>+VLOOKUP($B157,NIFTY_FMCG!$B$63:$K$1238,10,0)</f>
        <v>4.8532207663152915E-2</v>
      </c>
      <c r="Z157" s="8">
        <f>+VLOOKUP($B157,NIFTY_METAL!$B$63:$K$1238,10,0)</f>
        <v>0.14975197064419676</v>
      </c>
      <c r="AA157" s="8">
        <f>+VLOOKUP($B157,NIFTY_ENERGY!$B$63:$K$1238,10,0)</f>
        <v>8.7878453881828245E-2</v>
      </c>
      <c r="AB157" s="8">
        <f>+VLOOKUP($B157,NIFTY_AUTO!$B$63:$K$1238,10,0)</f>
        <v>3.5442563738016242E-2</v>
      </c>
      <c r="AC157" s="8"/>
      <c r="AD157" s="16">
        <f t="shared" si="97"/>
        <v>4.1906868159210804E-2</v>
      </c>
      <c r="AE157" s="8">
        <f t="shared" si="98"/>
        <v>5.6110090407180443E-2</v>
      </c>
      <c r="AF157" s="8">
        <f t="shared" si="99"/>
        <v>7.1607514787441762E-2</v>
      </c>
      <c r="AG157" s="8">
        <f t="shared" si="100"/>
        <v>0.112277188830438</v>
      </c>
      <c r="AH157" s="8">
        <f t="shared" si="101"/>
        <v>0.10947439303971061</v>
      </c>
      <c r="AI157" s="8">
        <f t="shared" si="102"/>
        <v>0.1033240661614272</v>
      </c>
      <c r="AJ157" s="8">
        <f t="shared" si="103"/>
        <v>6.7143968539557397E-2</v>
      </c>
      <c r="AK157" s="8">
        <f t="shared" si="104"/>
        <v>6.5004294464667461E-2</v>
      </c>
      <c r="AL157" s="9">
        <v>0</v>
      </c>
      <c r="AM157" s="17">
        <f t="shared" si="81"/>
        <v>23.862436968585726</v>
      </c>
      <c r="AN157" s="13">
        <f t="shared" si="82"/>
        <v>17.82210637593322</v>
      </c>
      <c r="AO157" s="13">
        <f t="shared" si="83"/>
        <v>13.965014746963066</v>
      </c>
      <c r="AP157" s="13">
        <f t="shared" si="84"/>
        <v>8.9065286583743095</v>
      </c>
      <c r="AQ157" s="13">
        <f t="shared" si="85"/>
        <v>9.1345562394418689</v>
      </c>
      <c r="AR157" s="13">
        <f t="shared" si="86"/>
        <v>9.6782873259910343</v>
      </c>
      <c r="AS157" s="13">
        <f t="shared" si="87"/>
        <v>14.893370495532402</v>
      </c>
      <c r="AT157" s="13">
        <f t="shared" si="88"/>
        <v>15.383599010424483</v>
      </c>
      <c r="AU157" s="9">
        <v>0</v>
      </c>
      <c r="AV157" s="18">
        <f t="shared" si="105"/>
        <v>1</v>
      </c>
      <c r="AW157" s="18">
        <f t="shared" si="106"/>
        <v>2</v>
      </c>
      <c r="AX157" s="18">
        <f t="shared" si="107"/>
        <v>5</v>
      </c>
      <c r="AY157" s="18">
        <f t="shared" si="108"/>
        <v>8</v>
      </c>
      <c r="AZ157" s="18">
        <f t="shared" si="109"/>
        <v>7</v>
      </c>
      <c r="BA157" s="18">
        <f t="shared" si="110"/>
        <v>6</v>
      </c>
      <c r="BB157" s="18">
        <f t="shared" si="111"/>
        <v>4</v>
      </c>
      <c r="BC157" s="18">
        <f t="shared" si="112"/>
        <v>3</v>
      </c>
      <c r="BD157" s="18">
        <f t="shared" si="113"/>
        <v>9</v>
      </c>
      <c r="BE157" s="8">
        <f t="shared" si="115"/>
        <v>9.5126121121840244E-3</v>
      </c>
    </row>
    <row r="158" spans="1:57" x14ac:dyDescent="0.25">
      <c r="A158" t="str">
        <f t="shared" si="114"/>
        <v/>
      </c>
      <c r="B158" s="1">
        <v>42964</v>
      </c>
      <c r="C158" s="9">
        <f t="shared" si="89"/>
        <v>0.25038774232314637</v>
      </c>
      <c r="D158" s="9">
        <f t="shared" si="90"/>
        <v>0.24596759491960657</v>
      </c>
      <c r="E158" s="9">
        <f t="shared" si="91"/>
        <v>0</v>
      </c>
      <c r="F158" s="9">
        <f t="shared" si="92"/>
        <v>0</v>
      </c>
      <c r="G158" s="9">
        <f t="shared" si="93"/>
        <v>0</v>
      </c>
      <c r="H158" s="9">
        <f t="shared" si="94"/>
        <v>0</v>
      </c>
      <c r="I158" s="9">
        <f t="shared" si="95"/>
        <v>0.25601612026058451</v>
      </c>
      <c r="J158" s="9">
        <f t="shared" si="96"/>
        <v>0.24762854249666258</v>
      </c>
      <c r="K158" s="9">
        <v>0</v>
      </c>
      <c r="L158" s="8">
        <f>+VLOOKUP($B158,NIFTY_50!$B$3:$I$1238,8,0)</f>
        <v>6.9210794863239222E-4</v>
      </c>
      <c r="M158" s="8">
        <f>+VLOOKUP($B158,NIFTY_BANK!$B$3:$I$41238,8,0)</f>
        <v>-8.2024904144006872E-3</v>
      </c>
      <c r="N158" s="8">
        <f>+VLOOKUP($B158,NIFTY_IT!$B$3:$I$1238,8,0)</f>
        <v>1.2955336454121502E-2</v>
      </c>
      <c r="O158" s="8">
        <f>+VLOOKUP($B158,NIFTY_PHARMA!$B$3:$I$1238,8,0)</f>
        <v>-7.032078921823115E-3</v>
      </c>
      <c r="P158" s="8">
        <f>+VLOOKUP($B158,NIFTY_FMCG!$B$3:$I$1238,8,0)</f>
        <v>-9.1835455926814191E-4</v>
      </c>
      <c r="Q158" s="8">
        <f>+VLOOKUP($B158,NIFTY_METAL!$B$3:$I$1238,8,0)</f>
        <v>7.4469185419407946E-3</v>
      </c>
      <c r="R158" s="8">
        <f>+VLOOKUP($B158,NIFTY_ENERGY!$B$3:$I$1238,8,0)</f>
        <v>4.7696240413990232E-3</v>
      </c>
      <c r="S158" s="8">
        <f>+VLOOKUP($B158,NIFTY_AUTO!$B$3:$I$1238,8,0)</f>
        <v>-7.8023889597588214E-3</v>
      </c>
      <c r="T158" s="8">
        <v>0</v>
      </c>
      <c r="U158" s="8">
        <f>+VLOOKUP($B158,NIFTY_50!$B$63:$K$1238,10,0)</f>
        <v>4.9362964532619902E-2</v>
      </c>
      <c r="V158" s="8">
        <f>+VLOOKUP($B158,NIFTY_BANK!$B$63:$K$1238,10,0)</f>
        <v>6.9942634149786853E-2</v>
      </c>
      <c r="W158" s="8">
        <f>+VLOOKUP($B158,NIFTY_IT!$B$63:$K$1238,10,0)</f>
        <v>2.78871188070271E-2</v>
      </c>
      <c r="X158" s="8">
        <f>+VLOOKUP($B158,NIFTY_PHARMA!$B$63:$K$1238,10,0)</f>
        <v>-0.11668607920314888</v>
      </c>
      <c r="Y158" s="8">
        <f>+VLOOKUP($B158,NIFTY_FMCG!$B$63:$K$1238,10,0)</f>
        <v>1.1151407055093099E-2</v>
      </c>
      <c r="Z158" s="8">
        <f>+VLOOKUP($B158,NIFTY_METAL!$B$63:$K$1238,10,0)</f>
        <v>0.16500358814885696</v>
      </c>
      <c r="AA158" s="8">
        <f>+VLOOKUP($B158,NIFTY_ENERGY!$B$63:$K$1238,10,0)</f>
        <v>0.10186273294845116</v>
      </c>
      <c r="AB158" s="8">
        <f>+VLOOKUP($B158,NIFTY_AUTO!$B$63:$K$1238,10,0)</f>
        <v>3.430384092766392E-2</v>
      </c>
      <c r="AC158" s="8"/>
      <c r="AD158" s="16">
        <f t="shared" si="97"/>
        <v>4.1906025362490322E-2</v>
      </c>
      <c r="AE158" s="8">
        <f t="shared" si="98"/>
        <v>5.6536336274964918E-2</v>
      </c>
      <c r="AF158" s="8">
        <f t="shared" si="99"/>
        <v>7.2573268003909189E-2</v>
      </c>
      <c r="AG158" s="8">
        <f t="shared" si="100"/>
        <v>0.11104030407542244</v>
      </c>
      <c r="AH158" s="8">
        <f t="shared" si="101"/>
        <v>0.10358909738411602</v>
      </c>
      <c r="AI158" s="8">
        <f t="shared" si="102"/>
        <v>0.10311538496743523</v>
      </c>
      <c r="AJ158" s="8">
        <f t="shared" si="103"/>
        <v>6.6546939890303566E-2</v>
      </c>
      <c r="AK158" s="8">
        <f t="shared" si="104"/>
        <v>6.5136128769105225E-2</v>
      </c>
      <c r="AL158" s="9">
        <v>0</v>
      </c>
      <c r="AM158" s="17">
        <f t="shared" si="81"/>
        <v>23.862916880088807</v>
      </c>
      <c r="AN158" s="13">
        <f t="shared" si="82"/>
        <v>17.687739706663908</v>
      </c>
      <c r="AO158" s="13">
        <f t="shared" si="83"/>
        <v>13.779178304966708</v>
      </c>
      <c r="AP158" s="13">
        <f t="shared" si="84"/>
        <v>9.0057390271622921</v>
      </c>
      <c r="AQ158" s="13">
        <f t="shared" si="85"/>
        <v>9.6535255664206261</v>
      </c>
      <c r="AR158" s="13">
        <f t="shared" si="86"/>
        <v>9.6978738945290175</v>
      </c>
      <c r="AS158" s="13">
        <f t="shared" si="87"/>
        <v>15.026986990662634</v>
      </c>
      <c r="AT158" s="13">
        <f t="shared" si="88"/>
        <v>15.352462894207353</v>
      </c>
      <c r="AU158" s="9">
        <v>0</v>
      </c>
      <c r="AV158" s="18">
        <f t="shared" si="105"/>
        <v>1</v>
      </c>
      <c r="AW158" s="18">
        <f t="shared" si="106"/>
        <v>2</v>
      </c>
      <c r="AX158" s="18">
        <f t="shared" si="107"/>
        <v>5</v>
      </c>
      <c r="AY158" s="18">
        <f t="shared" si="108"/>
        <v>8</v>
      </c>
      <c r="AZ158" s="18">
        <f t="shared" si="109"/>
        <v>7</v>
      </c>
      <c r="BA158" s="18">
        <f t="shared" si="110"/>
        <v>6</v>
      </c>
      <c r="BB158" s="18">
        <f t="shared" si="111"/>
        <v>4</v>
      </c>
      <c r="BC158" s="18">
        <f t="shared" si="112"/>
        <v>3</v>
      </c>
      <c r="BD158" s="18">
        <f t="shared" si="113"/>
        <v>9</v>
      </c>
      <c r="BE158" s="8">
        <f t="shared" si="115"/>
        <v>-2.5863342560962363E-3</v>
      </c>
    </row>
    <row r="159" spans="1:57" x14ac:dyDescent="0.25">
      <c r="A159" t="str">
        <f t="shared" si="114"/>
        <v/>
      </c>
      <c r="B159" s="1">
        <v>42965</v>
      </c>
      <c r="C159" s="9">
        <f t="shared" si="89"/>
        <v>0.24930552885766999</v>
      </c>
      <c r="D159" s="9">
        <f t="shared" si="90"/>
        <v>0.24491007452108871</v>
      </c>
      <c r="E159" s="9">
        <f t="shared" si="91"/>
        <v>0</v>
      </c>
      <c r="F159" s="9">
        <f t="shared" si="92"/>
        <v>0</v>
      </c>
      <c r="G159" s="9">
        <f t="shared" si="93"/>
        <v>0</v>
      </c>
      <c r="H159" s="9">
        <f t="shared" si="94"/>
        <v>0</v>
      </c>
      <c r="I159" s="9">
        <f t="shared" si="95"/>
        <v>0.25797792031091699</v>
      </c>
      <c r="J159" s="9">
        <f t="shared" si="96"/>
        <v>0.24780647631032438</v>
      </c>
      <c r="K159" s="9">
        <v>0</v>
      </c>
      <c r="L159" s="8">
        <f>+VLOOKUP($B159,NIFTY_50!$B$3:$I$1238,8,0)</f>
        <v>-6.7395990569609765E-3</v>
      </c>
      <c r="M159" s="8">
        <f>+VLOOKUP($B159,NIFTY_BANK!$B$3:$I$41238,8,0)</f>
        <v>-6.7169336455249473E-3</v>
      </c>
      <c r="N159" s="8">
        <f>+VLOOKUP($B159,NIFTY_IT!$B$3:$I$1238,8,0)</f>
        <v>-2.1096890107244026E-2</v>
      </c>
      <c r="O159" s="8">
        <f>+VLOOKUP($B159,NIFTY_PHARMA!$B$3:$I$1238,8,0)</f>
        <v>-1.7926362096600146E-2</v>
      </c>
      <c r="P159" s="8">
        <f>+VLOOKUP($B159,NIFTY_FMCG!$B$3:$I$1238,8,0)</f>
        <v>8.1277549012499506E-3</v>
      </c>
      <c r="Q159" s="8">
        <f>+VLOOKUP($B159,NIFTY_METAL!$B$3:$I$1238,8,0)</f>
        <v>-7.1865420999369656E-3</v>
      </c>
      <c r="R159" s="8">
        <f>+VLOOKUP($B159,NIFTY_ENERGY!$B$3:$I$1238,8,0)</f>
        <v>5.2162514349538558E-3</v>
      </c>
      <c r="S159" s="8">
        <f>+VLOOKUP($B159,NIFTY_AUTO!$B$3:$I$1238,8,0)</f>
        <v>-1.7111359418026106E-3</v>
      </c>
      <c r="T159" s="8">
        <v>0</v>
      </c>
      <c r="U159" s="8">
        <f>+VLOOKUP($B159,NIFTY_50!$B$63:$K$1238,10,0)</f>
        <v>4.8076154759938872E-2</v>
      </c>
      <c r="V159" s="8">
        <f>+VLOOKUP($B159,NIFTY_BANK!$B$63:$K$1238,10,0)</f>
        <v>6.6052482420249081E-2</v>
      </c>
      <c r="W159" s="8">
        <f>+VLOOKUP($B159,NIFTY_IT!$B$63:$K$1238,10,0)</f>
        <v>5.6897109474605134E-3</v>
      </c>
      <c r="X159" s="8">
        <f>+VLOOKUP($B159,NIFTY_PHARMA!$B$63:$K$1238,10,0)</f>
        <v>-0.10456764404091912</v>
      </c>
      <c r="Y159" s="8">
        <f>+VLOOKUP($B159,NIFTY_FMCG!$B$63:$K$1238,10,0)</f>
        <v>2.8651306777162988E-2</v>
      </c>
      <c r="Z159" s="8">
        <f>+VLOOKUP($B159,NIFTY_METAL!$B$63:$K$1238,10,0)</f>
        <v>0.16155324479220279</v>
      </c>
      <c r="AA159" s="8">
        <f>+VLOOKUP($B159,NIFTY_ENERGY!$B$63:$K$1238,10,0)</f>
        <v>0.12114972857235551</v>
      </c>
      <c r="AB159" s="8">
        <f>+VLOOKUP($B159,NIFTY_AUTO!$B$63:$K$1238,10,0)</f>
        <v>2.8485692129105677E-2</v>
      </c>
      <c r="AC159" s="8"/>
      <c r="AD159" s="16">
        <f t="shared" si="97"/>
        <v>4.2107050971518643E-2</v>
      </c>
      <c r="AE159" s="8">
        <f t="shared" si="98"/>
        <v>5.6920335136760078E-2</v>
      </c>
      <c r="AF159" s="8">
        <f t="shared" si="99"/>
        <v>7.5666330438523291E-2</v>
      </c>
      <c r="AG159" s="8">
        <f t="shared" si="100"/>
        <v>0.10828294122293639</v>
      </c>
      <c r="AH159" s="8">
        <f t="shared" si="101"/>
        <v>0.10344673993992451</v>
      </c>
      <c r="AI159" s="8">
        <f t="shared" si="102"/>
        <v>0.10335196633742101</v>
      </c>
      <c r="AJ159" s="8">
        <f t="shared" si="103"/>
        <v>6.5181811107663246E-2</v>
      </c>
      <c r="AK159" s="8">
        <f t="shared" si="104"/>
        <v>6.508661708626555E-2</v>
      </c>
      <c r="AL159" s="9">
        <v>0</v>
      </c>
      <c r="AM159" s="17">
        <f t="shared" si="81"/>
        <v>23.748991604194831</v>
      </c>
      <c r="AN159" s="13">
        <f t="shared" si="82"/>
        <v>17.568413776857469</v>
      </c>
      <c r="AO159" s="13">
        <f t="shared" si="83"/>
        <v>13.215917756345686</v>
      </c>
      <c r="AP159" s="13">
        <f t="shared" si="84"/>
        <v>9.235064994597515</v>
      </c>
      <c r="AQ159" s="13">
        <f t="shared" si="85"/>
        <v>9.666810192189125</v>
      </c>
      <c r="AR159" s="13">
        <f t="shared" si="86"/>
        <v>9.675674643046694</v>
      </c>
      <c r="AS159" s="13">
        <f t="shared" si="87"/>
        <v>15.34170319919866</v>
      </c>
      <c r="AT159" s="13">
        <f t="shared" si="88"/>
        <v>15.36414158189546</v>
      </c>
      <c r="AU159" s="9">
        <v>0</v>
      </c>
      <c r="AV159" s="18">
        <f t="shared" si="105"/>
        <v>1</v>
      </c>
      <c r="AW159" s="18">
        <f t="shared" si="106"/>
        <v>2</v>
      </c>
      <c r="AX159" s="18">
        <f t="shared" si="107"/>
        <v>5</v>
      </c>
      <c r="AY159" s="18">
        <f t="shared" si="108"/>
        <v>8</v>
      </c>
      <c r="AZ159" s="18">
        <f t="shared" si="109"/>
        <v>7</v>
      </c>
      <c r="BA159" s="18">
        <f t="shared" si="110"/>
        <v>6</v>
      </c>
      <c r="BB159" s="18">
        <f t="shared" si="111"/>
        <v>4</v>
      </c>
      <c r="BC159" s="18">
        <f t="shared" si="112"/>
        <v>3</v>
      </c>
      <c r="BD159" s="18">
        <f t="shared" si="113"/>
        <v>9</v>
      </c>
      <c r="BE159" s="8">
        <f t="shared" si="115"/>
        <v>-2.4279426506616632E-3</v>
      </c>
    </row>
    <row r="160" spans="1:57" x14ac:dyDescent="0.25">
      <c r="A160" t="str">
        <f t="shared" si="114"/>
        <v/>
      </c>
      <c r="B160" s="1">
        <v>42968</v>
      </c>
      <c r="C160" s="9">
        <f t="shared" si="89"/>
        <v>0.24948722370600157</v>
      </c>
      <c r="D160" s="9">
        <f t="shared" si="90"/>
        <v>0.2457589374657132</v>
      </c>
      <c r="E160" s="9">
        <f t="shared" si="91"/>
        <v>0</v>
      </c>
      <c r="F160" s="9">
        <f t="shared" si="92"/>
        <v>0</v>
      </c>
      <c r="G160" s="9">
        <f t="shared" si="93"/>
        <v>0</v>
      </c>
      <c r="H160" s="9">
        <f t="shared" si="94"/>
        <v>0</v>
      </c>
      <c r="I160" s="9">
        <f t="shared" si="95"/>
        <v>0.25708223929096885</v>
      </c>
      <c r="J160" s="9">
        <f t="shared" si="96"/>
        <v>0.24767159953731627</v>
      </c>
      <c r="K160" s="9">
        <v>0</v>
      </c>
      <c r="L160" s="8">
        <f>+VLOOKUP($B160,NIFTY_50!$B$3:$I$1238,8,0)</f>
        <v>-8.4422713318559328E-3</v>
      </c>
      <c r="M160" s="8">
        <f>+VLOOKUP($B160,NIFTY_BANK!$B$3:$I$41238,8,0)</f>
        <v>-5.7301412908706828E-3</v>
      </c>
      <c r="N160" s="8">
        <f>+VLOOKUP($B160,NIFTY_IT!$B$3:$I$1238,8,0)</f>
        <v>-1.229422894985821E-2</v>
      </c>
      <c r="O160" s="8">
        <f>+VLOOKUP($B160,NIFTY_PHARMA!$B$3:$I$1238,8,0)</f>
        <v>-1.7269717804477058E-2</v>
      </c>
      <c r="P160" s="8">
        <f>+VLOOKUP($B160,NIFTY_FMCG!$B$3:$I$1238,8,0)</f>
        <v>-4.6639215823506275E-3</v>
      </c>
      <c r="Q160" s="8">
        <f>+VLOOKUP($B160,NIFTY_METAL!$B$3:$I$1238,8,0)</f>
        <v>-1.3900994194377625E-2</v>
      </c>
      <c r="R160" s="8">
        <f>+VLOOKUP($B160,NIFTY_ENERGY!$B$3:$I$1238,8,0)</f>
        <v>-1.2604507066163118E-2</v>
      </c>
      <c r="S160" s="8">
        <f>+VLOOKUP($B160,NIFTY_AUTO!$B$3:$I$1238,8,0)</f>
        <v>-9.7036908681338296E-3</v>
      </c>
      <c r="T160" s="8">
        <v>0</v>
      </c>
      <c r="U160" s="8">
        <f>+VLOOKUP($B160,NIFTY_50!$B$63:$K$1238,10,0)</f>
        <v>4.207017750025388E-2</v>
      </c>
      <c r="V160" s="8">
        <f>+VLOOKUP($B160,NIFTY_BANK!$B$63:$K$1238,10,0)</f>
        <v>6.2130873302183698E-2</v>
      </c>
      <c r="W160" s="8">
        <f>+VLOOKUP($B160,NIFTY_IT!$B$63:$K$1238,10,0)</f>
        <v>-6.5799489970693736E-3</v>
      </c>
      <c r="X160" s="8">
        <f>+VLOOKUP($B160,NIFTY_PHARMA!$B$63:$K$1238,10,0)</f>
        <v>-0.10127607322998422</v>
      </c>
      <c r="Y160" s="8">
        <f>+VLOOKUP($B160,NIFTY_FMCG!$B$63:$K$1238,10,0)</f>
        <v>2.4503231745142351E-2</v>
      </c>
      <c r="Z160" s="8">
        <f>+VLOOKUP($B160,NIFTY_METAL!$B$63:$K$1238,10,0)</f>
        <v>0.17186896527509576</v>
      </c>
      <c r="AA160" s="8">
        <f>+VLOOKUP($B160,NIFTY_ENERGY!$B$63:$K$1238,10,0)</f>
        <v>0.10825498967206082</v>
      </c>
      <c r="AB160" s="8">
        <f>+VLOOKUP($B160,NIFTY_AUTO!$B$63:$K$1238,10,0)</f>
        <v>1.7951532306981433E-2</v>
      </c>
      <c r="AC160" s="8"/>
      <c r="AD160" s="16">
        <f t="shared" si="97"/>
        <v>4.2956594301881326E-2</v>
      </c>
      <c r="AE160" s="8">
        <f t="shared" si="98"/>
        <v>5.7238058556083091E-2</v>
      </c>
      <c r="AF160" s="8">
        <f t="shared" si="99"/>
        <v>7.666488335665092E-2</v>
      </c>
      <c r="AG160" s="8">
        <f t="shared" si="100"/>
        <v>0.10770347954179975</v>
      </c>
      <c r="AH160" s="8">
        <f t="shared" si="101"/>
        <v>0.10357008619736598</v>
      </c>
      <c r="AI160" s="8">
        <f t="shared" si="102"/>
        <v>0.10158504250404099</v>
      </c>
      <c r="AJ160" s="8">
        <f t="shared" si="103"/>
        <v>6.6693680723050916E-2</v>
      </c>
      <c r="AK160" s="8">
        <f t="shared" si="104"/>
        <v>6.5867783298413182E-2</v>
      </c>
      <c r="AL160" s="9">
        <v>0</v>
      </c>
      <c r="AM160" s="17">
        <f t="shared" si="81"/>
        <v>23.279312902983186</v>
      </c>
      <c r="AN160" s="13">
        <f t="shared" si="82"/>
        <v>17.470893060081316</v>
      </c>
      <c r="AO160" s="13">
        <f t="shared" si="83"/>
        <v>13.043781666606382</v>
      </c>
      <c r="AP160" s="13">
        <f t="shared" si="84"/>
        <v>9.2847510986114408</v>
      </c>
      <c r="AQ160" s="13">
        <f t="shared" si="85"/>
        <v>9.6552975546855571</v>
      </c>
      <c r="AR160" s="13">
        <f t="shared" si="86"/>
        <v>9.8439689087123288</v>
      </c>
      <c r="AS160" s="13">
        <f t="shared" si="87"/>
        <v>14.993924299253383</v>
      </c>
      <c r="AT160" s="13">
        <f t="shared" si="88"/>
        <v>15.181928856927101</v>
      </c>
      <c r="AU160" s="9">
        <v>0</v>
      </c>
      <c r="AV160" s="18">
        <f t="shared" si="105"/>
        <v>1</v>
      </c>
      <c r="AW160" s="18">
        <f t="shared" si="106"/>
        <v>2</v>
      </c>
      <c r="AX160" s="18">
        <f t="shared" si="107"/>
        <v>5</v>
      </c>
      <c r="AY160" s="18">
        <f t="shared" si="108"/>
        <v>8</v>
      </c>
      <c r="AZ160" s="18">
        <f t="shared" si="109"/>
        <v>7</v>
      </c>
      <c r="BA160" s="18">
        <f t="shared" si="110"/>
        <v>6</v>
      </c>
      <c r="BB160" s="18">
        <f t="shared" si="111"/>
        <v>4</v>
      </c>
      <c r="BC160" s="18">
        <f t="shared" si="112"/>
        <v>3</v>
      </c>
      <c r="BD160" s="18">
        <f t="shared" si="113"/>
        <v>9</v>
      </c>
      <c r="BE160" s="8">
        <f t="shared" si="115"/>
        <v>-9.1643962104217304E-3</v>
      </c>
    </row>
    <row r="161" spans="1:57" x14ac:dyDescent="0.25">
      <c r="A161" t="str">
        <f t="shared" si="114"/>
        <v/>
      </c>
      <c r="B161" s="1">
        <v>42969</v>
      </c>
      <c r="C161" s="9">
        <f t="shared" si="89"/>
        <v>0.24989398979755126</v>
      </c>
      <c r="D161" s="9">
        <f t="shared" si="90"/>
        <v>0.24626713211257711</v>
      </c>
      <c r="E161" s="9">
        <f t="shared" si="91"/>
        <v>0</v>
      </c>
      <c r="F161" s="9">
        <f t="shared" si="92"/>
        <v>0</v>
      </c>
      <c r="G161" s="9">
        <f t="shared" si="93"/>
        <v>0</v>
      </c>
      <c r="H161" s="9">
        <f t="shared" si="94"/>
        <v>0</v>
      </c>
      <c r="I161" s="9">
        <f t="shared" si="95"/>
        <v>0.25815377949523483</v>
      </c>
      <c r="J161" s="9">
        <f t="shared" si="96"/>
        <v>0.24568509859463675</v>
      </c>
      <c r="K161" s="9">
        <v>0</v>
      </c>
      <c r="L161" s="8">
        <f>+VLOOKUP($B161,NIFTY_50!$B$3:$I$1238,8,0)</f>
        <v>1.1482056723408629E-3</v>
      </c>
      <c r="M161" s="8">
        <f>+VLOOKUP($B161,NIFTY_BANK!$B$3:$I$41238,8,0)</f>
        <v>1.5854448227603513E-3</v>
      </c>
      <c r="N161" s="8">
        <f>+VLOOKUP($B161,NIFTY_IT!$B$3:$I$1238,8,0)</f>
        <v>5.9386688761087214E-4</v>
      </c>
      <c r="O161" s="8">
        <f>+VLOOKUP($B161,NIFTY_PHARMA!$B$3:$I$1238,8,0)</f>
        <v>9.0044993050810707E-3</v>
      </c>
      <c r="P161" s="8">
        <f>+VLOOKUP($B161,NIFTY_FMCG!$B$3:$I$1238,8,0)</f>
        <v>2.3438644465056946E-4</v>
      </c>
      <c r="Q161" s="8">
        <f>+VLOOKUP($B161,NIFTY_METAL!$B$3:$I$1238,8,0)</f>
        <v>7.7900287631837983E-4</v>
      </c>
      <c r="R161" s="8">
        <f>+VLOOKUP($B161,NIFTY_ENERGY!$B$3:$I$1238,8,0)</f>
        <v>3.6846588466978858E-3</v>
      </c>
      <c r="S161" s="8">
        <f>+VLOOKUP($B161,NIFTY_AUTO!$B$3:$I$1238,8,0)</f>
        <v>-8.4982620415691157E-3</v>
      </c>
      <c r="T161" s="8">
        <v>0</v>
      </c>
      <c r="U161" s="8">
        <f>+VLOOKUP($B161,NIFTY_50!$B$63:$K$1238,10,0)</f>
        <v>2.6898709219485228E-2</v>
      </c>
      <c r="V161" s="8">
        <f>+VLOOKUP($B161,NIFTY_BANK!$B$63:$K$1238,10,0)</f>
        <v>3.3791417286165304E-2</v>
      </c>
      <c r="W161" s="8">
        <f>+VLOOKUP($B161,NIFTY_IT!$B$63:$K$1238,10,0)</f>
        <v>-2.7201571936098179E-2</v>
      </c>
      <c r="X161" s="8">
        <f>+VLOOKUP($B161,NIFTY_PHARMA!$B$63:$K$1238,10,0)</f>
        <v>-6.8756352489088624E-2</v>
      </c>
      <c r="Y161" s="8">
        <f>+VLOOKUP($B161,NIFTY_FMCG!$B$63:$K$1238,10,0)</f>
        <v>2.1874432535873733E-2</v>
      </c>
      <c r="Z161" s="8">
        <f>+VLOOKUP($B161,NIFTY_METAL!$B$63:$K$1238,10,0)</f>
        <v>0.15187254293399532</v>
      </c>
      <c r="AA161" s="8">
        <f>+VLOOKUP($B161,NIFTY_ENERGY!$B$63:$K$1238,10,0)</f>
        <v>0.10457061031773685</v>
      </c>
      <c r="AB161" s="8">
        <f>+VLOOKUP($B161,NIFTY_AUTO!$B$63:$K$1238,10,0)</f>
        <v>-9.935682511498789E-3</v>
      </c>
      <c r="AC161" s="8"/>
      <c r="AD161" s="16">
        <f t="shared" si="97"/>
        <v>4.0117076915328717E-2</v>
      </c>
      <c r="AE161" s="8">
        <f t="shared" si="98"/>
        <v>4.9786241144077779E-2</v>
      </c>
      <c r="AF161" s="8">
        <f t="shared" si="99"/>
        <v>7.3433536349776507E-2</v>
      </c>
      <c r="AG161" s="8">
        <f t="shared" si="100"/>
        <v>0.10530544313370142</v>
      </c>
      <c r="AH161" s="8">
        <f t="shared" si="101"/>
        <v>0.10354384954300699</v>
      </c>
      <c r="AI161" s="8">
        <f t="shared" si="102"/>
        <v>0.10039450491196857</v>
      </c>
      <c r="AJ161" s="8">
        <f t="shared" si="103"/>
        <v>6.6509544801115636E-2</v>
      </c>
      <c r="AK161" s="8">
        <f t="shared" si="104"/>
        <v>6.3551415233664491E-2</v>
      </c>
      <c r="AL161" s="9">
        <v>0</v>
      </c>
      <c r="AM161" s="17">
        <f t="shared" si="81"/>
        <v>24.92704047482334</v>
      </c>
      <c r="AN161" s="13">
        <f t="shared" si="82"/>
        <v>20.085870654626696</v>
      </c>
      <c r="AO161" s="13">
        <f t="shared" si="83"/>
        <v>13.617756269245005</v>
      </c>
      <c r="AP161" s="13">
        <f t="shared" si="84"/>
        <v>9.4961852895898886</v>
      </c>
      <c r="AQ161" s="13">
        <f t="shared" si="85"/>
        <v>9.6577440805371015</v>
      </c>
      <c r="AR161" s="13">
        <f t="shared" si="86"/>
        <v>9.9607045313571199</v>
      </c>
      <c r="AS161" s="13">
        <f t="shared" si="87"/>
        <v>15.035435936154926</v>
      </c>
      <c r="AT161" s="13">
        <f t="shared" si="88"/>
        <v>15.735290808603102</v>
      </c>
      <c r="AU161" s="9">
        <v>0</v>
      </c>
      <c r="AV161" s="18">
        <f t="shared" si="105"/>
        <v>1</v>
      </c>
      <c r="AW161" s="18">
        <f t="shared" si="106"/>
        <v>2</v>
      </c>
      <c r="AX161" s="18">
        <f t="shared" si="107"/>
        <v>5</v>
      </c>
      <c r="AY161" s="18">
        <f t="shared" si="108"/>
        <v>8</v>
      </c>
      <c r="AZ161" s="18">
        <f t="shared" si="109"/>
        <v>7</v>
      </c>
      <c r="BA161" s="18">
        <f t="shared" si="110"/>
        <v>6</v>
      </c>
      <c r="BB161" s="18">
        <f t="shared" si="111"/>
        <v>4</v>
      </c>
      <c r="BC161" s="18">
        <f t="shared" si="112"/>
        <v>3</v>
      </c>
      <c r="BD161" s="18">
        <f t="shared" si="113"/>
        <v>9</v>
      </c>
      <c r="BE161" s="8">
        <f t="shared" si="115"/>
        <v>-4.8141792530240592E-4</v>
      </c>
    </row>
    <row r="162" spans="1:57" x14ac:dyDescent="0.25">
      <c r="A162" t="str">
        <f t="shared" si="114"/>
        <v/>
      </c>
      <c r="B162" s="1">
        <v>42970</v>
      </c>
      <c r="C162" s="9">
        <f t="shared" si="89"/>
        <v>0.24961259590987386</v>
      </c>
      <c r="D162" s="9">
        <f t="shared" si="90"/>
        <v>0.24730060178762919</v>
      </c>
      <c r="E162" s="9">
        <f t="shared" si="91"/>
        <v>0</v>
      </c>
      <c r="F162" s="9">
        <f t="shared" si="92"/>
        <v>0</v>
      </c>
      <c r="G162" s="9">
        <f t="shared" si="93"/>
        <v>0</v>
      </c>
      <c r="H162" s="9">
        <f t="shared" si="94"/>
        <v>0</v>
      </c>
      <c r="I162" s="9">
        <f t="shared" si="95"/>
        <v>0.25822218704312516</v>
      </c>
      <c r="J162" s="9">
        <f t="shared" si="96"/>
        <v>0.24486461525937189</v>
      </c>
      <c r="K162" s="9">
        <v>0</v>
      </c>
      <c r="L162" s="8">
        <f>+VLOOKUP($B162,NIFTY_50!$B$3:$I$1238,8,0)</f>
        <v>8.9037483807876683E-3</v>
      </c>
      <c r="M162" s="8">
        <f>+VLOOKUP($B162,NIFTY_BANK!$B$3:$I$41238,8,0)</f>
        <v>1.4279785354825547E-2</v>
      </c>
      <c r="N162" s="8">
        <f>+VLOOKUP($B162,NIFTY_IT!$B$3:$I$1238,8,0)</f>
        <v>3.0633002273543486E-3</v>
      </c>
      <c r="O162" s="8">
        <f>+VLOOKUP($B162,NIFTY_PHARMA!$B$3:$I$1238,8,0)</f>
        <v>5.7432018350231928E-3</v>
      </c>
      <c r="P162" s="8">
        <f>+VLOOKUP($B162,NIFTY_FMCG!$B$3:$I$1238,8,0)</f>
        <v>-3.436862300939536E-4</v>
      </c>
      <c r="Q162" s="8">
        <f>+VLOOKUP($B162,NIFTY_METAL!$B$3:$I$1238,8,0)</f>
        <v>1.7184599724567429E-2</v>
      </c>
      <c r="R162" s="8">
        <f>+VLOOKUP($B162,NIFTY_ENERGY!$B$3:$I$1238,8,0)</f>
        <v>1.0308756603560454E-2</v>
      </c>
      <c r="S162" s="8">
        <f>+VLOOKUP($B162,NIFTY_AUTO!$B$3:$I$1238,8,0)</f>
        <v>6.6680021749705443E-3</v>
      </c>
      <c r="T162" s="8">
        <v>0</v>
      </c>
      <c r="U162" s="8">
        <f>+VLOOKUP($B162,NIFTY_50!$B$63:$K$1238,10,0)</f>
        <v>2.6826192535773341E-2</v>
      </c>
      <c r="V162" s="8">
        <f>+VLOOKUP($B162,NIFTY_BANK!$B$63:$K$1238,10,0)</f>
        <v>4.0860877828286624E-2</v>
      </c>
      <c r="W162" s="8">
        <f>+VLOOKUP($B162,NIFTY_IT!$B$63:$K$1238,10,0)</f>
        <v>-2.3953462376809398E-2</v>
      </c>
      <c r="X162" s="8">
        <f>+VLOOKUP($B162,NIFTY_PHARMA!$B$63:$K$1238,10,0)</f>
        <v>-4.907041041007898E-2</v>
      </c>
      <c r="Y162" s="8">
        <f>+VLOOKUP($B162,NIFTY_FMCG!$B$63:$K$1238,10,0)</f>
        <v>3.4656405652444544E-3</v>
      </c>
      <c r="Z162" s="8">
        <f>+VLOOKUP($B162,NIFTY_METAL!$B$63:$K$1238,10,0)</f>
        <v>0.13338337086147933</v>
      </c>
      <c r="AA162" s="8">
        <f>+VLOOKUP($B162,NIFTY_ENERGY!$B$63:$K$1238,10,0)</f>
        <v>9.4237393903873645E-2</v>
      </c>
      <c r="AB162" s="8">
        <f>+VLOOKUP($B162,NIFTY_AUTO!$B$63:$K$1238,10,0)</f>
        <v>-1.4820450821776521E-2</v>
      </c>
      <c r="AC162" s="8"/>
      <c r="AD162" s="16">
        <f t="shared" si="97"/>
        <v>4.0101992467660247E-2</v>
      </c>
      <c r="AE162" s="8">
        <f t="shared" si="98"/>
        <v>5.1179983382086264E-2</v>
      </c>
      <c r="AF162" s="8">
        <f t="shared" si="99"/>
        <v>7.3514168499754631E-2</v>
      </c>
      <c r="AG162" s="8">
        <f t="shared" si="100"/>
        <v>0.10455898602520251</v>
      </c>
      <c r="AH162" s="8">
        <f t="shared" si="101"/>
        <v>0.10202151082991509</v>
      </c>
      <c r="AI162" s="8">
        <f t="shared" si="102"/>
        <v>9.6481249324760654E-2</v>
      </c>
      <c r="AJ162" s="8">
        <f t="shared" si="103"/>
        <v>6.4545536821771748E-2</v>
      </c>
      <c r="AK162" s="8">
        <f t="shared" si="104"/>
        <v>6.2813966677466318E-2</v>
      </c>
      <c r="AL162" s="9">
        <v>0</v>
      </c>
      <c r="AM162" s="17">
        <f t="shared" si="81"/>
        <v>24.936416832815414</v>
      </c>
      <c r="AN162" s="13">
        <f t="shared" si="82"/>
        <v>19.538888720116592</v>
      </c>
      <c r="AO162" s="13">
        <f t="shared" si="83"/>
        <v>13.602819978890704</v>
      </c>
      <c r="AP162" s="13">
        <f t="shared" si="84"/>
        <v>9.5639795106559635</v>
      </c>
      <c r="AQ162" s="13">
        <f t="shared" si="85"/>
        <v>9.8018544507456618</v>
      </c>
      <c r="AR162" s="13">
        <f t="shared" si="86"/>
        <v>10.364708241224681</v>
      </c>
      <c r="AS162" s="13">
        <f t="shared" si="87"/>
        <v>15.49293799757649</v>
      </c>
      <c r="AT162" s="13">
        <f t="shared" si="88"/>
        <v>15.920026275919568</v>
      </c>
      <c r="AU162" s="9">
        <v>0</v>
      </c>
      <c r="AV162" s="18">
        <f t="shared" si="105"/>
        <v>1</v>
      </c>
      <c r="AW162" s="18">
        <f t="shared" si="106"/>
        <v>2</v>
      </c>
      <c r="AX162" s="18">
        <f t="shared" si="107"/>
        <v>5</v>
      </c>
      <c r="AY162" s="18">
        <f t="shared" si="108"/>
        <v>8</v>
      </c>
      <c r="AZ162" s="18">
        <f t="shared" si="109"/>
        <v>7</v>
      </c>
      <c r="BA162" s="18">
        <f t="shared" si="110"/>
        <v>6</v>
      </c>
      <c r="BB162" s="18">
        <f t="shared" si="111"/>
        <v>4</v>
      </c>
      <c r="BC162" s="18">
        <f t="shared" si="112"/>
        <v>3</v>
      </c>
      <c r="BD162" s="18">
        <f t="shared" si="113"/>
        <v>9</v>
      </c>
      <c r="BE162" s="8">
        <f t="shared" si="115"/>
        <v>1.0041108244437064E-2</v>
      </c>
    </row>
    <row r="163" spans="1:57" x14ac:dyDescent="0.25">
      <c r="A163" t="str">
        <f t="shared" si="114"/>
        <v/>
      </c>
      <c r="B163" s="1">
        <v>42971</v>
      </c>
      <c r="C163" s="9">
        <f t="shared" si="89"/>
        <v>0.24990781096869985</v>
      </c>
      <c r="D163" s="9">
        <f t="shared" si="90"/>
        <v>0.2470452418860612</v>
      </c>
      <c r="E163" s="9">
        <f t="shared" si="91"/>
        <v>0</v>
      </c>
      <c r="F163" s="9">
        <f t="shared" si="92"/>
        <v>0</v>
      </c>
      <c r="G163" s="9">
        <f t="shared" si="93"/>
        <v>0</v>
      </c>
      <c r="H163" s="9">
        <f t="shared" si="94"/>
        <v>0</v>
      </c>
      <c r="I163" s="9">
        <f t="shared" si="95"/>
        <v>0.25757283316046797</v>
      </c>
      <c r="J163" s="9">
        <f t="shared" si="96"/>
        <v>0.24547411398477095</v>
      </c>
      <c r="K163" s="9">
        <v>0</v>
      </c>
      <c r="L163" s="8">
        <f>+VLOOKUP($B163,NIFTY_50!$B$3:$I$1238,8,0)</f>
        <v>4.6181172291293038E-4</v>
      </c>
      <c r="M163" s="8">
        <f>+VLOOKUP($B163,NIFTY_BANK!$B$3:$I$41238,8,0)</f>
        <v>-1.7518752467429177E-3</v>
      </c>
      <c r="N163" s="8">
        <f>+VLOOKUP($B163,NIFTY_IT!$B$3:$I$1238,8,0)</f>
        <v>2.4479278505475932E-3</v>
      </c>
      <c r="O163" s="8">
        <f>+VLOOKUP($B163,NIFTY_PHARMA!$B$3:$I$1238,8,0)</f>
        <v>3.3217848500147751E-2</v>
      </c>
      <c r="P163" s="8">
        <f>+VLOOKUP($B163,NIFTY_FMCG!$B$3:$I$1238,8,0)</f>
        <v>-1.5998624782436188E-3</v>
      </c>
      <c r="Q163" s="8">
        <f>+VLOOKUP($B163,NIFTY_METAL!$B$3:$I$1238,8,0)</f>
        <v>4.8416529314811996E-3</v>
      </c>
      <c r="R163" s="8">
        <f>+VLOOKUP($B163,NIFTY_ENERGY!$B$3:$I$1238,8,0)</f>
        <v>-3.232928864005058E-3</v>
      </c>
      <c r="S163" s="8">
        <f>+VLOOKUP($B163,NIFTY_AUTO!$B$3:$I$1238,8,0)</f>
        <v>1.767303464483394E-3</v>
      </c>
      <c r="T163" s="8">
        <v>0</v>
      </c>
      <c r="U163" s="8">
        <f>+VLOOKUP($B163,NIFTY_50!$B$63:$K$1238,10,0)</f>
        <v>2.6252225426605102E-2</v>
      </c>
      <c r="V163" s="8">
        <f>+VLOOKUP($B163,NIFTY_BANK!$B$63:$K$1238,10,0)</f>
        <v>4.7080264420743978E-2</v>
      </c>
      <c r="W163" s="8">
        <f>+VLOOKUP($B163,NIFTY_IT!$B$63:$K$1238,10,0)</f>
        <v>-6.0983975738881924E-3</v>
      </c>
      <c r="X163" s="8">
        <f>+VLOOKUP($B163,NIFTY_PHARMA!$B$63:$K$1238,10,0)</f>
        <v>1.6471031537600878E-2</v>
      </c>
      <c r="Y163" s="8">
        <f>+VLOOKUP($B163,NIFTY_FMCG!$B$63:$K$1238,10,0)</f>
        <v>-1.5147573709777817E-2</v>
      </c>
      <c r="Z163" s="8">
        <f>+VLOOKUP($B163,NIFTY_METAL!$B$63:$K$1238,10,0)</f>
        <v>0.14230029276453382</v>
      </c>
      <c r="AA163" s="8">
        <f>+VLOOKUP($B163,NIFTY_ENERGY!$B$63:$K$1238,10,0)</f>
        <v>8.5067827750232805E-2</v>
      </c>
      <c r="AB163" s="8">
        <f>+VLOOKUP($B163,NIFTY_AUTO!$B$63:$K$1238,10,0)</f>
        <v>-1.6929371832426598E-2</v>
      </c>
      <c r="AC163" s="8"/>
      <c r="AD163" s="16">
        <f t="shared" si="97"/>
        <v>4.0097821466989279E-2</v>
      </c>
      <c r="AE163" s="8">
        <f t="shared" si="98"/>
        <v>5.0545420391498515E-2</v>
      </c>
      <c r="AF163" s="8">
        <f t="shared" si="99"/>
        <v>7.1941602738209404E-2</v>
      </c>
      <c r="AG163" s="8">
        <f t="shared" si="100"/>
        <v>0.10461989224585974</v>
      </c>
      <c r="AH163" s="8">
        <f t="shared" si="101"/>
        <v>0.10055987153218855</v>
      </c>
      <c r="AI163" s="8">
        <f t="shared" si="102"/>
        <v>9.637750070391965E-2</v>
      </c>
      <c r="AJ163" s="8">
        <f t="shared" si="103"/>
        <v>6.4606035037019352E-2</v>
      </c>
      <c r="AK163" s="8">
        <f t="shared" si="104"/>
        <v>6.2708787688938714E-2</v>
      </c>
      <c r="AL163" s="9">
        <v>0</v>
      </c>
      <c r="AM163" s="17">
        <f t="shared" si="81"/>
        <v>24.939010734616961</v>
      </c>
      <c r="AN163" s="13">
        <f t="shared" si="82"/>
        <v>19.784186030198594</v>
      </c>
      <c r="AO163" s="13">
        <f t="shared" si="83"/>
        <v>13.900162936860497</v>
      </c>
      <c r="AP163" s="13">
        <f t="shared" si="84"/>
        <v>9.5584116799697263</v>
      </c>
      <c r="AQ163" s="13">
        <f t="shared" si="85"/>
        <v>9.9443245577328181</v>
      </c>
      <c r="AR163" s="13">
        <f t="shared" si="86"/>
        <v>10.375865660514377</v>
      </c>
      <c r="AS163" s="13">
        <f t="shared" si="87"/>
        <v>15.478430140883875</v>
      </c>
      <c r="AT163" s="13">
        <f t="shared" si="88"/>
        <v>15.946728311196349</v>
      </c>
      <c r="AU163" s="9">
        <v>0</v>
      </c>
      <c r="AV163" s="18">
        <f t="shared" si="105"/>
        <v>1</v>
      </c>
      <c r="AW163" s="18">
        <f t="shared" si="106"/>
        <v>2</v>
      </c>
      <c r="AX163" s="18">
        <f t="shared" si="107"/>
        <v>5</v>
      </c>
      <c r="AY163" s="18">
        <f t="shared" si="108"/>
        <v>8</v>
      </c>
      <c r="AZ163" s="18">
        <f t="shared" si="109"/>
        <v>7</v>
      </c>
      <c r="BA163" s="18">
        <f t="shared" si="110"/>
        <v>6</v>
      </c>
      <c r="BB163" s="18">
        <f t="shared" si="111"/>
        <v>4</v>
      </c>
      <c r="BC163" s="18">
        <f t="shared" si="112"/>
        <v>3</v>
      </c>
      <c r="BD163" s="18">
        <f t="shared" si="113"/>
        <v>9</v>
      </c>
      <c r="BE163" s="8">
        <f t="shared" si="115"/>
        <v>-7.2002965873941801E-4</v>
      </c>
    </row>
    <row r="164" spans="1:57" x14ac:dyDescent="0.25">
      <c r="A164" t="str">
        <f t="shared" si="114"/>
        <v/>
      </c>
      <c r="B164" s="1">
        <v>42975</v>
      </c>
      <c r="C164" s="9">
        <f t="shared" si="89"/>
        <v>0.25043683977896514</v>
      </c>
      <c r="D164" s="9">
        <f t="shared" si="90"/>
        <v>0.24721943344821157</v>
      </c>
      <c r="E164" s="9">
        <f t="shared" si="91"/>
        <v>0</v>
      </c>
      <c r="F164" s="9">
        <f t="shared" si="92"/>
        <v>0</v>
      </c>
      <c r="G164" s="9">
        <f t="shared" si="93"/>
        <v>0</v>
      </c>
      <c r="H164" s="9">
        <f t="shared" si="94"/>
        <v>0</v>
      </c>
      <c r="I164" s="9">
        <f t="shared" si="95"/>
        <v>0.25724984863617101</v>
      </c>
      <c r="J164" s="9">
        <f t="shared" si="96"/>
        <v>0.24509387813665226</v>
      </c>
      <c r="K164" s="9">
        <v>0</v>
      </c>
      <c r="L164" s="8">
        <f>+VLOOKUP($B164,NIFTY_50!$B$3:$I$1238,8,0)</f>
        <v>5.6558503811992011E-3</v>
      </c>
      <c r="M164" s="8">
        <f>+VLOOKUP($B164,NIFTY_BANK!$B$3:$I$41238,8,0)</f>
        <v>4.2390686407789424E-3</v>
      </c>
      <c r="N164" s="8">
        <f>+VLOOKUP($B164,NIFTY_IT!$B$3:$I$1238,8,0)</f>
        <v>8.4159217052712787E-3</v>
      </c>
      <c r="O164" s="8">
        <f>+VLOOKUP($B164,NIFTY_PHARMA!$B$3:$I$1238,8,0)</f>
        <v>8.2003583444263395E-3</v>
      </c>
      <c r="P164" s="8">
        <f>+VLOOKUP($B164,NIFTY_FMCG!$B$3:$I$1238,8,0)</f>
        <v>8.0962629622383098E-3</v>
      </c>
      <c r="Q164" s="8">
        <f>+VLOOKUP($B164,NIFTY_METAL!$B$3:$I$1238,8,0)</f>
        <v>3.6320499113955407E-3</v>
      </c>
      <c r="R164" s="8">
        <f>+VLOOKUP($B164,NIFTY_ENERGY!$B$3:$I$1238,8,0)</f>
        <v>2.2730962818640066E-3</v>
      </c>
      <c r="S164" s="8">
        <f>+VLOOKUP($B164,NIFTY_AUTO!$B$3:$I$1238,8,0)</f>
        <v>1.977023019547941E-3</v>
      </c>
      <c r="T164" s="8">
        <v>0</v>
      </c>
      <c r="U164" s="8">
        <f>+VLOOKUP($B164,NIFTY_50!$B$63:$K$1238,10,0)</f>
        <v>2.9949452182179925E-2</v>
      </c>
      <c r="V164" s="8">
        <f>+VLOOKUP($B164,NIFTY_BANK!$B$63:$K$1238,10,0)</f>
        <v>4.5902026193566314E-2</v>
      </c>
      <c r="W164" s="8">
        <f>+VLOOKUP($B164,NIFTY_IT!$B$63:$K$1238,10,0)</f>
        <v>-1.5741351682534432E-3</v>
      </c>
      <c r="X164" s="8">
        <f>+VLOOKUP($B164,NIFTY_PHARMA!$B$63:$K$1238,10,0)</f>
        <v>-1.6962726494110791E-3</v>
      </c>
      <c r="Y164" s="8">
        <f>+VLOOKUP($B164,NIFTY_FMCG!$B$63:$K$1238,10,0)</f>
        <v>-8.3386985424727111E-4</v>
      </c>
      <c r="Z164" s="8">
        <f>+VLOOKUP($B164,NIFTY_METAL!$B$63:$K$1238,10,0)</f>
        <v>0.14262609420591899</v>
      </c>
      <c r="AA164" s="8">
        <f>+VLOOKUP($B164,NIFTY_ENERGY!$B$63:$K$1238,10,0)</f>
        <v>8.4431989292287124E-2</v>
      </c>
      <c r="AB164" s="8">
        <f>+VLOOKUP($B164,NIFTY_AUTO!$B$63:$K$1238,10,0)</f>
        <v>-1.9412981795122075E-2</v>
      </c>
      <c r="AC164" s="8"/>
      <c r="AD164" s="16">
        <f t="shared" si="97"/>
        <v>4.0401261217603034E-2</v>
      </c>
      <c r="AE164" s="8">
        <f t="shared" si="98"/>
        <v>5.0454948618049708E-2</v>
      </c>
      <c r="AF164" s="8">
        <f t="shared" si="99"/>
        <v>7.2331282376930248E-2</v>
      </c>
      <c r="AG164" s="8">
        <f t="shared" si="100"/>
        <v>0.10156470989132738</v>
      </c>
      <c r="AH164" s="8">
        <f t="shared" si="101"/>
        <v>0.10069235134489424</v>
      </c>
      <c r="AI164" s="8">
        <f t="shared" si="102"/>
        <v>9.638114446658777E-2</v>
      </c>
      <c r="AJ164" s="8">
        <f t="shared" si="103"/>
        <v>6.4595134739463184E-2</v>
      </c>
      <c r="AK164" s="8">
        <f t="shared" si="104"/>
        <v>6.2566407902017118E-2</v>
      </c>
      <c r="AL164" s="9">
        <v>0</v>
      </c>
      <c r="AM164" s="17">
        <f t="shared" si="81"/>
        <v>24.751702542501196</v>
      </c>
      <c r="AN164" s="13">
        <f t="shared" si="82"/>
        <v>19.819661448277859</v>
      </c>
      <c r="AO164" s="13">
        <f t="shared" si="83"/>
        <v>13.825276797787643</v>
      </c>
      <c r="AP164" s="13">
        <f t="shared" si="84"/>
        <v>9.8459396090431817</v>
      </c>
      <c r="AQ164" s="13">
        <f t="shared" si="85"/>
        <v>9.9312409199262035</v>
      </c>
      <c r="AR164" s="13">
        <f t="shared" si="86"/>
        <v>10.375473393000306</v>
      </c>
      <c r="AS164" s="13">
        <f t="shared" si="87"/>
        <v>15.481042094476331</v>
      </c>
      <c r="AT164" s="13">
        <f t="shared" si="88"/>
        <v>15.983017621309859</v>
      </c>
      <c r="AU164" s="9">
        <v>0</v>
      </c>
      <c r="AV164" s="18">
        <f t="shared" si="105"/>
        <v>1</v>
      </c>
      <c r="AW164" s="18">
        <f t="shared" si="106"/>
        <v>2</v>
      </c>
      <c r="AX164" s="18">
        <f t="shared" si="107"/>
        <v>5</v>
      </c>
      <c r="AY164" s="18">
        <f t="shared" si="108"/>
        <v>8</v>
      </c>
      <c r="AZ164" s="18">
        <f t="shared" si="109"/>
        <v>7</v>
      </c>
      <c r="BA164" s="18">
        <f t="shared" si="110"/>
        <v>6</v>
      </c>
      <c r="BB164" s="18">
        <f t="shared" si="111"/>
        <v>4</v>
      </c>
      <c r="BC164" s="18">
        <f t="shared" si="112"/>
        <v>3</v>
      </c>
      <c r="BD164" s="18">
        <f t="shared" si="113"/>
        <v>9</v>
      </c>
      <c r="BE164" s="8">
        <f t="shared" si="115"/>
        <v>3.5314787490820943E-3</v>
      </c>
    </row>
    <row r="165" spans="1:57" x14ac:dyDescent="0.25">
      <c r="A165" t="str">
        <f t="shared" si="114"/>
        <v/>
      </c>
      <c r="B165" s="1">
        <v>42976</v>
      </c>
      <c r="C165" s="9">
        <f t="shared" si="89"/>
        <v>0.25043583367656097</v>
      </c>
      <c r="D165" s="9">
        <f t="shared" si="90"/>
        <v>0.24761822008129525</v>
      </c>
      <c r="E165" s="9">
        <f t="shared" si="91"/>
        <v>0</v>
      </c>
      <c r="F165" s="9">
        <f t="shared" si="92"/>
        <v>0</v>
      </c>
      <c r="G165" s="9">
        <f t="shared" si="93"/>
        <v>0</v>
      </c>
      <c r="H165" s="9">
        <f t="shared" si="94"/>
        <v>0</v>
      </c>
      <c r="I165" s="9">
        <f t="shared" si="95"/>
        <v>0.25601239158235611</v>
      </c>
      <c r="J165" s="9">
        <f t="shared" si="96"/>
        <v>0.24593355465978764</v>
      </c>
      <c r="K165" s="9">
        <v>0</v>
      </c>
      <c r="L165" s="8">
        <f>+VLOOKUP($B165,NIFTY_50!$B$3:$I$1238,8,0)</f>
        <v>-1.1777701557582065E-2</v>
      </c>
      <c r="M165" s="8">
        <f>+VLOOKUP($B165,NIFTY_BANK!$B$3:$I$41238,8,0)</f>
        <v>-1.0179635805735665E-2</v>
      </c>
      <c r="N165" s="8">
        <f>+VLOOKUP($B165,NIFTY_IT!$B$3:$I$1238,8,0)</f>
        <v>-8.1474278485313967E-3</v>
      </c>
      <c r="O165" s="8">
        <f>+VLOOKUP($B165,NIFTY_PHARMA!$B$3:$I$1238,8,0)</f>
        <v>-1.2256199129809908E-2</v>
      </c>
      <c r="P165" s="8">
        <f>+VLOOKUP($B165,NIFTY_FMCG!$B$3:$I$1238,8,0)</f>
        <v>-9.0210737562059773E-3</v>
      </c>
      <c r="Q165" s="8">
        <f>+VLOOKUP($B165,NIFTY_METAL!$B$3:$I$1238,8,0)</f>
        <v>-1.1061010667016813E-2</v>
      </c>
      <c r="R165" s="8">
        <f>+VLOOKUP($B165,NIFTY_ENERGY!$B$3:$I$1238,8,0)</f>
        <v>-1.6527427429744002E-2</v>
      </c>
      <c r="S165" s="8">
        <f>+VLOOKUP($B165,NIFTY_AUTO!$B$3:$I$1238,8,0)</f>
        <v>-8.3881291686925818E-3</v>
      </c>
      <c r="T165" s="8">
        <v>0</v>
      </c>
      <c r="U165" s="8">
        <f>+VLOOKUP($B165,NIFTY_50!$B$63:$K$1238,10,0)</f>
        <v>1.8168117448356336E-2</v>
      </c>
      <c r="V165" s="8">
        <f>+VLOOKUP($B165,NIFTY_BANK!$B$63:$K$1238,10,0)</f>
        <v>3.0060021857177155E-2</v>
      </c>
      <c r="W165" s="8">
        <f>+VLOOKUP($B165,NIFTY_IT!$B$63:$K$1238,10,0)</f>
        <v>-4.0856565962973379E-3</v>
      </c>
      <c r="X165" s="8">
        <f>+VLOOKUP($B165,NIFTY_PHARMA!$B$63:$K$1238,10,0)</f>
        <v>-1.775020082546197E-2</v>
      </c>
      <c r="Y165" s="8">
        <f>+VLOOKUP($B165,NIFTY_FMCG!$B$63:$K$1238,10,0)</f>
        <v>-1.2085071473349362E-2</v>
      </c>
      <c r="Z165" s="8">
        <f>+VLOOKUP($B165,NIFTY_METAL!$B$63:$K$1238,10,0)</f>
        <v>0.14751350344570691</v>
      </c>
      <c r="AA165" s="8">
        <f>+VLOOKUP($B165,NIFTY_ENERGY!$B$63:$K$1238,10,0)</f>
        <v>6.9044454599958893E-2</v>
      </c>
      <c r="AB165" s="8">
        <f>+VLOOKUP($B165,NIFTY_AUTO!$B$63:$K$1238,10,0)</f>
        <v>-3.3787761710269648E-2</v>
      </c>
      <c r="AC165" s="8"/>
      <c r="AD165" s="16">
        <f t="shared" si="97"/>
        <v>4.2191080240021051E-2</v>
      </c>
      <c r="AE165" s="8">
        <f t="shared" si="98"/>
        <v>5.1411430763116141E-2</v>
      </c>
      <c r="AF165" s="8">
        <f t="shared" si="99"/>
        <v>7.2569265752876685E-2</v>
      </c>
      <c r="AG165" s="8">
        <f t="shared" si="100"/>
        <v>0.10221573493653412</v>
      </c>
      <c r="AH165" s="8">
        <f t="shared" si="101"/>
        <v>0.10106783594489062</v>
      </c>
      <c r="AI165" s="8">
        <f t="shared" si="102"/>
        <v>9.5702881861716091E-2</v>
      </c>
      <c r="AJ165" s="8">
        <f t="shared" si="103"/>
        <v>6.6898365249772523E-2</v>
      </c>
      <c r="AK165" s="8">
        <f t="shared" si="104"/>
        <v>6.2708140808687807E-2</v>
      </c>
      <c r="AL165" s="9">
        <v>0</v>
      </c>
      <c r="AM165" s="17">
        <f t="shared" si="81"/>
        <v>23.701692260807139</v>
      </c>
      <c r="AN165" s="13">
        <f t="shared" si="82"/>
        <v>19.45092725794018</v>
      </c>
      <c r="AO165" s="13">
        <f t="shared" si="83"/>
        <v>13.779938237288276</v>
      </c>
      <c r="AP165" s="13">
        <f t="shared" si="84"/>
        <v>9.7832295646154801</v>
      </c>
      <c r="AQ165" s="13">
        <f t="shared" si="85"/>
        <v>9.894344631513345</v>
      </c>
      <c r="AR165" s="13">
        <f t="shared" si="86"/>
        <v>10.449006138027583</v>
      </c>
      <c r="AS165" s="13">
        <f t="shared" si="87"/>
        <v>14.948048375567748</v>
      </c>
      <c r="AT165" s="13">
        <f t="shared" si="88"/>
        <v>15.946892813340376</v>
      </c>
      <c r="AU165" s="9">
        <v>0</v>
      </c>
      <c r="AV165" s="18">
        <f t="shared" si="105"/>
        <v>1</v>
      </c>
      <c r="AW165" s="18">
        <f t="shared" si="106"/>
        <v>2</v>
      </c>
      <c r="AX165" s="18">
        <f t="shared" si="107"/>
        <v>5</v>
      </c>
      <c r="AY165" s="18">
        <f t="shared" si="108"/>
        <v>8</v>
      </c>
      <c r="AZ165" s="18">
        <f t="shared" si="109"/>
        <v>7</v>
      </c>
      <c r="BA165" s="18">
        <f t="shared" si="110"/>
        <v>6</v>
      </c>
      <c r="BB165" s="18">
        <f t="shared" si="111"/>
        <v>4</v>
      </c>
      <c r="BC165" s="18">
        <f t="shared" si="112"/>
        <v>3</v>
      </c>
      <c r="BD165" s="18">
        <f t="shared" si="113"/>
        <v>9</v>
      </c>
      <c r="BE165" s="8">
        <f t="shared" si="115"/>
        <v>-1.1773731467456732E-2</v>
      </c>
    </row>
    <row r="166" spans="1:57" x14ac:dyDescent="0.25">
      <c r="A166" t="str">
        <f t="shared" si="114"/>
        <v/>
      </c>
      <c r="B166" s="1">
        <v>42977</v>
      </c>
      <c r="C166" s="9">
        <f t="shared" si="89"/>
        <v>0.25003904607683736</v>
      </c>
      <c r="D166" s="9">
        <f t="shared" si="90"/>
        <v>0.2468413723541556</v>
      </c>
      <c r="E166" s="9">
        <f t="shared" si="91"/>
        <v>0</v>
      </c>
      <c r="F166" s="9">
        <f t="shared" si="92"/>
        <v>0</v>
      </c>
      <c r="G166" s="9">
        <f t="shared" si="93"/>
        <v>0</v>
      </c>
      <c r="H166" s="9">
        <f t="shared" si="94"/>
        <v>0</v>
      </c>
      <c r="I166" s="9">
        <f t="shared" si="95"/>
        <v>0.25817528942266021</v>
      </c>
      <c r="J166" s="9">
        <f t="shared" si="96"/>
        <v>0.2449442921463468</v>
      </c>
      <c r="K166" s="9">
        <v>0</v>
      </c>
      <c r="L166" s="8">
        <f>+VLOOKUP($B166,NIFTY_50!$B$3:$I$1238,8,0)</f>
        <v>9.0189413079762026E-3</v>
      </c>
      <c r="M166" s="8">
        <f>+VLOOKUP($B166,NIFTY_BANK!$B$3:$I$41238,8,0)</f>
        <v>7.4495574817801113E-3</v>
      </c>
      <c r="N166" s="8">
        <f>+VLOOKUP($B166,NIFTY_IT!$B$3:$I$1238,8,0)</f>
        <v>-1.2135922330097637E-3</v>
      </c>
      <c r="O166" s="8">
        <f>+VLOOKUP($B166,NIFTY_PHARMA!$B$3:$I$1238,8,0)</f>
        <v>4.8505084573691182E-3</v>
      </c>
      <c r="P166" s="8">
        <f>+VLOOKUP($B166,NIFTY_FMCG!$B$3:$I$1238,8,0)</f>
        <v>8.9445543390977988E-3</v>
      </c>
      <c r="Q166" s="8">
        <f>+VLOOKUP($B166,NIFTY_METAL!$B$3:$I$1238,8,0)</f>
        <v>2.6456744035059154E-2</v>
      </c>
      <c r="R166" s="8">
        <f>+VLOOKUP($B166,NIFTY_ENERGY!$B$3:$I$1238,8,0)</f>
        <v>1.9158290225546271E-2</v>
      </c>
      <c r="S166" s="8">
        <f>+VLOOKUP($B166,NIFTY_AUTO!$B$3:$I$1238,8,0)</f>
        <v>6.5549578711858736E-3</v>
      </c>
      <c r="T166" s="8">
        <v>0</v>
      </c>
      <c r="U166" s="8">
        <f>+VLOOKUP($B166,NIFTY_50!$B$63:$K$1238,10,0)</f>
        <v>2.79011241563627E-2</v>
      </c>
      <c r="V166" s="8">
        <f>+VLOOKUP($B166,NIFTY_BANK!$B$63:$K$1238,10,0)</f>
        <v>4.283756217784962E-2</v>
      </c>
      <c r="W166" s="8">
        <f>+VLOOKUP($B166,NIFTY_IT!$B$63:$K$1238,10,0)</f>
        <v>-7.7023461658487502E-3</v>
      </c>
      <c r="X166" s="8">
        <f>+VLOOKUP($B166,NIFTY_PHARMA!$B$63:$K$1238,10,0)</f>
        <v>-2.1625599261940076E-2</v>
      </c>
      <c r="Y166" s="8">
        <f>+VLOOKUP($B166,NIFTY_FMCG!$B$63:$K$1238,10,0)</f>
        <v>-1.5589081146154871E-2</v>
      </c>
      <c r="Z166" s="8">
        <f>+VLOOKUP($B166,NIFTY_METAL!$B$63:$K$1238,10,0)</f>
        <v>0.18833598114077787</v>
      </c>
      <c r="AA166" s="8">
        <f>+VLOOKUP($B166,NIFTY_ENERGY!$B$63:$K$1238,10,0)</f>
        <v>0.10143514711741397</v>
      </c>
      <c r="AB166" s="8">
        <f>+VLOOKUP($B166,NIFTY_AUTO!$B$63:$K$1238,10,0)</f>
        <v>-2.9307123412186442E-2</v>
      </c>
      <c r="AC166" s="8"/>
      <c r="AD166" s="16">
        <f t="shared" si="97"/>
        <v>4.3054915122240453E-2</v>
      </c>
      <c r="AE166" s="8">
        <f t="shared" si="98"/>
        <v>5.1571827675749471E-2</v>
      </c>
      <c r="AF166" s="8">
        <f t="shared" si="99"/>
        <v>7.2536127710785644E-2</v>
      </c>
      <c r="AG166" s="8">
        <f t="shared" si="100"/>
        <v>0.10193962755956543</v>
      </c>
      <c r="AH166" s="8">
        <f t="shared" si="101"/>
        <v>0.10068034370959729</v>
      </c>
      <c r="AI166" s="8">
        <f t="shared" si="102"/>
        <v>9.7961990689180906E-2</v>
      </c>
      <c r="AJ166" s="8">
        <f t="shared" si="103"/>
        <v>6.8139161232237969E-2</v>
      </c>
      <c r="AK166" s="8">
        <f t="shared" si="104"/>
        <v>6.3057234430375406E-2</v>
      </c>
      <c r="AL166" s="9">
        <v>0</v>
      </c>
      <c r="AM166" s="17">
        <f t="shared" si="81"/>
        <v>23.226151930873041</v>
      </c>
      <c r="AN166" s="13">
        <f t="shared" si="82"/>
        <v>19.390431657519638</v>
      </c>
      <c r="AO166" s="13">
        <f t="shared" si="83"/>
        <v>13.786233585382124</v>
      </c>
      <c r="AP166" s="13">
        <f t="shared" si="84"/>
        <v>9.8097278157670278</v>
      </c>
      <c r="AQ166" s="13">
        <f t="shared" si="85"/>
        <v>9.9324253687929716</v>
      </c>
      <c r="AR166" s="13">
        <f t="shared" si="86"/>
        <v>10.208040822412991</v>
      </c>
      <c r="AS166" s="13">
        <f t="shared" si="87"/>
        <v>14.675848394900413</v>
      </c>
      <c r="AT166" s="13">
        <f t="shared" si="88"/>
        <v>15.858608596356207</v>
      </c>
      <c r="AU166" s="9">
        <v>0</v>
      </c>
      <c r="AV166" s="18">
        <f t="shared" si="105"/>
        <v>1</v>
      </c>
      <c r="AW166" s="18">
        <f t="shared" si="106"/>
        <v>2</v>
      </c>
      <c r="AX166" s="18">
        <f t="shared" si="107"/>
        <v>5</v>
      </c>
      <c r="AY166" s="18">
        <f t="shared" si="108"/>
        <v>8</v>
      </c>
      <c r="AZ166" s="18">
        <f t="shared" si="109"/>
        <v>7</v>
      </c>
      <c r="BA166" s="18">
        <f t="shared" si="110"/>
        <v>6</v>
      </c>
      <c r="BB166" s="18">
        <f t="shared" si="111"/>
        <v>4</v>
      </c>
      <c r="BC166" s="18">
        <f t="shared" si="112"/>
        <v>3</v>
      </c>
      <c r="BD166" s="18">
        <f t="shared" si="113"/>
        <v>9</v>
      </c>
      <c r="BE166" s="8">
        <f t="shared" si="115"/>
        <v>1.0620156038551555E-2</v>
      </c>
    </row>
    <row r="167" spans="1:57" x14ac:dyDescent="0.25">
      <c r="A167" t="str">
        <f t="shared" si="114"/>
        <v>Y</v>
      </c>
      <c r="B167" s="1">
        <v>42978</v>
      </c>
      <c r="C167" s="9">
        <f t="shared" si="89"/>
        <v>0.25</v>
      </c>
      <c r="D167" s="9">
        <f t="shared" si="90"/>
        <v>0.25</v>
      </c>
      <c r="E167" s="9">
        <f t="shared" si="91"/>
        <v>0</v>
      </c>
      <c r="F167" s="9">
        <f t="shared" si="92"/>
        <v>0</v>
      </c>
      <c r="G167" s="9">
        <f t="shared" si="93"/>
        <v>0</v>
      </c>
      <c r="H167" s="9">
        <f t="shared" si="94"/>
        <v>0</v>
      </c>
      <c r="I167" s="9">
        <f t="shared" si="95"/>
        <v>0.25</v>
      </c>
      <c r="J167" s="9">
        <f t="shared" si="96"/>
        <v>0.25</v>
      </c>
      <c r="K167" s="9">
        <v>0</v>
      </c>
      <c r="L167" s="8">
        <f>+VLOOKUP($B167,NIFTY_50!$B$3:$I$1238,8,0)</f>
        <v>3.3891789081785806E-3</v>
      </c>
      <c r="M167" s="8">
        <f>+VLOOKUP($B167,NIFTY_BANK!$B$3:$I$41238,8,0)</f>
        <v>3.9903409067543194E-4</v>
      </c>
      <c r="N167" s="8">
        <f>+VLOOKUP($B167,NIFTY_IT!$B$3:$I$1238,8,0)</f>
        <v>6.194458342267728E-3</v>
      </c>
      <c r="O167" s="8">
        <f>+VLOOKUP($B167,NIFTY_PHARMA!$B$3:$I$1238,8,0)</f>
        <v>-5.4332878688376773E-3</v>
      </c>
      <c r="P167" s="8">
        <f>+VLOOKUP($B167,NIFTY_FMCG!$B$3:$I$1238,8,0)</f>
        <v>2.9913210924048528E-3</v>
      </c>
      <c r="Q167" s="8">
        <f>+VLOOKUP($B167,NIFTY_METAL!$B$3:$I$1238,8,0)</f>
        <v>-9.631418549824744E-4</v>
      </c>
      <c r="R167" s="8">
        <f>+VLOOKUP($B167,NIFTY_ENERGY!$B$3:$I$1238,8,0)</f>
        <v>1.2063909861236066E-2</v>
      </c>
      <c r="S167" s="8">
        <f>+VLOOKUP($B167,NIFTY_AUTO!$B$3:$I$1238,8,0)</f>
        <v>3.8023712798005427E-3</v>
      </c>
      <c r="T167" s="8">
        <v>0</v>
      </c>
      <c r="U167" s="8">
        <f>+VLOOKUP($B167,NIFTY_50!$B$63:$K$1238,10,0)</f>
        <v>2.7389029885533711E-2</v>
      </c>
      <c r="V167" s="8">
        <f>+VLOOKUP($B167,NIFTY_BANK!$B$63:$K$1238,10,0)</f>
        <v>4.0319303213993907E-2</v>
      </c>
      <c r="W167" s="8">
        <f>+VLOOKUP($B167,NIFTY_IT!$B$63:$K$1238,10,0)</f>
        <v>-4.7789837825610304E-3</v>
      </c>
      <c r="X167" s="8">
        <f>+VLOOKUP($B167,NIFTY_PHARMA!$B$63:$K$1238,10,0)</f>
        <v>-4.268641879261359E-2</v>
      </c>
      <c r="Y167" s="8">
        <f>+VLOOKUP($B167,NIFTY_FMCG!$B$63:$K$1238,10,0)</f>
        <v>-2.1468314540351585E-2</v>
      </c>
      <c r="Z167" s="8">
        <f>+VLOOKUP($B167,NIFTY_METAL!$B$63:$K$1238,10,0)</f>
        <v>0.18865342842971256</v>
      </c>
      <c r="AA167" s="8">
        <f>+VLOOKUP($B167,NIFTY_ENERGY!$B$63:$K$1238,10,0)</f>
        <v>0.11843453780762148</v>
      </c>
      <c r="AB167" s="8">
        <f>+VLOOKUP($B167,NIFTY_AUTO!$B$63:$K$1238,10,0)</f>
        <v>-3.012648279139496E-2</v>
      </c>
      <c r="AC167" s="8"/>
      <c r="AD167" s="16">
        <f t="shared" si="97"/>
        <v>4.3017995838518126E-2</v>
      </c>
      <c r="AE167" s="8">
        <f t="shared" si="98"/>
        <v>5.1528609173245553E-2</v>
      </c>
      <c r="AF167" s="8">
        <f t="shared" si="99"/>
        <v>7.2730478629947276E-2</v>
      </c>
      <c r="AG167" s="8">
        <f t="shared" si="100"/>
        <v>0.10065240178175457</v>
      </c>
      <c r="AH167" s="8">
        <f t="shared" si="101"/>
        <v>0.10030693753623869</v>
      </c>
      <c r="AI167" s="8">
        <f t="shared" si="102"/>
        <v>9.795106861973181E-2</v>
      </c>
      <c r="AJ167" s="8">
        <f t="shared" si="103"/>
        <v>6.8728843268447276E-2</v>
      </c>
      <c r="AK167" s="8">
        <f t="shared" si="104"/>
        <v>6.2994154942438624E-2</v>
      </c>
      <c r="AL167" s="9">
        <v>0</v>
      </c>
      <c r="AM167" s="17">
        <f t="shared" si="81"/>
        <v>23.24608528379196</v>
      </c>
      <c r="AN167" s="13">
        <f t="shared" si="82"/>
        <v>19.406694961198671</v>
      </c>
      <c r="AO167" s="13">
        <f t="shared" si="83"/>
        <v>13.749393910742711</v>
      </c>
      <c r="AP167" s="13">
        <f t="shared" si="84"/>
        <v>9.9351826911026748</v>
      </c>
      <c r="AQ167" s="13">
        <f t="shared" si="85"/>
        <v>9.969400168744281</v>
      </c>
      <c r="AR167" s="13">
        <f t="shared" si="86"/>
        <v>10.209179073708997</v>
      </c>
      <c r="AS167" s="13">
        <f t="shared" si="87"/>
        <v>14.549932058278799</v>
      </c>
      <c r="AT167" s="13">
        <f t="shared" si="88"/>
        <v>15.874488687303726</v>
      </c>
      <c r="AU167" s="9">
        <v>0</v>
      </c>
      <c r="AV167" s="18">
        <f t="shared" si="105"/>
        <v>1</v>
      </c>
      <c r="AW167" s="18">
        <f t="shared" si="106"/>
        <v>2</v>
      </c>
      <c r="AX167" s="18">
        <f t="shared" si="107"/>
        <v>5</v>
      </c>
      <c r="AY167" s="18">
        <f t="shared" si="108"/>
        <v>8</v>
      </c>
      <c r="AZ167" s="18">
        <f t="shared" si="109"/>
        <v>7</v>
      </c>
      <c r="BA167" s="18">
        <f t="shared" si="110"/>
        <v>6</v>
      </c>
      <c r="BB167" s="18">
        <f t="shared" si="111"/>
        <v>4</v>
      </c>
      <c r="BC167" s="18">
        <f t="shared" si="112"/>
        <v>3</v>
      </c>
      <c r="BD167" s="18">
        <f t="shared" si="113"/>
        <v>9</v>
      </c>
      <c r="BE167" s="8">
        <f t="shared" si="115"/>
        <v>4.9918977453449745E-3</v>
      </c>
    </row>
    <row r="168" spans="1:57" x14ac:dyDescent="0.25">
      <c r="A168" t="str">
        <f t="shared" si="114"/>
        <v/>
      </c>
      <c r="B168" s="1">
        <v>42979</v>
      </c>
      <c r="C168" s="9">
        <f t="shared" si="89"/>
        <v>0.24920863320209857</v>
      </c>
      <c r="D168" s="9">
        <f t="shared" si="90"/>
        <v>0.24897491894190191</v>
      </c>
      <c r="E168" s="9">
        <f t="shared" si="91"/>
        <v>0</v>
      </c>
      <c r="F168" s="9">
        <f t="shared" si="92"/>
        <v>0</v>
      </c>
      <c r="G168" s="9">
        <f t="shared" si="93"/>
        <v>0</v>
      </c>
      <c r="H168" s="9">
        <f t="shared" si="94"/>
        <v>0</v>
      </c>
      <c r="I168" s="9">
        <f t="shared" si="95"/>
        <v>0.24909156008923564</v>
      </c>
      <c r="J168" s="9">
        <f t="shared" si="96"/>
        <v>0.25272488776676383</v>
      </c>
      <c r="K168" s="9">
        <v>0</v>
      </c>
      <c r="L168" s="8">
        <f>+VLOOKUP($B168,NIFTY_50!$B$3:$I$1238,8,0)</f>
        <v>5.6967704856873969E-3</v>
      </c>
      <c r="M168" s="8">
        <f>+VLOOKUP($B168,NIFTY_BANK!$B$3:$I$41238,8,0)</f>
        <v>4.7536022106717812E-3</v>
      </c>
      <c r="N168" s="8">
        <f>+VLOOKUP($B168,NIFTY_IT!$B$3:$I$1238,8,0)</f>
        <v>-4.1531503800346092E-3</v>
      </c>
      <c r="O168" s="8">
        <f>+VLOOKUP($B168,NIFTY_PHARMA!$B$3:$I$1238,8,0)</f>
        <v>2.3934354065905605E-2</v>
      </c>
      <c r="P168" s="8">
        <f>+VLOOKUP($B168,NIFTY_FMCG!$B$3:$I$1238,8,0)</f>
        <v>2.7811216610089673E-3</v>
      </c>
      <c r="Q168" s="8">
        <f>+VLOOKUP($B168,NIFTY_METAL!$B$3:$I$1238,8,0)</f>
        <v>1.9468466264730866E-2</v>
      </c>
      <c r="R168" s="8">
        <f>+VLOOKUP($B168,NIFTY_ENERGY!$B$3:$I$1238,8,0)</f>
        <v>5.2243147364459119E-3</v>
      </c>
      <c r="S168" s="8">
        <f>+VLOOKUP($B168,NIFTY_AUTO!$B$3:$I$1238,8,0)</f>
        <v>1.9886832099731189E-2</v>
      </c>
      <c r="T168" s="8">
        <v>0</v>
      </c>
      <c r="U168" s="8">
        <f>+VLOOKUP($B168,NIFTY_50!$B$63:$K$1238,10,0)</f>
        <v>3.0935080774358914E-2</v>
      </c>
      <c r="V168" s="8">
        <f>+VLOOKUP($B168,NIFTY_BANK!$B$63:$K$1238,10,0)</f>
        <v>4.1533015198436329E-2</v>
      </c>
      <c r="W168" s="8">
        <f>+VLOOKUP($B168,NIFTY_IT!$B$63:$K$1238,10,0)</f>
        <v>-1.3667789232746475E-2</v>
      </c>
      <c r="X168" s="8">
        <f>+VLOOKUP($B168,NIFTY_PHARMA!$B$63:$K$1238,10,0)</f>
        <v>-1.712397410547406E-2</v>
      </c>
      <c r="Y168" s="8">
        <f>+VLOOKUP($B168,NIFTY_FMCG!$B$63:$K$1238,10,0)</f>
        <v>-1.9821684294559549E-2</v>
      </c>
      <c r="Z168" s="8">
        <f>+VLOOKUP($B168,NIFTY_METAL!$B$63:$K$1238,10,0)</f>
        <v>0.21905056866085104</v>
      </c>
      <c r="AA168" s="8">
        <f>+VLOOKUP($B168,NIFTY_ENERGY!$B$63:$K$1238,10,0)</f>
        <v>0.11962579617834401</v>
      </c>
      <c r="AB168" s="8">
        <f>+VLOOKUP($B168,NIFTY_AUTO!$B$63:$K$1238,10,0)</f>
        <v>-1.3161073856098993E-2</v>
      </c>
      <c r="AC168" s="8"/>
      <c r="AD168" s="16">
        <f t="shared" si="97"/>
        <v>4.3296976550604938E-2</v>
      </c>
      <c r="AE168" s="8">
        <f t="shared" si="98"/>
        <v>5.1607817413508499E-2</v>
      </c>
      <c r="AF168" s="8">
        <f t="shared" si="99"/>
        <v>7.2675801180777003E-2</v>
      </c>
      <c r="AG168" s="8">
        <f t="shared" si="100"/>
        <v>0.1035302379866119</v>
      </c>
      <c r="AH168" s="8">
        <f t="shared" si="101"/>
        <v>0.10034382760654906</v>
      </c>
      <c r="AI168" s="8">
        <f t="shared" si="102"/>
        <v>9.8889735521830252E-2</v>
      </c>
      <c r="AJ168" s="8">
        <f t="shared" si="103"/>
        <v>6.877248724318144E-2</v>
      </c>
      <c r="AK168" s="8">
        <f t="shared" si="104"/>
        <v>6.6103005630989878E-2</v>
      </c>
      <c r="AL168" s="9">
        <v>0</v>
      </c>
      <c r="AM168" s="17">
        <f t="shared" si="81"/>
        <v>23.096300935267688</v>
      </c>
      <c r="AN168" s="13">
        <f t="shared" si="82"/>
        <v>19.376909354400386</v>
      </c>
      <c r="AO168" s="13">
        <f t="shared" si="83"/>
        <v>13.759738231334468</v>
      </c>
      <c r="AP168" s="13">
        <f t="shared" si="84"/>
        <v>9.659013824823969</v>
      </c>
      <c r="AQ168" s="13">
        <f t="shared" si="85"/>
        <v>9.9657350516967309</v>
      </c>
      <c r="AR168" s="13">
        <f t="shared" si="86"/>
        <v>10.112272974774481</v>
      </c>
      <c r="AS168" s="13">
        <f t="shared" si="87"/>
        <v>14.540698469490742</v>
      </c>
      <c r="AT168" s="13">
        <f t="shared" si="88"/>
        <v>15.127905160354585</v>
      </c>
      <c r="AU168" s="9">
        <v>0</v>
      </c>
      <c r="AV168" s="18">
        <f t="shared" si="105"/>
        <v>1</v>
      </c>
      <c r="AW168" s="18">
        <f t="shared" si="106"/>
        <v>2</v>
      </c>
      <c r="AX168" s="18">
        <f t="shared" si="107"/>
        <v>5</v>
      </c>
      <c r="AY168" s="18">
        <f t="shared" si="108"/>
        <v>8</v>
      </c>
      <c r="AZ168" s="18">
        <f t="shared" si="109"/>
        <v>7</v>
      </c>
      <c r="BA168" s="18">
        <f t="shared" si="110"/>
        <v>6</v>
      </c>
      <c r="BB168" s="18">
        <f t="shared" si="111"/>
        <v>4</v>
      </c>
      <c r="BC168" s="18">
        <f t="shared" si="112"/>
        <v>3</v>
      </c>
      <c r="BD168" s="18">
        <f t="shared" si="113"/>
        <v>9</v>
      </c>
      <c r="BE168" s="8">
        <f t="shared" si="115"/>
        <v>8.8903798831340697E-3</v>
      </c>
    </row>
    <row r="169" spans="1:57" x14ac:dyDescent="0.25">
      <c r="A169" t="str">
        <f t="shared" si="114"/>
        <v/>
      </c>
      <c r="B169" s="1">
        <v>42982</v>
      </c>
      <c r="C169" s="9">
        <f t="shared" si="89"/>
        <v>0.24930892898818749</v>
      </c>
      <c r="D169" s="9">
        <f t="shared" si="90"/>
        <v>0.24859947145176137</v>
      </c>
      <c r="E169" s="9">
        <f t="shared" si="91"/>
        <v>0</v>
      </c>
      <c r="F169" s="9">
        <f t="shared" si="92"/>
        <v>0</v>
      </c>
      <c r="G169" s="9">
        <f t="shared" si="93"/>
        <v>0</v>
      </c>
      <c r="H169" s="9">
        <f t="shared" si="94"/>
        <v>0</v>
      </c>
      <c r="I169" s="9">
        <f t="shared" si="95"/>
        <v>0.24969770134559555</v>
      </c>
      <c r="J169" s="9">
        <f t="shared" si="96"/>
        <v>0.25239389821445557</v>
      </c>
      <c r="K169" s="9">
        <v>0</v>
      </c>
      <c r="L169" s="8">
        <f>+VLOOKUP($B169,NIFTY_50!$B$3:$I$1238,8,0)</f>
        <v>-6.1707972409367207E-3</v>
      </c>
      <c r="M169" s="8">
        <f>+VLOOKUP($B169,NIFTY_BANK!$B$3:$I$41238,8,0)</f>
        <v>-8.0686747974134665E-3</v>
      </c>
      <c r="N169" s="8">
        <f>+VLOOKUP($B169,NIFTY_IT!$B$3:$I$1238,8,0)</f>
        <v>-6.909571635090872E-3</v>
      </c>
      <c r="O169" s="8">
        <f>+VLOOKUP($B169,NIFTY_PHARMA!$B$3:$I$1238,8,0)</f>
        <v>-1.488144449222073E-4</v>
      </c>
      <c r="P169" s="8">
        <f>+VLOOKUP($B169,NIFTY_FMCG!$B$3:$I$1238,8,0)</f>
        <v>-5.6105069142211583E-3</v>
      </c>
      <c r="Q169" s="8">
        <f>+VLOOKUP($B169,NIFTY_METAL!$B$3:$I$1238,8,0)</f>
        <v>1.4396612561748956E-3</v>
      </c>
      <c r="R169" s="8">
        <f>+VLOOKUP($B169,NIFTY_ENERGY!$B$3:$I$1238,8,0)</f>
        <v>-4.1531914893616628E-3</v>
      </c>
      <c r="S169" s="8">
        <f>+VLOOKUP($B169,NIFTY_AUTO!$B$3:$I$1238,8,0)</f>
        <v>-7.871687793340576E-3</v>
      </c>
      <c r="T169" s="8">
        <v>0</v>
      </c>
      <c r="U169" s="8">
        <f>+VLOOKUP($B169,NIFTY_50!$B$63:$K$1238,10,0)</f>
        <v>2.8608042834240566E-2</v>
      </c>
      <c r="V169" s="8">
        <f>+VLOOKUP($B169,NIFTY_BANK!$B$63:$K$1238,10,0)</f>
        <v>3.5041829836481408E-2</v>
      </c>
      <c r="W169" s="8">
        <f>+VLOOKUP($B169,NIFTY_IT!$B$63:$K$1238,10,0)</f>
        <v>-4.2678035251782043E-2</v>
      </c>
      <c r="X169" s="8">
        <f>+VLOOKUP($B169,NIFTY_PHARMA!$B$63:$K$1238,10,0)</f>
        <v>-1.1362893205153379E-2</v>
      </c>
      <c r="Y169" s="8">
        <f>+VLOOKUP($B169,NIFTY_FMCG!$B$63:$K$1238,10,0)</f>
        <v>-1.1416445053321511E-2</v>
      </c>
      <c r="Z169" s="8">
        <f>+VLOOKUP($B169,NIFTY_METAL!$B$63:$K$1238,10,0)</f>
        <v>0.22483082447175806</v>
      </c>
      <c r="AA169" s="8">
        <f>+VLOOKUP($B169,NIFTY_ENERGY!$B$63:$K$1238,10,0)</f>
        <v>0.12731219812968853</v>
      </c>
      <c r="AB169" s="8">
        <f>+VLOOKUP($B169,NIFTY_AUTO!$B$63:$K$1238,10,0)</f>
        <v>-1.021273457950822E-2</v>
      </c>
      <c r="AC169" s="8"/>
      <c r="AD169" s="16">
        <f t="shared" si="97"/>
        <v>4.3583873766246131E-2</v>
      </c>
      <c r="AE169" s="8">
        <f t="shared" si="98"/>
        <v>5.2278063275944676E-2</v>
      </c>
      <c r="AF169" s="8">
        <f t="shared" si="99"/>
        <v>6.9037418969452896E-2</v>
      </c>
      <c r="AG169" s="8">
        <f t="shared" si="100"/>
        <v>0.10336607853910486</v>
      </c>
      <c r="AH169" s="8">
        <f t="shared" si="101"/>
        <v>9.9526347893094946E-2</v>
      </c>
      <c r="AI169" s="8">
        <f t="shared" si="102"/>
        <v>9.8684288098837225E-2</v>
      </c>
      <c r="AJ169" s="8">
        <f t="shared" si="103"/>
        <v>6.7828380815898412E-2</v>
      </c>
      <c r="AK169" s="8">
        <f t="shared" si="104"/>
        <v>6.5690752719967119E-2</v>
      </c>
      <c r="AL169" s="9">
        <v>0</v>
      </c>
      <c r="AM169" s="17">
        <f t="shared" si="81"/>
        <v>22.944266160537058</v>
      </c>
      <c r="AN169" s="13">
        <f t="shared" si="82"/>
        <v>19.128482145973869</v>
      </c>
      <c r="AO169" s="13">
        <f t="shared" si="83"/>
        <v>14.484898406217528</v>
      </c>
      <c r="AP169" s="13">
        <f t="shared" si="84"/>
        <v>9.6743536577300429</v>
      </c>
      <c r="AQ169" s="13">
        <f t="shared" si="85"/>
        <v>10.047590624687025</v>
      </c>
      <c r="AR169" s="13">
        <f t="shared" si="86"/>
        <v>10.133325367848327</v>
      </c>
      <c r="AS169" s="13">
        <f t="shared" si="87"/>
        <v>14.743091136352296</v>
      </c>
      <c r="AT169" s="13">
        <f t="shared" si="88"/>
        <v>15.222842768492796</v>
      </c>
      <c r="AU169" s="9">
        <v>0</v>
      </c>
      <c r="AV169" s="18">
        <f t="shared" si="105"/>
        <v>1</v>
      </c>
      <c r="AW169" s="18">
        <f t="shared" si="106"/>
        <v>2</v>
      </c>
      <c r="AX169" s="18">
        <f t="shared" si="107"/>
        <v>5</v>
      </c>
      <c r="AY169" s="18">
        <f t="shared" si="108"/>
        <v>8</v>
      </c>
      <c r="AZ169" s="18">
        <f t="shared" si="109"/>
        <v>7</v>
      </c>
      <c r="BA169" s="18">
        <f t="shared" si="110"/>
        <v>6</v>
      </c>
      <c r="BB169" s="18">
        <f t="shared" si="111"/>
        <v>4</v>
      </c>
      <c r="BC169" s="18">
        <f t="shared" si="112"/>
        <v>3</v>
      </c>
      <c r="BD169" s="18">
        <f t="shared" si="113"/>
        <v>9</v>
      </c>
      <c r="BE169" s="8">
        <f t="shared" si="115"/>
        <v>-6.5706099613771409E-3</v>
      </c>
    </row>
    <row r="170" spans="1:57" x14ac:dyDescent="0.25">
      <c r="A170" t="str">
        <f t="shared" si="114"/>
        <v/>
      </c>
      <c r="B170" s="1">
        <v>42983</v>
      </c>
      <c r="C170" s="9">
        <f t="shared" si="89"/>
        <v>0.24910070110195079</v>
      </c>
      <c r="D170" s="9">
        <f t="shared" si="90"/>
        <v>0.24834324115733708</v>
      </c>
      <c r="E170" s="9">
        <f t="shared" si="91"/>
        <v>0</v>
      </c>
      <c r="F170" s="9">
        <f t="shared" si="92"/>
        <v>0</v>
      </c>
      <c r="G170" s="9">
        <f t="shared" si="93"/>
        <v>0</v>
      </c>
      <c r="H170" s="9">
        <f t="shared" si="94"/>
        <v>0</v>
      </c>
      <c r="I170" s="9">
        <f t="shared" si="95"/>
        <v>0.25060283344521506</v>
      </c>
      <c r="J170" s="9">
        <f t="shared" si="96"/>
        <v>0.25195322429549694</v>
      </c>
      <c r="K170" s="9">
        <v>0</v>
      </c>
      <c r="L170" s="8">
        <f>+VLOOKUP($B170,NIFTY_50!$B$3:$I$1238,8,0)</f>
        <v>3.9695950206046771E-3</v>
      </c>
      <c r="M170" s="8">
        <f>+VLOOKUP($B170,NIFTY_BANK!$B$3:$I$41238,8,0)</f>
        <v>3.7731800955982386E-3</v>
      </c>
      <c r="N170" s="8">
        <f>+VLOOKUP($B170,NIFTY_IT!$B$3:$I$1238,8,0)</f>
        <v>5.3870280364880507E-3</v>
      </c>
      <c r="O170" s="8">
        <f>+VLOOKUP($B170,NIFTY_PHARMA!$B$3:$I$1238,8,0)</f>
        <v>-3.6106655200736082E-3</v>
      </c>
      <c r="P170" s="8">
        <f>+VLOOKUP($B170,NIFTY_FMCG!$B$3:$I$1238,8,0)</f>
        <v>2.2320215516238306E-3</v>
      </c>
      <c r="Q170" s="8">
        <f>+VLOOKUP($B170,NIFTY_METAL!$B$3:$I$1238,8,0)</f>
        <v>8.6114556319765168E-3</v>
      </c>
      <c r="R170" s="8">
        <f>+VLOOKUP($B170,NIFTY_ENERGY!$B$3:$I$1238,8,0)</f>
        <v>8.4511749981959206E-3</v>
      </c>
      <c r="S170" s="8">
        <f>+VLOOKUP($B170,NIFTY_AUTO!$B$3:$I$1238,8,0)</f>
        <v>3.0544587648067001E-3</v>
      </c>
      <c r="T170" s="8">
        <v>0</v>
      </c>
      <c r="U170" s="8">
        <f>+VLOOKUP($B170,NIFTY_50!$B$63:$K$1238,10,0)</f>
        <v>2.9832676248719547E-2</v>
      </c>
      <c r="V170" s="8">
        <f>+VLOOKUP($B170,NIFTY_BANK!$B$63:$K$1238,10,0)</f>
        <v>3.2275173808164803E-2</v>
      </c>
      <c r="W170" s="8">
        <f>+VLOOKUP($B170,NIFTY_IT!$B$63:$K$1238,10,0)</f>
        <v>-1.8993108281742832E-2</v>
      </c>
      <c r="X170" s="8">
        <f>+VLOOKUP($B170,NIFTY_PHARMA!$B$63:$K$1238,10,0)</f>
        <v>-2.8272521517544558E-2</v>
      </c>
      <c r="Y170" s="8">
        <f>+VLOOKUP($B170,NIFTY_FMCG!$B$63:$K$1238,10,0)</f>
        <v>-1.5680398929478256E-2</v>
      </c>
      <c r="Z170" s="8">
        <f>+VLOOKUP($B170,NIFTY_METAL!$B$63:$K$1238,10,0)</f>
        <v>0.22336188180590466</v>
      </c>
      <c r="AA170" s="8">
        <f>+VLOOKUP($B170,NIFTY_ENERGY!$B$63:$K$1238,10,0)</f>
        <v>0.1260677416892162</v>
      </c>
      <c r="AB170" s="8">
        <f>+VLOOKUP($B170,NIFTY_AUTO!$B$63:$K$1238,10,0)</f>
        <v>-1.4745161172295074E-2</v>
      </c>
      <c r="AC170" s="8"/>
      <c r="AD170" s="16">
        <f t="shared" si="97"/>
        <v>4.3662824253307822E-2</v>
      </c>
      <c r="AE170" s="8">
        <f t="shared" si="98"/>
        <v>5.2043226720106264E-2</v>
      </c>
      <c r="AF170" s="8">
        <f t="shared" si="99"/>
        <v>6.6795434995918668E-2</v>
      </c>
      <c r="AG170" s="8">
        <f t="shared" si="100"/>
        <v>0.10247311240236501</v>
      </c>
      <c r="AH170" s="8">
        <f t="shared" si="101"/>
        <v>9.9327926127387056E-2</v>
      </c>
      <c r="AI170" s="8">
        <f t="shared" si="102"/>
        <v>9.8612872933346404E-2</v>
      </c>
      <c r="AJ170" s="8">
        <f t="shared" si="103"/>
        <v>6.7713047186783476E-2</v>
      </c>
      <c r="AK170" s="8">
        <f t="shared" si="104"/>
        <v>6.5300996137717685E-2</v>
      </c>
      <c r="AL170" s="9">
        <v>0</v>
      </c>
      <c r="AM170" s="17">
        <f t="shared" si="81"/>
        <v>22.902778670443922</v>
      </c>
      <c r="AN170" s="13">
        <f t="shared" si="82"/>
        <v>19.21479629574279</v>
      </c>
      <c r="AO170" s="13">
        <f t="shared" si="83"/>
        <v>14.971082979863848</v>
      </c>
      <c r="AP170" s="13">
        <f t="shared" si="84"/>
        <v>9.7586574327269169</v>
      </c>
      <c r="AQ170" s="13">
        <f t="shared" si="85"/>
        <v>10.067662126736746</v>
      </c>
      <c r="AR170" s="13">
        <f t="shared" si="86"/>
        <v>10.140663893606586</v>
      </c>
      <c r="AS170" s="13">
        <f t="shared" si="87"/>
        <v>14.768202607121546</v>
      </c>
      <c r="AT170" s="13">
        <f t="shared" si="88"/>
        <v>15.313702074177129</v>
      </c>
      <c r="AU170" s="9">
        <v>0</v>
      </c>
      <c r="AV170" s="18">
        <f t="shared" si="105"/>
        <v>1</v>
      </c>
      <c r="AW170" s="18">
        <f t="shared" si="106"/>
        <v>2</v>
      </c>
      <c r="AX170" s="18">
        <f t="shared" si="107"/>
        <v>4</v>
      </c>
      <c r="AY170" s="18">
        <f t="shared" si="108"/>
        <v>8</v>
      </c>
      <c r="AZ170" s="18">
        <f t="shared" si="109"/>
        <v>7</v>
      </c>
      <c r="BA170" s="18">
        <f t="shared" si="110"/>
        <v>6</v>
      </c>
      <c r="BB170" s="18">
        <f t="shared" si="111"/>
        <v>5</v>
      </c>
      <c r="BC170" s="18">
        <f t="shared" si="112"/>
        <v>3</v>
      </c>
      <c r="BD170" s="18">
        <f t="shared" si="113"/>
        <v>9</v>
      </c>
      <c r="BE170" s="8">
        <f t="shared" si="115"/>
        <v>4.8088317858655857E-3</v>
      </c>
    </row>
    <row r="171" spans="1:57" x14ac:dyDescent="0.25">
      <c r="A171" t="str">
        <f t="shared" si="114"/>
        <v/>
      </c>
      <c r="B171" s="1">
        <v>42984</v>
      </c>
      <c r="C171" s="9">
        <f t="shared" si="89"/>
        <v>0.24861362800015113</v>
      </c>
      <c r="D171" s="9">
        <f t="shared" si="90"/>
        <v>0.24825491725124255</v>
      </c>
      <c r="E171" s="9">
        <f t="shared" si="91"/>
        <v>0</v>
      </c>
      <c r="F171" s="9">
        <f t="shared" si="92"/>
        <v>0</v>
      </c>
      <c r="G171" s="9">
        <f t="shared" si="93"/>
        <v>0</v>
      </c>
      <c r="H171" s="9">
        <f t="shared" si="94"/>
        <v>0</v>
      </c>
      <c r="I171" s="9">
        <f t="shared" si="95"/>
        <v>0.25134607587262797</v>
      </c>
      <c r="J171" s="9">
        <f t="shared" si="96"/>
        <v>0.25178537887597824</v>
      </c>
      <c r="K171" s="9">
        <v>0</v>
      </c>
      <c r="L171" s="8">
        <f>+VLOOKUP($B171,NIFTY_50!$B$3:$I$1238,8,0)</f>
        <v>-3.6172906493037171E-3</v>
      </c>
      <c r="M171" s="8">
        <f>+VLOOKUP($B171,NIFTY_BANK!$B$3:$I$41238,8,0)</f>
        <v>-2.0202809074204575E-3</v>
      </c>
      <c r="N171" s="8">
        <f>+VLOOKUP($B171,NIFTY_IT!$B$3:$I$1238,8,0)</f>
        <v>-7.2728138693084476E-3</v>
      </c>
      <c r="O171" s="8">
        <f>+VLOOKUP($B171,NIFTY_PHARMA!$B$3:$I$1238,8,0)</f>
        <v>-1.5524032929096321E-2</v>
      </c>
      <c r="P171" s="8">
        <f>+VLOOKUP($B171,NIFTY_FMCG!$B$3:$I$1238,8,0)</f>
        <v>-1.3393289412020004E-2</v>
      </c>
      <c r="Q171" s="8">
        <f>+VLOOKUP($B171,NIFTY_METAL!$B$3:$I$1238,8,0)</f>
        <v>7.475930299176925E-3</v>
      </c>
      <c r="R171" s="8">
        <f>+VLOOKUP($B171,NIFTY_ENERGY!$B$3:$I$1238,8,0)</f>
        <v>1.2956587897641203E-3</v>
      </c>
      <c r="S171" s="8">
        <f>+VLOOKUP($B171,NIFTY_AUTO!$B$3:$I$1238,8,0)</f>
        <v>-2.3302881758764382E-3</v>
      </c>
      <c r="T171" s="8">
        <v>0</v>
      </c>
      <c r="U171" s="8">
        <f>+VLOOKUP($B171,NIFTY_50!$B$63:$K$1238,10,0)</f>
        <v>2.7878410946124532E-2</v>
      </c>
      <c r="V171" s="8">
        <f>+VLOOKUP($B171,NIFTY_BANK!$B$63:$K$1238,10,0)</f>
        <v>3.1570651042441389E-2</v>
      </c>
      <c r="W171" s="8">
        <f>+VLOOKUP($B171,NIFTY_IT!$B$63:$K$1238,10,0)</f>
        <v>-1.2165876777251228E-2</v>
      </c>
      <c r="X171" s="8">
        <f>+VLOOKUP($B171,NIFTY_PHARMA!$B$63:$K$1238,10,0)</f>
        <v>-6.2124142874460442E-2</v>
      </c>
      <c r="Y171" s="8">
        <f>+VLOOKUP($B171,NIFTY_FMCG!$B$63:$K$1238,10,0)</f>
        <v>-2.7126017106290812E-2</v>
      </c>
      <c r="Z171" s="8">
        <f>+VLOOKUP($B171,NIFTY_METAL!$B$63:$K$1238,10,0)</f>
        <v>0.22171010268749791</v>
      </c>
      <c r="AA171" s="8">
        <f>+VLOOKUP($B171,NIFTY_ENERGY!$B$63:$K$1238,10,0)</f>
        <v>0.13598236070813541</v>
      </c>
      <c r="AB171" s="8">
        <f>+VLOOKUP($B171,NIFTY_AUTO!$B$63:$K$1238,10,0)</f>
        <v>-1.7692522155644763E-2</v>
      </c>
      <c r="AC171" s="8"/>
      <c r="AD171" s="16">
        <f t="shared" si="97"/>
        <v>4.3799375235722117E-2</v>
      </c>
      <c r="AE171" s="8">
        <f t="shared" si="98"/>
        <v>5.2072253457811475E-2</v>
      </c>
      <c r="AF171" s="8">
        <f t="shared" si="99"/>
        <v>6.5709954931797668E-2</v>
      </c>
      <c r="AG171" s="8">
        <f t="shared" si="100"/>
        <v>0.10145625821546651</v>
      </c>
      <c r="AH171" s="8">
        <f t="shared" si="101"/>
        <v>0.10017939641599649</v>
      </c>
      <c r="AI171" s="8">
        <f t="shared" si="102"/>
        <v>9.8546849990774399E-2</v>
      </c>
      <c r="AJ171" s="8">
        <f t="shared" si="103"/>
        <v>6.7047512331671388E-2</v>
      </c>
      <c r="AK171" s="8">
        <f t="shared" si="104"/>
        <v>6.5328521437874557E-2</v>
      </c>
      <c r="AL171" s="9">
        <v>0</v>
      </c>
      <c r="AM171" s="17">
        <f t="shared" si="81"/>
        <v>22.831375895618141</v>
      </c>
      <c r="AN171" s="13">
        <f t="shared" si="82"/>
        <v>19.204085354404569</v>
      </c>
      <c r="AO171" s="13">
        <f t="shared" si="83"/>
        <v>15.218394245406651</v>
      </c>
      <c r="AP171" s="13">
        <f t="shared" si="84"/>
        <v>9.8564644270268857</v>
      </c>
      <c r="AQ171" s="13">
        <f t="shared" si="85"/>
        <v>9.982092483842532</v>
      </c>
      <c r="AR171" s="13">
        <f t="shared" si="86"/>
        <v>10.147457783720295</v>
      </c>
      <c r="AS171" s="13">
        <f t="shared" si="87"/>
        <v>14.914796466320611</v>
      </c>
      <c r="AT171" s="13">
        <f t="shared" si="88"/>
        <v>15.307249850296547</v>
      </c>
      <c r="AU171" s="9">
        <v>0</v>
      </c>
      <c r="AV171" s="18">
        <f t="shared" si="105"/>
        <v>1</v>
      </c>
      <c r="AW171" s="18">
        <f t="shared" si="106"/>
        <v>2</v>
      </c>
      <c r="AX171" s="18">
        <f t="shared" si="107"/>
        <v>4</v>
      </c>
      <c r="AY171" s="18">
        <f t="shared" si="108"/>
        <v>8</v>
      </c>
      <c r="AZ171" s="18">
        <f t="shared" si="109"/>
        <v>7</v>
      </c>
      <c r="BA171" s="18">
        <f t="shared" si="110"/>
        <v>6</v>
      </c>
      <c r="BB171" s="18">
        <f t="shared" si="111"/>
        <v>5</v>
      </c>
      <c r="BC171" s="18">
        <f t="shared" si="112"/>
        <v>3</v>
      </c>
      <c r="BD171" s="18">
        <f t="shared" si="113"/>
        <v>9</v>
      </c>
      <c r="BE171" s="8">
        <f t="shared" si="115"/>
        <v>-1.6652206009848233E-3</v>
      </c>
    </row>
    <row r="172" spans="1:57" x14ac:dyDescent="0.25">
      <c r="A172" t="str">
        <f t="shared" si="114"/>
        <v/>
      </c>
      <c r="B172" s="1">
        <v>42985</v>
      </c>
      <c r="C172" s="9">
        <f t="shared" si="89"/>
        <v>0.2485188301772773</v>
      </c>
      <c r="D172" s="9">
        <f t="shared" si="90"/>
        <v>0.24808070745305935</v>
      </c>
      <c r="E172" s="9">
        <f t="shared" si="91"/>
        <v>0</v>
      </c>
      <c r="F172" s="9">
        <f t="shared" si="92"/>
        <v>0</v>
      </c>
      <c r="G172" s="9">
        <f t="shared" si="93"/>
        <v>0</v>
      </c>
      <c r="H172" s="9">
        <f t="shared" si="94"/>
        <v>0</v>
      </c>
      <c r="I172" s="9">
        <f t="shared" si="95"/>
        <v>0.24991355450703642</v>
      </c>
      <c r="J172" s="9">
        <f t="shared" si="96"/>
        <v>0.25348690786262695</v>
      </c>
      <c r="K172" s="9">
        <v>0</v>
      </c>
      <c r="L172" s="8">
        <f>+VLOOKUP($B172,NIFTY_50!$B$3:$I$1238,8,0)</f>
        <v>1.3815776204593178E-3</v>
      </c>
      <c r="M172" s="8">
        <f>+VLOOKUP($B172,NIFTY_BANK!$B$3:$I$41238,8,0)</f>
        <v>1.0605807863948158E-3</v>
      </c>
      <c r="N172" s="8">
        <f>+VLOOKUP($B172,NIFTY_IT!$B$3:$I$1238,8,0)</f>
        <v>3.7709959555349837E-3</v>
      </c>
      <c r="O172" s="8">
        <f>+VLOOKUP($B172,NIFTY_PHARMA!$B$3:$I$1238,8,0)</f>
        <v>5.7882728468185984E-3</v>
      </c>
      <c r="P172" s="8">
        <f>+VLOOKUP($B172,NIFTY_FMCG!$B$3:$I$1238,8,0)</f>
        <v>-6.4322756162382699E-3</v>
      </c>
      <c r="Q172" s="8">
        <f>+VLOOKUP($B172,NIFTY_METAL!$B$3:$I$1238,8,0)</f>
        <v>1.1512108518960229E-2</v>
      </c>
      <c r="R172" s="8">
        <f>+VLOOKUP($B172,NIFTY_ENERGY!$B$3:$I$1238,8,0)</f>
        <v>-3.945893487206753E-3</v>
      </c>
      <c r="S172" s="8">
        <f>+VLOOKUP($B172,NIFTY_AUTO!$B$3:$I$1238,8,0)</f>
        <v>8.5333283702924145E-3</v>
      </c>
      <c r="T172" s="8">
        <v>0</v>
      </c>
      <c r="U172" s="8">
        <f>+VLOOKUP($B172,NIFTY_50!$B$63:$K$1238,10,0)</f>
        <v>2.7062808677889016E-2</v>
      </c>
      <c r="V172" s="8">
        <f>+VLOOKUP($B172,NIFTY_BANK!$B$63:$K$1238,10,0)</f>
        <v>2.5917124296670924E-2</v>
      </c>
      <c r="W172" s="8">
        <f>+VLOOKUP($B172,NIFTY_IT!$B$63:$K$1238,10,0)</f>
        <v>1.7524287417467477E-3</v>
      </c>
      <c r="X172" s="8">
        <f>+VLOOKUP($B172,NIFTY_PHARMA!$B$63:$K$1238,10,0)</f>
        <v>-5.8749283449121004E-2</v>
      </c>
      <c r="Y172" s="8">
        <f>+VLOOKUP($B172,NIFTY_FMCG!$B$63:$K$1238,10,0)</f>
        <v>-2.4370264576575318E-2</v>
      </c>
      <c r="Z172" s="8">
        <f>+VLOOKUP($B172,NIFTY_METAL!$B$63:$K$1238,10,0)</f>
        <v>0.21639923941688632</v>
      </c>
      <c r="AA172" s="8">
        <f>+VLOOKUP($B172,NIFTY_ENERGY!$B$63:$K$1238,10,0)</f>
        <v>0.13273900935546923</v>
      </c>
      <c r="AB172" s="8">
        <f>+VLOOKUP($B172,NIFTY_AUTO!$B$63:$K$1238,10,0)</f>
        <v>-1.8977230039511461E-2</v>
      </c>
      <c r="AC172" s="8"/>
      <c r="AD172" s="16">
        <f t="shared" si="97"/>
        <v>4.3775419475648177E-2</v>
      </c>
      <c r="AE172" s="8">
        <f t="shared" si="98"/>
        <v>5.1718039801715812E-2</v>
      </c>
      <c r="AF172" s="8">
        <f t="shared" si="99"/>
        <v>6.503770852144726E-2</v>
      </c>
      <c r="AG172" s="8">
        <f t="shared" si="100"/>
        <v>0.10163105876726318</v>
      </c>
      <c r="AH172" s="8">
        <f t="shared" si="101"/>
        <v>9.9969315323841512E-2</v>
      </c>
      <c r="AI172" s="8">
        <f t="shared" si="102"/>
        <v>9.8080175742852396E-2</v>
      </c>
      <c r="AJ172" s="8">
        <f t="shared" si="103"/>
        <v>6.7243985737315035E-2</v>
      </c>
      <c r="AK172" s="8">
        <f t="shared" si="104"/>
        <v>6.5136948260421837E-2</v>
      </c>
      <c r="AL172" s="9">
        <v>0</v>
      </c>
      <c r="AM172" s="17">
        <f t="shared" si="81"/>
        <v>22.843870189668653</v>
      </c>
      <c r="AN172" s="13">
        <f t="shared" si="82"/>
        <v>19.335612947318698</v>
      </c>
      <c r="AO172" s="13">
        <f t="shared" si="83"/>
        <v>15.375695465504192</v>
      </c>
      <c r="AP172" s="13">
        <f t="shared" si="84"/>
        <v>9.8395117804490919</v>
      </c>
      <c r="AQ172" s="13">
        <f t="shared" si="85"/>
        <v>10.0030694094542</v>
      </c>
      <c r="AR172" s="13">
        <f t="shared" si="86"/>
        <v>10.195740295386605</v>
      </c>
      <c r="AS172" s="13">
        <f t="shared" si="87"/>
        <v>14.871218429949193</v>
      </c>
      <c r="AT172" s="13">
        <f t="shared" si="88"/>
        <v>15.352269744077258</v>
      </c>
      <c r="AU172" s="9">
        <v>0</v>
      </c>
      <c r="AV172" s="18">
        <f t="shared" si="105"/>
        <v>1</v>
      </c>
      <c r="AW172" s="18">
        <f t="shared" si="106"/>
        <v>2</v>
      </c>
      <c r="AX172" s="18">
        <f t="shared" si="107"/>
        <v>3</v>
      </c>
      <c r="AY172" s="18">
        <f t="shared" si="108"/>
        <v>8</v>
      </c>
      <c r="AZ172" s="18">
        <f t="shared" si="109"/>
        <v>7</v>
      </c>
      <c r="BA172" s="18">
        <f t="shared" si="110"/>
        <v>6</v>
      </c>
      <c r="BB172" s="18">
        <f t="shared" si="111"/>
        <v>5</v>
      </c>
      <c r="BC172" s="18">
        <f t="shared" si="112"/>
        <v>4</v>
      </c>
      <c r="BD172" s="18">
        <f t="shared" si="113"/>
        <v>9</v>
      </c>
      <c r="BE172" s="8">
        <f t="shared" si="115"/>
        <v>1.763555892917342E-3</v>
      </c>
    </row>
    <row r="173" spans="1:57" x14ac:dyDescent="0.25">
      <c r="A173" t="str">
        <f t="shared" si="114"/>
        <v/>
      </c>
      <c r="B173" s="1">
        <v>42986</v>
      </c>
      <c r="C173" s="9">
        <f t="shared" si="89"/>
        <v>0.24919593406614479</v>
      </c>
      <c r="D173" s="9">
        <f t="shared" si="90"/>
        <v>0.24930806986606138</v>
      </c>
      <c r="E173" s="9">
        <f t="shared" si="91"/>
        <v>0</v>
      </c>
      <c r="F173" s="9">
        <f t="shared" si="92"/>
        <v>0</v>
      </c>
      <c r="G173" s="9">
        <f t="shared" si="93"/>
        <v>0</v>
      </c>
      <c r="H173" s="9">
        <f t="shared" si="94"/>
        <v>0</v>
      </c>
      <c r="I173" s="9">
        <f t="shared" si="95"/>
        <v>0.24882216165274193</v>
      </c>
      <c r="J173" s="9">
        <f t="shared" si="96"/>
        <v>0.25267383441505192</v>
      </c>
      <c r="K173" s="9">
        <v>0</v>
      </c>
      <c r="L173" s="8">
        <f>+VLOOKUP($B173,NIFTY_50!$B$3:$I$1238,8,0)</f>
        <v>4.9345914863185847E-4</v>
      </c>
      <c r="M173" s="8">
        <f>+VLOOKUP($B173,NIFTY_BANK!$B$3:$I$41238,8,0)</f>
        <v>2.7113874157063123E-3</v>
      </c>
      <c r="N173" s="8">
        <f>+VLOOKUP($B173,NIFTY_IT!$B$3:$I$1238,8,0)</f>
        <v>-4.1105253346984671E-4</v>
      </c>
      <c r="O173" s="8">
        <f>+VLOOKUP($B173,NIFTY_PHARMA!$B$3:$I$1238,8,0)</f>
        <v>-1.2124530663329192E-2</v>
      </c>
      <c r="P173" s="8">
        <f>+VLOOKUP($B173,NIFTY_FMCG!$B$3:$I$1238,8,0)</f>
        <v>3.9353200904805874E-3</v>
      </c>
      <c r="Q173" s="8">
        <f>+VLOOKUP($B173,NIFTY_METAL!$B$3:$I$1238,8,0)</f>
        <v>1.7962922334355813E-3</v>
      </c>
      <c r="R173" s="8">
        <f>+VLOOKUP($B173,NIFTY_ENERGY!$B$3:$I$1238,8,0)</f>
        <v>-6.5824008580157578E-3</v>
      </c>
      <c r="S173" s="8">
        <f>+VLOOKUP($B173,NIFTY_AUTO!$B$3:$I$1238,8,0)</f>
        <v>-5.4254553507169234E-3</v>
      </c>
      <c r="T173" s="8">
        <v>0</v>
      </c>
      <c r="U173" s="8">
        <f>+VLOOKUP($B173,NIFTY_50!$B$63:$K$1238,10,0)</f>
        <v>3.3110103573062544E-2</v>
      </c>
      <c r="V173" s="8">
        <f>+VLOOKUP($B173,NIFTY_BANK!$B$63:$K$1238,10,0)</f>
        <v>3.8361002878086969E-2</v>
      </c>
      <c r="W173" s="8">
        <f>+VLOOKUP($B173,NIFTY_IT!$B$63:$K$1238,10,0)</f>
        <v>-1.3466084091398045E-3</v>
      </c>
      <c r="X173" s="8">
        <f>+VLOOKUP($B173,NIFTY_PHARMA!$B$63:$K$1238,10,0)</f>
        <v>-7.7583643316621265E-2</v>
      </c>
      <c r="Y173" s="8">
        <f>+VLOOKUP($B173,NIFTY_FMCG!$B$63:$K$1238,10,0)</f>
        <v>-1.7630104176130978E-2</v>
      </c>
      <c r="Z173" s="8">
        <f>+VLOOKUP($B173,NIFTY_METAL!$B$63:$K$1238,10,0)</f>
        <v>0.222969919148295</v>
      </c>
      <c r="AA173" s="8">
        <f>+VLOOKUP($B173,NIFTY_ENERGY!$B$63:$K$1238,10,0)</f>
        <v>0.13056409154399917</v>
      </c>
      <c r="AB173" s="8">
        <f>+VLOOKUP($B173,NIFTY_AUTO!$B$63:$K$1238,10,0)</f>
        <v>-1.6859953392284632E-2</v>
      </c>
      <c r="AC173" s="8"/>
      <c r="AD173" s="16">
        <f t="shared" si="97"/>
        <v>4.3380817013092023E-2</v>
      </c>
      <c r="AE173" s="8">
        <f t="shared" si="98"/>
        <v>5.081871464827345E-2</v>
      </c>
      <c r="AF173" s="8">
        <f t="shared" si="99"/>
        <v>6.498512608486666E-2</v>
      </c>
      <c r="AG173" s="8">
        <f t="shared" si="100"/>
        <v>0.10182269405448728</v>
      </c>
      <c r="AH173" s="8">
        <f t="shared" si="101"/>
        <v>0.100021390710494</v>
      </c>
      <c r="AI173" s="8">
        <f t="shared" si="102"/>
        <v>9.7847536105433341E-2</v>
      </c>
      <c r="AJ173" s="8">
        <f t="shared" si="103"/>
        <v>6.746228430110339E-2</v>
      </c>
      <c r="AK173" s="8">
        <f t="shared" si="104"/>
        <v>6.4931605525617303E-2</v>
      </c>
      <c r="AL173" s="9">
        <v>0</v>
      </c>
      <c r="AM173" s="17">
        <f t="shared" si="81"/>
        <v>23.051663588959311</v>
      </c>
      <c r="AN173" s="13">
        <f t="shared" si="82"/>
        <v>19.677790099989764</v>
      </c>
      <c r="AO173" s="13">
        <f t="shared" si="83"/>
        <v>15.388136643669203</v>
      </c>
      <c r="AP173" s="13">
        <f t="shared" si="84"/>
        <v>9.8209933383306556</v>
      </c>
      <c r="AQ173" s="13">
        <f t="shared" si="85"/>
        <v>9.9978613864152415</v>
      </c>
      <c r="AR173" s="13">
        <f t="shared" si="86"/>
        <v>10.219981409879072</v>
      </c>
      <c r="AS173" s="13">
        <f t="shared" si="87"/>
        <v>14.82309723662358</v>
      </c>
      <c r="AT173" s="13">
        <f t="shared" si="88"/>
        <v>15.400820477255449</v>
      </c>
      <c r="AU173" s="9">
        <v>0</v>
      </c>
      <c r="AV173" s="18">
        <f t="shared" si="105"/>
        <v>1</v>
      </c>
      <c r="AW173" s="18">
        <f t="shared" si="106"/>
        <v>2</v>
      </c>
      <c r="AX173" s="18">
        <f t="shared" si="107"/>
        <v>4</v>
      </c>
      <c r="AY173" s="18">
        <f t="shared" si="108"/>
        <v>8</v>
      </c>
      <c r="AZ173" s="18">
        <f t="shared" si="109"/>
        <v>7</v>
      </c>
      <c r="BA173" s="18">
        <f t="shared" si="110"/>
        <v>6</v>
      </c>
      <c r="BB173" s="18">
        <f t="shared" si="111"/>
        <v>5</v>
      </c>
      <c r="BC173" s="18">
        <f t="shared" si="112"/>
        <v>3</v>
      </c>
      <c r="BD173" s="18">
        <f t="shared" si="113"/>
        <v>9</v>
      </c>
      <c r="BE173" s="8">
        <f t="shared" si="115"/>
        <v>-2.2250362975908527E-3</v>
      </c>
    </row>
    <row r="174" spans="1:57" x14ac:dyDescent="0.25">
      <c r="A174" t="str">
        <f t="shared" si="114"/>
        <v/>
      </c>
      <c r="B174" s="1">
        <v>42989</v>
      </c>
      <c r="C174" s="9">
        <f t="shared" si="89"/>
        <v>0.24900929169420805</v>
      </c>
      <c r="D174" s="9">
        <f t="shared" si="90"/>
        <v>0.2504069443593917</v>
      </c>
      <c r="E174" s="9">
        <f t="shared" si="91"/>
        <v>0</v>
      </c>
      <c r="F174" s="9">
        <f t="shared" si="92"/>
        <v>0</v>
      </c>
      <c r="G174" s="9">
        <f t="shared" si="93"/>
        <v>0</v>
      </c>
      <c r="H174" s="9">
        <f t="shared" si="94"/>
        <v>0</v>
      </c>
      <c r="I174" s="9">
        <f t="shared" si="95"/>
        <v>0.24848418171059947</v>
      </c>
      <c r="J174" s="9">
        <f t="shared" si="96"/>
        <v>0.25209958223580081</v>
      </c>
      <c r="K174" s="9">
        <v>0</v>
      </c>
      <c r="L174" s="8">
        <f>+VLOOKUP($B174,NIFTY_50!$B$3:$I$1238,8,0)</f>
        <v>7.1717598743810118E-3</v>
      </c>
      <c r="M174" s="8">
        <f>+VLOOKUP($B174,NIFTY_BANK!$B$3:$I$41238,8,0)</f>
        <v>1.236931081458148E-2</v>
      </c>
      <c r="N174" s="8">
        <f>+VLOOKUP($B174,NIFTY_IT!$B$3:$I$1238,8,0)</f>
        <v>2.7255382938129458E-4</v>
      </c>
      <c r="O174" s="8">
        <f>+VLOOKUP($B174,NIFTY_PHARMA!$B$3:$I$1238,8,0)</f>
        <v>-4.0552922412133707E-3</v>
      </c>
      <c r="P174" s="8">
        <f>+VLOOKUP($B174,NIFTY_FMCG!$B$3:$I$1238,8,0)</f>
        <v>5.5728614242676056E-3</v>
      </c>
      <c r="Q174" s="8">
        <f>+VLOOKUP($B174,NIFTY_METAL!$B$3:$I$1238,8,0)</f>
        <v>6.0362173038230882E-3</v>
      </c>
      <c r="R174" s="8">
        <f>+VLOOKUP($B174,NIFTY_ENERGY!$B$3:$I$1238,8,0)</f>
        <v>6.5575889361120243E-3</v>
      </c>
      <c r="S174" s="8">
        <f>+VLOOKUP($B174,NIFTY_AUTO!$B$3:$I$1238,8,0)</f>
        <v>5.6359588087948609E-3</v>
      </c>
      <c r="T174" s="8">
        <v>0</v>
      </c>
      <c r="U174" s="8">
        <f>+VLOOKUP($B174,NIFTY_50!$B$63:$K$1238,10,0)</f>
        <v>4.1548262186553275E-2</v>
      </c>
      <c r="V174" s="8">
        <f>+VLOOKUP($B174,NIFTY_BANK!$B$63:$K$1238,10,0)</f>
        <v>5.0873482878543097E-2</v>
      </c>
      <c r="W174" s="8">
        <f>+VLOOKUP($B174,NIFTY_IT!$B$63:$K$1238,10,0)</f>
        <v>1.1654898926395152E-2</v>
      </c>
      <c r="X174" s="8">
        <f>+VLOOKUP($B174,NIFTY_PHARMA!$B$63:$K$1238,10,0)</f>
        <v>-8.2119232914414253E-2</v>
      </c>
      <c r="Y174" s="8">
        <f>+VLOOKUP($B174,NIFTY_FMCG!$B$63:$K$1238,10,0)</f>
        <v>-1.5102776359028236E-2</v>
      </c>
      <c r="Z174" s="8">
        <f>+VLOOKUP($B174,NIFTY_METAL!$B$63:$K$1238,10,0)</f>
        <v>0.23994129257553531</v>
      </c>
      <c r="AA174" s="8">
        <f>+VLOOKUP($B174,NIFTY_ENERGY!$B$63:$K$1238,10,0)</f>
        <v>0.1383986345012016</v>
      </c>
      <c r="AB174" s="8">
        <f>+VLOOKUP($B174,NIFTY_AUTO!$B$63:$K$1238,10,0)</f>
        <v>-6.4572601785485295E-3</v>
      </c>
      <c r="AC174" s="8"/>
      <c r="AD174" s="16">
        <f t="shared" si="97"/>
        <v>4.3843966820001898E-2</v>
      </c>
      <c r="AE174" s="8">
        <f t="shared" si="98"/>
        <v>5.2131254359831097E-2</v>
      </c>
      <c r="AF174" s="8">
        <f t="shared" si="99"/>
        <v>6.3732158221346966E-2</v>
      </c>
      <c r="AG174" s="8">
        <f t="shared" si="100"/>
        <v>0.10183798295803005</v>
      </c>
      <c r="AH174" s="8">
        <f t="shared" si="101"/>
        <v>0.10013663717055098</v>
      </c>
      <c r="AI174" s="8">
        <f t="shared" si="102"/>
        <v>9.7234145440149577E-2</v>
      </c>
      <c r="AJ174" s="8">
        <f t="shared" si="103"/>
        <v>6.7563467692658127E-2</v>
      </c>
      <c r="AK174" s="8">
        <f t="shared" si="104"/>
        <v>6.5017340089178408E-2</v>
      </c>
      <c r="AL174" s="9">
        <v>0</v>
      </c>
      <c r="AM174" s="17">
        <f t="shared" si="81"/>
        <v>22.808155204236531</v>
      </c>
      <c r="AN174" s="13">
        <f t="shared" si="82"/>
        <v>19.182350631688116</v>
      </c>
      <c r="AO174" s="13">
        <f t="shared" si="83"/>
        <v>15.690665872743846</v>
      </c>
      <c r="AP174" s="13">
        <f t="shared" si="84"/>
        <v>9.8195189157676523</v>
      </c>
      <c r="AQ174" s="13">
        <f t="shared" si="85"/>
        <v>9.9863549271863139</v>
      </c>
      <c r="AR174" s="13">
        <f t="shared" si="86"/>
        <v>10.284453012604803</v>
      </c>
      <c r="AS174" s="13">
        <f t="shared" si="87"/>
        <v>14.800898091094668</v>
      </c>
      <c r="AT174" s="13">
        <f t="shared" si="88"/>
        <v>15.380512316074302</v>
      </c>
      <c r="AU174" s="9">
        <v>0</v>
      </c>
      <c r="AV174" s="18">
        <f t="shared" si="105"/>
        <v>1</v>
      </c>
      <c r="AW174" s="18">
        <f t="shared" si="106"/>
        <v>2</v>
      </c>
      <c r="AX174" s="18">
        <f t="shared" si="107"/>
        <v>3</v>
      </c>
      <c r="AY174" s="18">
        <f t="shared" si="108"/>
        <v>8</v>
      </c>
      <c r="AZ174" s="18">
        <f t="shared" si="109"/>
        <v>7</v>
      </c>
      <c r="BA174" s="18">
        <f t="shared" si="110"/>
        <v>6</v>
      </c>
      <c r="BB174" s="18">
        <f t="shared" si="111"/>
        <v>5</v>
      </c>
      <c r="BC174" s="18">
        <f t="shared" si="112"/>
        <v>4</v>
      </c>
      <c r="BD174" s="18">
        <f t="shared" si="113"/>
        <v>9</v>
      </c>
      <c r="BE174" s="8">
        <f t="shared" si="115"/>
        <v>7.9266751826881643E-3</v>
      </c>
    </row>
    <row r="175" spans="1:57" x14ac:dyDescent="0.25">
      <c r="A175" t="str">
        <f t="shared" si="114"/>
        <v/>
      </c>
      <c r="B175" s="1">
        <v>42990</v>
      </c>
      <c r="C175" s="9">
        <f t="shared" si="89"/>
        <v>0.24895288576588542</v>
      </c>
      <c r="D175" s="9">
        <f t="shared" si="90"/>
        <v>0.24932345356428984</v>
      </c>
      <c r="E175" s="9">
        <f t="shared" si="91"/>
        <v>0</v>
      </c>
      <c r="F175" s="9">
        <f t="shared" si="92"/>
        <v>0</v>
      </c>
      <c r="G175" s="9">
        <f t="shared" si="93"/>
        <v>0</v>
      </c>
      <c r="H175" s="9">
        <f t="shared" si="94"/>
        <v>0</v>
      </c>
      <c r="I175" s="9">
        <f t="shared" si="95"/>
        <v>0.24894582154802508</v>
      </c>
      <c r="J175" s="9">
        <f t="shared" si="96"/>
        <v>0.25277783912179969</v>
      </c>
      <c r="K175" s="9">
        <v>0</v>
      </c>
      <c r="L175" s="8">
        <f>+VLOOKUP($B175,NIFTY_50!$B$3:$I$1238,8,0)</f>
        <v>8.6947396824921253E-3</v>
      </c>
      <c r="M175" s="8">
        <f>+VLOOKUP($B175,NIFTY_BANK!$B$3:$I$41238,8,0)</f>
        <v>4.5577521304298596E-3</v>
      </c>
      <c r="N175" s="8">
        <f>+VLOOKUP($B175,NIFTY_IT!$B$3:$I$1238,8,0)</f>
        <v>3.9772455662316908E-3</v>
      </c>
      <c r="O175" s="8">
        <f>+VLOOKUP($B175,NIFTY_PHARMA!$B$3:$I$1238,8,0)</f>
        <v>2.1767401711634493E-2</v>
      </c>
      <c r="P175" s="8">
        <f>+VLOOKUP($B175,NIFTY_FMCG!$B$3:$I$1238,8,0)</f>
        <v>1.4197401611321991E-2</v>
      </c>
      <c r="Q175" s="8">
        <f>+VLOOKUP($B175,NIFTY_METAL!$B$3:$I$1238,8,0)</f>
        <v>9.8095238095239345E-3</v>
      </c>
      <c r="R175" s="8">
        <f>+VLOOKUP($B175,NIFTY_ENERGY!$B$3:$I$1238,8,0)</f>
        <v>1.0797684106367944E-2</v>
      </c>
      <c r="S175" s="8">
        <f>+VLOOKUP($B175,NIFTY_AUTO!$B$3:$I$1238,8,0)</f>
        <v>1.1637722272192619E-2</v>
      </c>
      <c r="T175" s="8">
        <v>0</v>
      </c>
      <c r="U175" s="8">
        <f>+VLOOKUP($B175,NIFTY_50!$B$63:$K$1238,10,0)</f>
        <v>4.9375399635064987E-2</v>
      </c>
      <c r="V175" s="8">
        <f>+VLOOKUP($B175,NIFTY_BANK!$B$63:$K$1238,10,0)</f>
        <v>5.4726431674943621E-2</v>
      </c>
      <c r="W175" s="8">
        <f>+VLOOKUP($B175,NIFTY_IT!$B$63:$K$1238,10,0)</f>
        <v>1.3023219918773643E-2</v>
      </c>
      <c r="X175" s="8">
        <f>+VLOOKUP($B175,NIFTY_PHARMA!$B$63:$K$1238,10,0)</f>
        <v>-6.0557644110275644E-2</v>
      </c>
      <c r="Y175" s="8">
        <f>+VLOOKUP($B175,NIFTY_FMCG!$B$63:$K$1238,10,0)</f>
        <v>6.5489461867731524E-3</v>
      </c>
      <c r="Z175" s="8">
        <f>+VLOOKUP($B175,NIFTY_METAL!$B$63:$K$1238,10,0)</f>
        <v>0.2606753405578015</v>
      </c>
      <c r="AA175" s="8">
        <f>+VLOOKUP($B175,NIFTY_ENERGY!$B$63:$K$1238,10,0)</f>
        <v>0.13431406205630925</v>
      </c>
      <c r="AB175" s="8">
        <f>+VLOOKUP($B175,NIFTY_AUTO!$B$63:$K$1238,10,0)</f>
        <v>5.561541459388808E-3</v>
      </c>
      <c r="AC175" s="8"/>
      <c r="AD175" s="16">
        <f t="shared" si="97"/>
        <v>4.455682026074663E-2</v>
      </c>
      <c r="AE175" s="8">
        <f t="shared" si="98"/>
        <v>5.2261792826805695E-2</v>
      </c>
      <c r="AF175" s="8">
        <f t="shared" si="99"/>
        <v>6.3797339952914423E-2</v>
      </c>
      <c r="AG175" s="8">
        <f t="shared" si="100"/>
        <v>0.10437811047580658</v>
      </c>
      <c r="AH175" s="8">
        <f t="shared" si="101"/>
        <v>0.10084792715547354</v>
      </c>
      <c r="AI175" s="8">
        <f t="shared" si="102"/>
        <v>9.685080891175625E-2</v>
      </c>
      <c r="AJ175" s="8">
        <f t="shared" si="103"/>
        <v>6.6996355515652389E-2</v>
      </c>
      <c r="AK175" s="8">
        <f t="shared" si="104"/>
        <v>6.6044047459546701E-2</v>
      </c>
      <c r="AL175" s="9">
        <v>0</v>
      </c>
      <c r="AM175" s="17">
        <f t="shared" si="81"/>
        <v>22.443253224713914</v>
      </c>
      <c r="AN175" s="13">
        <f t="shared" si="82"/>
        <v>19.134437337692866</v>
      </c>
      <c r="AO175" s="13">
        <f t="shared" si="83"/>
        <v>15.674634722044042</v>
      </c>
      <c r="AP175" s="13">
        <f t="shared" si="84"/>
        <v>9.5805528136264382</v>
      </c>
      <c r="AQ175" s="13">
        <f t="shared" si="85"/>
        <v>9.915920219741718</v>
      </c>
      <c r="AR175" s="13">
        <f t="shared" si="86"/>
        <v>10.32515898665473</v>
      </c>
      <c r="AS175" s="13">
        <f t="shared" si="87"/>
        <v>14.926185048474309</v>
      </c>
      <c r="AT175" s="13">
        <f t="shared" si="88"/>
        <v>15.141409990242042</v>
      </c>
      <c r="AU175" s="9">
        <v>0</v>
      </c>
      <c r="AV175" s="18">
        <f t="shared" si="105"/>
        <v>1</v>
      </c>
      <c r="AW175" s="18">
        <f t="shared" si="106"/>
        <v>2</v>
      </c>
      <c r="AX175" s="18">
        <f t="shared" si="107"/>
        <v>3</v>
      </c>
      <c r="AY175" s="18">
        <f t="shared" si="108"/>
        <v>8</v>
      </c>
      <c r="AZ175" s="18">
        <f t="shared" si="109"/>
        <v>7</v>
      </c>
      <c r="BA175" s="18">
        <f t="shared" si="110"/>
        <v>6</v>
      </c>
      <c r="BB175" s="18">
        <f t="shared" si="111"/>
        <v>5</v>
      </c>
      <c r="BC175" s="18">
        <f t="shared" si="112"/>
        <v>4</v>
      </c>
      <c r="BD175" s="18">
        <f t="shared" si="113"/>
        <v>9</v>
      </c>
      <c r="BE175" s="8">
        <f t="shared" si="115"/>
        <v>8.9232823764677539E-3</v>
      </c>
    </row>
    <row r="176" spans="1:57" x14ac:dyDescent="0.25">
      <c r="A176" t="str">
        <f t="shared" si="114"/>
        <v/>
      </c>
      <c r="B176" s="1">
        <v>42991</v>
      </c>
      <c r="C176" s="9">
        <f t="shared" si="89"/>
        <v>0.24871502872627452</v>
      </c>
      <c r="D176" s="9">
        <f t="shared" si="90"/>
        <v>0.24989903894008847</v>
      </c>
      <c r="E176" s="9">
        <f t="shared" si="91"/>
        <v>0</v>
      </c>
      <c r="F176" s="9">
        <f t="shared" si="92"/>
        <v>0</v>
      </c>
      <c r="G176" s="9">
        <f t="shared" si="93"/>
        <v>0</v>
      </c>
      <c r="H176" s="9">
        <f t="shared" si="94"/>
        <v>0</v>
      </c>
      <c r="I176" s="9">
        <f t="shared" si="95"/>
        <v>0.24965582587312496</v>
      </c>
      <c r="J176" s="9">
        <f t="shared" si="96"/>
        <v>0.25173010646051197</v>
      </c>
      <c r="K176" s="9">
        <v>0</v>
      </c>
      <c r="L176" s="8">
        <f>+VLOOKUP($B176,NIFTY_50!$B$3:$I$1238,8,0)</f>
        <v>-1.3623235790964916E-3</v>
      </c>
      <c r="M176" s="8">
        <f>+VLOOKUP($B176,NIFTY_BANK!$B$3:$I$41238,8,0)</f>
        <v>1.9003659515748339E-3</v>
      </c>
      <c r="N176" s="8">
        <f>+VLOOKUP($B176,NIFTY_IT!$B$3:$I$1238,8,0)</f>
        <v>3.9995809962745099E-4</v>
      </c>
      <c r="O176" s="8">
        <f>+VLOOKUP($B176,NIFTY_PHARMA!$B$3:$I$1238,8,0)</f>
        <v>1.6062515979146541E-2</v>
      </c>
      <c r="P176" s="8">
        <f>+VLOOKUP($B176,NIFTY_FMCG!$B$3:$I$1238,8,0)</f>
        <v>-1.0838105675871845E-2</v>
      </c>
      <c r="Q176" s="8">
        <f>+VLOOKUP($B176,NIFTY_METAL!$B$3:$I$1238,8,0)</f>
        <v>-1.0751674054512939E-2</v>
      </c>
      <c r="R176" s="8">
        <f>+VLOOKUP($B176,NIFTY_ENERGY!$B$3:$I$1238,8,0)</f>
        <v>2.4435991899507403E-3</v>
      </c>
      <c r="S176" s="8">
        <f>+VLOOKUP($B176,NIFTY_AUTO!$B$3:$I$1238,8,0)</f>
        <v>-4.5504700936539466E-3</v>
      </c>
      <c r="T176" s="8">
        <v>0</v>
      </c>
      <c r="U176" s="8">
        <f>+VLOOKUP($B176,NIFTY_50!$B$63:$K$1238,10,0)</f>
        <v>5.2333199346422221E-2</v>
      </c>
      <c r="V176" s="8">
        <f>+VLOOKUP($B176,NIFTY_BANK!$B$63:$K$1238,10,0)</f>
        <v>6.156230294868914E-2</v>
      </c>
      <c r="W176" s="8">
        <f>+VLOOKUP($B176,NIFTY_IT!$B$63:$K$1238,10,0)</f>
        <v>2.2110225188630039E-2</v>
      </c>
      <c r="X176" s="8">
        <f>+VLOOKUP($B176,NIFTY_PHARMA!$B$63:$K$1238,10,0)</f>
        <v>-5.7266768772206711E-2</v>
      </c>
      <c r="Y176" s="8">
        <f>+VLOOKUP($B176,NIFTY_FMCG!$B$63:$K$1238,10,0)</f>
        <v>-4.6984178757326633E-3</v>
      </c>
      <c r="Z176" s="8">
        <f>+VLOOKUP($B176,NIFTY_METAL!$B$63:$K$1238,10,0)</f>
        <v>0.25190540333168521</v>
      </c>
      <c r="AA176" s="8">
        <f>+VLOOKUP($B176,NIFTY_ENERGY!$B$63:$K$1238,10,0)</f>
        <v>0.13885728839460065</v>
      </c>
      <c r="AB176" s="8">
        <f>+VLOOKUP($B176,NIFTY_AUTO!$B$63:$K$1238,10,0)</f>
        <v>7.0668118161523186E-3</v>
      </c>
      <c r="AC176" s="8"/>
      <c r="AD176" s="16">
        <f t="shared" si="97"/>
        <v>4.4329745081030852E-2</v>
      </c>
      <c r="AE176" s="8">
        <f t="shared" si="98"/>
        <v>5.1980235939073742E-2</v>
      </c>
      <c r="AF176" s="8">
        <f t="shared" si="99"/>
        <v>6.3185833444187253E-2</v>
      </c>
      <c r="AG176" s="8">
        <f t="shared" si="100"/>
        <v>0.10489315040302934</v>
      </c>
      <c r="AH176" s="8">
        <f t="shared" si="101"/>
        <v>0.10143909666948026</v>
      </c>
      <c r="AI176" s="8">
        <f t="shared" si="102"/>
        <v>9.7642621697752854E-2</v>
      </c>
      <c r="AJ176" s="8">
        <f t="shared" si="103"/>
        <v>6.6895184230342991E-2</v>
      </c>
      <c r="AK176" s="8">
        <f t="shared" si="104"/>
        <v>6.592152489047419E-2</v>
      </c>
      <c r="AL176" s="9">
        <v>0</v>
      </c>
      <c r="AM176" s="17">
        <f t="shared" si="81"/>
        <v>22.558216794887688</v>
      </c>
      <c r="AN176" s="13">
        <f t="shared" si="82"/>
        <v>19.238081204019625</v>
      </c>
      <c r="AO176" s="13">
        <f t="shared" si="83"/>
        <v>15.826332351591295</v>
      </c>
      <c r="AP176" s="13">
        <f t="shared" si="84"/>
        <v>9.5335109695696563</v>
      </c>
      <c r="AQ176" s="13">
        <f t="shared" si="85"/>
        <v>9.8581319514142294</v>
      </c>
      <c r="AR176" s="13">
        <f t="shared" si="86"/>
        <v>10.241429230520282</v>
      </c>
      <c r="AS176" s="13">
        <f t="shared" si="87"/>
        <v>14.948759189550298</v>
      </c>
      <c r="AT176" s="13">
        <f t="shared" si="88"/>
        <v>15.169552003863039</v>
      </c>
      <c r="AU176" s="9">
        <v>0</v>
      </c>
      <c r="AV176" s="18">
        <f t="shared" si="105"/>
        <v>1</v>
      </c>
      <c r="AW176" s="18">
        <f t="shared" si="106"/>
        <v>2</v>
      </c>
      <c r="AX176" s="18">
        <f t="shared" si="107"/>
        <v>3</v>
      </c>
      <c r="AY176" s="18">
        <f t="shared" si="108"/>
        <v>8</v>
      </c>
      <c r="AZ176" s="18">
        <f t="shared" si="109"/>
        <v>7</v>
      </c>
      <c r="BA176" s="18">
        <f t="shared" si="110"/>
        <v>6</v>
      </c>
      <c r="BB176" s="18">
        <f t="shared" si="111"/>
        <v>5</v>
      </c>
      <c r="BC176" s="18">
        <f t="shared" si="112"/>
        <v>4</v>
      </c>
      <c r="BD176" s="18">
        <f t="shared" si="113"/>
        <v>9</v>
      </c>
      <c r="BE176" s="8">
        <f t="shared" si="115"/>
        <v>-4.0728277366619797E-4</v>
      </c>
    </row>
    <row r="177" spans="1:57" x14ac:dyDescent="0.25">
      <c r="A177" t="str">
        <f t="shared" si="114"/>
        <v/>
      </c>
      <c r="B177" s="1">
        <v>42992</v>
      </c>
      <c r="C177" s="9">
        <f t="shared" si="89"/>
        <v>0.24869118084698733</v>
      </c>
      <c r="D177" s="9">
        <f t="shared" si="90"/>
        <v>0.25050319354595324</v>
      </c>
      <c r="E177" s="9">
        <f t="shared" si="91"/>
        <v>0</v>
      </c>
      <c r="F177" s="9">
        <f t="shared" si="92"/>
        <v>0</v>
      </c>
      <c r="G177" s="9">
        <f t="shared" si="93"/>
        <v>0</v>
      </c>
      <c r="H177" s="9">
        <f t="shared" si="94"/>
        <v>0</v>
      </c>
      <c r="I177" s="9">
        <f t="shared" si="95"/>
        <v>0.24852144598186679</v>
      </c>
      <c r="J177" s="9">
        <f t="shared" si="96"/>
        <v>0.25228417962519262</v>
      </c>
      <c r="K177" s="9">
        <v>0</v>
      </c>
      <c r="L177" s="8">
        <f>+VLOOKUP($B177,NIFTY_50!$B$3:$I$1238,8,0)</f>
        <v>7.2425664480668672E-4</v>
      </c>
      <c r="M177" s="8">
        <f>+VLOOKUP($B177,NIFTY_BANK!$B$3:$I$41238,8,0)</f>
        <v>3.2397973566153926E-3</v>
      </c>
      <c r="N177" s="8">
        <f>+VLOOKUP($B177,NIFTY_IT!$B$3:$I$1238,8,0)</f>
        <v>-8.8050793409044648E-4</v>
      </c>
      <c r="O177" s="8">
        <f>+VLOOKUP($B177,NIFTY_PHARMA!$B$3:$I$1238,8,0)</f>
        <v>2.6283832571166066E-2</v>
      </c>
      <c r="P177" s="8">
        <f>+VLOOKUP($B177,NIFTY_FMCG!$B$3:$I$1238,8,0)</f>
        <v>-1.5995412047664637E-4</v>
      </c>
      <c r="Q177" s="8">
        <f>+VLOOKUP($B177,NIFTY_METAL!$B$3:$I$1238,8,0)</f>
        <v>-5.652179834656712E-3</v>
      </c>
      <c r="R177" s="8">
        <f>+VLOOKUP($B177,NIFTY_ENERGY!$B$3:$I$1238,8,0)</f>
        <v>-3.7272822149001517E-3</v>
      </c>
      <c r="S177" s="8">
        <f>+VLOOKUP($B177,NIFTY_AUTO!$B$3:$I$1238,8,0)</f>
        <v>3.0230853792598822E-3</v>
      </c>
      <c r="T177" s="8">
        <v>0</v>
      </c>
      <c r="U177" s="8">
        <f>+VLOOKUP($B177,NIFTY_50!$B$63:$K$1238,10,0)</f>
        <v>5.1997017120269717E-2</v>
      </c>
      <c r="V177" s="8">
        <f>+VLOOKUP($B177,NIFTY_BANK!$B$63:$K$1238,10,0)</f>
        <v>5.9971705438725209E-2</v>
      </c>
      <c r="W177" s="8">
        <f>+VLOOKUP($B177,NIFTY_IT!$B$63:$K$1238,10,0)</f>
        <v>3.0084891309681394E-2</v>
      </c>
      <c r="X177" s="8">
        <f>+VLOOKUP($B177,NIFTY_PHARMA!$B$63:$K$1238,10,0)</f>
        <v>-1.5185554564064785E-2</v>
      </c>
      <c r="Y177" s="8">
        <f>+VLOOKUP($B177,NIFTY_FMCG!$B$63:$K$1238,10,0)</f>
        <v>-1.1038307035111883E-2</v>
      </c>
      <c r="Z177" s="8">
        <f>+VLOOKUP($B177,NIFTY_METAL!$B$63:$K$1238,10,0)</f>
        <v>0.24542399481414501</v>
      </c>
      <c r="AA177" s="8">
        <f>+VLOOKUP($B177,NIFTY_ENERGY!$B$63:$K$1238,10,0)</f>
        <v>0.13036601611232101</v>
      </c>
      <c r="AB177" s="8">
        <f>+VLOOKUP($B177,NIFTY_AUTO!$B$63:$K$1238,10,0)</f>
        <v>7.3418466860486475E-3</v>
      </c>
      <c r="AC177" s="8"/>
      <c r="AD177" s="16">
        <f t="shared" si="97"/>
        <v>4.4329499160332901E-2</v>
      </c>
      <c r="AE177" s="8">
        <f t="shared" si="98"/>
        <v>5.1893193531662635E-2</v>
      </c>
      <c r="AF177" s="8">
        <f t="shared" si="99"/>
        <v>6.2545709977249633E-2</v>
      </c>
      <c r="AG177" s="8">
        <f t="shared" si="100"/>
        <v>0.1069113493267341</v>
      </c>
      <c r="AH177" s="8">
        <f t="shared" si="101"/>
        <v>0.10124372649911745</v>
      </c>
      <c r="AI177" s="8">
        <f t="shared" si="102"/>
        <v>9.8001823161043541E-2</v>
      </c>
      <c r="AJ177" s="8">
        <f t="shared" si="103"/>
        <v>6.7129096550491874E-2</v>
      </c>
      <c r="AK177" s="8">
        <f t="shared" si="104"/>
        <v>6.5932876469575338E-2</v>
      </c>
      <c r="AL177" s="9">
        <v>0</v>
      </c>
      <c r="AM177" s="17">
        <f t="shared" si="81"/>
        <v>22.558341938020902</v>
      </c>
      <c r="AN177" s="13">
        <f t="shared" si="82"/>
        <v>19.270349961982006</v>
      </c>
      <c r="AO177" s="13">
        <f t="shared" si="83"/>
        <v>15.988306797760227</v>
      </c>
      <c r="AP177" s="13">
        <f t="shared" si="84"/>
        <v>9.3535439062122236</v>
      </c>
      <c r="AQ177" s="13">
        <f t="shared" si="85"/>
        <v>9.8771552033766472</v>
      </c>
      <c r="AR177" s="13">
        <f t="shared" si="86"/>
        <v>10.203891802673192</v>
      </c>
      <c r="AS177" s="13">
        <f t="shared" si="87"/>
        <v>14.896670019204551</v>
      </c>
      <c r="AT177" s="13">
        <f t="shared" si="88"/>
        <v>15.166940281476252</v>
      </c>
      <c r="AU177" s="9">
        <v>0</v>
      </c>
      <c r="AV177" s="18">
        <f t="shared" si="105"/>
        <v>1</v>
      </c>
      <c r="AW177" s="18">
        <f t="shared" si="106"/>
        <v>2</v>
      </c>
      <c r="AX177" s="18">
        <f t="shared" si="107"/>
        <v>3</v>
      </c>
      <c r="AY177" s="18">
        <f t="shared" si="108"/>
        <v>8</v>
      </c>
      <c r="AZ177" s="18">
        <f t="shared" si="109"/>
        <v>7</v>
      </c>
      <c r="BA177" s="18">
        <f t="shared" si="110"/>
        <v>6</v>
      </c>
      <c r="BB177" s="18">
        <f t="shared" si="111"/>
        <v>5</v>
      </c>
      <c r="BC177" s="18">
        <f t="shared" si="112"/>
        <v>4</v>
      </c>
      <c r="BD177" s="18">
        <f t="shared" si="113"/>
        <v>9</v>
      </c>
      <c r="BE177" s="8">
        <f t="shared" si="115"/>
        <v>8.2021964273431549E-4</v>
      </c>
    </row>
    <row r="178" spans="1:57" x14ac:dyDescent="0.25">
      <c r="A178" t="str">
        <f t="shared" si="114"/>
        <v/>
      </c>
      <c r="B178" s="1">
        <v>42993</v>
      </c>
      <c r="C178" s="9">
        <f t="shared" si="89"/>
        <v>0.24879167388048329</v>
      </c>
      <c r="D178" s="9">
        <f t="shared" si="90"/>
        <v>0.24995061330357718</v>
      </c>
      <c r="E178" s="9">
        <f t="shared" si="91"/>
        <v>0</v>
      </c>
      <c r="F178" s="9">
        <f t="shared" si="92"/>
        <v>0</v>
      </c>
      <c r="G178" s="9">
        <f t="shared" si="93"/>
        <v>0</v>
      </c>
      <c r="H178" s="9">
        <f t="shared" si="94"/>
        <v>0</v>
      </c>
      <c r="I178" s="9">
        <f t="shared" si="95"/>
        <v>0.24832400037966365</v>
      </c>
      <c r="J178" s="9">
        <f t="shared" si="96"/>
        <v>0.25293371243627583</v>
      </c>
      <c r="K178" s="9">
        <v>0</v>
      </c>
      <c r="L178" s="8">
        <f>+VLOOKUP($B178,NIFTY_50!$B$3:$I$1238,8,0)</f>
        <v>-1.1896972220581947E-4</v>
      </c>
      <c r="M178" s="8">
        <f>+VLOOKUP($B178,NIFTY_BANK!$B$3:$I$41238,8,0)</f>
        <v>-2.7275737839818071E-3</v>
      </c>
      <c r="N178" s="8">
        <f>+VLOOKUP($B178,NIFTY_IT!$B$3:$I$1238,8,0)</f>
        <v>9.8799072031861002E-3</v>
      </c>
      <c r="O178" s="8">
        <f>+VLOOKUP($B178,NIFTY_PHARMA!$B$3:$I$1238,8,0)</f>
        <v>-4.5678163492647306E-3</v>
      </c>
      <c r="P178" s="8">
        <f>+VLOOKUP($B178,NIFTY_FMCG!$B$3:$I$1238,8,0)</f>
        <v>-4.7720776877078208E-3</v>
      </c>
      <c r="Q178" s="8">
        <f>+VLOOKUP($B178,NIFTY_METAL!$B$3:$I$1238,8,0)</f>
        <v>3.5338593030900256E-3</v>
      </c>
      <c r="R178" s="8">
        <f>+VLOOKUP($B178,NIFTY_ENERGY!$B$3:$I$1238,8,0)</f>
        <v>-1.3169118417312164E-3</v>
      </c>
      <c r="S178" s="8">
        <f>+VLOOKUP($B178,NIFTY_AUTO!$B$3:$I$1238,8,0)</f>
        <v>2.0504155630651777E-3</v>
      </c>
      <c r="T178" s="8">
        <v>0</v>
      </c>
      <c r="U178" s="8">
        <f>+VLOOKUP($B178,NIFTY_50!$B$63:$K$1238,10,0)</f>
        <v>4.4302126315680423E-2</v>
      </c>
      <c r="V178" s="8">
        <f>+VLOOKUP($B178,NIFTY_BANK!$B$63:$K$1238,10,0)</f>
        <v>4.642165936951792E-2</v>
      </c>
      <c r="W178" s="8">
        <f>+VLOOKUP($B178,NIFTY_IT!$B$63:$K$1238,10,0)</f>
        <v>3.9405171652987514E-2</v>
      </c>
      <c r="X178" s="8">
        <f>+VLOOKUP($B178,NIFTY_PHARMA!$B$63:$K$1238,10,0)</f>
        <v>-1.593390380643267E-2</v>
      </c>
      <c r="Y178" s="8">
        <f>+VLOOKUP($B178,NIFTY_FMCG!$B$63:$K$1238,10,0)</f>
        <v>-2.3738667962941329E-2</v>
      </c>
      <c r="Z178" s="8">
        <f>+VLOOKUP($B178,NIFTY_METAL!$B$63:$K$1238,10,0)</f>
        <v>0.22830606223175964</v>
      </c>
      <c r="AA178" s="8">
        <f>+VLOOKUP($B178,NIFTY_ENERGY!$B$63:$K$1238,10,0)</f>
        <v>0.12035389316052769</v>
      </c>
      <c r="AB178" s="8">
        <f>+VLOOKUP($B178,NIFTY_AUTO!$B$63:$K$1238,10,0)</f>
        <v>7.1741345597753359E-3</v>
      </c>
      <c r="AC178" s="8"/>
      <c r="AD178" s="16">
        <f t="shared" si="97"/>
        <v>4.3865404712392989E-2</v>
      </c>
      <c r="AE178" s="8">
        <f t="shared" si="98"/>
        <v>5.1177101980702161E-2</v>
      </c>
      <c r="AF178" s="8">
        <f t="shared" si="99"/>
        <v>6.3231103163906469E-2</v>
      </c>
      <c r="AG178" s="8">
        <f t="shared" si="100"/>
        <v>0.10693985185689073</v>
      </c>
      <c r="AH178" s="8">
        <f t="shared" si="101"/>
        <v>0.10099991815672807</v>
      </c>
      <c r="AI178" s="8">
        <f t="shared" si="102"/>
        <v>9.7003763536506929E-2</v>
      </c>
      <c r="AJ178" s="8">
        <f t="shared" si="103"/>
        <v>6.6973256175996726E-2</v>
      </c>
      <c r="AK178" s="8">
        <f t="shared" si="104"/>
        <v>6.59278665399681E-2</v>
      </c>
      <c r="AL178" s="9">
        <v>0</v>
      </c>
      <c r="AM178" s="17">
        <f t="shared" si="81"/>
        <v>22.797008406888743</v>
      </c>
      <c r="AN178" s="13">
        <f t="shared" si="82"/>
        <v>19.539988809391346</v>
      </c>
      <c r="AO178" s="13">
        <f t="shared" si="83"/>
        <v>15.815001636264656</v>
      </c>
      <c r="AP178" s="13">
        <f t="shared" si="84"/>
        <v>9.3510509191486637</v>
      </c>
      <c r="AQ178" s="13">
        <f t="shared" si="85"/>
        <v>9.9009981220800167</v>
      </c>
      <c r="AR178" s="13">
        <f t="shared" si="86"/>
        <v>10.308878372782459</v>
      </c>
      <c r="AS178" s="13">
        <f t="shared" si="87"/>
        <v>14.931333148445615</v>
      </c>
      <c r="AT178" s="13">
        <f t="shared" si="88"/>
        <v>15.168092833608686</v>
      </c>
      <c r="AU178" s="9">
        <v>0</v>
      </c>
      <c r="AV178" s="18">
        <f t="shared" si="105"/>
        <v>1</v>
      </c>
      <c r="AW178" s="18">
        <f t="shared" si="106"/>
        <v>2</v>
      </c>
      <c r="AX178" s="18">
        <f t="shared" si="107"/>
        <v>3</v>
      </c>
      <c r="AY178" s="18">
        <f t="shared" si="108"/>
        <v>8</v>
      </c>
      <c r="AZ178" s="18">
        <f t="shared" si="109"/>
        <v>7</v>
      </c>
      <c r="BA178" s="18">
        <f t="shared" si="110"/>
        <v>6</v>
      </c>
      <c r="BB178" s="18">
        <f t="shared" si="111"/>
        <v>5</v>
      </c>
      <c r="BC178" s="18">
        <f t="shared" si="112"/>
        <v>4</v>
      </c>
      <c r="BD178" s="18">
        <f t="shared" si="113"/>
        <v>9</v>
      </c>
      <c r="BE178" s="8">
        <f t="shared" si="115"/>
        <v>-5.2284609113912553E-4</v>
      </c>
    </row>
    <row r="179" spans="1:57" x14ac:dyDescent="0.25">
      <c r="A179" t="str">
        <f t="shared" si="114"/>
        <v/>
      </c>
      <c r="B179" s="1">
        <v>42996</v>
      </c>
      <c r="C179" s="9">
        <f t="shared" si="89"/>
        <v>0.24863489424776744</v>
      </c>
      <c r="D179" s="9">
        <f t="shared" si="90"/>
        <v>0.25015093155938711</v>
      </c>
      <c r="E179" s="9">
        <f t="shared" si="91"/>
        <v>0</v>
      </c>
      <c r="F179" s="9">
        <f t="shared" si="92"/>
        <v>0</v>
      </c>
      <c r="G179" s="9">
        <f t="shared" si="93"/>
        <v>0</v>
      </c>
      <c r="H179" s="9">
        <f t="shared" si="94"/>
        <v>0</v>
      </c>
      <c r="I179" s="9">
        <f t="shared" si="95"/>
        <v>0.24707238236973653</v>
      </c>
      <c r="J179" s="9">
        <f t="shared" si="96"/>
        <v>0.25414179182310892</v>
      </c>
      <c r="K179" s="9">
        <v>0</v>
      </c>
      <c r="L179" s="8">
        <f>+VLOOKUP($B179,NIFTY_50!$B$3:$I$1238,8,0)</f>
        <v>6.7126737660381242E-3</v>
      </c>
      <c r="M179" s="8">
        <f>+VLOOKUP($B179,NIFTY_BANK!$B$3:$I$41238,8,0)</f>
        <v>8.1547880197874179E-3</v>
      </c>
      <c r="N179" s="8">
        <f>+VLOOKUP($B179,NIFTY_IT!$B$3:$I$1238,8,0)</f>
        <v>4.6935069223330572E-3</v>
      </c>
      <c r="O179" s="8">
        <f>+VLOOKUP($B179,NIFTY_PHARMA!$B$3:$I$1238,8,0)</f>
        <v>1.6598843435411403E-4</v>
      </c>
      <c r="P179" s="8">
        <f>+VLOOKUP($B179,NIFTY_FMCG!$B$3:$I$1238,8,0)</f>
        <v>2.8385533571577692E-3</v>
      </c>
      <c r="Q179" s="8">
        <f>+VLOOKUP($B179,NIFTY_METAL!$B$3:$I$1238,8,0)</f>
        <v>7.2202658804902953E-3</v>
      </c>
      <c r="R179" s="8">
        <f>+VLOOKUP($B179,NIFTY_ENERGY!$B$3:$I$1238,8,0)</f>
        <v>2.2701730726004676E-3</v>
      </c>
      <c r="S179" s="8">
        <f>+VLOOKUP($B179,NIFTY_AUTO!$B$3:$I$1238,8,0)</f>
        <v>1.215883041895105E-2</v>
      </c>
      <c r="T179" s="8">
        <v>0</v>
      </c>
      <c r="U179" s="8">
        <f>+VLOOKUP($B179,NIFTY_50!$B$63:$K$1238,10,0)</f>
        <v>5.1753250116538085E-2</v>
      </c>
      <c r="V179" s="8">
        <f>+VLOOKUP($B179,NIFTY_BANK!$B$63:$K$1238,10,0)</f>
        <v>5.6922645207707845E-2</v>
      </c>
      <c r="W179" s="8">
        <f>+VLOOKUP($B179,NIFTY_IT!$B$63:$K$1238,10,0)</f>
        <v>3.4941860747622622E-2</v>
      </c>
      <c r="X179" s="8">
        <f>+VLOOKUP($B179,NIFTY_PHARMA!$B$63:$K$1238,10,0)</f>
        <v>-1.5012813887512078E-2</v>
      </c>
      <c r="Y179" s="8">
        <f>+VLOOKUP($B179,NIFTY_FMCG!$B$63:$K$1238,10,0)</f>
        <v>-1.8314716058574931E-2</v>
      </c>
      <c r="Z179" s="8">
        <f>+VLOOKUP($B179,NIFTY_METAL!$B$63:$K$1238,10,0)</f>
        <v>0.23456686853816056</v>
      </c>
      <c r="AA179" s="8">
        <f>+VLOOKUP($B179,NIFTY_ENERGY!$B$63:$K$1238,10,0)</f>
        <v>0.12102471277371341</v>
      </c>
      <c r="AB179" s="8">
        <f>+VLOOKUP($B179,NIFTY_AUTO!$B$63:$K$1238,10,0)</f>
        <v>1.8728155072609942E-2</v>
      </c>
      <c r="AC179" s="8"/>
      <c r="AD179" s="16">
        <f t="shared" si="97"/>
        <v>4.4247698111954323E-2</v>
      </c>
      <c r="AE179" s="8">
        <f t="shared" si="98"/>
        <v>5.1625070316840625E-2</v>
      </c>
      <c r="AF179" s="8">
        <f t="shared" si="99"/>
        <v>6.2802817438840461E-2</v>
      </c>
      <c r="AG179" s="8">
        <f t="shared" si="100"/>
        <v>0.10693862924972533</v>
      </c>
      <c r="AH179" s="8">
        <f t="shared" si="101"/>
        <v>0.10101810861035775</v>
      </c>
      <c r="AI179" s="8">
        <f t="shared" si="102"/>
        <v>9.7065389148560277E-2</v>
      </c>
      <c r="AJ179" s="8">
        <f t="shared" si="103"/>
        <v>6.6973828019399995E-2</v>
      </c>
      <c r="AK179" s="8">
        <f t="shared" si="104"/>
        <v>6.6993940170894467E-2</v>
      </c>
      <c r="AL179" s="9">
        <v>0</v>
      </c>
      <c r="AM179" s="17">
        <f t="shared" si="81"/>
        <v>22.600045712430671</v>
      </c>
      <c r="AN179" s="13">
        <f t="shared" si="82"/>
        <v>19.370433664548244</v>
      </c>
      <c r="AO179" s="13">
        <f t="shared" si="83"/>
        <v>15.92285252128751</v>
      </c>
      <c r="AP179" s="13">
        <f t="shared" si="84"/>
        <v>9.3511578277740881</v>
      </c>
      <c r="AQ179" s="13">
        <f t="shared" si="85"/>
        <v>9.8992152373110898</v>
      </c>
      <c r="AR179" s="13">
        <f t="shared" si="86"/>
        <v>10.302333393723714</v>
      </c>
      <c r="AS179" s="13">
        <f t="shared" si="87"/>
        <v>14.931205660072688</v>
      </c>
      <c r="AT179" s="13">
        <f t="shared" si="88"/>
        <v>14.926723184949349</v>
      </c>
      <c r="AU179" s="9">
        <v>0</v>
      </c>
      <c r="AV179" s="18">
        <f t="shared" si="105"/>
        <v>1</v>
      </c>
      <c r="AW179" s="18">
        <f t="shared" si="106"/>
        <v>2</v>
      </c>
      <c r="AX179" s="18">
        <f t="shared" si="107"/>
        <v>3</v>
      </c>
      <c r="AY179" s="18">
        <f t="shared" si="108"/>
        <v>8</v>
      </c>
      <c r="AZ179" s="18">
        <f t="shared" si="109"/>
        <v>7</v>
      </c>
      <c r="BA179" s="18">
        <f t="shared" si="110"/>
        <v>6</v>
      </c>
      <c r="BB179" s="18">
        <f t="shared" si="111"/>
        <v>4</v>
      </c>
      <c r="BC179" s="18">
        <f t="shared" si="112"/>
        <v>5</v>
      </c>
      <c r="BD179" s="18">
        <f t="shared" si="113"/>
        <v>9</v>
      </c>
      <c r="BE179" s="8">
        <f t="shared" si="115"/>
        <v>7.3474681850635108E-3</v>
      </c>
    </row>
    <row r="180" spans="1:57" x14ac:dyDescent="0.25">
      <c r="A180" t="str">
        <f t="shared" si="114"/>
        <v/>
      </c>
      <c r="B180" s="1">
        <v>42997</v>
      </c>
      <c r="C180" s="9">
        <f t="shared" si="89"/>
        <v>0.24800517662349258</v>
      </c>
      <c r="D180" s="9">
        <f t="shared" si="90"/>
        <v>0.24960051693351232</v>
      </c>
      <c r="E180" s="9">
        <f t="shared" si="91"/>
        <v>0</v>
      </c>
      <c r="F180" s="9">
        <f t="shared" si="92"/>
        <v>0</v>
      </c>
      <c r="G180" s="9">
        <f t="shared" si="93"/>
        <v>0</v>
      </c>
      <c r="H180" s="9">
        <f t="shared" si="94"/>
        <v>0</v>
      </c>
      <c r="I180" s="9">
        <f t="shared" si="95"/>
        <v>0.24725236596126857</v>
      </c>
      <c r="J180" s="9">
        <f t="shared" si="96"/>
        <v>0.25514194048172656</v>
      </c>
      <c r="K180" s="9">
        <v>0</v>
      </c>
      <c r="L180" s="8">
        <f>+VLOOKUP($B180,NIFTY_50!$B$3:$I$1238,8,0)</f>
        <v>-5.4663107819297174E-4</v>
      </c>
      <c r="M180" s="8">
        <f>+VLOOKUP($B180,NIFTY_BANK!$B$3:$I$41238,8,0)</f>
        <v>-2.1359928773634351E-4</v>
      </c>
      <c r="N180" s="8">
        <f>+VLOOKUP($B180,NIFTY_IT!$B$3:$I$1238,8,0)</f>
        <v>5.0237100333361262E-4</v>
      </c>
      <c r="O180" s="8">
        <f>+VLOOKUP($B180,NIFTY_PHARMA!$B$3:$I$1238,8,0)</f>
        <v>-4.882462217130179E-3</v>
      </c>
      <c r="P180" s="8">
        <f>+VLOOKUP($B180,NIFTY_FMCG!$B$3:$I$1238,8,0)</f>
        <v>2.7386442049626147E-3</v>
      </c>
      <c r="Q180" s="8">
        <f>+VLOOKUP($B180,NIFTY_METAL!$B$3:$I$1238,8,0)</f>
        <v>-7.1956094586355102E-3</v>
      </c>
      <c r="R180" s="8">
        <f>+VLOOKUP($B180,NIFTY_ENERGY!$B$3:$I$1238,8,0)</f>
        <v>2.7210274121087785E-3</v>
      </c>
      <c r="S180" s="8">
        <f>+VLOOKUP($B180,NIFTY_AUTO!$B$3:$I$1238,8,0)</f>
        <v>5.9343440028456484E-3</v>
      </c>
      <c r="T180" s="8">
        <v>0</v>
      </c>
      <c r="U180" s="8">
        <f>+VLOOKUP($B180,NIFTY_50!$B$63:$K$1238,10,0)</f>
        <v>5.3349734263411275E-2</v>
      </c>
      <c r="V180" s="8">
        <f>+VLOOKUP($B180,NIFTY_BANK!$B$63:$K$1238,10,0)</f>
        <v>5.62155322402067E-2</v>
      </c>
      <c r="W180" s="8">
        <f>+VLOOKUP($B180,NIFTY_IT!$B$63:$K$1238,10,0)</f>
        <v>4.2202202789678678E-2</v>
      </c>
      <c r="X180" s="8">
        <f>+VLOOKUP($B180,NIFTY_PHARMA!$B$63:$K$1238,10,0)</f>
        <v>-1.7220412824633935E-2</v>
      </c>
      <c r="Y180" s="8">
        <f>+VLOOKUP($B180,NIFTY_FMCG!$B$63:$K$1238,10,0)</f>
        <v>-2.3169280280308846E-2</v>
      </c>
      <c r="Z180" s="8">
        <f>+VLOOKUP($B180,NIFTY_METAL!$B$63:$K$1238,10,0)</f>
        <v>0.24027018333869399</v>
      </c>
      <c r="AA180" s="8">
        <f>+VLOOKUP($B180,NIFTY_ENERGY!$B$63:$K$1238,10,0)</f>
        <v>0.12740537155872711</v>
      </c>
      <c r="AB180" s="8">
        <f>+VLOOKUP($B180,NIFTY_AUTO!$B$63:$K$1238,10,0)</f>
        <v>3.0939965852983198E-2</v>
      </c>
      <c r="AC180" s="8"/>
      <c r="AD180" s="16">
        <f t="shared" si="97"/>
        <v>4.4173688697623739E-2</v>
      </c>
      <c r="AE180" s="8">
        <f t="shared" si="98"/>
        <v>5.1635484098901993E-2</v>
      </c>
      <c r="AF180" s="8">
        <f t="shared" si="99"/>
        <v>6.2398086712189868E-2</v>
      </c>
      <c r="AG180" s="8">
        <f t="shared" si="100"/>
        <v>0.10701369165743294</v>
      </c>
      <c r="AH180" s="8">
        <f t="shared" si="101"/>
        <v>0.10074695700611333</v>
      </c>
      <c r="AI180" s="8">
        <f t="shared" si="102"/>
        <v>9.6449493178397266E-2</v>
      </c>
      <c r="AJ180" s="8">
        <f t="shared" si="103"/>
        <v>6.6797828463400932E-2</v>
      </c>
      <c r="AK180" s="8">
        <f t="shared" si="104"/>
        <v>6.6911674965777476E-2</v>
      </c>
      <c r="AL180" s="9">
        <v>0</v>
      </c>
      <c r="AM180" s="17">
        <f t="shared" si="81"/>
        <v>22.637910246644029</v>
      </c>
      <c r="AN180" s="13">
        <f t="shared" si="82"/>
        <v>19.366527058884774</v>
      </c>
      <c r="AO180" s="13">
        <f t="shared" si="83"/>
        <v>16.02613241352228</v>
      </c>
      <c r="AP180" s="13">
        <f t="shared" si="84"/>
        <v>9.3445986631425786</v>
      </c>
      <c r="AQ180" s="13">
        <f t="shared" si="85"/>
        <v>9.9258581074495371</v>
      </c>
      <c r="AR180" s="13">
        <f t="shared" si="86"/>
        <v>10.368120837611407</v>
      </c>
      <c r="AS180" s="13">
        <f t="shared" si="87"/>
        <v>14.970546543259383</v>
      </c>
      <c r="AT180" s="13">
        <f t="shared" si="88"/>
        <v>14.945074988953097</v>
      </c>
      <c r="AU180" s="9">
        <v>0</v>
      </c>
      <c r="AV180" s="18">
        <f t="shared" si="105"/>
        <v>1</v>
      </c>
      <c r="AW180" s="18">
        <f t="shared" si="106"/>
        <v>2</v>
      </c>
      <c r="AX180" s="18">
        <f t="shared" si="107"/>
        <v>3</v>
      </c>
      <c r="AY180" s="18">
        <f t="shared" si="108"/>
        <v>8</v>
      </c>
      <c r="AZ180" s="18">
        <f t="shared" si="109"/>
        <v>7</v>
      </c>
      <c r="BA180" s="18">
        <f t="shared" si="110"/>
        <v>6</v>
      </c>
      <c r="BB180" s="18">
        <f t="shared" si="111"/>
        <v>4</v>
      </c>
      <c r="BC180" s="18">
        <f t="shared" si="112"/>
        <v>5</v>
      </c>
      <c r="BD180" s="18">
        <f t="shared" si="113"/>
        <v>9</v>
      </c>
      <c r="BE180" s="8">
        <f t="shared" si="115"/>
        <v>1.991111922254268E-3</v>
      </c>
    </row>
    <row r="181" spans="1:57" x14ac:dyDescent="0.25">
      <c r="A181" t="str">
        <f t="shared" si="114"/>
        <v/>
      </c>
      <c r="B181" s="1">
        <v>42998</v>
      </c>
      <c r="C181" s="9">
        <f t="shared" si="89"/>
        <v>0.24847460449446421</v>
      </c>
      <c r="D181" s="9">
        <f t="shared" si="90"/>
        <v>0.24946634786361369</v>
      </c>
      <c r="E181" s="9">
        <f t="shared" si="91"/>
        <v>0</v>
      </c>
      <c r="F181" s="9">
        <f t="shared" si="92"/>
        <v>0</v>
      </c>
      <c r="G181" s="9">
        <f t="shared" si="93"/>
        <v>0</v>
      </c>
      <c r="H181" s="9">
        <f t="shared" si="94"/>
        <v>0</v>
      </c>
      <c r="I181" s="9">
        <f t="shared" si="95"/>
        <v>0.24781387342504424</v>
      </c>
      <c r="J181" s="9">
        <f t="shared" si="96"/>
        <v>0.25424517421687787</v>
      </c>
      <c r="K181" s="9">
        <v>0</v>
      </c>
      <c r="L181" s="8">
        <f>+VLOOKUP($B181,NIFTY_50!$B$3:$I$1238,8,0)</f>
        <v>-6.3069410843008544E-4</v>
      </c>
      <c r="M181" s="8">
        <f>+VLOOKUP($B181,NIFTY_BANK!$B$3:$I$41238,8,0)</f>
        <v>-3.054922718441988E-3</v>
      </c>
      <c r="N181" s="8">
        <f>+VLOOKUP($B181,NIFTY_IT!$B$3:$I$1238,8,0)</f>
        <v>-3.2848890411407705E-4</v>
      </c>
      <c r="O181" s="8">
        <f>+VLOOKUP($B181,NIFTY_PHARMA!$B$3:$I$1238,8,0)</f>
        <v>2.7867591282499937E-3</v>
      </c>
      <c r="P181" s="8">
        <f>+VLOOKUP($B181,NIFTY_FMCG!$B$3:$I$1238,8,0)</f>
        <v>1.9552876592690005E-3</v>
      </c>
      <c r="Q181" s="8">
        <f>+VLOOKUP($B181,NIFTY_METAL!$B$3:$I$1238,8,0)</f>
        <v>-7.2341122515817702E-4</v>
      </c>
      <c r="R181" s="8">
        <f>+VLOOKUP($B181,NIFTY_ENERGY!$B$3:$I$1238,8,0)</f>
        <v>-2.5347219633664597E-4</v>
      </c>
      <c r="S181" s="8">
        <f>+VLOOKUP($B181,NIFTY_AUTO!$B$3:$I$1238,8,0)</f>
        <v>-6.0246626233689815E-3</v>
      </c>
      <c r="T181" s="8">
        <v>0</v>
      </c>
      <c r="U181" s="8">
        <f>+VLOOKUP($B181,NIFTY_50!$B$63:$K$1238,10,0)</f>
        <v>5.3078920041536914E-2</v>
      </c>
      <c r="V181" s="8">
        <f>+VLOOKUP($B181,NIFTY_BANK!$B$63:$K$1238,10,0)</f>
        <v>5.1775565488854536E-2</v>
      </c>
      <c r="W181" s="8">
        <f>+VLOOKUP($B181,NIFTY_IT!$B$63:$K$1238,10,0)</f>
        <v>4.4296071885524535E-2</v>
      </c>
      <c r="X181" s="8">
        <f>+VLOOKUP($B181,NIFTY_PHARMA!$B$63:$K$1238,10,0)</f>
        <v>-1.6021580303222316E-2</v>
      </c>
      <c r="Y181" s="8">
        <f>+VLOOKUP($B181,NIFTY_FMCG!$B$63:$K$1238,10,0)</f>
        <v>-1.8678616296963879E-2</v>
      </c>
      <c r="Z181" s="8">
        <f>+VLOOKUP($B181,NIFTY_METAL!$B$63:$K$1238,10,0)</f>
        <v>0.25677647503132883</v>
      </c>
      <c r="AA181" s="8">
        <f>+VLOOKUP($B181,NIFTY_ENERGY!$B$63:$K$1238,10,0)</f>
        <v>0.13536441334467808</v>
      </c>
      <c r="AB181" s="8">
        <f>+VLOOKUP($B181,NIFTY_AUTO!$B$63:$K$1238,10,0)</f>
        <v>2.6125730656377799E-2</v>
      </c>
      <c r="AC181" s="8"/>
      <c r="AD181" s="16">
        <f t="shared" si="97"/>
        <v>4.4181649914769937E-2</v>
      </c>
      <c r="AE181" s="8">
        <f t="shared" si="98"/>
        <v>5.1784831506782814E-2</v>
      </c>
      <c r="AF181" s="8">
        <f t="shared" si="99"/>
        <v>6.2331980867738584E-2</v>
      </c>
      <c r="AG181" s="8">
        <f t="shared" si="100"/>
        <v>0.10704059424126504</v>
      </c>
      <c r="AH181" s="8">
        <f t="shared" si="101"/>
        <v>0.10074353950736982</v>
      </c>
      <c r="AI181" s="8">
        <f t="shared" si="102"/>
        <v>9.4940114921753055E-2</v>
      </c>
      <c r="AJ181" s="8">
        <f t="shared" si="103"/>
        <v>6.6184440024728119E-2</v>
      </c>
      <c r="AK181" s="8">
        <f t="shared" si="104"/>
        <v>6.7203144215024296E-2</v>
      </c>
      <c r="AL181" s="9">
        <v>0</v>
      </c>
      <c r="AM181" s="17">
        <f t="shared" si="81"/>
        <v>22.633831057216806</v>
      </c>
      <c r="AN181" s="13">
        <f t="shared" si="82"/>
        <v>19.310674012119154</v>
      </c>
      <c r="AO181" s="13">
        <f t="shared" si="83"/>
        <v>16.043128841387006</v>
      </c>
      <c r="AP181" s="13">
        <f t="shared" si="84"/>
        <v>9.342250078937731</v>
      </c>
      <c r="AQ181" s="13">
        <f t="shared" si="85"/>
        <v>9.9261948199352847</v>
      </c>
      <c r="AR181" s="13">
        <f t="shared" si="86"/>
        <v>10.532955440639308</v>
      </c>
      <c r="AS181" s="13">
        <f t="shared" si="87"/>
        <v>15.109291543848911</v>
      </c>
      <c r="AT181" s="13">
        <f t="shared" si="88"/>
        <v>14.880256149926311</v>
      </c>
      <c r="AU181" s="9">
        <v>0</v>
      </c>
      <c r="AV181" s="18">
        <f t="shared" si="105"/>
        <v>1</v>
      </c>
      <c r="AW181" s="18">
        <f t="shared" si="106"/>
        <v>2</v>
      </c>
      <c r="AX181" s="18">
        <f t="shared" si="107"/>
        <v>3</v>
      </c>
      <c r="AY181" s="18">
        <f t="shared" si="108"/>
        <v>8</v>
      </c>
      <c r="AZ181" s="18">
        <f t="shared" si="109"/>
        <v>7</v>
      </c>
      <c r="BA181" s="18">
        <f t="shared" si="110"/>
        <v>6</v>
      </c>
      <c r="BB181" s="18">
        <f t="shared" si="111"/>
        <v>4</v>
      </c>
      <c r="BC181" s="18">
        <f t="shared" si="112"/>
        <v>5</v>
      </c>
      <c r="BD181" s="18">
        <f t="shared" si="113"/>
        <v>9</v>
      </c>
      <c r="BE181" s="8">
        <f t="shared" si="115"/>
        <v>-2.5187414061953765E-3</v>
      </c>
    </row>
    <row r="182" spans="1:57" x14ac:dyDescent="0.25">
      <c r="A182" t="str">
        <f t="shared" si="114"/>
        <v/>
      </c>
      <c r="B182" s="1">
        <v>42999</v>
      </c>
      <c r="C182" s="9">
        <f t="shared" si="89"/>
        <v>0.24917969673949422</v>
      </c>
      <c r="D182" s="9">
        <f t="shared" si="90"/>
        <v>0.24898540174594147</v>
      </c>
      <c r="E182" s="9">
        <f t="shared" si="91"/>
        <v>0</v>
      </c>
      <c r="F182" s="9">
        <f t="shared" si="92"/>
        <v>0</v>
      </c>
      <c r="G182" s="9">
        <f t="shared" si="93"/>
        <v>0</v>
      </c>
      <c r="H182" s="9">
        <f t="shared" si="94"/>
        <v>0</v>
      </c>
      <c r="I182" s="9">
        <f t="shared" si="95"/>
        <v>0.24756934531037958</v>
      </c>
      <c r="J182" s="9">
        <f t="shared" si="96"/>
        <v>0.25426555620418484</v>
      </c>
      <c r="K182" s="9">
        <v>0</v>
      </c>
      <c r="L182" s="8">
        <f>+VLOOKUP($B182,NIFTY_50!$B$3:$I$1238,8,0)</f>
        <v>-1.8982068108646111E-3</v>
      </c>
      <c r="M182" s="8">
        <f>+VLOOKUP($B182,NIFTY_BANK!$B$3:$I$41238,8,0)</f>
        <v>-6.6412845157529654E-3</v>
      </c>
      <c r="N182" s="8">
        <f>+VLOOKUP($B182,NIFTY_IT!$B$3:$I$1238,8,0)</f>
        <v>2.3471203180824851E-4</v>
      </c>
      <c r="O182" s="8">
        <f>+VLOOKUP($B182,NIFTY_PHARMA!$B$3:$I$1238,8,0)</f>
        <v>3.3251608126740217E-2</v>
      </c>
      <c r="P182" s="8">
        <f>+VLOOKUP($B182,NIFTY_FMCG!$B$3:$I$1238,8,0)</f>
        <v>-8.1269176665609288E-3</v>
      </c>
      <c r="Q182" s="8">
        <f>+VLOOKUP($B182,NIFTY_METAL!$B$3:$I$1238,8,0)</f>
        <v>-5.9417300678860085E-3</v>
      </c>
      <c r="R182" s="8">
        <f>+VLOOKUP($B182,NIFTY_ENERGY!$B$3:$I$1238,8,0)</f>
        <v>-5.704570367553341E-3</v>
      </c>
      <c r="S182" s="8">
        <f>+VLOOKUP($B182,NIFTY_AUTO!$B$3:$I$1238,8,0)</f>
        <v>-4.6427011424378106E-3</v>
      </c>
      <c r="T182" s="8">
        <v>0</v>
      </c>
      <c r="U182" s="8">
        <f>+VLOOKUP($B182,NIFTY_50!$B$63:$K$1238,10,0)</f>
        <v>5.712301369719941E-2</v>
      </c>
      <c r="V182" s="8">
        <f>+VLOOKUP($B182,NIFTY_BANK!$B$63:$K$1238,10,0)</f>
        <v>5.3370995317029601E-2</v>
      </c>
      <c r="W182" s="8">
        <f>+VLOOKUP($B182,NIFTY_IT!$B$63:$K$1238,10,0)</f>
        <v>4.7514404263268695E-2</v>
      </c>
      <c r="X182" s="8">
        <f>+VLOOKUP($B182,NIFTY_PHARMA!$B$63:$K$1238,10,0)</f>
        <v>1.5994682506607294E-2</v>
      </c>
      <c r="Y182" s="8">
        <f>+VLOOKUP($B182,NIFTY_FMCG!$B$63:$K$1238,10,0)</f>
        <v>-2.5766467855456998E-2</v>
      </c>
      <c r="Z182" s="8">
        <f>+VLOOKUP($B182,NIFTY_METAL!$B$63:$K$1238,10,0)</f>
        <v>0.25805559397040523</v>
      </c>
      <c r="AA182" s="8">
        <f>+VLOOKUP($B182,NIFTY_ENERGY!$B$63:$K$1238,10,0)</f>
        <v>0.13298353690918741</v>
      </c>
      <c r="AB182" s="8">
        <f>+VLOOKUP($B182,NIFTY_AUTO!$B$63:$K$1238,10,0)</f>
        <v>3.8961405223996159E-2</v>
      </c>
      <c r="AC182" s="8"/>
      <c r="AD182" s="16">
        <f t="shared" si="97"/>
        <v>4.3773328554731566E-2</v>
      </c>
      <c r="AE182" s="8">
        <f t="shared" si="98"/>
        <v>5.1544413933585956E-2</v>
      </c>
      <c r="AF182" s="8">
        <f t="shared" si="99"/>
        <v>6.2229863214310129E-2</v>
      </c>
      <c r="AG182" s="8">
        <f t="shared" si="100"/>
        <v>0.1120563415187021</v>
      </c>
      <c r="AH182" s="8">
        <f t="shared" si="101"/>
        <v>0.10104644073010952</v>
      </c>
      <c r="AI182" s="8">
        <f t="shared" si="102"/>
        <v>9.483058384571226E-2</v>
      </c>
      <c r="AJ182" s="8">
        <f t="shared" si="103"/>
        <v>6.6397572457278925E-2</v>
      </c>
      <c r="AK182" s="8">
        <f t="shared" si="104"/>
        <v>6.5092799096235596E-2</v>
      </c>
      <c r="AL182" s="9">
        <v>0</v>
      </c>
      <c r="AM182" s="17">
        <f t="shared" si="81"/>
        <v>22.844961372989022</v>
      </c>
      <c r="AN182" s="13">
        <f t="shared" si="82"/>
        <v>19.400744400518004</v>
      </c>
      <c r="AO182" s="13">
        <f t="shared" si="83"/>
        <v>16.069455215676001</v>
      </c>
      <c r="AP182" s="13">
        <f t="shared" si="84"/>
        <v>8.9240821755107973</v>
      </c>
      <c r="AQ182" s="13">
        <f t="shared" si="85"/>
        <v>9.8964396249339934</v>
      </c>
      <c r="AR182" s="13">
        <f t="shared" si="86"/>
        <v>10.545121198736716</v>
      </c>
      <c r="AS182" s="13">
        <f t="shared" si="87"/>
        <v>15.060791577032628</v>
      </c>
      <c r="AT182" s="13">
        <f t="shared" si="88"/>
        <v>15.362682414710161</v>
      </c>
      <c r="AU182" s="9">
        <v>0</v>
      </c>
      <c r="AV182" s="18">
        <f t="shared" si="105"/>
        <v>1</v>
      </c>
      <c r="AW182" s="18">
        <f t="shared" si="106"/>
        <v>2</v>
      </c>
      <c r="AX182" s="18">
        <f t="shared" si="107"/>
        <v>3</v>
      </c>
      <c r="AY182" s="18">
        <f t="shared" si="108"/>
        <v>8</v>
      </c>
      <c r="AZ182" s="18">
        <f t="shared" si="109"/>
        <v>7</v>
      </c>
      <c r="BA182" s="18">
        <f t="shared" si="110"/>
        <v>6</v>
      </c>
      <c r="BB182" s="18">
        <f t="shared" si="111"/>
        <v>5</v>
      </c>
      <c r="BC182" s="18">
        <f t="shared" si="112"/>
        <v>4</v>
      </c>
      <c r="BD182" s="18">
        <f t="shared" si="113"/>
        <v>9</v>
      </c>
      <c r="BE182" s="8">
        <f t="shared" si="115"/>
        <v>-4.7224892196514635E-3</v>
      </c>
    </row>
    <row r="183" spans="1:57" x14ac:dyDescent="0.25">
      <c r="A183" t="str">
        <f t="shared" si="114"/>
        <v/>
      </c>
      <c r="B183" s="1">
        <v>43000</v>
      </c>
      <c r="C183" s="9">
        <f t="shared" si="89"/>
        <v>0.24939279949216311</v>
      </c>
      <c r="D183" s="9">
        <f t="shared" si="90"/>
        <v>0.24874394589375004</v>
      </c>
      <c r="E183" s="9">
        <f t="shared" si="91"/>
        <v>0</v>
      </c>
      <c r="F183" s="9">
        <f t="shared" si="92"/>
        <v>0</v>
      </c>
      <c r="G183" s="9">
        <f t="shared" si="93"/>
        <v>0</v>
      </c>
      <c r="H183" s="9">
        <f t="shared" si="94"/>
        <v>0</v>
      </c>
      <c r="I183" s="9">
        <f t="shared" si="95"/>
        <v>0.24627807730373105</v>
      </c>
      <c r="J183" s="9">
        <f t="shared" si="96"/>
        <v>0.25558517731035574</v>
      </c>
      <c r="K183" s="9">
        <v>0</v>
      </c>
      <c r="L183" s="8">
        <f>+VLOOKUP($B183,NIFTY_50!$B$3:$I$1238,8,0)</f>
        <v>-1.5560319702822567E-2</v>
      </c>
      <c r="M183" s="8">
        <f>+VLOOKUP($B183,NIFTY_BANK!$B$3:$I$41238,8,0)</f>
        <v>-1.7355363569462878E-2</v>
      </c>
      <c r="N183" s="8">
        <f>+VLOOKUP($B183,NIFTY_IT!$B$3:$I$1238,8,0)</f>
        <v>-2.0415155084781977E-3</v>
      </c>
      <c r="O183" s="8">
        <f>+VLOOKUP($B183,NIFTY_PHARMA!$B$3:$I$1238,8,0)</f>
        <v>-1.706170980555044E-2</v>
      </c>
      <c r="P183" s="8">
        <f>+VLOOKUP($B183,NIFTY_FMCG!$B$3:$I$1238,8,0)</f>
        <v>-1.0567013342644316E-2</v>
      </c>
      <c r="Q183" s="8">
        <f>+VLOOKUP($B183,NIFTY_METAL!$B$3:$I$1238,8,0)</f>
        <v>-4.0397933384632267E-2</v>
      </c>
      <c r="R183" s="8">
        <f>+VLOOKUP($B183,NIFTY_ENERGY!$B$3:$I$1238,8,0)</f>
        <v>-2.1531746388876227E-2</v>
      </c>
      <c r="S183" s="8">
        <f>+VLOOKUP($B183,NIFTY_AUTO!$B$3:$I$1238,8,0)</f>
        <v>-1.129670011491235E-2</v>
      </c>
      <c r="T183" s="8">
        <v>0</v>
      </c>
      <c r="U183" s="8">
        <f>+VLOOKUP($B183,NIFTY_50!$B$63:$K$1238,10,0)</f>
        <v>4.7627058056647797E-2</v>
      </c>
      <c r="V183" s="8">
        <f>+VLOOKUP($B183,NIFTY_BANK!$B$63:$K$1238,10,0)</f>
        <v>4.9646260701017519E-2</v>
      </c>
      <c r="W183" s="8">
        <f>+VLOOKUP($B183,NIFTY_IT!$B$63:$K$1238,10,0)</f>
        <v>5.5939854104490649E-2</v>
      </c>
      <c r="X183" s="8">
        <f>+VLOOKUP($B183,NIFTY_PHARMA!$B$63:$K$1238,10,0)</f>
        <v>-2.5876910402511388E-4</v>
      </c>
      <c r="Y183" s="8">
        <f>+VLOOKUP($B183,NIFTY_FMCG!$B$63:$K$1238,10,0)</f>
        <v>-3.6961162045646367E-2</v>
      </c>
      <c r="Z183" s="8">
        <f>+VLOOKUP($B183,NIFTY_METAL!$B$63:$K$1238,10,0)</f>
        <v>0.21032928942807638</v>
      </c>
      <c r="AA183" s="8">
        <f>+VLOOKUP($B183,NIFTY_ENERGY!$B$63:$K$1238,10,0)</f>
        <v>0.10768956470798008</v>
      </c>
      <c r="AB183" s="8">
        <f>+VLOOKUP($B183,NIFTY_AUTO!$B$63:$K$1238,10,0)</f>
        <v>3.3173540591138417E-2</v>
      </c>
      <c r="AC183" s="8"/>
      <c r="AD183" s="16">
        <f t="shared" si="97"/>
        <v>4.614554510895346E-2</v>
      </c>
      <c r="AE183" s="8">
        <f t="shared" si="98"/>
        <v>5.2646013345597209E-2</v>
      </c>
      <c r="AF183" s="8">
        <f t="shared" si="99"/>
        <v>6.1343047425591553E-2</v>
      </c>
      <c r="AG183" s="8">
        <f t="shared" si="100"/>
        <v>0.11337535063348164</v>
      </c>
      <c r="AH183" s="8">
        <f t="shared" si="101"/>
        <v>0.10154366436872837</v>
      </c>
      <c r="AI183" s="8">
        <f t="shared" si="102"/>
        <v>0.10433469607422459</v>
      </c>
      <c r="AJ183" s="8">
        <f t="shared" si="103"/>
        <v>7.0403008750287585E-2</v>
      </c>
      <c r="AK183" s="8">
        <f t="shared" si="104"/>
        <v>6.5866225538307871E-2</v>
      </c>
      <c r="AL183" s="9">
        <v>0</v>
      </c>
      <c r="AM183" s="17">
        <f t="shared" si="81"/>
        <v>21.670564247077742</v>
      </c>
      <c r="AN183" s="13">
        <f t="shared" si="82"/>
        <v>18.994790610932938</v>
      </c>
      <c r="AO183" s="13">
        <f t="shared" si="83"/>
        <v>16.301765920791418</v>
      </c>
      <c r="AP183" s="13">
        <f t="shared" si="84"/>
        <v>8.8202593810076664</v>
      </c>
      <c r="AQ183" s="13">
        <f t="shared" si="85"/>
        <v>9.8479802380261781</v>
      </c>
      <c r="AR183" s="13">
        <f t="shared" si="86"/>
        <v>9.5845393491019664</v>
      </c>
      <c r="AS183" s="13">
        <f t="shared" si="87"/>
        <v>14.203938407616921</v>
      </c>
      <c r="AT183" s="13">
        <f t="shared" si="88"/>
        <v>15.182287915046823</v>
      </c>
      <c r="AU183" s="9">
        <v>0</v>
      </c>
      <c r="AV183" s="18">
        <f t="shared" si="105"/>
        <v>1</v>
      </c>
      <c r="AW183" s="18">
        <f t="shared" si="106"/>
        <v>2</v>
      </c>
      <c r="AX183" s="18">
        <f t="shared" si="107"/>
        <v>3</v>
      </c>
      <c r="AY183" s="18">
        <f t="shared" si="108"/>
        <v>8</v>
      </c>
      <c r="AZ183" s="18">
        <f t="shared" si="109"/>
        <v>6</v>
      </c>
      <c r="BA183" s="18">
        <f t="shared" si="110"/>
        <v>7</v>
      </c>
      <c r="BB183" s="18">
        <f t="shared" si="111"/>
        <v>5</v>
      </c>
      <c r="BC183" s="18">
        <f t="shared" si="112"/>
        <v>4</v>
      </c>
      <c r="BD183" s="18">
        <f t="shared" si="113"/>
        <v>9</v>
      </c>
      <c r="BE183" s="8">
        <f t="shared" si="115"/>
        <v>-1.640151001038178E-2</v>
      </c>
    </row>
    <row r="184" spans="1:57" x14ac:dyDescent="0.25">
      <c r="A184" t="str">
        <f t="shared" si="114"/>
        <v/>
      </c>
      <c r="B184" s="1">
        <v>43003</v>
      </c>
      <c r="C184" s="9">
        <f t="shared" si="89"/>
        <v>0.24893051190290391</v>
      </c>
      <c r="D184" s="9">
        <f t="shared" si="90"/>
        <v>0.24849577909568676</v>
      </c>
      <c r="E184" s="9">
        <f t="shared" si="91"/>
        <v>0</v>
      </c>
      <c r="F184" s="9">
        <f t="shared" si="92"/>
        <v>0</v>
      </c>
      <c r="G184" s="9">
        <f t="shared" si="93"/>
        <v>0</v>
      </c>
      <c r="H184" s="9">
        <f t="shared" si="94"/>
        <v>0</v>
      </c>
      <c r="I184" s="9">
        <f t="shared" si="95"/>
        <v>0.24788482857902991</v>
      </c>
      <c r="J184" s="9">
        <f t="shared" si="96"/>
        <v>0.25468888042237942</v>
      </c>
      <c r="K184" s="9">
        <v>0</v>
      </c>
      <c r="L184" s="8">
        <f>+VLOOKUP($B184,NIFTY_50!$B$3:$I$1238,8,0)</f>
        <v>-9.2127975593110367E-3</v>
      </c>
      <c r="M184" s="8">
        <f>+VLOOKUP($B184,NIFTY_BANK!$B$3:$I$41238,8,0)</f>
        <v>-8.3631357245007587E-3</v>
      </c>
      <c r="N184" s="8">
        <f>+VLOOKUP($B184,NIFTY_IT!$B$3:$I$1238,8,0)</f>
        <v>-5.9207494286172002E-3</v>
      </c>
      <c r="O184" s="8">
        <f>+VLOOKUP($B184,NIFTY_PHARMA!$B$3:$I$1238,8,0)</f>
        <v>-1.7791018916163637E-2</v>
      </c>
      <c r="P184" s="8">
        <f>+VLOOKUP($B184,NIFTY_FMCG!$B$3:$I$1238,8,0)</f>
        <v>-9.5022471932386665E-3</v>
      </c>
      <c r="Q184" s="8">
        <f>+VLOOKUP($B184,NIFTY_METAL!$B$3:$I$1238,8,0)</f>
        <v>-1.194226473452098E-2</v>
      </c>
      <c r="R184" s="8">
        <f>+VLOOKUP($B184,NIFTY_ENERGY!$B$3:$I$1238,8,0)</f>
        <v>-8.9677849571156987E-4</v>
      </c>
      <c r="S184" s="8">
        <f>+VLOOKUP($B184,NIFTY_AUTO!$B$3:$I$1238,8,0)</f>
        <v>-1.085379860072011E-2</v>
      </c>
      <c r="T184" s="8">
        <v>0</v>
      </c>
      <c r="U184" s="8">
        <f>+VLOOKUP($B184,NIFTY_50!$B$63:$K$1238,10,0)</f>
        <v>4.0179112340313461E-2</v>
      </c>
      <c r="V184" s="8">
        <f>+VLOOKUP($B184,NIFTY_BANK!$B$63:$K$1238,10,0)</f>
        <v>3.9989929354854681E-2</v>
      </c>
      <c r="W184" s="8">
        <f>+VLOOKUP($B184,NIFTY_IT!$B$63:$K$1238,10,0)</f>
        <v>4.2985922998356907E-2</v>
      </c>
      <c r="X184" s="8">
        <f>+VLOOKUP($B184,NIFTY_PHARMA!$B$63:$K$1238,10,0)</f>
        <v>-1.9541569336715137E-2</v>
      </c>
      <c r="Y184" s="8">
        <f>+VLOOKUP($B184,NIFTY_FMCG!$B$63:$K$1238,10,0)</f>
        <v>-3.8534518260789241E-2</v>
      </c>
      <c r="Z184" s="8">
        <f>+VLOOKUP($B184,NIFTY_METAL!$B$63:$K$1238,10,0)</f>
        <v>0.17680566214718163</v>
      </c>
      <c r="AA184" s="8">
        <f>+VLOOKUP($B184,NIFTY_ENERGY!$B$63:$K$1238,10,0)</f>
        <v>0.11944143865615486</v>
      </c>
      <c r="AB184" s="8">
        <f>+VLOOKUP($B184,NIFTY_AUTO!$B$63:$K$1238,10,0)</f>
        <v>2.1336810723212141E-2</v>
      </c>
      <c r="AC184" s="8"/>
      <c r="AD184" s="16">
        <f t="shared" si="97"/>
        <v>4.7117387813906113E-2</v>
      </c>
      <c r="AE184" s="8">
        <f t="shared" si="98"/>
        <v>5.342746504893444E-2</v>
      </c>
      <c r="AF184" s="8">
        <f t="shared" si="99"/>
        <v>6.1457620227302494E-2</v>
      </c>
      <c r="AG184" s="8">
        <f t="shared" si="100"/>
        <v>0.11474295399069592</v>
      </c>
      <c r="AH184" s="8">
        <f t="shared" si="101"/>
        <v>0.10167362719992461</v>
      </c>
      <c r="AI184" s="8">
        <f t="shared" si="102"/>
        <v>0.10456695662980264</v>
      </c>
      <c r="AJ184" s="8">
        <f t="shared" si="103"/>
        <v>6.9209132784205291E-2</v>
      </c>
      <c r="AK184" s="8">
        <f t="shared" si="104"/>
        <v>6.6833562044750564E-2</v>
      </c>
      <c r="AL184" s="9">
        <v>0</v>
      </c>
      <c r="AM184" s="17">
        <f t="shared" si="81"/>
        <v>21.223587435483051</v>
      </c>
      <c r="AN184" s="13">
        <f t="shared" si="82"/>
        <v>18.71696512428759</v>
      </c>
      <c r="AO184" s="13">
        <f t="shared" si="83"/>
        <v>16.271375238765767</v>
      </c>
      <c r="AP184" s="13">
        <f t="shared" si="84"/>
        <v>8.715132086289902</v>
      </c>
      <c r="AQ184" s="13">
        <f t="shared" si="85"/>
        <v>9.8353922009063677</v>
      </c>
      <c r="AR184" s="13">
        <f t="shared" si="86"/>
        <v>9.5632504973850398</v>
      </c>
      <c r="AS184" s="13">
        <f t="shared" si="87"/>
        <v>14.448960126664341</v>
      </c>
      <c r="AT184" s="13">
        <f t="shared" si="88"/>
        <v>14.962542312654499</v>
      </c>
      <c r="AU184" s="9">
        <v>0</v>
      </c>
      <c r="AV184" s="18">
        <f t="shared" si="105"/>
        <v>1</v>
      </c>
      <c r="AW184" s="18">
        <f t="shared" si="106"/>
        <v>2</v>
      </c>
      <c r="AX184" s="18">
        <f t="shared" si="107"/>
        <v>3</v>
      </c>
      <c r="AY184" s="18">
        <f t="shared" si="108"/>
        <v>8</v>
      </c>
      <c r="AZ184" s="18">
        <f t="shared" si="109"/>
        <v>6</v>
      </c>
      <c r="BA184" s="18">
        <f t="shared" si="110"/>
        <v>7</v>
      </c>
      <c r="BB184" s="18">
        <f t="shared" si="111"/>
        <v>5</v>
      </c>
      <c r="BC184" s="18">
        <f t="shared" si="112"/>
        <v>4</v>
      </c>
      <c r="BD184" s="18">
        <f t="shared" si="113"/>
        <v>9</v>
      </c>
      <c r="BE184" s="8">
        <f t="shared" si="115"/>
        <v>-7.3728116781755703E-3</v>
      </c>
    </row>
    <row r="185" spans="1:57" x14ac:dyDescent="0.25">
      <c r="A185" t="str">
        <f t="shared" si="114"/>
        <v/>
      </c>
      <c r="B185" s="1">
        <v>43004</v>
      </c>
      <c r="C185" s="9">
        <f t="shared" si="89"/>
        <v>0.24883067903139724</v>
      </c>
      <c r="D185" s="9">
        <f t="shared" si="90"/>
        <v>0.2487743578231898</v>
      </c>
      <c r="E185" s="9">
        <f t="shared" si="91"/>
        <v>0</v>
      </c>
      <c r="F185" s="9">
        <f t="shared" si="92"/>
        <v>0</v>
      </c>
      <c r="G185" s="9">
        <f t="shared" si="93"/>
        <v>0</v>
      </c>
      <c r="H185" s="9">
        <f t="shared" si="94"/>
        <v>0</v>
      </c>
      <c r="I185" s="9">
        <f t="shared" si="95"/>
        <v>0.24760200022311502</v>
      </c>
      <c r="J185" s="9">
        <f t="shared" si="96"/>
        <v>0.25479296292229808</v>
      </c>
      <c r="K185" s="9">
        <v>0</v>
      </c>
      <c r="L185" s="8">
        <f>+VLOOKUP($B185,NIFTY_50!$B$3:$I$1238,8,0)</f>
        <v>-1.1141948422910275E-4</v>
      </c>
      <c r="M185" s="8">
        <f>+VLOOKUP($B185,NIFTY_BANK!$B$3:$I$41238,8,0)</f>
        <v>1.4111288824150137E-3</v>
      </c>
      <c r="N185" s="8">
        <f>+VLOOKUP($B185,NIFTY_IT!$B$3:$I$1238,8,0)</f>
        <v>-1.9537995013789722E-3</v>
      </c>
      <c r="O185" s="8">
        <f>+VLOOKUP($B185,NIFTY_PHARMA!$B$3:$I$1238,8,0)</f>
        <v>9.1426850452602793E-5</v>
      </c>
      <c r="P185" s="8">
        <f>+VLOOKUP($B185,NIFTY_FMCG!$B$3:$I$1238,8,0)</f>
        <v>-4.3473561589547627E-3</v>
      </c>
      <c r="Q185" s="8">
        <f>+VLOOKUP($B185,NIFTY_METAL!$B$3:$I$1238,8,0)</f>
        <v>2.4042781368656119E-2</v>
      </c>
      <c r="R185" s="8">
        <f>+VLOOKUP($B185,NIFTY_ENERGY!$B$3:$I$1238,8,0)</f>
        <v>-8.5155350978138866E-4</v>
      </c>
      <c r="S185" s="8">
        <f>+VLOOKUP($B185,NIFTY_AUTO!$B$3:$I$1238,8,0)</f>
        <v>6.9852754095167668E-4</v>
      </c>
      <c r="T185" s="8">
        <v>0</v>
      </c>
      <c r="U185" s="8">
        <f>+VLOOKUP($B185,NIFTY_50!$B$63:$K$1238,10,0)</f>
        <v>3.8657000662871699E-2</v>
      </c>
      <c r="V185" s="8">
        <f>+VLOOKUP($B185,NIFTY_BANK!$B$63:$K$1238,10,0)</f>
        <v>4.1840851067493912E-2</v>
      </c>
      <c r="W185" s="8">
        <f>+VLOOKUP($B185,NIFTY_IT!$B$63:$K$1238,10,0)</f>
        <v>4.1888902058393684E-2</v>
      </c>
      <c r="X185" s="8">
        <f>+VLOOKUP($B185,NIFTY_PHARMA!$B$63:$K$1238,10,0)</f>
        <v>-1.3820241403449396E-2</v>
      </c>
      <c r="Y185" s="8">
        <f>+VLOOKUP($B185,NIFTY_FMCG!$B$63:$K$1238,10,0)</f>
        <v>-4.8637049532104459E-2</v>
      </c>
      <c r="Z185" s="8">
        <f>+VLOOKUP($B185,NIFTY_METAL!$B$63:$K$1238,10,0)</f>
        <v>0.18114803423375236</v>
      </c>
      <c r="AA185" s="8">
        <f>+VLOOKUP($B185,NIFTY_ENERGY!$B$63:$K$1238,10,0)</f>
        <v>0.11977679953227649</v>
      </c>
      <c r="AB185" s="8">
        <f>+VLOOKUP($B185,NIFTY_AUTO!$B$63:$K$1238,10,0)</f>
        <v>2.3452543728088582E-2</v>
      </c>
      <c r="AC185" s="8"/>
      <c r="AD185" s="16">
        <f t="shared" si="97"/>
        <v>4.7118351131269186E-2</v>
      </c>
      <c r="AE185" s="8">
        <f t="shared" si="98"/>
        <v>5.3422155675927757E-2</v>
      </c>
      <c r="AF185" s="8">
        <f t="shared" si="99"/>
        <v>6.1494215390259239E-2</v>
      </c>
      <c r="AG185" s="8">
        <f t="shared" si="100"/>
        <v>0.11460930930702133</v>
      </c>
      <c r="AH185" s="8">
        <f t="shared" si="101"/>
        <v>0.10150880454612674</v>
      </c>
      <c r="AI185" s="8">
        <f t="shared" si="102"/>
        <v>0.10526193719596769</v>
      </c>
      <c r="AJ185" s="8">
        <f t="shared" si="103"/>
        <v>6.9196617758077186E-2</v>
      </c>
      <c r="AK185" s="8">
        <f t="shared" si="104"/>
        <v>6.6810788022398121E-2</v>
      </c>
      <c r="AL185" s="9">
        <v>0</v>
      </c>
      <c r="AM185" s="17">
        <f t="shared" si="81"/>
        <v>21.223153527042019</v>
      </c>
      <c r="AN185" s="13">
        <f t="shared" si="82"/>
        <v>18.718825314093497</v>
      </c>
      <c r="AO185" s="13">
        <f t="shared" si="83"/>
        <v>16.261692155168163</v>
      </c>
      <c r="AP185" s="13">
        <f t="shared" si="84"/>
        <v>8.7252947081388328</v>
      </c>
      <c r="AQ185" s="13">
        <f t="shared" si="85"/>
        <v>9.8513621992818248</v>
      </c>
      <c r="AR185" s="13">
        <f t="shared" si="86"/>
        <v>9.5001101693415109</v>
      </c>
      <c r="AS185" s="13">
        <f t="shared" si="87"/>
        <v>14.451573391869603</v>
      </c>
      <c r="AT185" s="13">
        <f t="shared" si="88"/>
        <v>14.967642645746865</v>
      </c>
      <c r="AU185" s="9">
        <v>0</v>
      </c>
      <c r="AV185" s="18">
        <f t="shared" si="105"/>
        <v>1</v>
      </c>
      <c r="AW185" s="18">
        <f t="shared" si="106"/>
        <v>2</v>
      </c>
      <c r="AX185" s="18">
        <f t="shared" si="107"/>
        <v>3</v>
      </c>
      <c r="AY185" s="18">
        <f t="shared" si="108"/>
        <v>8</v>
      </c>
      <c r="AZ185" s="18">
        <f t="shared" si="109"/>
        <v>6</v>
      </c>
      <c r="BA185" s="18">
        <f t="shared" si="110"/>
        <v>7</v>
      </c>
      <c r="BB185" s="18">
        <f t="shared" si="111"/>
        <v>5</v>
      </c>
      <c r="BC185" s="18">
        <f t="shared" si="112"/>
        <v>4</v>
      </c>
      <c r="BD185" s="18">
        <f t="shared" si="113"/>
        <v>9</v>
      </c>
      <c r="BE185" s="8">
        <f t="shared" si="115"/>
        <v>2.8974386334618607E-4</v>
      </c>
    </row>
    <row r="186" spans="1:57" x14ac:dyDescent="0.25">
      <c r="A186" t="str">
        <f t="shared" si="114"/>
        <v/>
      </c>
      <c r="B186" s="1">
        <v>43005</v>
      </c>
      <c r="C186" s="9">
        <f t="shared" si="89"/>
        <v>0.2492675446510399</v>
      </c>
      <c r="D186" s="9">
        <f t="shared" si="90"/>
        <v>0.24865331297067034</v>
      </c>
      <c r="E186" s="9">
        <f t="shared" si="91"/>
        <v>0</v>
      </c>
      <c r="F186" s="9">
        <f t="shared" si="92"/>
        <v>0</v>
      </c>
      <c r="G186" s="9">
        <f t="shared" si="93"/>
        <v>0</v>
      </c>
      <c r="H186" s="9">
        <f t="shared" si="94"/>
        <v>0</v>
      </c>
      <c r="I186" s="9">
        <f t="shared" si="95"/>
        <v>0.24734638322338223</v>
      </c>
      <c r="J186" s="9">
        <f t="shared" si="96"/>
        <v>0.25473275915490756</v>
      </c>
      <c r="K186" s="9">
        <v>0</v>
      </c>
      <c r="L186" s="8">
        <f>+VLOOKUP($B186,NIFTY_50!$B$3:$I$1238,8,0)</f>
        <v>-1.3751709466646389E-2</v>
      </c>
      <c r="M186" s="8">
        <f>+VLOOKUP($B186,NIFTY_BANK!$B$3:$I$41238,8,0)</f>
        <v>-1.595923823770673E-2</v>
      </c>
      <c r="N186" s="8">
        <f>+VLOOKUP($B186,NIFTY_IT!$B$3:$I$1238,8,0)</f>
        <v>-4.0764089680989102E-4</v>
      </c>
      <c r="O186" s="8">
        <f>+VLOOKUP($B186,NIFTY_PHARMA!$B$3:$I$1238,8,0)</f>
        <v>-2.8119252734488343E-2</v>
      </c>
      <c r="P186" s="8">
        <f>+VLOOKUP($B186,NIFTY_FMCG!$B$3:$I$1238,8,0)</f>
        <v>-1.2704998773726439E-2</v>
      </c>
      <c r="Q186" s="8">
        <f>+VLOOKUP($B186,NIFTY_METAL!$B$3:$I$1238,8,0)</f>
        <v>-1.5807871385913108E-2</v>
      </c>
      <c r="R186" s="8">
        <f>+VLOOKUP($B186,NIFTY_ENERGY!$B$3:$I$1238,8,0)</f>
        <v>-1.6496594722011149E-2</v>
      </c>
      <c r="S186" s="8">
        <f>+VLOOKUP($B186,NIFTY_AUTO!$B$3:$I$1238,8,0)</f>
        <v>-1.5712832840236723E-2</v>
      </c>
      <c r="T186" s="8">
        <v>0</v>
      </c>
      <c r="U186" s="8">
        <f>+VLOOKUP($B186,NIFTY_50!$B$63:$K$1238,10,0)</f>
        <v>2.2566143956978868E-2</v>
      </c>
      <c r="V186" s="8">
        <f>+VLOOKUP($B186,NIFTY_BANK!$B$63:$K$1238,10,0)</f>
        <v>2.592498449024605E-2</v>
      </c>
      <c r="W186" s="8">
        <f>+VLOOKUP($B186,NIFTY_IT!$B$63:$K$1238,10,0)</f>
        <v>3.8320835446403745E-2</v>
      </c>
      <c r="X186" s="8">
        <f>+VLOOKUP($B186,NIFTY_PHARMA!$B$63:$K$1238,10,0)</f>
        <v>-5.9330238174550187E-2</v>
      </c>
      <c r="Y186" s="8">
        <f>+VLOOKUP($B186,NIFTY_FMCG!$B$63:$K$1238,10,0)</f>
        <v>-8.2085298136030715E-2</v>
      </c>
      <c r="Z186" s="8">
        <f>+VLOOKUP($B186,NIFTY_METAL!$B$63:$K$1238,10,0)</f>
        <v>0.16241830611596764</v>
      </c>
      <c r="AA186" s="8">
        <f>+VLOOKUP($B186,NIFTY_ENERGY!$B$63:$K$1238,10,0)</f>
        <v>0.10419037274576737</v>
      </c>
      <c r="AB186" s="8">
        <f>+VLOOKUP($B186,NIFTY_AUTO!$B$63:$K$1238,10,0)</f>
        <v>1.0037712577974922E-2</v>
      </c>
      <c r="AC186" s="8"/>
      <c r="AD186" s="16">
        <f t="shared" si="97"/>
        <v>4.9214290468054901E-2</v>
      </c>
      <c r="AE186" s="8">
        <f t="shared" si="98"/>
        <v>5.5906718693777523E-2</v>
      </c>
      <c r="AF186" s="8">
        <f t="shared" si="99"/>
        <v>6.1458782599967642E-2</v>
      </c>
      <c r="AG186" s="8">
        <f t="shared" si="100"/>
        <v>0.11628054628265679</v>
      </c>
      <c r="AH186" s="8">
        <f t="shared" si="101"/>
        <v>9.9247448307471439E-2</v>
      </c>
      <c r="AI186" s="8">
        <f t="shared" si="102"/>
        <v>0.10684290434347957</v>
      </c>
      <c r="AJ186" s="8">
        <f t="shared" si="103"/>
        <v>7.1434940360420612E-2</v>
      </c>
      <c r="AK186" s="8">
        <f t="shared" si="104"/>
        <v>6.8641824614846761E-2</v>
      </c>
      <c r="AL186" s="9">
        <v>0</v>
      </c>
      <c r="AM186" s="17">
        <f t="shared" si="81"/>
        <v>20.319301375463333</v>
      </c>
      <c r="AN186" s="13">
        <f t="shared" si="82"/>
        <v>17.886937802187649</v>
      </c>
      <c r="AO186" s="13">
        <f t="shared" si="83"/>
        <v>16.271067497528442</v>
      </c>
      <c r="AP186" s="13">
        <f t="shared" si="84"/>
        <v>8.5998907983213506</v>
      </c>
      <c r="AQ186" s="13">
        <f t="shared" si="85"/>
        <v>10.075825797575886</v>
      </c>
      <c r="AR186" s="13">
        <f t="shared" si="86"/>
        <v>9.3595359106412026</v>
      </c>
      <c r="AS186" s="13">
        <f t="shared" si="87"/>
        <v>13.998751800653311</v>
      </c>
      <c r="AT186" s="13">
        <f t="shared" si="88"/>
        <v>14.568377306562839</v>
      </c>
      <c r="AU186" s="9">
        <v>0</v>
      </c>
      <c r="AV186" s="18">
        <f t="shared" si="105"/>
        <v>1</v>
      </c>
      <c r="AW186" s="18">
        <f t="shared" si="106"/>
        <v>2</v>
      </c>
      <c r="AX186" s="18">
        <f t="shared" si="107"/>
        <v>3</v>
      </c>
      <c r="AY186" s="18">
        <f t="shared" si="108"/>
        <v>8</v>
      </c>
      <c r="AZ186" s="18">
        <f t="shared" si="109"/>
        <v>6</v>
      </c>
      <c r="BA186" s="18">
        <f t="shared" si="110"/>
        <v>7</v>
      </c>
      <c r="BB186" s="18">
        <f t="shared" si="111"/>
        <v>5</v>
      </c>
      <c r="BC186" s="18">
        <f t="shared" si="112"/>
        <v>4</v>
      </c>
      <c r="BD186" s="18">
        <f t="shared" si="113"/>
        <v>9</v>
      </c>
      <c r="BE186" s="8">
        <f t="shared" si="115"/>
        <v>-1.5480205533667645E-2</v>
      </c>
    </row>
    <row r="187" spans="1:57" x14ac:dyDescent="0.25">
      <c r="A187" t="str">
        <f t="shared" si="114"/>
        <v/>
      </c>
      <c r="B187" s="1">
        <v>43006</v>
      </c>
      <c r="C187" s="9">
        <f t="shared" si="89"/>
        <v>0.24959192374625838</v>
      </c>
      <c r="D187" s="9">
        <f t="shared" si="90"/>
        <v>0.25016472144526986</v>
      </c>
      <c r="E187" s="9">
        <f t="shared" si="91"/>
        <v>0</v>
      </c>
      <c r="F187" s="9">
        <f t="shared" si="92"/>
        <v>0</v>
      </c>
      <c r="G187" s="9">
        <f t="shared" si="93"/>
        <v>0</v>
      </c>
      <c r="H187" s="9">
        <f t="shared" si="94"/>
        <v>0</v>
      </c>
      <c r="I187" s="9">
        <f t="shared" si="95"/>
        <v>0.24514816509628681</v>
      </c>
      <c r="J187" s="9">
        <f t="shared" si="96"/>
        <v>0.25509518971218503</v>
      </c>
      <c r="K187" s="9">
        <v>0</v>
      </c>
      <c r="L187" s="8">
        <f>+VLOOKUP($B187,NIFTY_50!$B$3:$I$1238,8,0)</f>
        <v>3.4101122152891961E-3</v>
      </c>
      <c r="M187" s="8">
        <f>+VLOOKUP($B187,NIFTY_BANK!$B$3:$I$41238,8,0)</f>
        <v>8.1972204199816101E-3</v>
      </c>
      <c r="N187" s="8">
        <f>+VLOOKUP($B187,NIFTY_IT!$B$3:$I$1238,8,0)</f>
        <v>-2.1149067733921001E-3</v>
      </c>
      <c r="O187" s="8">
        <f>+VLOOKUP($B187,NIFTY_PHARMA!$B$3:$I$1238,8,0)</f>
        <v>8.310785762107642E-3</v>
      </c>
      <c r="P187" s="8">
        <f>+VLOOKUP($B187,NIFTY_FMCG!$B$3:$I$1238,8,0)</f>
        <v>6.8638749638583185E-3</v>
      </c>
      <c r="Q187" s="8">
        <f>+VLOOKUP($B187,NIFTY_METAL!$B$3:$I$1238,8,0)</f>
        <v>7.0027608420568654E-3</v>
      </c>
      <c r="R187" s="8">
        <f>+VLOOKUP($B187,NIFTY_ENERGY!$B$3:$I$1238,8,0)</f>
        <v>-6.7998797725045135E-3</v>
      </c>
      <c r="S187" s="8">
        <f>+VLOOKUP($B187,NIFTY_AUTO!$B$3:$I$1238,8,0)</f>
        <v>3.5318263581327614E-3</v>
      </c>
      <c r="T187" s="8">
        <v>0</v>
      </c>
      <c r="U187" s="8">
        <f>+VLOOKUP($B187,NIFTY_50!$B$63:$K$1238,10,0)</f>
        <v>1.6011440457618376E-2</v>
      </c>
      <c r="V187" s="8">
        <f>+VLOOKUP($B187,NIFTY_BANK!$B$63:$K$1238,10,0)</f>
        <v>3.159697157196395E-2</v>
      </c>
      <c r="W187" s="8">
        <f>+VLOOKUP($B187,NIFTY_IT!$B$63:$K$1238,10,0)</f>
        <v>3.2586348179806324E-2</v>
      </c>
      <c r="X187" s="8">
        <f>+VLOOKUP($B187,NIFTY_PHARMA!$B$63:$K$1238,10,0)</f>
        <v>-5.2489003046909954E-2</v>
      </c>
      <c r="Y187" s="8">
        <f>+VLOOKUP($B187,NIFTY_FMCG!$B$63:$K$1238,10,0)</f>
        <v>-0.11021441527034026</v>
      </c>
      <c r="Z187" s="8">
        <f>+VLOOKUP($B187,NIFTY_METAL!$B$63:$K$1238,10,0)</f>
        <v>0.14944358730262941</v>
      </c>
      <c r="AA187" s="8">
        <f>+VLOOKUP($B187,NIFTY_ENERGY!$B$63:$K$1238,10,0)</f>
        <v>9.2669415099201347E-2</v>
      </c>
      <c r="AB187" s="8">
        <f>+VLOOKUP($B187,NIFTY_AUTO!$B$63:$K$1238,10,0)</f>
        <v>2.5278650307303252E-4</v>
      </c>
      <c r="AC187" s="8"/>
      <c r="AD187" s="16">
        <f t="shared" si="97"/>
        <v>4.8376636317809703E-2</v>
      </c>
      <c r="AE187" s="8">
        <f t="shared" si="98"/>
        <v>5.6393895383043811E-2</v>
      </c>
      <c r="AF187" s="8">
        <f t="shared" si="99"/>
        <v>6.1453926036464303E-2</v>
      </c>
      <c r="AG187" s="8">
        <f t="shared" si="100"/>
        <v>0.11662453742471614</v>
      </c>
      <c r="AH187" s="8">
        <f t="shared" si="101"/>
        <v>9.1100018860553911E-2</v>
      </c>
      <c r="AI187" s="8">
        <f t="shared" si="102"/>
        <v>0.10575052768829878</v>
      </c>
      <c r="AJ187" s="8">
        <f t="shared" si="103"/>
        <v>7.1894650709160207E-2</v>
      </c>
      <c r="AK187" s="8">
        <f t="shared" si="104"/>
        <v>6.7441663339033134E-2</v>
      </c>
      <c r="AL187" s="9">
        <v>0</v>
      </c>
      <c r="AM187" s="17">
        <f t="shared" si="81"/>
        <v>20.671135409880765</v>
      </c>
      <c r="AN187" s="13">
        <f t="shared" si="82"/>
        <v>17.732415773156081</v>
      </c>
      <c r="AO187" s="13">
        <f t="shared" si="83"/>
        <v>16.272353362853334</v>
      </c>
      <c r="AP187" s="13">
        <f t="shared" si="84"/>
        <v>8.5745248991493188</v>
      </c>
      <c r="AQ187" s="13">
        <f t="shared" si="85"/>
        <v>10.976946135770753</v>
      </c>
      <c r="AR187" s="13">
        <f t="shared" si="86"/>
        <v>9.4562175892636162</v>
      </c>
      <c r="AS187" s="13">
        <f t="shared" si="87"/>
        <v>13.909240675573495</v>
      </c>
      <c r="AT187" s="13">
        <f t="shared" si="88"/>
        <v>14.827629546634137</v>
      </c>
      <c r="AU187" s="9">
        <v>0</v>
      </c>
      <c r="AV187" s="18">
        <f t="shared" si="105"/>
        <v>1</v>
      </c>
      <c r="AW187" s="18">
        <f t="shared" si="106"/>
        <v>2</v>
      </c>
      <c r="AX187" s="18">
        <f t="shared" si="107"/>
        <v>3</v>
      </c>
      <c r="AY187" s="18">
        <f t="shared" si="108"/>
        <v>8</v>
      </c>
      <c r="AZ187" s="18">
        <f t="shared" si="109"/>
        <v>6</v>
      </c>
      <c r="BA187" s="18">
        <f t="shared" si="110"/>
        <v>7</v>
      </c>
      <c r="BB187" s="18">
        <f t="shared" si="111"/>
        <v>5</v>
      </c>
      <c r="BC187" s="18">
        <f t="shared" si="112"/>
        <v>4</v>
      </c>
      <c r="BD187" s="18">
        <f t="shared" si="113"/>
        <v>9</v>
      </c>
      <c r="BE187" s="8">
        <f t="shared" si="115"/>
        <v>2.1060425184492738E-3</v>
      </c>
    </row>
    <row r="188" spans="1:57" x14ac:dyDescent="0.25">
      <c r="A188" t="str">
        <f t="shared" si="114"/>
        <v>Y</v>
      </c>
      <c r="B188" s="1">
        <v>43007</v>
      </c>
      <c r="C188" s="9">
        <f t="shared" si="89"/>
        <v>0.25</v>
      </c>
      <c r="D188" s="9">
        <f t="shared" si="90"/>
        <v>0.25</v>
      </c>
      <c r="E188" s="9">
        <f t="shared" si="91"/>
        <v>0.25</v>
      </c>
      <c r="F188" s="9">
        <f t="shared" si="92"/>
        <v>0</v>
      </c>
      <c r="G188" s="9">
        <f t="shared" si="93"/>
        <v>0</v>
      </c>
      <c r="H188" s="9">
        <f t="shared" si="94"/>
        <v>0</v>
      </c>
      <c r="I188" s="9">
        <f t="shared" si="95"/>
        <v>0</v>
      </c>
      <c r="J188" s="9">
        <f t="shared" si="96"/>
        <v>0.25</v>
      </c>
      <c r="K188" s="9">
        <v>0</v>
      </c>
      <c r="L188" s="8">
        <f>+VLOOKUP($B188,NIFTY_50!$B$3:$I$1238,8,0)</f>
        <v>2.0114751329467495E-3</v>
      </c>
      <c r="M188" s="8">
        <f>+VLOOKUP($B188,NIFTY_BANK!$B$3:$I$41238,8,0)</f>
        <v>1.8681156190709647E-3</v>
      </c>
      <c r="N188" s="8">
        <f>+VLOOKUP($B188,NIFTY_IT!$B$3:$I$1238,8,0)</f>
        <v>-4.424105912430143E-3</v>
      </c>
      <c r="O188" s="8">
        <f>+VLOOKUP($B188,NIFTY_PHARMA!$B$3:$I$1238,8,0)</f>
        <v>6.7002869983703306E-3</v>
      </c>
      <c r="P188" s="8">
        <f>+VLOOKUP($B188,NIFTY_FMCG!$B$3:$I$1238,8,0)</f>
        <v>-9.862626973486055E-3</v>
      </c>
      <c r="Q188" s="8">
        <f>+VLOOKUP($B188,NIFTY_METAL!$B$3:$I$1238,8,0)</f>
        <v>1.3922405791720882E-2</v>
      </c>
      <c r="R188" s="8">
        <f>+VLOOKUP($B188,NIFTY_ENERGY!$B$3:$I$1238,8,0)</f>
        <v>3.9852381120817348E-3</v>
      </c>
      <c r="S188" s="8">
        <f>+VLOOKUP($B188,NIFTY_AUTO!$B$3:$I$1238,8,0)</f>
        <v>1.1943483734491611E-2</v>
      </c>
      <c r="T188" s="8">
        <v>0</v>
      </c>
      <c r="U188" s="8">
        <f>+VLOOKUP($B188,NIFTY_50!$B$63:$K$1238,10,0)</f>
        <v>1.8235153381253255E-2</v>
      </c>
      <c r="V188" s="8">
        <f>+VLOOKUP($B188,NIFTY_BANK!$B$63:$K$1238,10,0)</f>
        <v>3.6133056491285398E-2</v>
      </c>
      <c r="W188" s="8">
        <f>+VLOOKUP($B188,NIFTY_IT!$B$63:$K$1238,10,0)</f>
        <v>2.5647678539957308E-2</v>
      </c>
      <c r="X188" s="8">
        <f>+VLOOKUP($B188,NIFTY_PHARMA!$B$63:$K$1238,10,0)</f>
        <v>-3.6284073776390979E-2</v>
      </c>
      <c r="Y188" s="8">
        <f>+VLOOKUP($B188,NIFTY_FMCG!$B$63:$K$1238,10,0)</f>
        <v>-0.11132407659497234</v>
      </c>
      <c r="Z188" s="8">
        <f>+VLOOKUP($B188,NIFTY_METAL!$B$63:$K$1238,10,0)</f>
        <v>0.16397554218644994</v>
      </c>
      <c r="AA188" s="8">
        <f>+VLOOKUP($B188,NIFTY_ENERGY!$B$63:$K$1238,10,0)</f>
        <v>8.2556404997202959E-2</v>
      </c>
      <c r="AB188" s="8">
        <f>+VLOOKUP($B188,NIFTY_AUTO!$B$63:$K$1238,10,0)</f>
        <v>1.7093856278017405E-2</v>
      </c>
      <c r="AC188" s="8"/>
      <c r="AD188" s="16">
        <f t="shared" si="97"/>
        <v>4.8404661664826994E-2</v>
      </c>
      <c r="AE188" s="8">
        <f t="shared" si="98"/>
        <v>5.6324080717508128E-2</v>
      </c>
      <c r="AF188" s="8">
        <f t="shared" si="99"/>
        <v>6.1624441269263058E-2</v>
      </c>
      <c r="AG188" s="8">
        <f t="shared" si="100"/>
        <v>0.11646036539941756</v>
      </c>
      <c r="AH188" s="8">
        <f t="shared" si="101"/>
        <v>9.1200275230782279E-2</v>
      </c>
      <c r="AI188" s="8">
        <f t="shared" si="102"/>
        <v>0.10636064219642218</v>
      </c>
      <c r="AJ188" s="8">
        <f t="shared" si="103"/>
        <v>7.0941847890613807E-2</v>
      </c>
      <c r="AK188" s="8">
        <f t="shared" si="104"/>
        <v>6.8277903642581753E-2</v>
      </c>
      <c r="AL188" s="9">
        <v>0</v>
      </c>
      <c r="AM188" s="17">
        <f t="shared" si="81"/>
        <v>20.659167229065563</v>
      </c>
      <c r="AN188" s="13">
        <f t="shared" si="82"/>
        <v>17.754395407099008</v>
      </c>
      <c r="AO188" s="13">
        <f t="shared" si="83"/>
        <v>16.227327654470411</v>
      </c>
      <c r="AP188" s="13">
        <f t="shared" si="84"/>
        <v>8.5866122484705958</v>
      </c>
      <c r="AQ188" s="13">
        <f t="shared" si="85"/>
        <v>10.964879189996962</v>
      </c>
      <c r="AR188" s="13">
        <f t="shared" si="86"/>
        <v>9.4019740700064958</v>
      </c>
      <c r="AS188" s="13">
        <f t="shared" si="87"/>
        <v>14.096052326433806</v>
      </c>
      <c r="AT188" s="13">
        <f t="shared" si="88"/>
        <v>14.646026703379137</v>
      </c>
      <c r="AU188" s="9">
        <v>0</v>
      </c>
      <c r="AV188" s="18">
        <f t="shared" si="105"/>
        <v>1</v>
      </c>
      <c r="AW188" s="18">
        <f t="shared" si="106"/>
        <v>2</v>
      </c>
      <c r="AX188" s="18">
        <f t="shared" si="107"/>
        <v>3</v>
      </c>
      <c r="AY188" s="18">
        <f t="shared" si="108"/>
        <v>8</v>
      </c>
      <c r="AZ188" s="18">
        <f t="shared" si="109"/>
        <v>6</v>
      </c>
      <c r="BA188" s="18">
        <f t="shared" si="110"/>
        <v>7</v>
      </c>
      <c r="BB188" s="18">
        <f t="shared" si="111"/>
        <v>5</v>
      </c>
      <c r="BC188" s="18">
        <f t="shared" si="112"/>
        <v>4</v>
      </c>
      <c r="BD188" s="18">
        <f t="shared" si="113"/>
        <v>9</v>
      </c>
      <c r="BE188" s="8">
        <f t="shared" si="115"/>
        <v>4.9930836311955469E-3</v>
      </c>
    </row>
    <row r="189" spans="1:57" x14ac:dyDescent="0.25">
      <c r="A189" t="str">
        <f t="shared" si="114"/>
        <v/>
      </c>
      <c r="B189" s="1">
        <v>43011</v>
      </c>
      <c r="C189" s="9">
        <f t="shared" si="89"/>
        <v>0.25026860312959825</v>
      </c>
      <c r="D189" s="9">
        <f t="shared" si="90"/>
        <v>0.24898954807023005</v>
      </c>
      <c r="E189" s="9">
        <f t="shared" si="91"/>
        <v>0.25014705993793357</v>
      </c>
      <c r="F189" s="9">
        <f t="shared" si="92"/>
        <v>0</v>
      </c>
      <c r="G189" s="9">
        <f t="shared" si="93"/>
        <v>0</v>
      </c>
      <c r="H189" s="9">
        <f t="shared" si="94"/>
        <v>0</v>
      </c>
      <c r="I189" s="9">
        <f t="shared" si="95"/>
        <v>0</v>
      </c>
      <c r="J189" s="9">
        <f t="shared" si="96"/>
        <v>0.25059478886223824</v>
      </c>
      <c r="K189" s="9">
        <v>0</v>
      </c>
      <c r="L189" s="8">
        <f>+VLOOKUP($B189,NIFTY_50!$B$3:$I$1238,8,0)</f>
        <v>7.2431195472284493E-3</v>
      </c>
      <c r="M189" s="8">
        <f>+VLOOKUP($B189,NIFTY_BANK!$B$3:$I$41238,8,0)</f>
        <v>2.0953727185799575E-3</v>
      </c>
      <c r="N189" s="8">
        <f>+VLOOKUP($B189,NIFTY_IT!$B$3:$I$1238,8,0)</f>
        <v>6.7539509419733967E-3</v>
      </c>
      <c r="O189" s="8">
        <f>+VLOOKUP($B189,NIFTY_PHARMA!$B$3:$I$1238,8,0)</f>
        <v>4.6170115343524554E-3</v>
      </c>
      <c r="P189" s="8">
        <f>+VLOOKUP($B189,NIFTY_FMCG!$B$3:$I$1238,8,0)</f>
        <v>1.089629423875027E-2</v>
      </c>
      <c r="Q189" s="8">
        <f>+VLOOKUP($B189,NIFTY_METAL!$B$3:$I$1238,8,0)</f>
        <v>1.2196152437822017E-2</v>
      </c>
      <c r="R189" s="8">
        <f>+VLOOKUP($B189,NIFTY_ENERGY!$B$3:$I$1238,8,0)</f>
        <v>1.3513249012538475E-2</v>
      </c>
      <c r="S189" s="8">
        <f>+VLOOKUP($B189,NIFTY_AUTO!$B$3:$I$1238,8,0)</f>
        <v>8.5559024164643116E-3</v>
      </c>
      <c r="T189" s="8">
        <v>0</v>
      </c>
      <c r="U189" s="8">
        <f>+VLOOKUP($B189,NIFTY_50!$B$63:$K$1238,10,0)</f>
        <v>2.3024404416037259E-2</v>
      </c>
      <c r="V189" s="8">
        <f>+VLOOKUP($B189,NIFTY_BANK!$B$63:$K$1238,10,0)</f>
        <v>3.2150595651019742E-2</v>
      </c>
      <c r="W189" s="8">
        <f>+VLOOKUP($B189,NIFTY_IT!$B$63:$K$1238,10,0)</f>
        <v>3.7935565145930772E-2</v>
      </c>
      <c r="X189" s="8">
        <f>+VLOOKUP($B189,NIFTY_PHARMA!$B$63:$K$1238,10,0)</f>
        <v>-3.9023271092849643E-2</v>
      </c>
      <c r="Y189" s="8">
        <f>+VLOOKUP($B189,NIFTY_FMCG!$B$63:$K$1238,10,0)</f>
        <v>-9.5133714085135379E-2</v>
      </c>
      <c r="Z189" s="8">
        <f>+VLOOKUP($B189,NIFTY_METAL!$B$63:$K$1238,10,0)</f>
        <v>0.16567461926464144</v>
      </c>
      <c r="AA189" s="8">
        <f>+VLOOKUP($B189,NIFTY_ENERGY!$B$63:$K$1238,10,0)</f>
        <v>8.5960798788646597E-2</v>
      </c>
      <c r="AB189" s="8">
        <f>+VLOOKUP($B189,NIFTY_AUTO!$B$63:$K$1238,10,0)</f>
        <v>1.8585120693520807E-2</v>
      </c>
      <c r="AC189" s="8"/>
      <c r="AD189" s="16">
        <f t="shared" si="97"/>
        <v>4.884408196222597E-2</v>
      </c>
      <c r="AE189" s="8">
        <f t="shared" si="98"/>
        <v>5.6086595942374029E-2</v>
      </c>
      <c r="AF189" s="8">
        <f t="shared" si="99"/>
        <v>6.1672891521424029E-2</v>
      </c>
      <c r="AG189" s="8">
        <f t="shared" si="100"/>
        <v>0.11629878476936065</v>
      </c>
      <c r="AH189" s="8">
        <f t="shared" si="101"/>
        <v>9.1905077376140301E-2</v>
      </c>
      <c r="AI189" s="8">
        <f t="shared" si="102"/>
        <v>0.10648348738449546</v>
      </c>
      <c r="AJ189" s="8">
        <f t="shared" si="103"/>
        <v>7.1413054867579179E-2</v>
      </c>
      <c r="AK189" s="8">
        <f t="shared" si="104"/>
        <v>6.8439675781061013E-2</v>
      </c>
      <c r="AL189" s="9">
        <v>0</v>
      </c>
      <c r="AM189" s="17">
        <f t="shared" si="81"/>
        <v>20.473309351445266</v>
      </c>
      <c r="AN189" s="13">
        <f t="shared" si="82"/>
        <v>17.829571989490081</v>
      </c>
      <c r="AO189" s="13">
        <f t="shared" si="83"/>
        <v>16.214579458344652</v>
      </c>
      <c r="AP189" s="13">
        <f t="shared" si="84"/>
        <v>8.5985421256392502</v>
      </c>
      <c r="AQ189" s="13">
        <f t="shared" si="85"/>
        <v>10.880791666245987</v>
      </c>
      <c r="AR189" s="13">
        <f t="shared" si="86"/>
        <v>9.3911274373382803</v>
      </c>
      <c r="AS189" s="13">
        <f t="shared" si="87"/>
        <v>14.003041906753525</v>
      </c>
      <c r="AT189" s="13">
        <f t="shared" si="88"/>
        <v>14.611407616818742</v>
      </c>
      <c r="AU189" s="9">
        <v>0</v>
      </c>
      <c r="AV189" s="18">
        <f t="shared" si="105"/>
        <v>1</v>
      </c>
      <c r="AW189" s="18">
        <f t="shared" si="106"/>
        <v>2</v>
      </c>
      <c r="AX189" s="18">
        <f t="shared" si="107"/>
        <v>3</v>
      </c>
      <c r="AY189" s="18">
        <f t="shared" si="108"/>
        <v>8</v>
      </c>
      <c r="AZ189" s="18">
        <f t="shared" si="109"/>
        <v>6</v>
      </c>
      <c r="BA189" s="18">
        <f t="shared" si="110"/>
        <v>7</v>
      </c>
      <c r="BB189" s="18">
        <f t="shared" si="111"/>
        <v>5</v>
      </c>
      <c r="BC189" s="18">
        <f t="shared" si="112"/>
        <v>4</v>
      </c>
      <c r="BD189" s="18">
        <f t="shared" si="113"/>
        <v>9</v>
      </c>
      <c r="BE189" s="8">
        <f t="shared" si="115"/>
        <v>6.1620864060615288E-3</v>
      </c>
    </row>
    <row r="190" spans="1:57" x14ac:dyDescent="0.25">
      <c r="A190" t="str">
        <f t="shared" si="114"/>
        <v/>
      </c>
      <c r="B190" s="1">
        <v>43012</v>
      </c>
      <c r="C190" s="9">
        <f t="shared" si="89"/>
        <v>0.25110849049783524</v>
      </c>
      <c r="D190" s="9">
        <f t="shared" si="90"/>
        <v>0.2485312699581379</v>
      </c>
      <c r="E190" s="9">
        <f t="shared" si="91"/>
        <v>0.24943622698179371</v>
      </c>
      <c r="F190" s="9">
        <f t="shared" si="92"/>
        <v>0</v>
      </c>
      <c r="G190" s="9">
        <f t="shared" si="93"/>
        <v>0</v>
      </c>
      <c r="H190" s="9">
        <f t="shared" si="94"/>
        <v>0</v>
      </c>
      <c r="I190" s="9">
        <f t="shared" si="95"/>
        <v>0</v>
      </c>
      <c r="J190" s="9">
        <f t="shared" si="96"/>
        <v>0.25092401256223329</v>
      </c>
      <c r="K190" s="9">
        <v>0</v>
      </c>
      <c r="L190" s="8">
        <f>+VLOOKUP($B190,NIFTY_50!$B$3:$I$1238,8,0)</f>
        <v>5.61894619402592E-3</v>
      </c>
      <c r="M190" s="8">
        <f>+VLOOKUP($B190,NIFTY_BANK!$B$3:$I$41238,8,0)</f>
        <v>4.1073043636985496E-4</v>
      </c>
      <c r="N190" s="8">
        <f>+VLOOKUP($B190,NIFTY_IT!$B$3:$I$1238,8,0)</f>
        <v>-5.9263614037419199E-4</v>
      </c>
      <c r="O190" s="8">
        <f>+VLOOKUP($B190,NIFTY_PHARMA!$B$3:$I$1238,8,0)</f>
        <v>1.7075513160679012E-2</v>
      </c>
      <c r="P190" s="8">
        <f>+VLOOKUP($B190,NIFTY_FMCG!$B$3:$I$1238,8,0)</f>
        <v>1.446203765625298E-2</v>
      </c>
      <c r="Q190" s="8">
        <f>+VLOOKUP($B190,NIFTY_METAL!$B$3:$I$1238,8,0)</f>
        <v>-1.5304986642921126E-3</v>
      </c>
      <c r="R190" s="8">
        <f>+VLOOKUP($B190,NIFTY_ENERGY!$B$3:$I$1238,8,0)</f>
        <v>1.6654757536548104E-2</v>
      </c>
      <c r="S190" s="8">
        <f>+VLOOKUP($B190,NIFTY_AUTO!$B$3:$I$1238,8,0)</f>
        <v>3.5721655393787799E-3</v>
      </c>
      <c r="T190" s="8">
        <v>0</v>
      </c>
      <c r="U190" s="8">
        <f>+VLOOKUP($B190,NIFTY_50!$B$63:$K$1238,10,0)</f>
        <v>2.4843532774134314E-2</v>
      </c>
      <c r="V190" s="8">
        <f>+VLOOKUP($B190,NIFTY_BANK!$B$63:$K$1238,10,0)</f>
        <v>2.7556127525658614E-2</v>
      </c>
      <c r="W190" s="8">
        <f>+VLOOKUP($B190,NIFTY_IT!$B$63:$K$1238,10,0)</f>
        <v>3.852141611406168E-2</v>
      </c>
      <c r="X190" s="8">
        <f>+VLOOKUP($B190,NIFTY_PHARMA!$B$63:$K$1238,10,0)</f>
        <v>-2.3561095801926557E-2</v>
      </c>
      <c r="Y190" s="8">
        <f>+VLOOKUP($B190,NIFTY_FMCG!$B$63:$K$1238,10,0)</f>
        <v>-8.9778730100030124E-2</v>
      </c>
      <c r="Z190" s="8">
        <f>+VLOOKUP($B190,NIFTY_METAL!$B$63:$K$1238,10,0)</f>
        <v>0.1596024884867091</v>
      </c>
      <c r="AA190" s="8">
        <f>+VLOOKUP($B190,NIFTY_ENERGY!$B$63:$K$1238,10,0)</f>
        <v>0.10737289383453597</v>
      </c>
      <c r="AB190" s="8">
        <f>+VLOOKUP($B190,NIFTY_AUTO!$B$63:$K$1238,10,0)</f>
        <v>1.8252369365052257E-2</v>
      </c>
      <c r="AC190" s="8"/>
      <c r="AD190" s="16">
        <f t="shared" si="97"/>
        <v>4.9001664650580846E-2</v>
      </c>
      <c r="AE190" s="8">
        <f t="shared" si="98"/>
        <v>5.591572621970755E-2</v>
      </c>
      <c r="AF190" s="8">
        <f t="shared" si="99"/>
        <v>6.165898726574609E-2</v>
      </c>
      <c r="AG190" s="8">
        <f t="shared" si="100"/>
        <v>0.1175977444356385</v>
      </c>
      <c r="AH190" s="8">
        <f t="shared" si="101"/>
        <v>9.2745166531802925E-2</v>
      </c>
      <c r="AI190" s="8">
        <f t="shared" si="102"/>
        <v>0.10655627245870981</v>
      </c>
      <c r="AJ190" s="8">
        <f t="shared" si="103"/>
        <v>7.2849286840103056E-2</v>
      </c>
      <c r="AK190" s="8">
        <f t="shared" si="104"/>
        <v>6.8423389112938618E-2</v>
      </c>
      <c r="AL190" s="9">
        <v>0</v>
      </c>
      <c r="AM190" s="17">
        <f t="shared" si="81"/>
        <v>20.40746997333174</v>
      </c>
      <c r="AN190" s="13">
        <f t="shared" si="82"/>
        <v>17.884056375673953</v>
      </c>
      <c r="AO190" s="13">
        <f t="shared" si="83"/>
        <v>16.218235886523196</v>
      </c>
      <c r="AP190" s="13">
        <f t="shared" si="84"/>
        <v>8.5035644586474373</v>
      </c>
      <c r="AQ190" s="13">
        <f t="shared" si="85"/>
        <v>10.782233052081409</v>
      </c>
      <c r="AR190" s="13">
        <f t="shared" si="86"/>
        <v>9.3847126680177038</v>
      </c>
      <c r="AS190" s="13">
        <f t="shared" si="87"/>
        <v>13.726970343510715</v>
      </c>
      <c r="AT190" s="13">
        <f t="shared" si="88"/>
        <v>14.614885537888441</v>
      </c>
      <c r="AU190" s="9">
        <v>0</v>
      </c>
      <c r="AV190" s="18">
        <f t="shared" si="105"/>
        <v>1</v>
      </c>
      <c r="AW190" s="18">
        <f t="shared" si="106"/>
        <v>2</v>
      </c>
      <c r="AX190" s="18">
        <f t="shared" si="107"/>
        <v>3</v>
      </c>
      <c r="AY190" s="18">
        <f t="shared" si="108"/>
        <v>8</v>
      </c>
      <c r="AZ190" s="18">
        <f t="shared" si="109"/>
        <v>6</v>
      </c>
      <c r="BA190" s="18">
        <f t="shared" si="110"/>
        <v>7</v>
      </c>
      <c r="BB190" s="18">
        <f t="shared" si="111"/>
        <v>5</v>
      </c>
      <c r="BC190" s="18">
        <f t="shared" si="112"/>
        <v>4</v>
      </c>
      <c r="BD190" s="18">
        <f t="shared" si="113"/>
        <v>9</v>
      </c>
      <c r="BE190" s="8">
        <f t="shared" si="115"/>
        <v>2.2554332817636786E-3</v>
      </c>
    </row>
    <row r="191" spans="1:57" x14ac:dyDescent="0.25">
      <c r="A191" t="str">
        <f t="shared" si="114"/>
        <v/>
      </c>
      <c r="B191" s="1">
        <v>43013</v>
      </c>
      <c r="C191" s="9">
        <f t="shared" si="89"/>
        <v>0.2509078553469829</v>
      </c>
      <c r="D191" s="9">
        <f t="shared" si="90"/>
        <v>0.24842014472668697</v>
      </c>
      <c r="E191" s="9">
        <f t="shared" si="91"/>
        <v>0.24953689011696259</v>
      </c>
      <c r="F191" s="9">
        <f t="shared" si="92"/>
        <v>0</v>
      </c>
      <c r="G191" s="9">
        <f t="shared" si="93"/>
        <v>0</v>
      </c>
      <c r="H191" s="9">
        <f t="shared" si="94"/>
        <v>0</v>
      </c>
      <c r="I191" s="9">
        <f t="shared" si="95"/>
        <v>0</v>
      </c>
      <c r="J191" s="9">
        <f t="shared" si="96"/>
        <v>0.2511351098093676</v>
      </c>
      <c r="K191" s="9">
        <v>0</v>
      </c>
      <c r="L191" s="8">
        <f>+VLOOKUP($B191,NIFTY_50!$B$3:$I$1238,8,0)</f>
        <v>-2.6424875692139249E-3</v>
      </c>
      <c r="M191" s="8">
        <f>+VLOOKUP($B191,NIFTY_BANK!$B$3:$I$41238,8,0)</f>
        <v>-2.2912666453782649E-3</v>
      </c>
      <c r="N191" s="8">
        <f>+VLOOKUP($B191,NIFTY_IT!$B$3:$I$1238,8,0)</f>
        <v>-1.4421457610876987E-3</v>
      </c>
      <c r="O191" s="8">
        <f>+VLOOKUP($B191,NIFTY_PHARMA!$B$3:$I$1238,8,0)</f>
        <v>2.3313380920371163E-3</v>
      </c>
      <c r="P191" s="8">
        <f>+VLOOKUP($B191,NIFTY_FMCG!$B$3:$I$1238,8,0)</f>
        <v>-3.7860305232528813E-3</v>
      </c>
      <c r="Q191" s="8">
        <f>+VLOOKUP($B191,NIFTY_METAL!$B$3:$I$1238,8,0)</f>
        <v>2.8706000390179565E-3</v>
      </c>
      <c r="R191" s="8">
        <f>+VLOOKUP($B191,NIFTY_ENERGY!$B$3:$I$1238,8,0)</f>
        <v>2.9253429679698684E-4</v>
      </c>
      <c r="S191" s="8">
        <f>+VLOOKUP($B191,NIFTY_AUTO!$B$3:$I$1238,8,0)</f>
        <v>-1.0052363676240628E-3</v>
      </c>
      <c r="T191" s="8">
        <v>0</v>
      </c>
      <c r="U191" s="8">
        <f>+VLOOKUP($B191,NIFTY_50!$B$63:$K$1238,10,0)</f>
        <v>2.3060688199631807E-2</v>
      </c>
      <c r="V191" s="8">
        <f>+VLOOKUP($B191,NIFTY_BANK!$B$63:$K$1238,10,0)</f>
        <v>2.5966826089644846E-2</v>
      </c>
      <c r="W191" s="8">
        <f>+VLOOKUP($B191,NIFTY_IT!$B$63:$K$1238,10,0)</f>
        <v>4.330478399651061E-2</v>
      </c>
      <c r="X191" s="8">
        <f>+VLOOKUP($B191,NIFTY_PHARMA!$B$63:$K$1238,10,0)</f>
        <v>-3.3906323112758874E-2</v>
      </c>
      <c r="Y191" s="8">
        <f>+VLOOKUP($B191,NIFTY_FMCG!$B$63:$K$1238,10,0)</f>
        <v>-8.9400109590637045E-2</v>
      </c>
      <c r="Z191" s="8">
        <f>+VLOOKUP($B191,NIFTY_METAL!$B$63:$K$1238,10,0)</f>
        <v>0.16537932151242818</v>
      </c>
      <c r="AA191" s="8">
        <f>+VLOOKUP($B191,NIFTY_ENERGY!$B$63:$K$1238,10,0)</f>
        <v>9.1985152313211582E-2</v>
      </c>
      <c r="AB191" s="8">
        <f>+VLOOKUP($B191,NIFTY_AUTO!$B$63:$K$1238,10,0)</f>
        <v>1.889272066362202E-2</v>
      </c>
      <c r="AC191" s="8"/>
      <c r="AD191" s="16">
        <f t="shared" si="97"/>
        <v>4.9078973107857277E-2</v>
      </c>
      <c r="AE191" s="8">
        <f t="shared" si="98"/>
        <v>5.5970350879697921E-2</v>
      </c>
      <c r="AF191" s="8">
        <f t="shared" si="99"/>
        <v>6.1329944821877126E-2</v>
      </c>
      <c r="AG191" s="8">
        <f t="shared" si="100"/>
        <v>0.11685947111106573</v>
      </c>
      <c r="AH191" s="8">
        <f t="shared" si="101"/>
        <v>9.273387659492828E-2</v>
      </c>
      <c r="AI191" s="8">
        <f t="shared" si="102"/>
        <v>0.10645454172665796</v>
      </c>
      <c r="AJ191" s="8">
        <f t="shared" si="103"/>
        <v>7.1730254357483203E-2</v>
      </c>
      <c r="AK191" s="8">
        <f t="shared" si="104"/>
        <v>6.8408161379109947E-2</v>
      </c>
      <c r="AL191" s="9">
        <v>0</v>
      </c>
      <c r="AM191" s="17">
        <f t="shared" si="81"/>
        <v>20.37532443481189</v>
      </c>
      <c r="AN191" s="13">
        <f t="shared" si="82"/>
        <v>17.86660230430553</v>
      </c>
      <c r="AO191" s="13">
        <f t="shared" si="83"/>
        <v>16.305248649812711</v>
      </c>
      <c r="AP191" s="13">
        <f t="shared" si="84"/>
        <v>8.5572867179039225</v>
      </c>
      <c r="AQ191" s="13">
        <f t="shared" si="85"/>
        <v>10.783545740982117</v>
      </c>
      <c r="AR191" s="13">
        <f t="shared" si="86"/>
        <v>9.3936809438125053</v>
      </c>
      <c r="AS191" s="13">
        <f t="shared" si="87"/>
        <v>13.941118834129378</v>
      </c>
      <c r="AT191" s="13">
        <f t="shared" si="88"/>
        <v>14.61813882788222</v>
      </c>
      <c r="AU191" s="9">
        <v>0</v>
      </c>
      <c r="AV191" s="18">
        <f t="shared" si="105"/>
        <v>1</v>
      </c>
      <c r="AW191" s="18">
        <f t="shared" si="106"/>
        <v>2</v>
      </c>
      <c r="AX191" s="18">
        <f t="shared" si="107"/>
        <v>3</v>
      </c>
      <c r="AY191" s="18">
        <f t="shared" si="108"/>
        <v>8</v>
      </c>
      <c r="AZ191" s="18">
        <f t="shared" si="109"/>
        <v>6</v>
      </c>
      <c r="BA191" s="18">
        <f t="shared" si="110"/>
        <v>7</v>
      </c>
      <c r="BB191" s="18">
        <f t="shared" si="111"/>
        <v>5</v>
      </c>
      <c r="BC191" s="18">
        <f t="shared" si="112"/>
        <v>4</v>
      </c>
      <c r="BD191" s="18">
        <f t="shared" si="113"/>
        <v>9</v>
      </c>
      <c r="BE191" s="8">
        <f t="shared" si="115"/>
        <v>-1.844963814194402E-3</v>
      </c>
    </row>
    <row r="192" spans="1:57" x14ac:dyDescent="0.25">
      <c r="A192" t="str">
        <f t="shared" si="114"/>
        <v/>
      </c>
      <c r="B192" s="1">
        <v>43014</v>
      </c>
      <c r="C192" s="9">
        <f t="shared" si="89"/>
        <v>0.2510825640378907</v>
      </c>
      <c r="D192" s="9">
        <f t="shared" si="90"/>
        <v>0.24767733603191527</v>
      </c>
      <c r="E192" s="9">
        <f t="shared" si="91"/>
        <v>0.25050640128611656</v>
      </c>
      <c r="F192" s="9">
        <f t="shared" si="92"/>
        <v>0</v>
      </c>
      <c r="G192" s="9">
        <f t="shared" si="93"/>
        <v>0</v>
      </c>
      <c r="H192" s="9">
        <f t="shared" si="94"/>
        <v>0</v>
      </c>
      <c r="I192" s="9">
        <f t="shared" si="95"/>
        <v>0</v>
      </c>
      <c r="J192" s="9">
        <f t="shared" si="96"/>
        <v>0.25073369864407741</v>
      </c>
      <c r="K192" s="9">
        <v>0</v>
      </c>
      <c r="L192" s="8">
        <f>+VLOOKUP($B192,NIFTY_50!$B$3:$I$1238,8,0)</f>
        <v>9.202422967629742E-3</v>
      </c>
      <c r="M192" s="8">
        <f>+VLOOKUP($B192,NIFTY_BANK!$B$3:$I$41238,8,0)</f>
        <v>5.4846506678638551E-3</v>
      </c>
      <c r="N192" s="8">
        <f>+VLOOKUP($B192,NIFTY_IT!$B$3:$I$1238,8,0)</f>
        <v>1.2418465222121533E-2</v>
      </c>
      <c r="O192" s="8">
        <f>+VLOOKUP($B192,NIFTY_PHARMA!$B$3:$I$1238,8,0)</f>
        <v>8.8991553253887634E-3</v>
      </c>
      <c r="P192" s="8">
        <f>+VLOOKUP($B192,NIFTY_FMCG!$B$3:$I$1238,8,0)</f>
        <v>4.8060007037071806E-3</v>
      </c>
      <c r="Q192" s="8">
        <f>+VLOOKUP($B192,NIFTY_METAL!$B$3:$I$1238,8,0)</f>
        <v>3.14306358381502E-2</v>
      </c>
      <c r="R192" s="8">
        <f>+VLOOKUP($B192,NIFTY_ENERGY!$B$3:$I$1238,8,0)</f>
        <v>1.8257157398193558E-2</v>
      </c>
      <c r="S192" s="8">
        <f>+VLOOKUP($B192,NIFTY_AUTO!$B$3:$I$1238,8,0)</f>
        <v>6.8882241554377721E-3</v>
      </c>
      <c r="T192" s="8">
        <v>0</v>
      </c>
      <c r="U192" s="8">
        <f>+VLOOKUP($B192,NIFTY_50!$B$63:$K$1238,10,0)</f>
        <v>2.1353897482870421E-2</v>
      </c>
      <c r="V192" s="8">
        <f>+VLOOKUP($B192,NIFTY_BANK!$B$63:$K$1238,10,0)</f>
        <v>2.1750746038551094E-2</v>
      </c>
      <c r="W192" s="8">
        <f>+VLOOKUP($B192,NIFTY_IT!$B$63:$K$1238,10,0)</f>
        <v>2.8498759664481899E-2</v>
      </c>
      <c r="X192" s="8">
        <f>+VLOOKUP($B192,NIFTY_PHARMA!$B$63:$K$1238,10,0)</f>
        <v>-4.1145435507286776E-2</v>
      </c>
      <c r="Y192" s="8">
        <f>+VLOOKUP($B192,NIFTY_FMCG!$B$63:$K$1238,10,0)</f>
        <v>-8.5311834610275028E-2</v>
      </c>
      <c r="Z192" s="8">
        <f>+VLOOKUP($B192,NIFTY_METAL!$B$63:$K$1238,10,0)</f>
        <v>0.18582063324706866</v>
      </c>
      <c r="AA192" s="8">
        <f>+VLOOKUP($B192,NIFTY_ENERGY!$B$63:$K$1238,10,0)</f>
        <v>0.10504253635374416</v>
      </c>
      <c r="AB192" s="8">
        <f>+VLOOKUP($B192,NIFTY_AUTO!$B$63:$K$1238,10,0)</f>
        <v>1.9619831036015833E-2</v>
      </c>
      <c r="AC192" s="8"/>
      <c r="AD192" s="16">
        <f t="shared" si="97"/>
        <v>4.8745695904948552E-2</v>
      </c>
      <c r="AE192" s="8">
        <f t="shared" si="98"/>
        <v>5.5438022155906333E-2</v>
      </c>
      <c r="AF192" s="8">
        <f t="shared" si="99"/>
        <v>5.6609516340581513E-2</v>
      </c>
      <c r="AG192" s="8">
        <f t="shared" si="100"/>
        <v>0.11599435900803394</v>
      </c>
      <c r="AH192" s="8">
        <f t="shared" si="101"/>
        <v>9.2926701539832457E-2</v>
      </c>
      <c r="AI192" s="8">
        <f t="shared" si="102"/>
        <v>0.10971002237032228</v>
      </c>
      <c r="AJ192" s="8">
        <f t="shared" si="103"/>
        <v>7.3496061948155889E-2</v>
      </c>
      <c r="AK192" s="8">
        <f t="shared" si="104"/>
        <v>6.8472976526352425E-2</v>
      </c>
      <c r="AL192" s="9">
        <v>0</v>
      </c>
      <c r="AM192" s="17">
        <f t="shared" ref="AM192:AM255" si="116">1/AD192</f>
        <v>20.514631731793212</v>
      </c>
      <c r="AN192" s="13">
        <f t="shared" ref="AN192:AN255" si="117">1/AE192</f>
        <v>18.038161556120027</v>
      </c>
      <c r="AO192" s="13">
        <f t="shared" ref="AO192:AO255" si="118">1/AF192</f>
        <v>17.664874470639713</v>
      </c>
      <c r="AP192" s="13">
        <f t="shared" ref="AP192:AP255" si="119">1/AG192</f>
        <v>8.6211088931552133</v>
      </c>
      <c r="AQ192" s="13">
        <f t="shared" ref="AQ192:AQ255" si="120">1/AH192</f>
        <v>10.761169646932492</v>
      </c>
      <c r="AR192" s="13">
        <f t="shared" ref="AR192:AR255" si="121">1/AI192</f>
        <v>9.1149375270796646</v>
      </c>
      <c r="AS192" s="13">
        <f t="shared" ref="AS192:AS255" si="122">1/AJ192</f>
        <v>13.60617118105457</v>
      </c>
      <c r="AT192" s="13">
        <f t="shared" ref="AT192:AT255" si="123">1/AK192</f>
        <v>14.604301590644905</v>
      </c>
      <c r="AU192" s="9">
        <v>0</v>
      </c>
      <c r="AV192" s="18">
        <f t="shared" si="105"/>
        <v>1</v>
      </c>
      <c r="AW192" s="18">
        <f t="shared" si="106"/>
        <v>2</v>
      </c>
      <c r="AX192" s="18">
        <f t="shared" si="107"/>
        <v>3</v>
      </c>
      <c r="AY192" s="18">
        <f t="shared" si="108"/>
        <v>8</v>
      </c>
      <c r="AZ192" s="18">
        <f t="shared" si="109"/>
        <v>6</v>
      </c>
      <c r="BA192" s="18">
        <f t="shared" si="110"/>
        <v>7</v>
      </c>
      <c r="BB192" s="18">
        <f t="shared" si="111"/>
        <v>5</v>
      </c>
      <c r="BC192" s="18">
        <f t="shared" si="112"/>
        <v>4</v>
      </c>
      <c r="BD192" s="18">
        <f t="shared" si="113"/>
        <v>9</v>
      </c>
      <c r="BE192" s="8">
        <f t="shared" si="115"/>
        <v>8.5001980447111207E-3</v>
      </c>
    </row>
    <row r="193" spans="1:57" x14ac:dyDescent="0.25">
      <c r="A193" t="str">
        <f t="shared" si="114"/>
        <v/>
      </c>
      <c r="B193" s="1">
        <v>43017</v>
      </c>
      <c r="C193" s="9">
        <f t="shared" ref="C193:C256" si="124">+IF($A193="Y",IF(AV193&lt;=4,0.25,0),C192*(1+L193)/SUMPRODUCT($C192:$J192,1+$L193:$S193))</f>
        <v>0.25095431199028412</v>
      </c>
      <c r="D193" s="9">
        <f t="shared" ref="D193:D256" si="125">+IF($A193="Y",IF(AW193&lt;=4,0.25,0),D192*(1+M193)/SUMPRODUCT($C192:$J192,1+$L193:$S193))</f>
        <v>0.24795942355933781</v>
      </c>
      <c r="E193" s="9">
        <f t="shared" ref="E193:E256" si="126">+IF($A193="Y",IF(AX193&lt;=4,0.25,0),E192*(1+N193)/SUMPRODUCT($C192:$J192,1+$L193:$S193))</f>
        <v>0.25073498983576509</v>
      </c>
      <c r="F193" s="9">
        <f t="shared" ref="F193:F256" si="127">+IF($A193="Y",IF(AY193&lt;=4,0.25,0),F192*(1+O193)/SUMPRODUCT($C192:$J192,1+$L193:$S193))</f>
        <v>0</v>
      </c>
      <c r="G193" s="9">
        <f t="shared" ref="G193:G256" si="128">+IF($A193="Y",IF(AZ193&lt;=4,0.25,0),G192*(1+P193)/SUMPRODUCT($C192:$J192,1+$L193:$S193))</f>
        <v>0</v>
      </c>
      <c r="H193" s="9">
        <f t="shared" ref="H193:H256" si="129">+IF($A193="Y",IF(BA193&lt;=4,0.25,0),H192*(1+Q193)/SUMPRODUCT($C192:$J192,1+$L193:$S193))</f>
        <v>0</v>
      </c>
      <c r="I193" s="9">
        <f t="shared" ref="I193:I256" si="130">+IF($A193="Y",IF(BB193&lt;=4,0.25,0),I192*(1+R193)/SUMPRODUCT($C192:$J192,1+$L193:$S193))</f>
        <v>0</v>
      </c>
      <c r="J193" s="9">
        <f t="shared" ref="J193:J256" si="131">+IF($A193="Y",IF(BC193&lt;=4,0.25,0),J192*(1+S193)/SUMPRODUCT($C192:$J192,1+$L193:$S193))</f>
        <v>0.25035127461461293</v>
      </c>
      <c r="K193" s="9">
        <v>0</v>
      </c>
      <c r="L193" s="8">
        <f>+VLOOKUP($B193,NIFTY_50!$B$3:$I$1238,8,0)</f>
        <v>9.0684088700054843E-4</v>
      </c>
      <c r="M193" s="8">
        <f>+VLOOKUP($B193,NIFTY_BANK!$B$3:$I$41238,8,0)</f>
        <v>2.5589086399340211E-3</v>
      </c>
      <c r="N193" s="8">
        <f>+VLOOKUP($B193,NIFTY_IT!$B$3:$I$1238,8,0)</f>
        <v>2.3321617778861992E-3</v>
      </c>
      <c r="O193" s="8">
        <f>+VLOOKUP($B193,NIFTY_PHARMA!$B$3:$I$1238,8,0)</f>
        <v>2.9490121600592722E-3</v>
      </c>
      <c r="P193" s="8">
        <f>+VLOOKUP($B193,NIFTY_FMCG!$B$3:$I$1238,8,0)</f>
        <v>6.197623614239145E-3</v>
      </c>
      <c r="Q193" s="8">
        <f>+VLOOKUP($B193,NIFTY_METAL!$B$3:$I$1238,8,0)</f>
        <v>1.7108985585343461E-3</v>
      </c>
      <c r="R193" s="8">
        <f>+VLOOKUP($B193,NIFTY_ENERGY!$B$3:$I$1238,8,0)</f>
        <v>-9.4889612496782405E-3</v>
      </c>
      <c r="S193" s="8">
        <f>+VLOOKUP($B193,NIFTY_AUTO!$B$3:$I$1238,8,0)</f>
        <v>-1.0902153175262885E-4</v>
      </c>
      <c r="T193" s="8">
        <v>0</v>
      </c>
      <c r="U193" s="8">
        <f>+VLOOKUP($B193,NIFTY_50!$B$63:$K$1238,10,0)</f>
        <v>2.0713158015746913E-2</v>
      </c>
      <c r="V193" s="8">
        <f>+VLOOKUP($B193,NIFTY_BANK!$B$63:$K$1238,10,0)</f>
        <v>2.8293886688771641E-2</v>
      </c>
      <c r="W193" s="8">
        <f>+VLOOKUP($B193,NIFTY_IT!$B$63:$K$1238,10,0)</f>
        <v>2.3988494726749909E-2</v>
      </c>
      <c r="X193" s="8">
        <f>+VLOOKUP($B193,NIFTY_PHARMA!$B$63:$K$1238,10,0)</f>
        <v>-3.0193895925685887E-2</v>
      </c>
      <c r="Y193" s="8">
        <f>+VLOOKUP($B193,NIFTY_FMCG!$B$63:$K$1238,10,0)</f>
        <v>-7.5845345301444378E-2</v>
      </c>
      <c r="Z193" s="8">
        <f>+VLOOKUP($B193,NIFTY_METAL!$B$63:$K$1238,10,0)</f>
        <v>0.19358877634557037</v>
      </c>
      <c r="AA193" s="8">
        <f>+VLOOKUP($B193,NIFTY_ENERGY!$B$63:$K$1238,10,0)</f>
        <v>9.1959883713758295E-2</v>
      </c>
      <c r="AB193" s="8">
        <f>+VLOOKUP($B193,NIFTY_AUTO!$B$63:$K$1238,10,0)</f>
        <v>1.1920578513536562E-2</v>
      </c>
      <c r="AC193" s="8"/>
      <c r="AD193" s="16">
        <f t="shared" ref="AD193:AD256" si="132">+_xlfn.STDEV.S(L133:L193)*SQRT(60)</f>
        <v>4.873460725928052E-2</v>
      </c>
      <c r="AE193" s="8">
        <f t="shared" ref="AE193:AE256" si="133">+_xlfn.STDEV.S(M133:M193)*SQRT(60)</f>
        <v>5.5315781570832882E-2</v>
      </c>
      <c r="AF193" s="8">
        <f t="shared" ref="AF193:AF256" si="134">+_xlfn.STDEV.S(N133:N193)*SQRT(60)</f>
        <v>5.6289738962585996E-2</v>
      </c>
      <c r="AG193" s="8">
        <f t="shared" ref="AG193:AG256" si="135">+_xlfn.STDEV.S(O133:O193)*SQRT(60)</f>
        <v>0.11577656694580604</v>
      </c>
      <c r="AH193" s="8">
        <f t="shared" ref="AH193:AH256" si="136">+_xlfn.STDEV.S(P133:P193)*SQRT(60)</f>
        <v>9.3186775993382626E-2</v>
      </c>
      <c r="AI193" s="8">
        <f t="shared" ref="AI193:AI256" si="137">+_xlfn.STDEV.S(Q133:Q193)*SQRT(60)</f>
        <v>0.10944235506957593</v>
      </c>
      <c r="AJ193" s="8">
        <f t="shared" ref="AJ193:AJ256" si="138">+_xlfn.STDEV.S(R133:R193)*SQRT(60)</f>
        <v>7.4321557751320669E-2</v>
      </c>
      <c r="AK193" s="8">
        <f t="shared" ref="AK193:AK256" si="139">+_xlfn.STDEV.S(S133:S193)*SQRT(60)</f>
        <v>6.8094160005055665E-2</v>
      </c>
      <c r="AL193" s="9">
        <v>0</v>
      </c>
      <c r="AM193" s="17">
        <f t="shared" si="116"/>
        <v>20.51929945140925</v>
      </c>
      <c r="AN193" s="13">
        <f t="shared" si="117"/>
        <v>18.07802351521476</v>
      </c>
      <c r="AO193" s="13">
        <f t="shared" si="118"/>
        <v>17.765227169816303</v>
      </c>
      <c r="AP193" s="13">
        <f t="shared" si="119"/>
        <v>8.6373264156993947</v>
      </c>
      <c r="AQ193" s="13">
        <f t="shared" si="120"/>
        <v>10.731136358564566</v>
      </c>
      <c r="AR193" s="13">
        <f t="shared" si="121"/>
        <v>9.1372302740037767</v>
      </c>
      <c r="AS193" s="13">
        <f t="shared" si="122"/>
        <v>13.45504629149448</v>
      </c>
      <c r="AT193" s="13">
        <f t="shared" si="123"/>
        <v>14.685547188272164</v>
      </c>
      <c r="AU193" s="9">
        <v>0</v>
      </c>
      <c r="AV193" s="18">
        <f t="shared" ref="AV193:AV256" si="140">+RANK(AM193,$AM193:$AU193)</f>
        <v>1</v>
      </c>
      <c r="AW193" s="18">
        <f t="shared" ref="AW193:AW256" si="141">+RANK(AN193,$AM193:$AU193)</f>
        <v>2</v>
      </c>
      <c r="AX193" s="18">
        <f t="shared" ref="AX193:AX256" si="142">+RANK(AO193,$AM193:$AU193)</f>
        <v>3</v>
      </c>
      <c r="AY193" s="18">
        <f t="shared" ref="AY193:AY256" si="143">+RANK(AP193,$AM193:$AU193)</f>
        <v>8</v>
      </c>
      <c r="AZ193" s="18">
        <f t="shared" ref="AZ193:AZ256" si="144">+RANK(AQ193,$AM193:$AU193)</f>
        <v>6</v>
      </c>
      <c r="BA193" s="18">
        <f t="shared" ref="BA193:BA256" si="145">+RANK(AR193,$AM193:$AU193)</f>
        <v>7</v>
      </c>
      <c r="BB193" s="18">
        <f t="shared" ref="BB193:BB256" si="146">+RANK(AS193,$AM193:$AU193)</f>
        <v>5</v>
      </c>
      <c r="BC193" s="18">
        <f t="shared" ref="BC193:BC256" si="147">+RANK(AT193,$AM193:$AU193)</f>
        <v>4</v>
      </c>
      <c r="BD193" s="18">
        <f t="shared" ref="BD193:BD256" si="148">+RANK(AU193,$AM193:$AU193)</f>
        <v>9</v>
      </c>
      <c r="BE193" s="8">
        <f t="shared" si="115"/>
        <v>1.4183616924775264E-3</v>
      </c>
    </row>
    <row r="194" spans="1:57" x14ac:dyDescent="0.25">
      <c r="A194" t="str">
        <f t="shared" si="114"/>
        <v/>
      </c>
      <c r="B194" s="1">
        <v>43018</v>
      </c>
      <c r="C194" s="9">
        <f t="shared" si="124"/>
        <v>0.25083193999704884</v>
      </c>
      <c r="D194" s="9">
        <f t="shared" si="125"/>
        <v>0.2481144993671181</v>
      </c>
      <c r="E194" s="9">
        <f t="shared" si="126"/>
        <v>0.25098355192090571</v>
      </c>
      <c r="F194" s="9">
        <f t="shared" si="127"/>
        <v>0</v>
      </c>
      <c r="G194" s="9">
        <f t="shared" si="128"/>
        <v>0</v>
      </c>
      <c r="H194" s="9">
        <f t="shared" si="129"/>
        <v>0</v>
      </c>
      <c r="I194" s="9">
        <f t="shared" si="130"/>
        <v>0</v>
      </c>
      <c r="J194" s="9">
        <f t="shared" si="131"/>
        <v>0.25007000871492724</v>
      </c>
      <c r="K194" s="9">
        <v>0</v>
      </c>
      <c r="L194" s="8">
        <f>+VLOOKUP($B194,NIFTY_50!$B$3:$I$1238,8,0)</f>
        <v>2.8231760730823563E-3</v>
      </c>
      <c r="M194" s="8">
        <f>+VLOOKUP($B194,NIFTY_BANK!$B$3:$I$41238,8,0)</f>
        <v>3.9398974925675123E-3</v>
      </c>
      <c r="N194" s="8">
        <f>+VLOOKUP($B194,NIFTY_IT!$B$3:$I$1238,8,0)</f>
        <v>4.3070354487744211E-3</v>
      </c>
      <c r="O194" s="8">
        <f>+VLOOKUP($B194,NIFTY_PHARMA!$B$3:$I$1238,8,0)</f>
        <v>2.5879209316512775E-3</v>
      </c>
      <c r="P194" s="8">
        <f>+VLOOKUP($B194,NIFTY_FMCG!$B$3:$I$1238,8,0)</f>
        <v>-3.2230828095000108E-3</v>
      </c>
      <c r="Q194" s="8">
        <f>+VLOOKUP($B194,NIFTY_METAL!$B$3:$I$1238,8,0)</f>
        <v>9.9519883803811382E-4</v>
      </c>
      <c r="R194" s="8">
        <f>+VLOOKUP($B194,NIFTY_ENERGY!$B$3:$I$1238,8,0)</f>
        <v>7.7083262727022372E-3</v>
      </c>
      <c r="S194" s="8">
        <f>+VLOOKUP($B194,NIFTY_AUTO!$B$3:$I$1238,8,0)</f>
        <v>2.1852114339713236E-3</v>
      </c>
      <c r="T194" s="8">
        <v>0</v>
      </c>
      <c r="U194" s="8">
        <f>+VLOOKUP($B194,NIFTY_50!$B$63:$K$1238,10,0)</f>
        <v>2.0461282994264529E-2</v>
      </c>
      <c r="V194" s="8">
        <f>+VLOOKUP($B194,NIFTY_BANK!$B$63:$K$1238,10,0)</f>
        <v>2.751583109837541E-2</v>
      </c>
      <c r="W194" s="8">
        <f>+VLOOKUP($B194,NIFTY_IT!$B$63:$K$1238,10,0)</f>
        <v>3.1216651444503363E-2</v>
      </c>
      <c r="X194" s="8">
        <f>+VLOOKUP($B194,NIFTY_PHARMA!$B$63:$K$1238,10,0)</f>
        <v>-2.928354621198237E-2</v>
      </c>
      <c r="Y194" s="8">
        <f>+VLOOKUP($B194,NIFTY_FMCG!$B$63:$K$1238,10,0)</f>
        <v>-8.0981993265477614E-2</v>
      </c>
      <c r="Z194" s="8">
        <f>+VLOOKUP($B194,NIFTY_METAL!$B$63:$K$1238,10,0)</f>
        <v>0.19030560841822464</v>
      </c>
      <c r="AA194" s="8">
        <f>+VLOOKUP($B194,NIFTY_ENERGY!$B$63:$K$1238,10,0)</f>
        <v>8.6231531092709979E-2</v>
      </c>
      <c r="AB194" s="8">
        <f>+VLOOKUP($B194,NIFTY_AUTO!$B$63:$K$1238,10,0)</f>
        <v>1.1509168359416178E-2</v>
      </c>
      <c r="AC194" s="8"/>
      <c r="AD194" s="16">
        <f t="shared" si="132"/>
        <v>4.8721434136572012E-2</v>
      </c>
      <c r="AE194" s="8">
        <f t="shared" si="133"/>
        <v>5.5262933781939048E-2</v>
      </c>
      <c r="AF194" s="8">
        <f t="shared" si="134"/>
        <v>5.6329106132449826E-2</v>
      </c>
      <c r="AG194" s="8">
        <f t="shared" si="135"/>
        <v>0.11579689001935713</v>
      </c>
      <c r="AH194" s="8">
        <f t="shared" si="136"/>
        <v>9.3137280330267067E-2</v>
      </c>
      <c r="AI194" s="8">
        <f t="shared" si="137"/>
        <v>0.10945762265755882</v>
      </c>
      <c r="AJ194" s="8">
        <f t="shared" si="138"/>
        <v>7.3680952355723597E-2</v>
      </c>
      <c r="AK194" s="8">
        <f t="shared" si="139"/>
        <v>6.8081229009792743E-2</v>
      </c>
      <c r="AL194" s="9">
        <v>0</v>
      </c>
      <c r="AM194" s="17">
        <f t="shared" si="116"/>
        <v>20.524847384354086</v>
      </c>
      <c r="AN194" s="13">
        <f t="shared" si="117"/>
        <v>18.095311478501682</v>
      </c>
      <c r="AO194" s="13">
        <f t="shared" si="118"/>
        <v>17.752811444382647</v>
      </c>
      <c r="AP194" s="13">
        <f t="shared" si="119"/>
        <v>8.6358105112566967</v>
      </c>
      <c r="AQ194" s="13">
        <f t="shared" si="120"/>
        <v>10.736839173894445</v>
      </c>
      <c r="AR194" s="13">
        <f t="shared" si="121"/>
        <v>9.1359557764974255</v>
      </c>
      <c r="AS194" s="13">
        <f t="shared" si="122"/>
        <v>13.572028699793526</v>
      </c>
      <c r="AT194" s="13">
        <f t="shared" si="123"/>
        <v>14.688336484879862</v>
      </c>
      <c r="AU194" s="9">
        <v>0</v>
      </c>
      <c r="AV194" s="18">
        <f t="shared" si="140"/>
        <v>1</v>
      </c>
      <c r="AW194" s="18">
        <f t="shared" si="141"/>
        <v>2</v>
      </c>
      <c r="AX194" s="18">
        <f t="shared" si="142"/>
        <v>3</v>
      </c>
      <c r="AY194" s="18">
        <f t="shared" si="143"/>
        <v>8</v>
      </c>
      <c r="AZ194" s="18">
        <f t="shared" si="144"/>
        <v>6</v>
      </c>
      <c r="BA194" s="18">
        <f t="shared" si="145"/>
        <v>7</v>
      </c>
      <c r="BB194" s="18">
        <f t="shared" si="146"/>
        <v>5</v>
      </c>
      <c r="BC194" s="18">
        <f t="shared" si="147"/>
        <v>4</v>
      </c>
      <c r="BD194" s="18">
        <f t="shared" si="148"/>
        <v>9</v>
      </c>
      <c r="BE194" s="8">
        <f t="shared" si="115"/>
        <v>3.3124178774556166E-3</v>
      </c>
    </row>
    <row r="195" spans="1:57" x14ac:dyDescent="0.25">
      <c r="A195" t="str">
        <f t="shared" si="114"/>
        <v/>
      </c>
      <c r="B195" s="1">
        <v>43019</v>
      </c>
      <c r="C195" s="9">
        <f t="shared" si="124"/>
        <v>0.25089143317107565</v>
      </c>
      <c r="D195" s="9">
        <f t="shared" si="125"/>
        <v>0.24651824512635437</v>
      </c>
      <c r="E195" s="9">
        <f t="shared" si="126"/>
        <v>0.25323790853123057</v>
      </c>
      <c r="F195" s="9">
        <f t="shared" si="127"/>
        <v>0</v>
      </c>
      <c r="G195" s="9">
        <f t="shared" si="128"/>
        <v>0</v>
      </c>
      <c r="H195" s="9">
        <f t="shared" si="129"/>
        <v>0</v>
      </c>
      <c r="I195" s="9">
        <f t="shared" si="130"/>
        <v>0</v>
      </c>
      <c r="J195" s="9">
        <f t="shared" si="131"/>
        <v>0.24935241317133958</v>
      </c>
      <c r="K195" s="9">
        <v>0</v>
      </c>
      <c r="L195" s="8">
        <f>+VLOOKUP($B195,NIFTY_50!$B$3:$I$1238,8,0)</f>
        <v>-3.2095597961456779E-3</v>
      </c>
      <c r="M195" s="8">
        <f>+VLOOKUP($B195,NIFTY_BANK!$B$3:$I$41238,8,0)</f>
        <v>-9.8572951171478351E-3</v>
      </c>
      <c r="N195" s="8">
        <f>+VLOOKUP($B195,NIFTY_IT!$B$3:$I$1238,8,0)</f>
        <v>5.5052115381029054E-3</v>
      </c>
      <c r="O195" s="8">
        <f>+VLOOKUP($B195,NIFTY_PHARMA!$B$3:$I$1238,8,0)</f>
        <v>-9.3543749934419385E-3</v>
      </c>
      <c r="P195" s="8">
        <f>+VLOOKUP($B195,NIFTY_FMCG!$B$3:$I$1238,8,0)</f>
        <v>-6.8835958158841581E-4</v>
      </c>
      <c r="Q195" s="8">
        <f>+VLOOKUP($B195,NIFTY_METAL!$B$3:$I$1238,8,0)</f>
        <v>-1.4268248444868514E-2</v>
      </c>
      <c r="R195" s="8">
        <f>+VLOOKUP($B195,NIFTY_ENERGY!$B$3:$I$1238,8,0)</f>
        <v>7.2868865936226435E-4</v>
      </c>
      <c r="S195" s="8">
        <f>+VLOOKUP($B195,NIFTY_AUTO!$B$3:$I$1238,8,0)</f>
        <v>-6.3056161235194308E-3</v>
      </c>
      <c r="T195" s="8">
        <v>0</v>
      </c>
      <c r="U195" s="8">
        <f>+VLOOKUP($B195,NIFTY_50!$B$63:$K$1238,10,0)</f>
        <v>9.4119312150588996E-3</v>
      </c>
      <c r="V195" s="8">
        <f>+VLOOKUP($B195,NIFTY_BANK!$B$63:$K$1238,10,0)</f>
        <v>9.1591613590553678E-3</v>
      </c>
      <c r="W195" s="8">
        <f>+VLOOKUP($B195,NIFTY_IT!$B$63:$K$1238,10,0)</f>
        <v>3.3015502056884083E-2</v>
      </c>
      <c r="X195" s="8">
        <f>+VLOOKUP($B195,NIFTY_PHARMA!$B$63:$K$1238,10,0)</f>
        <v>-4.3958380800486085E-2</v>
      </c>
      <c r="Y195" s="8">
        <f>+VLOOKUP($B195,NIFTY_FMCG!$B$63:$K$1238,10,0)</f>
        <v>-9.7825288830226453E-2</v>
      </c>
      <c r="Z195" s="8">
        <f>+VLOOKUP($B195,NIFTY_METAL!$B$63:$K$1238,10,0)</f>
        <v>0.16338698168556243</v>
      </c>
      <c r="AA195" s="8">
        <f>+VLOOKUP($B195,NIFTY_ENERGY!$B$63:$K$1238,10,0)</f>
        <v>8.4320616745082511E-2</v>
      </c>
      <c r="AB195" s="8">
        <f>+VLOOKUP($B195,NIFTY_AUTO!$B$63:$K$1238,10,0)</f>
        <v>2.1624537678357481E-3</v>
      </c>
      <c r="AC195" s="8"/>
      <c r="AD195" s="16">
        <f t="shared" si="132"/>
        <v>4.8275099665293808E-2</v>
      </c>
      <c r="AE195" s="8">
        <f t="shared" si="133"/>
        <v>5.5644383048868741E-2</v>
      </c>
      <c r="AF195" s="8">
        <f t="shared" si="134"/>
        <v>5.6455952165540273E-2</v>
      </c>
      <c r="AG195" s="8">
        <f t="shared" si="135"/>
        <v>0.11596085889141947</v>
      </c>
      <c r="AH195" s="8">
        <f t="shared" si="136"/>
        <v>9.109086466984638E-2</v>
      </c>
      <c r="AI195" s="8">
        <f t="shared" si="137"/>
        <v>0.11062569454640415</v>
      </c>
      <c r="AJ195" s="8">
        <f t="shared" si="138"/>
        <v>7.3675602172831214E-2</v>
      </c>
      <c r="AK195" s="8">
        <f t="shared" si="139"/>
        <v>6.8328734710951827E-2</v>
      </c>
      <c r="AL195" s="9">
        <v>0</v>
      </c>
      <c r="AM195" s="17">
        <f t="shared" si="116"/>
        <v>20.714612852864295</v>
      </c>
      <c r="AN195" s="13">
        <f t="shared" si="117"/>
        <v>17.971265835075695</v>
      </c>
      <c r="AO195" s="13">
        <f t="shared" si="118"/>
        <v>17.712924176139971</v>
      </c>
      <c r="AP195" s="13">
        <f t="shared" si="119"/>
        <v>8.6235994589894762</v>
      </c>
      <c r="AQ195" s="13">
        <f t="shared" si="120"/>
        <v>10.97804926569138</v>
      </c>
      <c r="AR195" s="13">
        <f t="shared" si="121"/>
        <v>9.0394912691872875</v>
      </c>
      <c r="AS195" s="13">
        <f t="shared" si="122"/>
        <v>13.573014274849895</v>
      </c>
      <c r="AT195" s="13">
        <f t="shared" si="123"/>
        <v>14.635131240615795</v>
      </c>
      <c r="AU195" s="9">
        <v>0</v>
      </c>
      <c r="AV195" s="18">
        <f t="shared" si="140"/>
        <v>1</v>
      </c>
      <c r="AW195" s="18">
        <f t="shared" si="141"/>
        <v>2</v>
      </c>
      <c r="AX195" s="18">
        <f t="shared" si="142"/>
        <v>3</v>
      </c>
      <c r="AY195" s="18">
        <f t="shared" si="143"/>
        <v>8</v>
      </c>
      <c r="AZ195" s="18">
        <f t="shared" si="144"/>
        <v>6</v>
      </c>
      <c r="BA195" s="18">
        <f t="shared" si="145"/>
        <v>7</v>
      </c>
      <c r="BB195" s="18">
        <f t="shared" si="146"/>
        <v>5</v>
      </c>
      <c r="BC195" s="18">
        <f t="shared" si="147"/>
        <v>4</v>
      </c>
      <c r="BD195" s="18">
        <f t="shared" si="148"/>
        <v>9</v>
      </c>
      <c r="BE195" s="8">
        <f t="shared" si="115"/>
        <v>-3.4459258863612958E-3</v>
      </c>
    </row>
    <row r="196" spans="1:57" x14ac:dyDescent="0.25">
      <c r="A196" t="str">
        <f t="shared" ref="A196:A259" si="149">+IF(MONTH(B196)&lt;&gt;MONTH(B197),"Y","")</f>
        <v/>
      </c>
      <c r="B196" s="1">
        <v>43020</v>
      </c>
      <c r="C196" s="9">
        <f t="shared" si="124"/>
        <v>0.2511336543875905</v>
      </c>
      <c r="D196" s="9">
        <f t="shared" si="125"/>
        <v>0.24659783957745793</v>
      </c>
      <c r="E196" s="9">
        <f t="shared" si="126"/>
        <v>0.25291302250215758</v>
      </c>
      <c r="F196" s="9">
        <f t="shared" si="127"/>
        <v>0</v>
      </c>
      <c r="G196" s="9">
        <f t="shared" si="128"/>
        <v>0</v>
      </c>
      <c r="H196" s="9">
        <f t="shared" si="129"/>
        <v>0</v>
      </c>
      <c r="I196" s="9">
        <f t="shared" si="130"/>
        <v>0</v>
      </c>
      <c r="J196" s="9">
        <f t="shared" si="131"/>
        <v>0.24935548353279402</v>
      </c>
      <c r="K196" s="9">
        <v>0</v>
      </c>
      <c r="L196" s="8">
        <f>+VLOOKUP($B196,NIFTY_50!$B$3:$I$1238,8,0)</f>
        <v>1.1176989023315542E-2</v>
      </c>
      <c r="M196" s="8">
        <f>+VLOOKUP($B196,NIFTY_BANK!$B$3:$I$41238,8,0)</f>
        <v>1.0527865867190345E-2</v>
      </c>
      <c r="N196" s="8">
        <f>+VLOOKUP($B196,NIFTY_IT!$B$3:$I$1238,8,0)</f>
        <v>8.9056813703900506E-3</v>
      </c>
      <c r="O196" s="8">
        <f>+VLOOKUP($B196,NIFTY_PHARMA!$B$3:$I$1238,8,0)</f>
        <v>1.4399728846591797E-2</v>
      </c>
      <c r="P196" s="8">
        <f>+VLOOKUP($B196,NIFTY_FMCG!$B$3:$I$1238,8,0)</f>
        <v>1.135880893300234E-2</v>
      </c>
      <c r="Q196" s="8">
        <f>+VLOOKUP($B196,NIFTY_METAL!$B$3:$I$1238,8,0)</f>
        <v>1.9899412558437524E-2</v>
      </c>
      <c r="R196" s="8">
        <f>+VLOOKUP($B196,NIFTY_ENERGY!$B$3:$I$1238,8,0)</f>
        <v>1.96640017326426E-2</v>
      </c>
      <c r="S196" s="8">
        <f>+VLOOKUP($B196,NIFTY_AUTO!$B$3:$I$1238,8,0)</f>
        <v>1.0214136474366642E-2</v>
      </c>
      <c r="T196" s="8">
        <v>0</v>
      </c>
      <c r="U196" s="8">
        <f>+VLOOKUP($B196,NIFTY_50!$B$63:$K$1238,10,0)</f>
        <v>2.1246466087079696E-2</v>
      </c>
      <c r="V196" s="8">
        <f>+VLOOKUP($B196,NIFTY_BANK!$B$63:$K$1238,10,0)</f>
        <v>1.7693846944359715E-2</v>
      </c>
      <c r="W196" s="8">
        <f>+VLOOKUP($B196,NIFTY_IT!$B$63:$K$1238,10,0)</f>
        <v>5.3302551146346078E-2</v>
      </c>
      <c r="X196" s="8">
        <f>+VLOOKUP($B196,NIFTY_PHARMA!$B$63:$K$1238,10,0)</f>
        <v>-3.8274797278638251E-2</v>
      </c>
      <c r="Y196" s="8">
        <f>+VLOOKUP($B196,NIFTY_FMCG!$B$63:$K$1238,10,0)</f>
        <v>-8.5802877860499782E-2</v>
      </c>
      <c r="Z196" s="8">
        <f>+VLOOKUP($B196,NIFTY_METAL!$B$63:$K$1238,10,0)</f>
        <v>0.19152561264947998</v>
      </c>
      <c r="AA196" s="8">
        <f>+VLOOKUP($B196,NIFTY_ENERGY!$B$63:$K$1238,10,0)</f>
        <v>9.7192979636445465E-2</v>
      </c>
      <c r="AB196" s="8">
        <f>+VLOOKUP($B196,NIFTY_AUTO!$B$63:$K$1238,10,0)</f>
        <v>1.6525511258004499E-2</v>
      </c>
      <c r="AC196" s="8"/>
      <c r="AD196" s="16">
        <f t="shared" si="132"/>
        <v>4.948554256154631E-2</v>
      </c>
      <c r="AE196" s="8">
        <f t="shared" si="133"/>
        <v>5.6557718345429622E-2</v>
      </c>
      <c r="AF196" s="8">
        <f t="shared" si="134"/>
        <v>5.5927427737671294E-2</v>
      </c>
      <c r="AG196" s="8">
        <f t="shared" si="135"/>
        <v>0.11657852982192686</v>
      </c>
      <c r="AH196" s="8">
        <f t="shared" si="136"/>
        <v>9.199403352328997E-2</v>
      </c>
      <c r="AI196" s="8">
        <f t="shared" si="137"/>
        <v>0.111725125479885</v>
      </c>
      <c r="AJ196" s="8">
        <f t="shared" si="138"/>
        <v>7.56324951048927E-2</v>
      </c>
      <c r="AK196" s="8">
        <f t="shared" si="139"/>
        <v>6.892907018563442E-2</v>
      </c>
      <c r="AL196" s="9">
        <v>0</v>
      </c>
      <c r="AM196" s="17">
        <f t="shared" si="116"/>
        <v>20.207922319054639</v>
      </c>
      <c r="AN196" s="13">
        <f t="shared" si="117"/>
        <v>17.681052723740386</v>
      </c>
      <c r="AO196" s="13">
        <f t="shared" si="118"/>
        <v>17.880314551395422</v>
      </c>
      <c r="AP196" s="13">
        <f t="shared" si="119"/>
        <v>8.5779088270155341</v>
      </c>
      <c r="AQ196" s="13">
        <f t="shared" si="120"/>
        <v>10.870270187107643</v>
      </c>
      <c r="AR196" s="13">
        <f t="shared" si="121"/>
        <v>8.9505381686059504</v>
      </c>
      <c r="AS196" s="13">
        <f t="shared" si="122"/>
        <v>13.221830095822259</v>
      </c>
      <c r="AT196" s="13">
        <f t="shared" si="123"/>
        <v>14.507667045368198</v>
      </c>
      <c r="AU196" s="9">
        <v>0</v>
      </c>
      <c r="AV196" s="18">
        <f t="shared" si="140"/>
        <v>1</v>
      </c>
      <c r="AW196" s="18">
        <f t="shared" si="141"/>
        <v>3</v>
      </c>
      <c r="AX196" s="18">
        <f t="shared" si="142"/>
        <v>2</v>
      </c>
      <c r="AY196" s="18">
        <f t="shared" si="143"/>
        <v>8</v>
      </c>
      <c r="AZ196" s="18">
        <f t="shared" si="144"/>
        <v>6</v>
      </c>
      <c r="BA196" s="18">
        <f t="shared" si="145"/>
        <v>7</v>
      </c>
      <c r="BB196" s="18">
        <f t="shared" si="146"/>
        <v>5</v>
      </c>
      <c r="BC196" s="18">
        <f t="shared" si="147"/>
        <v>4</v>
      </c>
      <c r="BD196" s="18">
        <f t="shared" si="148"/>
        <v>9</v>
      </c>
      <c r="BE196" s="8">
        <f t="shared" ref="BE196:BE259" si="150">+SUMPRODUCT(C195:J195,L196:S196)</f>
        <v>1.0201697515730267E-2</v>
      </c>
    </row>
    <row r="197" spans="1:57" x14ac:dyDescent="0.25">
      <c r="A197" t="str">
        <f t="shared" si="149"/>
        <v/>
      </c>
      <c r="B197" s="1">
        <v>43021</v>
      </c>
      <c r="C197" s="9">
        <f t="shared" si="124"/>
        <v>0.25133764717356571</v>
      </c>
      <c r="D197" s="9">
        <f t="shared" si="125"/>
        <v>0.24837219119509393</v>
      </c>
      <c r="E197" s="9">
        <f t="shared" si="126"/>
        <v>0.25234062939382923</v>
      </c>
      <c r="F197" s="9">
        <f t="shared" si="127"/>
        <v>0</v>
      </c>
      <c r="G197" s="9">
        <f t="shared" si="128"/>
        <v>0</v>
      </c>
      <c r="H197" s="9">
        <f t="shared" si="129"/>
        <v>0</v>
      </c>
      <c r="I197" s="9">
        <f t="shared" si="130"/>
        <v>0</v>
      </c>
      <c r="J197" s="9">
        <f t="shared" si="131"/>
        <v>0.24794953223751104</v>
      </c>
      <c r="K197" s="9">
        <v>0</v>
      </c>
      <c r="L197" s="8">
        <f>+VLOOKUP($B197,NIFTY_50!$B$3:$I$1238,8,0)</f>
        <v>7.0371617606277415E-3</v>
      </c>
      <c r="M197" s="8">
        <f>+VLOOKUP($B197,NIFTY_BANK!$B$3:$I$41238,8,0)</f>
        <v>1.3459900456668006E-2</v>
      </c>
      <c r="N197" s="8">
        <f>+VLOOKUP($B197,NIFTY_IT!$B$3:$I$1238,8,0)</f>
        <v>3.9425436298972105E-3</v>
      </c>
      <c r="O197" s="8">
        <f>+VLOOKUP($B197,NIFTY_PHARMA!$B$3:$I$1238,8,0)</f>
        <v>-3.2890958640924284E-3</v>
      </c>
      <c r="P197" s="8">
        <f>+VLOOKUP($B197,NIFTY_FMCG!$B$3:$I$1238,8,0)</f>
        <v>-1.5211827146536239E-3</v>
      </c>
      <c r="Q197" s="8">
        <f>+VLOOKUP($B197,NIFTY_METAL!$B$3:$I$1238,8,0)</f>
        <v>1.1519598016811683E-2</v>
      </c>
      <c r="R197" s="8">
        <f>+VLOOKUP($B197,NIFTY_ENERGY!$B$3:$I$1238,8,0)</f>
        <v>1.8274037317123071E-3</v>
      </c>
      <c r="S197" s="8">
        <f>+VLOOKUP($B197,NIFTY_AUTO!$B$3:$I$1238,8,0)</f>
        <v>5.4641107272690448E-4</v>
      </c>
      <c r="T197" s="8">
        <v>0</v>
      </c>
      <c r="U197" s="8">
        <f>+VLOOKUP($B197,NIFTY_50!$B$63:$K$1238,10,0)</f>
        <v>2.5363177506945833E-2</v>
      </c>
      <c r="V197" s="8">
        <f>+VLOOKUP($B197,NIFTY_BANK!$B$63:$K$1238,10,0)</f>
        <v>2.8069897834899438E-2</v>
      </c>
      <c r="W197" s="8">
        <f>+VLOOKUP($B197,NIFTY_IT!$B$63:$K$1238,10,0)</f>
        <v>4.5793305475380297E-2</v>
      </c>
      <c r="X197" s="8">
        <f>+VLOOKUP($B197,NIFTY_PHARMA!$B$63:$K$1238,10,0)</f>
        <v>-4.4938592761199603E-2</v>
      </c>
      <c r="Y197" s="8">
        <f>+VLOOKUP($B197,NIFTY_FMCG!$B$63:$K$1238,10,0)</f>
        <v>-7.1437828681368276E-2</v>
      </c>
      <c r="Z197" s="8">
        <f>+VLOOKUP($B197,NIFTY_METAL!$B$63:$K$1238,10,0)</f>
        <v>0.19380786398119976</v>
      </c>
      <c r="AA197" s="8">
        <f>+VLOOKUP($B197,NIFTY_ENERGY!$B$63:$K$1238,10,0)</f>
        <v>9.1636073423782882E-2</v>
      </c>
      <c r="AB197" s="8">
        <f>+VLOOKUP($B197,NIFTY_AUTO!$B$63:$K$1238,10,0)</f>
        <v>1.2970388014392098E-2</v>
      </c>
      <c r="AC197" s="8"/>
      <c r="AD197" s="16">
        <f t="shared" si="132"/>
        <v>4.9861391345810711E-2</v>
      </c>
      <c r="AE197" s="8">
        <f t="shared" si="133"/>
        <v>5.7977303999903827E-2</v>
      </c>
      <c r="AF197" s="8">
        <f t="shared" si="134"/>
        <v>5.5053307717900478E-2</v>
      </c>
      <c r="AG197" s="8">
        <f t="shared" si="135"/>
        <v>0.11653238972636198</v>
      </c>
      <c r="AH197" s="8">
        <f t="shared" si="136"/>
        <v>9.0645483792582651E-2</v>
      </c>
      <c r="AI197" s="8">
        <f t="shared" si="137"/>
        <v>0.11185585805554858</v>
      </c>
      <c r="AJ197" s="8">
        <f t="shared" si="138"/>
        <v>7.5440050577360196E-2</v>
      </c>
      <c r="AK197" s="8">
        <f t="shared" si="139"/>
        <v>6.8825924441302172E-2</v>
      </c>
      <c r="AL197" s="9">
        <v>0</v>
      </c>
      <c r="AM197" s="17">
        <f t="shared" si="116"/>
        <v>20.055597587812173</v>
      </c>
      <c r="AN197" s="13">
        <f t="shared" si="117"/>
        <v>17.248128681555439</v>
      </c>
      <c r="AO197" s="13">
        <f t="shared" si="118"/>
        <v>18.164212859363797</v>
      </c>
      <c r="AP197" s="13">
        <f t="shared" si="119"/>
        <v>8.5813051834616232</v>
      </c>
      <c r="AQ197" s="13">
        <f t="shared" si="120"/>
        <v>11.031989219542652</v>
      </c>
      <c r="AR197" s="13">
        <f t="shared" si="121"/>
        <v>8.9400771437772288</v>
      </c>
      <c r="AS197" s="13">
        <f t="shared" si="122"/>
        <v>13.255558451336766</v>
      </c>
      <c r="AT197" s="13">
        <f t="shared" si="123"/>
        <v>14.529408912666982</v>
      </c>
      <c r="AU197" s="9">
        <v>0</v>
      </c>
      <c r="AV197" s="18">
        <f t="shared" si="140"/>
        <v>1</v>
      </c>
      <c r="AW197" s="18">
        <f t="shared" si="141"/>
        <v>3</v>
      </c>
      <c r="AX197" s="18">
        <f t="shared" si="142"/>
        <v>2</v>
      </c>
      <c r="AY197" s="18">
        <f t="shared" si="143"/>
        <v>8</v>
      </c>
      <c r="AZ197" s="18">
        <f t="shared" si="144"/>
        <v>6</v>
      </c>
      <c r="BA197" s="18">
        <f t="shared" si="145"/>
        <v>7</v>
      </c>
      <c r="BB197" s="18">
        <f t="shared" si="146"/>
        <v>5</v>
      </c>
      <c r="BC197" s="18">
        <f t="shared" si="147"/>
        <v>4</v>
      </c>
      <c r="BD197" s="18">
        <f t="shared" si="148"/>
        <v>9</v>
      </c>
      <c r="BE197" s="8">
        <f t="shared" si="150"/>
        <v>6.2198217460364457E-3</v>
      </c>
    </row>
    <row r="198" spans="1:57" x14ac:dyDescent="0.25">
      <c r="A198" t="str">
        <f t="shared" si="149"/>
        <v/>
      </c>
      <c r="B198" s="1">
        <v>43024</v>
      </c>
      <c r="C198" s="9">
        <f t="shared" si="124"/>
        <v>0.25147851191915838</v>
      </c>
      <c r="D198" s="9">
        <f t="shared" si="125"/>
        <v>0.24711042781309292</v>
      </c>
      <c r="E198" s="9">
        <f t="shared" si="126"/>
        <v>0.25177647807089659</v>
      </c>
      <c r="F198" s="9">
        <f t="shared" si="127"/>
        <v>0</v>
      </c>
      <c r="G198" s="9">
        <f t="shared" si="128"/>
        <v>0</v>
      </c>
      <c r="H198" s="9">
        <f t="shared" si="129"/>
        <v>0</v>
      </c>
      <c r="I198" s="9">
        <f t="shared" si="130"/>
        <v>0</v>
      </c>
      <c r="J198" s="9">
        <f t="shared" si="131"/>
        <v>0.24963458219685208</v>
      </c>
      <c r="K198" s="9">
        <v>0</v>
      </c>
      <c r="L198" s="8">
        <f>+VLOOKUP($B198,NIFTY_50!$B$3:$I$1238,8,0)</f>
        <v>6.2355851270474716E-3</v>
      </c>
      <c r="M198" s="8">
        <f>+VLOOKUP($B198,NIFTY_BANK!$B$3:$I$41238,8,0)</f>
        <v>5.6300034630596407E-4</v>
      </c>
      <c r="N198" s="8">
        <f>+VLOOKUP($B198,NIFTY_IT!$B$3:$I$1238,8,0)</f>
        <v>3.4235916588858384E-3</v>
      </c>
      <c r="O198" s="8">
        <f>+VLOOKUP($B198,NIFTY_PHARMA!$B$3:$I$1238,8,0)</f>
        <v>1.5394527321488383E-2</v>
      </c>
      <c r="P198" s="8">
        <f>+VLOOKUP($B198,NIFTY_FMCG!$B$3:$I$1238,8,0)</f>
        <v>6.7918623463476546E-3</v>
      </c>
      <c r="Q198" s="8">
        <f>+VLOOKUP($B198,NIFTY_METAL!$B$3:$I$1238,8,0)</f>
        <v>1.8734063494999287E-2</v>
      </c>
      <c r="R198" s="8">
        <f>+VLOOKUP($B198,NIFTY_ENERGY!$B$3:$I$1238,8,0)</f>
        <v>2.3979763419161859E-3</v>
      </c>
      <c r="S198" s="8">
        <f>+VLOOKUP($B198,NIFTY_AUTO!$B$3:$I$1238,8,0)</f>
        <v>1.2506431492196546E-2</v>
      </c>
      <c r="T198" s="8">
        <v>0</v>
      </c>
      <c r="U198" s="8">
        <f>+VLOOKUP($B198,NIFTY_50!$B$63:$K$1238,10,0)</f>
        <v>4.1080068992536134E-2</v>
      </c>
      <c r="V198" s="8">
        <f>+VLOOKUP($B198,NIFTY_BANK!$B$63:$K$1238,10,0)</f>
        <v>2.8348954398146775E-2</v>
      </c>
      <c r="W198" s="8">
        <f>+VLOOKUP($B198,NIFTY_IT!$B$63:$K$1238,10,0)</f>
        <v>4.4638432508672166E-2</v>
      </c>
      <c r="X198" s="8">
        <f>+VLOOKUP($B198,NIFTY_PHARMA!$B$63:$K$1238,10,0)</f>
        <v>-3.3094580170186405E-2</v>
      </c>
      <c r="Y198" s="8">
        <f>+VLOOKUP($B198,NIFTY_FMCG!$B$63:$K$1238,10,0)</f>
        <v>2.3485572030248481E-3</v>
      </c>
      <c r="Z198" s="8">
        <f>+VLOOKUP($B198,NIFTY_METAL!$B$63:$K$1238,10,0)</f>
        <v>0.2182478868789004</v>
      </c>
      <c r="AA198" s="8">
        <f>+VLOOKUP($B198,NIFTY_ENERGY!$B$63:$K$1238,10,0)</f>
        <v>0.10812077716354707</v>
      </c>
      <c r="AB198" s="8">
        <f>+VLOOKUP($B198,NIFTY_AUTO!$B$63:$K$1238,10,0)</f>
        <v>2.3958409406266146E-2</v>
      </c>
      <c r="AC198" s="8"/>
      <c r="AD198" s="16">
        <f t="shared" si="132"/>
        <v>4.9274368902124048E-2</v>
      </c>
      <c r="AE198" s="8">
        <f t="shared" si="133"/>
        <v>5.7977039403592973E-2</v>
      </c>
      <c r="AF198" s="8">
        <f t="shared" si="134"/>
        <v>5.4988222195615062E-2</v>
      </c>
      <c r="AG198" s="8">
        <f t="shared" si="135"/>
        <v>0.11756482252793095</v>
      </c>
      <c r="AH198" s="8">
        <f t="shared" si="136"/>
        <v>6.1727320644048678E-2</v>
      </c>
      <c r="AI198" s="8">
        <f t="shared" si="137"/>
        <v>0.11282675770932879</v>
      </c>
      <c r="AJ198" s="8">
        <f t="shared" si="138"/>
        <v>7.4110846616376888E-2</v>
      </c>
      <c r="AK198" s="8">
        <f t="shared" si="139"/>
        <v>6.9880987283636217E-2</v>
      </c>
      <c r="AL198" s="9">
        <v>0</v>
      </c>
      <c r="AM198" s="17">
        <f t="shared" si="116"/>
        <v>20.294526795185263</v>
      </c>
      <c r="AN198" s="13">
        <f t="shared" si="117"/>
        <v>17.248207398772895</v>
      </c>
      <c r="AO198" s="13">
        <f t="shared" si="118"/>
        <v>18.18571250480877</v>
      </c>
      <c r="AP198" s="13">
        <f t="shared" si="119"/>
        <v>8.5059457284718043</v>
      </c>
      <c r="AQ198" s="13">
        <f t="shared" si="120"/>
        <v>16.200281975083801</v>
      </c>
      <c r="AR198" s="13">
        <f t="shared" si="121"/>
        <v>8.8631457670374729</v>
      </c>
      <c r="AS198" s="13">
        <f t="shared" si="122"/>
        <v>13.493301529482483</v>
      </c>
      <c r="AT198" s="13">
        <f t="shared" si="123"/>
        <v>14.310043960042426</v>
      </c>
      <c r="AU198" s="9">
        <v>0</v>
      </c>
      <c r="AV198" s="18">
        <f t="shared" si="140"/>
        <v>1</v>
      </c>
      <c r="AW198" s="18">
        <f t="shared" si="141"/>
        <v>3</v>
      </c>
      <c r="AX198" s="18">
        <f t="shared" si="142"/>
        <v>2</v>
      </c>
      <c r="AY198" s="18">
        <f t="shared" si="143"/>
        <v>8</v>
      </c>
      <c r="AZ198" s="18">
        <f t="shared" si="144"/>
        <v>4</v>
      </c>
      <c r="BA198" s="18">
        <f t="shared" si="145"/>
        <v>7</v>
      </c>
      <c r="BB198" s="18">
        <f t="shared" si="146"/>
        <v>6</v>
      </c>
      <c r="BC198" s="18">
        <f t="shared" si="147"/>
        <v>5</v>
      </c>
      <c r="BD198" s="18">
        <f t="shared" si="148"/>
        <v>9</v>
      </c>
      <c r="BE198" s="8">
        <f t="shared" si="150"/>
        <v>5.6719460366795272E-3</v>
      </c>
    </row>
    <row r="199" spans="1:57" x14ac:dyDescent="0.25">
      <c r="A199" t="str">
        <f t="shared" si="149"/>
        <v/>
      </c>
      <c r="B199" s="1">
        <v>43025</v>
      </c>
      <c r="C199" s="9">
        <f t="shared" si="124"/>
        <v>0.25177041181773158</v>
      </c>
      <c r="D199" s="9">
        <f t="shared" si="125"/>
        <v>0.246735084201959</v>
      </c>
      <c r="E199" s="9">
        <f t="shared" si="126"/>
        <v>0.2515455936331239</v>
      </c>
      <c r="F199" s="9">
        <f t="shared" si="127"/>
        <v>0</v>
      </c>
      <c r="G199" s="9">
        <f t="shared" si="128"/>
        <v>0</v>
      </c>
      <c r="H199" s="9">
        <f t="shared" si="129"/>
        <v>0</v>
      </c>
      <c r="I199" s="9">
        <f t="shared" si="130"/>
        <v>0</v>
      </c>
      <c r="J199" s="9">
        <f t="shared" si="131"/>
        <v>0.2499489103471855</v>
      </c>
      <c r="K199" s="9">
        <v>0</v>
      </c>
      <c r="L199" s="8">
        <f>+VLOOKUP($B199,NIFTY_50!$B$3:$I$1238,8,0)</f>
        <v>3.5187692127247594E-4</v>
      </c>
      <c r="M199" s="8">
        <f>+VLOOKUP($B199,NIFTY_BANK!$B$3:$I$41238,8,0)</f>
        <v>-2.3256237590095763E-3</v>
      </c>
      <c r="N199" s="8">
        <f>+VLOOKUP($B199,NIFTY_IT!$B$3:$I$1238,8,0)</f>
        <v>-1.7242008465917502E-3</v>
      </c>
      <c r="O199" s="8">
        <f>+VLOOKUP($B199,NIFTY_PHARMA!$B$3:$I$1238,8,0)</f>
        <v>4.9522571459523768E-3</v>
      </c>
      <c r="P199" s="8">
        <f>+VLOOKUP($B199,NIFTY_FMCG!$B$3:$I$1238,8,0)</f>
        <v>5.213296052735128E-4</v>
      </c>
      <c r="Q199" s="8">
        <f>+VLOOKUP($B199,NIFTY_METAL!$B$3:$I$1238,8,0)</f>
        <v>3.294038309406222E-3</v>
      </c>
      <c r="R199" s="8">
        <f>+VLOOKUP($B199,NIFTY_ENERGY!$B$3:$I$1238,8,0)</f>
        <v>1.2398803880095954E-3</v>
      </c>
      <c r="S199" s="8">
        <f>+VLOOKUP($B199,NIFTY_AUTO!$B$3:$I$1238,8,0)</f>
        <v>4.5021552396606879E-4</v>
      </c>
      <c r="T199" s="8">
        <v>0</v>
      </c>
      <c r="U199" s="8">
        <f>+VLOOKUP($B199,NIFTY_50!$B$63:$K$1238,10,0)</f>
        <v>3.3824598973696052E-2</v>
      </c>
      <c r="V199" s="8">
        <f>+VLOOKUP($B199,NIFTY_BANK!$B$63:$K$1238,10,0)</f>
        <v>2.0409768700328845E-2</v>
      </c>
      <c r="W199" s="8">
        <f>+VLOOKUP($B199,NIFTY_IT!$B$63:$K$1238,10,0)</f>
        <v>3.3910315765604215E-2</v>
      </c>
      <c r="X199" s="8">
        <f>+VLOOKUP($B199,NIFTY_PHARMA!$B$63:$K$1238,10,0)</f>
        <v>-4.827252652766123E-2</v>
      </c>
      <c r="Y199" s="8">
        <f>+VLOOKUP($B199,NIFTY_FMCG!$B$63:$K$1238,10,0)</f>
        <v>-1.1375321956725082E-2</v>
      </c>
      <c r="Z199" s="8">
        <f>+VLOOKUP($B199,NIFTY_METAL!$B$63:$K$1238,10,0)</f>
        <v>0.19898022441262175</v>
      </c>
      <c r="AA199" s="8">
        <f>+VLOOKUP($B199,NIFTY_ENERGY!$B$63:$K$1238,10,0)</f>
        <v>9.9211703145580588E-2</v>
      </c>
      <c r="AB199" s="8">
        <f>+VLOOKUP($B199,NIFTY_AUTO!$B$63:$K$1238,10,0)</f>
        <v>1.9047143382536547E-2</v>
      </c>
      <c r="AC199" s="8"/>
      <c r="AD199" s="16">
        <f t="shared" si="132"/>
        <v>4.8810616633214454E-2</v>
      </c>
      <c r="AE199" s="8">
        <f t="shared" si="133"/>
        <v>5.7825123501679003E-2</v>
      </c>
      <c r="AF199" s="8">
        <f t="shared" si="134"/>
        <v>5.4458425979494636E-2</v>
      </c>
      <c r="AG199" s="8">
        <f t="shared" si="135"/>
        <v>0.11570493953729327</v>
      </c>
      <c r="AH199" s="8">
        <f t="shared" si="136"/>
        <v>6.0013721277054857E-2</v>
      </c>
      <c r="AI199" s="8">
        <f t="shared" si="137"/>
        <v>0.11165724494061574</v>
      </c>
      <c r="AJ199" s="8">
        <f t="shared" si="138"/>
        <v>7.3711809217873583E-2</v>
      </c>
      <c r="AK199" s="8">
        <f t="shared" si="139"/>
        <v>6.9710200220289051E-2</v>
      </c>
      <c r="AL199" s="9">
        <v>0</v>
      </c>
      <c r="AM199" s="17">
        <f t="shared" si="116"/>
        <v>20.487346175412256</v>
      </c>
      <c r="AN199" s="13">
        <f t="shared" si="117"/>
        <v>17.293521214372575</v>
      </c>
      <c r="AO199" s="13">
        <f t="shared" si="118"/>
        <v>18.362631347011984</v>
      </c>
      <c r="AP199" s="13">
        <f t="shared" si="119"/>
        <v>8.6426733724508491</v>
      </c>
      <c r="AQ199" s="13">
        <f t="shared" si="120"/>
        <v>16.662856072255124</v>
      </c>
      <c r="AR199" s="13">
        <f t="shared" si="121"/>
        <v>8.9559795294236775</v>
      </c>
      <c r="AS199" s="13">
        <f t="shared" si="122"/>
        <v>13.566347246263502</v>
      </c>
      <c r="AT199" s="13">
        <f t="shared" si="123"/>
        <v>14.345102966853213</v>
      </c>
      <c r="AU199" s="9">
        <v>0</v>
      </c>
      <c r="AV199" s="18">
        <f t="shared" si="140"/>
        <v>1</v>
      </c>
      <c r="AW199" s="18">
        <f t="shared" si="141"/>
        <v>3</v>
      </c>
      <c r="AX199" s="18">
        <f t="shared" si="142"/>
        <v>2</v>
      </c>
      <c r="AY199" s="18">
        <f t="shared" si="143"/>
        <v>8</v>
      </c>
      <c r="AZ199" s="18">
        <f t="shared" si="144"/>
        <v>4</v>
      </c>
      <c r="BA199" s="18">
        <f t="shared" si="145"/>
        <v>7</v>
      </c>
      <c r="BB199" s="18">
        <f t="shared" si="146"/>
        <v>6</v>
      </c>
      <c r="BC199" s="18">
        <f t="shared" si="147"/>
        <v>5</v>
      </c>
      <c r="BD199" s="18">
        <f t="shared" si="148"/>
        <v>9</v>
      </c>
      <c r="BE199" s="8">
        <f t="shared" si="150"/>
        <v>-8.0792024989877534E-4</v>
      </c>
    </row>
    <row r="200" spans="1:57" x14ac:dyDescent="0.25">
      <c r="A200" t="str">
        <f t="shared" si="149"/>
        <v/>
      </c>
      <c r="B200" s="1">
        <v>43026</v>
      </c>
      <c r="C200" s="9">
        <f t="shared" si="124"/>
        <v>0.25266920839954043</v>
      </c>
      <c r="D200" s="9">
        <f t="shared" si="125"/>
        <v>0.24484638757649194</v>
      </c>
      <c r="E200" s="9">
        <f t="shared" si="126"/>
        <v>0.25227440147715291</v>
      </c>
      <c r="F200" s="9">
        <f t="shared" si="127"/>
        <v>0</v>
      </c>
      <c r="G200" s="9">
        <f t="shared" si="128"/>
        <v>0</v>
      </c>
      <c r="H200" s="9">
        <f t="shared" si="129"/>
        <v>0</v>
      </c>
      <c r="I200" s="9">
        <f t="shared" si="130"/>
        <v>0</v>
      </c>
      <c r="J200" s="9">
        <f t="shared" si="131"/>
        <v>0.2502100025468148</v>
      </c>
      <c r="K200" s="9">
        <v>0</v>
      </c>
      <c r="L200" s="8">
        <f>+VLOOKUP($B200,NIFTY_50!$B$3:$I$1238,8,0)</f>
        <v>-2.3059373000015038E-3</v>
      </c>
      <c r="M200" s="8">
        <f>+VLOOKUP($B200,NIFTY_BANK!$B$3:$I$41238,8,0)</f>
        <v>-1.3464878112117273E-2</v>
      </c>
      <c r="N200" s="8">
        <f>+VLOOKUP($B200,NIFTY_IT!$B$3:$I$1238,8,0)</f>
        <v>-2.9745857969241118E-3</v>
      </c>
      <c r="O200" s="8">
        <f>+VLOOKUP($B200,NIFTY_PHARMA!$B$3:$I$1238,8,0)</f>
        <v>-1.2109172479993324E-2</v>
      </c>
      <c r="P200" s="8">
        <f>+VLOOKUP($B200,NIFTY_FMCG!$B$3:$I$1238,8,0)</f>
        <v>2.4628282713949901E-3</v>
      </c>
      <c r="Q200" s="8">
        <f>+VLOOKUP($B200,NIFTY_METAL!$B$3:$I$1238,8,0)</f>
        <v>-3.7356358982977289E-3</v>
      </c>
      <c r="R200" s="8">
        <f>+VLOOKUP($B200,NIFTY_ENERGY!$B$3:$I$1238,8,0)</f>
        <v>2.6649912587412672E-2</v>
      </c>
      <c r="S200" s="8">
        <f>+VLOOKUP($B200,NIFTY_AUTO!$B$3:$I$1238,8,0)</f>
        <v>-4.8164749284880237E-3</v>
      </c>
      <c r="T200" s="8">
        <v>0</v>
      </c>
      <c r="U200" s="8">
        <f>+VLOOKUP($B200,NIFTY_50!$B$63:$K$1238,10,0)</f>
        <v>3.4188164038366109E-2</v>
      </c>
      <c r="V200" s="8">
        <f>+VLOOKUP($B200,NIFTY_BANK!$B$63:$K$1238,10,0)</f>
        <v>4.146472916800148E-3</v>
      </c>
      <c r="W200" s="8">
        <f>+VLOOKUP($B200,NIFTY_IT!$B$63:$K$1238,10,0)</f>
        <v>3.9938424290949959E-2</v>
      </c>
      <c r="X200" s="8">
        <f>+VLOOKUP($B200,NIFTY_PHARMA!$B$63:$K$1238,10,0)</f>
        <v>-5.1095826245593279E-2</v>
      </c>
      <c r="Y200" s="8">
        <f>+VLOOKUP($B200,NIFTY_FMCG!$B$63:$K$1238,10,0)</f>
        <v>-3.0625374811502626E-3</v>
      </c>
      <c r="Z200" s="8">
        <f>+VLOOKUP($B200,NIFTY_METAL!$B$63:$K$1238,10,0)</f>
        <v>0.20563759229132761</v>
      </c>
      <c r="AA200" s="8">
        <f>+VLOOKUP($B200,NIFTY_ENERGY!$B$63:$K$1238,10,0)</f>
        <v>0.13241816516415184</v>
      </c>
      <c r="AB200" s="8">
        <f>+VLOOKUP($B200,NIFTY_AUTO!$B$63:$K$1238,10,0)</f>
        <v>1.8899340370596818E-2</v>
      </c>
      <c r="AC200" s="8"/>
      <c r="AD200" s="16">
        <f t="shared" si="132"/>
        <v>4.8788701096455542E-2</v>
      </c>
      <c r="AE200" s="8">
        <f t="shared" si="133"/>
        <v>5.9380213312740349E-2</v>
      </c>
      <c r="AF200" s="8">
        <f t="shared" si="134"/>
        <v>5.3766042763832671E-2</v>
      </c>
      <c r="AG200" s="8">
        <f t="shared" si="135"/>
        <v>0.11595652519273755</v>
      </c>
      <c r="AH200" s="8">
        <f t="shared" si="136"/>
        <v>5.9786674524784172E-2</v>
      </c>
      <c r="AI200" s="8">
        <f t="shared" si="137"/>
        <v>0.11118261271444613</v>
      </c>
      <c r="AJ200" s="8">
        <f t="shared" si="138"/>
        <v>7.7593373090045686E-2</v>
      </c>
      <c r="AK200" s="8">
        <f t="shared" si="139"/>
        <v>6.9720745260276482E-2</v>
      </c>
      <c r="AL200" s="9">
        <v>0</v>
      </c>
      <c r="AM200" s="17">
        <f t="shared" si="116"/>
        <v>20.496548945277191</v>
      </c>
      <c r="AN200" s="13">
        <f t="shared" si="117"/>
        <v>16.840626602893064</v>
      </c>
      <c r="AO200" s="13">
        <f t="shared" si="118"/>
        <v>18.599099888985688</v>
      </c>
      <c r="AP200" s="13">
        <f t="shared" si="119"/>
        <v>8.6239217528970133</v>
      </c>
      <c r="AQ200" s="13">
        <f t="shared" si="120"/>
        <v>16.726135178926143</v>
      </c>
      <c r="AR200" s="13">
        <f t="shared" si="121"/>
        <v>8.9942120947304236</v>
      </c>
      <c r="AS200" s="13">
        <f t="shared" si="122"/>
        <v>12.887698526000646</v>
      </c>
      <c r="AT200" s="13">
        <f t="shared" si="123"/>
        <v>14.342933315857021</v>
      </c>
      <c r="AU200" s="9">
        <v>0</v>
      </c>
      <c r="AV200" s="18">
        <f t="shared" si="140"/>
        <v>1</v>
      </c>
      <c r="AW200" s="18">
        <f t="shared" si="141"/>
        <v>3</v>
      </c>
      <c r="AX200" s="18">
        <f t="shared" si="142"/>
        <v>2</v>
      </c>
      <c r="AY200" s="18">
        <f t="shared" si="143"/>
        <v>8</v>
      </c>
      <c r="AZ200" s="18">
        <f t="shared" si="144"/>
        <v>4</v>
      </c>
      <c r="BA200" s="18">
        <f t="shared" si="145"/>
        <v>7</v>
      </c>
      <c r="BB200" s="18">
        <f t="shared" si="146"/>
        <v>6</v>
      </c>
      <c r="BC200" s="18">
        <f t="shared" si="147"/>
        <v>5</v>
      </c>
      <c r="BD200" s="18">
        <f t="shared" si="148"/>
        <v>9</v>
      </c>
      <c r="BE200" s="8">
        <f t="shared" si="150"/>
        <v>-5.8549412285996711E-3</v>
      </c>
    </row>
    <row r="201" spans="1:57" x14ac:dyDescent="0.25">
      <c r="A201" t="str">
        <f t="shared" si="149"/>
        <v/>
      </c>
      <c r="B201" s="1">
        <v>43027</v>
      </c>
      <c r="C201" s="9">
        <f t="shared" si="124"/>
        <v>0.25270743518253053</v>
      </c>
      <c r="D201" s="9">
        <f t="shared" si="125"/>
        <v>0.24335405585563213</v>
      </c>
      <c r="E201" s="9">
        <f t="shared" si="126"/>
        <v>0.25346117410339786</v>
      </c>
      <c r="F201" s="9">
        <f t="shared" si="127"/>
        <v>0</v>
      </c>
      <c r="G201" s="9">
        <f t="shared" si="128"/>
        <v>0</v>
      </c>
      <c r="H201" s="9">
        <f t="shared" si="129"/>
        <v>0</v>
      </c>
      <c r="I201" s="9">
        <f t="shared" si="130"/>
        <v>0</v>
      </c>
      <c r="J201" s="9">
        <f t="shared" si="131"/>
        <v>0.25047733485843948</v>
      </c>
      <c r="K201" s="9">
        <v>0</v>
      </c>
      <c r="L201" s="8">
        <f>+VLOOKUP($B201,NIFTY_50!$B$3:$I$1238,8,0)</f>
        <v>-6.2972230519497963E-3</v>
      </c>
      <c r="M201" s="8">
        <f>+VLOOKUP($B201,NIFTY_BANK!$B$3:$I$41238,8,0)</f>
        <v>-1.2503213202405994E-2</v>
      </c>
      <c r="N201" s="8">
        <f>+VLOOKUP($B201,NIFTY_IT!$B$3:$I$1238,8,0)</f>
        <v>-1.7735778151538595E-3</v>
      </c>
      <c r="O201" s="8">
        <f>+VLOOKUP($B201,NIFTY_PHARMA!$B$3:$I$1238,8,0)</f>
        <v>-3.0241306923285416E-3</v>
      </c>
      <c r="P201" s="8">
        <f>+VLOOKUP($B201,NIFTY_FMCG!$B$3:$I$1238,8,0)</f>
        <v>-4.051152368882649E-3</v>
      </c>
      <c r="Q201" s="8">
        <f>+VLOOKUP($B201,NIFTY_METAL!$B$3:$I$1238,8,0)</f>
        <v>-8.7707917066713881E-3</v>
      </c>
      <c r="R201" s="8">
        <f>+VLOOKUP($B201,NIFTY_ENERGY!$B$3:$I$1238,8,0)</f>
        <v>-8.0815391110307111E-3</v>
      </c>
      <c r="S201" s="8">
        <f>+VLOOKUP($B201,NIFTY_AUTO!$B$3:$I$1238,8,0)</f>
        <v>-5.3859964093356805E-3</v>
      </c>
      <c r="T201" s="8">
        <v>0</v>
      </c>
      <c r="U201" s="8">
        <f>+VLOOKUP($B201,NIFTY_50!$B$63:$K$1238,10,0)</f>
        <v>2.3327702276795703E-2</v>
      </c>
      <c r="V201" s="8">
        <f>+VLOOKUP($B201,NIFTY_BANK!$B$63:$K$1238,10,0)</f>
        <v>-1.0194974244601029E-2</v>
      </c>
      <c r="W201" s="8">
        <f>+VLOOKUP($B201,NIFTY_IT!$B$63:$K$1238,10,0)</f>
        <v>1.6734272817659379E-2</v>
      </c>
      <c r="X201" s="8">
        <f>+VLOOKUP($B201,NIFTY_PHARMA!$B$63:$K$1238,10,0)</f>
        <v>-4.5650789861127694E-2</v>
      </c>
      <c r="Y201" s="8">
        <f>+VLOOKUP($B201,NIFTY_FMCG!$B$63:$K$1238,10,0)</f>
        <v>-8.3580145451161991E-3</v>
      </c>
      <c r="Z201" s="8">
        <f>+VLOOKUP($B201,NIFTY_METAL!$B$63:$K$1238,10,0)</f>
        <v>0.19254483867442995</v>
      </c>
      <c r="AA201" s="8">
        <f>+VLOOKUP($B201,NIFTY_ENERGY!$B$63:$K$1238,10,0)</f>
        <v>0.10588621513439977</v>
      </c>
      <c r="AB201" s="8">
        <f>+VLOOKUP($B201,NIFTY_AUTO!$B$63:$K$1238,10,0)</f>
        <v>1.3901820106979379E-2</v>
      </c>
      <c r="AC201" s="8"/>
      <c r="AD201" s="16">
        <f t="shared" si="132"/>
        <v>4.9113701877486808E-2</v>
      </c>
      <c r="AE201" s="8">
        <f t="shared" si="133"/>
        <v>6.0650607960422952E-2</v>
      </c>
      <c r="AF201" s="8">
        <f t="shared" si="134"/>
        <v>4.9743559253537517E-2</v>
      </c>
      <c r="AG201" s="8">
        <f t="shared" si="135"/>
        <v>0.11570284680802156</v>
      </c>
      <c r="AH201" s="8">
        <f t="shared" si="136"/>
        <v>5.99046288107365E-2</v>
      </c>
      <c r="AI201" s="8">
        <f t="shared" si="137"/>
        <v>0.11180847413370064</v>
      </c>
      <c r="AJ201" s="8">
        <f t="shared" si="138"/>
        <v>7.7001523505411812E-2</v>
      </c>
      <c r="AK201" s="8">
        <f t="shared" si="139"/>
        <v>6.9948302158385142E-2</v>
      </c>
      <c r="AL201" s="9">
        <v>0</v>
      </c>
      <c r="AM201" s="17">
        <f t="shared" si="116"/>
        <v>20.36091684749158</v>
      </c>
      <c r="AN201" s="13">
        <f t="shared" si="117"/>
        <v>16.487880890700083</v>
      </c>
      <c r="AO201" s="13">
        <f t="shared" si="118"/>
        <v>20.103105105589822</v>
      </c>
      <c r="AP201" s="13">
        <f t="shared" si="119"/>
        <v>8.6428296933716506</v>
      </c>
      <c r="AQ201" s="13">
        <f t="shared" si="120"/>
        <v>16.693200840279196</v>
      </c>
      <c r="AR201" s="13">
        <f t="shared" si="121"/>
        <v>8.9438659077325333</v>
      </c>
      <c r="AS201" s="13">
        <f t="shared" si="122"/>
        <v>12.986756033855851</v>
      </c>
      <c r="AT201" s="13">
        <f t="shared" si="123"/>
        <v>14.296272663426237</v>
      </c>
      <c r="AU201" s="9">
        <v>0</v>
      </c>
      <c r="AV201" s="18">
        <f t="shared" si="140"/>
        <v>1</v>
      </c>
      <c r="AW201" s="18">
        <f t="shared" si="141"/>
        <v>4</v>
      </c>
      <c r="AX201" s="18">
        <f t="shared" si="142"/>
        <v>2</v>
      </c>
      <c r="AY201" s="18">
        <f t="shared" si="143"/>
        <v>8</v>
      </c>
      <c r="AZ201" s="18">
        <f t="shared" si="144"/>
        <v>3</v>
      </c>
      <c r="BA201" s="18">
        <f t="shared" si="145"/>
        <v>7</v>
      </c>
      <c r="BB201" s="18">
        <f t="shared" si="146"/>
        <v>6</v>
      </c>
      <c r="BC201" s="18">
        <f t="shared" si="147"/>
        <v>5</v>
      </c>
      <c r="BD201" s="18">
        <f t="shared" si="148"/>
        <v>9</v>
      </c>
      <c r="BE201" s="8">
        <f t="shared" si="150"/>
        <v>-6.4475394064474143E-3</v>
      </c>
    </row>
    <row r="202" spans="1:57" x14ac:dyDescent="0.25">
      <c r="A202" t="str">
        <f t="shared" si="149"/>
        <v/>
      </c>
      <c r="B202" s="1">
        <v>43031</v>
      </c>
      <c r="C202" s="9">
        <f t="shared" si="124"/>
        <v>0.25257569607533148</v>
      </c>
      <c r="D202" s="9">
        <f t="shared" si="125"/>
        <v>0.24311134202514401</v>
      </c>
      <c r="E202" s="9">
        <f t="shared" si="126"/>
        <v>0.25485710931143302</v>
      </c>
      <c r="F202" s="9">
        <f t="shared" si="127"/>
        <v>0</v>
      </c>
      <c r="G202" s="9">
        <f t="shared" si="128"/>
        <v>0</v>
      </c>
      <c r="H202" s="9">
        <f t="shared" si="129"/>
        <v>0</v>
      </c>
      <c r="I202" s="9">
        <f t="shared" si="130"/>
        <v>0</v>
      </c>
      <c r="J202" s="9">
        <f t="shared" si="131"/>
        <v>0.2494558525880915</v>
      </c>
      <c r="K202" s="9">
        <v>0</v>
      </c>
      <c r="L202" s="8">
        <f>+VLOOKUP($B202,NIFTY_50!$B$3:$I$1238,8,0)</f>
        <v>3.7746820347803745E-3</v>
      </c>
      <c r="M202" s="8">
        <f>+VLOOKUP($B202,NIFTY_BANK!$B$3:$I$41238,8,0)</f>
        <v>3.2965774320850016E-3</v>
      </c>
      <c r="N202" s="8">
        <f>+VLOOKUP($B202,NIFTY_IT!$B$3:$I$1238,8,0)</f>
        <v>9.8293972894554216E-3</v>
      </c>
      <c r="O202" s="8">
        <f>+VLOOKUP($B202,NIFTY_PHARMA!$B$3:$I$1238,8,0)</f>
        <v>-5.3473706155208189E-3</v>
      </c>
      <c r="P202" s="8">
        <f>+VLOOKUP($B202,NIFTY_FMCG!$B$3:$I$1238,8,0)</f>
        <v>-6.2861610633306864E-3</v>
      </c>
      <c r="Q202" s="8">
        <f>+VLOOKUP($B202,NIFTY_METAL!$B$3:$I$1238,8,0)</f>
        <v>6.0996361161285151E-3</v>
      </c>
      <c r="R202" s="8">
        <f>+VLOOKUP($B202,NIFTY_ENERGY!$B$3:$I$1238,8,0)</f>
        <v>1.7929248673993703E-2</v>
      </c>
      <c r="S202" s="8">
        <f>+VLOOKUP($B202,NIFTY_AUTO!$B$3:$I$1238,8,0)</f>
        <v>2.025621865913152E-4</v>
      </c>
      <c r="T202" s="8">
        <v>0</v>
      </c>
      <c r="U202" s="8">
        <f>+VLOOKUP($B202,NIFTY_50!$B$63:$K$1238,10,0)</f>
        <v>2.1918646652753226E-2</v>
      </c>
      <c r="V202" s="8">
        <f>+VLOOKUP($B202,NIFTY_BANK!$B$63:$K$1238,10,0)</f>
        <v>-1.3592892958271152E-2</v>
      </c>
      <c r="W202" s="8">
        <f>+VLOOKUP($B202,NIFTY_IT!$B$63:$K$1238,10,0)</f>
        <v>1.6103773715647973E-2</v>
      </c>
      <c r="X202" s="8">
        <f>+VLOOKUP($B202,NIFTY_PHARMA!$B$63:$K$1238,10,0)</f>
        <v>-4.3915635489203853E-2</v>
      </c>
      <c r="Y202" s="8">
        <f>+VLOOKUP($B202,NIFTY_FMCG!$B$63:$K$1238,10,0)</f>
        <v>-2.3594644582258573E-2</v>
      </c>
      <c r="Z202" s="8">
        <f>+VLOOKUP($B202,NIFTY_METAL!$B$63:$K$1238,10,0)</f>
        <v>0.20570980392156857</v>
      </c>
      <c r="AA202" s="8">
        <f>+VLOOKUP($B202,NIFTY_ENERGY!$B$63:$K$1238,10,0)</f>
        <v>0.11651517588491678</v>
      </c>
      <c r="AB202" s="8">
        <f>+VLOOKUP($B202,NIFTY_AUTO!$B$63:$K$1238,10,0)</f>
        <v>1.2868317409379548E-2</v>
      </c>
      <c r="AC202" s="8"/>
      <c r="AD202" s="16">
        <f t="shared" si="132"/>
        <v>4.899858743901056E-2</v>
      </c>
      <c r="AE202" s="8">
        <f t="shared" si="133"/>
        <v>6.0354095835280307E-2</v>
      </c>
      <c r="AF202" s="8">
        <f t="shared" si="134"/>
        <v>4.9619258140283132E-2</v>
      </c>
      <c r="AG202" s="8">
        <f t="shared" si="135"/>
        <v>0.11561530790806608</v>
      </c>
      <c r="AH202" s="8">
        <f t="shared" si="136"/>
        <v>5.9462280105858488E-2</v>
      </c>
      <c r="AI202" s="8">
        <f t="shared" si="137"/>
        <v>0.11156487813664651</v>
      </c>
      <c r="AJ202" s="8">
        <f t="shared" si="138"/>
        <v>7.8411291945938169E-2</v>
      </c>
      <c r="AK202" s="8">
        <f t="shared" si="139"/>
        <v>6.9941668062052695E-2</v>
      </c>
      <c r="AL202" s="9">
        <v>0</v>
      </c>
      <c r="AM202" s="17">
        <f t="shared" si="116"/>
        <v>20.408751604211414</v>
      </c>
      <c r="AN202" s="13">
        <f t="shared" si="117"/>
        <v>16.568883787592831</v>
      </c>
      <c r="AO202" s="13">
        <f t="shared" si="118"/>
        <v>20.153465357599842</v>
      </c>
      <c r="AP202" s="13">
        <f t="shared" si="119"/>
        <v>8.649373669403456</v>
      </c>
      <c r="AQ202" s="13">
        <f t="shared" si="120"/>
        <v>16.817384032696648</v>
      </c>
      <c r="AR202" s="13">
        <f t="shared" si="121"/>
        <v>8.9633943648034418</v>
      </c>
      <c r="AS202" s="13">
        <f t="shared" si="122"/>
        <v>12.753265189017226</v>
      </c>
      <c r="AT202" s="13">
        <f t="shared" si="123"/>
        <v>14.297628691280192</v>
      </c>
      <c r="AU202" s="9">
        <v>0</v>
      </c>
      <c r="AV202" s="18">
        <f t="shared" si="140"/>
        <v>1</v>
      </c>
      <c r="AW202" s="18">
        <f t="shared" si="141"/>
        <v>4</v>
      </c>
      <c r="AX202" s="18">
        <f t="shared" si="142"/>
        <v>2</v>
      </c>
      <c r="AY202" s="18">
        <f t="shared" si="143"/>
        <v>8</v>
      </c>
      <c r="AZ202" s="18">
        <f t="shared" si="144"/>
        <v>3</v>
      </c>
      <c r="BA202" s="18">
        <f t="shared" si="145"/>
        <v>7</v>
      </c>
      <c r="BB202" s="18">
        <f t="shared" si="146"/>
        <v>6</v>
      </c>
      <c r="BC202" s="18">
        <f t="shared" si="147"/>
        <v>5</v>
      </c>
      <c r="BD202" s="18">
        <f t="shared" si="148"/>
        <v>9</v>
      </c>
      <c r="BE202" s="8">
        <f t="shared" si="150"/>
        <v>4.2982335185335722E-3</v>
      </c>
    </row>
    <row r="203" spans="1:57" x14ac:dyDescent="0.25">
      <c r="A203" t="str">
        <f t="shared" si="149"/>
        <v/>
      </c>
      <c r="B203" s="1">
        <v>43032</v>
      </c>
      <c r="C203" s="9">
        <f t="shared" si="124"/>
        <v>0.25349237217714771</v>
      </c>
      <c r="D203" s="9">
        <f t="shared" si="125"/>
        <v>0.24479414019599258</v>
      </c>
      <c r="E203" s="9">
        <f t="shared" si="126"/>
        <v>0.25258612528997593</v>
      </c>
      <c r="F203" s="9">
        <f t="shared" si="127"/>
        <v>0</v>
      </c>
      <c r="G203" s="9">
        <f t="shared" si="128"/>
        <v>0</v>
      </c>
      <c r="H203" s="9">
        <f t="shared" si="129"/>
        <v>0</v>
      </c>
      <c r="I203" s="9">
        <f t="shared" si="130"/>
        <v>0</v>
      </c>
      <c r="J203" s="9">
        <f t="shared" si="131"/>
        <v>0.24912736233688387</v>
      </c>
      <c r="K203" s="9">
        <v>0</v>
      </c>
      <c r="L203" s="8">
        <f>+VLOOKUP($B203,NIFTY_50!$B$3:$I$1238,8,0)</f>
        <v>2.2435283779338455E-3</v>
      </c>
      <c r="M203" s="8">
        <f>+VLOOKUP($B203,NIFTY_BANK!$B$3:$I$41238,8,0)</f>
        <v>5.5315933894863889E-3</v>
      </c>
      <c r="N203" s="8">
        <f>+VLOOKUP($B203,NIFTY_IT!$B$3:$I$1238,8,0)</f>
        <v>-1.0279281859636336E-2</v>
      </c>
      <c r="O203" s="8">
        <f>+VLOOKUP($B203,NIFTY_PHARMA!$B$3:$I$1238,8,0)</f>
        <v>-5.4704365869506777E-3</v>
      </c>
      <c r="P203" s="8">
        <f>+VLOOKUP($B203,NIFTY_FMCG!$B$3:$I$1238,8,0)</f>
        <v>3.296720589160973E-3</v>
      </c>
      <c r="Q203" s="8">
        <f>+VLOOKUP($B203,NIFTY_METAL!$B$3:$I$1238,8,0)</f>
        <v>3.9290174854289539E-3</v>
      </c>
      <c r="R203" s="8">
        <f>+VLOOKUP($B203,NIFTY_ENERGY!$B$3:$I$1238,8,0)</f>
        <v>4.2303205767850738E-3</v>
      </c>
      <c r="S203" s="8">
        <f>+VLOOKUP($B203,NIFTY_AUTO!$B$3:$I$1238,8,0)</f>
        <v>-2.695781709188716E-3</v>
      </c>
      <c r="T203" s="8">
        <v>0</v>
      </c>
      <c r="U203" s="8">
        <f>+VLOOKUP($B203,NIFTY_50!$B$63:$K$1238,10,0)</f>
        <v>2.4401503329302576E-2</v>
      </c>
      <c r="V203" s="8">
        <f>+VLOOKUP($B203,NIFTY_BANK!$B$63:$K$1238,10,0)</f>
        <v>-1.2175427292043017E-2</v>
      </c>
      <c r="W203" s="8">
        <f>+VLOOKUP($B203,NIFTY_IT!$B$63:$K$1238,10,0)</f>
        <v>6.8869185549031986E-3</v>
      </c>
      <c r="X203" s="8">
        <f>+VLOOKUP($B203,NIFTY_PHARMA!$B$63:$K$1238,10,0)</f>
        <v>-4.4363101741595301E-2</v>
      </c>
      <c r="Y203" s="8">
        <f>+VLOOKUP($B203,NIFTY_FMCG!$B$63:$K$1238,10,0)</f>
        <v>-1.6277724204435851E-2</v>
      </c>
      <c r="Z203" s="8">
        <f>+VLOOKUP($B203,NIFTY_METAL!$B$63:$K$1238,10,0)</f>
        <v>0.1954268717758052</v>
      </c>
      <c r="AA203" s="8">
        <f>+VLOOKUP($B203,NIFTY_ENERGY!$B$63:$K$1238,10,0)</f>
        <v>0.12603565448635856</v>
      </c>
      <c r="AB203" s="8">
        <f>+VLOOKUP($B203,NIFTY_AUTO!$B$63:$K$1238,10,0)</f>
        <v>1.3491882003201505E-2</v>
      </c>
      <c r="AC203" s="8"/>
      <c r="AD203" s="16">
        <f t="shared" si="132"/>
        <v>4.9029999885692871E-2</v>
      </c>
      <c r="AE203" s="8">
        <f t="shared" si="133"/>
        <v>6.0473339099715202E-2</v>
      </c>
      <c r="AF203" s="8">
        <f t="shared" si="134"/>
        <v>5.0695306331606793E-2</v>
      </c>
      <c r="AG203" s="8">
        <f t="shared" si="135"/>
        <v>0.11563386418086116</v>
      </c>
      <c r="AH203" s="8">
        <f t="shared" si="136"/>
        <v>5.9445553930946714E-2</v>
      </c>
      <c r="AI203" s="8">
        <f t="shared" si="137"/>
        <v>0.11116598524459904</v>
      </c>
      <c r="AJ203" s="8">
        <f t="shared" si="138"/>
        <v>7.8200582090052539E-2</v>
      </c>
      <c r="AK203" s="8">
        <f t="shared" si="139"/>
        <v>6.9913084436423592E-2</v>
      </c>
      <c r="AL203" s="9">
        <v>0</v>
      </c>
      <c r="AM203" s="17">
        <f t="shared" si="116"/>
        <v>20.39567616421316</v>
      </c>
      <c r="AN203" s="13">
        <f t="shared" si="117"/>
        <v>16.53621273254133</v>
      </c>
      <c r="AO203" s="13">
        <f t="shared" si="118"/>
        <v>19.725692028741804</v>
      </c>
      <c r="AP203" s="13">
        <f t="shared" si="119"/>
        <v>8.6479856665164743</v>
      </c>
      <c r="AQ203" s="13">
        <f t="shared" si="120"/>
        <v>16.822115934214732</v>
      </c>
      <c r="AR203" s="13">
        <f t="shared" si="121"/>
        <v>8.9955573892472174</v>
      </c>
      <c r="AS203" s="13">
        <f t="shared" si="122"/>
        <v>12.787628599086917</v>
      </c>
      <c r="AT203" s="13">
        <f t="shared" si="123"/>
        <v>14.30347420745488</v>
      </c>
      <c r="AU203" s="9">
        <v>0</v>
      </c>
      <c r="AV203" s="18">
        <f t="shared" si="140"/>
        <v>1</v>
      </c>
      <c r="AW203" s="18">
        <f t="shared" si="141"/>
        <v>4</v>
      </c>
      <c r="AX203" s="18">
        <f t="shared" si="142"/>
        <v>2</v>
      </c>
      <c r="AY203" s="18">
        <f t="shared" si="143"/>
        <v>8</v>
      </c>
      <c r="AZ203" s="18">
        <f t="shared" si="144"/>
        <v>3</v>
      </c>
      <c r="BA203" s="18">
        <f t="shared" si="145"/>
        <v>7</v>
      </c>
      <c r="BB203" s="18">
        <f t="shared" si="146"/>
        <v>6</v>
      </c>
      <c r="BC203" s="18">
        <f t="shared" si="147"/>
        <v>5</v>
      </c>
      <c r="BD203" s="18">
        <f t="shared" si="148"/>
        <v>9</v>
      </c>
      <c r="BE203" s="8">
        <f t="shared" si="150"/>
        <v>-1.3807727510245704E-3</v>
      </c>
    </row>
    <row r="204" spans="1:57" x14ac:dyDescent="0.25">
      <c r="A204" t="str">
        <f t="shared" si="149"/>
        <v/>
      </c>
      <c r="B204" s="1">
        <v>43033</v>
      </c>
      <c r="C204" s="9">
        <f t="shared" si="124"/>
        <v>0.25240678363736724</v>
      </c>
      <c r="D204" s="9">
        <f t="shared" si="125"/>
        <v>0.2497896538286401</v>
      </c>
      <c r="E204" s="9">
        <f t="shared" si="126"/>
        <v>0.25029448509926311</v>
      </c>
      <c r="F204" s="9">
        <f t="shared" si="127"/>
        <v>0</v>
      </c>
      <c r="G204" s="9">
        <f t="shared" si="128"/>
        <v>0</v>
      </c>
      <c r="H204" s="9">
        <f t="shared" si="129"/>
        <v>0</v>
      </c>
      <c r="I204" s="9">
        <f t="shared" si="130"/>
        <v>0</v>
      </c>
      <c r="J204" s="9">
        <f t="shared" si="131"/>
        <v>0.24750907743472958</v>
      </c>
      <c r="K204" s="9">
        <v>0</v>
      </c>
      <c r="L204" s="8">
        <f>+VLOOKUP($B204,NIFTY_50!$B$3:$I$1238,8,0)</f>
        <v>8.5866551720759077E-3</v>
      </c>
      <c r="M204" s="8">
        <f>+VLOOKUP($B204,NIFTY_BANK!$B$3:$I$41238,8,0)</f>
        <v>3.3595283655662334E-2</v>
      </c>
      <c r="N204" s="8">
        <f>+VLOOKUP($B204,NIFTY_IT!$B$3:$I$1238,8,0)</f>
        <v>3.7345656328091614E-3</v>
      </c>
      <c r="O204" s="8">
        <f>+VLOOKUP($B204,NIFTY_PHARMA!$B$3:$I$1238,8,0)</f>
        <v>-1.509483667017919E-2</v>
      </c>
      <c r="P204" s="8">
        <f>+VLOOKUP($B204,NIFTY_FMCG!$B$3:$I$1238,8,0)</f>
        <v>5.3013370975962815E-3</v>
      </c>
      <c r="Q204" s="8">
        <f>+VLOOKUP($B204,NIFTY_METAL!$B$3:$I$1238,8,0)</f>
        <v>3.6933364435114413E-3</v>
      </c>
      <c r="R204" s="8">
        <f>+VLOOKUP($B204,NIFTY_ENERGY!$B$3:$I$1238,8,0)</f>
        <v>7.4733394911412621E-3</v>
      </c>
      <c r="S204" s="8">
        <f>+VLOOKUP($B204,NIFTY_AUTO!$B$3:$I$1238,8,0)</f>
        <v>6.3447653429602457E-3</v>
      </c>
      <c r="T204" s="8">
        <v>0</v>
      </c>
      <c r="U204" s="8">
        <f>+VLOOKUP($B204,NIFTY_50!$B$63:$K$1238,10,0)</f>
        <v>2.7413391346868821E-2</v>
      </c>
      <c r="V204" s="8">
        <f>+VLOOKUP($B204,NIFTY_BANK!$B$63:$K$1238,10,0)</f>
        <v>1.4802984917331008E-2</v>
      </c>
      <c r="W204" s="8">
        <f>+VLOOKUP($B204,NIFTY_IT!$B$63:$K$1238,10,0)</f>
        <v>1.3215307499339302E-2</v>
      </c>
      <c r="X204" s="8">
        <f>+VLOOKUP($B204,NIFTY_PHARMA!$B$63:$K$1238,10,0)</f>
        <v>-6.8751992666985395E-2</v>
      </c>
      <c r="Y204" s="8">
        <f>+VLOOKUP($B204,NIFTY_FMCG!$B$63:$K$1238,10,0)</f>
        <v>-1.7674668097089952E-2</v>
      </c>
      <c r="Z204" s="8">
        <f>+VLOOKUP($B204,NIFTY_METAL!$B$63:$K$1238,10,0)</f>
        <v>0.17948678900479709</v>
      </c>
      <c r="AA204" s="8">
        <f>+VLOOKUP($B204,NIFTY_ENERGY!$B$63:$K$1238,10,0)</f>
        <v>0.12551154818813259</v>
      </c>
      <c r="AB204" s="8">
        <f>+VLOOKUP($B204,NIFTY_AUTO!$B$63:$K$1238,10,0)</f>
        <v>1.3336605004748536E-2</v>
      </c>
      <c r="AC204" s="8"/>
      <c r="AD204" s="16">
        <f t="shared" si="132"/>
        <v>4.9430532186104652E-2</v>
      </c>
      <c r="AE204" s="8">
        <f t="shared" si="133"/>
        <v>6.8885806819179468E-2</v>
      </c>
      <c r="AF204" s="8">
        <f t="shared" si="134"/>
        <v>5.0746595125197129E-2</v>
      </c>
      <c r="AG204" s="8">
        <f t="shared" si="135"/>
        <v>0.11593513067193735</v>
      </c>
      <c r="AH204" s="8">
        <f t="shared" si="136"/>
        <v>5.9294622580625601E-2</v>
      </c>
      <c r="AI204" s="8">
        <f t="shared" si="137"/>
        <v>0.11024031440043748</v>
      </c>
      <c r="AJ204" s="8">
        <f t="shared" si="138"/>
        <v>7.8166296035641139E-2</v>
      </c>
      <c r="AK204" s="8">
        <f t="shared" si="139"/>
        <v>6.9899488977160987E-2</v>
      </c>
      <c r="AL204" s="9">
        <v>0</v>
      </c>
      <c r="AM204" s="17">
        <f t="shared" si="116"/>
        <v>20.230411362657929</v>
      </c>
      <c r="AN204" s="13">
        <f t="shared" si="117"/>
        <v>14.516778508886912</v>
      </c>
      <c r="AO204" s="13">
        <f t="shared" si="118"/>
        <v>19.705755578928912</v>
      </c>
      <c r="AP204" s="13">
        <f t="shared" si="119"/>
        <v>8.6255132003922839</v>
      </c>
      <c r="AQ204" s="13">
        <f t="shared" si="120"/>
        <v>16.864935747592533</v>
      </c>
      <c r="AR204" s="13">
        <f t="shared" si="121"/>
        <v>9.0710916912627351</v>
      </c>
      <c r="AS204" s="13">
        <f t="shared" si="122"/>
        <v>12.793237632035609</v>
      </c>
      <c r="AT204" s="13">
        <f t="shared" si="123"/>
        <v>14.306256234959612</v>
      </c>
      <c r="AU204" s="9">
        <v>0</v>
      </c>
      <c r="AV204" s="18">
        <f t="shared" si="140"/>
        <v>1</v>
      </c>
      <c r="AW204" s="18">
        <f t="shared" si="141"/>
        <v>4</v>
      </c>
      <c r="AX204" s="18">
        <f t="shared" si="142"/>
        <v>2</v>
      </c>
      <c r="AY204" s="18">
        <f t="shared" si="143"/>
        <v>8</v>
      </c>
      <c r="AZ204" s="18">
        <f t="shared" si="144"/>
        <v>3</v>
      </c>
      <c r="BA204" s="18">
        <f t="shared" si="145"/>
        <v>7</v>
      </c>
      <c r="BB204" s="18">
        <f t="shared" si="146"/>
        <v>6</v>
      </c>
      <c r="BC204" s="18">
        <f t="shared" si="147"/>
        <v>5</v>
      </c>
      <c r="BD204" s="18">
        <f t="shared" si="148"/>
        <v>9</v>
      </c>
      <c r="BE204" s="8">
        <f t="shared" si="150"/>
        <v>1.2924534283135574E-2</v>
      </c>
    </row>
    <row r="205" spans="1:57" x14ac:dyDescent="0.25">
      <c r="A205" t="str">
        <f t="shared" si="149"/>
        <v/>
      </c>
      <c r="B205" s="1">
        <v>43034</v>
      </c>
      <c r="C205" s="9">
        <f t="shared" si="124"/>
        <v>0.25322422315234483</v>
      </c>
      <c r="D205" s="9">
        <f t="shared" si="125"/>
        <v>0.24928833353279162</v>
      </c>
      <c r="E205" s="9">
        <f t="shared" si="126"/>
        <v>0.24895898038614239</v>
      </c>
      <c r="F205" s="9">
        <f t="shared" si="127"/>
        <v>0</v>
      </c>
      <c r="G205" s="9">
        <f t="shared" si="128"/>
        <v>0</v>
      </c>
      <c r="H205" s="9">
        <f t="shared" si="129"/>
        <v>0</v>
      </c>
      <c r="I205" s="9">
        <f t="shared" si="130"/>
        <v>0</v>
      </c>
      <c r="J205" s="9">
        <f t="shared" si="131"/>
        <v>0.2485284629287213</v>
      </c>
      <c r="K205" s="9">
        <v>0</v>
      </c>
      <c r="L205" s="8">
        <f>+VLOOKUP($B205,NIFTY_50!$B$3:$I$1238,8,0)</f>
        <v>4.7060080521788006E-3</v>
      </c>
      <c r="M205" s="8">
        <f>+VLOOKUP($B205,NIFTY_BANK!$B$3:$I$41238,8,0)</f>
        <v>-5.4721420040826363E-4</v>
      </c>
      <c r="N205" s="8">
        <f>+VLOOKUP($B205,NIFTY_IT!$B$3:$I$1238,8,0)</f>
        <v>-3.8808470131665995E-3</v>
      </c>
      <c r="O205" s="8">
        <f>+VLOOKUP($B205,NIFTY_PHARMA!$B$3:$I$1238,8,0)</f>
        <v>8.7303073260760478E-3</v>
      </c>
      <c r="P205" s="8">
        <f>+VLOOKUP($B205,NIFTY_FMCG!$B$3:$I$1238,8,0)</f>
        <v>2.3402578964204501E-4</v>
      </c>
      <c r="Q205" s="8">
        <f>+VLOOKUP($B205,NIFTY_METAL!$B$3:$I$1238,8,0)</f>
        <v>2.0503285948535011E-2</v>
      </c>
      <c r="R205" s="8">
        <f>+VLOOKUP($B205,NIFTY_ENERGY!$B$3:$I$1238,8,0)</f>
        <v>1.2609740512307566E-2</v>
      </c>
      <c r="S205" s="8">
        <f>+VLOOKUP($B205,NIFTY_AUTO!$B$3:$I$1238,8,0)</f>
        <v>5.5872936154184316E-3</v>
      </c>
      <c r="T205" s="8">
        <v>0</v>
      </c>
      <c r="U205" s="8">
        <f>+VLOOKUP($B205,NIFTY_50!$B$63:$K$1238,10,0)</f>
        <v>3.2258708354331755E-2</v>
      </c>
      <c r="V205" s="8">
        <f>+VLOOKUP($B205,NIFTY_BANK!$B$63:$K$1238,10,0)</f>
        <v>4.0044297499437498E-3</v>
      </c>
      <c r="W205" s="8">
        <f>+VLOOKUP($B205,NIFTY_IT!$B$63:$K$1238,10,0)</f>
        <v>2.5512848298672397E-2</v>
      </c>
      <c r="X205" s="8">
        <f>+VLOOKUP($B205,NIFTY_PHARMA!$B$63:$K$1238,10,0)</f>
        <v>-4.5737709066066112E-2</v>
      </c>
      <c r="Y205" s="8">
        <f>+VLOOKUP($B205,NIFTY_FMCG!$B$63:$K$1238,10,0)</f>
        <v>-1.2562354522158814E-2</v>
      </c>
      <c r="Z205" s="8">
        <f>+VLOOKUP($B205,NIFTY_METAL!$B$63:$K$1238,10,0)</f>
        <v>0.21585367729629112</v>
      </c>
      <c r="AA205" s="8">
        <f>+VLOOKUP($B205,NIFTY_ENERGY!$B$63:$K$1238,10,0)</f>
        <v>0.1512006190630355</v>
      </c>
      <c r="AB205" s="8">
        <f>+VLOOKUP($B205,NIFTY_AUTO!$B$63:$K$1238,10,0)</f>
        <v>2.6888909240772918E-2</v>
      </c>
      <c r="AC205" s="8"/>
      <c r="AD205" s="16">
        <f t="shared" si="132"/>
        <v>4.960632547920462E-2</v>
      </c>
      <c r="AE205" s="8">
        <f t="shared" si="133"/>
        <v>6.8158518880564553E-2</v>
      </c>
      <c r="AF205" s="8">
        <f t="shared" si="134"/>
        <v>4.8289040707405015E-2</v>
      </c>
      <c r="AG205" s="8">
        <f t="shared" si="135"/>
        <v>0.11539327586660998</v>
      </c>
      <c r="AH205" s="8">
        <f t="shared" si="136"/>
        <v>5.9107939667570886E-2</v>
      </c>
      <c r="AI205" s="8">
        <f t="shared" si="137"/>
        <v>0.1108427091433562</v>
      </c>
      <c r="AJ205" s="8">
        <f t="shared" si="138"/>
        <v>7.7916161325583572E-2</v>
      </c>
      <c r="AK205" s="8">
        <f t="shared" si="139"/>
        <v>6.9630426724031774E-2</v>
      </c>
      <c r="AL205" s="9">
        <v>0</v>
      </c>
      <c r="AM205" s="17">
        <f t="shared" si="116"/>
        <v>20.158719484659436</v>
      </c>
      <c r="AN205" s="13">
        <f t="shared" si="117"/>
        <v>14.671680318528029</v>
      </c>
      <c r="AO205" s="13">
        <f t="shared" si="118"/>
        <v>20.708632545824258</v>
      </c>
      <c r="AP205" s="13">
        <f t="shared" si="119"/>
        <v>8.6660162170624222</v>
      </c>
      <c r="AQ205" s="13">
        <f t="shared" si="120"/>
        <v>16.918200932465293</v>
      </c>
      <c r="AR205" s="13">
        <f t="shared" si="121"/>
        <v>9.0217932034363226</v>
      </c>
      <c r="AS205" s="13">
        <f t="shared" si="122"/>
        <v>12.834307837899768</v>
      </c>
      <c r="AT205" s="13">
        <f t="shared" si="123"/>
        <v>14.361537722055447</v>
      </c>
      <c r="AU205" s="9">
        <v>0</v>
      </c>
      <c r="AV205" s="18">
        <f t="shared" si="140"/>
        <v>2</v>
      </c>
      <c r="AW205" s="18">
        <f t="shared" si="141"/>
        <v>4</v>
      </c>
      <c r="AX205" s="18">
        <f t="shared" si="142"/>
        <v>1</v>
      </c>
      <c r="AY205" s="18">
        <f t="shared" si="143"/>
        <v>8</v>
      </c>
      <c r="AZ205" s="18">
        <f t="shared" si="144"/>
        <v>3</v>
      </c>
      <c r="BA205" s="18">
        <f t="shared" si="145"/>
        <v>7</v>
      </c>
      <c r="BB205" s="18">
        <f t="shared" si="146"/>
        <v>6</v>
      </c>
      <c r="BC205" s="18">
        <f t="shared" si="147"/>
        <v>5</v>
      </c>
      <c r="BD205" s="18">
        <f t="shared" si="148"/>
        <v>9</v>
      </c>
      <c r="BE205" s="8">
        <f t="shared" si="150"/>
        <v>1.4626911937315301E-3</v>
      </c>
    </row>
    <row r="206" spans="1:57" x14ac:dyDescent="0.25">
      <c r="A206" t="str">
        <f t="shared" si="149"/>
        <v/>
      </c>
      <c r="B206" s="1">
        <v>43035</v>
      </c>
      <c r="C206" s="9">
        <f t="shared" si="124"/>
        <v>0.25283610858570199</v>
      </c>
      <c r="D206" s="9">
        <f t="shared" si="125"/>
        <v>0.24758602143019084</v>
      </c>
      <c r="E206" s="9">
        <f t="shared" si="126"/>
        <v>0.24859643920012037</v>
      </c>
      <c r="F206" s="9">
        <f t="shared" si="127"/>
        <v>0</v>
      </c>
      <c r="G206" s="9">
        <f t="shared" si="128"/>
        <v>0</v>
      </c>
      <c r="H206" s="9">
        <f t="shared" si="129"/>
        <v>0</v>
      </c>
      <c r="I206" s="9">
        <f t="shared" si="130"/>
        <v>0</v>
      </c>
      <c r="J206" s="9">
        <f t="shared" si="131"/>
        <v>0.25098143078398683</v>
      </c>
      <c r="K206" s="9">
        <v>0</v>
      </c>
      <c r="L206" s="8">
        <f>+VLOOKUP($B206,NIFTY_50!$B$3:$I$1238,8,0)</f>
        <v>-2.00603259923815E-3</v>
      </c>
      <c r="M206" s="8">
        <f>+VLOOKUP($B206,NIFTY_BANK!$B$3:$I$41238,8,0)</f>
        <v>-7.2995180279912253E-3</v>
      </c>
      <c r="N206" s="8">
        <f>+VLOOKUP($B206,NIFTY_IT!$B$3:$I$1238,8,0)</f>
        <v>-1.9296061306343093E-3</v>
      </c>
      <c r="O206" s="8">
        <f>+VLOOKUP($B206,NIFTY_PHARMA!$B$3:$I$1238,8,0)</f>
        <v>2.3519491745639387E-2</v>
      </c>
      <c r="P206" s="8">
        <f>+VLOOKUP($B206,NIFTY_FMCG!$B$3:$I$1238,8,0)</f>
        <v>6.6486768938005536E-3</v>
      </c>
      <c r="Q206" s="8">
        <f>+VLOOKUP($B206,NIFTY_METAL!$B$3:$I$1238,8,0)</f>
        <v>-1.6827135970849394E-3</v>
      </c>
      <c r="R206" s="8">
        <f>+VLOOKUP($B206,NIFTY_ENERGY!$B$3:$I$1238,8,0)</f>
        <v>-1.3179780714239198E-2</v>
      </c>
      <c r="S206" s="8">
        <f>+VLOOKUP($B206,NIFTY_AUTO!$B$3:$I$1238,8,0)</f>
        <v>9.3912205911206303E-3</v>
      </c>
      <c r="T206" s="8">
        <v>0</v>
      </c>
      <c r="U206" s="8">
        <f>+VLOOKUP($B206,NIFTY_50!$B$63:$K$1238,10,0)</f>
        <v>3.0810325028708396E-2</v>
      </c>
      <c r="V206" s="8">
        <f>+VLOOKUP($B206,NIFTY_BANK!$B$63:$K$1238,10,0)</f>
        <v>1.1385941083297269E-3</v>
      </c>
      <c r="W206" s="8">
        <f>+VLOOKUP($B206,NIFTY_IT!$B$63:$K$1238,10,0)</f>
        <v>1.5197042838650532E-2</v>
      </c>
      <c r="X206" s="8">
        <f>+VLOOKUP($B206,NIFTY_PHARMA!$B$63:$K$1238,10,0)</f>
        <v>-2.3261584268965407E-3</v>
      </c>
      <c r="Y206" s="8">
        <f>+VLOOKUP($B206,NIFTY_FMCG!$B$63:$K$1238,10,0)</f>
        <v>-8.4216955168155971E-3</v>
      </c>
      <c r="Z206" s="8">
        <f>+VLOOKUP($B206,NIFTY_METAL!$B$63:$K$1238,10,0)</f>
        <v>0.23015761657546419</v>
      </c>
      <c r="AA206" s="8">
        <f>+VLOOKUP($B206,NIFTY_ENERGY!$B$63:$K$1238,10,0)</f>
        <v>0.13539599174515726</v>
      </c>
      <c r="AB206" s="8">
        <f>+VLOOKUP($B206,NIFTY_AUTO!$B$63:$K$1238,10,0)</f>
        <v>3.5030201603131195E-2</v>
      </c>
      <c r="AC206" s="8"/>
      <c r="AD206" s="16">
        <f t="shared" si="132"/>
        <v>4.9658148243534116E-2</v>
      </c>
      <c r="AE206" s="8">
        <f t="shared" si="133"/>
        <v>6.8406505144584684E-2</v>
      </c>
      <c r="AF206" s="8">
        <f t="shared" si="134"/>
        <v>4.7699016419271358E-2</v>
      </c>
      <c r="AG206" s="8">
        <f t="shared" si="135"/>
        <v>0.11598781112846392</v>
      </c>
      <c r="AH206" s="8">
        <f t="shared" si="136"/>
        <v>5.9440619788457119E-2</v>
      </c>
      <c r="AI206" s="8">
        <f t="shared" si="137"/>
        <v>0.10969610430599437</v>
      </c>
      <c r="AJ206" s="8">
        <f t="shared" si="138"/>
        <v>7.9410864247861035E-2</v>
      </c>
      <c r="AK206" s="8">
        <f t="shared" si="139"/>
        <v>7.0184824278255661E-2</v>
      </c>
      <c r="AL206" s="9">
        <v>0</v>
      </c>
      <c r="AM206" s="17">
        <f t="shared" si="116"/>
        <v>20.137682039527277</v>
      </c>
      <c r="AN206" s="13">
        <f t="shared" si="117"/>
        <v>14.618492757178426</v>
      </c>
      <c r="AO206" s="13">
        <f t="shared" si="118"/>
        <v>20.964792883988693</v>
      </c>
      <c r="AP206" s="13">
        <f t="shared" si="119"/>
        <v>8.6215955820774663</v>
      </c>
      <c r="AQ206" s="13">
        <f t="shared" si="120"/>
        <v>16.823512331447656</v>
      </c>
      <c r="AR206" s="13">
        <f t="shared" si="121"/>
        <v>9.1160940156135943</v>
      </c>
      <c r="AS206" s="13">
        <f t="shared" si="122"/>
        <v>12.592735382891082</v>
      </c>
      <c r="AT206" s="13">
        <f t="shared" si="123"/>
        <v>14.248094374866383</v>
      </c>
      <c r="AU206" s="9">
        <v>0</v>
      </c>
      <c r="AV206" s="18">
        <f t="shared" si="140"/>
        <v>2</v>
      </c>
      <c r="AW206" s="18">
        <f t="shared" si="141"/>
        <v>4</v>
      </c>
      <c r="AX206" s="18">
        <f t="shared" si="142"/>
        <v>1</v>
      </c>
      <c r="AY206" s="18">
        <f t="shared" si="143"/>
        <v>8</v>
      </c>
      <c r="AZ206" s="18">
        <f t="shared" si="144"/>
        <v>3</v>
      </c>
      <c r="BA206" s="18">
        <f t="shared" si="145"/>
        <v>7</v>
      </c>
      <c r="BB206" s="18">
        <f t="shared" si="146"/>
        <v>6</v>
      </c>
      <c r="BC206" s="18">
        <f t="shared" si="147"/>
        <v>5</v>
      </c>
      <c r="BD206" s="18">
        <f t="shared" si="148"/>
        <v>9</v>
      </c>
      <c r="BE206" s="8">
        <f t="shared" si="150"/>
        <v>-4.7406788764466122E-4</v>
      </c>
    </row>
    <row r="207" spans="1:57" x14ac:dyDescent="0.25">
      <c r="A207" t="str">
        <f t="shared" si="149"/>
        <v/>
      </c>
      <c r="B207" s="1">
        <v>43038</v>
      </c>
      <c r="C207" s="9">
        <f t="shared" si="124"/>
        <v>0.25264045285760151</v>
      </c>
      <c r="D207" s="9">
        <f t="shared" si="125"/>
        <v>0.24790343266795806</v>
      </c>
      <c r="E207" s="9">
        <f t="shared" si="126"/>
        <v>0.24725439146434941</v>
      </c>
      <c r="F207" s="9">
        <f t="shared" si="127"/>
        <v>0</v>
      </c>
      <c r="G207" s="9">
        <f t="shared" si="128"/>
        <v>0</v>
      </c>
      <c r="H207" s="9">
        <f t="shared" si="129"/>
        <v>0</v>
      </c>
      <c r="I207" s="9">
        <f t="shared" si="130"/>
        <v>0</v>
      </c>
      <c r="J207" s="9">
        <f t="shared" si="131"/>
        <v>0.25220172301009092</v>
      </c>
      <c r="K207" s="9">
        <v>0</v>
      </c>
      <c r="L207" s="8">
        <f>+VLOOKUP($B207,NIFTY_50!$B$3:$I$1238,8,0)</f>
        <v>3.9329461738537574E-3</v>
      </c>
      <c r="M207" s="8">
        <f>+VLOOKUP($B207,NIFTY_BANK!$B$3:$I$41238,8,0)</f>
        <v>5.9984983624905563E-3</v>
      </c>
      <c r="N207" s="8">
        <f>+VLOOKUP($B207,NIFTY_IT!$B$3:$I$1238,8,0)</f>
        <v>-7.1349330927406029E-4</v>
      </c>
      <c r="O207" s="8">
        <f>+VLOOKUP($B207,NIFTY_PHARMA!$B$3:$I$1238,8,0)</f>
        <v>1.0854809794717202E-2</v>
      </c>
      <c r="P207" s="8">
        <f>+VLOOKUP($B207,NIFTY_FMCG!$B$3:$I$1238,8,0)</f>
        <v>-6.8604322343471802E-3</v>
      </c>
      <c r="Q207" s="8">
        <f>+VLOOKUP($B207,NIFTY_METAL!$B$3:$I$1238,8,0)</f>
        <v>-3.1683268699467249E-4</v>
      </c>
      <c r="R207" s="8">
        <f>+VLOOKUP($B207,NIFTY_ENERGY!$B$3:$I$1238,8,0)</f>
        <v>1.0068117050114678E-2</v>
      </c>
      <c r="S207" s="8">
        <f>+VLOOKUP($B207,NIFTY_AUTO!$B$3:$I$1238,8,0)</f>
        <v>9.5954196449872242E-3</v>
      </c>
      <c r="T207" s="8">
        <v>0</v>
      </c>
      <c r="U207" s="8">
        <f>+VLOOKUP($B207,NIFTY_50!$B$63:$K$1238,10,0)</f>
        <v>2.843576028817818E-2</v>
      </c>
      <c r="V207" s="8">
        <f>+VLOOKUP($B207,NIFTY_BANK!$B$63:$K$1238,10,0)</f>
        <v>-4.5849906288528697E-3</v>
      </c>
      <c r="W207" s="8">
        <f>+VLOOKUP($B207,NIFTY_IT!$B$63:$K$1238,10,0)</f>
        <v>9.1625409664597424E-3</v>
      </c>
      <c r="X207" s="8">
        <f>+VLOOKUP($B207,NIFTY_PHARMA!$B$63:$K$1238,10,0)</f>
        <v>2.938352116837617E-2</v>
      </c>
      <c r="Y207" s="8">
        <f>+VLOOKUP($B207,NIFTY_FMCG!$B$63:$K$1238,10,0)</f>
        <v>-4.1465408914965751E-3</v>
      </c>
      <c r="Z207" s="8">
        <f>+VLOOKUP($B207,NIFTY_METAL!$B$63:$K$1238,10,0)</f>
        <v>0.20984984432276588</v>
      </c>
      <c r="AA207" s="8">
        <f>+VLOOKUP($B207,NIFTY_ENERGY!$B$63:$K$1238,10,0)</f>
        <v>0.13272118573716885</v>
      </c>
      <c r="AB207" s="8">
        <f>+VLOOKUP($B207,NIFTY_AUTO!$B$63:$K$1238,10,0)</f>
        <v>3.8522537752268882E-2</v>
      </c>
      <c r="AC207" s="8"/>
      <c r="AD207" s="16">
        <f t="shared" si="132"/>
        <v>4.9443281876008695E-2</v>
      </c>
      <c r="AE207" s="8">
        <f t="shared" si="133"/>
        <v>6.765133941305268E-2</v>
      </c>
      <c r="AF207" s="8">
        <f t="shared" si="134"/>
        <v>4.7440598394106741E-2</v>
      </c>
      <c r="AG207" s="8">
        <f t="shared" si="135"/>
        <v>0.11462622649161112</v>
      </c>
      <c r="AH207" s="8">
        <f t="shared" si="136"/>
        <v>5.8797522318976871E-2</v>
      </c>
      <c r="AI207" s="8">
        <f t="shared" si="137"/>
        <v>0.10897317374321651</v>
      </c>
      <c r="AJ207" s="8">
        <f t="shared" si="138"/>
        <v>7.9135715651507746E-2</v>
      </c>
      <c r="AK207" s="8">
        <f t="shared" si="139"/>
        <v>7.053537923073333E-2</v>
      </c>
      <c r="AL207" s="9">
        <v>0</v>
      </c>
      <c r="AM207" s="17">
        <f t="shared" si="116"/>
        <v>20.22519464844078</v>
      </c>
      <c r="AN207" s="13">
        <f t="shared" si="117"/>
        <v>14.781673336789243</v>
      </c>
      <c r="AO207" s="13">
        <f t="shared" si="118"/>
        <v>21.078992125955644</v>
      </c>
      <c r="AP207" s="13">
        <f t="shared" si="119"/>
        <v>8.7240069799661821</v>
      </c>
      <c r="AQ207" s="13">
        <f t="shared" si="120"/>
        <v>17.007519374285785</v>
      </c>
      <c r="AR207" s="13">
        <f t="shared" si="121"/>
        <v>9.1765703948055304</v>
      </c>
      <c r="AS207" s="13">
        <f t="shared" si="122"/>
        <v>12.636519323382746</v>
      </c>
      <c r="AT207" s="13">
        <f t="shared" si="123"/>
        <v>14.177282534043353</v>
      </c>
      <c r="AU207" s="9">
        <v>0</v>
      </c>
      <c r="AV207" s="18">
        <f t="shared" si="140"/>
        <v>2</v>
      </c>
      <c r="AW207" s="18">
        <f t="shared" si="141"/>
        <v>4</v>
      </c>
      <c r="AX207" s="18">
        <f t="shared" si="142"/>
        <v>1</v>
      </c>
      <c r="AY207" s="18">
        <f t="shared" si="143"/>
        <v>8</v>
      </c>
      <c r="AZ207" s="18">
        <f t="shared" si="144"/>
        <v>3</v>
      </c>
      <c r="BA207" s="18">
        <f t="shared" si="145"/>
        <v>7</v>
      </c>
      <c r="BB207" s="18">
        <f t="shared" si="146"/>
        <v>6</v>
      </c>
      <c r="BC207" s="18">
        <f t="shared" si="147"/>
        <v>5</v>
      </c>
      <c r="BD207" s="18">
        <f t="shared" si="148"/>
        <v>9</v>
      </c>
      <c r="BE207" s="8">
        <f t="shared" si="150"/>
        <v>4.7104354053917885E-3</v>
      </c>
    </row>
    <row r="208" spans="1:57" x14ac:dyDescent="0.25">
      <c r="A208" t="str">
        <f t="shared" si="149"/>
        <v>Y</v>
      </c>
      <c r="B208" s="1">
        <v>43039</v>
      </c>
      <c r="C208" s="9">
        <f t="shared" si="124"/>
        <v>0.25</v>
      </c>
      <c r="D208" s="9">
        <f t="shared" si="125"/>
        <v>0.25</v>
      </c>
      <c r="E208" s="9">
        <f t="shared" si="126"/>
        <v>0.25</v>
      </c>
      <c r="F208" s="9">
        <f t="shared" si="127"/>
        <v>0</v>
      </c>
      <c r="G208" s="9">
        <f t="shared" si="128"/>
        <v>0.25</v>
      </c>
      <c r="H208" s="9">
        <f t="shared" si="129"/>
        <v>0</v>
      </c>
      <c r="I208" s="9">
        <f t="shared" si="130"/>
        <v>0</v>
      </c>
      <c r="J208" s="9">
        <f t="shared" si="131"/>
        <v>0</v>
      </c>
      <c r="K208" s="9">
        <v>0</v>
      </c>
      <c r="L208" s="8">
        <f>+VLOOKUP($B208,NIFTY_50!$B$3:$I$1238,8,0)</f>
        <v>-2.7355227164175266E-3</v>
      </c>
      <c r="M208" s="8">
        <f>+VLOOKUP($B208,NIFTY_BANK!$B$3:$I$41238,8,0)</f>
        <v>1.2325645145476738E-3</v>
      </c>
      <c r="N208" s="8">
        <f>+VLOOKUP($B208,NIFTY_IT!$B$3:$I$1238,8,0)</f>
        <v>-1.5109219387707817E-3</v>
      </c>
      <c r="O208" s="8">
        <f>+VLOOKUP($B208,NIFTY_PHARMA!$B$3:$I$1238,8,0)</f>
        <v>1.178900751932499E-4</v>
      </c>
      <c r="P208" s="8">
        <f>+VLOOKUP($B208,NIFTY_FMCG!$B$3:$I$1238,8,0)</f>
        <v>1.9541610759197248E-3</v>
      </c>
      <c r="Q208" s="8">
        <f>+VLOOKUP($B208,NIFTY_METAL!$B$3:$I$1238,8,0)</f>
        <v>-1.7114387495087535E-2</v>
      </c>
      <c r="R208" s="8">
        <f>+VLOOKUP($B208,NIFTY_ENERGY!$B$3:$I$1238,8,0)</f>
        <v>-1.4210165945836017E-3</v>
      </c>
      <c r="S208" s="8">
        <f>+VLOOKUP($B208,NIFTY_AUTO!$B$3:$I$1238,8,0)</f>
        <v>-4.944646217126869E-3</v>
      </c>
      <c r="T208" s="8">
        <v>0</v>
      </c>
      <c r="U208" s="8">
        <f>+VLOOKUP($B208,NIFTY_50!$B$63:$K$1238,10,0)</f>
        <v>2.1814892260236363E-2</v>
      </c>
      <c r="V208" s="8">
        <f>+VLOOKUP($B208,NIFTY_BANK!$B$63:$K$1238,10,0)</f>
        <v>-4.1177734965848201E-3</v>
      </c>
      <c r="W208" s="8">
        <f>+VLOOKUP($B208,NIFTY_IT!$B$63:$K$1238,10,0)</f>
        <v>3.3373912801972772E-3</v>
      </c>
      <c r="X208" s="8">
        <f>+VLOOKUP($B208,NIFTY_PHARMA!$B$63:$K$1238,10,0)</f>
        <v>2.5080642619230265E-2</v>
      </c>
      <c r="Y208" s="8">
        <f>+VLOOKUP($B208,NIFTY_FMCG!$B$63:$K$1238,10,0)</f>
        <v>-3.6382677501308747E-3</v>
      </c>
      <c r="Z208" s="8">
        <f>+VLOOKUP($B208,NIFTY_METAL!$B$63:$K$1238,10,0)</f>
        <v>0.17801413051735926</v>
      </c>
      <c r="AA208" s="8">
        <f>+VLOOKUP($B208,NIFTY_ENERGY!$B$63:$K$1238,10,0)</f>
        <v>0.13192329143249393</v>
      </c>
      <c r="AB208" s="8">
        <f>+VLOOKUP($B208,NIFTY_AUTO!$B$63:$K$1238,10,0)</f>
        <v>1.7823093931554235E-2</v>
      </c>
      <c r="AC208" s="8"/>
      <c r="AD208" s="16">
        <f t="shared" si="132"/>
        <v>4.9434327707747069E-2</v>
      </c>
      <c r="AE208" s="8">
        <f t="shared" si="133"/>
        <v>6.7658503231820641E-2</v>
      </c>
      <c r="AF208" s="8">
        <f t="shared" si="134"/>
        <v>4.7285514205921045E-2</v>
      </c>
      <c r="AG208" s="8">
        <f t="shared" si="135"/>
        <v>0.11456509078296223</v>
      </c>
      <c r="AH208" s="8">
        <f t="shared" si="136"/>
        <v>5.881259625499715E-2</v>
      </c>
      <c r="AI208" s="8">
        <f t="shared" si="137"/>
        <v>0.11062803594984053</v>
      </c>
      <c r="AJ208" s="8">
        <f t="shared" si="138"/>
        <v>7.9163815244584046E-2</v>
      </c>
      <c r="AK208" s="8">
        <f t="shared" si="139"/>
        <v>6.9180048924663631E-2</v>
      </c>
      <c r="AL208" s="9">
        <v>0</v>
      </c>
      <c r="AM208" s="17">
        <f t="shared" si="116"/>
        <v>20.228858090514411</v>
      </c>
      <c r="AN208" s="13">
        <f t="shared" si="117"/>
        <v>14.780108223406389</v>
      </c>
      <c r="AO208" s="13">
        <f t="shared" si="118"/>
        <v>21.148125737729231</v>
      </c>
      <c r="AP208" s="13">
        <f t="shared" si="119"/>
        <v>8.7286623976447544</v>
      </c>
      <c r="AQ208" s="13">
        <f t="shared" si="120"/>
        <v>17.003160269685129</v>
      </c>
      <c r="AR208" s="13">
        <f t="shared" si="121"/>
        <v>9.0392999515367567</v>
      </c>
      <c r="AS208" s="13">
        <f t="shared" si="122"/>
        <v>12.632033927500917</v>
      </c>
      <c r="AT208" s="13">
        <f t="shared" si="123"/>
        <v>14.455034587919847</v>
      </c>
      <c r="AU208" s="9">
        <v>0</v>
      </c>
      <c r="AV208" s="18">
        <f t="shared" si="140"/>
        <v>2</v>
      </c>
      <c r="AW208" s="18">
        <f t="shared" si="141"/>
        <v>4</v>
      </c>
      <c r="AX208" s="18">
        <f t="shared" si="142"/>
        <v>1</v>
      </c>
      <c r="AY208" s="18">
        <f t="shared" si="143"/>
        <v>8</v>
      </c>
      <c r="AZ208" s="18">
        <f t="shared" si="144"/>
        <v>3</v>
      </c>
      <c r="BA208" s="18">
        <f t="shared" si="145"/>
        <v>7</v>
      </c>
      <c r="BB208" s="18">
        <f t="shared" si="146"/>
        <v>6</v>
      </c>
      <c r="BC208" s="18">
        <f t="shared" si="147"/>
        <v>5</v>
      </c>
      <c r="BD208" s="18">
        <f t="shared" si="148"/>
        <v>9</v>
      </c>
      <c r="BE208" s="8">
        <f t="shared" si="150"/>
        <v>-2.0061771038925257E-3</v>
      </c>
    </row>
    <row r="209" spans="1:57" x14ac:dyDescent="0.25">
      <c r="A209" t="str">
        <f t="shared" si="149"/>
        <v/>
      </c>
      <c r="B209" s="1">
        <v>43040</v>
      </c>
      <c r="C209" s="9">
        <f t="shared" si="124"/>
        <v>0.2498880371967559</v>
      </c>
      <c r="D209" s="9">
        <f t="shared" si="125"/>
        <v>0.25202796644850867</v>
      </c>
      <c r="E209" s="9">
        <f t="shared" si="126"/>
        <v>0.24689994329263845</v>
      </c>
      <c r="F209" s="9">
        <f t="shared" si="127"/>
        <v>0</v>
      </c>
      <c r="G209" s="9">
        <f t="shared" si="128"/>
        <v>0.2511840530620969</v>
      </c>
      <c r="H209" s="9">
        <f t="shared" si="129"/>
        <v>0</v>
      </c>
      <c r="I209" s="9">
        <f t="shared" si="130"/>
        <v>0</v>
      </c>
      <c r="J209" s="9">
        <f t="shared" si="131"/>
        <v>0</v>
      </c>
      <c r="K209" s="9">
        <v>0</v>
      </c>
      <c r="L209" s="8">
        <f>+VLOOKUP($B209,NIFTY_50!$B$3:$I$1238,8,0)</f>
        <v>1.0178707923330865E-2</v>
      </c>
      <c r="M209" s="8">
        <f>+VLOOKUP($B209,NIFTY_BANK!$B$3:$I$41238,8,0)</f>
        <v>1.8829426024257412E-2</v>
      </c>
      <c r="N209" s="8">
        <f>+VLOOKUP($B209,NIFTY_IT!$B$3:$I$1238,8,0)</f>
        <v>-1.9007372276917955E-3</v>
      </c>
      <c r="O209" s="8">
        <f>+VLOOKUP($B209,NIFTY_PHARMA!$B$3:$I$1238,8,0)</f>
        <v>-4.5561705617056525E-3</v>
      </c>
      <c r="P209" s="8">
        <f>+VLOOKUP($B209,NIFTY_FMCG!$B$3:$I$1238,8,0)</f>
        <v>1.5417884824254324E-2</v>
      </c>
      <c r="Q209" s="8">
        <f>+VLOOKUP($B209,NIFTY_METAL!$B$3:$I$1238,8,0)</f>
        <v>1.8018599012008085E-2</v>
      </c>
      <c r="R209" s="8">
        <f>+VLOOKUP($B209,NIFTY_ENERGY!$B$3:$I$1238,8,0)</f>
        <v>5.1064005733501006E-3</v>
      </c>
      <c r="S209" s="8">
        <f>+VLOOKUP($B209,NIFTY_AUTO!$B$3:$I$1238,8,0)</f>
        <v>-5.7167985927875087E-4</v>
      </c>
      <c r="T209" s="8">
        <v>0</v>
      </c>
      <c r="U209" s="8">
        <f>+VLOOKUP($B209,NIFTY_50!$B$63:$K$1238,10,0)</f>
        <v>3.5609780290631443E-2</v>
      </c>
      <c r="V209" s="8">
        <f>+VLOOKUP($B209,NIFTY_BANK!$B$63:$K$1238,10,0)</f>
        <v>1.7371643411347781E-2</v>
      </c>
      <c r="W209" s="8">
        <f>+VLOOKUP($B209,NIFTY_IT!$B$63:$K$1238,10,0)</f>
        <v>8.3851090903157566E-3</v>
      </c>
      <c r="X209" s="8">
        <f>+VLOOKUP($B209,NIFTY_PHARMA!$B$63:$K$1238,10,0)</f>
        <v>2.7247869937962355E-2</v>
      </c>
      <c r="Y209" s="8">
        <f>+VLOOKUP($B209,NIFTY_FMCG!$B$63:$K$1238,10,0)</f>
        <v>2.1646149206262288E-2</v>
      </c>
      <c r="Z209" s="8">
        <f>+VLOOKUP($B209,NIFTY_METAL!$B$63:$K$1238,10,0)</f>
        <v>0.20166864589994216</v>
      </c>
      <c r="AA209" s="8">
        <f>+VLOOKUP($B209,NIFTY_ENERGY!$B$63:$K$1238,10,0)</f>
        <v>0.12866169090705082</v>
      </c>
      <c r="AB209" s="8">
        <f>+VLOOKUP($B209,NIFTY_AUTO!$B$63:$K$1238,10,0)</f>
        <v>2.0589622111951922E-2</v>
      </c>
      <c r="AC209" s="8"/>
      <c r="AD209" s="16">
        <f t="shared" si="132"/>
        <v>5.0235311396743552E-2</v>
      </c>
      <c r="AE209" s="8">
        <f t="shared" si="133"/>
        <v>7.0133373742775396E-2</v>
      </c>
      <c r="AF209" s="8">
        <f t="shared" si="134"/>
        <v>4.6806260349996104E-2</v>
      </c>
      <c r="AG209" s="8">
        <f t="shared" si="135"/>
        <v>0.11445253343078421</v>
      </c>
      <c r="AH209" s="8">
        <f t="shared" si="136"/>
        <v>5.994606583082341E-2</v>
      </c>
      <c r="AI209" s="8">
        <f t="shared" si="137"/>
        <v>0.11153813168438795</v>
      </c>
      <c r="AJ209" s="8">
        <f t="shared" si="138"/>
        <v>7.8998621589073684E-2</v>
      </c>
      <c r="AK209" s="8">
        <f t="shared" si="139"/>
        <v>6.9090803886167479E-2</v>
      </c>
      <c r="AL209" s="9">
        <v>0</v>
      </c>
      <c r="AM209" s="17">
        <f t="shared" si="116"/>
        <v>19.906316337969866</v>
      </c>
      <c r="AN209" s="13">
        <f t="shared" si="117"/>
        <v>14.258546917586612</v>
      </c>
      <c r="AO209" s="13">
        <f t="shared" si="118"/>
        <v>21.36466345575252</v>
      </c>
      <c r="AP209" s="13">
        <f t="shared" si="119"/>
        <v>8.7372465250387439</v>
      </c>
      <c r="AQ209" s="13">
        <f t="shared" si="120"/>
        <v>16.681661859547994</v>
      </c>
      <c r="AR209" s="13">
        <f t="shared" si="121"/>
        <v>8.9655437552928863</v>
      </c>
      <c r="AS209" s="13">
        <f t="shared" si="122"/>
        <v>12.658448715747088</v>
      </c>
      <c r="AT209" s="13">
        <f t="shared" si="123"/>
        <v>14.473706249641825</v>
      </c>
      <c r="AU209" s="9">
        <v>0</v>
      </c>
      <c r="AV209" s="18">
        <f t="shared" si="140"/>
        <v>2</v>
      </c>
      <c r="AW209" s="18">
        <f t="shared" si="141"/>
        <v>5</v>
      </c>
      <c r="AX209" s="18">
        <f t="shared" si="142"/>
        <v>1</v>
      </c>
      <c r="AY209" s="18">
        <f t="shared" si="143"/>
        <v>8</v>
      </c>
      <c r="AZ209" s="18">
        <f t="shared" si="144"/>
        <v>3</v>
      </c>
      <c r="BA209" s="18">
        <f t="shared" si="145"/>
        <v>7</v>
      </c>
      <c r="BB209" s="18">
        <f t="shared" si="146"/>
        <v>6</v>
      </c>
      <c r="BC209" s="18">
        <f t="shared" si="147"/>
        <v>4</v>
      </c>
      <c r="BD209" s="18">
        <f t="shared" si="148"/>
        <v>9</v>
      </c>
      <c r="BE209" s="8">
        <f t="shared" si="150"/>
        <v>1.0631320386037701E-2</v>
      </c>
    </row>
    <row r="210" spans="1:57" x14ac:dyDescent="0.25">
      <c r="A210" t="str">
        <f t="shared" si="149"/>
        <v/>
      </c>
      <c r="B210" s="1">
        <v>43041</v>
      </c>
      <c r="C210" s="9">
        <f t="shared" si="124"/>
        <v>0.25020762056231033</v>
      </c>
      <c r="D210" s="9">
        <f t="shared" si="125"/>
        <v>0.25212840391784075</v>
      </c>
      <c r="E210" s="9">
        <f t="shared" si="126"/>
        <v>0.24826528961798763</v>
      </c>
      <c r="F210" s="9">
        <f t="shared" si="127"/>
        <v>0</v>
      </c>
      <c r="G210" s="9">
        <f t="shared" si="128"/>
        <v>0.24939868590186121</v>
      </c>
      <c r="H210" s="9">
        <f t="shared" si="129"/>
        <v>0</v>
      </c>
      <c r="I210" s="9">
        <f t="shared" si="130"/>
        <v>0</v>
      </c>
      <c r="J210" s="9">
        <f t="shared" si="131"/>
        <v>0</v>
      </c>
      <c r="K210" s="9">
        <v>0</v>
      </c>
      <c r="L210" s="8">
        <f>+VLOOKUP($B210,NIFTY_50!$B$3:$I$1238,8,0)</f>
        <v>-1.599540251903675E-3</v>
      </c>
      <c r="M210" s="8">
        <f>+VLOOKUP($B210,NIFTY_BANK!$B$3:$I$41238,8,0)</f>
        <v>-2.4773983982236958E-3</v>
      </c>
      <c r="N210" s="8">
        <f>+VLOOKUP($B210,NIFTY_IT!$B$3:$I$1238,8,0)</f>
        <v>2.6392907657180054E-3</v>
      </c>
      <c r="O210" s="8">
        <f>+VLOOKUP($B210,NIFTY_PHARMA!$B$3:$I$1238,8,0)</f>
        <v>3.0165112675113681E-2</v>
      </c>
      <c r="P210" s="8">
        <f>+VLOOKUP($B210,NIFTY_FMCG!$B$3:$I$1238,8,0)</f>
        <v>-9.9621411798532788E-3</v>
      </c>
      <c r="Q210" s="8">
        <f>+VLOOKUP($B210,NIFTY_METAL!$B$3:$I$1238,8,0)</f>
        <v>-1.3683356983580364E-3</v>
      </c>
      <c r="R210" s="8">
        <f>+VLOOKUP($B210,NIFTY_ENERGY!$B$3:$I$1238,8,0)</f>
        <v>-2.4476699142286229E-3</v>
      </c>
      <c r="S210" s="8">
        <f>+VLOOKUP($B210,NIFTY_AUTO!$B$3:$I$1238,8,0)</f>
        <v>-7.0972851674220294E-3</v>
      </c>
      <c r="T210" s="8">
        <v>0</v>
      </c>
      <c r="U210" s="8">
        <f>+VLOOKUP($B210,NIFTY_50!$B$63:$K$1238,10,0)</f>
        <v>4.0959090841002022E-2</v>
      </c>
      <c r="V210" s="8">
        <f>+VLOOKUP($B210,NIFTY_BANK!$B$63:$K$1238,10,0)</f>
        <v>3.0486260412846189E-2</v>
      </c>
      <c r="W210" s="8">
        <f>+VLOOKUP($B210,NIFTY_IT!$B$63:$K$1238,10,0)</f>
        <v>1.5291364380997097E-2</v>
      </c>
      <c r="X210" s="8">
        <f>+VLOOKUP($B210,NIFTY_PHARMA!$B$63:$K$1238,10,0)</f>
        <v>7.1501247737471685E-2</v>
      </c>
      <c r="Y210" s="8">
        <f>+VLOOKUP($B210,NIFTY_FMCG!$B$63:$K$1238,10,0)</f>
        <v>1.3355674542989693E-2</v>
      </c>
      <c r="Z210" s="8">
        <f>+VLOOKUP($B210,NIFTY_METAL!$B$63:$K$1238,10,0)</f>
        <v>0.22334316312276892</v>
      </c>
      <c r="AA210" s="8">
        <f>+VLOOKUP($B210,NIFTY_ENERGY!$B$63:$K$1238,10,0)</f>
        <v>0.11227395563777853</v>
      </c>
      <c r="AB210" s="8">
        <f>+VLOOKUP($B210,NIFTY_AUTO!$B$63:$K$1238,10,0)</f>
        <v>2.0259883531667189E-2</v>
      </c>
      <c r="AC210" s="8"/>
      <c r="AD210" s="16">
        <f t="shared" si="132"/>
        <v>4.9742520873480946E-2</v>
      </c>
      <c r="AE210" s="8">
        <f t="shared" si="133"/>
        <v>6.8438231998079524E-2</v>
      </c>
      <c r="AF210" s="8">
        <f t="shared" si="134"/>
        <v>4.6663011502144885E-2</v>
      </c>
      <c r="AG210" s="8">
        <f t="shared" si="135"/>
        <v>0.11738700466274031</v>
      </c>
      <c r="AH210" s="8">
        <f t="shared" si="136"/>
        <v>6.0781533603916776E-2</v>
      </c>
      <c r="AI210" s="8">
        <f t="shared" si="137"/>
        <v>0.10937919474812011</v>
      </c>
      <c r="AJ210" s="8">
        <f t="shared" si="138"/>
        <v>7.8441427537111544E-2</v>
      </c>
      <c r="AK210" s="8">
        <f t="shared" si="139"/>
        <v>6.9124736210869189E-2</v>
      </c>
      <c r="AL210" s="9">
        <v>0</v>
      </c>
      <c r="AM210" s="17">
        <f t="shared" si="116"/>
        <v>20.10352475990268</v>
      </c>
      <c r="AN210" s="13">
        <f t="shared" si="117"/>
        <v>14.611715861217185</v>
      </c>
      <c r="AO210" s="13">
        <f t="shared" si="118"/>
        <v>21.43024995191394</v>
      </c>
      <c r="AP210" s="13">
        <f t="shared" si="119"/>
        <v>8.5188305372733399</v>
      </c>
      <c r="AQ210" s="13">
        <f t="shared" si="120"/>
        <v>16.452365393023907</v>
      </c>
      <c r="AR210" s="13">
        <f t="shared" si="121"/>
        <v>9.1425065096046243</v>
      </c>
      <c r="AS210" s="13">
        <f t="shared" si="122"/>
        <v>12.748365645524343</v>
      </c>
      <c r="AT210" s="13">
        <f t="shared" si="123"/>
        <v>14.466601318367994</v>
      </c>
      <c r="AU210" s="9">
        <v>0</v>
      </c>
      <c r="AV210" s="18">
        <f t="shared" si="140"/>
        <v>2</v>
      </c>
      <c r="AW210" s="18">
        <f t="shared" si="141"/>
        <v>4</v>
      </c>
      <c r="AX210" s="18">
        <f t="shared" si="142"/>
        <v>1</v>
      </c>
      <c r="AY210" s="18">
        <f t="shared" si="143"/>
        <v>8</v>
      </c>
      <c r="AZ210" s="18">
        <f t="shared" si="144"/>
        <v>3</v>
      </c>
      <c r="BA210" s="18">
        <f t="shared" si="145"/>
        <v>7</v>
      </c>
      <c r="BB210" s="18">
        <f t="shared" si="146"/>
        <v>6</v>
      </c>
      <c r="BC210" s="18">
        <f t="shared" si="147"/>
        <v>5</v>
      </c>
      <c r="BD210" s="18">
        <f t="shared" si="148"/>
        <v>9</v>
      </c>
      <c r="BE210" s="8">
        <f t="shared" si="150"/>
        <v>-2.8747699126963314E-3</v>
      </c>
    </row>
    <row r="211" spans="1:57" x14ac:dyDescent="0.25">
      <c r="A211" t="str">
        <f t="shared" si="149"/>
        <v/>
      </c>
      <c r="B211" s="1">
        <v>43042</v>
      </c>
      <c r="C211" s="9">
        <f t="shared" si="124"/>
        <v>0.25028935947816672</v>
      </c>
      <c r="D211" s="9">
        <f t="shared" si="125"/>
        <v>0.25372805876802945</v>
      </c>
      <c r="E211" s="9">
        <f t="shared" si="126"/>
        <v>0.24750921805652862</v>
      </c>
      <c r="F211" s="9">
        <f t="shared" si="127"/>
        <v>0</v>
      </c>
      <c r="G211" s="9">
        <f t="shared" si="128"/>
        <v>0.24847336369727518</v>
      </c>
      <c r="H211" s="9">
        <f t="shared" si="129"/>
        <v>0</v>
      </c>
      <c r="I211" s="9">
        <f t="shared" si="130"/>
        <v>0</v>
      </c>
      <c r="J211" s="9">
        <f t="shared" si="131"/>
        <v>0</v>
      </c>
      <c r="K211" s="9">
        <v>0</v>
      </c>
      <c r="L211" s="8">
        <f>+VLOOKUP($B211,NIFTY_50!$B$3:$I$1238,8,0)</f>
        <v>2.7533145302098827E-3</v>
      </c>
      <c r="M211" s="8">
        <f>+VLOOKUP($B211,NIFTY_BANK!$B$3:$I$41238,8,0)</f>
        <v>8.7858325500544954E-3</v>
      </c>
      <c r="N211" s="8">
        <f>+VLOOKUP($B211,NIFTY_IT!$B$3:$I$1238,8,0)</f>
        <v>-6.2696791860494816E-4</v>
      </c>
      <c r="O211" s="8">
        <f>+VLOOKUP($B211,NIFTY_PHARMA!$B$3:$I$1238,8,0)</f>
        <v>-1.0725173671847554E-2</v>
      </c>
      <c r="P211" s="8">
        <f>+VLOOKUP($B211,NIFTY_FMCG!$B$3:$I$1238,8,0)</f>
        <v>-1.2933755164790117E-3</v>
      </c>
      <c r="Q211" s="8">
        <f>+VLOOKUP($B211,NIFTY_METAL!$B$3:$I$1238,8,0)</f>
        <v>-6.5973103273275768E-4</v>
      </c>
      <c r="R211" s="8">
        <f>+VLOOKUP($B211,NIFTY_ENERGY!$B$3:$I$1238,8,0)</f>
        <v>-2.371199208225705E-3</v>
      </c>
      <c r="S211" s="8">
        <f>+VLOOKUP($B211,NIFTY_AUTO!$B$3:$I$1238,8,0)</f>
        <v>2.72980674209089E-3</v>
      </c>
      <c r="T211" s="8">
        <v>0</v>
      </c>
      <c r="U211" s="8">
        <f>+VLOOKUP($B211,NIFTY_50!$B$63:$K$1238,10,0)</f>
        <v>3.8355320670746318E-2</v>
      </c>
      <c r="V211" s="8">
        <f>+VLOOKUP($B211,NIFTY_BANK!$B$63:$K$1238,10,0)</f>
        <v>3.315886246875932E-2</v>
      </c>
      <c r="W211" s="8">
        <f>+VLOOKUP($B211,NIFTY_IT!$B$63:$K$1238,10,0)</f>
        <v>7.5386109807165091E-3</v>
      </c>
      <c r="X211" s="8">
        <f>+VLOOKUP($B211,NIFTY_PHARMA!$B$63:$K$1238,10,0)</f>
        <v>6.9175799543041094E-2</v>
      </c>
      <c r="Y211" s="8">
        <f>+VLOOKUP($B211,NIFTY_FMCG!$B$63:$K$1238,10,0)</f>
        <v>9.3694596318749657E-3</v>
      </c>
      <c r="Z211" s="8">
        <f>+VLOOKUP($B211,NIFTY_METAL!$B$63:$K$1238,10,0)</f>
        <v>0.19273167777104794</v>
      </c>
      <c r="AA211" s="8">
        <f>+VLOOKUP($B211,NIFTY_ENERGY!$B$63:$K$1238,10,0)</f>
        <v>9.9324807912963609E-2</v>
      </c>
      <c r="AB211" s="8">
        <f>+VLOOKUP($B211,NIFTY_AUTO!$B$63:$K$1238,10,0)</f>
        <v>1.581137682883571E-2</v>
      </c>
      <c r="AC211" s="8"/>
      <c r="AD211" s="16">
        <f t="shared" si="132"/>
        <v>4.9572757997138693E-2</v>
      </c>
      <c r="AE211" s="8">
        <f t="shared" si="133"/>
        <v>6.8701927667702972E-2</v>
      </c>
      <c r="AF211" s="8">
        <f t="shared" si="134"/>
        <v>4.616358651937328E-2</v>
      </c>
      <c r="AG211" s="8">
        <f t="shared" si="135"/>
        <v>0.11758621312207231</v>
      </c>
      <c r="AH211" s="8">
        <f t="shared" si="136"/>
        <v>6.0751463654985918E-2</v>
      </c>
      <c r="AI211" s="8">
        <f t="shared" si="137"/>
        <v>0.10725612229604237</v>
      </c>
      <c r="AJ211" s="8">
        <f t="shared" si="138"/>
        <v>7.8170630280488346E-2</v>
      </c>
      <c r="AK211" s="8">
        <f t="shared" si="139"/>
        <v>6.8832325239426256E-2</v>
      </c>
      <c r="AL211" s="9">
        <v>0</v>
      </c>
      <c r="AM211" s="17">
        <f t="shared" si="116"/>
        <v>20.172369672426122</v>
      </c>
      <c r="AN211" s="13">
        <f t="shared" si="117"/>
        <v>14.555632337374773</v>
      </c>
      <c r="AO211" s="13">
        <f t="shared" si="118"/>
        <v>21.662095070978381</v>
      </c>
      <c r="AP211" s="13">
        <f t="shared" si="119"/>
        <v>8.5043983767199691</v>
      </c>
      <c r="AQ211" s="13">
        <f t="shared" si="120"/>
        <v>16.460508765337856</v>
      </c>
      <c r="AR211" s="13">
        <f t="shared" si="121"/>
        <v>9.3234770994224068</v>
      </c>
      <c r="AS211" s="13">
        <f t="shared" si="122"/>
        <v>12.79252829882329</v>
      </c>
      <c r="AT211" s="13">
        <f t="shared" si="123"/>
        <v>14.528057806003233</v>
      </c>
      <c r="AU211" s="9">
        <v>0</v>
      </c>
      <c r="AV211" s="18">
        <f t="shared" si="140"/>
        <v>2</v>
      </c>
      <c r="AW211" s="18">
        <f t="shared" si="141"/>
        <v>4</v>
      </c>
      <c r="AX211" s="18">
        <f t="shared" si="142"/>
        <v>1</v>
      </c>
      <c r="AY211" s="18">
        <f t="shared" si="143"/>
        <v>8</v>
      </c>
      <c r="AZ211" s="18">
        <f t="shared" si="144"/>
        <v>3</v>
      </c>
      <c r="BA211" s="18">
        <f t="shared" si="145"/>
        <v>7</v>
      </c>
      <c r="BB211" s="18">
        <f t="shared" si="146"/>
        <v>6</v>
      </c>
      <c r="BC211" s="18">
        <f t="shared" si="147"/>
        <v>5</v>
      </c>
      <c r="BD211" s="18">
        <f t="shared" si="148"/>
        <v>9</v>
      </c>
      <c r="BE211" s="8">
        <f t="shared" si="150"/>
        <v>2.425837689116952E-3</v>
      </c>
    </row>
    <row r="212" spans="1:57" x14ac:dyDescent="0.25">
      <c r="A212" t="str">
        <f t="shared" si="149"/>
        <v/>
      </c>
      <c r="B212" s="1">
        <v>43045</v>
      </c>
      <c r="C212" s="9">
        <f t="shared" si="124"/>
        <v>0.24987943012624439</v>
      </c>
      <c r="D212" s="9">
        <f t="shared" si="125"/>
        <v>0.25254381725083341</v>
      </c>
      <c r="E212" s="9">
        <f t="shared" si="126"/>
        <v>0.24919168825600141</v>
      </c>
      <c r="F212" s="9">
        <f t="shared" si="127"/>
        <v>0</v>
      </c>
      <c r="G212" s="9">
        <f t="shared" si="128"/>
        <v>0.24838506436692073</v>
      </c>
      <c r="H212" s="9">
        <f t="shared" si="129"/>
        <v>0</v>
      </c>
      <c r="I212" s="9">
        <f t="shared" si="130"/>
        <v>0</v>
      </c>
      <c r="J212" s="9">
        <f t="shared" si="131"/>
        <v>0</v>
      </c>
      <c r="K212" s="9">
        <v>0</v>
      </c>
      <c r="L212" s="8">
        <f>+VLOOKUP($B212,NIFTY_50!$B$3:$I$1238,8,0)</f>
        <v>-6.6969624491819424E-5</v>
      </c>
      <c r="M212" s="8">
        <f>+VLOOKUP($B212,NIFTY_BANK!$B$3:$I$41238,8,0)</f>
        <v>-3.1012798870985181E-3</v>
      </c>
      <c r="N212" s="8">
        <f>+VLOOKUP($B212,NIFTY_IT!$B$3:$I$1238,8,0)</f>
        <v>8.3817308712479388E-3</v>
      </c>
      <c r="O212" s="8">
        <f>+VLOOKUP($B212,NIFTY_PHARMA!$B$3:$I$1238,8,0)</f>
        <v>-3.1321990057797677E-4</v>
      </c>
      <c r="P212" s="8">
        <f>+VLOOKUP($B212,NIFTY_FMCG!$B$3:$I$1238,8,0)</f>
        <v>1.2175025687752861E-3</v>
      </c>
      <c r="Q212" s="8">
        <f>+VLOOKUP($B212,NIFTY_METAL!$B$3:$I$1238,8,0)</f>
        <v>3.3897014015844551E-3</v>
      </c>
      <c r="R212" s="8">
        <f>+VLOOKUP($B212,NIFTY_ENERGY!$B$3:$I$1238,8,0)</f>
        <v>-7.047832946380006E-3</v>
      </c>
      <c r="S212" s="8">
        <f>+VLOOKUP($B212,NIFTY_AUTO!$B$3:$I$1238,8,0)</f>
        <v>1.3218545738996834E-2</v>
      </c>
      <c r="T212" s="8">
        <v>0</v>
      </c>
      <c r="U212" s="8">
        <f>+VLOOKUP($B212,NIFTY_50!$B$63:$K$1238,10,0)</f>
        <v>3.9214906437051278E-2</v>
      </c>
      <c r="V212" s="8">
        <f>+VLOOKUP($B212,NIFTY_BANK!$B$63:$K$1238,10,0)</f>
        <v>2.6691988187751425E-2</v>
      </c>
      <c r="W212" s="8">
        <f>+VLOOKUP($B212,NIFTY_IT!$B$63:$K$1238,10,0)</f>
        <v>2.351387796381621E-2</v>
      </c>
      <c r="X212" s="8">
        <f>+VLOOKUP($B212,NIFTY_PHARMA!$B$63:$K$1238,10,0)</f>
        <v>7.2060504602315723E-2</v>
      </c>
      <c r="Y212" s="8">
        <f>+VLOOKUP($B212,NIFTY_FMCG!$B$63:$K$1238,10,0)</f>
        <v>8.3312018837460311E-3</v>
      </c>
      <c r="Z212" s="8">
        <f>+VLOOKUP($B212,NIFTY_METAL!$B$63:$K$1238,10,0)</f>
        <v>0.18278684844584769</v>
      </c>
      <c r="AA212" s="8">
        <f>+VLOOKUP($B212,NIFTY_ENERGY!$B$63:$K$1238,10,0)</f>
        <v>8.6327817327368717E-2</v>
      </c>
      <c r="AB212" s="8">
        <f>+VLOOKUP($B212,NIFTY_AUTO!$B$63:$K$1238,10,0)</f>
        <v>2.7274315901728352E-2</v>
      </c>
      <c r="AC212" s="8"/>
      <c r="AD212" s="16">
        <f t="shared" si="132"/>
        <v>4.9553989853826724E-2</v>
      </c>
      <c r="AE212" s="8">
        <f t="shared" si="133"/>
        <v>6.8746116682515263E-2</v>
      </c>
      <c r="AF212" s="8">
        <f t="shared" si="134"/>
        <v>4.6246208337044285E-2</v>
      </c>
      <c r="AG212" s="8">
        <f t="shared" si="135"/>
        <v>0.11752006804383278</v>
      </c>
      <c r="AH212" s="8">
        <f t="shared" si="136"/>
        <v>6.0725013090414552E-2</v>
      </c>
      <c r="AI212" s="8">
        <f t="shared" si="137"/>
        <v>0.10688664555062137</v>
      </c>
      <c r="AJ212" s="8">
        <f t="shared" si="138"/>
        <v>7.8566906787474369E-2</v>
      </c>
      <c r="AK212" s="8">
        <f t="shared" si="139"/>
        <v>7.0001210087326945E-2</v>
      </c>
      <c r="AL212" s="9">
        <v>0</v>
      </c>
      <c r="AM212" s="17">
        <f t="shared" si="116"/>
        <v>20.180009782255237</v>
      </c>
      <c r="AN212" s="13">
        <f t="shared" si="117"/>
        <v>14.546276186307667</v>
      </c>
      <c r="AO212" s="13">
        <f t="shared" si="118"/>
        <v>21.623394348612507</v>
      </c>
      <c r="AP212" s="13">
        <f t="shared" si="119"/>
        <v>8.5091849983189149</v>
      </c>
      <c r="AQ212" s="13">
        <f t="shared" si="120"/>
        <v>16.467678623816553</v>
      </c>
      <c r="AR212" s="13">
        <f t="shared" si="121"/>
        <v>9.3557057090579328</v>
      </c>
      <c r="AS212" s="13">
        <f t="shared" si="122"/>
        <v>12.72800522368823</v>
      </c>
      <c r="AT212" s="13">
        <f t="shared" si="123"/>
        <v>14.285467333386006</v>
      </c>
      <c r="AU212" s="9">
        <v>0</v>
      </c>
      <c r="AV212" s="18">
        <f t="shared" si="140"/>
        <v>2</v>
      </c>
      <c r="AW212" s="18">
        <f t="shared" si="141"/>
        <v>4</v>
      </c>
      <c r="AX212" s="18">
        <f t="shared" si="142"/>
        <v>1</v>
      </c>
      <c r="AY212" s="18">
        <f t="shared" si="143"/>
        <v>8</v>
      </c>
      <c r="AZ212" s="18">
        <f t="shared" si="144"/>
        <v>3</v>
      </c>
      <c r="BA212" s="18">
        <f t="shared" si="145"/>
        <v>7</v>
      </c>
      <c r="BB212" s="18">
        <f t="shared" si="146"/>
        <v>6</v>
      </c>
      <c r="BC212" s="18">
        <f t="shared" si="147"/>
        <v>5</v>
      </c>
      <c r="BD212" s="18">
        <f t="shared" si="148"/>
        <v>9</v>
      </c>
      <c r="BE212" s="8">
        <f t="shared" si="150"/>
        <v>1.5734291026081209E-3</v>
      </c>
    </row>
    <row r="213" spans="1:57" x14ac:dyDescent="0.25">
      <c r="A213" t="str">
        <f t="shared" si="149"/>
        <v/>
      </c>
      <c r="B213" s="1">
        <v>43046</v>
      </c>
      <c r="C213" s="9">
        <f t="shared" si="124"/>
        <v>0.2474899369504486</v>
      </c>
      <c r="D213" s="9">
        <f t="shared" si="125"/>
        <v>0.24991494016481886</v>
      </c>
      <c r="E213" s="9">
        <f t="shared" si="126"/>
        <v>0.25475555537008893</v>
      </c>
      <c r="F213" s="9">
        <f t="shared" si="127"/>
        <v>0</v>
      </c>
      <c r="G213" s="9">
        <f t="shared" si="128"/>
        <v>0.24783956751464367</v>
      </c>
      <c r="H213" s="9">
        <f t="shared" si="129"/>
        <v>0</v>
      </c>
      <c r="I213" s="9">
        <f t="shared" si="130"/>
        <v>0</v>
      </c>
      <c r="J213" s="9">
        <f t="shared" si="131"/>
        <v>0</v>
      </c>
      <c r="K213" s="9">
        <v>0</v>
      </c>
      <c r="L213" s="8">
        <f>+VLOOKUP($B213,NIFTY_50!$B$3:$I$1238,8,0)</f>
        <v>-9.7255975047360055E-3</v>
      </c>
      <c r="M213" s="8">
        <f>+VLOOKUP($B213,NIFTY_BANK!$B$3:$I$41238,8,0)</f>
        <v>-1.0572461543575606E-2</v>
      </c>
      <c r="N213" s="8">
        <f>+VLOOKUP($B213,NIFTY_IT!$B$3:$I$1238,8,0)</f>
        <v>2.2159397615714838E-2</v>
      </c>
      <c r="O213" s="8">
        <f>+VLOOKUP($B213,NIFTY_PHARMA!$B$3:$I$1238,8,0)</f>
        <v>-4.2889196591908374E-2</v>
      </c>
      <c r="P213" s="8">
        <f>+VLOOKUP($B213,NIFTY_FMCG!$B$3:$I$1238,8,0)</f>
        <v>-2.3603995058458782E-3</v>
      </c>
      <c r="Q213" s="8">
        <f>+VLOOKUP($B213,NIFTY_METAL!$B$3:$I$1238,8,0)</f>
        <v>-1.6752071866894314E-2</v>
      </c>
      <c r="R213" s="8">
        <f>+VLOOKUP($B213,NIFTY_ENERGY!$B$3:$I$1238,8,0)</f>
        <v>-1.9479212921847289E-2</v>
      </c>
      <c r="S213" s="8">
        <f>+VLOOKUP($B213,NIFTY_AUTO!$B$3:$I$1238,8,0)</f>
        <v>-1.1467129597320214E-2</v>
      </c>
      <c r="T213" s="8">
        <v>0</v>
      </c>
      <c r="U213" s="8">
        <f>+VLOOKUP($B213,NIFTY_50!$B$63:$K$1238,10,0)</f>
        <v>3.7239879541616894E-2</v>
      </c>
      <c r="V213" s="8">
        <f>+VLOOKUP($B213,NIFTY_BANK!$B$63:$K$1238,10,0)</f>
        <v>2.8508709526616327E-2</v>
      </c>
      <c r="W213" s="8">
        <f>+VLOOKUP($B213,NIFTY_IT!$B$63:$K$1238,10,0)</f>
        <v>5.1620433558929424E-2</v>
      </c>
      <c r="X213" s="8">
        <f>+VLOOKUP($B213,NIFTY_PHARMA!$B$63:$K$1238,10,0)</f>
        <v>3.7684160927475174E-2</v>
      </c>
      <c r="Y213" s="8">
        <f>+VLOOKUP($B213,NIFTY_FMCG!$B$63:$K$1238,10,0)</f>
        <v>1.7975938560146787E-2</v>
      </c>
      <c r="Z213" s="8">
        <f>+VLOOKUP($B213,NIFTY_METAL!$B$63:$K$1238,10,0)</f>
        <v>0.14611232375671057</v>
      </c>
      <c r="AA213" s="8">
        <f>+VLOOKUP($B213,NIFTY_ENERGY!$B$63:$K$1238,10,0)</f>
        <v>8.3542585940524772E-2</v>
      </c>
      <c r="AB213" s="8">
        <f>+VLOOKUP($B213,NIFTY_AUTO!$B$63:$K$1238,10,0)</f>
        <v>1.924391516307189E-2</v>
      </c>
      <c r="AC213" s="8"/>
      <c r="AD213" s="16">
        <f t="shared" si="132"/>
        <v>4.9911082087598119E-2</v>
      </c>
      <c r="AE213" s="8">
        <f t="shared" si="133"/>
        <v>6.844212701419744E-2</v>
      </c>
      <c r="AF213" s="8">
        <f t="shared" si="134"/>
        <v>5.0686399787490712E-2</v>
      </c>
      <c r="AG213" s="8">
        <f t="shared" si="135"/>
        <v>0.12485382852899786</v>
      </c>
      <c r="AH213" s="8">
        <f t="shared" si="136"/>
        <v>5.9573137337039672E-2</v>
      </c>
      <c r="AI213" s="8">
        <f t="shared" si="137"/>
        <v>0.10794470273705797</v>
      </c>
      <c r="AJ213" s="8">
        <f t="shared" si="138"/>
        <v>7.9193405320599833E-2</v>
      </c>
      <c r="AK213" s="8">
        <f t="shared" si="139"/>
        <v>7.0884676856843312E-2</v>
      </c>
      <c r="AL213" s="9">
        <v>0</v>
      </c>
      <c r="AM213" s="17">
        <f t="shared" si="116"/>
        <v>20.035630528805537</v>
      </c>
      <c r="AN213" s="13">
        <f t="shared" si="117"/>
        <v>14.610884313875324</v>
      </c>
      <c r="AO213" s="13">
        <f t="shared" si="118"/>
        <v>19.729158200081862</v>
      </c>
      <c r="AP213" s="13">
        <f t="shared" si="119"/>
        <v>8.0093659263940431</v>
      </c>
      <c r="AQ213" s="13">
        <f t="shared" si="120"/>
        <v>16.786089245936839</v>
      </c>
      <c r="AR213" s="13">
        <f t="shared" si="121"/>
        <v>9.264002536890537</v>
      </c>
      <c r="AS213" s="13">
        <f t="shared" si="122"/>
        <v>12.627314054139802</v>
      </c>
      <c r="AT213" s="13">
        <f t="shared" si="123"/>
        <v>14.107421298111744</v>
      </c>
      <c r="AU213" s="9">
        <v>0</v>
      </c>
      <c r="AV213" s="18">
        <f t="shared" si="140"/>
        <v>1</v>
      </c>
      <c r="AW213" s="18">
        <f t="shared" si="141"/>
        <v>4</v>
      </c>
      <c r="AX213" s="18">
        <f t="shared" si="142"/>
        <v>2</v>
      </c>
      <c r="AY213" s="18">
        <f t="shared" si="143"/>
        <v>8</v>
      </c>
      <c r="AZ213" s="18">
        <f t="shared" si="144"/>
        <v>3</v>
      </c>
      <c r="BA213" s="18">
        <f t="shared" si="145"/>
        <v>7</v>
      </c>
      <c r="BB213" s="18">
        <f t="shared" si="146"/>
        <v>6</v>
      </c>
      <c r="BC213" s="18">
        <f t="shared" si="147"/>
        <v>5</v>
      </c>
      <c r="BD213" s="18">
        <f t="shared" si="148"/>
        <v>9</v>
      </c>
      <c r="BE213" s="8">
        <f t="shared" si="150"/>
        <v>-1.6458683866806326E-4</v>
      </c>
    </row>
    <row r="214" spans="1:57" x14ac:dyDescent="0.25">
      <c r="A214" t="str">
        <f t="shared" si="149"/>
        <v/>
      </c>
      <c r="B214" s="1">
        <v>43047</v>
      </c>
      <c r="C214" s="9">
        <f t="shared" si="124"/>
        <v>0.24655836005633958</v>
      </c>
      <c r="D214" s="9">
        <f t="shared" si="125"/>
        <v>0.24895882247055548</v>
      </c>
      <c r="E214" s="9">
        <f t="shared" si="126"/>
        <v>0.25663853962339322</v>
      </c>
      <c r="F214" s="9">
        <f t="shared" si="127"/>
        <v>0</v>
      </c>
      <c r="G214" s="9">
        <f t="shared" si="128"/>
        <v>0.24784427784971164</v>
      </c>
      <c r="H214" s="9">
        <f t="shared" si="129"/>
        <v>0</v>
      </c>
      <c r="I214" s="9">
        <f t="shared" si="130"/>
        <v>0</v>
      </c>
      <c r="J214" s="9">
        <f t="shared" si="131"/>
        <v>0</v>
      </c>
      <c r="K214" s="9">
        <v>0</v>
      </c>
      <c r="L214" s="8">
        <f>+VLOOKUP($B214,NIFTY_50!$B$3:$I$1238,8,0)</f>
        <v>-4.5409969903817959E-3</v>
      </c>
      <c r="M214" s="8">
        <f>+VLOOKUP($B214,NIFTY_BANK!$B$3:$I$41238,8,0)</f>
        <v>-4.6026212609878714E-3</v>
      </c>
      <c r="N214" s="8">
        <f>+VLOOKUP($B214,NIFTY_IT!$B$3:$I$1238,8,0)</f>
        <v>6.6057410871724898E-3</v>
      </c>
      <c r="O214" s="8">
        <f>+VLOOKUP($B214,NIFTY_PHARMA!$B$3:$I$1238,8,0)</f>
        <v>2.6611050978115891E-3</v>
      </c>
      <c r="P214" s="8">
        <f>+VLOOKUP($B214,NIFTY_FMCG!$B$3:$I$1238,8,0)</f>
        <v>-7.6084150623334512E-4</v>
      </c>
      <c r="Q214" s="8">
        <f>+VLOOKUP($B214,NIFTY_METAL!$B$3:$I$1238,8,0)</f>
        <v>-1.3781832687779105E-2</v>
      </c>
      <c r="R214" s="8">
        <f>+VLOOKUP($B214,NIFTY_ENERGY!$B$3:$I$1238,8,0)</f>
        <v>-1.4155766502382816E-2</v>
      </c>
      <c r="S214" s="8">
        <f>+VLOOKUP($B214,NIFTY_AUTO!$B$3:$I$1238,8,0)</f>
        <v>-6.8524279127231136E-3</v>
      </c>
      <c r="T214" s="8">
        <v>0</v>
      </c>
      <c r="U214" s="8">
        <f>+VLOOKUP($B214,NIFTY_50!$B$63:$K$1238,10,0)</f>
        <v>3.9876665943349154E-2</v>
      </c>
      <c r="V214" s="8">
        <f>+VLOOKUP($B214,NIFTY_BANK!$B$63:$K$1238,10,0)</f>
        <v>3.3221057986592584E-2</v>
      </c>
      <c r="W214" s="8">
        <f>+VLOOKUP($B214,NIFTY_IT!$B$63:$K$1238,10,0)</f>
        <v>5.9579499790362256E-2</v>
      </c>
      <c r="X214" s="8">
        <f>+VLOOKUP($B214,NIFTY_PHARMA!$B$63:$K$1238,10,0)</f>
        <v>8.3125623841437513E-2</v>
      </c>
      <c r="Y214" s="8">
        <f>+VLOOKUP($B214,NIFTY_FMCG!$B$63:$K$1238,10,0)</f>
        <v>2.5437401405420834E-2</v>
      </c>
      <c r="Z214" s="8">
        <f>+VLOOKUP($B214,NIFTY_METAL!$B$63:$K$1238,10,0)</f>
        <v>0.13258852042324287</v>
      </c>
      <c r="AA214" s="8">
        <f>+VLOOKUP($B214,NIFTY_ENERGY!$B$63:$K$1238,10,0)</f>
        <v>7.0905603960167873E-2</v>
      </c>
      <c r="AB214" s="8">
        <f>+VLOOKUP($B214,NIFTY_AUTO!$B$63:$K$1238,10,0)</f>
        <v>3.0062284623798119E-2</v>
      </c>
      <c r="AC214" s="8"/>
      <c r="AD214" s="16">
        <f t="shared" si="132"/>
        <v>4.9584128652590966E-2</v>
      </c>
      <c r="AE214" s="8">
        <f t="shared" si="133"/>
        <v>6.7948909628415752E-2</v>
      </c>
      <c r="AF214" s="8">
        <f t="shared" si="134"/>
        <v>5.0971519686212705E-2</v>
      </c>
      <c r="AG214" s="8">
        <f t="shared" si="135"/>
        <v>0.11811869640739442</v>
      </c>
      <c r="AH214" s="8">
        <f t="shared" si="136"/>
        <v>5.8987232260019937E-2</v>
      </c>
      <c r="AI214" s="8">
        <f t="shared" si="137"/>
        <v>0.10904433361182354</v>
      </c>
      <c r="AJ214" s="8">
        <f t="shared" si="138"/>
        <v>8.0592911062429259E-2</v>
      </c>
      <c r="AK214" s="8">
        <f t="shared" si="139"/>
        <v>6.9019730335916463E-2</v>
      </c>
      <c r="AL214" s="9">
        <v>0</v>
      </c>
      <c r="AM214" s="17">
        <f t="shared" si="116"/>
        <v>20.167743735227383</v>
      </c>
      <c r="AN214" s="13">
        <f t="shared" si="117"/>
        <v>14.71693961637623</v>
      </c>
      <c r="AO214" s="13">
        <f t="shared" si="118"/>
        <v>19.618799010822709</v>
      </c>
      <c r="AP214" s="13">
        <f t="shared" si="119"/>
        <v>8.4660602463049059</v>
      </c>
      <c r="AQ214" s="13">
        <f t="shared" si="120"/>
        <v>16.952821173096044</v>
      </c>
      <c r="AR214" s="13">
        <f t="shared" si="121"/>
        <v>9.1705819722811466</v>
      </c>
      <c r="AS214" s="13">
        <f t="shared" si="122"/>
        <v>12.408039203663648</v>
      </c>
      <c r="AT214" s="13">
        <f t="shared" si="123"/>
        <v>14.488610649926292</v>
      </c>
      <c r="AU214" s="9">
        <v>0</v>
      </c>
      <c r="AV214" s="18">
        <f t="shared" si="140"/>
        <v>1</v>
      </c>
      <c r="AW214" s="18">
        <f t="shared" si="141"/>
        <v>4</v>
      </c>
      <c r="AX214" s="18">
        <f t="shared" si="142"/>
        <v>2</v>
      </c>
      <c r="AY214" s="18">
        <f t="shared" si="143"/>
        <v>8</v>
      </c>
      <c r="AZ214" s="18">
        <f t="shared" si="144"/>
        <v>3</v>
      </c>
      <c r="BA214" s="18">
        <f t="shared" si="145"/>
        <v>7</v>
      </c>
      <c r="BB214" s="18">
        <f t="shared" si="146"/>
        <v>6</v>
      </c>
      <c r="BC214" s="18">
        <f t="shared" si="147"/>
        <v>5</v>
      </c>
      <c r="BD214" s="18">
        <f t="shared" si="148"/>
        <v>9</v>
      </c>
      <c r="BE214" s="8">
        <f t="shared" si="150"/>
        <v>-7.7983226644129453E-4</v>
      </c>
    </row>
    <row r="215" spans="1:57" x14ac:dyDescent="0.25">
      <c r="A215" t="str">
        <f t="shared" si="149"/>
        <v/>
      </c>
      <c r="B215" s="1">
        <v>43048</v>
      </c>
      <c r="C215" s="9">
        <f t="shared" si="124"/>
        <v>0.24642402401589492</v>
      </c>
      <c r="D215" s="9">
        <f t="shared" si="125"/>
        <v>0.24973975904011866</v>
      </c>
      <c r="E215" s="9">
        <f t="shared" si="126"/>
        <v>0.25641252886014587</v>
      </c>
      <c r="F215" s="9">
        <f t="shared" si="127"/>
        <v>0</v>
      </c>
      <c r="G215" s="9">
        <f t="shared" si="128"/>
        <v>0.24742368808384047</v>
      </c>
      <c r="H215" s="9">
        <f t="shared" si="129"/>
        <v>0</v>
      </c>
      <c r="I215" s="9">
        <f t="shared" si="130"/>
        <v>0</v>
      </c>
      <c r="J215" s="9">
        <f t="shared" si="131"/>
        <v>0</v>
      </c>
      <c r="K215" s="9">
        <v>0</v>
      </c>
      <c r="L215" s="8">
        <f>+VLOOKUP($B215,NIFTY_50!$B$3:$I$1238,8,0)</f>
        <v>5.6293463649481623E-4</v>
      </c>
      <c r="M215" s="8">
        <f>+VLOOKUP($B215,NIFTY_BANK!$B$3:$I$41238,8,0)</f>
        <v>4.2486703051696217E-3</v>
      </c>
      <c r="N215" s="8">
        <f>+VLOOKUP($B215,NIFTY_IT!$B$3:$I$1238,8,0)</f>
        <v>2.2674930419097628E-4</v>
      </c>
      <c r="O215" s="8">
        <f>+VLOOKUP($B215,NIFTY_PHARMA!$B$3:$I$1238,8,0)</f>
        <v>-6.224361371044651E-3</v>
      </c>
      <c r="P215" s="8">
        <f>+VLOOKUP($B215,NIFTY_FMCG!$B$3:$I$1238,8,0)</f>
        <v>-5.9048962078511735E-4</v>
      </c>
      <c r="Q215" s="8">
        <f>+VLOOKUP($B215,NIFTY_METAL!$B$3:$I$1238,8,0)</f>
        <v>4.6320459290187799E-3</v>
      </c>
      <c r="R215" s="8">
        <f>+VLOOKUP($B215,NIFTY_ENERGY!$B$3:$I$1238,8,0)</f>
        <v>5.6488659201838765E-3</v>
      </c>
      <c r="S215" s="8">
        <f>+VLOOKUP($B215,NIFTY_AUTO!$B$3:$I$1238,8,0)</f>
        <v>-1.0307354652970835E-3</v>
      </c>
      <c r="T215" s="8">
        <v>0</v>
      </c>
      <c r="U215" s="8">
        <f>+VLOOKUP($B215,NIFTY_50!$B$63:$K$1238,10,0)</f>
        <v>4.9764517196609015E-2</v>
      </c>
      <c r="V215" s="8">
        <f>+VLOOKUP($B215,NIFTY_BANK!$B$63:$K$1238,10,0)</f>
        <v>4.4348370073521659E-2</v>
      </c>
      <c r="W215" s="8">
        <f>+VLOOKUP($B215,NIFTY_IT!$B$63:$K$1238,10,0)</f>
        <v>5.4969120315877973E-2</v>
      </c>
      <c r="X215" s="8">
        <f>+VLOOKUP($B215,NIFTY_PHARMA!$B$63:$K$1238,10,0)</f>
        <v>0.10837875299534838</v>
      </c>
      <c r="Y215" s="8">
        <f>+VLOOKUP($B215,NIFTY_FMCG!$B$63:$K$1238,10,0)</f>
        <v>3.0313285340969554E-2</v>
      </c>
      <c r="Z215" s="8">
        <f>+VLOOKUP($B215,NIFTY_METAL!$B$63:$K$1238,10,0)</f>
        <v>0.15654995268352034</v>
      </c>
      <c r="AA215" s="8">
        <f>+VLOOKUP($B215,NIFTY_ENERGY!$B$63:$K$1238,10,0)</f>
        <v>9.4162804228052455E-2</v>
      </c>
      <c r="AB215" s="8">
        <f>+VLOOKUP($B215,NIFTY_AUTO!$B$63:$K$1238,10,0)</f>
        <v>5.9963230094753239E-2</v>
      </c>
      <c r="AC215" s="8"/>
      <c r="AD215" s="16">
        <f t="shared" si="132"/>
        <v>4.8646213095335476E-2</v>
      </c>
      <c r="AE215" s="8">
        <f t="shared" si="133"/>
        <v>6.7670775085218557E-2</v>
      </c>
      <c r="AF215" s="8">
        <f t="shared" si="134"/>
        <v>5.0844639577730395E-2</v>
      </c>
      <c r="AG215" s="8">
        <f t="shared" si="135"/>
        <v>0.11438793949882033</v>
      </c>
      <c r="AH215" s="8">
        <f t="shared" si="136"/>
        <v>5.871121549284361E-2</v>
      </c>
      <c r="AI215" s="8">
        <f t="shared" si="137"/>
        <v>0.1074897706304247</v>
      </c>
      <c r="AJ215" s="8">
        <f t="shared" si="138"/>
        <v>7.8879587749449309E-2</v>
      </c>
      <c r="AK215" s="8">
        <f t="shared" si="139"/>
        <v>6.2200494282062195E-2</v>
      </c>
      <c r="AL215" s="9">
        <v>0</v>
      </c>
      <c r="AM215" s="17">
        <f t="shared" si="116"/>
        <v>20.556584703525189</v>
      </c>
      <c r="AN215" s="13">
        <f t="shared" si="117"/>
        <v>14.777427903562341</v>
      </c>
      <c r="AO215" s="13">
        <f t="shared" si="118"/>
        <v>19.667756685957375</v>
      </c>
      <c r="AP215" s="13">
        <f t="shared" si="119"/>
        <v>8.742180376544967</v>
      </c>
      <c r="AQ215" s="13">
        <f t="shared" si="120"/>
        <v>17.03252081575268</v>
      </c>
      <c r="AR215" s="13">
        <f t="shared" si="121"/>
        <v>9.3032108463440384</v>
      </c>
      <c r="AS215" s="13">
        <f t="shared" si="122"/>
        <v>12.677551043704351</v>
      </c>
      <c r="AT215" s="13">
        <f t="shared" si="123"/>
        <v>16.077042659263672</v>
      </c>
      <c r="AU215" s="9">
        <v>0</v>
      </c>
      <c r="AV215" s="18">
        <f t="shared" si="140"/>
        <v>1</v>
      </c>
      <c r="AW215" s="18">
        <f t="shared" si="141"/>
        <v>5</v>
      </c>
      <c r="AX215" s="18">
        <f t="shared" si="142"/>
        <v>2</v>
      </c>
      <c r="AY215" s="18">
        <f t="shared" si="143"/>
        <v>8</v>
      </c>
      <c r="AZ215" s="18">
        <f t="shared" si="144"/>
        <v>3</v>
      </c>
      <c r="BA215" s="18">
        <f t="shared" si="145"/>
        <v>7</v>
      </c>
      <c r="BB215" s="18">
        <f t="shared" si="146"/>
        <v>6</v>
      </c>
      <c r="BC215" s="18">
        <f t="shared" si="147"/>
        <v>4</v>
      </c>
      <c r="BD215" s="18">
        <f t="shared" si="148"/>
        <v>9</v>
      </c>
      <c r="BE215" s="8">
        <f t="shared" si="150"/>
        <v>1.1083833336806735E-3</v>
      </c>
    </row>
    <row r="216" spans="1:57" x14ac:dyDescent="0.25">
      <c r="A216" t="str">
        <f t="shared" si="149"/>
        <v/>
      </c>
      <c r="B216" s="1">
        <v>43049</v>
      </c>
      <c r="C216" s="9">
        <f t="shared" si="124"/>
        <v>0.24583633471250782</v>
      </c>
      <c r="D216" s="9">
        <f t="shared" si="125"/>
        <v>0.25087772243099632</v>
      </c>
      <c r="E216" s="9">
        <f t="shared" si="126"/>
        <v>0.25489553795073733</v>
      </c>
      <c r="F216" s="9">
        <f t="shared" si="127"/>
        <v>0</v>
      </c>
      <c r="G216" s="9">
        <f t="shared" si="128"/>
        <v>0.24839040490575848</v>
      </c>
      <c r="H216" s="9">
        <f t="shared" si="129"/>
        <v>0</v>
      </c>
      <c r="I216" s="9">
        <f t="shared" si="130"/>
        <v>0</v>
      </c>
      <c r="J216" s="9">
        <f t="shared" si="131"/>
        <v>0</v>
      </c>
      <c r="K216" s="9">
        <v>0</v>
      </c>
      <c r="L216" s="8">
        <f>+VLOOKUP($B216,NIFTY_50!$B$3:$I$1238,8,0)</f>
        <v>1.2416395462195862E-3</v>
      </c>
      <c r="M216" s="8">
        <f>+VLOOKUP($B216,NIFTY_BANK!$B$3:$I$41238,8,0)</f>
        <v>8.2083400055750211E-3</v>
      </c>
      <c r="N216" s="8">
        <f>+VLOOKUP($B216,NIFTY_IT!$B$3:$I$1238,8,0)</f>
        <v>-2.3025394609925698E-3</v>
      </c>
      <c r="O216" s="8">
        <f>+VLOOKUP($B216,NIFTY_PHARMA!$B$3:$I$1238,8,0)</f>
        <v>-1.3178462989555828E-2</v>
      </c>
      <c r="P216" s="8">
        <f>+VLOOKUP($B216,NIFTY_FMCG!$B$3:$I$1238,8,0)</f>
        <v>7.5565135086284041E-3</v>
      </c>
      <c r="Q216" s="8">
        <f>+VLOOKUP($B216,NIFTY_METAL!$B$3:$I$1238,8,0)</f>
        <v>4.1431261770243921E-3</v>
      </c>
      <c r="R216" s="8">
        <f>+VLOOKUP($B216,NIFTY_ENERGY!$B$3:$I$1238,8,0)</f>
        <v>-1.0552649046799978E-2</v>
      </c>
      <c r="S216" s="8">
        <f>+VLOOKUP($B216,NIFTY_AUTO!$B$3:$I$1238,8,0)</f>
        <v>-5.0700466977985359E-3</v>
      </c>
      <c r="T216" s="8">
        <v>0</v>
      </c>
      <c r="U216" s="8">
        <f>+VLOOKUP($B216,NIFTY_50!$B$63:$K$1238,10,0)</f>
        <v>6.2914486962969196E-2</v>
      </c>
      <c r="V216" s="8">
        <f>+VLOOKUP($B216,NIFTY_BANK!$B$63:$K$1238,10,0)</f>
        <v>6.3087458178293421E-2</v>
      </c>
      <c r="W216" s="8">
        <f>+VLOOKUP($B216,NIFTY_IT!$B$63:$K$1238,10,0)</f>
        <v>5.4052530982760416E-2</v>
      </c>
      <c r="X216" s="8">
        <f>+VLOOKUP($B216,NIFTY_PHARMA!$B$63:$K$1238,10,0)</f>
        <v>9.2725917841656402E-2</v>
      </c>
      <c r="Y216" s="8">
        <f>+VLOOKUP($B216,NIFTY_FMCG!$B$63:$K$1238,10,0)</f>
        <v>4.6764166049134692E-2</v>
      </c>
      <c r="Z216" s="8">
        <f>+VLOOKUP($B216,NIFTY_METAL!$B$63:$K$1238,10,0)</f>
        <v>0.20179692843374997</v>
      </c>
      <c r="AA216" s="8">
        <f>+VLOOKUP($B216,NIFTY_ENERGY!$B$63:$K$1238,10,0)</f>
        <v>9.5089698319785754E-2</v>
      </c>
      <c r="AB216" s="8">
        <f>+VLOOKUP($B216,NIFTY_AUTO!$B$63:$K$1238,10,0)</f>
        <v>6.9589538858741085E-2</v>
      </c>
      <c r="AC216" s="8"/>
      <c r="AD216" s="16">
        <f t="shared" si="132"/>
        <v>4.7128002256533033E-2</v>
      </c>
      <c r="AE216" s="8">
        <f t="shared" si="133"/>
        <v>6.7256622724541276E-2</v>
      </c>
      <c r="AF216" s="8">
        <f t="shared" si="134"/>
        <v>5.089172025290966E-2</v>
      </c>
      <c r="AG216" s="8">
        <f t="shared" si="135"/>
        <v>0.11534660768924904</v>
      </c>
      <c r="AH216" s="8">
        <f t="shared" si="136"/>
        <v>5.843859327341986E-2</v>
      </c>
      <c r="AI216" s="8">
        <f t="shared" si="137"/>
        <v>0.10112850199377171</v>
      </c>
      <c r="AJ216" s="8">
        <f t="shared" si="138"/>
        <v>7.8746702802135679E-2</v>
      </c>
      <c r="AK216" s="8">
        <f t="shared" si="139"/>
        <v>6.0654233866561963E-2</v>
      </c>
      <c r="AL216" s="9">
        <v>0</v>
      </c>
      <c r="AM216" s="17">
        <f t="shared" si="116"/>
        <v>21.218807335746483</v>
      </c>
      <c r="AN216" s="13">
        <f t="shared" si="117"/>
        <v>14.868424245678186</v>
      </c>
      <c r="AO216" s="13">
        <f t="shared" si="118"/>
        <v>19.649561756420024</v>
      </c>
      <c r="AP216" s="13">
        <f t="shared" si="119"/>
        <v>8.6695224075775368</v>
      </c>
      <c r="AQ216" s="13">
        <f t="shared" si="120"/>
        <v>17.111979327107431</v>
      </c>
      <c r="AR216" s="13">
        <f t="shared" si="121"/>
        <v>9.8884091060855219</v>
      </c>
      <c r="AS216" s="13">
        <f t="shared" si="122"/>
        <v>12.698944392791505</v>
      </c>
      <c r="AT216" s="13">
        <f t="shared" si="123"/>
        <v>16.486895246257316</v>
      </c>
      <c r="AU216" s="9">
        <v>0</v>
      </c>
      <c r="AV216" s="18">
        <f t="shared" si="140"/>
        <v>1</v>
      </c>
      <c r="AW216" s="18">
        <f t="shared" si="141"/>
        <v>5</v>
      </c>
      <c r="AX216" s="18">
        <f t="shared" si="142"/>
        <v>2</v>
      </c>
      <c r="AY216" s="18">
        <f t="shared" si="143"/>
        <v>8</v>
      </c>
      <c r="AZ216" s="18">
        <f t="shared" si="144"/>
        <v>3</v>
      </c>
      <c r="BA216" s="18">
        <f t="shared" si="145"/>
        <v>7</v>
      </c>
      <c r="BB216" s="18">
        <f t="shared" si="146"/>
        <v>6</v>
      </c>
      <c r="BC216" s="18">
        <f t="shared" si="147"/>
        <v>4</v>
      </c>
      <c r="BD216" s="18">
        <f t="shared" si="148"/>
        <v>9</v>
      </c>
      <c r="BE216" s="8">
        <f t="shared" si="150"/>
        <v>3.6351791438351917E-3</v>
      </c>
    </row>
    <row r="217" spans="1:57" x14ac:dyDescent="0.25">
      <c r="A217" t="str">
        <f t="shared" si="149"/>
        <v/>
      </c>
      <c r="B217" s="1">
        <v>43052</v>
      </c>
      <c r="C217" s="9">
        <f t="shared" si="124"/>
        <v>0.24495989779534816</v>
      </c>
      <c r="D217" s="9">
        <f t="shared" si="125"/>
        <v>0.25095797382773166</v>
      </c>
      <c r="E217" s="9">
        <f t="shared" si="126"/>
        <v>0.25670315585201386</v>
      </c>
      <c r="F217" s="9">
        <f t="shared" si="127"/>
        <v>0</v>
      </c>
      <c r="G217" s="9">
        <f t="shared" si="128"/>
        <v>0.24737897252490626</v>
      </c>
      <c r="H217" s="9">
        <f t="shared" si="129"/>
        <v>0</v>
      </c>
      <c r="I217" s="9">
        <f t="shared" si="130"/>
        <v>0</v>
      </c>
      <c r="J217" s="9">
        <f t="shared" si="131"/>
        <v>0</v>
      </c>
      <c r="K217" s="9">
        <v>0</v>
      </c>
      <c r="L217" s="8">
        <f>+VLOOKUP($B217,NIFTY_50!$B$3:$I$1238,8,0)</f>
        <v>-9.3782546564292746E-3</v>
      </c>
      <c r="M217" s="8">
        <f>+VLOOKUP($B217,NIFTY_BANK!$B$3:$I$41238,8,0)</f>
        <v>-5.515913400355732E-3</v>
      </c>
      <c r="N217" s="8">
        <f>+VLOOKUP($B217,NIFTY_IT!$B$3:$I$1238,8,0)</f>
        <v>1.2163011080370545E-3</v>
      </c>
      <c r="O217" s="8">
        <f>+VLOOKUP($B217,NIFTY_PHARMA!$B$3:$I$1238,8,0)</f>
        <v>-7.8021800998764324E-3</v>
      </c>
      <c r="P217" s="8">
        <f>+VLOOKUP($B217,NIFTY_FMCG!$B$3:$I$1238,8,0)</f>
        <v>-9.8821205568553339E-3</v>
      </c>
      <c r="Q217" s="8">
        <f>+VLOOKUP($B217,NIFTY_METAL!$B$3:$I$1238,8,0)</f>
        <v>-1.8935768424864774E-2</v>
      </c>
      <c r="R217" s="8">
        <f>+VLOOKUP($B217,NIFTY_ENERGY!$B$3:$I$1238,8,0)</f>
        <v>-9.0710063226536741E-3</v>
      </c>
      <c r="S217" s="8">
        <f>+VLOOKUP($B217,NIFTY_AUTO!$B$3:$I$1238,8,0)</f>
        <v>-4.5997049751911323E-3</v>
      </c>
      <c r="T217" s="8">
        <v>0</v>
      </c>
      <c r="U217" s="8">
        <f>+VLOOKUP($B217,NIFTY_50!$B$63:$K$1238,10,0)</f>
        <v>4.3985440288335509E-2</v>
      </c>
      <c r="V217" s="8">
        <f>+VLOOKUP($B217,NIFTY_BANK!$B$63:$K$1238,10,0)</f>
        <v>5.1524418689030904E-2</v>
      </c>
      <c r="W217" s="8">
        <f>+VLOOKUP($B217,NIFTY_IT!$B$63:$K$1238,10,0)</f>
        <v>6.129041398656887E-2</v>
      </c>
      <c r="X217" s="8">
        <f>+VLOOKUP($B217,NIFTY_PHARMA!$B$63:$K$1238,10,0)</f>
        <v>5.4892042794669971E-2</v>
      </c>
      <c r="Y217" s="8">
        <f>+VLOOKUP($B217,NIFTY_FMCG!$B$63:$K$1238,10,0)</f>
        <v>3.035120682179504E-2</v>
      </c>
      <c r="Z217" s="8">
        <f>+VLOOKUP($B217,NIFTY_METAL!$B$63:$K$1238,10,0)</f>
        <v>0.14005290687188121</v>
      </c>
      <c r="AA217" s="8">
        <f>+VLOOKUP($B217,NIFTY_ENERGY!$B$63:$K$1238,10,0)</f>
        <v>6.8241112636134416E-2</v>
      </c>
      <c r="AB217" s="8">
        <f>+VLOOKUP($B217,NIFTY_AUTO!$B$63:$K$1238,10,0)</f>
        <v>5.0367211784738908E-2</v>
      </c>
      <c r="AC217" s="8"/>
      <c r="AD217" s="16">
        <f t="shared" si="132"/>
        <v>4.7609286475974739E-2</v>
      </c>
      <c r="AE217" s="8">
        <f t="shared" si="133"/>
        <v>6.7418812990333921E-2</v>
      </c>
      <c r="AF217" s="8">
        <f t="shared" si="134"/>
        <v>5.046889066724778E-2</v>
      </c>
      <c r="AG217" s="8">
        <f t="shared" si="135"/>
        <v>0.11262477449108824</v>
      </c>
      <c r="AH217" s="8">
        <f t="shared" si="136"/>
        <v>5.9147944775719247E-2</v>
      </c>
      <c r="AI217" s="8">
        <f t="shared" si="137"/>
        <v>9.8485472407666308E-2</v>
      </c>
      <c r="AJ217" s="8">
        <f t="shared" si="138"/>
        <v>7.809728287054582E-2</v>
      </c>
      <c r="AK217" s="8">
        <f t="shared" si="139"/>
        <v>5.9586393504343728E-2</v>
      </c>
      <c r="AL217" s="9">
        <v>0</v>
      </c>
      <c r="AM217" s="17">
        <f t="shared" si="116"/>
        <v>21.004305546663335</v>
      </c>
      <c r="AN217" s="13">
        <f t="shared" si="117"/>
        <v>14.832655095001058</v>
      </c>
      <c r="AO217" s="13">
        <f t="shared" si="118"/>
        <v>19.814186259674589</v>
      </c>
      <c r="AP217" s="13">
        <f t="shared" si="119"/>
        <v>8.8790410859302362</v>
      </c>
      <c r="AQ217" s="13">
        <f t="shared" si="120"/>
        <v>16.906758194081984</v>
      </c>
      <c r="AR217" s="13">
        <f t="shared" si="121"/>
        <v>10.153781827441973</v>
      </c>
      <c r="AS217" s="13">
        <f t="shared" si="122"/>
        <v>12.804542786176077</v>
      </c>
      <c r="AT217" s="13">
        <f t="shared" si="123"/>
        <v>16.782354849636974</v>
      </c>
      <c r="AU217" s="9">
        <v>0</v>
      </c>
      <c r="AV217" s="18">
        <f t="shared" si="140"/>
        <v>1</v>
      </c>
      <c r="AW217" s="18">
        <f t="shared" si="141"/>
        <v>5</v>
      </c>
      <c r="AX217" s="18">
        <f t="shared" si="142"/>
        <v>2</v>
      </c>
      <c r="AY217" s="18">
        <f t="shared" si="143"/>
        <v>8</v>
      </c>
      <c r="AZ217" s="18">
        <f t="shared" si="144"/>
        <v>3</v>
      </c>
      <c r="BA217" s="18">
        <f t="shared" si="145"/>
        <v>7</v>
      </c>
      <c r="BB217" s="18">
        <f t="shared" si="146"/>
        <v>6</v>
      </c>
      <c r="BC217" s="18">
        <f t="shared" si="147"/>
        <v>4</v>
      </c>
      <c r="BD217" s="18">
        <f t="shared" si="148"/>
        <v>9</v>
      </c>
      <c r="BE217" s="8">
        <f t="shared" si="150"/>
        <v>-5.8339297429465739E-3</v>
      </c>
    </row>
    <row r="218" spans="1:57" x14ac:dyDescent="0.25">
      <c r="A218" t="str">
        <f t="shared" si="149"/>
        <v/>
      </c>
      <c r="B218" s="1">
        <v>43053</v>
      </c>
      <c r="C218" s="9">
        <f t="shared" si="124"/>
        <v>0.24502305999950688</v>
      </c>
      <c r="D218" s="9">
        <f t="shared" si="125"/>
        <v>0.25123541476736694</v>
      </c>
      <c r="E218" s="9">
        <f t="shared" si="126"/>
        <v>0.25618884988091145</v>
      </c>
      <c r="F218" s="9">
        <f t="shared" si="127"/>
        <v>0</v>
      </c>
      <c r="G218" s="9">
        <f t="shared" si="128"/>
        <v>0.24755267535221467</v>
      </c>
      <c r="H218" s="9">
        <f t="shared" si="129"/>
        <v>0</v>
      </c>
      <c r="I218" s="9">
        <f t="shared" si="130"/>
        <v>0</v>
      </c>
      <c r="J218" s="9">
        <f t="shared" si="131"/>
        <v>0</v>
      </c>
      <c r="K218" s="9">
        <v>0</v>
      </c>
      <c r="L218" s="8">
        <f>+VLOOKUP($B218,NIFTY_50!$B$3:$I$1238,8,0)</f>
        <v>-3.750629587430776E-3</v>
      </c>
      <c r="M218" s="8">
        <f>+VLOOKUP($B218,NIFTY_BANK!$B$3:$I$41238,8,0)</f>
        <v>-2.906346245607927E-3</v>
      </c>
      <c r="N218" s="8">
        <f>+VLOOKUP($B218,NIFTY_IT!$B$3:$I$1238,8,0)</f>
        <v>-6.0029191363628609E-3</v>
      </c>
      <c r="O218" s="8">
        <f>+VLOOKUP($B218,NIFTY_PHARMA!$B$3:$I$1238,8,0)</f>
        <v>-3.2904528160971891E-3</v>
      </c>
      <c r="P218" s="8">
        <f>+VLOOKUP($B218,NIFTY_FMCG!$B$3:$I$1238,8,0)</f>
        <v>-3.3080843503062729E-3</v>
      </c>
      <c r="Q218" s="8">
        <f>+VLOOKUP($B218,NIFTY_METAL!$B$3:$I$1238,8,0)</f>
        <v>-5.2076466710613278E-3</v>
      </c>
      <c r="R218" s="8">
        <f>+VLOOKUP($B218,NIFTY_ENERGY!$B$3:$I$1238,8,0)</f>
        <v>3.6397784102915054E-5</v>
      </c>
      <c r="S218" s="8">
        <f>+VLOOKUP($B218,NIFTY_AUTO!$B$3:$I$1238,8,0)</f>
        <v>2.0343001872635824E-3</v>
      </c>
      <c r="T218" s="8">
        <v>0</v>
      </c>
      <c r="U218" s="8">
        <f>+VLOOKUP($B218,NIFTY_50!$B$63:$K$1238,10,0)</f>
        <v>2.9230194093338602E-2</v>
      </c>
      <c r="V218" s="8">
        <f>+VLOOKUP($B218,NIFTY_BANK!$B$63:$K$1238,10,0)</f>
        <v>3.4655470850366354E-2</v>
      </c>
      <c r="W218" s="8">
        <f>+VLOOKUP($B218,NIFTY_IT!$B$63:$K$1238,10,0)</f>
        <v>4.7754627240916614E-2</v>
      </c>
      <c r="X218" s="8">
        <f>+VLOOKUP($B218,NIFTY_PHARMA!$B$63:$K$1238,10,0)</f>
        <v>3.9398830620583913E-2</v>
      </c>
      <c r="Y218" s="8">
        <f>+VLOOKUP($B218,NIFTY_FMCG!$B$63:$K$1238,10,0)</f>
        <v>1.750552187602894E-3</v>
      </c>
      <c r="Z218" s="8">
        <f>+VLOOKUP($B218,NIFTY_METAL!$B$63:$K$1238,10,0)</f>
        <v>0.11489531464708413</v>
      </c>
      <c r="AA218" s="8">
        <f>+VLOOKUP($B218,NIFTY_ENERGY!$B$63:$K$1238,10,0)</f>
        <v>7.0640314234054369E-2</v>
      </c>
      <c r="AB218" s="8">
        <f>+VLOOKUP($B218,NIFTY_AUTO!$B$63:$K$1238,10,0)</f>
        <v>3.5064362750782951E-2</v>
      </c>
      <c r="AC218" s="8"/>
      <c r="AD218" s="16">
        <f t="shared" si="132"/>
        <v>4.6766915541945855E-2</v>
      </c>
      <c r="AE218" s="8">
        <f t="shared" si="133"/>
        <v>6.6326301106345076E-2</v>
      </c>
      <c r="AF218" s="8">
        <f t="shared" si="134"/>
        <v>5.0589230928278772E-2</v>
      </c>
      <c r="AG218" s="8">
        <f t="shared" si="135"/>
        <v>0.11219133283812416</v>
      </c>
      <c r="AH218" s="8">
        <f t="shared" si="136"/>
        <v>5.378893174726225E-2</v>
      </c>
      <c r="AI218" s="8">
        <f t="shared" si="137"/>
        <v>9.7576541653969395E-2</v>
      </c>
      <c r="AJ218" s="8">
        <f t="shared" si="138"/>
        <v>7.8033119012688917E-2</v>
      </c>
      <c r="AK218" s="8">
        <f t="shared" si="139"/>
        <v>5.7375384328961866E-2</v>
      </c>
      <c r="AL218" s="9">
        <v>0</v>
      </c>
      <c r="AM218" s="17">
        <f t="shared" si="116"/>
        <v>21.382637456667137</v>
      </c>
      <c r="AN218" s="13">
        <f t="shared" si="117"/>
        <v>15.07697524691808</v>
      </c>
      <c r="AO218" s="13">
        <f t="shared" si="118"/>
        <v>19.767052822323336</v>
      </c>
      <c r="AP218" s="13">
        <f t="shared" si="119"/>
        <v>8.9133445044534341</v>
      </c>
      <c r="AQ218" s="13">
        <f t="shared" si="120"/>
        <v>18.591185352010601</v>
      </c>
      <c r="AR218" s="13">
        <f t="shared" si="121"/>
        <v>10.248364853370679</v>
      </c>
      <c r="AS218" s="13">
        <f t="shared" si="122"/>
        <v>12.815071506207392</v>
      </c>
      <c r="AT218" s="13">
        <f t="shared" si="123"/>
        <v>17.429077150342003</v>
      </c>
      <c r="AU218" s="9">
        <v>0</v>
      </c>
      <c r="AV218" s="18">
        <f t="shared" si="140"/>
        <v>1</v>
      </c>
      <c r="AW218" s="18">
        <f t="shared" si="141"/>
        <v>5</v>
      </c>
      <c r="AX218" s="18">
        <f t="shared" si="142"/>
        <v>2</v>
      </c>
      <c r="AY218" s="18">
        <f t="shared" si="143"/>
        <v>8</v>
      </c>
      <c r="AZ218" s="18">
        <f t="shared" si="144"/>
        <v>3</v>
      </c>
      <c r="BA218" s="18">
        <f t="shared" si="145"/>
        <v>7</v>
      </c>
      <c r="BB218" s="18">
        <f t="shared" si="146"/>
        <v>6</v>
      </c>
      <c r="BC218" s="18">
        <f t="shared" si="147"/>
        <v>4</v>
      </c>
      <c r="BD218" s="18">
        <f t="shared" si="148"/>
        <v>9</v>
      </c>
      <c r="BE218" s="8">
        <f t="shared" si="150"/>
        <v>-4.007443399678132E-3</v>
      </c>
    </row>
    <row r="219" spans="1:57" x14ac:dyDescent="0.25">
      <c r="A219" t="str">
        <f t="shared" si="149"/>
        <v/>
      </c>
      <c r="B219" s="1">
        <v>43054</v>
      </c>
      <c r="C219" s="9">
        <f t="shared" si="124"/>
        <v>0.2449202212898359</v>
      </c>
      <c r="D219" s="9">
        <f t="shared" si="125"/>
        <v>0.25217441743949587</v>
      </c>
      <c r="E219" s="9">
        <f t="shared" si="126"/>
        <v>0.25675789260218407</v>
      </c>
      <c r="F219" s="9">
        <f t="shared" si="127"/>
        <v>0</v>
      </c>
      <c r="G219" s="9">
        <f t="shared" si="128"/>
        <v>0.24614746866848408</v>
      </c>
      <c r="H219" s="9">
        <f t="shared" si="129"/>
        <v>0</v>
      </c>
      <c r="I219" s="9">
        <f t="shared" si="130"/>
        <v>0</v>
      </c>
      <c r="J219" s="9">
        <f t="shared" si="131"/>
        <v>0</v>
      </c>
      <c r="K219" s="9">
        <v>0</v>
      </c>
      <c r="L219" s="8">
        <f>+VLOOKUP($B219,NIFTY_50!$B$3:$I$1238,8,0)</f>
        <v>-6.7294288575188155E-3</v>
      </c>
      <c r="M219" s="8">
        <f>+VLOOKUP($B219,NIFTY_BANK!$B$3:$I$41238,8,0)</f>
        <v>-2.5984195913717478E-3</v>
      </c>
      <c r="N219" s="8">
        <f>+VLOOKUP($B219,NIFTY_IT!$B$3:$I$1238,8,0)</f>
        <v>-4.1052042529379218E-3</v>
      </c>
      <c r="O219" s="8">
        <f>+VLOOKUP($B219,NIFTY_PHARMA!$B$3:$I$1238,8,0)</f>
        <v>-1.9900200359452502E-2</v>
      </c>
      <c r="P219" s="8">
        <f>+VLOOKUP($B219,NIFTY_FMCG!$B$3:$I$1238,8,0)</f>
        <v>-1.1952931058073824E-2</v>
      </c>
      <c r="Q219" s="8">
        <f>+VLOOKUP($B219,NIFTY_METAL!$B$3:$I$1238,8,0)</f>
        <v>-2.9633556424358942E-2</v>
      </c>
      <c r="R219" s="8">
        <f>+VLOOKUP($B219,NIFTY_ENERGY!$B$3:$I$1238,8,0)</f>
        <v>-4.4840437922198939E-3</v>
      </c>
      <c r="S219" s="8">
        <f>+VLOOKUP($B219,NIFTY_AUTO!$B$3:$I$1238,8,0)</f>
        <v>-4.7594718868483321E-3</v>
      </c>
      <c r="T219" s="8">
        <v>0</v>
      </c>
      <c r="U219" s="8">
        <f>+VLOOKUP($B219,NIFTY_50!$B$63:$K$1238,10,0)</f>
        <v>2.1597007315115269E-2</v>
      </c>
      <c r="V219" s="8">
        <f>+VLOOKUP($B219,NIFTY_BANK!$B$63:$K$1238,10,0)</f>
        <v>4.050170708310552E-2</v>
      </c>
      <c r="W219" s="8">
        <f>+VLOOKUP($B219,NIFTY_IT!$B$63:$K$1238,10,0)</f>
        <v>3.0107984959899303E-2</v>
      </c>
      <c r="X219" s="8">
        <f>+VLOOKUP($B219,NIFTY_PHARMA!$B$63:$K$1238,10,0)</f>
        <v>2.5928999329324576E-2</v>
      </c>
      <c r="Y219" s="8">
        <f>+VLOOKUP($B219,NIFTY_FMCG!$B$63:$K$1238,10,0)</f>
        <v>-9.3135016375064383E-3</v>
      </c>
      <c r="Z219" s="8">
        <f>+VLOOKUP($B219,NIFTY_METAL!$B$63:$K$1238,10,0)</f>
        <v>7.3860053092412947E-2</v>
      </c>
      <c r="AA219" s="8">
        <f>+VLOOKUP($B219,NIFTY_ENERGY!$B$63:$K$1238,10,0)</f>
        <v>6.0779994415314453E-2</v>
      </c>
      <c r="AB219" s="8">
        <f>+VLOOKUP($B219,NIFTY_AUTO!$B$63:$K$1238,10,0)</f>
        <v>3.8238745540994934E-2</v>
      </c>
      <c r="AC219" s="8"/>
      <c r="AD219" s="16">
        <f t="shared" si="132"/>
        <v>4.7310954654243599E-2</v>
      </c>
      <c r="AE219" s="8">
        <f t="shared" si="133"/>
        <v>6.5813908852354372E-2</v>
      </c>
      <c r="AF219" s="8">
        <f t="shared" si="134"/>
        <v>4.9298376318895103E-2</v>
      </c>
      <c r="AG219" s="8">
        <f t="shared" si="135"/>
        <v>0.11379679311087228</v>
      </c>
      <c r="AH219" s="8">
        <f t="shared" si="136"/>
        <v>5.5085734374730772E-2</v>
      </c>
      <c r="AI219" s="8">
        <f t="shared" si="137"/>
        <v>0.10227155008688822</v>
      </c>
      <c r="AJ219" s="8">
        <f t="shared" si="138"/>
        <v>7.8145789169458205E-2</v>
      </c>
      <c r="AK219" s="8">
        <f t="shared" si="139"/>
        <v>5.7008375798978259E-2</v>
      </c>
      <c r="AL219" s="9">
        <v>0</v>
      </c>
      <c r="AM219" s="17">
        <f t="shared" si="116"/>
        <v>21.136753787958156</v>
      </c>
      <c r="AN219" s="13">
        <f t="shared" si="117"/>
        <v>15.194356594794883</v>
      </c>
      <c r="AO219" s="13">
        <f t="shared" si="118"/>
        <v>20.284643728047481</v>
      </c>
      <c r="AP219" s="13">
        <f t="shared" si="119"/>
        <v>8.787593856231954</v>
      </c>
      <c r="AQ219" s="13">
        <f t="shared" si="120"/>
        <v>18.15352035061051</v>
      </c>
      <c r="AR219" s="13">
        <f t="shared" si="121"/>
        <v>9.7778903238526897</v>
      </c>
      <c r="AS219" s="13">
        <f t="shared" si="122"/>
        <v>12.796594808602061</v>
      </c>
      <c r="AT219" s="13">
        <f t="shared" si="123"/>
        <v>17.541282065747303</v>
      </c>
      <c r="AU219" s="9">
        <v>0</v>
      </c>
      <c r="AV219" s="18">
        <f t="shared" si="140"/>
        <v>1</v>
      </c>
      <c r="AW219" s="18">
        <f t="shared" si="141"/>
        <v>5</v>
      </c>
      <c r="AX219" s="18">
        <f t="shared" si="142"/>
        <v>2</v>
      </c>
      <c r="AY219" s="18">
        <f t="shared" si="143"/>
        <v>8</v>
      </c>
      <c r="AZ219" s="18">
        <f t="shared" si="144"/>
        <v>3</v>
      </c>
      <c r="BA219" s="18">
        <f t="shared" si="145"/>
        <v>7</v>
      </c>
      <c r="BB219" s="18">
        <f t="shared" si="146"/>
        <v>6</v>
      </c>
      <c r="BC219" s="18">
        <f t="shared" si="147"/>
        <v>4</v>
      </c>
      <c r="BD219" s="18">
        <f t="shared" si="148"/>
        <v>9</v>
      </c>
      <c r="BE219" s="8">
        <f t="shared" si="150"/>
        <v>-6.3123678923093247E-3</v>
      </c>
    </row>
    <row r="220" spans="1:57" x14ac:dyDescent="0.25">
      <c r="A220" t="str">
        <f t="shared" si="149"/>
        <v/>
      </c>
      <c r="B220" s="1">
        <v>43055</v>
      </c>
      <c r="C220" s="9">
        <f t="shared" si="124"/>
        <v>0.24439207558006534</v>
      </c>
      <c r="D220" s="9">
        <f t="shared" si="125"/>
        <v>0.25149896701342012</v>
      </c>
      <c r="E220" s="9">
        <f t="shared" si="126"/>
        <v>0.25821307831796403</v>
      </c>
      <c r="F220" s="9">
        <f t="shared" si="127"/>
        <v>0</v>
      </c>
      <c r="G220" s="9">
        <f t="shared" si="128"/>
        <v>0.2458958790885506</v>
      </c>
      <c r="H220" s="9">
        <f t="shared" si="129"/>
        <v>0</v>
      </c>
      <c r="I220" s="9">
        <f t="shared" si="130"/>
        <v>0</v>
      </c>
      <c r="J220" s="9">
        <f t="shared" si="131"/>
        <v>0</v>
      </c>
      <c r="K220" s="9">
        <v>0</v>
      </c>
      <c r="L220" s="8">
        <f>+VLOOKUP($B220,NIFTY_50!$B$3:$I$1238,8,0)</f>
        <v>9.557177519383675E-3</v>
      </c>
      <c r="M220" s="8">
        <f>+VLOOKUP($B220,NIFTY_BANK!$B$3:$I$41238,8,0)</f>
        <v>9.0289425787801747E-3</v>
      </c>
      <c r="N220" s="8">
        <f>+VLOOKUP($B220,NIFTY_IT!$B$3:$I$1238,8,0)</f>
        <v>1.7472961188179426E-2</v>
      </c>
      <c r="O220" s="8">
        <f>+VLOOKUP($B220,NIFTY_PHARMA!$B$3:$I$1238,8,0)</f>
        <v>6.3655099055974773E-3</v>
      </c>
      <c r="P220" s="8">
        <f>+VLOOKUP($B220,NIFTY_FMCG!$B$3:$I$1238,8,0)</f>
        <v>1.0704782630199361E-2</v>
      </c>
      <c r="Q220" s="8">
        <f>+VLOOKUP($B220,NIFTY_METAL!$B$3:$I$1238,8,0)</f>
        <v>1.0079350988131619E-2</v>
      </c>
      <c r="R220" s="8">
        <f>+VLOOKUP($B220,NIFTY_ENERGY!$B$3:$I$1238,8,0)</f>
        <v>1.4711904065516368E-2</v>
      </c>
      <c r="S220" s="8">
        <f>+VLOOKUP($B220,NIFTY_AUTO!$B$3:$I$1238,8,0)</f>
        <v>4.7552145250189248E-3</v>
      </c>
      <c r="T220" s="8">
        <v>0</v>
      </c>
      <c r="U220" s="8">
        <f>+VLOOKUP($B220,NIFTY_50!$B$63:$K$1238,10,0)</f>
        <v>3.8358712667981409E-2</v>
      </c>
      <c r="V220" s="8">
        <f>+VLOOKUP($B220,NIFTY_BANK!$B$63:$K$1238,10,0)</f>
        <v>5.6996109983820986E-2</v>
      </c>
      <c r="W220" s="8">
        <f>+VLOOKUP($B220,NIFTY_IT!$B$63:$K$1238,10,0)</f>
        <v>7.0695364238410496E-2</v>
      </c>
      <c r="X220" s="8">
        <f>+VLOOKUP($B220,NIFTY_PHARMA!$B$63:$K$1238,10,0)</f>
        <v>5.1305646225432433E-2</v>
      </c>
      <c r="Y220" s="8">
        <f>+VLOOKUP($B220,NIFTY_FMCG!$B$63:$K$1238,10,0)</f>
        <v>-6.781058140574836E-3</v>
      </c>
      <c r="Z220" s="8">
        <f>+VLOOKUP($B220,NIFTY_METAL!$B$63:$K$1238,10,0)</f>
        <v>9.2535417251414342E-2</v>
      </c>
      <c r="AA220" s="8">
        <f>+VLOOKUP($B220,NIFTY_ENERGY!$B$63:$K$1238,10,0)</f>
        <v>7.0800523162276807E-2</v>
      </c>
      <c r="AB220" s="8">
        <f>+VLOOKUP($B220,NIFTY_AUTO!$B$63:$K$1238,10,0)</f>
        <v>4.496386873791125E-2</v>
      </c>
      <c r="AC220" s="8"/>
      <c r="AD220" s="16">
        <f t="shared" si="132"/>
        <v>4.7622181870584104E-2</v>
      </c>
      <c r="AE220" s="8">
        <f t="shared" si="133"/>
        <v>6.5895329296542848E-2</v>
      </c>
      <c r="AF220" s="8">
        <f t="shared" si="134"/>
        <v>4.7192274517784176E-2</v>
      </c>
      <c r="AG220" s="8">
        <f t="shared" si="135"/>
        <v>0.11239953530827833</v>
      </c>
      <c r="AH220" s="8">
        <f t="shared" si="136"/>
        <v>5.5529484353437235E-2</v>
      </c>
      <c r="AI220" s="8">
        <f t="shared" si="137"/>
        <v>0.10228000481525241</v>
      </c>
      <c r="AJ220" s="8">
        <f t="shared" si="138"/>
        <v>7.9216089962230465E-2</v>
      </c>
      <c r="AK220" s="8">
        <f t="shared" si="139"/>
        <v>5.7102111581167118E-2</v>
      </c>
      <c r="AL220" s="9">
        <v>0</v>
      </c>
      <c r="AM220" s="17">
        <f t="shared" si="116"/>
        <v>20.998617886042158</v>
      </c>
      <c r="AN220" s="13">
        <f t="shared" si="117"/>
        <v>15.175582407362889</v>
      </c>
      <c r="AO220" s="13">
        <f t="shared" si="118"/>
        <v>21.18990894628643</v>
      </c>
      <c r="AP220" s="13">
        <f t="shared" si="119"/>
        <v>8.8968339349206289</v>
      </c>
      <c r="AQ220" s="13">
        <f t="shared" si="120"/>
        <v>18.008451035402075</v>
      </c>
      <c r="AR220" s="13">
        <f t="shared" si="121"/>
        <v>9.7770820582800351</v>
      </c>
      <c r="AS220" s="13">
        <f t="shared" si="122"/>
        <v>12.62369804514198</v>
      </c>
      <c r="AT220" s="13">
        <f t="shared" si="123"/>
        <v>17.512487232255182</v>
      </c>
      <c r="AU220" s="9">
        <v>0</v>
      </c>
      <c r="AV220" s="18">
        <f t="shared" si="140"/>
        <v>2</v>
      </c>
      <c r="AW220" s="18">
        <f t="shared" si="141"/>
        <v>5</v>
      </c>
      <c r="AX220" s="18">
        <f t="shared" si="142"/>
        <v>1</v>
      </c>
      <c r="AY220" s="18">
        <f t="shared" si="143"/>
        <v>8</v>
      </c>
      <c r="AZ220" s="18">
        <f t="shared" si="144"/>
        <v>3</v>
      </c>
      <c r="BA220" s="18">
        <f t="shared" si="145"/>
        <v>7</v>
      </c>
      <c r="BB220" s="18">
        <f t="shared" si="146"/>
        <v>6</v>
      </c>
      <c r="BC220" s="18">
        <f t="shared" si="147"/>
        <v>4</v>
      </c>
      <c r="BD220" s="18">
        <f t="shared" si="148"/>
        <v>9</v>
      </c>
      <c r="BE220" s="8">
        <f t="shared" si="150"/>
        <v>1.1738890207118879E-2</v>
      </c>
    </row>
    <row r="221" spans="1:57" x14ac:dyDescent="0.25">
      <c r="A221" t="str">
        <f t="shared" si="149"/>
        <v/>
      </c>
      <c r="B221" s="1">
        <v>43056</v>
      </c>
      <c r="C221" s="9">
        <f t="shared" si="124"/>
        <v>0.24540449232563527</v>
      </c>
      <c r="D221" s="9">
        <f t="shared" si="125"/>
        <v>0.25362798816808241</v>
      </c>
      <c r="E221" s="9">
        <f t="shared" si="126"/>
        <v>0.2537407084797369</v>
      </c>
      <c r="F221" s="9">
        <f t="shared" si="127"/>
        <v>0</v>
      </c>
      <c r="G221" s="9">
        <f t="shared" si="128"/>
        <v>0.24722681102654545</v>
      </c>
      <c r="H221" s="9">
        <f t="shared" si="129"/>
        <v>0</v>
      </c>
      <c r="I221" s="9">
        <f t="shared" si="130"/>
        <v>0</v>
      </c>
      <c r="J221" s="9">
        <f t="shared" si="131"/>
        <v>0</v>
      </c>
      <c r="K221" s="9">
        <v>0</v>
      </c>
      <c r="L221" s="8">
        <f>+VLOOKUP($B221,NIFTY_50!$B$3:$I$1238,8,0)</f>
        <v>6.7402530654201431E-3</v>
      </c>
      <c r="M221" s="8">
        <f>+VLOOKUP($B221,NIFTY_BANK!$B$3:$I$41238,8,0)</f>
        <v>1.1074171009093581E-2</v>
      </c>
      <c r="N221" s="8">
        <f>+VLOOKUP($B221,NIFTY_IT!$B$3:$I$1238,8,0)</f>
        <v>-1.4778325123152691E-2</v>
      </c>
      <c r="O221" s="8">
        <f>+VLOOKUP($B221,NIFTY_PHARMA!$B$3:$I$1238,8,0)</f>
        <v>8.7144170478878902E-3</v>
      </c>
      <c r="P221" s="8">
        <f>+VLOOKUP($B221,NIFTY_FMCG!$B$3:$I$1238,8,0)</f>
        <v>8.0135294370955457E-3</v>
      </c>
      <c r="Q221" s="8">
        <f>+VLOOKUP($B221,NIFTY_METAL!$B$3:$I$1238,8,0)</f>
        <v>1.8929918736563245E-2</v>
      </c>
      <c r="R221" s="8">
        <f>+VLOOKUP($B221,NIFTY_ENERGY!$B$3:$I$1238,8,0)</f>
        <v>6.1251549303893427E-3</v>
      </c>
      <c r="S221" s="8">
        <f>+VLOOKUP($B221,NIFTY_AUTO!$B$3:$I$1238,8,0)</f>
        <v>8.5780359255673844E-3</v>
      </c>
      <c r="T221" s="8">
        <v>0</v>
      </c>
      <c r="U221" s="8">
        <f>+VLOOKUP($B221,NIFTY_50!$B$63:$K$1238,10,0)</f>
        <v>5.4257843936295069E-2</v>
      </c>
      <c r="V221" s="8">
        <f>+VLOOKUP($B221,NIFTY_BANK!$B$63:$K$1238,10,0)</f>
        <v>7.4860568587721721E-2</v>
      </c>
      <c r="W221" s="8">
        <f>+VLOOKUP($B221,NIFTY_IT!$B$63:$K$1238,10,0)</f>
        <v>6.8002547880517961E-2</v>
      </c>
      <c r="X221" s="8">
        <f>+VLOOKUP($B221,NIFTY_PHARMA!$B$63:$K$1238,10,0)</f>
        <v>7.9102965772301914E-2</v>
      </c>
      <c r="Y221" s="8">
        <f>+VLOOKUP($B221,NIFTY_FMCG!$B$63:$K$1238,10,0)</f>
        <v>5.8694272181258889E-3</v>
      </c>
      <c r="Z221" s="8">
        <f>+VLOOKUP($B221,NIFTY_METAL!$B$63:$K$1238,10,0)</f>
        <v>0.12890999520613611</v>
      </c>
      <c r="AA221" s="8">
        <f>+VLOOKUP($B221,NIFTY_ENERGY!$B$63:$K$1238,10,0)</f>
        <v>9.1112274641888868E-2</v>
      </c>
      <c r="AB221" s="8">
        <f>+VLOOKUP($B221,NIFTY_AUTO!$B$63:$K$1238,10,0)</f>
        <v>6.4254805987089547E-2</v>
      </c>
      <c r="AC221" s="8"/>
      <c r="AD221" s="16">
        <f t="shared" si="132"/>
        <v>4.7105668131370168E-2</v>
      </c>
      <c r="AE221" s="8">
        <f t="shared" si="133"/>
        <v>6.6299496099852112E-2</v>
      </c>
      <c r="AF221" s="8">
        <f t="shared" si="134"/>
        <v>4.7957452856235351E-2</v>
      </c>
      <c r="AG221" s="8">
        <f t="shared" si="135"/>
        <v>0.11114073968560882</v>
      </c>
      <c r="AH221" s="8">
        <f t="shared" si="136"/>
        <v>5.5906536882123298E-2</v>
      </c>
      <c r="AI221" s="8">
        <f t="shared" si="137"/>
        <v>0.10250685740120663</v>
      </c>
      <c r="AJ221" s="8">
        <f t="shared" si="138"/>
        <v>7.8128913537493988E-2</v>
      </c>
      <c r="AK221" s="8">
        <f t="shared" si="139"/>
        <v>5.6632541057276761E-2</v>
      </c>
      <c r="AL221" s="9">
        <v>0</v>
      </c>
      <c r="AM221" s="17">
        <f t="shared" si="116"/>
        <v>21.228867770459388</v>
      </c>
      <c r="AN221" s="13">
        <f t="shared" si="117"/>
        <v>15.083070895349243</v>
      </c>
      <c r="AO221" s="13">
        <f t="shared" si="118"/>
        <v>20.851816358924527</v>
      </c>
      <c r="AP221" s="13">
        <f t="shared" si="119"/>
        <v>8.9976007252495016</v>
      </c>
      <c r="AQ221" s="13">
        <f t="shared" si="120"/>
        <v>17.886995971659989</v>
      </c>
      <c r="AR221" s="13">
        <f t="shared" si="121"/>
        <v>9.7554449073202072</v>
      </c>
      <c r="AS221" s="13">
        <f t="shared" si="122"/>
        <v>12.799358838134886</v>
      </c>
      <c r="AT221" s="13">
        <f t="shared" si="123"/>
        <v>17.65769257975948</v>
      </c>
      <c r="AU221" s="9">
        <v>0</v>
      </c>
      <c r="AV221" s="18">
        <f t="shared" si="140"/>
        <v>1</v>
      </c>
      <c r="AW221" s="18">
        <f t="shared" si="141"/>
        <v>5</v>
      </c>
      <c r="AX221" s="18">
        <f t="shared" si="142"/>
        <v>2</v>
      </c>
      <c r="AY221" s="18">
        <f t="shared" si="143"/>
        <v>8</v>
      </c>
      <c r="AZ221" s="18">
        <f t="shared" si="144"/>
        <v>3</v>
      </c>
      <c r="BA221" s="18">
        <f t="shared" si="145"/>
        <v>7</v>
      </c>
      <c r="BB221" s="18">
        <f t="shared" si="146"/>
        <v>6</v>
      </c>
      <c r="BC221" s="18">
        <f t="shared" si="147"/>
        <v>4</v>
      </c>
      <c r="BD221" s="18">
        <f t="shared" si="148"/>
        <v>9</v>
      </c>
      <c r="BE221" s="8">
        <f t="shared" si="150"/>
        <v>2.5869440490135522E-3</v>
      </c>
    </row>
    <row r="222" spans="1:57" x14ac:dyDescent="0.25">
      <c r="A222" t="str">
        <f t="shared" si="149"/>
        <v/>
      </c>
      <c r="B222" s="1">
        <v>43059</v>
      </c>
      <c r="C222" s="9">
        <f t="shared" si="124"/>
        <v>0.24560801321855844</v>
      </c>
      <c r="D222" s="9">
        <f t="shared" si="125"/>
        <v>0.25386095235767975</v>
      </c>
      <c r="E222" s="9">
        <f t="shared" si="126"/>
        <v>0.25244272251874722</v>
      </c>
      <c r="F222" s="9">
        <f t="shared" si="127"/>
        <v>0</v>
      </c>
      <c r="G222" s="9">
        <f t="shared" si="128"/>
        <v>0.24808831190501451</v>
      </c>
      <c r="H222" s="9">
        <f t="shared" si="129"/>
        <v>0</v>
      </c>
      <c r="I222" s="9">
        <f t="shared" si="130"/>
        <v>0</v>
      </c>
      <c r="J222" s="9">
        <f t="shared" si="131"/>
        <v>0</v>
      </c>
      <c r="K222" s="9">
        <v>0</v>
      </c>
      <c r="L222" s="8">
        <f>+VLOOKUP($B222,NIFTY_50!$B$3:$I$1238,8,0)</f>
        <v>1.4732194951183608E-3</v>
      </c>
      <c r="M222" s="8">
        <f>+VLOOKUP($B222,NIFTY_BANK!$B$3:$I$41238,8,0)</f>
        <v>1.5624757077781215E-3</v>
      </c>
      <c r="N222" s="8">
        <f>+VLOOKUP($B222,NIFTY_IT!$B$3:$I$1238,8,0)</f>
        <v>-4.4753363228698939E-3</v>
      </c>
      <c r="O222" s="8">
        <f>+VLOOKUP($B222,NIFTY_PHARMA!$B$3:$I$1238,8,0)</f>
        <v>-2.0137964155514387E-3</v>
      </c>
      <c r="P222" s="8">
        <f>+VLOOKUP($B222,NIFTY_FMCG!$B$3:$I$1238,8,0)</f>
        <v>4.1302574857275953E-3</v>
      </c>
      <c r="Q222" s="8">
        <f>+VLOOKUP($B222,NIFTY_METAL!$B$3:$I$1238,8,0)</f>
        <v>1.3110925328768452E-2</v>
      </c>
      <c r="R222" s="8">
        <f>+VLOOKUP($B222,NIFTY_ENERGY!$B$3:$I$1238,8,0)</f>
        <v>9.7871395625330759E-3</v>
      </c>
      <c r="S222" s="8">
        <f>+VLOOKUP($B222,NIFTY_AUTO!$B$3:$I$1238,8,0)</f>
        <v>2.9194550350601922E-3</v>
      </c>
      <c r="T222" s="8">
        <v>0</v>
      </c>
      <c r="U222" s="8">
        <f>+VLOOKUP($B222,NIFTY_50!$B$63:$K$1238,10,0)</f>
        <v>5.4600099328762974E-2</v>
      </c>
      <c r="V222" s="8">
        <f>+VLOOKUP($B222,NIFTY_BANK!$B$63:$K$1238,10,0)</f>
        <v>7.4835919072178791E-2</v>
      </c>
      <c r="W222" s="8">
        <f>+VLOOKUP($B222,NIFTY_IT!$B$63:$K$1238,10,0)</f>
        <v>6.2591839176738162E-2</v>
      </c>
      <c r="X222" s="8">
        <f>+VLOOKUP($B222,NIFTY_PHARMA!$B$63:$K$1238,10,0)</f>
        <v>6.7319197119060536E-2</v>
      </c>
      <c r="Y222" s="8">
        <f>+VLOOKUP($B222,NIFTY_FMCG!$B$63:$K$1238,10,0)</f>
        <v>9.7872465069956949E-3</v>
      </c>
      <c r="Z222" s="8">
        <f>+VLOOKUP($B222,NIFTY_METAL!$B$63:$K$1238,10,0)</f>
        <v>0.14282078917430097</v>
      </c>
      <c r="AA222" s="8">
        <f>+VLOOKUP($B222,NIFTY_ENERGY!$B$63:$K$1238,10,0)</f>
        <v>9.7746322055211055E-2</v>
      </c>
      <c r="AB222" s="8">
        <f>+VLOOKUP($B222,NIFTY_AUTO!$B$63:$K$1238,10,0)</f>
        <v>7.6510316801648548E-2</v>
      </c>
      <c r="AC222" s="8"/>
      <c r="AD222" s="16">
        <f t="shared" si="132"/>
        <v>4.7108588512928609E-2</v>
      </c>
      <c r="AE222" s="8">
        <f t="shared" si="133"/>
        <v>6.6299373414277871E-2</v>
      </c>
      <c r="AF222" s="8">
        <f t="shared" si="134"/>
        <v>4.82732102238198E-2</v>
      </c>
      <c r="AG222" s="8">
        <f t="shared" si="135"/>
        <v>0.11091887971312908</v>
      </c>
      <c r="AH222" s="8">
        <f t="shared" si="136"/>
        <v>5.604773882227386E-2</v>
      </c>
      <c r="AI222" s="8">
        <f t="shared" si="137"/>
        <v>0.10307884707209336</v>
      </c>
      <c r="AJ222" s="8">
        <f t="shared" si="138"/>
        <v>7.8534446145761591E-2</v>
      </c>
      <c r="AK222" s="8">
        <f t="shared" si="139"/>
        <v>5.5834454107670177E-2</v>
      </c>
      <c r="AL222" s="9">
        <v>0</v>
      </c>
      <c r="AM222" s="17">
        <f t="shared" si="116"/>
        <v>21.227551738799335</v>
      </c>
      <c r="AN222" s="13">
        <f t="shared" si="117"/>
        <v>15.083098806249735</v>
      </c>
      <c r="AO222" s="13">
        <f t="shared" si="118"/>
        <v>20.715423634837585</v>
      </c>
      <c r="AP222" s="13">
        <f t="shared" si="119"/>
        <v>9.0155977285951039</v>
      </c>
      <c r="AQ222" s="13">
        <f t="shared" si="120"/>
        <v>17.841932984504119</v>
      </c>
      <c r="AR222" s="13">
        <f t="shared" si="121"/>
        <v>9.7013114562738547</v>
      </c>
      <c r="AS222" s="13">
        <f t="shared" si="122"/>
        <v>12.733266089939425</v>
      </c>
      <c r="AT222" s="13">
        <f t="shared" si="123"/>
        <v>17.910088241780205</v>
      </c>
      <c r="AU222" s="9">
        <v>0</v>
      </c>
      <c r="AV222" s="18">
        <f t="shared" si="140"/>
        <v>1</v>
      </c>
      <c r="AW222" s="18">
        <f t="shared" si="141"/>
        <v>5</v>
      </c>
      <c r="AX222" s="18">
        <f t="shared" si="142"/>
        <v>2</v>
      </c>
      <c r="AY222" s="18">
        <f t="shared" si="143"/>
        <v>8</v>
      </c>
      <c r="AZ222" s="18">
        <f t="shared" si="144"/>
        <v>4</v>
      </c>
      <c r="BA222" s="18">
        <f t="shared" si="145"/>
        <v>7</v>
      </c>
      <c r="BB222" s="18">
        <f t="shared" si="146"/>
        <v>6</v>
      </c>
      <c r="BC222" s="18">
        <f t="shared" si="147"/>
        <v>3</v>
      </c>
      <c r="BD222" s="18">
        <f t="shared" si="148"/>
        <v>9</v>
      </c>
      <c r="BE222" s="8">
        <f t="shared" si="150"/>
        <v>6.4335763027385925E-4</v>
      </c>
    </row>
    <row r="223" spans="1:57" x14ac:dyDescent="0.25">
      <c r="A223" t="str">
        <f t="shared" si="149"/>
        <v/>
      </c>
      <c r="B223" s="1">
        <v>43060</v>
      </c>
      <c r="C223" s="9">
        <f t="shared" si="124"/>
        <v>0.24639263304421583</v>
      </c>
      <c r="D223" s="9">
        <f t="shared" si="125"/>
        <v>0.2538683265530996</v>
      </c>
      <c r="E223" s="9">
        <f t="shared" si="126"/>
        <v>0.25299911449820089</v>
      </c>
      <c r="F223" s="9">
        <f t="shared" si="127"/>
        <v>0</v>
      </c>
      <c r="G223" s="9">
        <f t="shared" si="128"/>
        <v>0.24673992590448368</v>
      </c>
      <c r="H223" s="9">
        <f t="shared" si="129"/>
        <v>0</v>
      </c>
      <c r="I223" s="9">
        <f t="shared" si="130"/>
        <v>0</v>
      </c>
      <c r="J223" s="9">
        <f t="shared" si="131"/>
        <v>0</v>
      </c>
      <c r="K223" s="9">
        <v>0</v>
      </c>
      <c r="L223" s="8">
        <f>+VLOOKUP($B223,NIFTY_50!$B$3:$I$1238,8,0)</f>
        <v>2.7333414249302024E-3</v>
      </c>
      <c r="M223" s="8">
        <f>+VLOOKUP($B223,NIFTY_BANK!$B$3:$I$41238,8,0)</f>
        <v>-4.3075681255477782E-4</v>
      </c>
      <c r="N223" s="8">
        <f>+VLOOKUP($B223,NIFTY_IT!$B$3:$I$1238,8,0)</f>
        <v>1.7432275384907658E-3</v>
      </c>
      <c r="O223" s="8">
        <f>+VLOOKUP($B223,NIFTY_PHARMA!$B$3:$I$1238,8,0)</f>
        <v>2.2223801998173309E-2</v>
      </c>
      <c r="P223" s="8">
        <f>+VLOOKUP($B223,NIFTY_FMCG!$B$3:$I$1238,8,0)</f>
        <v>-5.8923975115401372E-3</v>
      </c>
      <c r="Q223" s="8">
        <f>+VLOOKUP($B223,NIFTY_METAL!$B$3:$I$1238,8,0)</f>
        <v>1.3491387779160924E-3</v>
      </c>
      <c r="R223" s="8">
        <f>+VLOOKUP($B223,NIFTY_ENERGY!$B$3:$I$1238,8,0)</f>
        <v>9.3837440642321468E-3</v>
      </c>
      <c r="S223" s="8">
        <f>+VLOOKUP($B223,NIFTY_AUTO!$B$3:$I$1238,8,0)</f>
        <v>3.6287267555459302E-3</v>
      </c>
      <c r="T223" s="8">
        <v>0</v>
      </c>
      <c r="U223" s="8">
        <f>+VLOOKUP($B223,NIFTY_50!$B$63:$K$1238,10,0)</f>
        <v>4.815021568129918E-2</v>
      </c>
      <c r="V223" s="8">
        <f>+VLOOKUP($B223,NIFTY_BANK!$B$63:$K$1238,10,0)</f>
        <v>5.9247104882221402E-2</v>
      </c>
      <c r="W223" s="8">
        <f>+VLOOKUP($B223,NIFTY_IT!$B$63:$K$1238,10,0)</f>
        <v>6.1193424474506708E-2</v>
      </c>
      <c r="X223" s="8">
        <f>+VLOOKUP($B223,NIFTY_PHARMA!$B$63:$K$1238,10,0)</f>
        <v>8.480881166686971E-2</v>
      </c>
      <c r="Y223" s="8">
        <f>+VLOOKUP($B223,NIFTY_FMCG!$B$63:$K$1238,10,0)</f>
        <v>4.1823022782900843E-3</v>
      </c>
      <c r="Z223" s="8">
        <f>+VLOOKUP($B223,NIFTY_METAL!$B$63:$K$1238,10,0)</f>
        <v>0.12502943254061694</v>
      </c>
      <c r="AA223" s="8">
        <f>+VLOOKUP($B223,NIFTY_ENERGY!$B$63:$K$1238,10,0)</f>
        <v>9.6741253944828243E-2</v>
      </c>
      <c r="AB223" s="8">
        <f>+VLOOKUP($B223,NIFTY_AUTO!$B$63:$K$1238,10,0)</f>
        <v>7.3260177393677628E-2</v>
      </c>
      <c r="AC223" s="8"/>
      <c r="AD223" s="16">
        <f t="shared" si="132"/>
        <v>4.6451845241725305E-2</v>
      </c>
      <c r="AE223" s="8">
        <f t="shared" si="133"/>
        <v>6.4993968432567203E-2</v>
      </c>
      <c r="AF223" s="8">
        <f t="shared" si="134"/>
        <v>4.8234930058029167E-2</v>
      </c>
      <c r="AG223" s="8">
        <f t="shared" si="135"/>
        <v>0.11278702892893841</v>
      </c>
      <c r="AH223" s="8">
        <f t="shared" si="136"/>
        <v>5.6369355290529666E-2</v>
      </c>
      <c r="AI223" s="8">
        <f t="shared" si="137"/>
        <v>0.10197941414487402</v>
      </c>
      <c r="AJ223" s="8">
        <f t="shared" si="138"/>
        <v>7.8436938589658722E-2</v>
      </c>
      <c r="AK223" s="8">
        <f t="shared" si="139"/>
        <v>5.561965781317435E-2</v>
      </c>
      <c r="AL223" s="9">
        <v>0</v>
      </c>
      <c r="AM223" s="17">
        <f t="shared" si="116"/>
        <v>21.527670102150246</v>
      </c>
      <c r="AN223" s="13">
        <f t="shared" si="117"/>
        <v>15.386043107023445</v>
      </c>
      <c r="AO223" s="13">
        <f t="shared" si="118"/>
        <v>20.731863792420704</v>
      </c>
      <c r="AP223" s="13">
        <f t="shared" si="119"/>
        <v>8.8662677747283425</v>
      </c>
      <c r="AQ223" s="13">
        <f t="shared" si="120"/>
        <v>17.740135484004817</v>
      </c>
      <c r="AR223" s="13">
        <f t="shared" si="121"/>
        <v>9.8059006161712183</v>
      </c>
      <c r="AS223" s="13">
        <f t="shared" si="122"/>
        <v>12.749095234727097</v>
      </c>
      <c r="AT223" s="13">
        <f t="shared" si="123"/>
        <v>17.979254805180318</v>
      </c>
      <c r="AU223" s="9">
        <v>0</v>
      </c>
      <c r="AV223" s="18">
        <f t="shared" si="140"/>
        <v>1</v>
      </c>
      <c r="AW223" s="18">
        <f t="shared" si="141"/>
        <v>5</v>
      </c>
      <c r="AX223" s="18">
        <f t="shared" si="142"/>
        <v>2</v>
      </c>
      <c r="AY223" s="18">
        <f t="shared" si="143"/>
        <v>8</v>
      </c>
      <c r="AZ223" s="18">
        <f t="shared" si="144"/>
        <v>4</v>
      </c>
      <c r="BA223" s="18">
        <f t="shared" si="145"/>
        <v>7</v>
      </c>
      <c r="BB223" s="18">
        <f t="shared" si="146"/>
        <v>6</v>
      </c>
      <c r="BC223" s="18">
        <f t="shared" si="147"/>
        <v>3</v>
      </c>
      <c r="BD223" s="18">
        <f t="shared" si="148"/>
        <v>9</v>
      </c>
      <c r="BE223" s="8">
        <f t="shared" si="150"/>
        <v>-4.5979162376966155E-4</v>
      </c>
    </row>
    <row r="224" spans="1:57" x14ac:dyDescent="0.25">
      <c r="A224" t="str">
        <f t="shared" si="149"/>
        <v/>
      </c>
      <c r="B224" s="1">
        <v>43061</v>
      </c>
      <c r="C224" s="9">
        <f t="shared" si="124"/>
        <v>0.24643667826236798</v>
      </c>
      <c r="D224" s="9">
        <f t="shared" si="125"/>
        <v>0.25362568794250823</v>
      </c>
      <c r="E224" s="9">
        <f t="shared" si="126"/>
        <v>0.25262324005473141</v>
      </c>
      <c r="F224" s="9">
        <f t="shared" si="127"/>
        <v>0</v>
      </c>
      <c r="G224" s="9">
        <f t="shared" si="128"/>
        <v>0.24731439374039238</v>
      </c>
      <c r="H224" s="9">
        <f t="shared" si="129"/>
        <v>0</v>
      </c>
      <c r="I224" s="9">
        <f t="shared" si="130"/>
        <v>0</v>
      </c>
      <c r="J224" s="9">
        <f t="shared" si="131"/>
        <v>0</v>
      </c>
      <c r="K224" s="9">
        <v>0</v>
      </c>
      <c r="L224" s="8">
        <f>+VLOOKUP($B224,NIFTY_50!$B$3:$I$1238,8,0)</f>
        <v>1.4912510046576344E-3</v>
      </c>
      <c r="M224" s="8">
        <f>+VLOOKUP($B224,NIFTY_BANK!$B$3:$I$41238,8,0)</f>
        <v>3.552363389305313E-4</v>
      </c>
      <c r="N224" s="8">
        <f>+VLOOKUP($B224,NIFTY_IT!$B$3:$I$1238,8,0)</f>
        <v>-1.753683860263866E-4</v>
      </c>
      <c r="O224" s="8">
        <f>+VLOOKUP($B224,NIFTY_PHARMA!$B$3:$I$1238,8,0)</f>
        <v>-7.3342570253194239E-3</v>
      </c>
      <c r="P224" s="8">
        <f>+VLOOKUP($B224,NIFTY_FMCG!$B$3:$I$1238,8,0)</f>
        <v>3.6435435552271134E-3</v>
      </c>
      <c r="Q224" s="8">
        <f>+VLOOKUP($B224,NIFTY_METAL!$B$3:$I$1238,8,0)</f>
        <v>-6.5796358308916059E-3</v>
      </c>
      <c r="R224" s="8">
        <f>+VLOOKUP($B224,NIFTY_ENERGY!$B$3:$I$1238,8,0)</f>
        <v>-6.0430815499801227E-4</v>
      </c>
      <c r="S224" s="8">
        <f>+VLOOKUP($B224,NIFTY_AUTO!$B$3:$I$1238,8,0)</f>
        <v>2.5296002966650466E-3</v>
      </c>
      <c r="T224" s="8">
        <v>0</v>
      </c>
      <c r="U224" s="8">
        <f>+VLOOKUP($B224,NIFTY_50!$B$63:$K$1238,10,0)</f>
        <v>4.9228724618420427E-2</v>
      </c>
      <c r="V224" s="8">
        <f>+VLOOKUP($B224,NIFTY_BANK!$B$63:$K$1238,10,0)</f>
        <v>6.1482973692232878E-2</v>
      </c>
      <c r="W224" s="8">
        <f>+VLOOKUP($B224,NIFTY_IT!$B$63:$K$1238,10,0)</f>
        <v>5.841639771894247E-2</v>
      </c>
      <c r="X224" s="8">
        <f>+VLOOKUP($B224,NIFTY_PHARMA!$B$63:$K$1238,10,0)</f>
        <v>4.2231845473795548E-2</v>
      </c>
      <c r="Y224" s="8">
        <f>+VLOOKUP($B224,NIFTY_FMCG!$B$63:$K$1238,10,0)</f>
        <v>9.4560751320682535E-3</v>
      </c>
      <c r="Z224" s="8">
        <f>+VLOOKUP($B224,NIFTY_METAL!$B$63:$K$1238,10,0)</f>
        <v>0.1122420585521593</v>
      </c>
      <c r="AA224" s="8">
        <f>+VLOOKUP($B224,NIFTY_ENERGY!$B$63:$K$1238,10,0)</f>
        <v>9.9633521211699438E-2</v>
      </c>
      <c r="AB224" s="8">
        <f>+VLOOKUP($B224,NIFTY_AUTO!$B$63:$K$1238,10,0)</f>
        <v>7.4076876871195463E-2</v>
      </c>
      <c r="AC224" s="8"/>
      <c r="AD224" s="16">
        <f t="shared" si="132"/>
        <v>4.645581524004834E-2</v>
      </c>
      <c r="AE224" s="8">
        <f t="shared" si="133"/>
        <v>6.4939022967143517E-2</v>
      </c>
      <c r="AF224" s="8">
        <f t="shared" si="134"/>
        <v>4.8225975385508664E-2</v>
      </c>
      <c r="AG224" s="8">
        <f t="shared" si="135"/>
        <v>0.10844849255945754</v>
      </c>
      <c r="AH224" s="8">
        <f t="shared" si="136"/>
        <v>5.6451561505318902E-2</v>
      </c>
      <c r="AI224" s="8">
        <f t="shared" si="137"/>
        <v>0.10229185207287422</v>
      </c>
      <c r="AJ224" s="8">
        <f t="shared" si="138"/>
        <v>7.8319372702283827E-2</v>
      </c>
      <c r="AK224" s="8">
        <f t="shared" si="139"/>
        <v>5.5632774903032721E-2</v>
      </c>
      <c r="AL224" s="9">
        <v>0</v>
      </c>
      <c r="AM224" s="17">
        <f t="shared" si="116"/>
        <v>21.525830401054424</v>
      </c>
      <c r="AN224" s="13">
        <f t="shared" si="117"/>
        <v>15.399061370325189</v>
      </c>
      <c r="AO224" s="13">
        <f t="shared" si="118"/>
        <v>20.735713316448301</v>
      </c>
      <c r="AP224" s="13">
        <f t="shared" si="119"/>
        <v>9.2209672665735205</v>
      </c>
      <c r="AQ224" s="13">
        <f t="shared" si="120"/>
        <v>17.714301842753798</v>
      </c>
      <c r="AR224" s="13">
        <f t="shared" si="121"/>
        <v>9.7759496942883128</v>
      </c>
      <c r="AS224" s="13">
        <f t="shared" si="122"/>
        <v>12.768233011790192</v>
      </c>
      <c r="AT224" s="13">
        <f t="shared" si="123"/>
        <v>17.975015658359453</v>
      </c>
      <c r="AU224" s="9">
        <v>0</v>
      </c>
      <c r="AV224" s="18">
        <f t="shared" si="140"/>
        <v>1</v>
      </c>
      <c r="AW224" s="18">
        <f t="shared" si="141"/>
        <v>5</v>
      </c>
      <c r="AX224" s="18">
        <f t="shared" si="142"/>
        <v>2</v>
      </c>
      <c r="AY224" s="18">
        <f t="shared" si="143"/>
        <v>8</v>
      </c>
      <c r="AZ224" s="18">
        <f t="shared" si="144"/>
        <v>4</v>
      </c>
      <c r="BA224" s="18">
        <f t="shared" si="145"/>
        <v>7</v>
      </c>
      <c r="BB224" s="18">
        <f t="shared" si="146"/>
        <v>6</v>
      </c>
      <c r="BC224" s="18">
        <f t="shared" si="147"/>
        <v>3</v>
      </c>
      <c r="BD224" s="18">
        <f t="shared" si="148"/>
        <v>9</v>
      </c>
      <c r="BE224" s="8">
        <f t="shared" si="150"/>
        <v>1.3122561369334129E-3</v>
      </c>
    </row>
    <row r="225" spans="1:57" x14ac:dyDescent="0.25">
      <c r="A225" t="str">
        <f t="shared" si="149"/>
        <v/>
      </c>
      <c r="B225" s="1">
        <v>43062</v>
      </c>
      <c r="C225" s="9">
        <f t="shared" si="124"/>
        <v>0.24601985527258335</v>
      </c>
      <c r="D225" s="9">
        <f t="shared" si="125"/>
        <v>0.25274035688854984</v>
      </c>
      <c r="E225" s="9">
        <f t="shared" si="126"/>
        <v>0.25460279684557291</v>
      </c>
      <c r="F225" s="9">
        <f t="shared" si="127"/>
        <v>0</v>
      </c>
      <c r="G225" s="9">
        <f t="shared" si="128"/>
        <v>0.24663699099329392</v>
      </c>
      <c r="H225" s="9">
        <f t="shared" si="129"/>
        <v>0</v>
      </c>
      <c r="I225" s="9">
        <f t="shared" si="130"/>
        <v>0</v>
      </c>
      <c r="J225" s="9">
        <f t="shared" si="131"/>
        <v>0</v>
      </c>
      <c r="K225" s="9">
        <v>0</v>
      </c>
      <c r="L225" s="8">
        <f>+VLOOKUP($B225,NIFTY_50!$B$3:$I$1238,8,0)</f>
        <v>6.2365237906458759E-4</v>
      </c>
      <c r="M225" s="8">
        <f>+VLOOKUP($B225,NIFTY_BANK!$B$3:$I$41238,8,0)</f>
        <v>-1.1798196505948821E-3</v>
      </c>
      <c r="N225" s="8">
        <f>+VLOOKUP($B225,NIFTY_IT!$B$3:$I$1238,8,0)</f>
        <v>1.0173150438497869E-2</v>
      </c>
      <c r="O225" s="8">
        <f>+VLOOKUP($B225,NIFTY_PHARMA!$B$3:$I$1238,8,0)</f>
        <v>1.6382841129554127E-3</v>
      </c>
      <c r="P225" s="8">
        <f>+VLOOKUP($B225,NIFTY_FMCG!$B$3:$I$1238,8,0)</f>
        <v>-4.2641195659121056E-4</v>
      </c>
      <c r="Q225" s="8">
        <f>+VLOOKUP($B225,NIFTY_METAL!$B$3:$I$1238,8,0)</f>
        <v>-2.5939824873263406E-3</v>
      </c>
      <c r="R225" s="8">
        <f>+VLOOKUP($B225,NIFTY_ENERGY!$B$3:$I$1238,8,0)</f>
        <v>8.3107459632767444E-3</v>
      </c>
      <c r="S225" s="8">
        <f>+VLOOKUP($B225,NIFTY_AUTO!$B$3:$I$1238,8,0)</f>
        <v>-2.4483577068222795E-3</v>
      </c>
      <c r="T225" s="8">
        <v>0</v>
      </c>
      <c r="U225" s="8">
        <f>+VLOOKUP($B225,NIFTY_50!$B$63:$K$1238,10,0)</f>
        <v>4.3978492454200602E-2</v>
      </c>
      <c r="V225" s="8">
        <f>+VLOOKUP($B225,NIFTY_BANK!$B$63:$K$1238,10,0)</f>
        <v>5.5755196475380631E-2</v>
      </c>
      <c r="W225" s="8">
        <f>+VLOOKUP($B225,NIFTY_IT!$B$63:$K$1238,10,0)</f>
        <v>6.0260755454433879E-2</v>
      </c>
      <c r="X225" s="8">
        <f>+VLOOKUP($B225,NIFTY_PHARMA!$B$63:$K$1238,10,0)</f>
        <v>3.5448270483172895E-2</v>
      </c>
      <c r="Y225" s="8">
        <f>+VLOOKUP($B225,NIFTY_FMCG!$B$63:$K$1238,10,0)</f>
        <v>9.2190405210801352E-4</v>
      </c>
      <c r="Z225" s="8">
        <f>+VLOOKUP($B225,NIFTY_METAL!$B$63:$K$1238,10,0)</f>
        <v>0.10534226385909617</v>
      </c>
      <c r="AA225" s="8">
        <f>+VLOOKUP($B225,NIFTY_ENERGY!$B$63:$K$1238,10,0)</f>
        <v>0.10625766587211594</v>
      </c>
      <c r="AB225" s="8">
        <f>+VLOOKUP($B225,NIFTY_AUTO!$B$63:$K$1238,10,0)</f>
        <v>6.9333056403914073E-2</v>
      </c>
      <c r="AC225" s="8"/>
      <c r="AD225" s="16">
        <f t="shared" si="132"/>
        <v>4.6197814299575264E-2</v>
      </c>
      <c r="AE225" s="8">
        <f t="shared" si="133"/>
        <v>6.4892192135384219E-2</v>
      </c>
      <c r="AF225" s="8">
        <f t="shared" si="134"/>
        <v>4.852854933315686E-2</v>
      </c>
      <c r="AG225" s="8">
        <f t="shared" si="135"/>
        <v>0.10819415849355998</v>
      </c>
      <c r="AH225" s="8">
        <f t="shared" si="136"/>
        <v>5.5886453045257585E-2</v>
      </c>
      <c r="AI225" s="8">
        <f t="shared" si="137"/>
        <v>0.10236859410267664</v>
      </c>
      <c r="AJ225" s="8">
        <f t="shared" si="138"/>
        <v>7.8599020244827109E-2</v>
      </c>
      <c r="AK225" s="8">
        <f t="shared" si="139"/>
        <v>5.574378359506113E-2</v>
      </c>
      <c r="AL225" s="9">
        <v>0</v>
      </c>
      <c r="AM225" s="17">
        <f t="shared" si="116"/>
        <v>21.646045709335514</v>
      </c>
      <c r="AN225" s="13">
        <f t="shared" si="117"/>
        <v>15.410174430749782</v>
      </c>
      <c r="AO225" s="13">
        <f t="shared" si="118"/>
        <v>20.606426809398886</v>
      </c>
      <c r="AP225" s="13">
        <f t="shared" si="119"/>
        <v>9.2426431696820561</v>
      </c>
      <c r="AQ225" s="13">
        <f t="shared" si="120"/>
        <v>17.893423996512837</v>
      </c>
      <c r="AR225" s="13">
        <f t="shared" si="121"/>
        <v>9.7686210186396707</v>
      </c>
      <c r="AS225" s="13">
        <f t="shared" si="122"/>
        <v>12.722804901194856</v>
      </c>
      <c r="AT225" s="13">
        <f t="shared" si="123"/>
        <v>17.939220044055272</v>
      </c>
      <c r="AU225" s="9">
        <v>0</v>
      </c>
      <c r="AV225" s="18">
        <f t="shared" si="140"/>
        <v>1</v>
      </c>
      <c r="AW225" s="18">
        <f t="shared" si="141"/>
        <v>5</v>
      </c>
      <c r="AX225" s="18">
        <f t="shared" si="142"/>
        <v>2</v>
      </c>
      <c r="AY225" s="18">
        <f t="shared" si="143"/>
        <v>8</v>
      </c>
      <c r="AZ225" s="18">
        <f t="shared" si="144"/>
        <v>4</v>
      </c>
      <c r="BA225" s="18">
        <f t="shared" si="145"/>
        <v>7</v>
      </c>
      <c r="BB225" s="18">
        <f t="shared" si="146"/>
        <v>6</v>
      </c>
      <c r="BC225" s="18">
        <f t="shared" si="147"/>
        <v>3</v>
      </c>
      <c r="BD225" s="18">
        <f t="shared" si="148"/>
        <v>9</v>
      </c>
      <c r="BE225" s="8">
        <f t="shared" si="150"/>
        <v>2.3189746609664167E-3</v>
      </c>
    </row>
    <row r="226" spans="1:57" x14ac:dyDescent="0.25">
      <c r="A226" t="str">
        <f t="shared" si="149"/>
        <v/>
      </c>
      <c r="B226" s="1">
        <v>43063</v>
      </c>
      <c r="C226" s="9">
        <f t="shared" si="124"/>
        <v>0.24579072818323952</v>
      </c>
      <c r="D226" s="9">
        <f t="shared" si="125"/>
        <v>0.25193387706240461</v>
      </c>
      <c r="E226" s="9">
        <f t="shared" si="126"/>
        <v>0.25507317166881127</v>
      </c>
      <c r="F226" s="9">
        <f t="shared" si="127"/>
        <v>0</v>
      </c>
      <c r="G226" s="9">
        <f t="shared" si="128"/>
        <v>0.24720222308554463</v>
      </c>
      <c r="H226" s="9">
        <f t="shared" si="129"/>
        <v>0</v>
      </c>
      <c r="I226" s="9">
        <f t="shared" si="130"/>
        <v>0</v>
      </c>
      <c r="J226" s="9">
        <f t="shared" si="131"/>
        <v>0</v>
      </c>
      <c r="K226" s="9">
        <v>0</v>
      </c>
      <c r="L226" s="8">
        <f>+VLOOKUP($B226,NIFTY_50!$B$3:$I$1238,8,0)</f>
        <v>3.9569996376374039E-3</v>
      </c>
      <c r="M226" s="8">
        <f>+VLOOKUP($B226,NIFTY_BANK!$B$3:$I$41238,8,0)</f>
        <v>1.6863373646123225E-3</v>
      </c>
      <c r="N226" s="8">
        <f>+VLOOKUP($B226,NIFTY_IT!$B$3:$I$1238,8,0)</f>
        <v>6.7494167720334453E-3</v>
      </c>
      <c r="O226" s="8">
        <f>+VLOOKUP($B226,NIFTY_PHARMA!$B$3:$I$1238,8,0)</f>
        <v>7.650755391038544E-3</v>
      </c>
      <c r="P226" s="8">
        <f>+VLOOKUP($B226,NIFTY_FMCG!$B$3:$I$1238,8,0)</f>
        <v>7.195862815170484E-3</v>
      </c>
      <c r="Q226" s="8">
        <f>+VLOOKUP($B226,NIFTY_METAL!$B$3:$I$1238,8,0)</f>
        <v>-5.6767175370966427E-3</v>
      </c>
      <c r="R226" s="8">
        <f>+VLOOKUP($B226,NIFTY_ENERGY!$B$3:$I$1238,8,0)</f>
        <v>5.0346041873681191E-3</v>
      </c>
      <c r="S226" s="8">
        <f>+VLOOKUP($B226,NIFTY_AUTO!$B$3:$I$1238,8,0)</f>
        <v>3.9905533361290768E-3</v>
      </c>
      <c r="T226" s="8">
        <v>0</v>
      </c>
      <c r="U226" s="8">
        <f>+VLOOKUP($B226,NIFTY_50!$B$63:$K$1238,10,0)</f>
        <v>6.0600956507980364E-2</v>
      </c>
      <c r="V226" s="8">
        <f>+VLOOKUP($B226,NIFTY_BANK!$B$63:$K$1238,10,0)</f>
        <v>6.8411596857716583E-2</v>
      </c>
      <c r="W226" s="8">
        <f>+VLOOKUP($B226,NIFTY_IT!$B$63:$K$1238,10,0)</f>
        <v>7.6185037121644816E-2</v>
      </c>
      <c r="X226" s="8">
        <f>+VLOOKUP($B226,NIFTY_PHARMA!$B$63:$K$1238,10,0)</f>
        <v>5.6316659240500666E-2</v>
      </c>
      <c r="Y226" s="8">
        <f>+VLOOKUP($B226,NIFTY_FMCG!$B$63:$K$1238,10,0)</f>
        <v>1.7301553105231182E-2</v>
      </c>
      <c r="Z226" s="8">
        <f>+VLOOKUP($B226,NIFTY_METAL!$B$63:$K$1238,10,0)</f>
        <v>0.11136031635950472</v>
      </c>
      <c r="AA226" s="8">
        <f>+VLOOKUP($B226,NIFTY_ENERGY!$B$63:$K$1238,10,0)</f>
        <v>0.13051168518438638</v>
      </c>
      <c r="AB226" s="8">
        <f>+VLOOKUP($B226,NIFTY_AUTO!$B$63:$K$1238,10,0)</f>
        <v>8.268196315513876E-2</v>
      </c>
      <c r="AC226" s="8"/>
      <c r="AD226" s="16">
        <f t="shared" si="132"/>
        <v>4.4546158953410214E-2</v>
      </c>
      <c r="AE226" s="8">
        <f t="shared" si="133"/>
        <v>6.3921624930837501E-2</v>
      </c>
      <c r="AF226" s="8">
        <f t="shared" si="134"/>
        <v>4.7972801512318912E-2</v>
      </c>
      <c r="AG226" s="8">
        <f t="shared" si="135"/>
        <v>0.10761614833422946</v>
      </c>
      <c r="AH226" s="8">
        <f t="shared" si="136"/>
        <v>5.5570360613321532E-2</v>
      </c>
      <c r="AI226" s="8">
        <f t="shared" si="137"/>
        <v>0.10183374004677784</v>
      </c>
      <c r="AJ226" s="8">
        <f t="shared" si="138"/>
        <v>7.6477094475661353E-2</v>
      </c>
      <c r="AK226" s="8">
        <f t="shared" si="139"/>
        <v>5.4977902943277049E-2</v>
      </c>
      <c r="AL226" s="9">
        <v>0</v>
      </c>
      <c r="AM226" s="17">
        <f t="shared" si="116"/>
        <v>22.44862460635218</v>
      </c>
      <c r="AN226" s="13">
        <f t="shared" si="117"/>
        <v>15.644157999456194</v>
      </c>
      <c r="AO226" s="13">
        <f t="shared" si="118"/>
        <v>20.845144925363812</v>
      </c>
      <c r="AP226" s="13">
        <f t="shared" si="119"/>
        <v>9.2922857347973871</v>
      </c>
      <c r="AQ226" s="13">
        <f t="shared" si="120"/>
        <v>17.995204439257794</v>
      </c>
      <c r="AR226" s="13">
        <f t="shared" si="121"/>
        <v>9.8199280468403209</v>
      </c>
      <c r="AS226" s="13">
        <f t="shared" si="122"/>
        <v>13.075810565976033</v>
      </c>
      <c r="AT226" s="13">
        <f t="shared" si="123"/>
        <v>18.189125929953001</v>
      </c>
      <c r="AU226" s="9">
        <v>0</v>
      </c>
      <c r="AV226" s="18">
        <f t="shared" si="140"/>
        <v>1</v>
      </c>
      <c r="AW226" s="18">
        <f t="shared" si="141"/>
        <v>5</v>
      </c>
      <c r="AX226" s="18">
        <f t="shared" si="142"/>
        <v>2</v>
      </c>
      <c r="AY226" s="18">
        <f t="shared" si="143"/>
        <v>8</v>
      </c>
      <c r="AZ226" s="18">
        <f t="shared" si="144"/>
        <v>4</v>
      </c>
      <c r="BA226" s="18">
        <f t="shared" si="145"/>
        <v>7</v>
      </c>
      <c r="BB226" s="18">
        <f t="shared" si="146"/>
        <v>6</v>
      </c>
      <c r="BC226" s="18">
        <f t="shared" si="147"/>
        <v>3</v>
      </c>
      <c r="BD226" s="18">
        <f t="shared" si="148"/>
        <v>9</v>
      </c>
      <c r="BE226" s="8">
        <f t="shared" si="150"/>
        <v>4.8928923251021494E-3</v>
      </c>
    </row>
    <row r="227" spans="1:57" x14ac:dyDescent="0.25">
      <c r="A227" t="str">
        <f t="shared" si="149"/>
        <v/>
      </c>
      <c r="B227" s="1">
        <v>43066</v>
      </c>
      <c r="C227" s="9">
        <f t="shared" si="124"/>
        <v>0.24580385473076891</v>
      </c>
      <c r="D227" s="9">
        <f t="shared" si="125"/>
        <v>0.25280517879502457</v>
      </c>
      <c r="E227" s="9">
        <f t="shared" si="126"/>
        <v>0.25502212512536426</v>
      </c>
      <c r="F227" s="9">
        <f t="shared" si="127"/>
        <v>0</v>
      </c>
      <c r="G227" s="9">
        <f t="shared" si="128"/>
        <v>0.24636884134884224</v>
      </c>
      <c r="H227" s="9">
        <f t="shared" si="129"/>
        <v>0</v>
      </c>
      <c r="I227" s="9">
        <f t="shared" si="130"/>
        <v>0</v>
      </c>
      <c r="J227" s="9">
        <f t="shared" si="131"/>
        <v>0</v>
      </c>
      <c r="K227" s="9">
        <v>0</v>
      </c>
      <c r="L227" s="8">
        <f>+VLOOKUP($B227,NIFTY_50!$B$3:$I$1238,8,0)</f>
        <v>9.4805432303135539E-4</v>
      </c>
      <c r="M227" s="8">
        <f>+VLOOKUP($B227,NIFTY_BANK!$B$3:$I$41238,8,0)</f>
        <v>4.3561491331340907E-3</v>
      </c>
      <c r="N227" s="8">
        <f>+VLOOKUP($B227,NIFTY_IT!$B$3:$I$1238,8,0)</f>
        <v>6.9429703530743403E-4</v>
      </c>
      <c r="O227" s="8">
        <f>+VLOOKUP($B227,NIFTY_PHARMA!$B$3:$I$1238,8,0)</f>
        <v>4.6986961118311577E-4</v>
      </c>
      <c r="P227" s="8">
        <f>+VLOOKUP($B227,NIFTY_FMCG!$B$3:$I$1238,8,0)</f>
        <v>-2.4796697880730134E-3</v>
      </c>
      <c r="Q227" s="8">
        <f>+VLOOKUP($B227,NIFTY_METAL!$B$3:$I$1238,8,0)</f>
        <v>-6.9438912344991222E-3</v>
      </c>
      <c r="R227" s="8">
        <f>+VLOOKUP($B227,NIFTY_ENERGY!$B$3:$I$1238,8,0)</f>
        <v>2.8793550244745614E-3</v>
      </c>
      <c r="S227" s="8">
        <f>+VLOOKUP($B227,NIFTY_AUTO!$B$3:$I$1238,8,0)</f>
        <v>2.7040217376967934E-3</v>
      </c>
      <c r="T227" s="8">
        <v>0</v>
      </c>
      <c r="U227" s="8">
        <f>+VLOOKUP($B227,NIFTY_50!$B$63:$K$1238,10,0)</f>
        <v>5.2117478046214138E-2</v>
      </c>
      <c r="V227" s="8">
        <f>+VLOOKUP($B227,NIFTY_BANK!$B$63:$K$1238,10,0)</f>
        <v>6.5131002480593336E-2</v>
      </c>
      <c r="W227" s="8">
        <f>+VLOOKUP($B227,NIFTY_IT!$B$63:$K$1238,10,0)</f>
        <v>7.8240773830795973E-2</v>
      </c>
      <c r="X227" s="8">
        <f>+VLOOKUP($B227,NIFTY_PHARMA!$B$63:$K$1238,10,0)</f>
        <v>5.1711654065704771E-2</v>
      </c>
      <c r="Y227" s="8">
        <f>+VLOOKUP($B227,NIFTY_FMCG!$B$63:$K$1238,10,0)</f>
        <v>5.78270313710183E-3</v>
      </c>
      <c r="Z227" s="8">
        <f>+VLOOKUP($B227,NIFTY_METAL!$B$63:$K$1238,10,0)</f>
        <v>7.5196940946466562E-2</v>
      </c>
      <c r="AA227" s="8">
        <f>+VLOOKUP($B227,NIFTY_ENERGY!$B$63:$K$1238,10,0)</f>
        <v>0.112454110964882</v>
      </c>
      <c r="AB227" s="8">
        <f>+VLOOKUP($B227,NIFTY_AUTO!$B$63:$K$1238,10,0)</f>
        <v>7.8539775924936217E-2</v>
      </c>
      <c r="AC227" s="8"/>
      <c r="AD227" s="16">
        <f t="shared" si="132"/>
        <v>4.3802847018090209E-2</v>
      </c>
      <c r="AE227" s="8">
        <f t="shared" si="133"/>
        <v>6.3688450398247956E-2</v>
      </c>
      <c r="AF227" s="8">
        <f t="shared" si="134"/>
        <v>4.7913170937980719E-2</v>
      </c>
      <c r="AG227" s="8">
        <f t="shared" si="135"/>
        <v>0.10754682149607643</v>
      </c>
      <c r="AH227" s="8">
        <f t="shared" si="136"/>
        <v>5.4946094827018538E-2</v>
      </c>
      <c r="AI227" s="8">
        <f t="shared" si="137"/>
        <v>9.9103469390533258E-2</v>
      </c>
      <c r="AJ227" s="8">
        <f t="shared" si="138"/>
        <v>7.4516775042582875E-2</v>
      </c>
      <c r="AK227" s="8">
        <f t="shared" si="139"/>
        <v>5.474393398629071E-2</v>
      </c>
      <c r="AL227" s="9">
        <v>0</v>
      </c>
      <c r="AM227" s="17">
        <f t="shared" si="116"/>
        <v>22.829566297072159</v>
      </c>
      <c r="AN227" s="13">
        <f t="shared" si="117"/>
        <v>15.701433992300583</v>
      </c>
      <c r="AO227" s="13">
        <f t="shared" si="118"/>
        <v>20.871087853784712</v>
      </c>
      <c r="AP227" s="13">
        <f t="shared" si="119"/>
        <v>9.2982757285530973</v>
      </c>
      <c r="AQ227" s="13">
        <f t="shared" si="120"/>
        <v>18.199655556017277</v>
      </c>
      <c r="AR227" s="13">
        <f t="shared" si="121"/>
        <v>10.090464099287363</v>
      </c>
      <c r="AS227" s="13">
        <f t="shared" si="122"/>
        <v>13.419797078289371</v>
      </c>
      <c r="AT227" s="13">
        <f t="shared" si="123"/>
        <v>18.266864055667352</v>
      </c>
      <c r="AU227" s="9">
        <v>0</v>
      </c>
      <c r="AV227" s="18">
        <f t="shared" si="140"/>
        <v>1</v>
      </c>
      <c r="AW227" s="18">
        <f t="shared" si="141"/>
        <v>5</v>
      </c>
      <c r="AX227" s="18">
        <f t="shared" si="142"/>
        <v>2</v>
      </c>
      <c r="AY227" s="18">
        <f t="shared" si="143"/>
        <v>8</v>
      </c>
      <c r="AZ227" s="18">
        <f t="shared" si="144"/>
        <v>4</v>
      </c>
      <c r="BA227" s="18">
        <f t="shared" si="145"/>
        <v>7</v>
      </c>
      <c r="BB227" s="18">
        <f t="shared" si="146"/>
        <v>6</v>
      </c>
      <c r="BC227" s="18">
        <f t="shared" si="147"/>
        <v>3</v>
      </c>
      <c r="BD227" s="18">
        <f t="shared" si="148"/>
        <v>9</v>
      </c>
      <c r="BE227" s="8">
        <f t="shared" si="150"/>
        <v>8.9460116533405902E-4</v>
      </c>
    </row>
    <row r="228" spans="1:57" x14ac:dyDescent="0.25">
      <c r="A228" t="str">
        <f t="shared" si="149"/>
        <v/>
      </c>
      <c r="B228" s="1">
        <v>43067</v>
      </c>
      <c r="C228" s="9">
        <f t="shared" si="124"/>
        <v>0.24556295400851963</v>
      </c>
      <c r="D228" s="9">
        <f t="shared" si="125"/>
        <v>0.25282542664129021</v>
      </c>
      <c r="E228" s="9">
        <f t="shared" si="126"/>
        <v>0.25450634108038966</v>
      </c>
      <c r="F228" s="9">
        <f t="shared" si="127"/>
        <v>0</v>
      </c>
      <c r="G228" s="9">
        <f t="shared" si="128"/>
        <v>0.24710527826980044</v>
      </c>
      <c r="H228" s="9">
        <f t="shared" si="129"/>
        <v>0</v>
      </c>
      <c r="I228" s="9">
        <f t="shared" si="130"/>
        <v>0</v>
      </c>
      <c r="J228" s="9">
        <f t="shared" si="131"/>
        <v>0</v>
      </c>
      <c r="K228" s="9">
        <v>0</v>
      </c>
      <c r="L228" s="8">
        <f>+VLOOKUP($B228,NIFTY_50!$B$3:$I$1238,8,0)</f>
        <v>-2.8174296003191657E-3</v>
      </c>
      <c r="M228" s="8">
        <f>+VLOOKUP($B228,NIFTY_BANK!$B$3:$I$41238,8,0)</f>
        <v>-1.7592340476479951E-3</v>
      </c>
      <c r="N228" s="8">
        <f>+VLOOKUP($B228,NIFTY_IT!$B$3:$I$1238,8,0)</f>
        <v>-3.857966723379791E-3</v>
      </c>
      <c r="O228" s="8">
        <f>+VLOOKUP($B228,NIFTY_PHARMA!$B$3:$I$1238,8,0)</f>
        <v>-5.3582674223745519E-3</v>
      </c>
      <c r="P228" s="8">
        <f>+VLOOKUP($B228,NIFTY_FMCG!$B$3:$I$1238,8,0)</f>
        <v>1.1444871616719254E-3</v>
      </c>
      <c r="Q228" s="8">
        <f>+VLOOKUP($B228,NIFTY_METAL!$B$3:$I$1238,8,0)</f>
        <v>-1.0428504579182984E-3</v>
      </c>
      <c r="R228" s="8">
        <f>+VLOOKUP($B228,NIFTY_ENERGY!$B$3:$I$1238,8,0)</f>
        <v>-9.3535208880310972E-3</v>
      </c>
      <c r="S228" s="8">
        <f>+VLOOKUP($B228,NIFTY_AUTO!$B$3:$I$1238,8,0)</f>
        <v>3.2448455190436931E-4</v>
      </c>
      <c r="T228" s="8">
        <v>0</v>
      </c>
      <c r="U228" s="8">
        <f>+VLOOKUP($B228,NIFTY_50!$B$63:$K$1238,10,0)</f>
        <v>4.5609453614172457E-2</v>
      </c>
      <c r="V228" s="8">
        <f>+VLOOKUP($B228,NIFTY_BANK!$B$63:$K$1238,10,0)</f>
        <v>6.2833081123758072E-2</v>
      </c>
      <c r="W228" s="8">
        <f>+VLOOKUP($B228,NIFTY_IT!$B$63:$K$1238,10,0)</f>
        <v>6.7468567234153509E-2</v>
      </c>
      <c r="X228" s="8">
        <f>+VLOOKUP($B228,NIFTY_PHARMA!$B$63:$K$1238,10,0)</f>
        <v>5.1790984971189724E-2</v>
      </c>
      <c r="Y228" s="8">
        <f>+VLOOKUP($B228,NIFTY_FMCG!$B$63:$K$1238,10,0)</f>
        <v>3.9307293622192763E-3</v>
      </c>
      <c r="Z228" s="8">
        <f>+VLOOKUP($B228,NIFTY_METAL!$B$63:$K$1238,10,0)</f>
        <v>7.5111155877232161E-2</v>
      </c>
      <c r="AA228" s="8">
        <f>+VLOOKUP($B228,NIFTY_ENERGY!$B$63:$K$1238,10,0)</f>
        <v>8.8912209459279579E-2</v>
      </c>
      <c r="AB228" s="8">
        <f>+VLOOKUP($B228,NIFTY_AUTO!$B$63:$K$1238,10,0)</f>
        <v>7.4802945569161006E-2</v>
      </c>
      <c r="AC228" s="8"/>
      <c r="AD228" s="16">
        <f t="shared" si="132"/>
        <v>4.3875364802883607E-2</v>
      </c>
      <c r="AE228" s="8">
        <f t="shared" si="133"/>
        <v>6.3747063698372936E-2</v>
      </c>
      <c r="AF228" s="8">
        <f t="shared" si="134"/>
        <v>4.7913966816836427E-2</v>
      </c>
      <c r="AG228" s="8">
        <f t="shared" si="135"/>
        <v>0.10754241413403468</v>
      </c>
      <c r="AH228" s="8">
        <f t="shared" si="136"/>
        <v>5.4880049271298074E-2</v>
      </c>
      <c r="AI228" s="8">
        <f t="shared" si="137"/>
        <v>9.910529704223843E-2</v>
      </c>
      <c r="AJ228" s="8">
        <f t="shared" si="138"/>
        <v>7.4592400496616265E-2</v>
      </c>
      <c r="AK228" s="8">
        <f t="shared" si="139"/>
        <v>5.4691359101131182E-2</v>
      </c>
      <c r="AL228" s="9">
        <v>0</v>
      </c>
      <c r="AM228" s="17">
        <f t="shared" si="116"/>
        <v>22.791833287145167</v>
      </c>
      <c r="AN228" s="13">
        <f t="shared" si="117"/>
        <v>15.686997047136522</v>
      </c>
      <c r="AO228" s="13">
        <f t="shared" si="118"/>
        <v>20.870741172876784</v>
      </c>
      <c r="AP228" s="13">
        <f t="shared" si="119"/>
        <v>9.2986567955751624</v>
      </c>
      <c r="AQ228" s="13">
        <f t="shared" si="120"/>
        <v>18.221557984697252</v>
      </c>
      <c r="AR228" s="13">
        <f t="shared" si="121"/>
        <v>10.090278015854214</v>
      </c>
      <c r="AS228" s="13">
        <f t="shared" si="122"/>
        <v>13.406191426234674</v>
      </c>
      <c r="AT228" s="13">
        <f t="shared" si="123"/>
        <v>18.284424019356962</v>
      </c>
      <c r="AU228" s="9">
        <v>0</v>
      </c>
      <c r="AV228" s="18">
        <f t="shared" si="140"/>
        <v>1</v>
      </c>
      <c r="AW228" s="18">
        <f t="shared" si="141"/>
        <v>5</v>
      </c>
      <c r="AX228" s="18">
        <f t="shared" si="142"/>
        <v>2</v>
      </c>
      <c r="AY228" s="18">
        <f t="shared" si="143"/>
        <v>8</v>
      </c>
      <c r="AZ228" s="18">
        <f t="shared" si="144"/>
        <v>4</v>
      </c>
      <c r="BA228" s="18">
        <f t="shared" si="145"/>
        <v>7</v>
      </c>
      <c r="BB228" s="18">
        <f t="shared" si="146"/>
        <v>6</v>
      </c>
      <c r="BC228" s="18">
        <f t="shared" si="147"/>
        <v>3</v>
      </c>
      <c r="BD228" s="18">
        <f t="shared" si="148"/>
        <v>9</v>
      </c>
      <c r="BE228" s="8">
        <f t="shared" si="150"/>
        <v>-1.8391794306484815E-3</v>
      </c>
    </row>
    <row r="229" spans="1:57" x14ac:dyDescent="0.25">
      <c r="A229" t="str">
        <f t="shared" si="149"/>
        <v/>
      </c>
      <c r="B229" s="1">
        <v>43068</v>
      </c>
      <c r="C229" s="9">
        <f t="shared" si="124"/>
        <v>0.24564856808988839</v>
      </c>
      <c r="D229" s="9">
        <f t="shared" si="125"/>
        <v>0.25263549638199323</v>
      </c>
      <c r="E229" s="9">
        <f t="shared" si="126"/>
        <v>0.25396376805925303</v>
      </c>
      <c r="F229" s="9">
        <f t="shared" si="127"/>
        <v>0</v>
      </c>
      <c r="G229" s="9">
        <f t="shared" si="128"/>
        <v>0.24775216746886533</v>
      </c>
      <c r="H229" s="9">
        <f t="shared" si="129"/>
        <v>0</v>
      </c>
      <c r="I229" s="9">
        <f t="shared" si="130"/>
        <v>0</v>
      </c>
      <c r="J229" s="9">
        <f t="shared" si="131"/>
        <v>0</v>
      </c>
      <c r="K229" s="9">
        <v>0</v>
      </c>
      <c r="L229" s="8">
        <f>+VLOOKUP($B229,NIFTY_50!$B$3:$I$1238,8,0)</f>
        <v>-8.6304573178086486E-4</v>
      </c>
      <c r="M229" s="8">
        <f>+VLOOKUP($B229,NIFTY_BANK!$B$3:$I$41238,8,0)</f>
        <v>-1.9615884610623135E-3</v>
      </c>
      <c r="N229" s="8">
        <f>+VLOOKUP($B229,NIFTY_IT!$B$3:$I$1238,8,0)</f>
        <v>-3.3405497489041869E-3</v>
      </c>
      <c r="O229" s="8">
        <f>+VLOOKUP($B229,NIFTY_PHARMA!$B$3:$I$1238,8,0)</f>
        <v>3.5789021838279478E-3</v>
      </c>
      <c r="P229" s="8">
        <f>+VLOOKUP($B229,NIFTY_FMCG!$B$3:$I$1238,8,0)</f>
        <v>1.4034303075400878E-3</v>
      </c>
      <c r="Q229" s="8">
        <f>+VLOOKUP($B229,NIFTY_METAL!$B$3:$I$1238,8,0)</f>
        <v>-3.7340899661388871E-3</v>
      </c>
      <c r="R229" s="8">
        <f>+VLOOKUP($B229,NIFTY_ENERGY!$B$3:$I$1238,8,0)</f>
        <v>1.6900326483579864E-3</v>
      </c>
      <c r="S229" s="8">
        <f>+VLOOKUP($B229,NIFTY_AUTO!$B$3:$I$1238,8,0)</f>
        <v>1.8892902230327469E-3</v>
      </c>
      <c r="T229" s="8">
        <v>0</v>
      </c>
      <c r="U229" s="8">
        <f>+VLOOKUP($B229,NIFTY_50!$B$63:$K$1238,10,0)</f>
        <v>3.878930060956054E-2</v>
      </c>
      <c r="V229" s="8">
        <f>+VLOOKUP($B229,NIFTY_BANK!$B$63:$K$1238,10,0)</f>
        <v>5.5729720880739908E-2</v>
      </c>
      <c r="W229" s="8">
        <f>+VLOOKUP($B229,NIFTY_IT!$B$63:$K$1238,10,0)</f>
        <v>6.833961043901704E-2</v>
      </c>
      <c r="X229" s="8">
        <f>+VLOOKUP($B229,NIFTY_PHARMA!$B$63:$K$1238,10,0)</f>
        <v>3.088175314439412E-2</v>
      </c>
      <c r="Y229" s="8">
        <f>+VLOOKUP($B229,NIFTY_FMCG!$B$63:$K$1238,10,0)</f>
        <v>2.5514585966976977E-3</v>
      </c>
      <c r="Z229" s="8">
        <f>+VLOOKUP($B229,NIFTY_METAL!$B$63:$K$1238,10,0)</f>
        <v>5.0642201834862455E-2</v>
      </c>
      <c r="AA229" s="8">
        <f>+VLOOKUP($B229,NIFTY_ENERGY!$B$63:$K$1238,10,0)</f>
        <v>8.5083687943262376E-2</v>
      </c>
      <c r="AB229" s="8">
        <f>+VLOOKUP($B229,NIFTY_AUTO!$B$63:$K$1238,10,0)</f>
        <v>5.5836320632691505E-2</v>
      </c>
      <c r="AC229" s="8"/>
      <c r="AD229" s="16">
        <f t="shared" si="132"/>
        <v>4.3616935374239774E-2</v>
      </c>
      <c r="AE229" s="8">
        <f t="shared" si="133"/>
        <v>6.3702971467840722E-2</v>
      </c>
      <c r="AF229" s="8">
        <f t="shared" si="134"/>
        <v>4.7831758462946607E-2</v>
      </c>
      <c r="AG229" s="8">
        <f t="shared" si="135"/>
        <v>0.10505288146453101</v>
      </c>
      <c r="AH229" s="8">
        <f t="shared" si="136"/>
        <v>5.4829452661955054E-2</v>
      </c>
      <c r="AI229" s="8">
        <f t="shared" si="137"/>
        <v>9.7502985677555554E-2</v>
      </c>
      <c r="AJ229" s="8">
        <f t="shared" si="138"/>
        <v>7.4495525947889329E-2</v>
      </c>
      <c r="AK229" s="8">
        <f t="shared" si="139"/>
        <v>5.1355539661971622E-2</v>
      </c>
      <c r="AL229" s="9">
        <v>0</v>
      </c>
      <c r="AM229" s="17">
        <f t="shared" si="116"/>
        <v>22.926874422053078</v>
      </c>
      <c r="AN229" s="13">
        <f t="shared" si="117"/>
        <v>15.697854856030251</v>
      </c>
      <c r="AO229" s="13">
        <f t="shared" si="118"/>
        <v>20.906611676730659</v>
      </c>
      <c r="AP229" s="13">
        <f t="shared" si="119"/>
        <v>9.5190154335521946</v>
      </c>
      <c r="AQ229" s="13">
        <f t="shared" si="120"/>
        <v>18.238372835223977</v>
      </c>
      <c r="AR229" s="13">
        <f t="shared" si="121"/>
        <v>10.25609619080816</v>
      </c>
      <c r="AS229" s="13">
        <f t="shared" si="122"/>
        <v>13.423624939563673</v>
      </c>
      <c r="AT229" s="13">
        <f t="shared" si="123"/>
        <v>19.472096030576662</v>
      </c>
      <c r="AU229" s="9">
        <v>0</v>
      </c>
      <c r="AV229" s="18">
        <f t="shared" si="140"/>
        <v>1</v>
      </c>
      <c r="AW229" s="18">
        <f t="shared" si="141"/>
        <v>5</v>
      </c>
      <c r="AX229" s="18">
        <f t="shared" si="142"/>
        <v>2</v>
      </c>
      <c r="AY229" s="18">
        <f t="shared" si="143"/>
        <v>8</v>
      </c>
      <c r="AZ229" s="18">
        <f t="shared" si="144"/>
        <v>4</v>
      </c>
      <c r="BA229" s="18">
        <f t="shared" si="145"/>
        <v>7</v>
      </c>
      <c r="BB229" s="18">
        <f t="shared" si="146"/>
        <v>6</v>
      </c>
      <c r="BC229" s="18">
        <f t="shared" si="147"/>
        <v>3</v>
      </c>
      <c r="BD229" s="18">
        <f t="shared" si="148"/>
        <v>9</v>
      </c>
      <c r="BE229" s="8">
        <f t="shared" si="150"/>
        <v>-1.2112675560169192E-3</v>
      </c>
    </row>
    <row r="230" spans="1:57" x14ac:dyDescent="0.25">
      <c r="A230" t="str">
        <f t="shared" si="149"/>
        <v>Y</v>
      </c>
      <c r="B230" s="1">
        <v>43069</v>
      </c>
      <c r="C230" s="9">
        <f t="shared" si="124"/>
        <v>0.25</v>
      </c>
      <c r="D230" s="9">
        <f t="shared" si="125"/>
        <v>0</v>
      </c>
      <c r="E230" s="9">
        <f t="shared" si="126"/>
        <v>0.25</v>
      </c>
      <c r="F230" s="9">
        <f t="shared" si="127"/>
        <v>0</v>
      </c>
      <c r="G230" s="9">
        <f t="shared" si="128"/>
        <v>0.25</v>
      </c>
      <c r="H230" s="9">
        <f t="shared" si="129"/>
        <v>0</v>
      </c>
      <c r="I230" s="9">
        <f t="shared" si="130"/>
        <v>0</v>
      </c>
      <c r="J230" s="9">
        <f t="shared" si="131"/>
        <v>0.25</v>
      </c>
      <c r="K230" s="9">
        <v>0</v>
      </c>
      <c r="L230" s="8">
        <f>+VLOOKUP($B230,NIFTY_50!$B$3:$I$1238,8,0)</f>
        <v>-1.3005124839547189E-2</v>
      </c>
      <c r="M230" s="8">
        <f>+VLOOKUP($B230,NIFTY_BANK!$B$3:$I$41238,8,0)</f>
        <v>-1.7960357734040922E-2</v>
      </c>
      <c r="N230" s="8">
        <f>+VLOOKUP($B230,NIFTY_IT!$B$3:$I$1238,8,0)</f>
        <v>-1.0469199987536704E-2</v>
      </c>
      <c r="O230" s="8">
        <f>+VLOOKUP($B230,NIFTY_PHARMA!$B$3:$I$1238,8,0)</f>
        <v>-1.209386378096311E-2</v>
      </c>
      <c r="P230" s="8">
        <f>+VLOOKUP($B230,NIFTY_FMCG!$B$3:$I$1238,8,0)</f>
        <v>-5.8830663558292473E-3</v>
      </c>
      <c r="Q230" s="8">
        <f>+VLOOKUP($B230,NIFTY_METAL!$B$3:$I$1238,8,0)</f>
        <v>-1.1701012923506893E-2</v>
      </c>
      <c r="R230" s="8">
        <f>+VLOOKUP($B230,NIFTY_ENERGY!$B$3:$I$1238,8,0)</f>
        <v>-1.5254349546308665E-2</v>
      </c>
      <c r="S230" s="8">
        <f>+VLOOKUP($B230,NIFTY_AUTO!$B$3:$I$1238,8,0)</f>
        <v>-1.1817517577518366E-2</v>
      </c>
      <c r="T230" s="8">
        <v>0</v>
      </c>
      <c r="U230" s="8">
        <f>+VLOOKUP($B230,NIFTY_50!$B$63:$K$1238,10,0)</f>
        <v>3.1645793086750862E-2</v>
      </c>
      <c r="V230" s="8">
        <f>+VLOOKUP($B230,NIFTY_BANK!$B$63:$K$1238,10,0)</f>
        <v>4.5201831096037814E-2</v>
      </c>
      <c r="W230" s="8">
        <f>+VLOOKUP($B230,NIFTY_IT!$B$63:$K$1238,10,0)</f>
        <v>6.4510259295616157E-2</v>
      </c>
      <c r="X230" s="8">
        <f>+VLOOKUP($B230,NIFTY_PHARMA!$B$63:$K$1238,10,0)</f>
        <v>1.856598697955425E-2</v>
      </c>
      <c r="Y230" s="8">
        <f>+VLOOKUP($B230,NIFTY_FMCG!$B$63:$K$1238,10,0)</f>
        <v>2.2766619826561918E-3</v>
      </c>
      <c r="Z230" s="8">
        <f>+VLOOKUP($B230,NIFTY_METAL!$B$63:$K$1238,10,0)</f>
        <v>3.68559025820272E-2</v>
      </c>
      <c r="AA230" s="8">
        <f>+VLOOKUP($B230,NIFTY_ENERGY!$B$63:$K$1238,10,0)</f>
        <v>7.2987765737227317E-2</v>
      </c>
      <c r="AB230" s="8">
        <f>+VLOOKUP($B230,NIFTY_AUTO!$B$63:$K$1238,10,0)</f>
        <v>5.1637115398942113E-2</v>
      </c>
      <c r="AC230" s="8"/>
      <c r="AD230" s="16">
        <f t="shared" si="132"/>
        <v>4.5182622859390169E-2</v>
      </c>
      <c r="AE230" s="8">
        <f t="shared" si="133"/>
        <v>6.5819347430178546E-2</v>
      </c>
      <c r="AF230" s="8">
        <f t="shared" si="134"/>
        <v>4.8552895348358389E-2</v>
      </c>
      <c r="AG230" s="8">
        <f t="shared" si="135"/>
        <v>0.10580210625757273</v>
      </c>
      <c r="AH230" s="8">
        <f t="shared" si="136"/>
        <v>5.4858331573563818E-2</v>
      </c>
      <c r="AI230" s="8">
        <f t="shared" si="137"/>
        <v>9.8296438676687359E-2</v>
      </c>
      <c r="AJ230" s="8">
        <f t="shared" si="138"/>
        <v>7.611674294461894E-2</v>
      </c>
      <c r="AK230" s="8">
        <f t="shared" si="139"/>
        <v>5.2173070867196095E-2</v>
      </c>
      <c r="AL230" s="9">
        <v>0</v>
      </c>
      <c r="AM230" s="17">
        <f t="shared" si="116"/>
        <v>22.132402607790908</v>
      </c>
      <c r="AN230" s="13">
        <f t="shared" si="117"/>
        <v>15.193101102389452</v>
      </c>
      <c r="AO230" s="13">
        <f t="shared" si="118"/>
        <v>20.596094070707377</v>
      </c>
      <c r="AP230" s="13">
        <f t="shared" si="119"/>
        <v>9.4516076793927297</v>
      </c>
      <c r="AQ230" s="13">
        <f t="shared" si="120"/>
        <v>18.228771661767038</v>
      </c>
      <c r="AR230" s="13">
        <f t="shared" si="121"/>
        <v>10.173308549754882</v>
      </c>
      <c r="AS230" s="13">
        <f t="shared" si="122"/>
        <v>13.137714007647181</v>
      </c>
      <c r="AT230" s="13">
        <f t="shared" si="123"/>
        <v>19.166976054475484</v>
      </c>
      <c r="AU230" s="9">
        <v>0</v>
      </c>
      <c r="AV230" s="18">
        <f t="shared" si="140"/>
        <v>1</v>
      </c>
      <c r="AW230" s="18">
        <f t="shared" si="141"/>
        <v>5</v>
      </c>
      <c r="AX230" s="18">
        <f t="shared" si="142"/>
        <v>2</v>
      </c>
      <c r="AY230" s="18">
        <f t="shared" si="143"/>
        <v>8</v>
      </c>
      <c r="AZ230" s="18">
        <f t="shared" si="144"/>
        <v>4</v>
      </c>
      <c r="BA230" s="18">
        <f t="shared" si="145"/>
        <v>7</v>
      </c>
      <c r="BB230" s="18">
        <f t="shared" si="146"/>
        <v>6</v>
      </c>
      <c r="BC230" s="18">
        <f t="shared" si="147"/>
        <v>3</v>
      </c>
      <c r="BD230" s="18">
        <f t="shared" si="148"/>
        <v>9</v>
      </c>
      <c r="BE230" s="8">
        <f t="shared" si="150"/>
        <v>-1.1848454104423168E-2</v>
      </c>
    </row>
    <row r="231" spans="1:57" x14ac:dyDescent="0.25">
      <c r="A231" t="str">
        <f t="shared" si="149"/>
        <v/>
      </c>
      <c r="B231" s="1">
        <v>43070</v>
      </c>
      <c r="C231" s="9">
        <f t="shared" si="124"/>
        <v>0.24996770819341085</v>
      </c>
      <c r="D231" s="9">
        <f t="shared" si="125"/>
        <v>0</v>
      </c>
      <c r="E231" s="9">
        <f t="shared" si="126"/>
        <v>0.24876357141387206</v>
      </c>
      <c r="F231" s="9">
        <f t="shared" si="127"/>
        <v>0</v>
      </c>
      <c r="G231" s="9">
        <f t="shared" si="128"/>
        <v>0.25105562155353939</v>
      </c>
      <c r="H231" s="9">
        <f t="shared" si="129"/>
        <v>0</v>
      </c>
      <c r="I231" s="9">
        <f t="shared" si="130"/>
        <v>0</v>
      </c>
      <c r="J231" s="9">
        <f t="shared" si="131"/>
        <v>0.25021309883917764</v>
      </c>
      <c r="K231" s="9">
        <v>0</v>
      </c>
      <c r="L231" s="8">
        <f>+VLOOKUP($B231,NIFTY_50!$B$3:$I$1238,8,0)</f>
        <v>-1.0242946057076874E-2</v>
      </c>
      <c r="M231" s="8">
        <f>+VLOOKUP($B231,NIFTY_BANK!$B$3:$I$41238,8,0)</f>
        <v>-5.5442832104340978E-3</v>
      </c>
      <c r="N231" s="8">
        <f>+VLOOKUP($B231,NIFTY_IT!$B$3:$I$1238,8,0)</f>
        <v>-1.5010773389951715E-2</v>
      </c>
      <c r="O231" s="8">
        <f>+VLOOKUP($B231,NIFTY_PHARMA!$B$3:$I$1238,8,0)</f>
        <v>-1.6766337437423839E-2</v>
      </c>
      <c r="P231" s="8">
        <f>+VLOOKUP($B231,NIFTY_FMCG!$B$3:$I$1238,8,0)</f>
        <v>-5.9353099626066053E-3</v>
      </c>
      <c r="Q231" s="8">
        <f>+VLOOKUP($B231,NIFTY_METAL!$B$3:$I$1238,8,0)</f>
        <v>-1.6433998939741956E-2</v>
      </c>
      <c r="R231" s="8">
        <f>+VLOOKUP($B231,NIFTY_ENERGY!$B$3:$I$1238,8,0)</f>
        <v>-1.2995012265790584E-2</v>
      </c>
      <c r="S231" s="8">
        <f>+VLOOKUP($B231,NIFTY_AUTO!$B$3:$I$1238,8,0)</f>
        <v>-9.2713120633317603E-3</v>
      </c>
      <c r="T231" s="8">
        <v>0</v>
      </c>
      <c r="U231" s="8">
        <f>+VLOOKUP($B231,NIFTY_50!$B$63:$K$1238,10,0)</f>
        <v>1.7041458170052648E-2</v>
      </c>
      <c r="V231" s="8">
        <f>+VLOOKUP($B231,NIFTY_BANK!$B$63:$K$1238,10,0)</f>
        <v>3.549980886457349E-2</v>
      </c>
      <c r="W231" s="8">
        <f>+VLOOKUP($B231,NIFTY_IT!$B$63:$K$1238,10,0)</f>
        <v>4.2912935797294827E-2</v>
      </c>
      <c r="X231" s="8">
        <f>+VLOOKUP($B231,NIFTY_PHARMA!$B$63:$K$1238,10,0)</f>
        <v>5.1175090732051842E-3</v>
      </c>
      <c r="Y231" s="8">
        <f>+VLOOKUP($B231,NIFTY_FMCG!$B$63:$K$1238,10,0)</f>
        <v>-5.8910333128058268E-3</v>
      </c>
      <c r="Z231" s="8">
        <f>+VLOOKUP($B231,NIFTY_METAL!$B$63:$K$1238,10,0)</f>
        <v>1.1109092687562105E-2</v>
      </c>
      <c r="AA231" s="8">
        <f>+VLOOKUP($B231,NIFTY_ENERGY!$B$63:$K$1238,10,0)</f>
        <v>5.016911360366394E-2</v>
      </c>
      <c r="AB231" s="8">
        <f>+VLOOKUP($B231,NIFTY_AUTO!$B$63:$K$1238,10,0)</f>
        <v>3.8714349376114177E-2</v>
      </c>
      <c r="AC231" s="8"/>
      <c r="AD231" s="16">
        <f t="shared" si="132"/>
        <v>4.6285164358443404E-2</v>
      </c>
      <c r="AE231" s="8">
        <f t="shared" si="133"/>
        <v>6.6041162867943412E-2</v>
      </c>
      <c r="AF231" s="8">
        <f t="shared" si="134"/>
        <v>5.0886948488720961E-2</v>
      </c>
      <c r="AG231" s="8">
        <f t="shared" si="135"/>
        <v>0.10709656170903345</v>
      </c>
      <c r="AH231" s="8">
        <f t="shared" si="136"/>
        <v>5.5132574298069885E-2</v>
      </c>
      <c r="AI231" s="8">
        <f t="shared" si="137"/>
        <v>9.9405905366803007E-2</v>
      </c>
      <c r="AJ231" s="8">
        <f t="shared" si="138"/>
        <v>7.7040669918895827E-2</v>
      </c>
      <c r="AK231" s="8">
        <f t="shared" si="139"/>
        <v>5.3076092123285935E-2</v>
      </c>
      <c r="AL231" s="9">
        <v>0</v>
      </c>
      <c r="AM231" s="17">
        <f t="shared" si="116"/>
        <v>21.605194966053492</v>
      </c>
      <c r="AN231" s="13">
        <f t="shared" si="117"/>
        <v>15.142071347223402</v>
      </c>
      <c r="AO231" s="13">
        <f t="shared" si="118"/>
        <v>19.651404332520528</v>
      </c>
      <c r="AP231" s="13">
        <f t="shared" si="119"/>
        <v>9.3373679233219615</v>
      </c>
      <c r="AQ231" s="13">
        <f t="shared" si="120"/>
        <v>18.138097354090149</v>
      </c>
      <c r="AR231" s="13">
        <f t="shared" si="121"/>
        <v>10.059764521132303</v>
      </c>
      <c r="AS231" s="13">
        <f t="shared" si="122"/>
        <v>12.980157117698287</v>
      </c>
      <c r="AT231" s="13">
        <f t="shared" si="123"/>
        <v>18.840874676251318</v>
      </c>
      <c r="AU231" s="9">
        <v>0</v>
      </c>
      <c r="AV231" s="18">
        <f t="shared" si="140"/>
        <v>1</v>
      </c>
      <c r="AW231" s="18">
        <f t="shared" si="141"/>
        <v>5</v>
      </c>
      <c r="AX231" s="18">
        <f t="shared" si="142"/>
        <v>2</v>
      </c>
      <c r="AY231" s="18">
        <f t="shared" si="143"/>
        <v>8</v>
      </c>
      <c r="AZ231" s="18">
        <f t="shared" si="144"/>
        <v>4</v>
      </c>
      <c r="BA231" s="18">
        <f t="shared" si="145"/>
        <v>7</v>
      </c>
      <c r="BB231" s="18">
        <f t="shared" si="146"/>
        <v>6</v>
      </c>
      <c r="BC231" s="18">
        <f t="shared" si="147"/>
        <v>3</v>
      </c>
      <c r="BD231" s="18">
        <f t="shared" si="148"/>
        <v>9</v>
      </c>
      <c r="BE231" s="8">
        <f t="shared" si="150"/>
        <v>-1.0115085368241739E-2</v>
      </c>
    </row>
    <row r="232" spans="1:57" x14ac:dyDescent="0.25">
      <c r="A232" t="str">
        <f t="shared" si="149"/>
        <v/>
      </c>
      <c r="B232" s="1">
        <v>43073</v>
      </c>
      <c r="C232" s="9">
        <f t="shared" si="124"/>
        <v>0.24925822188717253</v>
      </c>
      <c r="D232" s="9">
        <f t="shared" si="125"/>
        <v>0</v>
      </c>
      <c r="E232" s="9">
        <f t="shared" si="126"/>
        <v>0.25092674519850788</v>
      </c>
      <c r="F232" s="9">
        <f t="shared" si="127"/>
        <v>0</v>
      </c>
      <c r="G232" s="9">
        <f t="shared" si="128"/>
        <v>0.25108497559038073</v>
      </c>
      <c r="H232" s="9">
        <f t="shared" si="129"/>
        <v>0</v>
      </c>
      <c r="I232" s="9">
        <f t="shared" si="130"/>
        <v>0</v>
      </c>
      <c r="J232" s="9">
        <f t="shared" si="131"/>
        <v>0.24873005732393888</v>
      </c>
      <c r="K232" s="9">
        <v>0</v>
      </c>
      <c r="L232" s="8">
        <f>+VLOOKUP($B232,NIFTY_50!$B$3:$I$1238,8,0)</f>
        <v>5.8784010749080018E-4</v>
      </c>
      <c r="M232" s="8">
        <f>+VLOOKUP($B232,NIFTY_BANK!$B$3:$I$41238,8,0)</f>
        <v>-4.6383864686934118E-3</v>
      </c>
      <c r="N232" s="8">
        <f>+VLOOKUP($B232,NIFTY_IT!$B$3:$I$1238,8,0)</f>
        <v>1.2161483308215759E-2</v>
      </c>
      <c r="O232" s="8">
        <f>+VLOOKUP($B232,NIFTY_PHARMA!$B$3:$I$1238,8,0)</f>
        <v>-3.5062225818348614E-3</v>
      </c>
      <c r="P232" s="8">
        <f>+VLOOKUP($B232,NIFTY_FMCG!$B$3:$I$1238,8,0)</f>
        <v>3.5532282949179983E-3</v>
      </c>
      <c r="Q232" s="8">
        <f>+VLOOKUP($B232,NIFTY_METAL!$B$3:$I$1238,8,0)</f>
        <v>3.5517841841952169E-3</v>
      </c>
      <c r="R232" s="8">
        <f>+VLOOKUP($B232,NIFTY_ENERGY!$B$3:$I$1238,8,0)</f>
        <v>-2.8369353924726504E-3</v>
      </c>
      <c r="S232" s="8">
        <f>+VLOOKUP($B232,NIFTY_AUTO!$B$3:$I$1238,8,0)</f>
        <v>-2.5115746947677042E-3</v>
      </c>
      <c r="T232" s="8">
        <v>0</v>
      </c>
      <c r="U232" s="8">
        <f>+VLOOKUP($B232,NIFTY_50!$B$63:$K$1238,10,0)</f>
        <v>2.1333777051693037E-2</v>
      </c>
      <c r="V232" s="8">
        <f>+VLOOKUP($B232,NIFTY_BANK!$B$63:$K$1238,10,0)</f>
        <v>3.2783272890525295E-2</v>
      </c>
      <c r="W232" s="8">
        <f>+VLOOKUP($B232,NIFTY_IT!$B$63:$K$1238,10,0)</f>
        <v>6.3329703070051258E-2</v>
      </c>
      <c r="X232" s="8">
        <f>+VLOOKUP($B232,NIFTY_PHARMA!$B$63:$K$1238,10,0)</f>
        <v>1.7387297269958468E-2</v>
      </c>
      <c r="Y232" s="8">
        <f>+VLOOKUP($B232,NIFTY_FMCG!$B$63:$K$1238,10,0)</f>
        <v>1.1184347409620488E-2</v>
      </c>
      <c r="Z232" s="8">
        <f>+VLOOKUP($B232,NIFTY_METAL!$B$63:$K$1238,10,0)</f>
        <v>7.1707953063884222E-3</v>
      </c>
      <c r="AA232" s="8">
        <f>+VLOOKUP($B232,NIFTY_ENERGY!$B$63:$K$1238,10,0)</f>
        <v>4.5834806617365054E-2</v>
      </c>
      <c r="AB232" s="8">
        <f>+VLOOKUP($B232,NIFTY_AUTO!$B$63:$K$1238,10,0)</f>
        <v>3.8525604637961619E-2</v>
      </c>
      <c r="AC232" s="8"/>
      <c r="AD232" s="16">
        <f t="shared" si="132"/>
        <v>4.6117342301004477E-2</v>
      </c>
      <c r="AE232" s="8">
        <f t="shared" si="133"/>
        <v>6.6196205670083913E-2</v>
      </c>
      <c r="AF232" s="8">
        <f t="shared" si="134"/>
        <v>5.1484876420076514E-2</v>
      </c>
      <c r="AG232" s="8">
        <f t="shared" si="135"/>
        <v>0.10599212700187716</v>
      </c>
      <c r="AH232" s="8">
        <f t="shared" si="136"/>
        <v>5.3577763119372096E-2</v>
      </c>
      <c r="AI232" s="8">
        <f t="shared" si="137"/>
        <v>9.9197108276489573E-2</v>
      </c>
      <c r="AJ232" s="8">
        <f t="shared" si="138"/>
        <v>7.7125814412942029E-2</v>
      </c>
      <c r="AK232" s="8">
        <f t="shared" si="139"/>
        <v>5.3086561313176399E-2</v>
      </c>
      <c r="AL232" s="9">
        <v>0</v>
      </c>
      <c r="AM232" s="17">
        <f t="shared" si="116"/>
        <v>21.683816761882635</v>
      </c>
      <c r="AN232" s="13">
        <f t="shared" si="117"/>
        <v>15.106606033945697</v>
      </c>
      <c r="AO232" s="13">
        <f t="shared" si="118"/>
        <v>19.423179572983305</v>
      </c>
      <c r="AP232" s="13">
        <f t="shared" si="119"/>
        <v>9.4346630102280109</v>
      </c>
      <c r="AQ232" s="13">
        <f t="shared" si="120"/>
        <v>18.66445968959145</v>
      </c>
      <c r="AR232" s="13">
        <f t="shared" si="121"/>
        <v>10.080939025084536</v>
      </c>
      <c r="AS232" s="13">
        <f t="shared" si="122"/>
        <v>12.965827429009241</v>
      </c>
      <c r="AT232" s="13">
        <f t="shared" si="123"/>
        <v>18.837159071212888</v>
      </c>
      <c r="AU232" s="9">
        <v>0</v>
      </c>
      <c r="AV232" s="18">
        <f t="shared" si="140"/>
        <v>1</v>
      </c>
      <c r="AW232" s="18">
        <f t="shared" si="141"/>
        <v>5</v>
      </c>
      <c r="AX232" s="18">
        <f t="shared" si="142"/>
        <v>2</v>
      </c>
      <c r="AY232" s="18">
        <f t="shared" si="143"/>
        <v>8</v>
      </c>
      <c r="AZ232" s="18">
        <f t="shared" si="144"/>
        <v>4</v>
      </c>
      <c r="BA232" s="18">
        <f t="shared" si="145"/>
        <v>7</v>
      </c>
      <c r="BB232" s="18">
        <f t="shared" si="146"/>
        <v>6</v>
      </c>
      <c r="BC232" s="18">
        <f t="shared" si="147"/>
        <v>3</v>
      </c>
      <c r="BD232" s="18">
        <f t="shared" si="148"/>
        <v>9</v>
      </c>
      <c r="BE232" s="8">
        <f t="shared" si="150"/>
        <v>3.43590411665396E-3</v>
      </c>
    </row>
    <row r="233" spans="1:57" x14ac:dyDescent="0.25">
      <c r="A233" t="str">
        <f t="shared" si="149"/>
        <v/>
      </c>
      <c r="B233" s="1">
        <v>43074</v>
      </c>
      <c r="C233" s="9">
        <f t="shared" si="124"/>
        <v>0.24988464070338895</v>
      </c>
      <c r="D233" s="9">
        <f t="shared" si="125"/>
        <v>0</v>
      </c>
      <c r="E233" s="9">
        <f t="shared" si="126"/>
        <v>0.25051545013612664</v>
      </c>
      <c r="F233" s="9">
        <f t="shared" si="127"/>
        <v>0</v>
      </c>
      <c r="G233" s="9">
        <f t="shared" si="128"/>
        <v>0.25134244319905141</v>
      </c>
      <c r="H233" s="9">
        <f t="shared" si="129"/>
        <v>0</v>
      </c>
      <c r="I233" s="9">
        <f t="shared" si="130"/>
        <v>0</v>
      </c>
      <c r="J233" s="9">
        <f t="shared" si="131"/>
        <v>0.24825746596143305</v>
      </c>
      <c r="K233" s="9">
        <v>0</v>
      </c>
      <c r="L233" s="8">
        <f>+VLOOKUP($B233,NIFTY_50!$B$3:$I$1238,8,0)</f>
        <v>-9.3801683493377475E-4</v>
      </c>
      <c r="M233" s="8">
        <f>+VLOOKUP($B233,NIFTY_BANK!$B$3:$I$41238,8,0)</f>
        <v>1.984039944008309E-3</v>
      </c>
      <c r="N233" s="8">
        <f>+VLOOKUP($B233,NIFTY_IT!$B$3:$I$1238,8,0)</f>
        <v>-5.0759589050367593E-3</v>
      </c>
      <c r="O233" s="8">
        <f>+VLOOKUP($B233,NIFTY_PHARMA!$B$3:$I$1238,8,0)</f>
        <v>-9.7768448961554899E-4</v>
      </c>
      <c r="P233" s="8">
        <f>+VLOOKUP($B233,NIFTY_FMCG!$B$3:$I$1238,8,0)</f>
        <v>-2.4206071899991466E-3</v>
      </c>
      <c r="Q233" s="8">
        <f>+VLOOKUP($B233,NIFTY_METAL!$B$3:$I$1238,8,0)</f>
        <v>-8.1525855539489323E-3</v>
      </c>
      <c r="R233" s="8">
        <f>+VLOOKUP($B233,NIFTY_ENERGY!$B$3:$I$1238,8,0)</f>
        <v>2.9133441954314332E-3</v>
      </c>
      <c r="S233" s="8">
        <f>+VLOOKUP($B233,NIFTY_AUTO!$B$3:$I$1238,8,0)</f>
        <v>-5.3359736919921241E-3</v>
      </c>
      <c r="T233" s="8">
        <v>0</v>
      </c>
      <c r="U233" s="8">
        <f>+VLOOKUP($B233,NIFTY_50!$B$63:$K$1238,10,0)</f>
        <v>1.8967965437718393E-2</v>
      </c>
      <c r="V233" s="8">
        <f>+VLOOKUP($B233,NIFTY_BANK!$B$63:$K$1238,10,0)</f>
        <v>3.37359956222818E-2</v>
      </c>
      <c r="W233" s="8">
        <f>+VLOOKUP($B233,NIFTY_IT!$B$63:$K$1238,10,0)</f>
        <v>5.3957814538832416E-2</v>
      </c>
      <c r="X233" s="8">
        <f>+VLOOKUP($B233,NIFTY_PHARMA!$B$63:$K$1238,10,0)</f>
        <v>1.0543313069908855E-2</v>
      </c>
      <c r="Y233" s="8">
        <f>+VLOOKUP($B233,NIFTY_FMCG!$B$63:$K$1238,10,0)</f>
        <v>1.5267145411262728E-2</v>
      </c>
      <c r="Z233" s="8">
        <f>+VLOOKUP($B233,NIFTY_METAL!$B$63:$K$1238,10,0)</f>
        <v>-1.2409499780605571E-2</v>
      </c>
      <c r="AA233" s="8">
        <f>+VLOOKUP($B233,NIFTY_ENERGY!$B$63:$K$1238,10,0)</f>
        <v>5.3036854647144693E-2</v>
      </c>
      <c r="AB233" s="8">
        <f>+VLOOKUP($B233,NIFTY_AUTO!$B$63:$K$1238,10,0)</f>
        <v>2.4243850227906094E-2</v>
      </c>
      <c r="AC233" s="8"/>
      <c r="AD233" s="16">
        <f t="shared" si="132"/>
        <v>4.6123517927887304E-2</v>
      </c>
      <c r="AE233" s="8">
        <f t="shared" si="133"/>
        <v>6.6209457463418886E-2</v>
      </c>
      <c r="AF233" s="8">
        <f t="shared" si="134"/>
        <v>5.1760584399132538E-2</v>
      </c>
      <c r="AG233" s="8">
        <f t="shared" si="135"/>
        <v>0.1058588865367997</v>
      </c>
      <c r="AH233" s="8">
        <f t="shared" si="136"/>
        <v>5.3227308393373383E-2</v>
      </c>
      <c r="AI233" s="8">
        <f t="shared" si="137"/>
        <v>9.887088203728292E-2</v>
      </c>
      <c r="AJ233" s="8">
        <f t="shared" si="138"/>
        <v>7.7005110341056462E-2</v>
      </c>
      <c r="AK233" s="8">
        <f t="shared" si="139"/>
        <v>5.2806442594785945E-2</v>
      </c>
      <c r="AL233" s="9">
        <v>0</v>
      </c>
      <c r="AM233" s="17">
        <f t="shared" si="116"/>
        <v>21.680913445576053</v>
      </c>
      <c r="AN233" s="13">
        <f t="shared" si="117"/>
        <v>15.103582453496253</v>
      </c>
      <c r="AO233" s="13">
        <f t="shared" si="118"/>
        <v>19.319720045833932</v>
      </c>
      <c r="AP233" s="13">
        <f t="shared" si="119"/>
        <v>9.4465380537737875</v>
      </c>
      <c r="AQ233" s="13">
        <f t="shared" si="120"/>
        <v>18.787348640843476</v>
      </c>
      <c r="AR233" s="13">
        <f t="shared" si="121"/>
        <v>10.114201263248699</v>
      </c>
      <c r="AS233" s="13">
        <f t="shared" si="122"/>
        <v>12.986151121282591</v>
      </c>
      <c r="AT233" s="13">
        <f t="shared" si="123"/>
        <v>18.937083258449587</v>
      </c>
      <c r="AU233" s="9">
        <v>0</v>
      </c>
      <c r="AV233" s="18">
        <f t="shared" si="140"/>
        <v>1</v>
      </c>
      <c r="AW233" s="18">
        <f t="shared" si="141"/>
        <v>5</v>
      </c>
      <c r="AX233" s="18">
        <f t="shared" si="142"/>
        <v>2</v>
      </c>
      <c r="AY233" s="18">
        <f t="shared" si="143"/>
        <v>8</v>
      </c>
      <c r="AZ233" s="18">
        <f t="shared" si="144"/>
        <v>4</v>
      </c>
      <c r="BA233" s="18">
        <f t="shared" si="145"/>
        <v>7</v>
      </c>
      <c r="BB233" s="18">
        <f t="shared" si="146"/>
        <v>6</v>
      </c>
      <c r="BC233" s="18">
        <f t="shared" si="147"/>
        <v>3</v>
      </c>
      <c r="BD233" s="18">
        <f t="shared" si="148"/>
        <v>9</v>
      </c>
      <c r="BE233" s="8">
        <f t="shared" si="150"/>
        <v>-3.4424973946811481E-3</v>
      </c>
    </row>
    <row r="234" spans="1:57" x14ac:dyDescent="0.25">
      <c r="A234" t="str">
        <f t="shared" si="149"/>
        <v/>
      </c>
      <c r="B234" s="1">
        <v>43075</v>
      </c>
      <c r="C234" s="9">
        <f t="shared" si="124"/>
        <v>0.24885225125611243</v>
      </c>
      <c r="D234" s="9">
        <f t="shared" si="125"/>
        <v>0</v>
      </c>
      <c r="E234" s="9">
        <f t="shared" si="126"/>
        <v>0.25245057444745339</v>
      </c>
      <c r="F234" s="9">
        <f t="shared" si="127"/>
        <v>0</v>
      </c>
      <c r="G234" s="9">
        <f t="shared" si="128"/>
        <v>0.2514306293875726</v>
      </c>
      <c r="H234" s="9">
        <f t="shared" si="129"/>
        <v>0</v>
      </c>
      <c r="I234" s="9">
        <f t="shared" si="130"/>
        <v>0</v>
      </c>
      <c r="J234" s="9">
        <f t="shared" si="131"/>
        <v>0.24726654490886166</v>
      </c>
      <c r="K234" s="9">
        <v>0</v>
      </c>
      <c r="L234" s="8">
        <f>+VLOOKUP($B234,NIFTY_50!$B$3:$I$1238,8,0)</f>
        <v>-7.3283423516912194E-3</v>
      </c>
      <c r="M234" s="8">
        <f>+VLOOKUP($B234,NIFTY_BANK!$B$3:$I$41238,8,0)</f>
        <v>-1.0867726573491998E-2</v>
      </c>
      <c r="N234" s="8">
        <f>+VLOOKUP($B234,NIFTY_IT!$B$3:$I$1238,8,0)</f>
        <v>4.4896330291872566E-3</v>
      </c>
      <c r="O234" s="8">
        <f>+VLOOKUP($B234,NIFTY_PHARMA!$B$3:$I$1238,8,0)</f>
        <v>-1.1605469333141549E-2</v>
      </c>
      <c r="P234" s="8">
        <f>+VLOOKUP($B234,NIFTY_FMCG!$B$3:$I$1238,8,0)</f>
        <v>-2.8604063333677043E-3</v>
      </c>
      <c r="Q234" s="8">
        <f>+VLOOKUP($B234,NIFTY_METAL!$B$3:$I$1238,8,0)</f>
        <v>-1.9549310636879924E-2</v>
      </c>
      <c r="R234" s="8">
        <f>+VLOOKUP($B234,NIFTY_ENERGY!$B$3:$I$1238,8,0)</f>
        <v>1.6496856631555978E-3</v>
      </c>
      <c r="S234" s="8">
        <f>+VLOOKUP($B234,NIFTY_AUTO!$B$3:$I$1238,8,0)</f>
        <v>-7.1888329857529021E-3</v>
      </c>
      <c r="T234" s="8">
        <v>0</v>
      </c>
      <c r="U234" s="8">
        <f>+VLOOKUP($B234,NIFTY_50!$B$63:$K$1238,10,0)</f>
        <v>1.1001731287997751E-2</v>
      </c>
      <c r="V234" s="8">
        <f>+VLOOKUP($B234,NIFTY_BANK!$B$63:$K$1238,10,0)</f>
        <v>1.97367341244441E-2</v>
      </c>
      <c r="W234" s="8">
        <f>+VLOOKUP($B234,NIFTY_IT!$B$63:$K$1238,10,0)</f>
        <v>5.9125054391224729E-2</v>
      </c>
      <c r="X234" s="8">
        <f>+VLOOKUP($B234,NIFTY_PHARMA!$B$63:$K$1238,10,0)</f>
        <v>1.1074284809339252E-2</v>
      </c>
      <c r="Y234" s="8">
        <f>+VLOOKUP($B234,NIFTY_FMCG!$B$63:$K$1238,10,0)</f>
        <v>8.3947128657928527E-3</v>
      </c>
      <c r="Z234" s="8">
        <f>+VLOOKUP($B234,NIFTY_METAL!$B$63:$K$1238,10,0)</f>
        <v>-3.3452415171299821E-2</v>
      </c>
      <c r="AA234" s="8">
        <f>+VLOOKUP($B234,NIFTY_ENERGY!$B$63:$K$1238,10,0)</f>
        <v>6.176298402609337E-2</v>
      </c>
      <c r="AB234" s="8">
        <f>+VLOOKUP($B234,NIFTY_AUTO!$B$63:$K$1238,10,0)</f>
        <v>2.2427869004545853E-2</v>
      </c>
      <c r="AC234" s="8"/>
      <c r="AD234" s="16">
        <f t="shared" si="132"/>
        <v>4.674323407742853E-2</v>
      </c>
      <c r="AE234" s="8">
        <f t="shared" si="133"/>
        <v>6.713548396561346E-2</v>
      </c>
      <c r="AF234" s="8">
        <f t="shared" si="134"/>
        <v>5.1866077033425606E-2</v>
      </c>
      <c r="AG234" s="8">
        <f t="shared" si="135"/>
        <v>0.10579937707178198</v>
      </c>
      <c r="AH234" s="8">
        <f t="shared" si="136"/>
        <v>5.3186241056200741E-2</v>
      </c>
      <c r="AI234" s="8">
        <f t="shared" si="137"/>
        <v>0.10070562259944105</v>
      </c>
      <c r="AJ234" s="8">
        <f t="shared" si="138"/>
        <v>7.6637563344716303E-2</v>
      </c>
      <c r="AK234" s="8">
        <f t="shared" si="139"/>
        <v>5.3029982008647142E-2</v>
      </c>
      <c r="AL234" s="9">
        <v>0</v>
      </c>
      <c r="AM234" s="17">
        <f t="shared" si="116"/>
        <v>21.393470514760168</v>
      </c>
      <c r="AN234" s="13">
        <f t="shared" si="117"/>
        <v>14.895252717805628</v>
      </c>
      <c r="AO234" s="13">
        <f t="shared" si="118"/>
        <v>19.280424840219556</v>
      </c>
      <c r="AP234" s="13">
        <f t="shared" si="119"/>
        <v>9.4518514917297427</v>
      </c>
      <c r="AQ234" s="13">
        <f t="shared" si="120"/>
        <v>18.801855144140038</v>
      </c>
      <c r="AR234" s="13">
        <f t="shared" si="121"/>
        <v>9.9299321546079238</v>
      </c>
      <c r="AS234" s="13">
        <f t="shared" si="122"/>
        <v>13.048431557015885</v>
      </c>
      <c r="AT234" s="13">
        <f t="shared" si="123"/>
        <v>18.857257010514139</v>
      </c>
      <c r="AU234" s="9">
        <v>0</v>
      </c>
      <c r="AV234" s="18">
        <f t="shared" si="140"/>
        <v>1</v>
      </c>
      <c r="AW234" s="18">
        <f t="shared" si="141"/>
        <v>5</v>
      </c>
      <c r="AX234" s="18">
        <f t="shared" si="142"/>
        <v>2</v>
      </c>
      <c r="AY234" s="18">
        <f t="shared" si="143"/>
        <v>8</v>
      </c>
      <c r="AZ234" s="18">
        <f t="shared" si="144"/>
        <v>4</v>
      </c>
      <c r="BA234" s="18">
        <f t="shared" si="145"/>
        <v>7</v>
      </c>
      <c r="BB234" s="18">
        <f t="shared" si="146"/>
        <v>6</v>
      </c>
      <c r="BC234" s="18">
        <f t="shared" si="147"/>
        <v>3</v>
      </c>
      <c r="BD234" s="18">
        <f t="shared" si="148"/>
        <v>9</v>
      </c>
      <c r="BE234" s="8">
        <f t="shared" si="150"/>
        <v>-3.2101407328845788E-3</v>
      </c>
    </row>
    <row r="235" spans="1:57" x14ac:dyDescent="0.25">
      <c r="A235" t="str">
        <f t="shared" si="149"/>
        <v/>
      </c>
      <c r="B235" s="1">
        <v>43076</v>
      </c>
      <c r="C235" s="9">
        <f t="shared" si="124"/>
        <v>0.24887789169425883</v>
      </c>
      <c r="D235" s="9">
        <f t="shared" si="125"/>
        <v>0</v>
      </c>
      <c r="E235" s="9">
        <f t="shared" si="126"/>
        <v>0.2514274501637152</v>
      </c>
      <c r="F235" s="9">
        <f t="shared" si="127"/>
        <v>0</v>
      </c>
      <c r="G235" s="9">
        <f t="shared" si="128"/>
        <v>0.25062078377794489</v>
      </c>
      <c r="H235" s="9">
        <f t="shared" si="129"/>
        <v>0</v>
      </c>
      <c r="I235" s="9">
        <f t="shared" si="130"/>
        <v>0</v>
      </c>
      <c r="J235" s="9">
        <f t="shared" si="131"/>
        <v>0.24907387436408107</v>
      </c>
      <c r="K235" s="9">
        <v>0</v>
      </c>
      <c r="L235" s="8">
        <f>+VLOOKUP($B235,NIFTY_50!$B$3:$I$1238,8,0)</f>
        <v>1.2206170786830173E-2</v>
      </c>
      <c r="M235" s="8">
        <f>+VLOOKUP($B235,NIFTY_BANK!$B$3:$I$41238,8,0)</f>
        <v>8.2670068164076849E-3</v>
      </c>
      <c r="N235" s="8">
        <f>+VLOOKUP($B235,NIFTY_IT!$B$3:$I$1238,8,0)</f>
        <v>8.0000722354152121E-3</v>
      </c>
      <c r="O235" s="8">
        <f>+VLOOKUP($B235,NIFTY_PHARMA!$B$3:$I$1238,8,0)</f>
        <v>2.4837215546753555E-3</v>
      </c>
      <c r="P235" s="8">
        <f>+VLOOKUP($B235,NIFTY_FMCG!$B$3:$I$1238,8,0)</f>
        <v>8.8419590081239008E-3</v>
      </c>
      <c r="Q235" s="8">
        <f>+VLOOKUP($B235,NIFTY_METAL!$B$3:$I$1238,8,0)</f>
        <v>1.8168944275295695E-2</v>
      </c>
      <c r="R235" s="8">
        <f>+VLOOKUP($B235,NIFTY_ENERGY!$B$3:$I$1238,8,0)</f>
        <v>1.3730706298939133E-2</v>
      </c>
      <c r="S235" s="8">
        <f>+VLOOKUP($B235,NIFTY_AUTO!$B$3:$I$1238,8,0)</f>
        <v>1.9499580337091427E-2</v>
      </c>
      <c r="T235" s="8">
        <v>0</v>
      </c>
      <c r="U235" s="8">
        <f>+VLOOKUP($B235,NIFTY_50!$B$63:$K$1238,10,0)</f>
        <v>1.605528655163635E-2</v>
      </c>
      <c r="V235" s="8">
        <f>+VLOOKUP($B235,NIFTY_BANK!$B$63:$K$1238,10,0)</f>
        <v>1.5604575991245317E-2</v>
      </c>
      <c r="W235" s="8">
        <f>+VLOOKUP($B235,NIFTY_IT!$B$63:$K$1238,10,0)</f>
        <v>6.7307232659304939E-2</v>
      </c>
      <c r="X235" s="8">
        <f>+VLOOKUP($B235,NIFTY_PHARMA!$B$63:$K$1238,10,0)</f>
        <v>1.771263395214917E-2</v>
      </c>
      <c r="Y235" s="8">
        <f>+VLOOKUP($B235,NIFTY_FMCG!$B$63:$K$1238,10,0)</f>
        <v>1.1672984233154438E-2</v>
      </c>
      <c r="Z235" s="8">
        <f>+VLOOKUP($B235,NIFTY_METAL!$B$63:$K$1238,10,0)</f>
        <v>-2.1795918367346956E-2</v>
      </c>
      <c r="AA235" s="8">
        <f>+VLOOKUP($B235,NIFTY_ENERGY!$B$63:$K$1238,10,0)</f>
        <v>6.9329516313604733E-2</v>
      </c>
      <c r="AB235" s="8">
        <f>+VLOOKUP($B235,NIFTY_AUTO!$B$63:$K$1238,10,0)</f>
        <v>3.6522982541110194E-2</v>
      </c>
      <c r="AC235" s="8"/>
      <c r="AD235" s="16">
        <f t="shared" si="132"/>
        <v>4.7750225250769746E-2</v>
      </c>
      <c r="AE235" s="8">
        <f t="shared" si="133"/>
        <v>6.6521966057079829E-2</v>
      </c>
      <c r="AF235" s="8">
        <f t="shared" si="134"/>
        <v>5.2327214377720192E-2</v>
      </c>
      <c r="AG235" s="8">
        <f t="shared" si="135"/>
        <v>0.10573064144755417</v>
      </c>
      <c r="AH235" s="8">
        <f t="shared" si="136"/>
        <v>5.3616013913757282E-2</v>
      </c>
      <c r="AI235" s="8">
        <f t="shared" si="137"/>
        <v>0.10219780952870409</v>
      </c>
      <c r="AJ235" s="8">
        <f t="shared" si="138"/>
        <v>7.7480393149870513E-2</v>
      </c>
      <c r="AK235" s="8">
        <f t="shared" si="139"/>
        <v>5.6096122568493806E-2</v>
      </c>
      <c r="AL235" s="9">
        <v>0</v>
      </c>
      <c r="AM235" s="17">
        <f t="shared" si="116"/>
        <v>20.942309585940219</v>
      </c>
      <c r="AN235" s="13">
        <f t="shared" si="117"/>
        <v>15.032628457522438</v>
      </c>
      <c r="AO235" s="13">
        <f t="shared" si="118"/>
        <v>19.110514708112927</v>
      </c>
      <c r="AP235" s="13">
        <f t="shared" si="119"/>
        <v>9.4579961523834353</v>
      </c>
      <c r="AQ235" s="13">
        <f t="shared" si="120"/>
        <v>18.651144070660035</v>
      </c>
      <c r="AR235" s="13">
        <f t="shared" si="121"/>
        <v>9.7849455346607215</v>
      </c>
      <c r="AS235" s="13">
        <f t="shared" si="122"/>
        <v>12.906491040458423</v>
      </c>
      <c r="AT235" s="13">
        <f t="shared" si="123"/>
        <v>17.826544049974082</v>
      </c>
      <c r="AU235" s="9">
        <v>0</v>
      </c>
      <c r="AV235" s="18">
        <f t="shared" si="140"/>
        <v>1</v>
      </c>
      <c r="AW235" s="18">
        <f t="shared" si="141"/>
        <v>5</v>
      </c>
      <c r="AX235" s="18">
        <f t="shared" si="142"/>
        <v>2</v>
      </c>
      <c r="AY235" s="18">
        <f t="shared" si="143"/>
        <v>8</v>
      </c>
      <c r="AZ235" s="18">
        <f t="shared" si="144"/>
        <v>3</v>
      </c>
      <c r="BA235" s="18">
        <f t="shared" si="145"/>
        <v>7</v>
      </c>
      <c r="BB235" s="18">
        <f t="shared" si="146"/>
        <v>6</v>
      </c>
      <c r="BC235" s="18">
        <f t="shared" si="147"/>
        <v>4</v>
      </c>
      <c r="BD235" s="18">
        <f t="shared" si="148"/>
        <v>9</v>
      </c>
      <c r="BE235" s="8">
        <f t="shared" si="150"/>
        <v>1.2101889086528057E-2</v>
      </c>
    </row>
    <row r="236" spans="1:57" x14ac:dyDescent="0.25">
      <c r="A236" t="str">
        <f t="shared" si="149"/>
        <v/>
      </c>
      <c r="B236" s="1">
        <v>43077</v>
      </c>
      <c r="C236" s="9">
        <f t="shared" si="124"/>
        <v>0.2485017120941784</v>
      </c>
      <c r="D236" s="9">
        <f t="shared" si="125"/>
        <v>0</v>
      </c>
      <c r="E236" s="9">
        <f t="shared" si="126"/>
        <v>0.24884807310906892</v>
      </c>
      <c r="F236" s="9">
        <f t="shared" si="127"/>
        <v>0</v>
      </c>
      <c r="G236" s="9">
        <f t="shared" si="128"/>
        <v>0.25368655621240466</v>
      </c>
      <c r="H236" s="9">
        <f t="shared" si="129"/>
        <v>0</v>
      </c>
      <c r="I236" s="9">
        <f t="shared" si="130"/>
        <v>0</v>
      </c>
      <c r="J236" s="9">
        <f t="shared" si="131"/>
        <v>0.24896365858434807</v>
      </c>
      <c r="K236" s="9">
        <v>0</v>
      </c>
      <c r="L236" s="8">
        <f>+VLOOKUP($B236,NIFTY_50!$B$3:$I$1238,8,0)</f>
        <v>9.7327549745738207E-3</v>
      </c>
      <c r="M236" s="8">
        <f>+VLOOKUP($B236,NIFTY_BANK!$B$3:$I$41238,8,0)</f>
        <v>1.0531881990242464E-2</v>
      </c>
      <c r="N236" s="8">
        <f>+VLOOKUP($B236,NIFTY_IT!$B$3:$I$1238,8,0)</f>
        <v>8.8681865006501326E-4</v>
      </c>
      <c r="O236" s="8">
        <f>+VLOOKUP($B236,NIFTY_PHARMA!$B$3:$I$1238,8,0)</f>
        <v>1.5406678273291563E-2</v>
      </c>
      <c r="P236" s="8">
        <f>+VLOOKUP($B236,NIFTY_FMCG!$B$3:$I$1238,8,0)</f>
        <v>2.363174937230883E-2</v>
      </c>
      <c r="Q236" s="8">
        <f>+VLOOKUP($B236,NIFTY_METAL!$B$3:$I$1238,8,0)</f>
        <v>1.3519152132187129E-2</v>
      </c>
      <c r="R236" s="8">
        <f>+VLOOKUP($B236,NIFTY_ENERGY!$B$3:$I$1238,8,0)</f>
        <v>1.2114319620253333E-3</v>
      </c>
      <c r="S236" s="8">
        <f>+VLOOKUP($B236,NIFTY_AUTO!$B$3:$I$1238,8,0)</f>
        <v>1.0813793594496079E-2</v>
      </c>
      <c r="T236" s="8">
        <v>0</v>
      </c>
      <c r="U236" s="8">
        <f>+VLOOKUP($B236,NIFTY_50!$B$63:$K$1238,10,0)</f>
        <v>1.7100876345604199E-2</v>
      </c>
      <c r="V236" s="8">
        <f>+VLOOKUP($B236,NIFTY_BANK!$B$63:$K$1238,10,0)</f>
        <v>2.1644401586462747E-2</v>
      </c>
      <c r="W236" s="8">
        <f>+VLOOKUP($B236,NIFTY_IT!$B$63:$K$1238,10,0)</f>
        <v>6.4021864376113014E-2</v>
      </c>
      <c r="X236" s="8">
        <f>+VLOOKUP($B236,NIFTY_PHARMA!$B$63:$K$1238,10,0)</f>
        <v>1.1377152321561557E-2</v>
      </c>
      <c r="Y236" s="8">
        <f>+VLOOKUP($B236,NIFTY_FMCG!$B$63:$K$1238,10,0)</f>
        <v>2.1083849157958134E-2</v>
      </c>
      <c r="Z236" s="8">
        <f>+VLOOKUP($B236,NIFTY_METAL!$B$63:$K$1238,10,0)</f>
        <v>-1.8202395548429728E-2</v>
      </c>
      <c r="AA236" s="8">
        <f>+VLOOKUP($B236,NIFTY_ENERGY!$B$63:$K$1238,10,0)</f>
        <v>5.9188157137626263E-2</v>
      </c>
      <c r="AB236" s="8">
        <f>+VLOOKUP($B236,NIFTY_AUTO!$B$63:$K$1238,10,0)</f>
        <v>3.5678786054952116E-2</v>
      </c>
      <c r="AC236" s="8"/>
      <c r="AD236" s="16">
        <f t="shared" si="132"/>
        <v>4.7943856402125444E-2</v>
      </c>
      <c r="AE236" s="8">
        <f t="shared" si="133"/>
        <v>6.7165983477770891E-2</v>
      </c>
      <c r="AF236" s="8">
        <f t="shared" si="134"/>
        <v>5.2246443376771222E-2</v>
      </c>
      <c r="AG236" s="8">
        <f t="shared" si="135"/>
        <v>0.10462638280460108</v>
      </c>
      <c r="AH236" s="8">
        <f t="shared" si="136"/>
        <v>5.6798563721168087E-2</v>
      </c>
      <c r="AI236" s="8">
        <f t="shared" si="137"/>
        <v>0.10262918913144066</v>
      </c>
      <c r="AJ236" s="8">
        <f t="shared" si="138"/>
        <v>7.6867448650908082E-2</v>
      </c>
      <c r="AK236" s="8">
        <f t="shared" si="139"/>
        <v>5.5939942529440054E-2</v>
      </c>
      <c r="AL236" s="9">
        <v>0</v>
      </c>
      <c r="AM236" s="17">
        <f t="shared" si="116"/>
        <v>20.857729749826049</v>
      </c>
      <c r="AN236" s="13">
        <f t="shared" si="117"/>
        <v>14.888488907944865</v>
      </c>
      <c r="AO236" s="13">
        <f t="shared" si="118"/>
        <v>19.140058832111819</v>
      </c>
      <c r="AP236" s="13">
        <f t="shared" si="119"/>
        <v>9.557818718320668</v>
      </c>
      <c r="AQ236" s="13">
        <f t="shared" si="120"/>
        <v>17.606079000679255</v>
      </c>
      <c r="AR236" s="13">
        <f t="shared" si="121"/>
        <v>9.7438166321207724</v>
      </c>
      <c r="AS236" s="13">
        <f t="shared" si="122"/>
        <v>13.009407981543387</v>
      </c>
      <c r="AT236" s="13">
        <f t="shared" si="123"/>
        <v>17.876314396885917</v>
      </c>
      <c r="AU236" s="9">
        <v>0</v>
      </c>
      <c r="AV236" s="18">
        <f t="shared" si="140"/>
        <v>1</v>
      </c>
      <c r="AW236" s="18">
        <f t="shared" si="141"/>
        <v>5</v>
      </c>
      <c r="AX236" s="18">
        <f t="shared" si="142"/>
        <v>2</v>
      </c>
      <c r="AY236" s="18">
        <f t="shared" si="143"/>
        <v>8</v>
      </c>
      <c r="AZ236" s="18">
        <f t="shared" si="144"/>
        <v>4</v>
      </c>
      <c r="BA236" s="18">
        <f t="shared" si="145"/>
        <v>7</v>
      </c>
      <c r="BB236" s="18">
        <f t="shared" si="146"/>
        <v>6</v>
      </c>
      <c r="BC236" s="18">
        <f t="shared" si="147"/>
        <v>3</v>
      </c>
      <c r="BD236" s="18">
        <f t="shared" si="148"/>
        <v>9</v>
      </c>
      <c r="BE236" s="8">
        <f t="shared" si="150"/>
        <v>1.1261279107278832E-2</v>
      </c>
    </row>
    <row r="237" spans="1:57" x14ac:dyDescent="0.25">
      <c r="A237" t="str">
        <f t="shared" si="149"/>
        <v/>
      </c>
      <c r="B237" s="1">
        <v>43080</v>
      </c>
      <c r="C237" s="9">
        <f t="shared" si="124"/>
        <v>0.24774109121598017</v>
      </c>
      <c r="D237" s="9">
        <f t="shared" si="125"/>
        <v>0</v>
      </c>
      <c r="E237" s="9">
        <f t="shared" si="126"/>
        <v>0.25005154216835374</v>
      </c>
      <c r="F237" s="9">
        <f t="shared" si="127"/>
        <v>0</v>
      </c>
      <c r="G237" s="9">
        <f t="shared" si="128"/>
        <v>0.25390072276656972</v>
      </c>
      <c r="H237" s="9">
        <f t="shared" si="129"/>
        <v>0</v>
      </c>
      <c r="I237" s="9">
        <f t="shared" si="130"/>
        <v>0</v>
      </c>
      <c r="J237" s="9">
        <f t="shared" si="131"/>
        <v>0.24830664384909634</v>
      </c>
      <c r="K237" s="9">
        <v>0</v>
      </c>
      <c r="L237" s="8">
        <f>+VLOOKUP($B237,NIFTY_50!$B$3:$I$1238,8,0)</f>
        <v>5.5135329959623558E-3</v>
      </c>
      <c r="M237" s="8">
        <f>+VLOOKUP($B237,NIFTY_BANK!$B$3:$I$41238,8,0)</f>
        <v>3.3055370707886222E-3</v>
      </c>
      <c r="N237" s="8">
        <f>+VLOOKUP($B237,NIFTY_IT!$B$3:$I$1238,8,0)</f>
        <v>1.3478439866110525E-2</v>
      </c>
      <c r="O237" s="8">
        <f>+VLOOKUP($B237,NIFTY_PHARMA!$B$3:$I$1238,8,0)</f>
        <v>9.633509004280949E-3</v>
      </c>
      <c r="P237" s="8">
        <f>+VLOOKUP($B237,NIFTY_FMCG!$B$3:$I$1238,8,0)</f>
        <v>9.4521637745161868E-3</v>
      </c>
      <c r="Q237" s="8">
        <f>+VLOOKUP($B237,NIFTY_METAL!$B$3:$I$1238,8,0)</f>
        <v>1.7153835597638611E-3</v>
      </c>
      <c r="R237" s="8">
        <f>+VLOOKUP($B237,NIFTY_ENERGY!$B$3:$I$1238,8,0)</f>
        <v>-2.7479989699413787E-3</v>
      </c>
      <c r="S237" s="8">
        <f>+VLOOKUP($B237,NIFTY_AUTO!$B$3:$I$1238,8,0)</f>
        <v>5.9389899754780373E-3</v>
      </c>
      <c r="T237" s="8">
        <v>0</v>
      </c>
      <c r="U237" s="8">
        <f>+VLOOKUP($B237,NIFTY_50!$B$63:$K$1238,10,0)</f>
        <v>2.4103856418600467E-2</v>
      </c>
      <c r="V237" s="8">
        <f>+VLOOKUP($B237,NIFTY_BANK!$B$63:$K$1238,10,0)</f>
        <v>2.3077263831055239E-2</v>
      </c>
      <c r="W237" s="8">
        <f>+VLOOKUP($B237,NIFTY_IT!$B$63:$K$1238,10,0)</f>
        <v>7.7932091420521044E-2</v>
      </c>
      <c r="X237" s="8">
        <f>+VLOOKUP($B237,NIFTY_PHARMA!$B$63:$K$1238,10,0)</f>
        <v>4.9777913922499639E-3</v>
      </c>
      <c r="Y237" s="8">
        <f>+VLOOKUP($B237,NIFTY_FMCG!$B$63:$K$1238,10,0)</f>
        <v>4.2028920485246202E-2</v>
      </c>
      <c r="Z237" s="8">
        <f>+VLOOKUP($B237,NIFTY_METAL!$B$63:$K$1238,10,0)</f>
        <v>-5.8292360704411683E-3</v>
      </c>
      <c r="AA237" s="8">
        <f>+VLOOKUP($B237,NIFTY_ENERGY!$B$63:$K$1238,10,0)</f>
        <v>5.3702682152281911E-2</v>
      </c>
      <c r="AB237" s="8">
        <f>+VLOOKUP($B237,NIFTY_AUTO!$B$63:$K$1238,10,0)</f>
        <v>4.6592158299743502E-2</v>
      </c>
      <c r="AC237" s="8"/>
      <c r="AD237" s="16">
        <f t="shared" si="132"/>
        <v>4.819023609663492E-2</v>
      </c>
      <c r="AE237" s="8">
        <f t="shared" si="133"/>
        <v>6.7212066783914143E-2</v>
      </c>
      <c r="AF237" s="8">
        <f t="shared" si="134"/>
        <v>5.3676701659735919E-2</v>
      </c>
      <c r="AG237" s="8">
        <f t="shared" si="135"/>
        <v>0.10384768796975308</v>
      </c>
      <c r="AH237" s="8">
        <f t="shared" si="136"/>
        <v>5.6358262735203619E-2</v>
      </c>
      <c r="AI237" s="8">
        <f t="shared" si="137"/>
        <v>0.10209258730133265</v>
      </c>
      <c r="AJ237" s="8">
        <f t="shared" si="138"/>
        <v>7.6941782692067584E-2</v>
      </c>
      <c r="AK237" s="8">
        <f t="shared" si="139"/>
        <v>5.5941403370608517E-2</v>
      </c>
      <c r="AL237" s="9">
        <v>0</v>
      </c>
      <c r="AM237" s="17">
        <f t="shared" si="116"/>
        <v>20.75109152805809</v>
      </c>
      <c r="AN237" s="13">
        <f t="shared" si="117"/>
        <v>14.878280758944463</v>
      </c>
      <c r="AO237" s="13">
        <f t="shared" si="118"/>
        <v>18.630056785887092</v>
      </c>
      <c r="AP237" s="13">
        <f t="shared" si="119"/>
        <v>9.6294873728075903</v>
      </c>
      <c r="AQ237" s="13">
        <f t="shared" si="120"/>
        <v>17.743627135890407</v>
      </c>
      <c r="AR237" s="13">
        <f t="shared" si="121"/>
        <v>9.7950304369154395</v>
      </c>
      <c r="AS237" s="13">
        <f t="shared" si="122"/>
        <v>12.996839493596713</v>
      </c>
      <c r="AT237" s="13">
        <f t="shared" si="123"/>
        <v>17.875847578850653</v>
      </c>
      <c r="AU237" s="9">
        <v>0</v>
      </c>
      <c r="AV237" s="18">
        <f t="shared" si="140"/>
        <v>1</v>
      </c>
      <c r="AW237" s="18">
        <f t="shared" si="141"/>
        <v>5</v>
      </c>
      <c r="AX237" s="18">
        <f t="shared" si="142"/>
        <v>2</v>
      </c>
      <c r="AY237" s="18">
        <f t="shared" si="143"/>
        <v>8</v>
      </c>
      <c r="AZ237" s="18">
        <f t="shared" si="144"/>
        <v>4</v>
      </c>
      <c r="BA237" s="18">
        <f t="shared" si="145"/>
        <v>7</v>
      </c>
      <c r="BB237" s="18">
        <f t="shared" si="146"/>
        <v>6</v>
      </c>
      <c r="BC237" s="18">
        <f t="shared" si="147"/>
        <v>3</v>
      </c>
      <c r="BD237" s="18">
        <f t="shared" si="148"/>
        <v>9</v>
      </c>
      <c r="BE237" s="8">
        <f t="shared" si="150"/>
        <v>8.6006857276858875E-3</v>
      </c>
    </row>
    <row r="238" spans="1:57" x14ac:dyDescent="0.25">
      <c r="A238" t="str">
        <f t="shared" si="149"/>
        <v/>
      </c>
      <c r="B238" s="1">
        <v>43081</v>
      </c>
      <c r="C238" s="9">
        <f t="shared" si="124"/>
        <v>0.2478836182774109</v>
      </c>
      <c r="D238" s="9">
        <f t="shared" si="125"/>
        <v>0</v>
      </c>
      <c r="E238" s="9">
        <f t="shared" si="126"/>
        <v>0.25105323956244807</v>
      </c>
      <c r="F238" s="9">
        <f t="shared" si="127"/>
        <v>0</v>
      </c>
      <c r="G238" s="9">
        <f t="shared" si="128"/>
        <v>0.25267134801629693</v>
      </c>
      <c r="H238" s="9">
        <f t="shared" si="129"/>
        <v>0</v>
      </c>
      <c r="I238" s="9">
        <f t="shared" si="130"/>
        <v>0</v>
      </c>
      <c r="J238" s="9">
        <f t="shared" si="131"/>
        <v>0.2483917941438441</v>
      </c>
      <c r="K238" s="9">
        <v>0</v>
      </c>
      <c r="L238" s="8">
        <f>+VLOOKUP($B238,NIFTY_50!$B$3:$I$1238,8,0)</f>
        <v>-7.9536922667055032E-3</v>
      </c>
      <c r="M238" s="8">
        <f>+VLOOKUP($B238,NIFTY_BANK!$B$3:$I$41238,8,0)</f>
        <v>-1.0997900007281958E-2</v>
      </c>
      <c r="N238" s="8">
        <f>+VLOOKUP($B238,NIFTY_IT!$B$3:$I$1238,8,0)</f>
        <v>-4.5522783468738837E-3</v>
      </c>
      <c r="O238" s="8">
        <f>+VLOOKUP($B238,NIFTY_PHARMA!$B$3:$I$1238,8,0)</f>
        <v>-7.2936284168472199E-3</v>
      </c>
      <c r="P238" s="8">
        <f>+VLOOKUP($B238,NIFTY_FMCG!$B$3:$I$1238,8,0)</f>
        <v>-1.3324772132918272E-2</v>
      </c>
      <c r="Q238" s="8">
        <f>+VLOOKUP($B238,NIFTY_METAL!$B$3:$I$1238,8,0)</f>
        <v>-8.3430371943282733E-3</v>
      </c>
      <c r="R238" s="8">
        <f>+VLOOKUP($B238,NIFTY_ENERGY!$B$3:$I$1238,8,0)</f>
        <v>-5.5146798726565249E-3</v>
      </c>
      <c r="S238" s="8">
        <f>+VLOOKUP($B238,NIFTY_AUTO!$B$3:$I$1238,8,0)</f>
        <v>-8.1840939726555151E-3</v>
      </c>
      <c r="T238" s="8">
        <v>0</v>
      </c>
      <c r="U238" s="8">
        <f>+VLOOKUP($B238,NIFTY_50!$B$63:$K$1238,10,0)</f>
        <v>1.5223167370570723E-2</v>
      </c>
      <c r="V238" s="8">
        <f>+VLOOKUP($B238,NIFTY_BANK!$B$63:$K$1238,10,0)</f>
        <v>8.5580387158927795E-3</v>
      </c>
      <c r="W238" s="8">
        <f>+VLOOKUP($B238,NIFTY_IT!$B$63:$K$1238,10,0)</f>
        <v>7.3970684209774262E-2</v>
      </c>
      <c r="X238" s="8">
        <f>+VLOOKUP($B238,NIFTY_PHARMA!$B$63:$K$1238,10,0)</f>
        <v>-2.7902588784598392E-2</v>
      </c>
      <c r="Y238" s="8">
        <f>+VLOOKUP($B238,NIFTY_FMCG!$B$63:$K$1238,10,0)</f>
        <v>2.8308604762322886E-2</v>
      </c>
      <c r="Z238" s="8">
        <f>+VLOOKUP($B238,NIFTY_METAL!$B$63:$K$1238,10,0)</f>
        <v>-8.5196142888450677E-3</v>
      </c>
      <c r="AA238" s="8">
        <f>+VLOOKUP($B238,NIFTY_ENERGY!$B$63:$K$1238,10,0)</f>
        <v>5.1812250273109539E-2</v>
      </c>
      <c r="AB238" s="8">
        <f>+VLOOKUP($B238,NIFTY_AUTO!$B$63:$K$1238,10,0)</f>
        <v>3.4898164215910077E-2</v>
      </c>
      <c r="AC238" s="8"/>
      <c r="AD238" s="16">
        <f t="shared" si="132"/>
        <v>4.8896931684495451E-2</v>
      </c>
      <c r="AE238" s="8">
        <f t="shared" si="133"/>
        <v>6.8090372651336981E-2</v>
      </c>
      <c r="AF238" s="8">
        <f t="shared" si="134"/>
        <v>5.3945602209239343E-2</v>
      </c>
      <c r="AG238" s="8">
        <f t="shared" si="135"/>
        <v>0.10069571403713257</v>
      </c>
      <c r="AH238" s="8">
        <f t="shared" si="136"/>
        <v>5.8046500953598403E-2</v>
      </c>
      <c r="AI238" s="8">
        <f t="shared" si="137"/>
        <v>0.10227600900089494</v>
      </c>
      <c r="AJ238" s="8">
        <f t="shared" si="138"/>
        <v>7.7069739358451933E-2</v>
      </c>
      <c r="AK238" s="8">
        <f t="shared" si="139"/>
        <v>5.6590952147427057E-2</v>
      </c>
      <c r="AL238" s="9">
        <v>0</v>
      </c>
      <c r="AM238" s="17">
        <f t="shared" si="116"/>
        <v>20.451180995413793</v>
      </c>
      <c r="AN238" s="13">
        <f t="shared" si="117"/>
        <v>14.686364034466253</v>
      </c>
      <c r="AO238" s="13">
        <f t="shared" si="118"/>
        <v>18.537192264928105</v>
      </c>
      <c r="AP238" s="13">
        <f t="shared" si="119"/>
        <v>9.9309092701923731</v>
      </c>
      <c r="AQ238" s="13">
        <f t="shared" si="120"/>
        <v>17.227567270581677</v>
      </c>
      <c r="AR238" s="13">
        <f t="shared" si="121"/>
        <v>9.7774640384261549</v>
      </c>
      <c r="AS238" s="13">
        <f t="shared" si="122"/>
        <v>12.975261215676266</v>
      </c>
      <c r="AT238" s="13">
        <f t="shared" si="123"/>
        <v>17.670669286405808</v>
      </c>
      <c r="AU238" s="9">
        <v>0</v>
      </c>
      <c r="AV238" s="18">
        <f t="shared" si="140"/>
        <v>1</v>
      </c>
      <c r="AW238" s="18">
        <f t="shared" si="141"/>
        <v>5</v>
      </c>
      <c r="AX238" s="18">
        <f t="shared" si="142"/>
        <v>2</v>
      </c>
      <c r="AY238" s="18">
        <f t="shared" si="143"/>
        <v>7</v>
      </c>
      <c r="AZ238" s="18">
        <f t="shared" si="144"/>
        <v>4</v>
      </c>
      <c r="BA238" s="18">
        <f t="shared" si="145"/>
        <v>8</v>
      </c>
      <c r="BB238" s="18">
        <f t="shared" si="146"/>
        <v>6</v>
      </c>
      <c r="BC238" s="18">
        <f t="shared" si="147"/>
        <v>3</v>
      </c>
      <c r="BD238" s="18">
        <f t="shared" si="148"/>
        <v>9</v>
      </c>
      <c r="BE238" s="8">
        <f t="shared" si="150"/>
        <v>-8.5240948049086478E-3</v>
      </c>
    </row>
    <row r="239" spans="1:57" x14ac:dyDescent="0.25">
      <c r="A239" t="str">
        <f t="shared" si="149"/>
        <v/>
      </c>
      <c r="B239" s="1">
        <v>43082</v>
      </c>
      <c r="C239" s="9">
        <f t="shared" si="124"/>
        <v>0.24796147800260382</v>
      </c>
      <c r="D239" s="9">
        <f t="shared" si="125"/>
        <v>0</v>
      </c>
      <c r="E239" s="9">
        <f t="shared" si="126"/>
        <v>0.25183058274966968</v>
      </c>
      <c r="F239" s="9">
        <f t="shared" si="127"/>
        <v>0</v>
      </c>
      <c r="G239" s="9">
        <f t="shared" si="128"/>
        <v>0.25205142018107829</v>
      </c>
      <c r="H239" s="9">
        <f t="shared" si="129"/>
        <v>0</v>
      </c>
      <c r="I239" s="9">
        <f t="shared" si="130"/>
        <v>0</v>
      </c>
      <c r="J239" s="9">
        <f t="shared" si="131"/>
        <v>0.24815651906664829</v>
      </c>
      <c r="K239" s="9">
        <v>0</v>
      </c>
      <c r="L239" s="8">
        <f>+VLOOKUP($B239,NIFTY_50!$B$3:$I$1238,8,0)</f>
        <v>-4.6093074808473133E-3</v>
      </c>
      <c r="M239" s="8">
        <f>+VLOOKUP($B239,NIFTY_BANK!$B$3:$I$41238,8,0)</f>
        <v>-4.9790153012185812E-3</v>
      </c>
      <c r="N239" s="8">
        <f>+VLOOKUP($B239,NIFTY_IT!$B$3:$I$1238,8,0)</f>
        <v>-1.8407710834822399E-3</v>
      </c>
      <c r="O239" s="8">
        <f>+VLOOKUP($B239,NIFTY_PHARMA!$B$3:$I$1238,8,0)</f>
        <v>-1.2753451546753669E-2</v>
      </c>
      <c r="P239" s="8">
        <f>+VLOOKUP($B239,NIFTY_FMCG!$B$3:$I$1238,8,0)</f>
        <v>-7.3632784708058674E-3</v>
      </c>
      <c r="Q239" s="8">
        <f>+VLOOKUP($B239,NIFTY_METAL!$B$3:$I$1238,8,0)</f>
        <v>-1.5472605199900569E-2</v>
      </c>
      <c r="R239" s="8">
        <f>+VLOOKUP($B239,NIFTY_ENERGY!$B$3:$I$1238,8,0)</f>
        <v>2.0061108127238381E-3</v>
      </c>
      <c r="S239" s="8">
        <f>+VLOOKUP($B239,NIFTY_AUTO!$B$3:$I$1238,8,0)</f>
        <v>-5.8643909240939651E-3</v>
      </c>
      <c r="T239" s="8">
        <v>0</v>
      </c>
      <c r="U239" s="8">
        <f>+VLOOKUP($B239,NIFTY_50!$B$63:$K$1238,10,0)</f>
        <v>1.0663930037480007E-2</v>
      </c>
      <c r="V239" s="8">
        <f>+VLOOKUP($B239,NIFTY_BANK!$B$63:$K$1238,10,0)</f>
        <v>6.2811188079356928E-3</v>
      </c>
      <c r="W239" s="8">
        <f>+VLOOKUP($B239,NIFTY_IT!$B$63:$K$1238,10,0)</f>
        <v>6.1506167598292416E-2</v>
      </c>
      <c r="X239" s="8">
        <f>+VLOOKUP($B239,NIFTY_PHARMA!$B$63:$K$1238,10,0)</f>
        <v>-3.5896337545513024E-2</v>
      </c>
      <c r="Y239" s="8">
        <f>+VLOOKUP($B239,NIFTY_FMCG!$B$63:$K$1238,10,0)</f>
        <v>2.5631274271297411E-2</v>
      </c>
      <c r="Z239" s="8">
        <f>+VLOOKUP($B239,NIFTY_METAL!$B$63:$K$1238,10,0)</f>
        <v>-2.7297791608658861E-2</v>
      </c>
      <c r="AA239" s="8">
        <f>+VLOOKUP($B239,NIFTY_ENERGY!$B$63:$K$1238,10,0)</f>
        <v>5.5312055143478034E-2</v>
      </c>
      <c r="AB239" s="8">
        <f>+VLOOKUP($B239,NIFTY_AUTO!$B$63:$K$1238,10,0)</f>
        <v>2.6723906138204079E-2</v>
      </c>
      <c r="AC239" s="8"/>
      <c r="AD239" s="16">
        <f t="shared" si="132"/>
        <v>4.9134629414576837E-2</v>
      </c>
      <c r="AE239" s="8">
        <f t="shared" si="133"/>
        <v>6.8222915820060043E-2</v>
      </c>
      <c r="AF239" s="8">
        <f t="shared" si="134"/>
        <v>5.3307119152115161E-2</v>
      </c>
      <c r="AG239" s="8">
        <f t="shared" si="135"/>
        <v>0.10136115623299261</v>
      </c>
      <c r="AH239" s="8">
        <f t="shared" si="136"/>
        <v>5.833734893579369E-2</v>
      </c>
      <c r="AI239" s="8">
        <f t="shared" si="137"/>
        <v>0.10334074420315235</v>
      </c>
      <c r="AJ239" s="8">
        <f t="shared" si="138"/>
        <v>7.7045602338952385E-2</v>
      </c>
      <c r="AK239" s="8">
        <f t="shared" si="139"/>
        <v>5.6929913611989381E-2</v>
      </c>
      <c r="AL239" s="9">
        <v>0</v>
      </c>
      <c r="AM239" s="17">
        <f t="shared" si="116"/>
        <v>20.352244677830594</v>
      </c>
      <c r="AN239" s="13">
        <f t="shared" si="117"/>
        <v>14.657831433612857</v>
      </c>
      <c r="AO239" s="13">
        <f t="shared" si="118"/>
        <v>18.759220455084773</v>
      </c>
      <c r="AP239" s="13">
        <f t="shared" si="119"/>
        <v>9.865712242876965</v>
      </c>
      <c r="AQ239" s="13">
        <f t="shared" si="120"/>
        <v>17.141677128671098</v>
      </c>
      <c r="AR239" s="13">
        <f t="shared" si="121"/>
        <v>9.6767253585299375</v>
      </c>
      <c r="AS239" s="13">
        <f t="shared" si="122"/>
        <v>12.979326134678349</v>
      </c>
      <c r="AT239" s="13">
        <f t="shared" si="123"/>
        <v>17.565457885911862</v>
      </c>
      <c r="AU239" s="9">
        <v>0</v>
      </c>
      <c r="AV239" s="18">
        <f t="shared" si="140"/>
        <v>1</v>
      </c>
      <c r="AW239" s="18">
        <f t="shared" si="141"/>
        <v>5</v>
      </c>
      <c r="AX239" s="18">
        <f t="shared" si="142"/>
        <v>2</v>
      </c>
      <c r="AY239" s="18">
        <f t="shared" si="143"/>
        <v>7</v>
      </c>
      <c r="AZ239" s="18">
        <f t="shared" si="144"/>
        <v>4</v>
      </c>
      <c r="BA239" s="18">
        <f t="shared" si="145"/>
        <v>8</v>
      </c>
      <c r="BB239" s="18">
        <f t="shared" si="146"/>
        <v>6</v>
      </c>
      <c r="BC239" s="18">
        <f t="shared" si="147"/>
        <v>3</v>
      </c>
      <c r="BD239" s="18">
        <f t="shared" si="148"/>
        <v>9</v>
      </c>
      <c r="BE239" s="8">
        <f t="shared" si="150"/>
        <v>-4.921859440141136E-3</v>
      </c>
    </row>
    <row r="240" spans="1:57" x14ac:dyDescent="0.25">
      <c r="A240" t="str">
        <f t="shared" si="149"/>
        <v/>
      </c>
      <c r="B240" s="1">
        <v>43083</v>
      </c>
      <c r="C240" s="9">
        <f t="shared" si="124"/>
        <v>0.24820435485914721</v>
      </c>
      <c r="D240" s="9">
        <f t="shared" si="125"/>
        <v>0</v>
      </c>
      <c r="E240" s="9">
        <f t="shared" si="126"/>
        <v>0.25115077625539833</v>
      </c>
      <c r="F240" s="9">
        <f t="shared" si="127"/>
        <v>0</v>
      </c>
      <c r="G240" s="9">
        <f t="shared" si="128"/>
        <v>0.25298673278077294</v>
      </c>
      <c r="H240" s="9">
        <f t="shared" si="129"/>
        <v>0</v>
      </c>
      <c r="I240" s="9">
        <f t="shared" si="130"/>
        <v>0</v>
      </c>
      <c r="J240" s="9">
        <f t="shared" si="131"/>
        <v>0.24765813610468149</v>
      </c>
      <c r="K240" s="9">
        <v>0</v>
      </c>
      <c r="L240" s="8">
        <f>+VLOOKUP($B240,NIFTY_50!$B$3:$I$1238,8,0)</f>
        <v>5.8030305260008408E-3</v>
      </c>
      <c r="M240" s="8">
        <f>+VLOOKUP($B240,NIFTY_BANK!$B$3:$I$41238,8,0)</f>
        <v>6.7139060053160726E-3</v>
      </c>
      <c r="N240" s="8">
        <f>+VLOOKUP($B240,NIFTY_IT!$B$3:$I$1238,8,0)</f>
        <v>2.106348374023348E-3</v>
      </c>
      <c r="O240" s="8">
        <f>+VLOOKUP($B240,NIFTY_PHARMA!$B$3:$I$1238,8,0)</f>
        <v>7.5587594970454308E-3</v>
      </c>
      <c r="P240" s="8">
        <f>+VLOOKUP($B240,NIFTY_FMCG!$B$3:$I$1238,8,0)</f>
        <v>8.5474986333939906E-3</v>
      </c>
      <c r="Q240" s="8">
        <f>+VLOOKUP($B240,NIFTY_METAL!$B$3:$I$1238,8,0)</f>
        <v>2.1468863132487748E-3</v>
      </c>
      <c r="R240" s="8">
        <f>+VLOOKUP($B240,NIFTY_ENERGY!$B$3:$I$1238,8,0)</f>
        <v>7.898333362915011E-3</v>
      </c>
      <c r="S240" s="8">
        <f>+VLOOKUP($B240,NIFTY_AUTO!$B$3:$I$1238,8,0)</f>
        <v>2.8007971841115253E-3</v>
      </c>
      <c r="T240" s="8">
        <v>0</v>
      </c>
      <c r="U240" s="8">
        <f>+VLOOKUP($B240,NIFTY_50!$B$63:$K$1238,10,0)</f>
        <v>9.7507165299268728E-3</v>
      </c>
      <c r="V240" s="8">
        <f>+VLOOKUP($B240,NIFTY_BANK!$B$63:$K$1238,10,0)</f>
        <v>4.8429146920376809E-3</v>
      </c>
      <c r="W240" s="8">
        <f>+VLOOKUP($B240,NIFTY_IT!$B$63:$K$1238,10,0)</f>
        <v>5.8772712333912347E-2</v>
      </c>
      <c r="X240" s="8">
        <f>+VLOOKUP($B240,NIFTY_PHARMA!$B$63:$K$1238,10,0)</f>
        <v>-2.8770122757520333E-2</v>
      </c>
      <c r="Y240" s="8">
        <f>+VLOOKUP($B240,NIFTY_FMCG!$B$63:$K$1238,10,0)</f>
        <v>3.1469973630042558E-2</v>
      </c>
      <c r="Z240" s="8">
        <f>+VLOOKUP($B240,NIFTY_METAL!$B$63:$K$1238,10,0)</f>
        <v>-3.2197303340334771E-2</v>
      </c>
      <c r="AA240" s="8">
        <f>+VLOOKUP($B240,NIFTY_ENERGY!$B$63:$K$1238,10,0)</f>
        <v>6.1238067472509483E-2</v>
      </c>
      <c r="AB240" s="8">
        <f>+VLOOKUP($B240,NIFTY_AUTO!$B$63:$K$1238,10,0)</f>
        <v>1.7231209786714885E-2</v>
      </c>
      <c r="AC240" s="8"/>
      <c r="AD240" s="16">
        <f t="shared" si="132"/>
        <v>4.9022095600502712E-2</v>
      </c>
      <c r="AE240" s="8">
        <f t="shared" si="133"/>
        <v>6.8068447276362923E-2</v>
      </c>
      <c r="AF240" s="8">
        <f t="shared" si="134"/>
        <v>5.3189591532310496E-2</v>
      </c>
      <c r="AG240" s="8">
        <f t="shared" si="135"/>
        <v>0.10167549338428127</v>
      </c>
      <c r="AH240" s="8">
        <f t="shared" si="136"/>
        <v>5.8844357715818189E-2</v>
      </c>
      <c r="AI240" s="8">
        <f t="shared" si="137"/>
        <v>0.10309050337117727</v>
      </c>
      <c r="AJ240" s="8">
        <f t="shared" si="138"/>
        <v>7.734500436692078E-2</v>
      </c>
      <c r="AK240" s="8">
        <f t="shared" si="139"/>
        <v>5.575102622840656E-2</v>
      </c>
      <c r="AL240" s="9">
        <v>0</v>
      </c>
      <c r="AM240" s="17">
        <f t="shared" si="116"/>
        <v>20.398964747434118</v>
      </c>
      <c r="AN240" s="13">
        <f t="shared" si="117"/>
        <v>14.691094626265325</v>
      </c>
      <c r="AO240" s="13">
        <f t="shared" si="118"/>
        <v>18.800670792753522</v>
      </c>
      <c r="AP240" s="13">
        <f t="shared" si="119"/>
        <v>9.8352116789884896</v>
      </c>
      <c r="AQ240" s="13">
        <f t="shared" si="120"/>
        <v>16.993982750723202</v>
      </c>
      <c r="AR240" s="13">
        <f t="shared" si="121"/>
        <v>9.7002145425510324</v>
      </c>
      <c r="AS240" s="13">
        <f t="shared" si="122"/>
        <v>12.929083244420683</v>
      </c>
      <c r="AT240" s="13">
        <f t="shared" si="123"/>
        <v>17.936889554339263</v>
      </c>
      <c r="AU240" s="9">
        <v>0</v>
      </c>
      <c r="AV240" s="18">
        <f t="shared" si="140"/>
        <v>1</v>
      </c>
      <c r="AW240" s="18">
        <f t="shared" si="141"/>
        <v>5</v>
      </c>
      <c r="AX240" s="18">
        <f t="shared" si="142"/>
        <v>2</v>
      </c>
      <c r="AY240" s="18">
        <f t="shared" si="143"/>
        <v>7</v>
      </c>
      <c r="AZ240" s="18">
        <f t="shared" si="144"/>
        <v>4</v>
      </c>
      <c r="BA240" s="18">
        <f t="shared" si="145"/>
        <v>8</v>
      </c>
      <c r="BB240" s="18">
        <f t="shared" si="146"/>
        <v>6</v>
      </c>
      <c r="BC240" s="18">
        <f t="shared" si="147"/>
        <v>3</v>
      </c>
      <c r="BD240" s="18">
        <f t="shared" si="148"/>
        <v>9</v>
      </c>
      <c r="BE240" s="8">
        <f t="shared" si="150"/>
        <v>4.8188162139890826E-3</v>
      </c>
    </row>
    <row r="241" spans="1:57" x14ac:dyDescent="0.25">
      <c r="A241" t="str">
        <f t="shared" si="149"/>
        <v/>
      </c>
      <c r="B241" s="1">
        <v>43084</v>
      </c>
      <c r="C241" s="9">
        <f t="shared" si="124"/>
        <v>0.24866599358362404</v>
      </c>
      <c r="D241" s="9">
        <f t="shared" si="125"/>
        <v>0</v>
      </c>
      <c r="E241" s="9">
        <f t="shared" si="126"/>
        <v>0.24992747814823199</v>
      </c>
      <c r="F241" s="9">
        <f t="shared" si="127"/>
        <v>0</v>
      </c>
      <c r="G241" s="9">
        <f t="shared" si="128"/>
        <v>0.25191952923180849</v>
      </c>
      <c r="H241" s="9">
        <f t="shared" si="129"/>
        <v>0</v>
      </c>
      <c r="I241" s="9">
        <f t="shared" si="130"/>
        <v>0</v>
      </c>
      <c r="J241" s="9">
        <f t="shared" si="131"/>
        <v>0.24948699903633548</v>
      </c>
      <c r="K241" s="9">
        <v>0</v>
      </c>
      <c r="L241" s="8">
        <f>+VLOOKUP($B241,NIFTY_50!$B$3:$I$1238,8,0)</f>
        <v>7.9154514684796062E-3</v>
      </c>
      <c r="M241" s="8">
        <f>+VLOOKUP($B241,NIFTY_BANK!$B$3:$I$41238,8,0)</f>
        <v>1.0811261830405039E-2</v>
      </c>
      <c r="N241" s="8">
        <f>+VLOOKUP($B241,NIFTY_IT!$B$3:$I$1238,8,0)</f>
        <v>1.1440835801834748E-3</v>
      </c>
      <c r="O241" s="8">
        <f>+VLOOKUP($B241,NIFTY_PHARMA!$B$3:$I$1238,8,0)</f>
        <v>3.2466637635941709E-3</v>
      </c>
      <c r="P241" s="8">
        <f>+VLOOKUP($B241,NIFTY_FMCG!$B$3:$I$1238,8,0)</f>
        <v>1.8003813018083736E-3</v>
      </c>
      <c r="Q241" s="8">
        <f>+VLOOKUP($B241,NIFTY_METAL!$B$3:$I$1238,8,0)</f>
        <v>2.6589563001442329E-2</v>
      </c>
      <c r="R241" s="8">
        <f>+VLOOKUP($B241,NIFTY_ENERGY!$B$3:$I$1238,8,0)</f>
        <v>5.1068925439379242E-4</v>
      </c>
      <c r="S241" s="8">
        <f>+VLOOKUP($B241,NIFTY_AUTO!$B$3:$I$1238,8,0)</f>
        <v>1.3473557479506182E-2</v>
      </c>
      <c r="T241" s="8">
        <v>0</v>
      </c>
      <c r="U241" s="8">
        <f>+VLOOKUP($B241,NIFTY_50!$B$63:$K$1238,10,0)</f>
        <v>1.8299983739917591E-2</v>
      </c>
      <c r="V241" s="8">
        <f>+VLOOKUP($B241,NIFTY_BANK!$B$63:$K$1238,10,0)</f>
        <v>1.5923535084689355E-2</v>
      </c>
      <c r="W241" s="8">
        <f>+VLOOKUP($B241,NIFTY_IT!$B$63:$K$1238,10,0)</f>
        <v>5.9451798946019707E-2</v>
      </c>
      <c r="X241" s="8">
        <f>+VLOOKUP($B241,NIFTY_PHARMA!$B$63:$K$1238,10,0)</f>
        <v>-2.0836135335352668E-2</v>
      </c>
      <c r="Y241" s="8">
        <f>+VLOOKUP($B241,NIFTY_FMCG!$B$63:$K$1238,10,0)</f>
        <v>3.0504826811808883E-2</v>
      </c>
      <c r="Z241" s="8">
        <f>+VLOOKUP($B241,NIFTY_METAL!$B$63:$K$1238,10,0)</f>
        <v>7.3706049355770631E-4</v>
      </c>
      <c r="AA241" s="8">
        <f>+VLOOKUP($B241,NIFTY_ENERGY!$B$63:$K$1238,10,0)</f>
        <v>5.8898737857563388E-2</v>
      </c>
      <c r="AB241" s="8">
        <f>+VLOOKUP($B241,NIFTY_AUTO!$B$63:$K$1238,10,0)</f>
        <v>2.4855090302799754E-2</v>
      </c>
      <c r="AC241" s="8"/>
      <c r="AD241" s="16">
        <f t="shared" si="132"/>
        <v>4.9611705229093001E-2</v>
      </c>
      <c r="AE241" s="8">
        <f t="shared" si="133"/>
        <v>6.8888156286699309E-2</v>
      </c>
      <c r="AF241" s="8">
        <f t="shared" si="134"/>
        <v>5.3187880436373139E-2</v>
      </c>
      <c r="AG241" s="8">
        <f t="shared" si="135"/>
        <v>0.10163623029894099</v>
      </c>
      <c r="AH241" s="8">
        <f t="shared" si="136"/>
        <v>5.8816594269199399E-2</v>
      </c>
      <c r="AI241" s="8">
        <f t="shared" si="137"/>
        <v>0.10627563244838108</v>
      </c>
      <c r="AJ241" s="8">
        <f t="shared" si="138"/>
        <v>7.7327565478753787E-2</v>
      </c>
      <c r="AK241" s="8">
        <f t="shared" si="139"/>
        <v>5.6999631857521542E-2</v>
      </c>
      <c r="AL241" s="9">
        <v>0</v>
      </c>
      <c r="AM241" s="17">
        <f t="shared" si="116"/>
        <v>20.156533531397063</v>
      </c>
      <c r="AN241" s="13">
        <f t="shared" si="117"/>
        <v>14.516283406369473</v>
      </c>
      <c r="AO241" s="13">
        <f t="shared" si="118"/>
        <v>18.801275625116631</v>
      </c>
      <c r="AP241" s="13">
        <f t="shared" si="119"/>
        <v>9.8390111189554776</v>
      </c>
      <c r="AQ241" s="13">
        <f t="shared" si="120"/>
        <v>17.002004492525877</v>
      </c>
      <c r="AR241" s="13">
        <f t="shared" si="121"/>
        <v>9.4094946975329261</v>
      </c>
      <c r="AS241" s="13">
        <f t="shared" si="122"/>
        <v>12.931999007194349</v>
      </c>
      <c r="AT241" s="13">
        <f t="shared" si="123"/>
        <v>17.543972959327846</v>
      </c>
      <c r="AU241" s="9">
        <v>0</v>
      </c>
      <c r="AV241" s="18">
        <f t="shared" si="140"/>
        <v>1</v>
      </c>
      <c r="AW241" s="18">
        <f t="shared" si="141"/>
        <v>5</v>
      </c>
      <c r="AX241" s="18">
        <f t="shared" si="142"/>
        <v>2</v>
      </c>
      <c r="AY241" s="18">
        <f t="shared" si="143"/>
        <v>7</v>
      </c>
      <c r="AZ241" s="18">
        <f t="shared" si="144"/>
        <v>4</v>
      </c>
      <c r="BA241" s="18">
        <f t="shared" si="145"/>
        <v>8</v>
      </c>
      <c r="BB241" s="18">
        <f t="shared" si="146"/>
        <v>6</v>
      </c>
      <c r="BC241" s="18">
        <f t="shared" si="147"/>
        <v>3</v>
      </c>
      <c r="BD241" s="18">
        <f t="shared" si="148"/>
        <v>9</v>
      </c>
      <c r="BE241" s="8">
        <f t="shared" si="150"/>
        <v>6.044295719794892E-3</v>
      </c>
    </row>
    <row r="242" spans="1:57" x14ac:dyDescent="0.25">
      <c r="A242" t="str">
        <f t="shared" si="149"/>
        <v/>
      </c>
      <c r="B242" s="1">
        <v>43087</v>
      </c>
      <c r="C242" s="9">
        <f t="shared" si="124"/>
        <v>0.24870505984318</v>
      </c>
      <c r="D242" s="9">
        <f t="shared" si="125"/>
        <v>0</v>
      </c>
      <c r="E242" s="9">
        <f t="shared" si="126"/>
        <v>0.24922382897930798</v>
      </c>
      <c r="F242" s="9">
        <f t="shared" si="127"/>
        <v>0</v>
      </c>
      <c r="G242" s="9">
        <f t="shared" si="128"/>
        <v>0.2508287733531071</v>
      </c>
      <c r="H242" s="9">
        <f t="shared" si="129"/>
        <v>0</v>
      </c>
      <c r="I242" s="9">
        <f t="shared" si="130"/>
        <v>0</v>
      </c>
      <c r="J242" s="9">
        <f t="shared" si="131"/>
        <v>0.25124233782440486</v>
      </c>
      <c r="K242" s="9">
        <v>0</v>
      </c>
      <c r="L242" s="8">
        <f>+VLOOKUP($B242,NIFTY_50!$B$3:$I$1238,8,0)</f>
        <v>5.3710110565408087E-3</v>
      </c>
      <c r="M242" s="8">
        <f>+VLOOKUP($B242,NIFTY_BANK!$B$3:$I$41238,8,0)</f>
        <v>6.0632146633490258E-3</v>
      </c>
      <c r="N242" s="8">
        <f>+VLOOKUP($B242,NIFTY_IT!$B$3:$I$1238,8,0)</f>
        <v>2.3829983257002141E-3</v>
      </c>
      <c r="O242" s="8">
        <f>+VLOOKUP($B242,NIFTY_PHARMA!$B$3:$I$1238,8,0)</f>
        <v>1.4301726316714891E-2</v>
      </c>
      <c r="P242" s="8">
        <f>+VLOOKUP($B242,NIFTY_FMCG!$B$3:$I$1238,8,0)</f>
        <v>8.60738229641278E-4</v>
      </c>
      <c r="Q242" s="8">
        <f>+VLOOKUP($B242,NIFTY_METAL!$B$3:$I$1238,8,0)</f>
        <v>1.6639842876237765E-2</v>
      </c>
      <c r="R242" s="8">
        <f>+VLOOKUP($B242,NIFTY_ENERGY!$B$3:$I$1238,8,0)</f>
        <v>1.2531901786498878E-3</v>
      </c>
      <c r="S242" s="8">
        <f>+VLOOKUP($B242,NIFTY_AUTO!$B$3:$I$1238,8,0)</f>
        <v>1.2285559554173542E-2</v>
      </c>
      <c r="T242" s="8">
        <v>0</v>
      </c>
      <c r="U242" s="8">
        <f>+VLOOKUP($B242,NIFTY_50!$B$63:$K$1238,10,0)</f>
        <v>2.4415376954290302E-2</v>
      </c>
      <c r="V242" s="8">
        <f>+VLOOKUP($B242,NIFTY_BANK!$B$63:$K$1238,10,0)</f>
        <v>2.5215250920787247E-2</v>
      </c>
      <c r="W242" s="8">
        <f>+VLOOKUP($B242,NIFTY_IT!$B$63:$K$1238,10,0)</f>
        <v>6.2325432926342739E-2</v>
      </c>
      <c r="X242" s="8">
        <f>+VLOOKUP($B242,NIFTY_PHARMA!$B$63:$K$1238,10,0)</f>
        <v>-9.5924290626994146E-3</v>
      </c>
      <c r="Y242" s="8">
        <f>+VLOOKUP($B242,NIFTY_FMCG!$B$63:$K$1238,10,0)</f>
        <v>2.9379089481702314E-2</v>
      </c>
      <c r="Z242" s="8">
        <f>+VLOOKUP($B242,NIFTY_METAL!$B$63:$K$1238,10,0)</f>
        <v>1.8125691494447427E-2</v>
      </c>
      <c r="AA242" s="8">
        <f>+VLOOKUP($B242,NIFTY_ENERGY!$B$63:$K$1238,10,0)</f>
        <v>6.0494545237615771E-2</v>
      </c>
      <c r="AB242" s="8">
        <f>+VLOOKUP($B242,NIFTY_AUTO!$B$63:$K$1238,10,0)</f>
        <v>4.373415469966524E-2</v>
      </c>
      <c r="AC242" s="8"/>
      <c r="AD242" s="16">
        <f t="shared" si="132"/>
        <v>4.9853478125746364E-2</v>
      </c>
      <c r="AE242" s="8">
        <f t="shared" si="133"/>
        <v>6.9037778753192974E-2</v>
      </c>
      <c r="AF242" s="8">
        <f t="shared" si="134"/>
        <v>5.3189650256888626E-2</v>
      </c>
      <c r="AG242" s="8">
        <f t="shared" si="135"/>
        <v>0.10261830798133542</v>
      </c>
      <c r="AH242" s="8">
        <f t="shared" si="136"/>
        <v>5.8799918285740188E-2</v>
      </c>
      <c r="AI242" s="8">
        <f t="shared" si="137"/>
        <v>0.10752808518683853</v>
      </c>
      <c r="AJ242" s="8">
        <f t="shared" si="138"/>
        <v>7.7317821383633953E-2</v>
      </c>
      <c r="AK242" s="8">
        <f t="shared" si="139"/>
        <v>5.7813358393215525E-2</v>
      </c>
      <c r="AL242" s="9">
        <v>0</v>
      </c>
      <c r="AM242" s="17">
        <f t="shared" si="116"/>
        <v>20.058781003758277</v>
      </c>
      <c r="AN242" s="13">
        <f t="shared" si="117"/>
        <v>14.484822919563447</v>
      </c>
      <c r="AO242" s="13">
        <f t="shared" si="118"/>
        <v>18.800650035680377</v>
      </c>
      <c r="AP242" s="13">
        <f t="shared" si="119"/>
        <v>9.7448498194092572</v>
      </c>
      <c r="AQ242" s="13">
        <f t="shared" si="120"/>
        <v>17.006826355446044</v>
      </c>
      <c r="AR242" s="13">
        <f t="shared" si="121"/>
        <v>9.2998959133552983</v>
      </c>
      <c r="AS242" s="13">
        <f t="shared" si="122"/>
        <v>12.933628781884851</v>
      </c>
      <c r="AT242" s="13">
        <f t="shared" si="123"/>
        <v>17.297040472870219</v>
      </c>
      <c r="AU242" s="9">
        <v>0</v>
      </c>
      <c r="AV242" s="18">
        <f t="shared" si="140"/>
        <v>1</v>
      </c>
      <c r="AW242" s="18">
        <f t="shared" si="141"/>
        <v>5</v>
      </c>
      <c r="AX242" s="18">
        <f t="shared" si="142"/>
        <v>2</v>
      </c>
      <c r="AY242" s="18">
        <f t="shared" si="143"/>
        <v>7</v>
      </c>
      <c r="AZ242" s="18">
        <f t="shared" si="144"/>
        <v>4</v>
      </c>
      <c r="BA242" s="18">
        <f t="shared" si="145"/>
        <v>8</v>
      </c>
      <c r="BB242" s="18">
        <f t="shared" si="146"/>
        <v>6</v>
      </c>
      <c r="BC242" s="18">
        <f t="shared" si="147"/>
        <v>3</v>
      </c>
      <c r="BD242" s="18">
        <f t="shared" si="148"/>
        <v>9</v>
      </c>
      <c r="BE242" s="8">
        <f t="shared" si="150"/>
        <v>5.2130887171530516E-3</v>
      </c>
    </row>
    <row r="243" spans="1:57" x14ac:dyDescent="0.25">
      <c r="A243" t="str">
        <f t="shared" si="149"/>
        <v/>
      </c>
      <c r="B243" s="1">
        <v>43088</v>
      </c>
      <c r="C243" s="9">
        <f t="shared" si="124"/>
        <v>0.24772433154058945</v>
      </c>
      <c r="D243" s="9">
        <f t="shared" si="125"/>
        <v>0</v>
      </c>
      <c r="E243" s="9">
        <f t="shared" si="126"/>
        <v>0.24485082268889796</v>
      </c>
      <c r="F243" s="9">
        <f t="shared" si="127"/>
        <v>0</v>
      </c>
      <c r="G243" s="9">
        <f t="shared" si="128"/>
        <v>0.25031672128738169</v>
      </c>
      <c r="H243" s="9">
        <f t="shared" si="129"/>
        <v>0</v>
      </c>
      <c r="I243" s="9">
        <f t="shared" si="130"/>
        <v>0</v>
      </c>
      <c r="J243" s="9">
        <f t="shared" si="131"/>
        <v>0.25710812448313097</v>
      </c>
      <c r="K243" s="9">
        <v>0</v>
      </c>
      <c r="L243" s="8">
        <f>+VLOOKUP($B243,NIFTY_50!$B$3:$I$1238,8,0)</f>
        <v>7.1664059679943382E-3</v>
      </c>
      <c r="M243" s="8">
        <f>+VLOOKUP($B243,NIFTY_BANK!$B$3:$I$41238,8,0)</f>
        <v>4.7529649866866475E-3</v>
      </c>
      <c r="N243" s="8">
        <f>+VLOOKUP($B243,NIFTY_IT!$B$3:$I$1238,8,0)</f>
        <v>-6.5884827488689179E-3</v>
      </c>
      <c r="O243" s="8">
        <f>+VLOOKUP($B243,NIFTY_PHARMA!$B$3:$I$1238,8,0)</f>
        <v>7.4969259353552253E-3</v>
      </c>
      <c r="P243" s="8">
        <f>+VLOOKUP($B243,NIFTY_FMCG!$B$3:$I$1238,8,0)</f>
        <v>9.0895172859597473E-3</v>
      </c>
      <c r="Q243" s="8">
        <f>+VLOOKUP($B243,NIFTY_METAL!$B$3:$I$1238,8,0)</f>
        <v>1.4596581609380488E-2</v>
      </c>
      <c r="R243" s="8">
        <f>+VLOOKUP($B243,NIFTY_ENERGY!$B$3:$I$1238,8,0)</f>
        <v>6.4128031051469137E-3</v>
      </c>
      <c r="S243" s="8">
        <f>+VLOOKUP($B243,NIFTY_AUTO!$B$3:$I$1238,8,0)</f>
        <v>3.4761261708250446E-2</v>
      </c>
      <c r="T243" s="8">
        <v>0</v>
      </c>
      <c r="U243" s="8">
        <f>+VLOOKUP($B243,NIFTY_50!$B$63:$K$1238,10,0)</f>
        <v>3.3718965806815104E-2</v>
      </c>
      <c r="V243" s="8">
        <f>+VLOOKUP($B243,NIFTY_BANK!$B$63:$K$1238,10,0)</f>
        <v>3.6974908515378546E-2</v>
      </c>
      <c r="W243" s="8">
        <f>+VLOOKUP($B243,NIFTY_IT!$B$63:$K$1238,10,0)</f>
        <v>5.5078680477010478E-2</v>
      </c>
      <c r="X243" s="8">
        <f>+VLOOKUP($B243,NIFTY_PHARMA!$B$63:$K$1238,10,0)</f>
        <v>-3.4279186894779268E-2</v>
      </c>
      <c r="Y243" s="8">
        <f>+VLOOKUP($B243,NIFTY_FMCG!$B$63:$K$1238,10,0)</f>
        <v>4.724653487487096E-2</v>
      </c>
      <c r="Z243" s="8">
        <f>+VLOOKUP($B243,NIFTY_METAL!$B$63:$K$1238,10,0)</f>
        <v>3.9161261954490545E-2</v>
      </c>
      <c r="AA243" s="8">
        <f>+VLOOKUP($B243,NIFTY_ENERGY!$B$63:$K$1238,10,0)</f>
        <v>7.3418680346188037E-2</v>
      </c>
      <c r="AB243" s="8">
        <f>+VLOOKUP($B243,NIFTY_AUTO!$B$63:$K$1238,10,0)</f>
        <v>8.5053248762656297E-2</v>
      </c>
      <c r="AC243" s="8"/>
      <c r="AD243" s="16">
        <f t="shared" si="132"/>
        <v>5.0241776392213243E-2</v>
      </c>
      <c r="AE243" s="8">
        <f t="shared" si="133"/>
        <v>6.8792284679231597E-2</v>
      </c>
      <c r="AF243" s="8">
        <f t="shared" si="134"/>
        <v>5.3717562759728422E-2</v>
      </c>
      <c r="AG243" s="8">
        <f t="shared" si="135"/>
        <v>9.7295912008064173E-2</v>
      </c>
      <c r="AH243" s="8">
        <f t="shared" si="136"/>
        <v>5.8752205864688906E-2</v>
      </c>
      <c r="AI243" s="8">
        <f t="shared" si="137"/>
        <v>0.10824570486130285</v>
      </c>
      <c r="AJ243" s="8">
        <f t="shared" si="138"/>
        <v>7.719901551446913E-2</v>
      </c>
      <c r="AK243" s="8">
        <f t="shared" si="139"/>
        <v>6.6680168626357603E-2</v>
      </c>
      <c r="AL243" s="9">
        <v>0</v>
      </c>
      <c r="AM243" s="17">
        <f t="shared" si="116"/>
        <v>19.903754839269293</v>
      </c>
      <c r="AN243" s="13">
        <f t="shared" si="117"/>
        <v>14.53651386435055</v>
      </c>
      <c r="AO243" s="13">
        <f t="shared" si="118"/>
        <v>18.615885543297416</v>
      </c>
      <c r="AP243" s="13">
        <f t="shared" si="119"/>
        <v>10.277924111725445</v>
      </c>
      <c r="AQ243" s="13">
        <f t="shared" si="120"/>
        <v>17.020637528113941</v>
      </c>
      <c r="AR243" s="13">
        <f t="shared" si="121"/>
        <v>9.2382418432335758</v>
      </c>
      <c r="AS243" s="13">
        <f t="shared" si="122"/>
        <v>12.953533064324812</v>
      </c>
      <c r="AT243" s="13">
        <f t="shared" si="123"/>
        <v>14.996962674217293</v>
      </c>
      <c r="AU243" s="9">
        <v>0</v>
      </c>
      <c r="AV243" s="18">
        <f t="shared" si="140"/>
        <v>1</v>
      </c>
      <c r="AW243" s="18">
        <f t="shared" si="141"/>
        <v>5</v>
      </c>
      <c r="AX243" s="18">
        <f t="shared" si="142"/>
        <v>2</v>
      </c>
      <c r="AY243" s="18">
        <f t="shared" si="143"/>
        <v>7</v>
      </c>
      <c r="AZ243" s="18">
        <f t="shared" si="144"/>
        <v>3</v>
      </c>
      <c r="BA243" s="18">
        <f t="shared" si="145"/>
        <v>8</v>
      </c>
      <c r="BB243" s="18">
        <f t="shared" si="146"/>
        <v>6</v>
      </c>
      <c r="BC243" s="18">
        <f t="shared" si="147"/>
        <v>4</v>
      </c>
      <c r="BD243" s="18">
        <f t="shared" si="148"/>
        <v>9</v>
      </c>
      <c r="BE243" s="8">
        <f t="shared" si="150"/>
        <v>1.1153727655809281E-2</v>
      </c>
    </row>
    <row r="244" spans="1:57" x14ac:dyDescent="0.25">
      <c r="A244" t="str">
        <f t="shared" si="149"/>
        <v/>
      </c>
      <c r="B244" s="1">
        <v>43089</v>
      </c>
      <c r="C244" s="9">
        <f t="shared" si="124"/>
        <v>0.24716098430668254</v>
      </c>
      <c r="D244" s="9">
        <f t="shared" si="125"/>
        <v>0</v>
      </c>
      <c r="E244" s="9">
        <f t="shared" si="126"/>
        <v>0.24612207781202244</v>
      </c>
      <c r="F244" s="9">
        <f t="shared" si="127"/>
        <v>0</v>
      </c>
      <c r="G244" s="9">
        <f t="shared" si="128"/>
        <v>0.25053690057234768</v>
      </c>
      <c r="H244" s="9">
        <f t="shared" si="129"/>
        <v>0</v>
      </c>
      <c r="I244" s="9">
        <f t="shared" si="130"/>
        <v>0</v>
      </c>
      <c r="J244" s="9">
        <f t="shared" si="131"/>
        <v>0.25618003730894739</v>
      </c>
      <c r="K244" s="9">
        <v>0</v>
      </c>
      <c r="L244" s="8">
        <f>+VLOOKUP($B244,NIFTY_50!$B$3:$I$1238,8,0)</f>
        <v>-1.8158880648367903E-3</v>
      </c>
      <c r="M244" s="8">
        <f>+VLOOKUP($B244,NIFTY_BANK!$B$3:$I$41238,8,0)</f>
        <v>-4.8413062583119171E-3</v>
      </c>
      <c r="N244" s="8">
        <f>+VLOOKUP($B244,NIFTY_IT!$B$3:$I$1238,8,0)</f>
        <v>5.6535876484011816E-3</v>
      </c>
      <c r="O244" s="8">
        <f>+VLOOKUP($B244,NIFTY_PHARMA!$B$3:$I$1238,8,0)</f>
        <v>-1.5269391858832027E-3</v>
      </c>
      <c r="P244" s="8">
        <f>+VLOOKUP($B244,NIFTY_FMCG!$B$3:$I$1238,8,0)</f>
        <v>1.339252266426838E-3</v>
      </c>
      <c r="Q244" s="8">
        <f>+VLOOKUP($B244,NIFTY_METAL!$B$3:$I$1238,8,0)</f>
        <v>6.637928754661182E-3</v>
      </c>
      <c r="R244" s="8">
        <f>+VLOOKUP($B244,NIFTY_ENERGY!$B$3:$I$1238,8,0)</f>
        <v>-3.461948262912351E-3</v>
      </c>
      <c r="S244" s="8">
        <f>+VLOOKUP($B244,NIFTY_AUTO!$B$3:$I$1238,8,0)</f>
        <v>-3.1521276861881109E-3</v>
      </c>
      <c r="T244" s="8">
        <v>0</v>
      </c>
      <c r="U244" s="8">
        <f>+VLOOKUP($B244,NIFTY_50!$B$63:$K$1238,10,0)</f>
        <v>4.8151419051824629E-2</v>
      </c>
      <c r="V244" s="8">
        <f>+VLOOKUP($B244,NIFTY_BANK!$B$63:$K$1238,10,0)</f>
        <v>5.0180866146740666E-2</v>
      </c>
      <c r="W244" s="8">
        <f>+VLOOKUP($B244,NIFTY_IT!$B$63:$K$1238,10,0)</f>
        <v>6.321422860958803E-2</v>
      </c>
      <c r="X244" s="8">
        <f>+VLOOKUP($B244,NIFTY_PHARMA!$B$63:$K$1238,10,0)</f>
        <v>-1.9016528532716404E-2</v>
      </c>
      <c r="Y244" s="8">
        <f>+VLOOKUP($B244,NIFTY_FMCG!$B$63:$K$1238,10,0)</f>
        <v>5.9848495361880527E-2</v>
      </c>
      <c r="Z244" s="8">
        <f>+VLOOKUP($B244,NIFTY_METAL!$B$63:$K$1238,10,0)</f>
        <v>9.0096798212956131E-2</v>
      </c>
      <c r="AA244" s="8">
        <f>+VLOOKUP($B244,NIFTY_ENERGY!$B$63:$K$1238,10,0)</f>
        <v>9.3241969233599287E-2</v>
      </c>
      <c r="AB244" s="8">
        <f>+VLOOKUP($B244,NIFTY_AUTO!$B$63:$K$1238,10,0)</f>
        <v>9.3991516466017888E-2</v>
      </c>
      <c r="AC244" s="8"/>
      <c r="AD244" s="16">
        <f t="shared" si="132"/>
        <v>4.7610870700677238E-2</v>
      </c>
      <c r="AE244" s="8">
        <f t="shared" si="133"/>
        <v>6.660459416671291E-2</v>
      </c>
      <c r="AF244" s="8">
        <f t="shared" si="134"/>
        <v>5.3837766984208842E-2</v>
      </c>
      <c r="AG244" s="8">
        <f t="shared" si="135"/>
        <v>9.5859831873088996E-2</v>
      </c>
      <c r="AH244" s="8">
        <f t="shared" si="136"/>
        <v>5.7627506241412448E-2</v>
      </c>
      <c r="AI244" s="8">
        <f t="shared" si="137"/>
        <v>0.1001230415981853</v>
      </c>
      <c r="AJ244" s="8">
        <f t="shared" si="138"/>
        <v>7.3884652327642561E-2</v>
      </c>
      <c r="AK244" s="8">
        <f t="shared" si="139"/>
        <v>6.5613074997688189E-2</v>
      </c>
      <c r="AL244" s="9">
        <v>0</v>
      </c>
      <c r="AM244" s="17">
        <f t="shared" si="116"/>
        <v>21.003606640316612</v>
      </c>
      <c r="AN244" s="13">
        <f t="shared" si="117"/>
        <v>15.013979328467579</v>
      </c>
      <c r="AO244" s="13">
        <f t="shared" si="118"/>
        <v>18.574321633609173</v>
      </c>
      <c r="AP244" s="13">
        <f t="shared" si="119"/>
        <v>10.431898121039088</v>
      </c>
      <c r="AQ244" s="13">
        <f t="shared" si="120"/>
        <v>17.35282446217284</v>
      </c>
      <c r="AR244" s="13">
        <f t="shared" si="121"/>
        <v>9.9877109608116879</v>
      </c>
      <c r="AS244" s="13">
        <f t="shared" si="122"/>
        <v>13.534610619340611</v>
      </c>
      <c r="AT244" s="13">
        <f t="shared" si="123"/>
        <v>15.240864721478669</v>
      </c>
      <c r="AU244" s="9">
        <v>0</v>
      </c>
      <c r="AV244" s="18">
        <f t="shared" si="140"/>
        <v>1</v>
      </c>
      <c r="AW244" s="18">
        <f t="shared" si="141"/>
        <v>5</v>
      </c>
      <c r="AX244" s="18">
        <f t="shared" si="142"/>
        <v>2</v>
      </c>
      <c r="AY244" s="18">
        <f t="shared" si="143"/>
        <v>7</v>
      </c>
      <c r="AZ244" s="18">
        <f t="shared" si="144"/>
        <v>3</v>
      </c>
      <c r="BA244" s="18">
        <f t="shared" si="145"/>
        <v>8</v>
      </c>
      <c r="BB244" s="18">
        <f t="shared" si="146"/>
        <v>6</v>
      </c>
      <c r="BC244" s="18">
        <f t="shared" si="147"/>
        <v>4</v>
      </c>
      <c r="BD244" s="18">
        <f t="shared" si="148"/>
        <v>9</v>
      </c>
      <c r="BE244" s="8">
        <f t="shared" si="150"/>
        <v>4.5924552862207737E-4</v>
      </c>
    </row>
    <row r="245" spans="1:57" x14ac:dyDescent="0.25">
      <c r="A245" t="str">
        <f t="shared" si="149"/>
        <v/>
      </c>
      <c r="B245" s="1">
        <v>43090</v>
      </c>
      <c r="C245" s="9">
        <f t="shared" si="124"/>
        <v>0.24726681153235297</v>
      </c>
      <c r="D245" s="9">
        <f t="shared" si="125"/>
        <v>0</v>
      </c>
      <c r="E245" s="9">
        <f t="shared" si="126"/>
        <v>0.247846923799107</v>
      </c>
      <c r="F245" s="9">
        <f t="shared" si="127"/>
        <v>0</v>
      </c>
      <c r="G245" s="9">
        <f t="shared" si="128"/>
        <v>0.25015761952648585</v>
      </c>
      <c r="H245" s="9">
        <f t="shared" si="129"/>
        <v>0</v>
      </c>
      <c r="I245" s="9">
        <f t="shared" si="130"/>
        <v>0</v>
      </c>
      <c r="J245" s="9">
        <f t="shared" si="131"/>
        <v>0.25472864514205412</v>
      </c>
      <c r="K245" s="9">
        <v>0</v>
      </c>
      <c r="L245" s="8">
        <f>+VLOOKUP($B245,NIFTY_50!$B$3:$I$1238,8,0)</f>
        <v>-3.7341299477233747E-4</v>
      </c>
      <c r="M245" s="8">
        <f>+VLOOKUP($B245,NIFTY_BANK!$B$3:$I$41238,8,0)</f>
        <v>-1.4614113169504339E-3</v>
      </c>
      <c r="N245" s="8">
        <f>+VLOOKUP($B245,NIFTY_IT!$B$3:$I$1238,8,0)</f>
        <v>6.2012349392259747E-3</v>
      </c>
      <c r="O245" s="8">
        <f>+VLOOKUP($B245,NIFTY_PHARMA!$B$3:$I$1238,8,0)</f>
        <v>3.8931877291892292E-3</v>
      </c>
      <c r="P245" s="8">
        <f>+VLOOKUP($B245,NIFTY_FMCG!$B$3:$I$1238,8,0)</f>
        <v>-2.3139011775268337E-3</v>
      </c>
      <c r="Q245" s="8">
        <f>+VLOOKUP($B245,NIFTY_METAL!$B$3:$I$1238,8,0)</f>
        <v>8.7878310214375421E-3</v>
      </c>
      <c r="R245" s="8">
        <f>+VLOOKUP($B245,NIFTY_ENERGY!$B$3:$I$1238,8,0)</f>
        <v>-8.2730383083751136E-4</v>
      </c>
      <c r="S245" s="8">
        <f>+VLOOKUP($B245,NIFTY_AUTO!$B$3:$I$1238,8,0)</f>
        <v>-6.4622179837879878E-3</v>
      </c>
      <c r="T245" s="8">
        <v>0</v>
      </c>
      <c r="U245" s="8">
        <f>+VLOOKUP($B245,NIFTY_50!$B$63:$K$1238,10,0)</f>
        <v>5.750258290622523E-2</v>
      </c>
      <c r="V245" s="8">
        <f>+VLOOKUP($B245,NIFTY_BANK!$B$63:$K$1238,10,0)</f>
        <v>5.749005278284125E-2</v>
      </c>
      <c r="W245" s="8">
        <f>+VLOOKUP($B245,NIFTY_IT!$B$63:$K$1238,10,0)</f>
        <v>7.6179257556189484E-2</v>
      </c>
      <c r="X245" s="8">
        <f>+VLOOKUP($B245,NIFTY_PHARMA!$B$63:$K$1238,10,0)</f>
        <v>2.6406225630712932E-3</v>
      </c>
      <c r="Y245" s="8">
        <f>+VLOOKUP($B245,NIFTY_FMCG!$B$63:$K$1238,10,0)</f>
        <v>6.7540140988843422E-2</v>
      </c>
      <c r="Z245" s="8">
        <f>+VLOOKUP($B245,NIFTY_METAL!$B$63:$K$1238,10,0)</f>
        <v>0.11296774006550536</v>
      </c>
      <c r="AA245" s="8">
        <f>+VLOOKUP($B245,NIFTY_ENERGY!$B$63:$K$1238,10,0)</f>
        <v>9.3317990026850817E-2</v>
      </c>
      <c r="AB245" s="8">
        <f>+VLOOKUP($B245,NIFTY_AUTO!$B$63:$K$1238,10,0)</f>
        <v>9.8848586059980814E-2</v>
      </c>
      <c r="AC245" s="8"/>
      <c r="AD245" s="16">
        <f t="shared" si="132"/>
        <v>4.6549054489846163E-2</v>
      </c>
      <c r="AE245" s="8">
        <f t="shared" si="133"/>
        <v>6.6000008098365107E-2</v>
      </c>
      <c r="AF245" s="8">
        <f t="shared" si="134"/>
        <v>5.3614810306103503E-2</v>
      </c>
      <c r="AG245" s="8">
        <f t="shared" si="135"/>
        <v>9.4288932030277536E-2</v>
      </c>
      <c r="AH245" s="8">
        <f t="shared" si="136"/>
        <v>5.675427396202895E-2</v>
      </c>
      <c r="AI245" s="8">
        <f t="shared" si="137"/>
        <v>9.9449040216422896E-2</v>
      </c>
      <c r="AJ245" s="8">
        <f t="shared" si="138"/>
        <v>7.3882423976195294E-2</v>
      </c>
      <c r="AK245" s="8">
        <f t="shared" si="139"/>
        <v>6.4926594381244013E-2</v>
      </c>
      <c r="AL245" s="9">
        <v>0</v>
      </c>
      <c r="AM245" s="17">
        <f t="shared" si="116"/>
        <v>21.482713472045539</v>
      </c>
      <c r="AN245" s="13">
        <f t="shared" si="117"/>
        <v>15.151513292386568</v>
      </c>
      <c r="AO245" s="13">
        <f t="shared" si="118"/>
        <v>18.651562773246631</v>
      </c>
      <c r="AP245" s="13">
        <f t="shared" si="119"/>
        <v>10.605698659084245</v>
      </c>
      <c r="AQ245" s="13">
        <f t="shared" si="120"/>
        <v>17.619818388814963</v>
      </c>
      <c r="AR245" s="13">
        <f t="shared" si="121"/>
        <v>10.055401216781791</v>
      </c>
      <c r="AS245" s="13">
        <f t="shared" si="122"/>
        <v>13.535018833737739</v>
      </c>
      <c r="AT245" s="13">
        <f t="shared" si="123"/>
        <v>15.40200913862933</v>
      </c>
      <c r="AU245" s="9">
        <v>0</v>
      </c>
      <c r="AV245" s="18">
        <f t="shared" si="140"/>
        <v>1</v>
      </c>
      <c r="AW245" s="18">
        <f t="shared" si="141"/>
        <v>5</v>
      </c>
      <c r="AX245" s="18">
        <f t="shared" si="142"/>
        <v>2</v>
      </c>
      <c r="AY245" s="18">
        <f t="shared" si="143"/>
        <v>7</v>
      </c>
      <c r="AZ245" s="18">
        <f t="shared" si="144"/>
        <v>3</v>
      </c>
      <c r="BA245" s="18">
        <f t="shared" si="145"/>
        <v>8</v>
      </c>
      <c r="BB245" s="18">
        <f t="shared" si="146"/>
        <v>6</v>
      </c>
      <c r="BC245" s="18">
        <f t="shared" si="147"/>
        <v>4</v>
      </c>
      <c r="BD245" s="18">
        <f t="shared" si="148"/>
        <v>9</v>
      </c>
      <c r="BE245" s="8">
        <f t="shared" si="150"/>
        <v>-8.0124116853166557E-4</v>
      </c>
    </row>
    <row r="246" spans="1:57" x14ac:dyDescent="0.25">
      <c r="A246" t="str">
        <f t="shared" si="149"/>
        <v/>
      </c>
      <c r="B246" s="1">
        <v>43091</v>
      </c>
      <c r="C246" s="9">
        <f t="shared" si="124"/>
        <v>0.24713299460917815</v>
      </c>
      <c r="D246" s="9">
        <f t="shared" si="125"/>
        <v>0</v>
      </c>
      <c r="E246" s="9">
        <f t="shared" si="126"/>
        <v>0.24923363411275418</v>
      </c>
      <c r="F246" s="9">
        <f t="shared" si="127"/>
        <v>0</v>
      </c>
      <c r="G246" s="9">
        <f t="shared" si="128"/>
        <v>0.24916204796970498</v>
      </c>
      <c r="H246" s="9">
        <f t="shared" si="129"/>
        <v>0</v>
      </c>
      <c r="I246" s="9">
        <f t="shared" si="130"/>
        <v>0</v>
      </c>
      <c r="J246" s="9">
        <f t="shared" si="131"/>
        <v>0.25447132330836275</v>
      </c>
      <c r="K246" s="9">
        <v>0</v>
      </c>
      <c r="L246" s="8">
        <f>+VLOOKUP($B246,NIFTY_50!$B$3:$I$1238,8,0)</f>
        <v>5.047747670086089E-3</v>
      </c>
      <c r="M246" s="8">
        <f>+VLOOKUP($B246,NIFTY_BANK!$B$3:$I$41238,8,0)</f>
        <v>3.6882246823430886E-3</v>
      </c>
      <c r="N246" s="8">
        <f>+VLOOKUP($B246,NIFTY_IT!$B$3:$I$1238,8,0)</f>
        <v>1.1218272772830051E-2</v>
      </c>
      <c r="O246" s="8">
        <f>+VLOOKUP($B246,NIFTY_PHARMA!$B$3:$I$1238,8,0)</f>
        <v>5.3638860281490786E-4</v>
      </c>
      <c r="P246" s="8">
        <f>+VLOOKUP($B246,NIFTY_FMCG!$B$3:$I$1238,8,0)</f>
        <v>1.5899264659009482E-3</v>
      </c>
      <c r="Q246" s="8">
        <f>+VLOOKUP($B246,NIFTY_METAL!$B$3:$I$1238,8,0)</f>
        <v>-1.4323476177446892E-4</v>
      </c>
      <c r="R246" s="8">
        <f>+VLOOKUP($B246,NIFTY_ENERGY!$B$3:$I$1238,8,0)</f>
        <v>7.5606607070182186E-3</v>
      </c>
      <c r="S246" s="8">
        <f>+VLOOKUP($B246,NIFTY_AUTO!$B$3:$I$1238,8,0)</f>
        <v>4.5761291925048297E-3</v>
      </c>
      <c r="T246" s="8">
        <v>0</v>
      </c>
      <c r="U246" s="8">
        <f>+VLOOKUP($B246,NIFTY_50!$B$63:$K$1238,10,0)</f>
        <v>6.2959023451349738E-2</v>
      </c>
      <c r="V246" s="8">
        <f>+VLOOKUP($B246,NIFTY_BANK!$B$63:$K$1238,10,0)</f>
        <v>5.9894665721729856E-2</v>
      </c>
      <c r="W246" s="8">
        <f>+VLOOKUP($B246,NIFTY_IT!$B$63:$K$1238,10,0)</f>
        <v>9.038251884154147E-2</v>
      </c>
      <c r="X246" s="8">
        <f>+VLOOKUP($B246,NIFTY_PHARMA!$B$63:$K$1238,10,0)</f>
        <v>3.0867185063294666E-3</v>
      </c>
      <c r="Y246" s="8">
        <f>+VLOOKUP($B246,NIFTY_FMCG!$B$63:$K$1238,10,0)</f>
        <v>7.3906103626151465E-2</v>
      </c>
      <c r="Z246" s="8">
        <f>+VLOOKUP($B246,NIFTY_METAL!$B$63:$K$1238,10,0)</f>
        <v>8.6681479175216847E-2</v>
      </c>
      <c r="AA246" s="8">
        <f>+VLOOKUP($B246,NIFTY_ENERGY!$B$63:$K$1238,10,0)</f>
        <v>0.10252305377037607</v>
      </c>
      <c r="AB246" s="8">
        <f>+VLOOKUP($B246,NIFTY_AUTO!$B$63:$K$1238,10,0)</f>
        <v>0.10310650887573969</v>
      </c>
      <c r="AC246" s="8"/>
      <c r="AD246" s="16">
        <f t="shared" si="132"/>
        <v>4.6714027959705737E-2</v>
      </c>
      <c r="AE246" s="8">
        <f t="shared" si="133"/>
        <v>6.6054452401980851E-2</v>
      </c>
      <c r="AF246" s="8">
        <f t="shared" si="134"/>
        <v>5.4418665207644587E-2</v>
      </c>
      <c r="AG246" s="8">
        <f t="shared" si="135"/>
        <v>9.4289846725104876E-2</v>
      </c>
      <c r="AH246" s="8">
        <f t="shared" si="136"/>
        <v>5.6489431428699964E-2</v>
      </c>
      <c r="AI246" s="8">
        <f t="shared" si="137"/>
        <v>9.690897647326735E-2</v>
      </c>
      <c r="AJ246" s="8">
        <f t="shared" si="138"/>
        <v>7.4084511155041277E-2</v>
      </c>
      <c r="AK246" s="8">
        <f t="shared" si="139"/>
        <v>6.4987766163945179E-2</v>
      </c>
      <c r="AL246" s="9">
        <v>0</v>
      </c>
      <c r="AM246" s="17">
        <f t="shared" si="116"/>
        <v>21.406845944917727</v>
      </c>
      <c r="AN246" s="13">
        <f t="shared" si="117"/>
        <v>15.139024905004161</v>
      </c>
      <c r="AO246" s="13">
        <f t="shared" si="118"/>
        <v>18.376047927385081</v>
      </c>
      <c r="AP246" s="13">
        <f t="shared" si="119"/>
        <v>10.605595774436102</v>
      </c>
      <c r="AQ246" s="13">
        <f t="shared" si="120"/>
        <v>17.702426360268532</v>
      </c>
      <c r="AR246" s="13">
        <f t="shared" si="121"/>
        <v>10.318961528562353</v>
      </c>
      <c r="AS246" s="13">
        <f t="shared" si="122"/>
        <v>13.49809810997116</v>
      </c>
      <c r="AT246" s="13">
        <f t="shared" si="123"/>
        <v>15.38751151220203</v>
      </c>
      <c r="AU246" s="9">
        <v>0</v>
      </c>
      <c r="AV246" s="18">
        <f t="shared" si="140"/>
        <v>1</v>
      </c>
      <c r="AW246" s="18">
        <f t="shared" si="141"/>
        <v>5</v>
      </c>
      <c r="AX246" s="18">
        <f t="shared" si="142"/>
        <v>2</v>
      </c>
      <c r="AY246" s="18">
        <f t="shared" si="143"/>
        <v>7</v>
      </c>
      <c r="AZ246" s="18">
        <f t="shared" si="144"/>
        <v>3</v>
      </c>
      <c r="BA246" s="18">
        <f t="shared" si="145"/>
        <v>8</v>
      </c>
      <c r="BB246" s="18">
        <f t="shared" si="146"/>
        <v>6</v>
      </c>
      <c r="BC246" s="18">
        <f t="shared" si="147"/>
        <v>4</v>
      </c>
      <c r="BD246" s="18">
        <f t="shared" si="148"/>
        <v>9</v>
      </c>
      <c r="BE246" s="8">
        <f t="shared" si="150"/>
        <v>5.5919582780209545E-3</v>
      </c>
    </row>
    <row r="247" spans="1:57" x14ac:dyDescent="0.25">
      <c r="A247" t="str">
        <f t="shared" si="149"/>
        <v/>
      </c>
      <c r="B247" s="1">
        <v>43095</v>
      </c>
      <c r="C247" s="9">
        <f t="shared" si="124"/>
        <v>0.24760417115913783</v>
      </c>
      <c r="D247" s="9">
        <f t="shared" si="125"/>
        <v>0</v>
      </c>
      <c r="E247" s="9">
        <f t="shared" si="126"/>
        <v>0.24891492498508808</v>
      </c>
      <c r="F247" s="9">
        <f t="shared" si="127"/>
        <v>0</v>
      </c>
      <c r="G247" s="9">
        <f t="shared" si="128"/>
        <v>0.24886138023936624</v>
      </c>
      <c r="H247" s="9">
        <f t="shared" si="129"/>
        <v>0</v>
      </c>
      <c r="I247" s="9">
        <f t="shared" si="130"/>
        <v>0</v>
      </c>
      <c r="J247" s="9">
        <f t="shared" si="131"/>
        <v>0.25461952361640777</v>
      </c>
      <c r="K247" s="9">
        <v>0</v>
      </c>
      <c r="L247" s="8">
        <f>+VLOOKUP($B247,NIFTY_50!$B$3:$I$1238,8,0)</f>
        <v>3.6691127418277958E-3</v>
      </c>
      <c r="M247" s="8">
        <f>+VLOOKUP($B247,NIFTY_BANK!$B$3:$I$41238,8,0)</f>
        <v>1.0409945201581561E-3</v>
      </c>
      <c r="N247" s="8">
        <f>+VLOOKUP($B247,NIFTY_IT!$B$3:$I$1238,8,0)</f>
        <v>4.7818186560477649E-4</v>
      </c>
      <c r="O247" s="8">
        <f>+VLOOKUP($B247,NIFTY_PHARMA!$B$3:$I$1238,8,0)</f>
        <v>9.5854866725280097E-3</v>
      </c>
      <c r="P247" s="8">
        <f>+VLOOKUP($B247,NIFTY_FMCG!$B$3:$I$1238,8,0)</f>
        <v>5.5034949064602934E-4</v>
      </c>
      <c r="Q247" s="8">
        <f>+VLOOKUP($B247,NIFTY_METAL!$B$3:$I$1238,8,0)</f>
        <v>1.2111582840621971E-2</v>
      </c>
      <c r="R247" s="8">
        <f>+VLOOKUP($B247,NIFTY_ENERGY!$B$3:$I$1238,8,0)</f>
        <v>5.822071640730897E-3</v>
      </c>
      <c r="S247" s="8">
        <f>+VLOOKUP($B247,NIFTY_AUTO!$B$3:$I$1238,8,0)</f>
        <v>2.3425975593400761E-3</v>
      </c>
      <c r="T247" s="8">
        <v>0</v>
      </c>
      <c r="U247" s="8">
        <f>+VLOOKUP($B247,NIFTY_50!$B$63:$K$1238,10,0)</f>
        <v>8.1734843232416532E-2</v>
      </c>
      <c r="V247" s="8">
        <f>+VLOOKUP($B247,NIFTY_BANK!$B$63:$K$1238,10,0)</f>
        <v>7.8205346250674435E-2</v>
      </c>
      <c r="W247" s="8">
        <f>+VLOOKUP($B247,NIFTY_IT!$B$63:$K$1238,10,0)</f>
        <v>9.1348798391532648E-2</v>
      </c>
      <c r="X247" s="8">
        <f>+VLOOKUP($B247,NIFTY_PHARMA!$B$63:$K$1238,10,0)</f>
        <v>4.2002113661891549E-2</v>
      </c>
      <c r="Y247" s="8">
        <f>+VLOOKUP($B247,NIFTY_FMCG!$B$63:$K$1238,10,0)</f>
        <v>8.832428602261766E-2</v>
      </c>
      <c r="Z247" s="8">
        <f>+VLOOKUP($B247,NIFTY_METAL!$B$63:$K$1238,10,0)</f>
        <v>0.11750834004371336</v>
      </c>
      <c r="AA247" s="8">
        <f>+VLOOKUP($B247,NIFTY_ENERGY!$B$63:$K$1238,10,0)</f>
        <v>0.12754263587073211</v>
      </c>
      <c r="AB247" s="8">
        <f>+VLOOKUP($B247,NIFTY_AUTO!$B$63:$K$1238,10,0)</f>
        <v>0.12334152103362284</v>
      </c>
      <c r="AC247" s="8"/>
      <c r="AD247" s="16">
        <f t="shared" si="132"/>
        <v>4.43403101572011E-2</v>
      </c>
      <c r="AE247" s="8">
        <f t="shared" si="133"/>
        <v>6.3805879781527422E-2</v>
      </c>
      <c r="AF247" s="8">
        <f t="shared" si="134"/>
        <v>5.4395615612943746E-2</v>
      </c>
      <c r="AG247" s="8">
        <f t="shared" si="135"/>
        <v>9.03278943129983E-2</v>
      </c>
      <c r="AH247" s="8">
        <f t="shared" si="136"/>
        <v>5.4729913636175555E-2</v>
      </c>
      <c r="AI247" s="8">
        <f t="shared" si="137"/>
        <v>9.5890212186690651E-2</v>
      </c>
      <c r="AJ247" s="8">
        <f t="shared" si="138"/>
        <v>7.1893156191082969E-2</v>
      </c>
      <c r="AK247" s="8">
        <f t="shared" si="139"/>
        <v>6.2588182533008158E-2</v>
      </c>
      <c r="AL247" s="9">
        <v>0</v>
      </c>
      <c r="AM247" s="17">
        <f t="shared" si="116"/>
        <v>22.552841792370611</v>
      </c>
      <c r="AN247" s="13">
        <f t="shared" si="117"/>
        <v>15.672536816732556</v>
      </c>
      <c r="AO247" s="13">
        <f t="shared" si="118"/>
        <v>18.383834592765311</v>
      </c>
      <c r="AP247" s="13">
        <f t="shared" si="119"/>
        <v>11.070777278775763</v>
      </c>
      <c r="AQ247" s="13">
        <f t="shared" si="120"/>
        <v>18.271543541026471</v>
      </c>
      <c r="AR247" s="13">
        <f t="shared" si="121"/>
        <v>10.428593046108597</v>
      </c>
      <c r="AS247" s="13">
        <f t="shared" si="122"/>
        <v>13.909529821477385</v>
      </c>
      <c r="AT247" s="13">
        <f t="shared" si="123"/>
        <v>15.977457077821578</v>
      </c>
      <c r="AU247" s="9">
        <v>0</v>
      </c>
      <c r="AV247" s="18">
        <f t="shared" si="140"/>
        <v>1</v>
      </c>
      <c r="AW247" s="18">
        <f t="shared" si="141"/>
        <v>5</v>
      </c>
      <c r="AX247" s="18">
        <f t="shared" si="142"/>
        <v>2</v>
      </c>
      <c r="AY247" s="18">
        <f t="shared" si="143"/>
        <v>7</v>
      </c>
      <c r="AZ247" s="18">
        <f t="shared" si="144"/>
        <v>3</v>
      </c>
      <c r="BA247" s="18">
        <f t="shared" si="145"/>
        <v>8</v>
      </c>
      <c r="BB247" s="18">
        <f t="shared" si="146"/>
        <v>6</v>
      </c>
      <c r="BC247" s="18">
        <f t="shared" si="147"/>
        <v>4</v>
      </c>
      <c r="BD247" s="18">
        <f t="shared" si="148"/>
        <v>9</v>
      </c>
      <c r="BE247" s="8">
        <f t="shared" si="150"/>
        <v>1.7591879306707492E-3</v>
      </c>
    </row>
    <row r="248" spans="1:57" x14ac:dyDescent="0.25">
      <c r="A248" t="str">
        <f t="shared" si="149"/>
        <v/>
      </c>
      <c r="B248" s="1">
        <v>43096</v>
      </c>
      <c r="C248" s="9">
        <f t="shared" si="124"/>
        <v>0.24735843546342495</v>
      </c>
      <c r="D248" s="9">
        <f t="shared" si="125"/>
        <v>0</v>
      </c>
      <c r="E248" s="9">
        <f t="shared" si="126"/>
        <v>0.24967394024682546</v>
      </c>
      <c r="F248" s="9">
        <f t="shared" si="127"/>
        <v>0</v>
      </c>
      <c r="G248" s="9">
        <f t="shared" si="128"/>
        <v>0.2487582915695897</v>
      </c>
      <c r="H248" s="9">
        <f t="shared" si="129"/>
        <v>0</v>
      </c>
      <c r="I248" s="9">
        <f t="shared" si="130"/>
        <v>0</v>
      </c>
      <c r="J248" s="9">
        <f t="shared" si="131"/>
        <v>0.25420933272015994</v>
      </c>
      <c r="K248" s="9">
        <v>0</v>
      </c>
      <c r="L248" s="8">
        <f>+VLOOKUP($B248,NIFTY_50!$B$3:$I$1238,8,0)</f>
        <v>-3.8693443479086431E-3</v>
      </c>
      <c r="M248" s="8">
        <f>+VLOOKUP($B248,NIFTY_BANK!$B$3:$I$41238,8,0)</f>
        <v>-6.9794841335527602E-3</v>
      </c>
      <c r="N248" s="8">
        <f>+VLOOKUP($B248,NIFTY_IT!$B$3:$I$1238,8,0)</f>
        <v>1.6076611571680388E-4</v>
      </c>
      <c r="O248" s="8">
        <f>+VLOOKUP($B248,NIFTY_PHARMA!$B$3:$I$1238,8,0)</f>
        <v>2.3773364485981441E-2</v>
      </c>
      <c r="P248" s="8">
        <f>+VLOOKUP($B248,NIFTY_FMCG!$B$3:$I$1238,8,0)</f>
        <v>-3.2927970065481649E-3</v>
      </c>
      <c r="Q248" s="8">
        <f>+VLOOKUP($B248,NIFTY_METAL!$B$3:$I$1238,8,0)</f>
        <v>-1.6470224921509846E-3</v>
      </c>
      <c r="R248" s="8">
        <f>+VLOOKUP($B248,NIFTY_ENERGY!$B$3:$I$1238,8,0)</f>
        <v>-7.6508975091308384E-3</v>
      </c>
      <c r="S248" s="8">
        <f>+VLOOKUP($B248,NIFTY_AUTO!$B$3:$I$1238,8,0)</f>
        <v>-4.4861047816943111E-3</v>
      </c>
      <c r="T248" s="8">
        <v>0</v>
      </c>
      <c r="U248" s="8">
        <f>+VLOOKUP($B248,NIFTY_50!$B$63:$K$1238,10,0)</f>
        <v>7.388716289877606E-2</v>
      </c>
      <c r="V248" s="8">
        <f>+VLOOKUP($B248,NIFTY_BANK!$B$63:$K$1238,10,0)</f>
        <v>6.1974787728333869E-2</v>
      </c>
      <c r="W248" s="8">
        <f>+VLOOKUP($B248,NIFTY_IT!$B$63:$K$1238,10,0)</f>
        <v>9.3837614879441977E-2</v>
      </c>
      <c r="X248" s="8">
        <f>+VLOOKUP($B248,NIFTY_PHARMA!$B$63:$K$1238,10,0)</f>
        <v>5.7981353337247965E-2</v>
      </c>
      <c r="Y248" s="8">
        <f>+VLOOKUP($B248,NIFTY_FMCG!$B$63:$K$1238,10,0)</f>
        <v>7.7345887606093511E-2</v>
      </c>
      <c r="Z248" s="8">
        <f>+VLOOKUP($B248,NIFTY_METAL!$B$63:$K$1238,10,0)</f>
        <v>0.10790935442875305</v>
      </c>
      <c r="AA248" s="8">
        <f>+VLOOKUP($B248,NIFTY_ENERGY!$B$63:$K$1238,10,0)</f>
        <v>0.12657650753225713</v>
      </c>
      <c r="AB248" s="8">
        <f>+VLOOKUP($B248,NIFTY_AUTO!$B$63:$K$1238,10,0)</f>
        <v>0.11436634483533248</v>
      </c>
      <c r="AC248" s="8"/>
      <c r="AD248" s="16">
        <f t="shared" si="132"/>
        <v>4.4581784346815777E-2</v>
      </c>
      <c r="AE248" s="8">
        <f t="shared" si="133"/>
        <v>6.3933027306720042E-2</v>
      </c>
      <c r="AF248" s="8">
        <f t="shared" si="134"/>
        <v>5.4292855743563781E-2</v>
      </c>
      <c r="AG248" s="8">
        <f t="shared" si="135"/>
        <v>9.288902636079735E-2</v>
      </c>
      <c r="AH248" s="8">
        <f t="shared" si="136"/>
        <v>5.4645257094940634E-2</v>
      </c>
      <c r="AI248" s="8">
        <f t="shared" si="137"/>
        <v>9.5813461929305455E-2</v>
      </c>
      <c r="AJ248" s="8">
        <f t="shared" si="138"/>
        <v>7.2002336957471755E-2</v>
      </c>
      <c r="AK248" s="8">
        <f t="shared" si="139"/>
        <v>6.2888738078264728E-2</v>
      </c>
      <c r="AL248" s="9">
        <v>0</v>
      </c>
      <c r="AM248" s="17">
        <f t="shared" si="116"/>
        <v>22.430685865345456</v>
      </c>
      <c r="AN248" s="13">
        <f t="shared" si="117"/>
        <v>15.64136788333953</v>
      </c>
      <c r="AO248" s="13">
        <f t="shared" si="118"/>
        <v>18.418629602450896</v>
      </c>
      <c r="AP248" s="13">
        <f t="shared" si="119"/>
        <v>10.765534306666362</v>
      </c>
      <c r="AQ248" s="13">
        <f t="shared" si="120"/>
        <v>18.299849852707265</v>
      </c>
      <c r="AR248" s="13">
        <f t="shared" si="121"/>
        <v>10.436946749067841</v>
      </c>
      <c r="AS248" s="13">
        <f t="shared" si="122"/>
        <v>13.888438101538995</v>
      </c>
      <c r="AT248" s="13">
        <f t="shared" si="123"/>
        <v>15.901098202280746</v>
      </c>
      <c r="AU248" s="9">
        <v>0</v>
      </c>
      <c r="AV248" s="18">
        <f t="shared" si="140"/>
        <v>1</v>
      </c>
      <c r="AW248" s="18">
        <f t="shared" si="141"/>
        <v>5</v>
      </c>
      <c r="AX248" s="18">
        <f t="shared" si="142"/>
        <v>2</v>
      </c>
      <c r="AY248" s="18">
        <f t="shared" si="143"/>
        <v>7</v>
      </c>
      <c r="AZ248" s="18">
        <f t="shared" si="144"/>
        <v>3</v>
      </c>
      <c r="BA248" s="18">
        <f t="shared" si="145"/>
        <v>8</v>
      </c>
      <c r="BB248" s="18">
        <f t="shared" si="146"/>
        <v>6</v>
      </c>
      <c r="BC248" s="18">
        <f t="shared" si="147"/>
        <v>4</v>
      </c>
      <c r="BD248" s="18">
        <f t="shared" si="148"/>
        <v>9</v>
      </c>
      <c r="BE248" s="8">
        <f t="shared" si="150"/>
        <v>-2.8797485848653459E-3</v>
      </c>
    </row>
    <row r="249" spans="1:57" x14ac:dyDescent="0.25">
      <c r="A249" t="str">
        <f t="shared" si="149"/>
        <v/>
      </c>
      <c r="B249" s="1">
        <v>43097</v>
      </c>
      <c r="C249" s="9">
        <f t="shared" si="124"/>
        <v>0.24750559016791365</v>
      </c>
      <c r="D249" s="9">
        <f t="shared" si="125"/>
        <v>0</v>
      </c>
      <c r="E249" s="9">
        <f t="shared" si="126"/>
        <v>0.24984958525730319</v>
      </c>
      <c r="F249" s="9">
        <f t="shared" si="127"/>
        <v>0</v>
      </c>
      <c r="G249" s="9">
        <f t="shared" si="128"/>
        <v>0.2489958832879906</v>
      </c>
      <c r="H249" s="9">
        <f t="shared" si="129"/>
        <v>0</v>
      </c>
      <c r="I249" s="9">
        <f t="shared" si="130"/>
        <v>0</v>
      </c>
      <c r="J249" s="9">
        <f t="shared" si="131"/>
        <v>0.2536489412867925</v>
      </c>
      <c r="K249" s="9">
        <v>0</v>
      </c>
      <c r="L249" s="8">
        <f>+VLOOKUP($B249,NIFTY_50!$B$3:$I$1238,8,0)</f>
        <v>-1.2248885923313857E-3</v>
      </c>
      <c r="M249" s="8">
        <f>+VLOOKUP($B249,NIFTY_BANK!$B$3:$I$41238,8,0)</f>
        <v>-2.3729165890395976E-4</v>
      </c>
      <c r="N249" s="8">
        <f>+VLOOKUP($B249,NIFTY_IT!$B$3:$I$1238,8,0)</f>
        <v>-1.1164932554250662E-3</v>
      </c>
      <c r="O249" s="8">
        <f>+VLOOKUP($B249,NIFTY_PHARMA!$B$3:$I$1238,8,0)</f>
        <v>-5.7729114042230911E-3</v>
      </c>
      <c r="P249" s="8">
        <f>+VLOOKUP($B249,NIFTY_FMCG!$B$3:$I$1238,8,0)</f>
        <v>-8.6533768817809165E-4</v>
      </c>
      <c r="Q249" s="8">
        <f>+VLOOKUP($B249,NIFTY_METAL!$B$3:$I$1238,8,0)</f>
        <v>2.076352013197913E-2</v>
      </c>
      <c r="R249" s="8">
        <f>+VLOOKUP($B249,NIFTY_ENERGY!$B$3:$I$1238,8,0)</f>
        <v>-3.0525562978597209E-3</v>
      </c>
      <c r="S249" s="8">
        <f>+VLOOKUP($B249,NIFTY_AUTO!$B$3:$I$1238,8,0)</f>
        <v>-4.0191508126496966E-3</v>
      </c>
      <c r="T249" s="8">
        <v>0</v>
      </c>
      <c r="U249" s="8">
        <f>+VLOOKUP($B249,NIFTY_50!$B$63:$K$1238,10,0)</f>
        <v>7.0418650266636629E-2</v>
      </c>
      <c r="V249" s="8">
        <f>+VLOOKUP($B249,NIFTY_BANK!$B$63:$K$1238,10,0)</f>
        <v>5.9743067392840743E-2</v>
      </c>
      <c r="W249" s="8">
        <f>+VLOOKUP($B249,NIFTY_IT!$B$63:$K$1238,10,0)</f>
        <v>9.7471683523700836E-2</v>
      </c>
      <c r="X249" s="8">
        <f>+VLOOKUP($B249,NIFTY_PHARMA!$B$63:$K$1238,10,0)</f>
        <v>4.487277325949024E-2</v>
      </c>
      <c r="Y249" s="8">
        <f>+VLOOKUP($B249,NIFTY_FMCG!$B$63:$K$1238,10,0)</f>
        <v>8.7135632822456843E-2</v>
      </c>
      <c r="Z249" s="8">
        <f>+VLOOKUP($B249,NIFTY_METAL!$B$63:$K$1238,10,0)</f>
        <v>0.1153846153846152</v>
      </c>
      <c r="AA249" s="8">
        <f>+VLOOKUP($B249,NIFTY_ENERGY!$B$63:$K$1238,10,0)</f>
        <v>0.11867936567587778</v>
      </c>
      <c r="AB249" s="8">
        <f>+VLOOKUP($B249,NIFTY_AUTO!$B$63:$K$1238,10,0)</f>
        <v>9.6788067984738158E-2</v>
      </c>
      <c r="AC249" s="8"/>
      <c r="AD249" s="16">
        <f t="shared" si="132"/>
        <v>4.4637339032598748E-2</v>
      </c>
      <c r="AE249" s="8">
        <f t="shared" si="133"/>
        <v>6.3939181423053812E-2</v>
      </c>
      <c r="AF249" s="8">
        <f t="shared" si="134"/>
        <v>5.4030688855947737E-2</v>
      </c>
      <c r="AG249" s="8">
        <f t="shared" si="135"/>
        <v>9.2946667950493972E-2</v>
      </c>
      <c r="AH249" s="8">
        <f t="shared" si="136"/>
        <v>5.353339965029863E-2</v>
      </c>
      <c r="AI249" s="8">
        <f t="shared" si="137"/>
        <v>9.6915995841922981E-2</v>
      </c>
      <c r="AJ249" s="8">
        <f t="shared" si="138"/>
        <v>7.2146277212358417E-2</v>
      </c>
      <c r="AK249" s="8">
        <f t="shared" si="139"/>
        <v>6.2306285329618689E-2</v>
      </c>
      <c r="AL249" s="9">
        <v>0</v>
      </c>
      <c r="AM249" s="17">
        <f t="shared" si="116"/>
        <v>22.402769109280861</v>
      </c>
      <c r="AN249" s="13">
        <f t="shared" si="117"/>
        <v>15.639862408989828</v>
      </c>
      <c r="AO249" s="13">
        <f t="shared" si="118"/>
        <v>18.508000197186441</v>
      </c>
      <c r="AP249" s="13">
        <f t="shared" si="119"/>
        <v>10.758857977917275</v>
      </c>
      <c r="AQ249" s="13">
        <f t="shared" si="120"/>
        <v>18.679927046150553</v>
      </c>
      <c r="AR249" s="13">
        <f t="shared" si="121"/>
        <v>10.318214153534289</v>
      </c>
      <c r="AS249" s="13">
        <f t="shared" si="122"/>
        <v>13.860729044362989</v>
      </c>
      <c r="AT249" s="13">
        <f t="shared" si="123"/>
        <v>16.049745137424001</v>
      </c>
      <c r="AU249" s="9">
        <v>0</v>
      </c>
      <c r="AV249" s="18">
        <f t="shared" si="140"/>
        <v>1</v>
      </c>
      <c r="AW249" s="18">
        <f t="shared" si="141"/>
        <v>5</v>
      </c>
      <c r="AX249" s="18">
        <f t="shared" si="142"/>
        <v>3</v>
      </c>
      <c r="AY249" s="18">
        <f t="shared" si="143"/>
        <v>7</v>
      </c>
      <c r="AZ249" s="18">
        <f t="shared" si="144"/>
        <v>2</v>
      </c>
      <c r="BA249" s="18">
        <f t="shared" si="145"/>
        <v>8</v>
      </c>
      <c r="BB249" s="18">
        <f t="shared" si="146"/>
        <v>6</v>
      </c>
      <c r="BC249" s="18">
        <f t="shared" si="147"/>
        <v>4</v>
      </c>
      <c r="BD249" s="18">
        <f t="shared" si="148"/>
        <v>9</v>
      </c>
      <c r="BE249" s="8">
        <f t="shared" si="150"/>
        <v>-1.8187113672843984E-3</v>
      </c>
    </row>
    <row r="250" spans="1:57" x14ac:dyDescent="0.25">
      <c r="A250" t="str">
        <f t="shared" si="149"/>
        <v>Y</v>
      </c>
      <c r="B250" s="1">
        <v>43098</v>
      </c>
      <c r="C250" s="9">
        <f t="shared" si="124"/>
        <v>0.25</v>
      </c>
      <c r="D250" s="9">
        <f t="shared" si="125"/>
        <v>0</v>
      </c>
      <c r="E250" s="9">
        <f t="shared" si="126"/>
        <v>0.25</v>
      </c>
      <c r="F250" s="9">
        <f t="shared" si="127"/>
        <v>0</v>
      </c>
      <c r="G250" s="9">
        <f t="shared" si="128"/>
        <v>0.25</v>
      </c>
      <c r="H250" s="9">
        <f t="shared" si="129"/>
        <v>0</v>
      </c>
      <c r="I250" s="9">
        <f t="shared" si="130"/>
        <v>0</v>
      </c>
      <c r="J250" s="9">
        <f t="shared" si="131"/>
        <v>0.25</v>
      </c>
      <c r="K250" s="9">
        <v>0</v>
      </c>
      <c r="L250" s="8">
        <f>+VLOOKUP($B250,NIFTY_50!$B$3:$I$1238,8,0)</f>
        <v>5.03917769782114E-3</v>
      </c>
      <c r="M250" s="8">
        <f>+VLOOKUP($B250,NIFTY_BANK!$B$3:$I$41238,8,0)</f>
        <v>1.9399764613574622E-3</v>
      </c>
      <c r="N250" s="8">
        <f>+VLOOKUP($B250,NIFTY_IT!$B$3:$I$1238,8,0)</f>
        <v>1.4730698305556622E-2</v>
      </c>
      <c r="O250" s="8">
        <f>+VLOOKUP($B250,NIFTY_PHARMA!$B$3:$I$1238,8,0)</f>
        <v>3.7457482105964779E-3</v>
      </c>
      <c r="P250" s="8">
        <f>+VLOOKUP($B250,NIFTY_FMCG!$B$3:$I$1238,8,0)</f>
        <v>8.9257701318292693E-3</v>
      </c>
      <c r="Q250" s="8">
        <f>+VLOOKUP($B250,NIFTY_METAL!$B$3:$I$1238,8,0)</f>
        <v>-5.0000631321102107E-3</v>
      </c>
      <c r="R250" s="8">
        <f>+VLOOKUP($B250,NIFTY_ENERGY!$B$3:$I$1238,8,0)</f>
        <v>-2.743465024320324E-3</v>
      </c>
      <c r="S250" s="8">
        <f>+VLOOKUP($B250,NIFTY_AUTO!$B$3:$I$1238,8,0)</f>
        <v>1.2822945524619156E-2</v>
      </c>
      <c r="T250" s="8">
        <v>0</v>
      </c>
      <c r="U250" s="8">
        <f>+VLOOKUP($B250,NIFTY_50!$B$63:$K$1238,10,0)</f>
        <v>6.807647446625098E-2</v>
      </c>
      <c r="V250" s="8">
        <f>+VLOOKUP($B250,NIFTY_BANK!$B$63:$K$1238,10,0)</f>
        <v>5.9578731631222182E-2</v>
      </c>
      <c r="W250" s="8">
        <f>+VLOOKUP($B250,NIFTY_IT!$B$63:$K$1238,10,0)</f>
        <v>0.10616720873118979</v>
      </c>
      <c r="X250" s="8">
        <f>+VLOOKUP($B250,NIFTY_PHARMA!$B$63:$K$1238,10,0)</f>
        <v>4.3966597756905923E-2</v>
      </c>
      <c r="Y250" s="8">
        <f>+VLOOKUP($B250,NIFTY_FMCG!$B$63:$K$1238,10,0)</f>
        <v>8.5016496582489998E-2</v>
      </c>
      <c r="Z250" s="8">
        <f>+VLOOKUP($B250,NIFTY_METAL!$B$63:$K$1238,10,0)</f>
        <v>9.6435329474621634E-2</v>
      </c>
      <c r="AA250" s="8">
        <f>+VLOOKUP($B250,NIFTY_ENERGY!$B$63:$K$1238,10,0)</f>
        <v>0.10073579112029507</v>
      </c>
      <c r="AB250" s="8">
        <f>+VLOOKUP($B250,NIFTY_AUTO!$B$63:$K$1238,10,0)</f>
        <v>0.10142840765791594</v>
      </c>
      <c r="AC250" s="8"/>
      <c r="AD250" s="16">
        <f t="shared" si="132"/>
        <v>4.4388455359841816E-2</v>
      </c>
      <c r="AE250" s="8">
        <f t="shared" si="133"/>
        <v>6.3936668587858778E-2</v>
      </c>
      <c r="AF250" s="8">
        <f t="shared" si="134"/>
        <v>5.5361771207956441E-2</v>
      </c>
      <c r="AG250" s="8">
        <f t="shared" si="135"/>
        <v>9.2914813346833616E-2</v>
      </c>
      <c r="AH250" s="8">
        <f t="shared" si="136"/>
        <v>5.3218371156684867E-2</v>
      </c>
      <c r="AI250" s="8">
        <f t="shared" si="137"/>
        <v>9.6583556242117424E-2</v>
      </c>
      <c r="AJ250" s="8">
        <f t="shared" si="138"/>
        <v>7.1322410564515576E-2</v>
      </c>
      <c r="AK250" s="8">
        <f t="shared" si="139"/>
        <v>6.2926901496764207E-2</v>
      </c>
      <c r="AL250" s="9">
        <v>0</v>
      </c>
      <c r="AM250" s="17">
        <f t="shared" si="116"/>
        <v>22.528380226195004</v>
      </c>
      <c r="AN250" s="13">
        <f t="shared" si="117"/>
        <v>15.640477085943989</v>
      </c>
      <c r="AO250" s="13">
        <f t="shared" si="118"/>
        <v>18.063005900654471</v>
      </c>
      <c r="AP250" s="13">
        <f t="shared" si="119"/>
        <v>10.762546508780973</v>
      </c>
      <c r="AQ250" s="13">
        <f t="shared" si="120"/>
        <v>18.790503697601199</v>
      </c>
      <c r="AR250" s="13">
        <f t="shared" si="121"/>
        <v>10.353729339735448</v>
      </c>
      <c r="AS250" s="13">
        <f t="shared" si="122"/>
        <v>14.020838500620188</v>
      </c>
      <c r="AT250" s="13">
        <f t="shared" si="123"/>
        <v>15.891454627738527</v>
      </c>
      <c r="AU250" s="9">
        <v>0</v>
      </c>
      <c r="AV250" s="18">
        <f t="shared" si="140"/>
        <v>1</v>
      </c>
      <c r="AW250" s="18">
        <f t="shared" si="141"/>
        <v>5</v>
      </c>
      <c r="AX250" s="18">
        <f t="shared" si="142"/>
        <v>3</v>
      </c>
      <c r="AY250" s="18">
        <f t="shared" si="143"/>
        <v>7</v>
      </c>
      <c r="AZ250" s="18">
        <f t="shared" si="144"/>
        <v>2</v>
      </c>
      <c r="BA250" s="18">
        <f t="shared" si="145"/>
        <v>8</v>
      </c>
      <c r="BB250" s="18">
        <f t="shared" si="146"/>
        <v>6</v>
      </c>
      <c r="BC250" s="18">
        <f t="shared" si="147"/>
        <v>4</v>
      </c>
      <c r="BD250" s="18">
        <f t="shared" si="148"/>
        <v>9</v>
      </c>
      <c r="BE250" s="8">
        <f t="shared" si="150"/>
        <v>1.0402690086752247E-2</v>
      </c>
    </row>
    <row r="251" spans="1:57" x14ac:dyDescent="0.25">
      <c r="A251" t="str">
        <f t="shared" si="149"/>
        <v/>
      </c>
      <c r="B251" s="1">
        <v>43101</v>
      </c>
      <c r="C251" s="9">
        <f t="shared" si="124"/>
        <v>0.24984503548571227</v>
      </c>
      <c r="D251" s="9">
        <f t="shared" si="125"/>
        <v>0</v>
      </c>
      <c r="E251" s="9">
        <f t="shared" si="126"/>
        <v>0.24996186544963764</v>
      </c>
      <c r="F251" s="9">
        <f t="shared" si="127"/>
        <v>0</v>
      </c>
      <c r="G251" s="9">
        <f t="shared" si="128"/>
        <v>0.25057240866850822</v>
      </c>
      <c r="H251" s="9">
        <f t="shared" si="129"/>
        <v>0</v>
      </c>
      <c r="I251" s="9">
        <f t="shared" si="130"/>
        <v>0</v>
      </c>
      <c r="J251" s="9">
        <f t="shared" si="131"/>
        <v>0.24962069039614196</v>
      </c>
      <c r="K251" s="9">
        <v>0</v>
      </c>
      <c r="L251" s="8">
        <f>+VLOOKUP($B251,NIFTY_50!$B$3:$I$1238,8,0)</f>
        <v>-9.0354867197813826E-3</v>
      </c>
      <c r="M251" s="8">
        <f>+VLOOKUP($B251,NIFTY_BANK!$B$3:$I$41238,8,0)</f>
        <v>-8.6669838230659657E-3</v>
      </c>
      <c r="N251" s="8">
        <f>+VLOOKUP($B251,NIFTY_IT!$B$3:$I$1238,8,0)</f>
        <v>-8.5721020937359338E-3</v>
      </c>
      <c r="O251" s="8">
        <f>+VLOOKUP($B251,NIFTY_PHARMA!$B$3:$I$1238,8,0)</f>
        <v>-2.0270059562799148E-4</v>
      </c>
      <c r="P251" s="8">
        <f>+VLOOKUP($B251,NIFTY_FMCG!$B$3:$I$1238,8,0)</f>
        <v>-6.1504943857885186E-3</v>
      </c>
      <c r="Q251" s="8">
        <f>+VLOOKUP($B251,NIFTY_METAL!$B$3:$I$1238,8,0)</f>
        <v>-5.3170564572415646E-3</v>
      </c>
      <c r="R251" s="8">
        <f>+VLOOKUP($B251,NIFTY_ENERGY!$B$3:$I$1238,8,0)</f>
        <v>-7.7442400679330614E-3</v>
      </c>
      <c r="S251" s="8">
        <f>+VLOOKUP($B251,NIFTY_AUTO!$B$3:$I$1238,8,0)</f>
        <v>-9.9253103741143711E-3</v>
      </c>
      <c r="T251" s="8">
        <v>0</v>
      </c>
      <c r="U251" s="8">
        <f>+VLOOKUP($B251,NIFTY_50!$B$63:$K$1238,10,0)</f>
        <v>5.2511876065315821E-2</v>
      </c>
      <c r="V251" s="8">
        <f>+VLOOKUP($B251,NIFTY_BANK!$B$63:$K$1238,10,0)</f>
        <v>4.9964127680574677E-2</v>
      </c>
      <c r="W251" s="8">
        <f>+VLOOKUP($B251,NIFTY_IT!$B$63:$K$1238,10,0)</f>
        <v>9.7335351072358689E-2</v>
      </c>
      <c r="X251" s="8">
        <f>+VLOOKUP($B251,NIFTY_PHARMA!$B$63:$K$1238,10,0)</f>
        <v>2.6231554687750069E-2</v>
      </c>
      <c r="Y251" s="8">
        <f>+VLOOKUP($B251,NIFTY_FMCG!$B$63:$K$1238,10,0)</f>
        <v>6.2970390891220696E-2</v>
      </c>
      <c r="Z251" s="8">
        <f>+VLOOKUP($B251,NIFTY_METAL!$B$63:$K$1238,10,0)</f>
        <v>9.2277249797943162E-2</v>
      </c>
      <c r="AA251" s="8">
        <f>+VLOOKUP($B251,NIFTY_ENERGY!$B$63:$K$1238,10,0)</f>
        <v>7.4318907973269122E-2</v>
      </c>
      <c r="AB251" s="8">
        <f>+VLOOKUP($B251,NIFTY_AUTO!$B$63:$K$1238,10,0)</f>
        <v>8.6614820839463702E-2</v>
      </c>
      <c r="AC251" s="8"/>
      <c r="AD251" s="16">
        <f t="shared" si="132"/>
        <v>4.5266057271671038E-2</v>
      </c>
      <c r="AE251" s="8">
        <f t="shared" si="133"/>
        <v>6.4647754593079546E-2</v>
      </c>
      <c r="AF251" s="8">
        <f t="shared" si="134"/>
        <v>5.6247943077298107E-2</v>
      </c>
      <c r="AG251" s="8">
        <f t="shared" si="135"/>
        <v>9.1452564742569062E-2</v>
      </c>
      <c r="AH251" s="8">
        <f t="shared" si="136"/>
        <v>5.2058065985363076E-2</v>
      </c>
      <c r="AI251" s="8">
        <f t="shared" si="137"/>
        <v>9.6778578747201999E-2</v>
      </c>
      <c r="AJ251" s="8">
        <f t="shared" si="138"/>
        <v>7.0275095263361453E-2</v>
      </c>
      <c r="AK251" s="8">
        <f t="shared" si="139"/>
        <v>6.3923514008486559E-2</v>
      </c>
      <c r="AL251" s="9">
        <v>0</v>
      </c>
      <c r="AM251" s="17">
        <f t="shared" si="116"/>
        <v>22.091608155716983</v>
      </c>
      <c r="AN251" s="13">
        <f t="shared" si="117"/>
        <v>15.468441344860702</v>
      </c>
      <c r="AO251" s="13">
        <f t="shared" si="118"/>
        <v>17.778427890701021</v>
      </c>
      <c r="AP251" s="13">
        <f t="shared" si="119"/>
        <v>10.934630459133784</v>
      </c>
      <c r="AQ251" s="13">
        <f t="shared" si="120"/>
        <v>19.209319076147878</v>
      </c>
      <c r="AR251" s="13">
        <f t="shared" si="121"/>
        <v>10.33286511276558</v>
      </c>
      <c r="AS251" s="13">
        <f t="shared" si="122"/>
        <v>14.229792165381225</v>
      </c>
      <c r="AT251" s="13">
        <f t="shared" si="123"/>
        <v>15.643695680860706</v>
      </c>
      <c r="AU251" s="9">
        <v>0</v>
      </c>
      <c r="AV251" s="18">
        <f t="shared" si="140"/>
        <v>1</v>
      </c>
      <c r="AW251" s="18">
        <f t="shared" si="141"/>
        <v>5</v>
      </c>
      <c r="AX251" s="18">
        <f t="shared" si="142"/>
        <v>3</v>
      </c>
      <c r="AY251" s="18">
        <f t="shared" si="143"/>
        <v>7</v>
      </c>
      <c r="AZ251" s="18">
        <f t="shared" si="144"/>
        <v>2</v>
      </c>
      <c r="BA251" s="18">
        <f t="shared" si="145"/>
        <v>8</v>
      </c>
      <c r="BB251" s="18">
        <f t="shared" si="146"/>
        <v>6</v>
      </c>
      <c r="BC251" s="18">
        <f t="shared" si="147"/>
        <v>4</v>
      </c>
      <c r="BD251" s="18">
        <f t="shared" si="148"/>
        <v>9</v>
      </c>
      <c r="BE251" s="8">
        <f t="shared" si="150"/>
        <v>-8.4208483933550515E-3</v>
      </c>
    </row>
    <row r="252" spans="1:57" x14ac:dyDescent="0.25">
      <c r="A252" t="str">
        <f t="shared" si="149"/>
        <v/>
      </c>
      <c r="B252" s="1">
        <v>43102</v>
      </c>
      <c r="C252" s="9">
        <f t="shared" si="124"/>
        <v>0.24993315835277316</v>
      </c>
      <c r="D252" s="9">
        <f t="shared" si="125"/>
        <v>0</v>
      </c>
      <c r="E252" s="9">
        <f t="shared" si="126"/>
        <v>0.25068157129457302</v>
      </c>
      <c r="F252" s="9">
        <f t="shared" si="127"/>
        <v>0</v>
      </c>
      <c r="G252" s="9">
        <f t="shared" si="128"/>
        <v>0.24906637525311842</v>
      </c>
      <c r="H252" s="9">
        <f t="shared" si="129"/>
        <v>0</v>
      </c>
      <c r="I252" s="9">
        <f t="shared" si="130"/>
        <v>0</v>
      </c>
      <c r="J252" s="9">
        <f t="shared" si="131"/>
        <v>0.25031889509953548</v>
      </c>
      <c r="K252" s="9">
        <v>0</v>
      </c>
      <c r="L252" s="8">
        <f>+VLOOKUP($B252,NIFTY_50!$B$3:$I$1238,8,0)</f>
        <v>6.3724480262195016E-4</v>
      </c>
      <c r="M252" s="8">
        <f>+VLOOKUP($B252,NIFTY_BANK!$B$3:$I$41238,8,0)</f>
        <v>7.9587330802866063E-4</v>
      </c>
      <c r="N252" s="8">
        <f>+VLOOKUP($B252,NIFTY_IT!$B$3:$I$1238,8,0)</f>
        <v>3.1645159198496753E-3</v>
      </c>
      <c r="O252" s="8">
        <f>+VLOOKUP($B252,NIFTY_PHARMA!$B$3:$I$1238,8,0)</f>
        <v>-5.4428346407573436E-3</v>
      </c>
      <c r="P252" s="8">
        <f>+VLOOKUP($B252,NIFTY_FMCG!$B$3:$I$1238,8,0)</f>
        <v>-5.7276472803511336E-3</v>
      </c>
      <c r="Q252" s="8">
        <f>+VLOOKUP($B252,NIFTY_METAL!$B$3:$I$1238,8,0)</f>
        <v>6.0343947744438964E-3</v>
      </c>
      <c r="R252" s="8">
        <f>+VLOOKUP($B252,NIFTY_ENERGY!$B$3:$I$1238,8,0)</f>
        <v>1.6585390004206779E-3</v>
      </c>
      <c r="S252" s="8">
        <f>+VLOOKUP($B252,NIFTY_AUTO!$B$3:$I$1238,8,0)</f>
        <v>3.0822925865185979E-3</v>
      </c>
      <c r="T252" s="8">
        <v>0</v>
      </c>
      <c r="U252" s="8">
        <f>+VLOOKUP($B252,NIFTY_50!$B$63:$K$1238,10,0)</f>
        <v>5.5972979259154343E-2</v>
      </c>
      <c r="V252" s="8">
        <f>+VLOOKUP($B252,NIFTY_BANK!$B$63:$K$1238,10,0)</f>
        <v>5.3212957824927631E-2</v>
      </c>
      <c r="W252" s="8">
        <f>+VLOOKUP($B252,NIFTY_IT!$B$63:$K$1238,10,0)</f>
        <v>0.10239770443672724</v>
      </c>
      <c r="X252" s="8">
        <f>+VLOOKUP($B252,NIFTY_PHARMA!$B$63:$K$1238,10,0)</f>
        <v>1.8272009708169445E-2</v>
      </c>
      <c r="Y252" s="8">
        <f>+VLOOKUP($B252,NIFTY_FMCG!$B$63:$K$1238,10,0)</f>
        <v>6.0898666154879599E-2</v>
      </c>
      <c r="Z252" s="8">
        <f>+VLOOKUP($B252,NIFTY_METAL!$B$63:$K$1238,10,0)</f>
        <v>9.5723099155180069E-2</v>
      </c>
      <c r="AA252" s="8">
        <f>+VLOOKUP($B252,NIFTY_ENERGY!$B$63:$K$1238,10,0)</f>
        <v>7.5786003479000552E-2</v>
      </c>
      <c r="AB252" s="8">
        <f>+VLOOKUP($B252,NIFTY_AUTO!$B$63:$K$1238,10,0)</f>
        <v>9.1060859701601604E-2</v>
      </c>
      <c r="AC252" s="8"/>
      <c r="AD252" s="16">
        <f t="shared" si="132"/>
        <v>4.512922572316317E-2</v>
      </c>
      <c r="AE252" s="8">
        <f t="shared" si="133"/>
        <v>6.4570984890332028E-2</v>
      </c>
      <c r="AF252" s="8">
        <f t="shared" si="134"/>
        <v>5.6188428680925724E-2</v>
      </c>
      <c r="AG252" s="8">
        <f t="shared" si="135"/>
        <v>9.1621178237205253E-2</v>
      </c>
      <c r="AH252" s="8">
        <f t="shared" si="136"/>
        <v>5.2272629468569878E-2</v>
      </c>
      <c r="AI252" s="8">
        <f t="shared" si="137"/>
        <v>9.6873399386713147E-2</v>
      </c>
      <c r="AJ252" s="8">
        <f t="shared" si="138"/>
        <v>7.0270198194417391E-2</v>
      </c>
      <c r="AK252" s="8">
        <f t="shared" si="139"/>
        <v>6.3898513839520651E-2</v>
      </c>
      <c r="AL252" s="9">
        <v>0</v>
      </c>
      <c r="AM252" s="17">
        <f t="shared" si="116"/>
        <v>22.158589782468542</v>
      </c>
      <c r="AN252" s="13">
        <f t="shared" si="117"/>
        <v>15.486832076332883</v>
      </c>
      <c r="AO252" s="13">
        <f t="shared" si="118"/>
        <v>17.797258678982598</v>
      </c>
      <c r="AP252" s="13">
        <f t="shared" si="119"/>
        <v>10.914507095848752</v>
      </c>
      <c r="AQ252" s="13">
        <f t="shared" si="120"/>
        <v>19.130470576408882</v>
      </c>
      <c r="AR252" s="13">
        <f t="shared" si="121"/>
        <v>10.322751202402388</v>
      </c>
      <c r="AS252" s="13">
        <f t="shared" si="122"/>
        <v>14.230783827210621</v>
      </c>
      <c r="AT252" s="13">
        <f t="shared" si="123"/>
        <v>15.649816246297563</v>
      </c>
      <c r="AU252" s="9">
        <v>0</v>
      </c>
      <c r="AV252" s="18">
        <f t="shared" si="140"/>
        <v>1</v>
      </c>
      <c r="AW252" s="18">
        <f t="shared" si="141"/>
        <v>5</v>
      </c>
      <c r="AX252" s="18">
        <f t="shared" si="142"/>
        <v>3</v>
      </c>
      <c r="AY252" s="18">
        <f t="shared" si="143"/>
        <v>7</v>
      </c>
      <c r="AZ252" s="18">
        <f t="shared" si="144"/>
        <v>2</v>
      </c>
      <c r="BA252" s="18">
        <f t="shared" si="145"/>
        <v>8</v>
      </c>
      <c r="BB252" s="18">
        <f t="shared" si="146"/>
        <v>6</v>
      </c>
      <c r="BC252" s="18">
        <f t="shared" si="147"/>
        <v>4</v>
      </c>
      <c r="BD252" s="18">
        <f t="shared" si="148"/>
        <v>9</v>
      </c>
      <c r="BE252" s="8">
        <f t="shared" si="150"/>
        <v>2.8443438130333631E-4</v>
      </c>
    </row>
    <row r="253" spans="1:57" x14ac:dyDescent="0.25">
      <c r="A253" t="str">
        <f t="shared" si="149"/>
        <v/>
      </c>
      <c r="B253" s="1">
        <v>43103</v>
      </c>
      <c r="C253" s="9">
        <f t="shared" si="124"/>
        <v>0.25008269342605355</v>
      </c>
      <c r="D253" s="9">
        <f t="shared" si="125"/>
        <v>0</v>
      </c>
      <c r="E253" s="9">
        <f t="shared" si="126"/>
        <v>0.25046923007110217</v>
      </c>
      <c r="F253" s="9">
        <f t="shared" si="127"/>
        <v>0</v>
      </c>
      <c r="G253" s="9">
        <f t="shared" si="128"/>
        <v>0.25027062055316257</v>
      </c>
      <c r="H253" s="9">
        <f t="shared" si="129"/>
        <v>0</v>
      </c>
      <c r="I253" s="9">
        <f t="shared" si="130"/>
        <v>0</v>
      </c>
      <c r="J253" s="9">
        <f t="shared" si="131"/>
        <v>0.24917745594968185</v>
      </c>
      <c r="K253" s="9">
        <v>0</v>
      </c>
      <c r="L253" s="8">
        <f>+VLOOKUP($B253,NIFTY_50!$B$3:$I$1238,8,0)</f>
        <v>9.5765260194280444E-5</v>
      </c>
      <c r="M253" s="8">
        <f>+VLOOKUP($B253,NIFTY_BANK!$B$3:$I$41238,8,0)</f>
        <v>-7.7550738507992101E-4</v>
      </c>
      <c r="N253" s="8">
        <f>+VLOOKUP($B253,NIFTY_IT!$B$3:$I$1238,8,0)</f>
        <v>-1.3488646696574458E-3</v>
      </c>
      <c r="O253" s="8">
        <f>+VLOOKUP($B253,NIFTY_PHARMA!$B$3:$I$1238,8,0)</f>
        <v>-4.8349327813669296E-3</v>
      </c>
      <c r="P253" s="8">
        <f>+VLOOKUP($B253,NIFTY_FMCG!$B$3:$I$1238,8,0)</f>
        <v>4.3303748092036187E-3</v>
      </c>
      <c r="Q253" s="8">
        <f>+VLOOKUP($B253,NIFTY_METAL!$B$3:$I$1238,8,0)</f>
        <v>1.4545316205282877E-2</v>
      </c>
      <c r="R253" s="8">
        <f>+VLOOKUP($B253,NIFTY_ENERGY!$B$3:$I$1238,8,0)</f>
        <v>-3.248037055866293E-4</v>
      </c>
      <c r="S253" s="8">
        <f>+VLOOKUP($B253,NIFTY_AUTO!$B$3:$I$1238,8,0)</f>
        <v>-5.0598843814323446E-3</v>
      </c>
      <c r="T253" s="8">
        <v>0</v>
      </c>
      <c r="U253" s="8">
        <f>+VLOOKUP($B253,NIFTY_50!$B$63:$K$1238,10,0)</f>
        <v>4.6444281892241257E-2</v>
      </c>
      <c r="V253" s="8">
        <f>+VLOOKUP($B253,NIFTY_BANK!$B$63:$K$1238,10,0)</f>
        <v>4.6655642827614585E-2</v>
      </c>
      <c r="W253" s="8">
        <f>+VLOOKUP($B253,NIFTY_IT!$B$63:$K$1238,10,0)</f>
        <v>8.7406795647257063E-2</v>
      </c>
      <c r="X253" s="8">
        <f>+VLOOKUP($B253,NIFTY_PHARMA!$B$63:$K$1238,10,0)</f>
        <v>4.4103294558306416E-3</v>
      </c>
      <c r="Y253" s="8">
        <f>+VLOOKUP($B253,NIFTY_FMCG!$B$63:$K$1238,10,0)</f>
        <v>6.0396488742807675E-2</v>
      </c>
      <c r="Z253" s="8">
        <f>+VLOOKUP($B253,NIFTY_METAL!$B$63:$K$1238,10,0)</f>
        <v>7.7785262023440715E-2</v>
      </c>
      <c r="AA253" s="8">
        <f>+VLOOKUP($B253,NIFTY_ENERGY!$B$63:$K$1238,10,0)</f>
        <v>5.6154210540057647E-2</v>
      </c>
      <c r="AB253" s="8">
        <f>+VLOOKUP($B253,NIFTY_AUTO!$B$63:$K$1238,10,0)</f>
        <v>7.8113927500681246E-2</v>
      </c>
      <c r="AC253" s="8"/>
      <c r="AD253" s="16">
        <f t="shared" si="132"/>
        <v>4.4352956795672555E-2</v>
      </c>
      <c r="AE253" s="8">
        <f t="shared" si="133"/>
        <v>6.4423297049589004E-2</v>
      </c>
      <c r="AF253" s="8">
        <f t="shared" si="134"/>
        <v>5.5194056456502404E-2</v>
      </c>
      <c r="AG253" s="8">
        <f t="shared" si="135"/>
        <v>9.1354142562412213E-2</v>
      </c>
      <c r="AH253" s="8">
        <f t="shared" si="136"/>
        <v>5.224004352750794E-2</v>
      </c>
      <c r="AI253" s="8">
        <f t="shared" si="137"/>
        <v>9.3041401391966747E-2</v>
      </c>
      <c r="AJ253" s="8">
        <f t="shared" si="138"/>
        <v>6.8154642982853189E-2</v>
      </c>
      <c r="AK253" s="8">
        <f t="shared" si="139"/>
        <v>6.3982755235028776E-2</v>
      </c>
      <c r="AL253" s="9">
        <v>0</v>
      </c>
      <c r="AM253" s="17">
        <f t="shared" si="116"/>
        <v>22.546411158265066</v>
      </c>
      <c r="AN253" s="13">
        <f t="shared" si="117"/>
        <v>15.522335021603487</v>
      </c>
      <c r="AO253" s="13">
        <f t="shared" si="118"/>
        <v>18.117892834857766</v>
      </c>
      <c r="AP253" s="13">
        <f t="shared" si="119"/>
        <v>10.946411098071554</v>
      </c>
      <c r="AQ253" s="13">
        <f t="shared" si="120"/>
        <v>19.142403651969239</v>
      </c>
      <c r="AR253" s="13">
        <f t="shared" si="121"/>
        <v>10.747903460602224</v>
      </c>
      <c r="AS253" s="13">
        <f t="shared" si="122"/>
        <v>14.672514684752832</v>
      </c>
      <c r="AT253" s="13">
        <f t="shared" si="123"/>
        <v>15.629211282425798</v>
      </c>
      <c r="AU253" s="9">
        <v>0</v>
      </c>
      <c r="AV253" s="18">
        <f t="shared" si="140"/>
        <v>1</v>
      </c>
      <c r="AW253" s="18">
        <f t="shared" si="141"/>
        <v>5</v>
      </c>
      <c r="AX253" s="18">
        <f t="shared" si="142"/>
        <v>3</v>
      </c>
      <c r="AY253" s="18">
        <f t="shared" si="143"/>
        <v>7</v>
      </c>
      <c r="AZ253" s="18">
        <f t="shared" si="144"/>
        <v>2</v>
      </c>
      <c r="BA253" s="18">
        <f t="shared" si="145"/>
        <v>8</v>
      </c>
      <c r="BB253" s="18">
        <f t="shared" si="146"/>
        <v>6</v>
      </c>
      <c r="BC253" s="18">
        <f t="shared" si="147"/>
        <v>4</v>
      </c>
      <c r="BD253" s="18">
        <f t="shared" si="148"/>
        <v>9</v>
      </c>
      <c r="BE253" s="8">
        <f t="shared" si="150"/>
        <v>-5.0223451138841344E-4</v>
      </c>
    </row>
    <row r="254" spans="1:57" x14ac:dyDescent="0.25">
      <c r="A254" t="str">
        <f t="shared" si="149"/>
        <v/>
      </c>
      <c r="B254" s="1">
        <v>43104</v>
      </c>
      <c r="C254" s="9">
        <f t="shared" si="124"/>
        <v>0.25119204050625782</v>
      </c>
      <c r="D254" s="9">
        <f t="shared" si="125"/>
        <v>0</v>
      </c>
      <c r="E254" s="9">
        <f t="shared" si="126"/>
        <v>0.25019352915323684</v>
      </c>
      <c r="F254" s="9">
        <f t="shared" si="127"/>
        <v>0</v>
      </c>
      <c r="G254" s="9">
        <f t="shared" si="128"/>
        <v>0.25029307829447583</v>
      </c>
      <c r="H254" s="9">
        <f t="shared" si="129"/>
        <v>0</v>
      </c>
      <c r="I254" s="9">
        <f t="shared" si="130"/>
        <v>0</v>
      </c>
      <c r="J254" s="9">
        <f t="shared" si="131"/>
        <v>0.24832135204602965</v>
      </c>
      <c r="K254" s="9">
        <v>0</v>
      </c>
      <c r="L254" s="8">
        <f>+VLOOKUP($B254,NIFTY_50!$B$3:$I$1238,8,0)</f>
        <v>5.8985751493794147E-3</v>
      </c>
      <c r="M254" s="8">
        <f>+VLOOKUP($B254,NIFTY_BANK!$B$3:$I$41238,8,0)</f>
        <v>5.6875182672027069E-3</v>
      </c>
      <c r="N254" s="8">
        <f>+VLOOKUP($B254,NIFTY_IT!$B$3:$I$1238,8,0)</f>
        <v>3.5385398776166532E-4</v>
      </c>
      <c r="O254" s="8">
        <f>+VLOOKUP($B254,NIFTY_PHARMA!$B$3:$I$1238,8,0)</f>
        <v>1.1980608327074371E-2</v>
      </c>
      <c r="P254" s="8">
        <f>+VLOOKUP($B254,NIFTY_FMCG!$B$3:$I$1238,8,0)</f>
        <v>1.5460590504494665E-3</v>
      </c>
      <c r="Q254" s="8">
        <f>+VLOOKUP($B254,NIFTY_METAL!$B$3:$I$1238,8,0)</f>
        <v>2.7948602569871639E-2</v>
      </c>
      <c r="R254" s="8">
        <f>+VLOOKUP($B254,NIFTY_ENERGY!$B$3:$I$1238,8,0)</f>
        <v>6.3180720168387605E-3</v>
      </c>
      <c r="S254" s="8">
        <f>+VLOOKUP($B254,NIFTY_AUTO!$B$3:$I$1238,8,0)</f>
        <v>-1.9845282637273032E-3</v>
      </c>
      <c r="T254" s="8">
        <v>0</v>
      </c>
      <c r="U254" s="8">
        <f>+VLOOKUP($B254,NIFTY_50!$B$63:$K$1238,10,0)</f>
        <v>5.1663121011137347E-2</v>
      </c>
      <c r="V254" s="8">
        <f>+VLOOKUP($B254,NIFTY_BANK!$B$63:$K$1238,10,0)</f>
        <v>4.9921861792271871E-2</v>
      </c>
      <c r="W254" s="8">
        <f>+VLOOKUP($B254,NIFTY_IT!$B$63:$K$1238,10,0)</f>
        <v>8.5260575644650727E-2</v>
      </c>
      <c r="X254" s="8">
        <f>+VLOOKUP($B254,NIFTY_PHARMA!$B$63:$K$1238,10,0)</f>
        <v>1.34550848438304E-2</v>
      </c>
      <c r="Y254" s="8">
        <f>+VLOOKUP($B254,NIFTY_FMCG!$B$63:$K$1238,10,0)</f>
        <v>5.5494367514488996E-2</v>
      </c>
      <c r="Z254" s="8">
        <f>+VLOOKUP($B254,NIFTY_METAL!$B$63:$K$1238,10,0)</f>
        <v>0.10601557351695212</v>
      </c>
      <c r="AA254" s="8">
        <f>+VLOOKUP($B254,NIFTY_ENERGY!$B$63:$K$1238,10,0)</f>
        <v>7.3008807901881578E-2</v>
      </c>
      <c r="AB254" s="8">
        <f>+VLOOKUP($B254,NIFTY_AUTO!$B$63:$K$1238,10,0)</f>
        <v>7.6091697105162837E-2</v>
      </c>
      <c r="AC254" s="8"/>
      <c r="AD254" s="16">
        <f t="shared" si="132"/>
        <v>4.4644746226515555E-2</v>
      </c>
      <c r="AE254" s="8">
        <f t="shared" si="133"/>
        <v>6.458412782679801E-2</v>
      </c>
      <c r="AF254" s="8">
        <f t="shared" si="134"/>
        <v>5.5195501664291977E-2</v>
      </c>
      <c r="AG254" s="8">
        <f t="shared" si="135"/>
        <v>9.2068119681091409E-2</v>
      </c>
      <c r="AH254" s="8">
        <f t="shared" si="136"/>
        <v>5.1978866698270149E-2</v>
      </c>
      <c r="AI254" s="8">
        <f t="shared" si="137"/>
        <v>9.6723379108150834E-2</v>
      </c>
      <c r="AJ254" s="8">
        <f t="shared" si="138"/>
        <v>6.7537458073911816E-2</v>
      </c>
      <c r="AK254" s="8">
        <f t="shared" si="139"/>
        <v>6.4050093748796708E-2</v>
      </c>
      <c r="AL254" s="9">
        <v>0</v>
      </c>
      <c r="AM254" s="17">
        <f t="shared" si="116"/>
        <v>22.399052173491285</v>
      </c>
      <c r="AN254" s="13">
        <f t="shared" si="117"/>
        <v>15.48368049007032</v>
      </c>
      <c r="AO254" s="13">
        <f t="shared" si="118"/>
        <v>18.117418446201697</v>
      </c>
      <c r="AP254" s="13">
        <f t="shared" si="119"/>
        <v>10.861523005616201</v>
      </c>
      <c r="AQ254" s="13">
        <f t="shared" si="120"/>
        <v>19.238587978550136</v>
      </c>
      <c r="AR254" s="13">
        <f t="shared" si="121"/>
        <v>10.338762036858268</v>
      </c>
      <c r="AS254" s="13">
        <f t="shared" si="122"/>
        <v>14.8065981237496</v>
      </c>
      <c r="AT254" s="13">
        <f t="shared" si="123"/>
        <v>15.612779645912489</v>
      </c>
      <c r="AU254" s="9">
        <v>0</v>
      </c>
      <c r="AV254" s="18">
        <f t="shared" si="140"/>
        <v>1</v>
      </c>
      <c r="AW254" s="18">
        <f t="shared" si="141"/>
        <v>5</v>
      </c>
      <c r="AX254" s="18">
        <f t="shared" si="142"/>
        <v>3</v>
      </c>
      <c r="AY254" s="18">
        <f t="shared" si="143"/>
        <v>7</v>
      </c>
      <c r="AZ254" s="18">
        <f t="shared" si="144"/>
        <v>2</v>
      </c>
      <c r="BA254" s="18">
        <f t="shared" si="145"/>
        <v>8</v>
      </c>
      <c r="BB254" s="18">
        <f t="shared" si="146"/>
        <v>6</v>
      </c>
      <c r="BC254" s="18">
        <f t="shared" si="147"/>
        <v>4</v>
      </c>
      <c r="BD254" s="18">
        <f t="shared" si="148"/>
        <v>9</v>
      </c>
      <c r="BE254" s="8">
        <f t="shared" si="150"/>
        <v>1.4561945505570562E-3</v>
      </c>
    </row>
    <row r="255" spans="1:57" x14ac:dyDescent="0.25">
      <c r="A255" t="str">
        <f t="shared" si="149"/>
        <v/>
      </c>
      <c r="B255" s="1">
        <v>43105</v>
      </c>
      <c r="C255" s="9">
        <f t="shared" si="124"/>
        <v>0.25094544711363037</v>
      </c>
      <c r="D255" s="9">
        <f t="shared" si="125"/>
        <v>0</v>
      </c>
      <c r="E255" s="9">
        <f t="shared" si="126"/>
        <v>0.24958560682593672</v>
      </c>
      <c r="F255" s="9">
        <f t="shared" si="127"/>
        <v>0</v>
      </c>
      <c r="G255" s="9">
        <f t="shared" si="128"/>
        <v>0.25086176784905684</v>
      </c>
      <c r="H255" s="9">
        <f t="shared" si="129"/>
        <v>0</v>
      </c>
      <c r="I255" s="9">
        <f t="shared" si="130"/>
        <v>0</v>
      </c>
      <c r="J255" s="9">
        <f t="shared" si="131"/>
        <v>0.24860717821137615</v>
      </c>
      <c r="K255" s="9">
        <v>0</v>
      </c>
      <c r="L255" s="8">
        <f>+VLOOKUP($B255,NIFTY_50!$B$3:$I$1238,8,0)</f>
        <v>5.1452669255960259E-3</v>
      </c>
      <c r="M255" s="8">
        <f>+VLOOKUP($B255,NIFTY_BANK!$B$3:$I$41238,8,0)</f>
        <v>5.4688052280600363E-3</v>
      </c>
      <c r="N255" s="8">
        <f>+VLOOKUP($B255,NIFTY_IT!$B$3:$I$1238,8,0)</f>
        <v>3.6882700072471408E-3</v>
      </c>
      <c r="O255" s="8">
        <f>+VLOOKUP($B255,NIFTY_PHARMA!$B$3:$I$1238,8,0)</f>
        <v>7.0015362896527211E-3</v>
      </c>
      <c r="P255" s="8">
        <f>+VLOOKUP($B255,NIFTY_FMCG!$B$3:$I$1238,8,0)</f>
        <v>8.419009651699616E-3</v>
      </c>
      <c r="Q255" s="8">
        <f>+VLOOKUP($B255,NIFTY_METAL!$B$3:$I$1238,8,0)</f>
        <v>4.4747081712062098E-3</v>
      </c>
      <c r="R255" s="8">
        <f>+VLOOKUP($B255,NIFTY_ENERGY!$B$3:$I$1238,8,0)</f>
        <v>1.8600080717323664E-4</v>
      </c>
      <c r="S255" s="8">
        <f>+VLOOKUP($B255,NIFTY_AUTO!$B$3:$I$1238,8,0)</f>
        <v>7.2910729740569558E-3</v>
      </c>
      <c r="T255" s="8">
        <v>0</v>
      </c>
      <c r="U255" s="8">
        <f>+VLOOKUP($B255,NIFTY_50!$B$63:$K$1238,10,0)</f>
        <v>5.4098303375778034E-2</v>
      </c>
      <c r="V255" s="8">
        <f>+VLOOKUP($B255,NIFTY_BANK!$B$63:$K$1238,10,0)</f>
        <v>5.1520795812292297E-2</v>
      </c>
      <c r="W255" s="8">
        <f>+VLOOKUP($B255,NIFTY_IT!$B$63:$K$1238,10,0)</f>
        <v>8.4591933769647909E-2</v>
      </c>
      <c r="X255" s="8">
        <f>+VLOOKUP($B255,NIFTY_PHARMA!$B$63:$K$1238,10,0)</f>
        <v>1.7916539878073179E-2</v>
      </c>
      <c r="Y255" s="8">
        <f>+VLOOKUP($B255,NIFTY_FMCG!$B$63:$K$1238,10,0)</f>
        <v>6.7822264365786866E-2</v>
      </c>
      <c r="Z255" s="8">
        <f>+VLOOKUP($B255,NIFTY_METAL!$B$63:$K$1238,10,0)</f>
        <v>0.10986013892061086</v>
      </c>
      <c r="AA255" s="8">
        <f>+VLOOKUP($B255,NIFTY_ENERGY!$B$63:$K$1238,10,0)</f>
        <v>6.499902841512073E-2</v>
      </c>
      <c r="AB255" s="8">
        <f>+VLOOKUP($B255,NIFTY_AUTO!$B$63:$K$1238,10,0)</f>
        <v>8.1574092122739694E-2</v>
      </c>
      <c r="AC255" s="8"/>
      <c r="AD255" s="16">
        <f t="shared" si="132"/>
        <v>4.4806872900785416E-2</v>
      </c>
      <c r="AE255" s="8">
        <f t="shared" si="133"/>
        <v>6.46754147927429E-2</v>
      </c>
      <c r="AF255" s="8">
        <f t="shared" si="134"/>
        <v>5.5165947412474145E-2</v>
      </c>
      <c r="AG255" s="8">
        <f t="shared" si="135"/>
        <v>9.2282145629800014E-2</v>
      </c>
      <c r="AH255" s="8">
        <f t="shared" si="136"/>
        <v>5.2334818689073678E-2</v>
      </c>
      <c r="AI255" s="8">
        <f t="shared" si="137"/>
        <v>9.6758505203144662E-2</v>
      </c>
      <c r="AJ255" s="8">
        <f t="shared" si="138"/>
        <v>6.7223118798580936E-2</v>
      </c>
      <c r="AK255" s="8">
        <f t="shared" si="139"/>
        <v>6.4325320744236372E-2</v>
      </c>
      <c r="AL255" s="9">
        <v>0</v>
      </c>
      <c r="AM255" s="17">
        <f t="shared" si="116"/>
        <v>22.318004700177841</v>
      </c>
      <c r="AN255" s="13">
        <f t="shared" si="117"/>
        <v>15.461825845332005</v>
      </c>
      <c r="AO255" s="13">
        <f t="shared" si="118"/>
        <v>18.127124556078584</v>
      </c>
      <c r="AP255" s="13">
        <f t="shared" si="119"/>
        <v>10.836332349830812</v>
      </c>
      <c r="AQ255" s="13">
        <f t="shared" si="120"/>
        <v>19.107737927613712</v>
      </c>
      <c r="AR255" s="13">
        <f t="shared" si="121"/>
        <v>10.335008771585485</v>
      </c>
      <c r="AS255" s="13">
        <f t="shared" si="122"/>
        <v>14.875834651413253</v>
      </c>
      <c r="AT255" s="13">
        <f t="shared" si="123"/>
        <v>15.545977671469306</v>
      </c>
      <c r="AU255" s="9">
        <v>0</v>
      </c>
      <c r="AV255" s="18">
        <f t="shared" si="140"/>
        <v>1</v>
      </c>
      <c r="AW255" s="18">
        <f t="shared" si="141"/>
        <v>5</v>
      </c>
      <c r="AX255" s="18">
        <f t="shared" si="142"/>
        <v>3</v>
      </c>
      <c r="AY255" s="18">
        <f t="shared" si="143"/>
        <v>7</v>
      </c>
      <c r="AZ255" s="18">
        <f t="shared" si="144"/>
        <v>2</v>
      </c>
      <c r="BA255" s="18">
        <f t="shared" si="145"/>
        <v>8</v>
      </c>
      <c r="BB255" s="18">
        <f t="shared" si="146"/>
        <v>6</v>
      </c>
      <c r="BC255" s="18">
        <f t="shared" si="147"/>
        <v>4</v>
      </c>
      <c r="BD255" s="18">
        <f t="shared" si="148"/>
        <v>9</v>
      </c>
      <c r="BE255" s="8">
        <f t="shared" si="150"/>
        <v>6.1329803282719111E-3</v>
      </c>
    </row>
    <row r="256" spans="1:57" x14ac:dyDescent="0.25">
      <c r="A256" t="str">
        <f t="shared" si="149"/>
        <v/>
      </c>
      <c r="B256" s="1">
        <v>43108</v>
      </c>
      <c r="C256" s="9">
        <f t="shared" si="124"/>
        <v>0.25061122046767176</v>
      </c>
      <c r="D256" s="9">
        <f t="shared" si="125"/>
        <v>0</v>
      </c>
      <c r="E256" s="9">
        <f t="shared" si="126"/>
        <v>0.25078555637792027</v>
      </c>
      <c r="F256" s="9">
        <f t="shared" si="127"/>
        <v>0</v>
      </c>
      <c r="G256" s="9">
        <f t="shared" si="128"/>
        <v>0.25091162727491734</v>
      </c>
      <c r="H256" s="9">
        <f t="shared" si="129"/>
        <v>0</v>
      </c>
      <c r="I256" s="9">
        <f t="shared" si="130"/>
        <v>0</v>
      </c>
      <c r="J256" s="9">
        <f t="shared" si="131"/>
        <v>0.24769159587949074</v>
      </c>
      <c r="K256" s="9">
        <v>0</v>
      </c>
      <c r="L256" s="8">
        <f>+VLOOKUP($B256,NIFTY_50!$B$3:$I$1238,8,0)</f>
        <v>6.132296604270282E-3</v>
      </c>
      <c r="M256" s="8">
        <f>+VLOOKUP($B256,NIFTY_BANK!$B$3:$I$41238,8,0)</f>
        <v>2.9001810416044993E-3</v>
      </c>
      <c r="N256" s="8">
        <f>+VLOOKUP($B256,NIFTY_IT!$B$3:$I$1238,8,0)</f>
        <v>1.2317822160905489E-2</v>
      </c>
      <c r="O256" s="8">
        <f>+VLOOKUP($B256,NIFTY_PHARMA!$B$3:$I$1238,8,0)</f>
        <v>1.4142798975368631E-2</v>
      </c>
      <c r="P256" s="8">
        <f>+VLOOKUP($B256,NIFTY_FMCG!$B$3:$I$1238,8,0)</f>
        <v>7.6743589838859094E-3</v>
      </c>
      <c r="Q256" s="8">
        <f>+VLOOKUP($B256,NIFTY_METAL!$B$3:$I$1238,8,0)</f>
        <v>8.7037575053265925E-3</v>
      </c>
      <c r="R256" s="8">
        <f>+VLOOKUP($B256,NIFTY_ENERGY!$B$3:$I$1238,8,0)</f>
        <v>5.3403883536025099E-3</v>
      </c>
      <c r="S256" s="8">
        <f>+VLOOKUP($B256,NIFTY_AUTO!$B$3:$I$1238,8,0)</f>
        <v>3.7637473175964331E-3</v>
      </c>
      <c r="T256" s="8">
        <v>0</v>
      </c>
      <c r="U256" s="8">
        <f>+VLOOKUP($B256,NIFTY_50!$B$63:$K$1238,10,0)</f>
        <v>6.397724541302785E-2</v>
      </c>
      <c r="V256" s="8">
        <f>+VLOOKUP($B256,NIFTY_BANK!$B$63:$K$1238,10,0)</f>
        <v>6.5069096897432122E-2</v>
      </c>
      <c r="W256" s="8">
        <f>+VLOOKUP($B256,NIFTY_IT!$B$63:$K$1238,10,0)</f>
        <v>9.1940381539602711E-2</v>
      </c>
      <c r="X256" s="8">
        <f>+VLOOKUP($B256,NIFTY_PHARMA!$B$63:$K$1238,10,0)</f>
        <v>4.2060554063858779E-2</v>
      </c>
      <c r="Y256" s="8">
        <f>+VLOOKUP($B256,NIFTY_FMCG!$B$63:$K$1238,10,0)</f>
        <v>7.6758312655086813E-2</v>
      </c>
      <c r="Z256" s="8">
        <f>+VLOOKUP($B256,NIFTY_METAL!$B$63:$K$1238,10,0)</f>
        <v>0.13572489743624705</v>
      </c>
      <c r="AA256" s="8">
        <f>+VLOOKUP($B256,NIFTY_ENERGY!$B$63:$K$1238,10,0)</f>
        <v>6.9906907792784745E-2</v>
      </c>
      <c r="AB256" s="8">
        <f>+VLOOKUP($B256,NIFTY_AUTO!$B$63:$K$1238,10,0)</f>
        <v>9.2533963486401083E-2</v>
      </c>
      <c r="AC256" s="8"/>
      <c r="AD256" s="16">
        <f t="shared" si="132"/>
        <v>4.4911884627089331E-2</v>
      </c>
      <c r="AE256" s="8">
        <f t="shared" si="133"/>
        <v>6.3793367978210058E-2</v>
      </c>
      <c r="AF256" s="8">
        <f t="shared" si="134"/>
        <v>5.6084340785805438E-2</v>
      </c>
      <c r="AG256" s="8">
        <f t="shared" si="135"/>
        <v>9.2749591126706374E-2</v>
      </c>
      <c r="AH256" s="8">
        <f t="shared" si="136"/>
        <v>5.2705143874960482E-2</v>
      </c>
      <c r="AI256" s="8">
        <f t="shared" si="137"/>
        <v>9.5622351867722444E-2</v>
      </c>
      <c r="AJ256" s="8">
        <f t="shared" si="138"/>
        <v>6.7355179100940049E-2</v>
      </c>
      <c r="AK256" s="8">
        <f t="shared" si="139"/>
        <v>6.3905448705337445E-2</v>
      </c>
      <c r="AL256" s="9">
        <v>0</v>
      </c>
      <c r="AM256" s="17">
        <f t="shared" ref="AM256:AM319" si="151">1/AD256</f>
        <v>22.265821358937892</v>
      </c>
      <c r="AN256" s="13">
        <f t="shared" ref="AN256:AN319" si="152">1/AE256</f>
        <v>15.675610673848897</v>
      </c>
      <c r="AO256" s="13">
        <f t="shared" ref="AO256:AO319" si="153">1/AF256</f>
        <v>17.830288918241028</v>
      </c>
      <c r="AP256" s="13">
        <f t="shared" ref="AP256:AP319" si="154">1/AG256</f>
        <v>10.781718688483354</v>
      </c>
      <c r="AQ256" s="13">
        <f t="shared" ref="AQ256:AQ319" si="155">1/AH256</f>
        <v>18.973480128854877</v>
      </c>
      <c r="AR256" s="13">
        <f t="shared" ref="AR256:AR319" si="156">1/AI256</f>
        <v>10.457805946703058</v>
      </c>
      <c r="AS256" s="13">
        <f t="shared" ref="AS256:AS319" si="157">1/AJ256</f>
        <v>14.846668264386567</v>
      </c>
      <c r="AT256" s="13">
        <f t="shared" ref="AT256:AT319" si="158">1/AK256</f>
        <v>15.648117965823452</v>
      </c>
      <c r="AU256" s="9">
        <v>0</v>
      </c>
      <c r="AV256" s="18">
        <f t="shared" si="140"/>
        <v>1</v>
      </c>
      <c r="AW256" s="18">
        <f t="shared" si="141"/>
        <v>4</v>
      </c>
      <c r="AX256" s="18">
        <f t="shared" si="142"/>
        <v>3</v>
      </c>
      <c r="AY256" s="18">
        <f t="shared" si="143"/>
        <v>7</v>
      </c>
      <c r="AZ256" s="18">
        <f t="shared" si="144"/>
        <v>2</v>
      </c>
      <c r="BA256" s="18">
        <f t="shared" si="145"/>
        <v>8</v>
      </c>
      <c r="BB256" s="18">
        <f t="shared" si="146"/>
        <v>6</v>
      </c>
      <c r="BC256" s="18">
        <f t="shared" si="147"/>
        <v>5</v>
      </c>
      <c r="BD256" s="18">
        <f t="shared" si="148"/>
        <v>9</v>
      </c>
      <c r="BE256" s="8">
        <f t="shared" si="150"/>
        <v>7.4741208939297669E-3</v>
      </c>
    </row>
    <row r="257" spans="1:57" x14ac:dyDescent="0.25">
      <c r="A257" t="str">
        <f t="shared" si="149"/>
        <v/>
      </c>
      <c r="B257" s="1">
        <v>43109</v>
      </c>
      <c r="C257" s="9">
        <f t="shared" ref="C257:C320" si="159">+IF($A257="Y",IF(AV257&lt;=4,0.25,0),C256*(1+L257)/SUMPRODUCT($C256:$J256,1+$L257:$S257))</f>
        <v>0.25064295021254801</v>
      </c>
      <c r="D257" s="9">
        <f t="shared" ref="D257:D320" si="160">+IF($A257="Y",IF(AW257&lt;=4,0.25,0),D256*(1+M257)/SUMPRODUCT($C256:$J256,1+$L257:$S257))</f>
        <v>0</v>
      </c>
      <c r="E257" s="9">
        <f t="shared" ref="E257:E320" si="161">+IF($A257="Y",IF(AX257&lt;=4,0.25,0),E256*(1+N257)/SUMPRODUCT($C256:$J256,1+$L257:$S257))</f>
        <v>0.25079912936775878</v>
      </c>
      <c r="F257" s="9">
        <f t="shared" ref="F257:F320" si="162">+IF($A257="Y",IF(AY257&lt;=4,0.25,0),F256*(1+O257)/SUMPRODUCT($C256:$J256,1+$L257:$S257))</f>
        <v>0</v>
      </c>
      <c r="G257" s="9">
        <f t="shared" ref="G257:G320" si="163">+IF($A257="Y",IF(AZ257&lt;=4,0.25,0),G256*(1+P257)/SUMPRODUCT($C256:$J256,1+$L257:$S257))</f>
        <v>0.25181336706852964</v>
      </c>
      <c r="H257" s="9">
        <f t="shared" ref="H257:H320" si="164">+IF($A257="Y",IF(BA257&lt;=4,0.25,0),H256*(1+Q257)/SUMPRODUCT($C256:$J256,1+$L257:$S257))</f>
        <v>0</v>
      </c>
      <c r="I257" s="9">
        <f t="shared" ref="I257:I320" si="165">+IF($A257="Y",IF(BB257&lt;=4,0.25,0),I256*(1+R257)/SUMPRODUCT($C256:$J256,1+$L257:$S257))</f>
        <v>0</v>
      </c>
      <c r="J257" s="9">
        <f t="shared" ref="J257:J320" si="166">+IF($A257="Y",IF(BC257&lt;=4,0.25,0),J256*(1+S257)/SUMPRODUCT($C256:$J256,1+$L257:$S257))</f>
        <v>0.24674455335116366</v>
      </c>
      <c r="K257" s="9">
        <v>0</v>
      </c>
      <c r="L257" s="8">
        <f>+VLOOKUP($B257,NIFTY_50!$B$3:$I$1238,8,0)</f>
        <v>1.2613426710341713E-3</v>
      </c>
      <c r="M257" s="8">
        <f>+VLOOKUP($B257,NIFTY_BANK!$B$3:$I$41238,8,0)</f>
        <v>1.0788242762724831E-3</v>
      </c>
      <c r="N257" s="8">
        <f>+VLOOKUP($B257,NIFTY_IT!$B$3:$I$1238,8,0)</f>
        <v>1.1887728891850635E-3</v>
      </c>
      <c r="O257" s="8">
        <f>+VLOOKUP($B257,NIFTY_PHARMA!$B$3:$I$1238,8,0)</f>
        <v>-6.9168805427793911E-3</v>
      </c>
      <c r="P257" s="8">
        <f>+VLOOKUP($B257,NIFTY_FMCG!$B$3:$I$1238,8,0)</f>
        <v>4.7325212889715029E-3</v>
      </c>
      <c r="Q257" s="8">
        <f>+VLOOKUP($B257,NIFTY_METAL!$B$3:$I$1238,8,0)</f>
        <v>6.0004560346493818E-5</v>
      </c>
      <c r="R257" s="8">
        <f>+VLOOKUP($B257,NIFTY_ENERGY!$B$3:$I$1238,8,0)</f>
        <v>5.9402484992321369E-3</v>
      </c>
      <c r="S257" s="8">
        <f>+VLOOKUP($B257,NIFTY_AUTO!$B$3:$I$1238,8,0)</f>
        <v>-2.6932230990855954E-3</v>
      </c>
      <c r="T257" s="8">
        <v>0</v>
      </c>
      <c r="U257" s="8">
        <f>+VLOOKUP($B257,NIFTY_50!$B$63:$K$1238,10,0)</f>
        <v>5.354383740739288E-2</v>
      </c>
      <c r="V257" s="8">
        <f>+VLOOKUP($B257,NIFTY_BANK!$B$63:$K$1238,10,0)</f>
        <v>5.5110062086304978E-2</v>
      </c>
      <c r="W257" s="8">
        <f>+VLOOKUP($B257,NIFTY_IT!$B$63:$K$1238,10,0)</f>
        <v>8.3588358008694019E-2</v>
      </c>
      <c r="X257" s="8">
        <f>+VLOOKUP($B257,NIFTY_PHARMA!$B$63:$K$1238,10,0)</f>
        <v>2.0162679725595378E-2</v>
      </c>
      <c r="Y257" s="8">
        <f>+VLOOKUP($B257,NIFTY_FMCG!$B$63:$K$1238,10,0)</f>
        <v>6.9703536210037109E-2</v>
      </c>
      <c r="Z257" s="8">
        <f>+VLOOKUP($B257,NIFTY_METAL!$B$63:$K$1238,10,0)</f>
        <v>0.11363241524008094</v>
      </c>
      <c r="AA257" s="8">
        <f>+VLOOKUP($B257,NIFTY_ENERGY!$B$63:$K$1238,10,0)</f>
        <v>5.5506930584293235E-2</v>
      </c>
      <c r="AB257" s="8">
        <f>+VLOOKUP($B257,NIFTY_AUTO!$B$63:$K$1238,10,0)</f>
        <v>7.8574815416920574E-2</v>
      </c>
      <c r="AC257" s="8"/>
      <c r="AD257" s="16">
        <f t="shared" ref="AD257:AD320" si="167">+_xlfn.STDEV.S(L197:L257)*SQRT(60)</f>
        <v>4.3733632731111388E-2</v>
      </c>
      <c r="AE257" s="8">
        <f t="shared" ref="AE257:AE320" si="168">+_xlfn.STDEV.S(M197:M257)*SQRT(60)</f>
        <v>6.3076343910337673E-2</v>
      </c>
      <c r="AF257" s="8">
        <f t="shared" ref="AF257:AF320" si="169">+_xlfn.STDEV.S(N197:N257)*SQRT(60)</f>
        <v>5.5580985660240008E-2</v>
      </c>
      <c r="AG257" s="8">
        <f t="shared" ref="AG257:AG320" si="170">+_xlfn.STDEV.S(O197:O257)*SQRT(60)</f>
        <v>9.2018188392337455E-2</v>
      </c>
      <c r="AH257" s="8">
        <f t="shared" ref="AH257:AH320" si="171">+_xlfn.STDEV.S(P197:P257)*SQRT(60)</f>
        <v>5.1834971677303818E-2</v>
      </c>
      <c r="AI257" s="8">
        <f t="shared" ref="AI257:AI320" si="172">+_xlfn.STDEV.S(Q197:Q257)*SQRT(60)</f>
        <v>9.3952338340731009E-2</v>
      </c>
      <c r="AJ257" s="8">
        <f t="shared" ref="AJ257:AJ320" si="173">+_xlfn.STDEV.S(R197:R257)*SQRT(60)</f>
        <v>6.4912910726181702E-2</v>
      </c>
      <c r="AK257" s="8">
        <f t="shared" ref="AK257:AK320" si="174">+_xlfn.STDEV.S(S197:S257)*SQRT(60)</f>
        <v>6.3422685946658508E-2</v>
      </c>
      <c r="AL257" s="9">
        <v>0</v>
      </c>
      <c r="AM257" s="17">
        <f t="shared" si="151"/>
        <v>22.865697120299281</v>
      </c>
      <c r="AN257" s="13">
        <f t="shared" si="152"/>
        <v>15.853804104776412</v>
      </c>
      <c r="AO257" s="13">
        <f t="shared" si="153"/>
        <v>17.991764415854043</v>
      </c>
      <c r="AP257" s="13">
        <f t="shared" si="154"/>
        <v>10.867416730008912</v>
      </c>
      <c r="AQ257" s="13">
        <f t="shared" si="155"/>
        <v>19.291994721738309</v>
      </c>
      <c r="AR257" s="13">
        <f t="shared" si="156"/>
        <v>10.643694639864771</v>
      </c>
      <c r="AS257" s="13">
        <f t="shared" si="157"/>
        <v>15.405255885354471</v>
      </c>
      <c r="AT257" s="13">
        <f t="shared" si="158"/>
        <v>15.767228793196294</v>
      </c>
      <c r="AU257" s="9">
        <v>0</v>
      </c>
      <c r="AV257" s="18">
        <f t="shared" ref="AV257:AV320" si="175">+RANK(AM257,$AM257:$AU257)</f>
        <v>1</v>
      </c>
      <c r="AW257" s="18">
        <f t="shared" ref="AW257:AW320" si="176">+RANK(AN257,$AM257:$AU257)</f>
        <v>4</v>
      </c>
      <c r="AX257" s="18">
        <f t="shared" ref="AX257:AX320" si="177">+RANK(AO257,$AM257:$AU257)</f>
        <v>3</v>
      </c>
      <c r="AY257" s="18">
        <f t="shared" ref="AY257:AY320" si="178">+RANK(AP257,$AM257:$AU257)</f>
        <v>7</v>
      </c>
      <c r="AZ257" s="18">
        <f t="shared" ref="AZ257:AZ320" si="179">+RANK(AQ257,$AM257:$AU257)</f>
        <v>2</v>
      </c>
      <c r="BA257" s="18">
        <f t="shared" ref="BA257:BA320" si="180">+RANK(AR257,$AM257:$AU257)</f>
        <v>8</v>
      </c>
      <c r="BB257" s="18">
        <f t="shared" ref="BB257:BB320" si="181">+RANK(AS257,$AM257:$AU257)</f>
        <v>6</v>
      </c>
      <c r="BC257" s="18">
        <f t="shared" ref="BC257:BC320" si="182">+RANK(AT257,$AM257:$AU257)</f>
        <v>5</v>
      </c>
      <c r="BD257" s="18">
        <f t="shared" ref="BD257:BD320" si="183">+RANK(AU257,$AM257:$AU257)</f>
        <v>9</v>
      </c>
      <c r="BE257" s="8">
        <f t="shared" si="150"/>
        <v>1.1345895868941007E-3</v>
      </c>
    </row>
    <row r="258" spans="1:57" x14ac:dyDescent="0.25">
      <c r="A258" t="str">
        <f t="shared" si="149"/>
        <v/>
      </c>
      <c r="B258" s="1">
        <v>43110</v>
      </c>
      <c r="C258" s="9">
        <f t="shared" si="159"/>
        <v>0.24968590116405431</v>
      </c>
      <c r="D258" s="9">
        <f t="shared" si="160"/>
        <v>0</v>
      </c>
      <c r="E258" s="9">
        <f t="shared" si="161"/>
        <v>0.25554763432208399</v>
      </c>
      <c r="F258" s="9">
        <f t="shared" si="162"/>
        <v>0</v>
      </c>
      <c r="G258" s="9">
        <f t="shared" si="163"/>
        <v>0.25060959224489743</v>
      </c>
      <c r="H258" s="9">
        <f t="shared" si="164"/>
        <v>0</v>
      </c>
      <c r="I258" s="9">
        <f t="shared" si="165"/>
        <v>0</v>
      </c>
      <c r="J258" s="9">
        <f t="shared" si="166"/>
        <v>0.24415687226896426</v>
      </c>
      <c r="K258" s="9">
        <v>0</v>
      </c>
      <c r="L258" s="8">
        <f>+VLOOKUP($B258,NIFTY_50!$B$3:$I$1238,8,0)</f>
        <v>-4.5125505311638392E-4</v>
      </c>
      <c r="M258" s="8">
        <f>+VLOOKUP($B258,NIFTY_BANK!$B$3:$I$41238,8,0)</f>
        <v>-3.3652611676094901E-3</v>
      </c>
      <c r="N258" s="8">
        <f>+VLOOKUP($B258,NIFTY_IT!$B$3:$I$1238,8,0)</f>
        <v>2.237752155272954E-2</v>
      </c>
      <c r="O258" s="8">
        <f>+VLOOKUP($B258,NIFTY_PHARMA!$B$3:$I$1238,8,0)</f>
        <v>-2.2108042824098284E-3</v>
      </c>
      <c r="P258" s="8">
        <f>+VLOOKUP($B258,NIFTY_FMCG!$B$3:$I$1238,8,0)</f>
        <v>-1.4165553484140059E-3</v>
      </c>
      <c r="Q258" s="8">
        <f>+VLOOKUP($B258,NIFTY_METAL!$B$3:$I$1238,8,0)</f>
        <v>7.2001152018441594E-4</v>
      </c>
      <c r="R258" s="8">
        <f>+VLOOKUP($B258,NIFTY_ENERGY!$B$3:$I$1238,8,0)</f>
        <v>-1.0686207159759098E-3</v>
      </c>
      <c r="S258" s="8">
        <f>+VLOOKUP($B258,NIFTY_AUTO!$B$3:$I$1238,8,0)</f>
        <v>-7.142707613724375E-3</v>
      </c>
      <c r="T258" s="8">
        <v>0</v>
      </c>
      <c r="U258" s="8">
        <f>+VLOOKUP($B258,NIFTY_50!$B$63:$K$1238,10,0)</f>
        <v>4.5709592867434701E-2</v>
      </c>
      <c r="V258" s="8">
        <f>+VLOOKUP($B258,NIFTY_BANK!$B$63:$K$1238,10,0)</f>
        <v>3.7593436793085022E-2</v>
      </c>
      <c r="W258" s="8">
        <f>+VLOOKUP($B258,NIFTY_IT!$B$63:$K$1238,10,0)</f>
        <v>0.10348583877995643</v>
      </c>
      <c r="X258" s="8">
        <f>+VLOOKUP($B258,NIFTY_PHARMA!$B$63:$K$1238,10,0)</f>
        <v>2.1266342608112554E-2</v>
      </c>
      <c r="Y258" s="8">
        <f>+VLOOKUP($B258,NIFTY_FMCG!$B$63:$K$1238,10,0)</f>
        <v>6.9815626984236268E-2</v>
      </c>
      <c r="Z258" s="8">
        <f>+VLOOKUP($B258,NIFTY_METAL!$B$63:$K$1238,10,0)</f>
        <v>0.10174261140690444</v>
      </c>
      <c r="AA258" s="8">
        <f>+VLOOKUP($B258,NIFTY_ENERGY!$B$63:$K$1238,10,0)</f>
        <v>5.2455732479419703E-2</v>
      </c>
      <c r="AB258" s="8">
        <f>+VLOOKUP($B258,NIFTY_AUTO!$B$63:$K$1238,10,0)</f>
        <v>7.0286054719587154E-2</v>
      </c>
      <c r="AC258" s="8"/>
      <c r="AD258" s="16">
        <f t="shared" si="167"/>
        <v>4.3306350971715292E-2</v>
      </c>
      <c r="AE258" s="8">
        <f t="shared" si="168"/>
        <v>6.1926068716485302E-2</v>
      </c>
      <c r="AF258" s="8">
        <f t="shared" si="169"/>
        <v>5.9324528356202333E-2</v>
      </c>
      <c r="AG258" s="8">
        <f t="shared" si="170"/>
        <v>9.1981202098764578E-2</v>
      </c>
      <c r="AH258" s="8">
        <f t="shared" si="171"/>
        <v>5.1829729625771884E-2</v>
      </c>
      <c r="AI258" s="8">
        <f t="shared" si="172"/>
        <v>9.3448654968976752E-2</v>
      </c>
      <c r="AJ258" s="8">
        <f t="shared" si="173"/>
        <v>6.4935987367977469E-2</v>
      </c>
      <c r="AK258" s="8">
        <f t="shared" si="174"/>
        <v>6.396695678742495E-2</v>
      </c>
      <c r="AL258" s="9">
        <v>0</v>
      </c>
      <c r="AM258" s="17">
        <f t="shared" si="151"/>
        <v>23.091301334834945</v>
      </c>
      <c r="AN258" s="13">
        <f t="shared" si="152"/>
        <v>16.148288123670131</v>
      </c>
      <c r="AO258" s="13">
        <f t="shared" si="153"/>
        <v>16.856434053646392</v>
      </c>
      <c r="AP258" s="13">
        <f t="shared" si="154"/>
        <v>10.871786595333388</v>
      </c>
      <c r="AQ258" s="13">
        <f t="shared" si="155"/>
        <v>19.293945911358925</v>
      </c>
      <c r="AR258" s="13">
        <f t="shared" si="156"/>
        <v>10.701063598314837</v>
      </c>
      <c r="AS258" s="13">
        <f t="shared" si="157"/>
        <v>15.399781238918067</v>
      </c>
      <c r="AT258" s="13">
        <f t="shared" si="158"/>
        <v>15.633071357813705</v>
      </c>
      <c r="AU258" s="9">
        <v>0</v>
      </c>
      <c r="AV258" s="18">
        <f t="shared" si="175"/>
        <v>1</v>
      </c>
      <c r="AW258" s="18">
        <f t="shared" si="176"/>
        <v>4</v>
      </c>
      <c r="AX258" s="18">
        <f t="shared" si="177"/>
        <v>3</v>
      </c>
      <c r="AY258" s="18">
        <f t="shared" si="178"/>
        <v>7</v>
      </c>
      <c r="AZ258" s="18">
        <f t="shared" si="179"/>
        <v>2</v>
      </c>
      <c r="BA258" s="18">
        <f t="shared" si="180"/>
        <v>8</v>
      </c>
      <c r="BB258" s="18">
        <f t="shared" si="181"/>
        <v>6</v>
      </c>
      <c r="BC258" s="18">
        <f t="shared" si="182"/>
        <v>5</v>
      </c>
      <c r="BD258" s="18">
        <f t="shared" si="183"/>
        <v>9</v>
      </c>
      <c r="BE258" s="8">
        <f t="shared" si="150"/>
        <v>3.3800272532319743E-3</v>
      </c>
    </row>
    <row r="259" spans="1:57" x14ac:dyDescent="0.25">
      <c r="A259" t="str">
        <f t="shared" si="149"/>
        <v/>
      </c>
      <c r="B259" s="1">
        <v>43111</v>
      </c>
      <c r="C259" s="9">
        <f t="shared" si="159"/>
        <v>0.2494657038817954</v>
      </c>
      <c r="D259" s="9">
        <f t="shared" si="160"/>
        <v>0</v>
      </c>
      <c r="E259" s="9">
        <f t="shared" si="161"/>
        <v>0.25589011268122414</v>
      </c>
      <c r="F259" s="9">
        <f t="shared" si="162"/>
        <v>0</v>
      </c>
      <c r="G259" s="9">
        <f t="shared" si="163"/>
        <v>0.25083383640257478</v>
      </c>
      <c r="H259" s="9">
        <f t="shared" si="164"/>
        <v>0</v>
      </c>
      <c r="I259" s="9">
        <f t="shared" si="165"/>
        <v>0</v>
      </c>
      <c r="J259" s="9">
        <f t="shared" si="166"/>
        <v>0.24381034703440574</v>
      </c>
      <c r="K259" s="9">
        <v>0</v>
      </c>
      <c r="L259" s="8">
        <f>+VLOOKUP($B259,NIFTY_50!$B$3:$I$1238,8,0)</f>
        <v>1.7870243223414572E-3</v>
      </c>
      <c r="M259" s="8">
        <f>+VLOOKUP($B259,NIFTY_BANK!$B$3:$I$41238,8,0)</f>
        <v>1.701974837317044E-3</v>
      </c>
      <c r="N259" s="8">
        <f>+VLOOKUP($B259,NIFTY_IT!$B$3:$I$1238,8,0)</f>
        <v>4.0150314814968446E-3</v>
      </c>
      <c r="O259" s="8">
        <f>+VLOOKUP($B259,NIFTY_PHARMA!$B$3:$I$1238,8,0)</f>
        <v>2.4875366719323555E-3</v>
      </c>
      <c r="P259" s="8">
        <f>+VLOOKUP($B259,NIFTY_FMCG!$B$3:$I$1238,8,0)</f>
        <v>3.5684622904310626E-3</v>
      </c>
      <c r="Q259" s="8">
        <f>+VLOOKUP($B259,NIFTY_METAL!$B$3:$I$1238,8,0)</f>
        <v>-1.4150038372986451E-3</v>
      </c>
      <c r="R259" s="8">
        <f>+VLOOKUP($B259,NIFTY_ENERGY!$B$3:$I$1238,8,0)</f>
        <v>-3.8032190167897051E-3</v>
      </c>
      <c r="S259" s="8">
        <f>+VLOOKUP($B259,NIFTY_AUTO!$B$3:$I$1238,8,0)</f>
        <v>1.2482130733451058E-3</v>
      </c>
      <c r="T259" s="8">
        <v>0</v>
      </c>
      <c r="U259" s="8">
        <f>+VLOOKUP($B259,NIFTY_50!$B$63:$K$1238,10,0)</f>
        <v>4.1086517738017969E-2</v>
      </c>
      <c r="V259" s="8">
        <f>+VLOOKUP($B259,NIFTY_BANK!$B$63:$K$1238,10,0)</f>
        <v>3.8774564274452139E-2</v>
      </c>
      <c r="W259" s="8">
        <f>+VLOOKUP($B259,NIFTY_IT!$B$63:$K$1238,10,0)</f>
        <v>0.10413625748065969</v>
      </c>
      <c r="X259" s="8">
        <f>+VLOOKUP($B259,NIFTY_PHARMA!$B$63:$K$1238,10,0)</f>
        <v>8.2847135170829311E-3</v>
      </c>
      <c r="Y259" s="8">
        <f>+VLOOKUP($B259,NIFTY_FMCG!$B$63:$K$1238,10,0)</f>
        <v>6.6390446586169771E-2</v>
      </c>
      <c r="Z259" s="8">
        <f>+VLOOKUP($B259,NIFTY_METAL!$B$63:$K$1238,10,0)</f>
        <v>7.9951756604287549E-2</v>
      </c>
      <c r="AA259" s="8">
        <f>+VLOOKUP($B259,NIFTY_ENERGY!$B$63:$K$1238,10,0)</f>
        <v>4.5944861789803948E-2</v>
      </c>
      <c r="AB259" s="8">
        <f>+VLOOKUP($B259,NIFTY_AUTO!$B$63:$K$1238,10,0)</f>
        <v>5.8385375573356102E-2</v>
      </c>
      <c r="AC259" s="8"/>
      <c r="AD259" s="16">
        <f t="shared" si="167"/>
        <v>4.296608939852653E-2</v>
      </c>
      <c r="AE259" s="8">
        <f t="shared" si="168"/>
        <v>6.1935020130051664E-2</v>
      </c>
      <c r="AF259" s="8">
        <f t="shared" si="169"/>
        <v>5.9345162823431656E-2</v>
      </c>
      <c r="AG259" s="8">
        <f t="shared" si="170"/>
        <v>9.0761821308799381E-2</v>
      </c>
      <c r="AH259" s="8">
        <f t="shared" si="171"/>
        <v>5.1575506323682983E-2</v>
      </c>
      <c r="AI259" s="8">
        <f t="shared" si="172"/>
        <v>9.1891103583508688E-2</v>
      </c>
      <c r="AJ259" s="8">
        <f t="shared" si="173"/>
        <v>6.5081437284464402E-2</v>
      </c>
      <c r="AK259" s="8">
        <f t="shared" si="174"/>
        <v>6.2933910606468621E-2</v>
      </c>
      <c r="AL259" s="9">
        <v>0</v>
      </c>
      <c r="AM259" s="17">
        <f t="shared" si="151"/>
        <v>23.274168396491159</v>
      </c>
      <c r="AN259" s="13">
        <f t="shared" si="152"/>
        <v>16.14595422589985</v>
      </c>
      <c r="AO259" s="13">
        <f t="shared" si="153"/>
        <v>16.850573027750851</v>
      </c>
      <c r="AP259" s="13">
        <f t="shared" si="154"/>
        <v>11.017848535649094</v>
      </c>
      <c r="AQ259" s="13">
        <f t="shared" si="155"/>
        <v>19.389048625603301</v>
      </c>
      <c r="AR259" s="13">
        <f t="shared" si="156"/>
        <v>10.882446297874976</v>
      </c>
      <c r="AS259" s="13">
        <f t="shared" si="157"/>
        <v>15.36536440689072</v>
      </c>
      <c r="AT259" s="13">
        <f t="shared" si="158"/>
        <v>15.889684756014759</v>
      </c>
      <c r="AU259" s="9">
        <v>0</v>
      </c>
      <c r="AV259" s="18">
        <f t="shared" si="175"/>
        <v>1</v>
      </c>
      <c r="AW259" s="18">
        <f t="shared" si="176"/>
        <v>4</v>
      </c>
      <c r="AX259" s="18">
        <f t="shared" si="177"/>
        <v>3</v>
      </c>
      <c r="AY259" s="18">
        <f t="shared" si="178"/>
        <v>7</v>
      </c>
      <c r="AZ259" s="18">
        <f t="shared" si="179"/>
        <v>2</v>
      </c>
      <c r="BA259" s="18">
        <f t="shared" si="180"/>
        <v>8</v>
      </c>
      <c r="BB259" s="18">
        <f t="shared" si="181"/>
        <v>6</v>
      </c>
      <c r="BC259" s="18">
        <f t="shared" si="182"/>
        <v>5</v>
      </c>
      <c r="BD259" s="18">
        <f t="shared" si="183"/>
        <v>9</v>
      </c>
      <c r="BE259" s="8">
        <f t="shared" si="150"/>
        <v>2.6712772546105146E-3</v>
      </c>
    </row>
    <row r="260" spans="1:57" x14ac:dyDescent="0.25">
      <c r="A260" t="str">
        <f t="shared" ref="A260:A323" si="184">+IF(MONTH(B260)&lt;&gt;MONTH(B261),"Y","")</f>
        <v/>
      </c>
      <c r="B260" s="1">
        <v>43112</v>
      </c>
      <c r="C260" s="9">
        <f t="shared" si="159"/>
        <v>0.2500809892725514</v>
      </c>
      <c r="D260" s="9">
        <f t="shared" si="160"/>
        <v>0</v>
      </c>
      <c r="E260" s="9">
        <f t="shared" si="161"/>
        <v>0.2557171348748512</v>
      </c>
      <c r="F260" s="9">
        <f t="shared" si="162"/>
        <v>0</v>
      </c>
      <c r="G260" s="9">
        <f t="shared" si="163"/>
        <v>0.24972538994470525</v>
      </c>
      <c r="H260" s="9">
        <f t="shared" si="164"/>
        <v>0</v>
      </c>
      <c r="I260" s="9">
        <f t="shared" si="165"/>
        <v>0</v>
      </c>
      <c r="J260" s="9">
        <f t="shared" si="166"/>
        <v>0.24447648590789206</v>
      </c>
      <c r="K260" s="9">
        <v>0</v>
      </c>
      <c r="L260" s="8">
        <f>+VLOOKUP($B260,NIFTY_50!$B$3:$I$1238,8,0)</f>
        <v>2.8212783536125663E-3</v>
      </c>
      <c r="M260" s="8">
        <f>+VLOOKUP($B260,NIFTY_BANK!$B$3:$I$41238,8,0)</f>
        <v>3.4351873862568105E-3</v>
      </c>
      <c r="N260" s="8">
        <f>+VLOOKUP($B260,NIFTY_IT!$B$3:$I$1238,8,0)</f>
        <v>-3.2223149441046317E-4</v>
      </c>
      <c r="O260" s="8">
        <f>+VLOOKUP($B260,NIFTY_PHARMA!$B$3:$I$1238,8,0)</f>
        <v>-3.172053188169266E-3</v>
      </c>
      <c r="P260" s="8">
        <f>+VLOOKUP($B260,NIFTY_FMCG!$B$3:$I$1238,8,0)</f>
        <v>-4.0666185727834536E-3</v>
      </c>
      <c r="Q260" s="8">
        <f>+VLOOKUP($B260,NIFTY_METAL!$B$3:$I$1238,8,0)</f>
        <v>6.1964118452337846E-3</v>
      </c>
      <c r="R260" s="8">
        <f>+VLOOKUP($B260,NIFTY_ENERGY!$B$3:$I$1238,8,0)</f>
        <v>6.8335779707759947E-3</v>
      </c>
      <c r="S260" s="8">
        <f>+VLOOKUP($B260,NIFTY_AUTO!$B$3:$I$1238,8,0)</f>
        <v>3.0871606966116349E-3</v>
      </c>
      <c r="T260" s="8">
        <v>0</v>
      </c>
      <c r="U260" s="8">
        <f>+VLOOKUP($B260,NIFTY_50!$B$63:$K$1238,10,0)</f>
        <v>4.3656473967824239E-2</v>
      </c>
      <c r="V260" s="8">
        <f>+VLOOKUP($B260,NIFTY_BANK!$B$63:$K$1238,10,0)</f>
        <v>4.4772697763495239E-2</v>
      </c>
      <c r="W260" s="8">
        <f>+VLOOKUP($B260,NIFTY_IT!$B$63:$K$1238,10,0)</f>
        <v>0.10568689628702232</v>
      </c>
      <c r="X260" s="8">
        <f>+VLOOKUP($B260,NIFTY_PHARMA!$B$63:$K$1238,10,0)</f>
        <v>1.3346268947866946E-4</v>
      </c>
      <c r="Y260" s="8">
        <f>+VLOOKUP($B260,NIFTY_FMCG!$B$63:$K$1238,10,0)</f>
        <v>6.15004517787201E-2</v>
      </c>
      <c r="Z260" s="8">
        <f>+VLOOKUP($B260,NIFTY_METAL!$B$63:$K$1238,10,0)</f>
        <v>8.3075888990861158E-2</v>
      </c>
      <c r="AA260" s="8">
        <f>+VLOOKUP($B260,NIFTY_ENERGY!$B$63:$K$1238,10,0)</f>
        <v>5.1788315850815891E-2</v>
      </c>
      <c r="AB260" s="8">
        <f>+VLOOKUP($B260,NIFTY_AUTO!$B$63:$K$1238,10,0)</f>
        <v>6.1175023837318099E-2</v>
      </c>
      <c r="AC260" s="8"/>
      <c r="AD260" s="16">
        <f t="shared" si="167"/>
        <v>4.3017261814939027E-2</v>
      </c>
      <c r="AE260" s="8">
        <f t="shared" si="168"/>
        <v>6.1921295571499016E-2</v>
      </c>
      <c r="AF260" s="8">
        <f t="shared" si="169"/>
        <v>5.9281609527024319E-2</v>
      </c>
      <c r="AG260" s="8">
        <f t="shared" si="170"/>
        <v>9.0694327959982099E-2</v>
      </c>
      <c r="AH260" s="8">
        <f t="shared" si="171"/>
        <v>5.1824966593484408E-2</v>
      </c>
      <c r="AI260" s="8">
        <f t="shared" si="172"/>
        <v>9.1998132283931236E-2</v>
      </c>
      <c r="AJ260" s="8">
        <f t="shared" si="173"/>
        <v>6.5357568508636818E-2</v>
      </c>
      <c r="AK260" s="8">
        <f t="shared" si="174"/>
        <v>6.2966760151520917E-2</v>
      </c>
      <c r="AL260" s="9">
        <v>0</v>
      </c>
      <c r="AM260" s="17">
        <f t="shared" si="151"/>
        <v>23.246481942574974</v>
      </c>
      <c r="AN260" s="13">
        <f t="shared" si="152"/>
        <v>16.149532899312874</v>
      </c>
      <c r="AO260" s="13">
        <f t="shared" si="153"/>
        <v>16.868637811598834</v>
      </c>
      <c r="AP260" s="13">
        <f t="shared" si="154"/>
        <v>11.026047852091029</v>
      </c>
      <c r="AQ260" s="13">
        <f t="shared" si="155"/>
        <v>19.295719143323538</v>
      </c>
      <c r="AR260" s="13">
        <f t="shared" si="156"/>
        <v>10.869785887758333</v>
      </c>
      <c r="AS260" s="13">
        <f t="shared" si="157"/>
        <v>15.300446800860605</v>
      </c>
      <c r="AT260" s="13">
        <f t="shared" si="158"/>
        <v>15.88139516140955</v>
      </c>
      <c r="AU260" s="9">
        <v>0</v>
      </c>
      <c r="AV260" s="18">
        <f t="shared" si="175"/>
        <v>1</v>
      </c>
      <c r="AW260" s="18">
        <f t="shared" si="176"/>
        <v>4</v>
      </c>
      <c r="AX260" s="18">
        <f t="shared" si="177"/>
        <v>3</v>
      </c>
      <c r="AY260" s="18">
        <f t="shared" si="178"/>
        <v>7</v>
      </c>
      <c r="AZ260" s="18">
        <f t="shared" si="179"/>
        <v>2</v>
      </c>
      <c r="BA260" s="18">
        <f t="shared" si="180"/>
        <v>8</v>
      </c>
      <c r="BB260" s="18">
        <f t="shared" si="181"/>
        <v>6</v>
      </c>
      <c r="BC260" s="18">
        <f t="shared" si="182"/>
        <v>5</v>
      </c>
      <c r="BD260" s="18">
        <f t="shared" si="183"/>
        <v>9</v>
      </c>
      <c r="BE260" s="8">
        <f t="shared" ref="BE260:BE323" si="185">+SUMPRODUCT(C259:J259,L260:S260)</f>
        <v>3.539925199109226E-4</v>
      </c>
    </row>
    <row r="261" spans="1:57" x14ac:dyDescent="0.25">
      <c r="A261" t="str">
        <f t="shared" si="184"/>
        <v/>
      </c>
      <c r="B261" s="1">
        <v>43115</v>
      </c>
      <c r="C261" s="9">
        <f t="shared" si="159"/>
        <v>0.25235468055676175</v>
      </c>
      <c r="D261" s="9">
        <f t="shared" si="160"/>
        <v>0</v>
      </c>
      <c r="E261" s="9">
        <f t="shared" si="161"/>
        <v>0.25433701890159782</v>
      </c>
      <c r="F261" s="9">
        <f t="shared" si="162"/>
        <v>0</v>
      </c>
      <c r="G261" s="9">
        <f t="shared" si="163"/>
        <v>0.25034856991322008</v>
      </c>
      <c r="H261" s="9">
        <f t="shared" si="164"/>
        <v>0</v>
      </c>
      <c r="I261" s="9">
        <f t="shared" si="165"/>
        <v>0</v>
      </c>
      <c r="J261" s="9">
        <f t="shared" si="166"/>
        <v>0.24295973062842047</v>
      </c>
      <c r="K261" s="9">
        <v>0</v>
      </c>
      <c r="L261" s="8">
        <f>+VLOOKUP($B261,NIFTY_50!$B$3:$I$1238,8,0)</f>
        <v>5.6454066705675654E-3</v>
      </c>
      <c r="M261" s="8">
        <f>+VLOOKUP($B261,NIFTY_BANK!$B$3:$I$41238,8,0)</f>
        <v>1.2433468419223326E-2</v>
      </c>
      <c r="N261" s="8">
        <f>+VLOOKUP($B261,NIFTY_IT!$B$3:$I$1238,8,0)</f>
        <v>-8.793969849246297E-3</v>
      </c>
      <c r="O261" s="8">
        <f>+VLOOKUP($B261,NIFTY_PHARMA!$B$3:$I$1238,8,0)</f>
        <v>-8.4275573941294812E-3</v>
      </c>
      <c r="P261" s="8">
        <f>+VLOOKUP($B261,NIFTY_FMCG!$B$3:$I$1238,8,0)</f>
        <v>-9.2842316976537997E-4</v>
      </c>
      <c r="Q261" s="8">
        <f>+VLOOKUP($B261,NIFTY_METAL!$B$3:$I$1238,8,0)</f>
        <v>1.4918248000954648E-3</v>
      </c>
      <c r="R261" s="8">
        <f>+VLOOKUP($B261,NIFTY_ENERGY!$B$3:$I$1238,8,0)</f>
        <v>-1.9772905924601014E-3</v>
      </c>
      <c r="S261" s="8">
        <f>+VLOOKUP($B261,NIFTY_AUTO!$B$3:$I$1238,8,0)</f>
        <v>-9.5982667696751234E-3</v>
      </c>
      <c r="T261" s="8">
        <v>0</v>
      </c>
      <c r="U261" s="8">
        <f>+VLOOKUP($B261,NIFTY_50!$B$63:$K$1238,10,0)</f>
        <v>5.1974125562514351E-2</v>
      </c>
      <c r="V261" s="8">
        <f>+VLOOKUP($B261,NIFTY_BANK!$B$63:$K$1238,10,0)</f>
        <v>7.2199886895275345E-2</v>
      </c>
      <c r="W261" s="8">
        <f>+VLOOKUP($B261,NIFTY_IT!$B$63:$K$1238,10,0)</f>
        <v>9.9233282768797837E-2</v>
      </c>
      <c r="X261" s="8">
        <f>+VLOOKUP($B261,NIFTY_PHARMA!$B$63:$K$1238,10,0)</f>
        <v>3.8607029285224748E-3</v>
      </c>
      <c r="Y261" s="8">
        <f>+VLOOKUP($B261,NIFTY_FMCG!$B$63:$K$1238,10,0)</f>
        <v>5.7909480786713985E-2</v>
      </c>
      <c r="Z261" s="8">
        <f>+VLOOKUP($B261,NIFTY_METAL!$B$63:$K$1238,10,0)</f>
        <v>8.8758855126242375E-2</v>
      </c>
      <c r="AA261" s="8">
        <f>+VLOOKUP($B261,NIFTY_ENERGY!$B$63:$K$1238,10,0)</f>
        <v>2.2460151058795175E-2</v>
      </c>
      <c r="AB261" s="8">
        <f>+VLOOKUP($B261,NIFTY_AUTO!$B$63:$K$1238,10,0)</f>
        <v>5.6076147154555223E-2</v>
      </c>
      <c r="AC261" s="8"/>
      <c r="AD261" s="16">
        <f t="shared" si="167"/>
        <v>4.3181206381207773E-2</v>
      </c>
      <c r="AE261" s="8">
        <f t="shared" si="168"/>
        <v>6.1300211290978124E-2</v>
      </c>
      <c r="AF261" s="8">
        <f t="shared" si="169"/>
        <v>6.0014651950693235E-2</v>
      </c>
      <c r="AG261" s="8">
        <f t="shared" si="170"/>
        <v>9.0272458656925431E-2</v>
      </c>
      <c r="AH261" s="8">
        <f t="shared" si="171"/>
        <v>5.1838434581077966E-2</v>
      </c>
      <c r="AI261" s="8">
        <f t="shared" si="172"/>
        <v>9.185351080148535E-2</v>
      </c>
      <c r="AJ261" s="8">
        <f t="shared" si="173"/>
        <v>6.0010679131087166E-2</v>
      </c>
      <c r="AK261" s="8">
        <f t="shared" si="174"/>
        <v>6.3584497223918679E-2</v>
      </c>
      <c r="AL261" s="9">
        <v>0</v>
      </c>
      <c r="AM261" s="17">
        <f t="shared" si="151"/>
        <v>23.158222842870703</v>
      </c>
      <c r="AN261" s="13">
        <f t="shared" si="152"/>
        <v>16.313157474339331</v>
      </c>
      <c r="AO261" s="13">
        <f t="shared" si="153"/>
        <v>16.662597674007653</v>
      </c>
      <c r="AP261" s="13">
        <f t="shared" si="154"/>
        <v>11.077575762065312</v>
      </c>
      <c r="AQ261" s="13">
        <f t="shared" si="155"/>
        <v>19.290705980635831</v>
      </c>
      <c r="AR261" s="13">
        <f t="shared" si="156"/>
        <v>10.886900144309227</v>
      </c>
      <c r="AS261" s="13">
        <f t="shared" si="157"/>
        <v>16.663700769251463</v>
      </c>
      <c r="AT261" s="13">
        <f t="shared" si="158"/>
        <v>15.72710399011897</v>
      </c>
      <c r="AU261" s="9">
        <v>0</v>
      </c>
      <c r="AV261" s="18">
        <f t="shared" si="175"/>
        <v>1</v>
      </c>
      <c r="AW261" s="18">
        <f t="shared" si="176"/>
        <v>5</v>
      </c>
      <c r="AX261" s="18">
        <f t="shared" si="177"/>
        <v>4</v>
      </c>
      <c r="AY261" s="18">
        <f t="shared" si="178"/>
        <v>7</v>
      </c>
      <c r="AZ261" s="18">
        <f t="shared" si="179"/>
        <v>2</v>
      </c>
      <c r="BA261" s="18">
        <f t="shared" si="180"/>
        <v>8</v>
      </c>
      <c r="BB261" s="18">
        <f t="shared" si="181"/>
        <v>3</v>
      </c>
      <c r="BC261" s="18">
        <f t="shared" si="182"/>
        <v>6</v>
      </c>
      <c r="BD261" s="18">
        <f t="shared" si="183"/>
        <v>9</v>
      </c>
      <c r="BE261" s="8">
        <f t="shared" si="185"/>
        <v>-3.4153612577637205E-3</v>
      </c>
    </row>
    <row r="262" spans="1:57" x14ac:dyDescent="0.25">
      <c r="A262" t="str">
        <f t="shared" si="184"/>
        <v/>
      </c>
      <c r="B262" s="1">
        <v>43116</v>
      </c>
      <c r="C262" s="9">
        <f t="shared" si="159"/>
        <v>0.2507507754720037</v>
      </c>
      <c r="D262" s="9">
        <f t="shared" si="160"/>
        <v>0</v>
      </c>
      <c r="E262" s="9">
        <f t="shared" si="161"/>
        <v>0.26295966509326085</v>
      </c>
      <c r="F262" s="9">
        <f t="shared" si="162"/>
        <v>0</v>
      </c>
      <c r="G262" s="9">
        <f t="shared" si="163"/>
        <v>0.24698474664911674</v>
      </c>
      <c r="H262" s="9">
        <f t="shared" si="164"/>
        <v>0</v>
      </c>
      <c r="I262" s="9">
        <f t="shared" si="165"/>
        <v>0</v>
      </c>
      <c r="J262" s="9">
        <f t="shared" si="166"/>
        <v>0.23930481278561885</v>
      </c>
      <c r="K262" s="9">
        <v>0</v>
      </c>
      <c r="L262" s="8">
        <f>+VLOOKUP($B262,NIFTY_50!$B$3:$I$1238,8,0)</f>
        <v>-3.8262634349789382E-3</v>
      </c>
      <c r="M262" s="8">
        <f>+VLOOKUP($B262,NIFTY_BANK!$B$3:$I$41238,8,0)</f>
        <v>-3.6172955058075829E-3</v>
      </c>
      <c r="N262" s="8">
        <f>+VLOOKUP($B262,NIFTY_IT!$B$3:$I$1238,8,0)</f>
        <v>3.6534420652391653E-2</v>
      </c>
      <c r="O262" s="8">
        <f>+VLOOKUP($B262,NIFTY_PHARMA!$B$3:$I$1238,8,0)</f>
        <v>-3.7578612282925805E-3</v>
      </c>
      <c r="P262" s="8">
        <f>+VLOOKUP($B262,NIFTY_FMCG!$B$3:$I$1238,8,0)</f>
        <v>-1.0925090352355893E-2</v>
      </c>
      <c r="Q262" s="8">
        <f>+VLOOKUP($B262,NIFTY_METAL!$B$3:$I$1238,8,0)</f>
        <v>-2.8445450753738832E-2</v>
      </c>
      <c r="R262" s="8">
        <f>+VLOOKUP($B262,NIFTY_ENERGY!$B$3:$I$1238,8,0)</f>
        <v>-2.1179148392827307E-2</v>
      </c>
      <c r="S262" s="8">
        <f>+VLOOKUP($B262,NIFTY_AUTO!$B$3:$I$1238,8,0)</f>
        <v>-1.2535928981439848E-2</v>
      </c>
      <c r="T262" s="8">
        <v>0</v>
      </c>
      <c r="U262" s="8">
        <f>+VLOOKUP($B262,NIFTY_50!$B$63:$K$1238,10,0)</f>
        <v>5.4589983787592944E-2</v>
      </c>
      <c r="V262" s="8">
        <f>+VLOOKUP($B262,NIFTY_BANK!$B$63:$K$1238,10,0)</f>
        <v>8.1847999250304726E-2</v>
      </c>
      <c r="W262" s="8">
        <f>+VLOOKUP($B262,NIFTY_IT!$B$63:$K$1238,10,0)</f>
        <v>0.14141752671980035</v>
      </c>
      <c r="X262" s="8">
        <f>+VLOOKUP($B262,NIFTY_PHARMA!$B$63:$K$1238,10,0)</f>
        <v>3.1219054568198956E-3</v>
      </c>
      <c r="Y262" s="8">
        <f>+VLOOKUP($B262,NIFTY_FMCG!$B$63:$K$1238,10,0)</f>
        <v>5.060789679437061E-2</v>
      </c>
      <c r="Z262" s="8">
        <f>+VLOOKUP($B262,NIFTY_METAL!$B$63:$K$1238,10,0)</f>
        <v>6.71483546689704E-2</v>
      </c>
      <c r="AA262" s="8">
        <f>+VLOOKUP($B262,NIFTY_ENERGY!$B$63:$K$1238,10,0)</f>
        <v>8.9592595109424522E-3</v>
      </c>
      <c r="AB262" s="8">
        <f>+VLOOKUP($B262,NIFTY_AUTO!$B$63:$K$1238,10,0)</f>
        <v>4.8484384706104722E-2</v>
      </c>
      <c r="AC262" s="8"/>
      <c r="AD262" s="16">
        <f t="shared" si="167"/>
        <v>4.2840629913614606E-2</v>
      </c>
      <c r="AE262" s="8">
        <f t="shared" si="168"/>
        <v>5.9935882568872882E-2</v>
      </c>
      <c r="AF262" s="8">
        <f t="shared" si="169"/>
        <v>6.9196391774743252E-2</v>
      </c>
      <c r="AG262" s="8">
        <f t="shared" si="170"/>
        <v>9.0301024833807822E-2</v>
      </c>
      <c r="AH262" s="8">
        <f t="shared" si="171"/>
        <v>5.2937601267302341E-2</v>
      </c>
      <c r="AI262" s="8">
        <f t="shared" si="172"/>
        <v>9.6023701974301115E-2</v>
      </c>
      <c r="AJ262" s="8">
        <f t="shared" si="173"/>
        <v>6.3182501511465441E-2</v>
      </c>
      <c r="AK262" s="8">
        <f t="shared" si="174"/>
        <v>6.4680421790958009E-2</v>
      </c>
      <c r="AL262" s="9">
        <v>0</v>
      </c>
      <c r="AM262" s="17">
        <f t="shared" si="151"/>
        <v>23.342327179045597</v>
      </c>
      <c r="AN262" s="13">
        <f t="shared" si="152"/>
        <v>16.684496117178064</v>
      </c>
      <c r="AO262" s="13">
        <f t="shared" si="153"/>
        <v>14.451620588185076</v>
      </c>
      <c r="AP262" s="13">
        <f t="shared" si="154"/>
        <v>11.074071438728675</v>
      </c>
      <c r="AQ262" s="13">
        <f t="shared" si="155"/>
        <v>18.890164572259607</v>
      </c>
      <c r="AR262" s="13">
        <f t="shared" si="156"/>
        <v>10.414095472674347</v>
      </c>
      <c r="AS262" s="13">
        <f t="shared" si="157"/>
        <v>15.827166954105712</v>
      </c>
      <c r="AT262" s="13">
        <f t="shared" si="158"/>
        <v>15.460628924652356</v>
      </c>
      <c r="AU262" s="9">
        <v>0</v>
      </c>
      <c r="AV262" s="18">
        <f t="shared" si="175"/>
        <v>1</v>
      </c>
      <c r="AW262" s="18">
        <f t="shared" si="176"/>
        <v>3</v>
      </c>
      <c r="AX262" s="18">
        <f t="shared" si="177"/>
        <v>6</v>
      </c>
      <c r="AY262" s="18">
        <f t="shared" si="178"/>
        <v>7</v>
      </c>
      <c r="AZ262" s="18">
        <f t="shared" si="179"/>
        <v>2</v>
      </c>
      <c r="BA262" s="18">
        <f t="shared" si="180"/>
        <v>8</v>
      </c>
      <c r="BB262" s="18">
        <f t="shared" si="181"/>
        <v>4</v>
      </c>
      <c r="BC262" s="18">
        <f t="shared" si="182"/>
        <v>5</v>
      </c>
      <c r="BD262" s="18">
        <f t="shared" si="183"/>
        <v>9</v>
      </c>
      <c r="BE262" s="8">
        <f t="shared" si="185"/>
        <v>2.5456734747734831E-3</v>
      </c>
    </row>
    <row r="263" spans="1:57" x14ac:dyDescent="0.25">
      <c r="A263" t="str">
        <f t="shared" si="184"/>
        <v/>
      </c>
      <c r="B263" s="1">
        <v>43117</v>
      </c>
      <c r="C263" s="9">
        <f t="shared" si="159"/>
        <v>0.25113120451875759</v>
      </c>
      <c r="D263" s="9">
        <f t="shared" si="160"/>
        <v>0</v>
      </c>
      <c r="E263" s="9">
        <f t="shared" si="161"/>
        <v>0.26331874066110272</v>
      </c>
      <c r="F263" s="9">
        <f t="shared" si="162"/>
        <v>0</v>
      </c>
      <c r="G263" s="9">
        <f t="shared" si="163"/>
        <v>0.24689327542510137</v>
      </c>
      <c r="H263" s="9">
        <f t="shared" si="164"/>
        <v>0</v>
      </c>
      <c r="I263" s="9">
        <f t="shared" si="165"/>
        <v>0</v>
      </c>
      <c r="J263" s="9">
        <f t="shared" si="166"/>
        <v>0.23865677939503818</v>
      </c>
      <c r="K263" s="9">
        <v>0</v>
      </c>
      <c r="L263" s="8">
        <f>+VLOOKUP($B263,NIFTY_50!$B$3:$I$1238,8,0)</f>
        <v>8.2332985995914321E-3</v>
      </c>
      <c r="M263" s="8">
        <f>+VLOOKUP($B263,NIFTY_BANK!$B$3:$I$41238,8,0)</f>
        <v>1.2096292959741684E-2</v>
      </c>
      <c r="N263" s="8">
        <f>+VLOOKUP($B263,NIFTY_IT!$B$3:$I$1238,8,0)</f>
        <v>8.0806374412252246E-3</v>
      </c>
      <c r="O263" s="8">
        <f>+VLOOKUP($B263,NIFTY_PHARMA!$B$3:$I$1238,8,0)</f>
        <v>1.2557866461611944E-2</v>
      </c>
      <c r="P263" s="8">
        <f>+VLOOKUP($B263,NIFTY_FMCG!$B$3:$I$1238,8,0)</f>
        <v>6.3331292989092791E-3</v>
      </c>
      <c r="Q263" s="8">
        <f>+VLOOKUP($B263,NIFTY_METAL!$B$3:$I$1238,8,0)</f>
        <v>1.0119222843685494E-2</v>
      </c>
      <c r="R263" s="8">
        <f>+VLOOKUP($B263,NIFTY_ENERGY!$B$3:$I$1238,8,0)</f>
        <v>2.5274366900149836E-3</v>
      </c>
      <c r="S263" s="8">
        <f>+VLOOKUP($B263,NIFTY_AUTO!$B$3:$I$1238,8,0)</f>
        <v>3.9798218310616029E-3</v>
      </c>
      <c r="T263" s="8">
        <v>0</v>
      </c>
      <c r="U263" s="8">
        <f>+VLOOKUP($B263,NIFTY_50!$B$63:$K$1238,10,0)</f>
        <v>5.9274314300161501E-2</v>
      </c>
      <c r="V263" s="8">
        <f>+VLOOKUP($B263,NIFTY_BANK!$B$63:$K$1238,10,0)</f>
        <v>9.1336673737696383E-2</v>
      </c>
      <c r="W263" s="8">
        <f>+VLOOKUP($B263,NIFTY_IT!$B$63:$K$1238,10,0)</f>
        <v>0.13944089071954968</v>
      </c>
      <c r="X263" s="8">
        <f>+VLOOKUP($B263,NIFTY_PHARMA!$B$63:$K$1238,10,0)</f>
        <v>2.1179602188174496E-2</v>
      </c>
      <c r="Y263" s="8">
        <f>+VLOOKUP($B263,NIFTY_FMCG!$B$63:$K$1238,10,0)</f>
        <v>6.3949691571725253E-2</v>
      </c>
      <c r="Z263" s="8">
        <f>+VLOOKUP($B263,NIFTY_METAL!$B$63:$K$1238,10,0)</f>
        <v>7.1411844296419558E-2</v>
      </c>
      <c r="AA263" s="8">
        <f>+VLOOKUP($B263,NIFTY_ENERGY!$B$63:$K$1238,10,0)</f>
        <v>-6.306831756918152E-3</v>
      </c>
      <c r="AB263" s="8">
        <f>+VLOOKUP($B263,NIFTY_AUTO!$B$63:$K$1238,10,0)</f>
        <v>5.2443980395951328E-2</v>
      </c>
      <c r="AC263" s="8"/>
      <c r="AD263" s="16">
        <f t="shared" si="167"/>
        <v>4.3366174234687499E-2</v>
      </c>
      <c r="AE263" s="8">
        <f t="shared" si="168"/>
        <v>6.08544675304643E-2</v>
      </c>
      <c r="AF263" s="8">
        <f t="shared" si="169"/>
        <v>6.9025346073501609E-2</v>
      </c>
      <c r="AG263" s="8">
        <f t="shared" si="170"/>
        <v>9.0960956703828533E-2</v>
      </c>
      <c r="AH263" s="8">
        <f t="shared" si="171"/>
        <v>5.2719626850822973E-2</v>
      </c>
      <c r="AI263" s="8">
        <f t="shared" si="172"/>
        <v>9.6313561084565943E-2</v>
      </c>
      <c r="AJ263" s="8">
        <f t="shared" si="173"/>
        <v>6.0651333801795909E-2</v>
      </c>
      <c r="AK263" s="8">
        <f t="shared" si="174"/>
        <v>6.4753363379072157E-2</v>
      </c>
      <c r="AL263" s="9">
        <v>0</v>
      </c>
      <c r="AM263" s="17">
        <f t="shared" si="151"/>
        <v>23.059447083993067</v>
      </c>
      <c r="AN263" s="13">
        <f t="shared" si="152"/>
        <v>16.432647274407437</v>
      </c>
      <c r="AO263" s="13">
        <f t="shared" si="153"/>
        <v>14.487431891107803</v>
      </c>
      <c r="AP263" s="13">
        <f t="shared" si="154"/>
        <v>10.993727817265912</v>
      </c>
      <c r="AQ263" s="13">
        <f t="shared" si="155"/>
        <v>18.968267791986271</v>
      </c>
      <c r="AR263" s="13">
        <f t="shared" si="156"/>
        <v>10.38275387950792</v>
      </c>
      <c r="AS263" s="13">
        <f t="shared" si="157"/>
        <v>16.487683572927288</v>
      </c>
      <c r="AT263" s="13">
        <f t="shared" si="158"/>
        <v>15.443213260536103</v>
      </c>
      <c r="AU263" s="9">
        <v>0</v>
      </c>
      <c r="AV263" s="18">
        <f t="shared" si="175"/>
        <v>1</v>
      </c>
      <c r="AW263" s="18">
        <f t="shared" si="176"/>
        <v>4</v>
      </c>
      <c r="AX263" s="18">
        <f t="shared" si="177"/>
        <v>6</v>
      </c>
      <c r="AY263" s="18">
        <f t="shared" si="178"/>
        <v>7</v>
      </c>
      <c r="AZ263" s="18">
        <f t="shared" si="179"/>
        <v>2</v>
      </c>
      <c r="BA263" s="18">
        <f t="shared" si="180"/>
        <v>8</v>
      </c>
      <c r="BB263" s="18">
        <f t="shared" si="181"/>
        <v>3</v>
      </c>
      <c r="BC263" s="18">
        <f t="shared" si="182"/>
        <v>5</v>
      </c>
      <c r="BD263" s="18">
        <f t="shared" si="183"/>
        <v>9</v>
      </c>
      <c r="BE263" s="8">
        <f t="shared" si="185"/>
        <v>6.7059645774142848E-3</v>
      </c>
    </row>
    <row r="264" spans="1:57" x14ac:dyDescent="0.25">
      <c r="A264" t="str">
        <f t="shared" si="184"/>
        <v/>
      </c>
      <c r="B264" s="1">
        <v>43118</v>
      </c>
      <c r="C264" s="9">
        <f t="shared" si="159"/>
        <v>0.25088211380316994</v>
      </c>
      <c r="D264" s="9">
        <f t="shared" si="160"/>
        <v>0</v>
      </c>
      <c r="E264" s="9">
        <f t="shared" si="161"/>
        <v>0.26318849950188078</v>
      </c>
      <c r="F264" s="9">
        <f t="shared" si="162"/>
        <v>0</v>
      </c>
      <c r="G264" s="9">
        <f t="shared" si="163"/>
        <v>0.24875667816210745</v>
      </c>
      <c r="H264" s="9">
        <f t="shared" si="164"/>
        <v>0</v>
      </c>
      <c r="I264" s="9">
        <f t="shared" si="165"/>
        <v>0</v>
      </c>
      <c r="J264" s="9">
        <f t="shared" si="166"/>
        <v>0.23717270853284173</v>
      </c>
      <c r="K264" s="9">
        <v>0</v>
      </c>
      <c r="L264" s="8">
        <f>+VLOOKUP($B264,NIFTY_50!$B$3:$I$1238,8,0)</f>
        <v>2.6370550259302572E-3</v>
      </c>
      <c r="M264" s="8">
        <f>+VLOOKUP($B264,NIFTY_BANK!$B$3:$I$41238,8,0)</f>
        <v>9.444979097801065E-3</v>
      </c>
      <c r="N264" s="8">
        <f>+VLOOKUP($B264,NIFTY_IT!$B$3:$I$1238,8,0)</f>
        <v>3.1361220613819185E-3</v>
      </c>
      <c r="O264" s="8">
        <f>+VLOOKUP($B264,NIFTY_PHARMA!$B$3:$I$1238,8,0)</f>
        <v>-1.2094249971778215E-2</v>
      </c>
      <c r="P264" s="8">
        <f>+VLOOKUP($B264,NIFTY_FMCG!$B$3:$I$1238,8,0)</f>
        <v>1.1207350779726122E-2</v>
      </c>
      <c r="Q264" s="8">
        <f>+VLOOKUP($B264,NIFTY_METAL!$B$3:$I$1238,8,0)</f>
        <v>-2.8851407963280007E-2</v>
      </c>
      <c r="R264" s="8">
        <f>+VLOOKUP($B264,NIFTY_ENERGY!$B$3:$I$1238,8,0)</f>
        <v>-1.0402486413475853E-2</v>
      </c>
      <c r="S264" s="8">
        <f>+VLOOKUP($B264,NIFTY_AUTO!$B$3:$I$1238,8,0)</f>
        <v>-2.6084874193934571E-3</v>
      </c>
      <c r="T264" s="8">
        <v>0</v>
      </c>
      <c r="U264" s="8">
        <f>+VLOOKUP($B264,NIFTY_50!$B$63:$K$1238,10,0)</f>
        <v>5.9690233843079143E-2</v>
      </c>
      <c r="V264" s="8">
        <f>+VLOOKUP($B264,NIFTY_BANK!$B$63:$K$1238,10,0)</f>
        <v>9.5584000594497232E-2</v>
      </c>
      <c r="W264" s="8">
        <f>+VLOOKUP($B264,NIFTY_IT!$B$63:$K$1238,10,0)</f>
        <v>0.15488571218580049</v>
      </c>
      <c r="X264" s="8">
        <f>+VLOOKUP($B264,NIFTY_PHARMA!$B$63:$K$1238,10,0)</f>
        <v>1.4378292939936754E-2</v>
      </c>
      <c r="Y264" s="8">
        <f>+VLOOKUP($B264,NIFTY_FMCG!$B$63:$K$1238,10,0)</f>
        <v>7.2338548406069902E-2</v>
      </c>
      <c r="Z264" s="8">
        <f>+VLOOKUP($B264,NIFTY_METAL!$B$63:$K$1238,10,0)</f>
        <v>3.6427960500738488E-2</v>
      </c>
      <c r="AA264" s="8">
        <f>+VLOOKUP($B264,NIFTY_ENERGY!$B$63:$K$1238,10,0)</f>
        <v>-2.0786100148347142E-2</v>
      </c>
      <c r="AB264" s="8">
        <f>+VLOOKUP($B264,NIFTY_AUTO!$B$63:$K$1238,10,0)</f>
        <v>5.2536101083032527E-2</v>
      </c>
      <c r="AC264" s="8"/>
      <c r="AD264" s="16">
        <f t="shared" si="167"/>
        <v>4.3379576999738975E-2</v>
      </c>
      <c r="AE264" s="8">
        <f t="shared" si="168"/>
        <v>6.1238595922721413E-2</v>
      </c>
      <c r="AF264" s="8">
        <f t="shared" si="169"/>
        <v>6.7876376527776366E-2</v>
      </c>
      <c r="AG264" s="8">
        <f t="shared" si="170"/>
        <v>9.1624094817981866E-2</v>
      </c>
      <c r="AH264" s="8">
        <f t="shared" si="171"/>
        <v>5.3634171481814347E-2</v>
      </c>
      <c r="AI264" s="8">
        <f t="shared" si="172"/>
        <v>0.1007711140226189</v>
      </c>
      <c r="AJ264" s="8">
        <f t="shared" si="173"/>
        <v>6.1345254720036005E-2</v>
      </c>
      <c r="AK264" s="8">
        <f t="shared" si="174"/>
        <v>6.4748610767890402E-2</v>
      </c>
      <c r="AL264" s="9">
        <v>0</v>
      </c>
      <c r="AM264" s="17">
        <f t="shared" si="151"/>
        <v>23.052322525090947</v>
      </c>
      <c r="AN264" s="13">
        <f t="shared" si="152"/>
        <v>16.32957099901386</v>
      </c>
      <c r="AO264" s="13">
        <f t="shared" si="153"/>
        <v>14.732666225793301</v>
      </c>
      <c r="AP264" s="13">
        <f t="shared" si="154"/>
        <v>10.914159664950306</v>
      </c>
      <c r="AQ264" s="13">
        <f t="shared" si="155"/>
        <v>18.644829823446951</v>
      </c>
      <c r="AR264" s="13">
        <f t="shared" si="156"/>
        <v>9.9234786644865487</v>
      </c>
      <c r="AS264" s="13">
        <f t="shared" si="157"/>
        <v>16.301179358757956</v>
      </c>
      <c r="AT264" s="13">
        <f t="shared" si="158"/>
        <v>15.444346807451685</v>
      </c>
      <c r="AU264" s="9">
        <v>0</v>
      </c>
      <c r="AV264" s="18">
        <f t="shared" si="175"/>
        <v>1</v>
      </c>
      <c r="AW264" s="18">
        <f t="shared" si="176"/>
        <v>3</v>
      </c>
      <c r="AX264" s="18">
        <f t="shared" si="177"/>
        <v>6</v>
      </c>
      <c r="AY264" s="18">
        <f t="shared" si="178"/>
        <v>7</v>
      </c>
      <c r="AZ264" s="18">
        <f t="shared" si="179"/>
        <v>2</v>
      </c>
      <c r="BA264" s="18">
        <f t="shared" si="180"/>
        <v>8</v>
      </c>
      <c r="BB264" s="18">
        <f t="shared" si="181"/>
        <v>4</v>
      </c>
      <c r="BC264" s="18">
        <f t="shared" si="182"/>
        <v>5</v>
      </c>
      <c r="BD264" s="18">
        <f t="shared" si="183"/>
        <v>9</v>
      </c>
      <c r="BE264" s="8">
        <f t="shared" si="185"/>
        <v>3.632532853046426E-3</v>
      </c>
    </row>
    <row r="265" spans="1:57" x14ac:dyDescent="0.25">
      <c r="A265" t="str">
        <f t="shared" si="184"/>
        <v/>
      </c>
      <c r="B265" s="1">
        <v>43119</v>
      </c>
      <c r="C265" s="9">
        <f t="shared" si="159"/>
        <v>0.25143260798639905</v>
      </c>
      <c r="D265" s="9">
        <f t="shared" si="160"/>
        <v>0</v>
      </c>
      <c r="E265" s="9">
        <f t="shared" si="161"/>
        <v>0.26320044309306045</v>
      </c>
      <c r="F265" s="9">
        <f t="shared" si="162"/>
        <v>0</v>
      </c>
      <c r="G265" s="9">
        <f t="shared" si="163"/>
        <v>0.24905638231882388</v>
      </c>
      <c r="H265" s="9">
        <f t="shared" si="164"/>
        <v>0</v>
      </c>
      <c r="I265" s="9">
        <f t="shared" si="165"/>
        <v>0</v>
      </c>
      <c r="J265" s="9">
        <f t="shared" si="166"/>
        <v>0.23631056660171654</v>
      </c>
      <c r="K265" s="9">
        <v>0</v>
      </c>
      <c r="L265" s="8">
        <f>+VLOOKUP($B265,NIFTY_50!$B$3:$I$1238,8,0)</f>
        <v>7.1831376536932723E-3</v>
      </c>
      <c r="M265" s="8">
        <f>+VLOOKUP($B265,NIFTY_BANK!$B$3:$I$41238,8,0)</f>
        <v>1.4021720289101314E-2</v>
      </c>
      <c r="N265" s="8">
        <f>+VLOOKUP($B265,NIFTY_IT!$B$3:$I$1238,8,0)</f>
        <v>5.0235865942229729E-3</v>
      </c>
      <c r="O265" s="8">
        <f>+VLOOKUP($B265,NIFTY_PHARMA!$B$3:$I$1238,8,0)</f>
        <v>1.1790431571345739E-3</v>
      </c>
      <c r="P265" s="8">
        <f>+VLOOKUP($B265,NIFTY_FMCG!$B$3:$I$1238,8,0)</f>
        <v>6.1887863214109551E-3</v>
      </c>
      <c r="Q265" s="8">
        <f>+VLOOKUP($B265,NIFTY_METAL!$B$3:$I$1238,8,0)</f>
        <v>8.6399839953987811E-3</v>
      </c>
      <c r="R265" s="8">
        <f>+VLOOKUP($B265,NIFTY_ENERGY!$B$3:$I$1238,8,0)</f>
        <v>9.6007146047343284E-3</v>
      </c>
      <c r="S265" s="8">
        <f>+VLOOKUP($B265,NIFTY_AUTO!$B$3:$I$1238,8,0)</f>
        <v>1.3248042805324989E-3</v>
      </c>
      <c r="T265" s="8">
        <v>0</v>
      </c>
      <c r="U265" s="8">
        <f>+VLOOKUP($B265,NIFTY_50!$B$63:$K$1238,10,0)</f>
        <v>5.8215602189337856E-2</v>
      </c>
      <c r="V265" s="8">
        <f>+VLOOKUP($B265,NIFTY_BANK!$B$63:$K$1238,10,0)</f>
        <v>7.4836534736118843E-2</v>
      </c>
      <c r="W265" s="8">
        <f>+VLOOKUP($B265,NIFTY_IT!$B$63:$K$1238,10,0)</f>
        <v>0.15636884521919003</v>
      </c>
      <c r="X265" s="8">
        <f>+VLOOKUP($B265,NIFTY_PHARMA!$B$63:$K$1238,10,0)</f>
        <v>3.1139166020274445E-2</v>
      </c>
      <c r="Y265" s="8">
        <f>+VLOOKUP($B265,NIFTY_FMCG!$B$63:$K$1238,10,0)</f>
        <v>7.3285176026397947E-2</v>
      </c>
      <c r="Z265" s="8">
        <f>+VLOOKUP($B265,NIFTY_METAL!$B$63:$K$1238,10,0)</f>
        <v>4.1535938851660958E-2</v>
      </c>
      <c r="AA265" s="8">
        <f>+VLOOKUP($B265,NIFTY_ENERGY!$B$63:$K$1238,10,0)</f>
        <v>-1.8718397510696261E-2</v>
      </c>
      <c r="AB265" s="8">
        <f>+VLOOKUP($B265,NIFTY_AUTO!$B$63:$K$1238,10,0)</f>
        <v>4.7285723254082868E-2</v>
      </c>
      <c r="AC265" s="8"/>
      <c r="AD265" s="16">
        <f t="shared" si="167"/>
        <v>4.3154776350288568E-2</v>
      </c>
      <c r="AE265" s="8">
        <f t="shared" si="168"/>
        <v>5.3588007000769551E-2</v>
      </c>
      <c r="AF265" s="8">
        <f t="shared" si="169"/>
        <v>6.791373269908979E-2</v>
      </c>
      <c r="AG265" s="8">
        <f t="shared" si="170"/>
        <v>9.0301194379543093E-2</v>
      </c>
      <c r="AH265" s="8">
        <f t="shared" si="171"/>
        <v>5.3709713042281247E-2</v>
      </c>
      <c r="AI265" s="8">
        <f t="shared" si="172"/>
        <v>0.10103858300448171</v>
      </c>
      <c r="AJ265" s="8">
        <f t="shared" si="173"/>
        <v>6.1650808696288931E-2</v>
      </c>
      <c r="AK265" s="8">
        <f t="shared" si="174"/>
        <v>6.4515439807037375E-2</v>
      </c>
      <c r="AL265" s="9">
        <v>0</v>
      </c>
      <c r="AM265" s="17">
        <f t="shared" si="151"/>
        <v>23.172406036425055</v>
      </c>
      <c r="AN265" s="13">
        <f t="shared" si="152"/>
        <v>18.66089179218103</v>
      </c>
      <c r="AO265" s="13">
        <f t="shared" si="153"/>
        <v>14.724562474437551</v>
      </c>
      <c r="AP265" s="13">
        <f t="shared" si="154"/>
        <v>11.074050646516596</v>
      </c>
      <c r="AQ265" s="13">
        <f t="shared" si="155"/>
        <v>18.618606269833951</v>
      </c>
      <c r="AR265" s="13">
        <f t="shared" si="156"/>
        <v>9.8972092666387024</v>
      </c>
      <c r="AS265" s="13">
        <f t="shared" si="157"/>
        <v>16.220387390639289</v>
      </c>
      <c r="AT265" s="13">
        <f t="shared" si="158"/>
        <v>15.500165588128247</v>
      </c>
      <c r="AU265" s="9">
        <v>0</v>
      </c>
      <c r="AV265" s="18">
        <f t="shared" si="175"/>
        <v>1</v>
      </c>
      <c r="AW265" s="18">
        <f t="shared" si="176"/>
        <v>2</v>
      </c>
      <c r="AX265" s="18">
        <f t="shared" si="177"/>
        <v>6</v>
      </c>
      <c r="AY265" s="18">
        <f t="shared" si="178"/>
        <v>7</v>
      </c>
      <c r="AZ265" s="18">
        <f t="shared" si="179"/>
        <v>3</v>
      </c>
      <c r="BA265" s="18">
        <f t="shared" si="180"/>
        <v>8</v>
      </c>
      <c r="BB265" s="18">
        <f t="shared" si="181"/>
        <v>4</v>
      </c>
      <c r="BC265" s="18">
        <f t="shared" si="182"/>
        <v>5</v>
      </c>
      <c r="BD265" s="18">
        <f t="shared" si="183"/>
        <v>9</v>
      </c>
      <c r="BE265" s="8">
        <f t="shared" si="185"/>
        <v>4.9779803228080918E-3</v>
      </c>
    </row>
    <row r="266" spans="1:57" x14ac:dyDescent="0.25">
      <c r="A266" t="str">
        <f t="shared" si="184"/>
        <v/>
      </c>
      <c r="B266" s="1">
        <v>43122</v>
      </c>
      <c r="C266" s="9">
        <f t="shared" si="159"/>
        <v>0.2510294940208429</v>
      </c>
      <c r="D266" s="9">
        <f t="shared" si="160"/>
        <v>0</v>
      </c>
      <c r="E266" s="9">
        <f t="shared" si="161"/>
        <v>0.2664604926761639</v>
      </c>
      <c r="F266" s="9">
        <f t="shared" si="162"/>
        <v>0</v>
      </c>
      <c r="G266" s="9">
        <f t="shared" si="163"/>
        <v>0.24784963927354292</v>
      </c>
      <c r="H266" s="9">
        <f t="shared" si="164"/>
        <v>0</v>
      </c>
      <c r="I266" s="9">
        <f t="shared" si="165"/>
        <v>0</v>
      </c>
      <c r="J266" s="9">
        <f t="shared" si="166"/>
        <v>0.23466037402945022</v>
      </c>
      <c r="K266" s="9">
        <v>0</v>
      </c>
      <c r="L266" s="8">
        <f>+VLOOKUP($B266,NIFTY_50!$B$3:$I$1238,8,0)</f>
        <v>6.5628241254922504E-3</v>
      </c>
      <c r="M266" s="8">
        <f>+VLOOKUP($B266,NIFTY_BANK!$B$3:$I$41238,8,0)</f>
        <v>4.8941823519574879E-3</v>
      </c>
      <c r="N266" s="8">
        <f>+VLOOKUP($B266,NIFTY_IT!$B$3:$I$1238,8,0)</f>
        <v>2.0666700966055496E-2</v>
      </c>
      <c r="O266" s="8">
        <f>+VLOOKUP($B266,NIFTY_PHARMA!$B$3:$I$1238,8,0)</f>
        <v>1.7638880242378807E-3</v>
      </c>
      <c r="P266" s="8">
        <f>+VLOOKUP($B266,NIFTY_FMCG!$B$3:$I$1238,8,0)</f>
        <v>3.294315171293638E-3</v>
      </c>
      <c r="Q266" s="8">
        <f>+VLOOKUP($B266,NIFTY_METAL!$B$3:$I$1238,8,0)</f>
        <v>-6.7560866762532701E-3</v>
      </c>
      <c r="R266" s="8">
        <f>+VLOOKUP($B266,NIFTY_ENERGY!$B$3:$I$1238,8,0)</f>
        <v>1.9946064934421415E-2</v>
      </c>
      <c r="S266" s="8">
        <f>+VLOOKUP($B266,NIFTY_AUTO!$B$3:$I$1238,8,0)</f>
        <v>1.1389375339863061E-3</v>
      </c>
      <c r="T266" s="8">
        <v>0</v>
      </c>
      <c r="U266" s="8">
        <f>+VLOOKUP($B266,NIFTY_50!$B$63:$K$1238,10,0)</f>
        <v>6.0171310350161544E-2</v>
      </c>
      <c r="V266" s="8">
        <f>+VLOOKUP($B266,NIFTY_BANK!$B$63:$K$1238,10,0)</f>
        <v>8.0688348746313254E-2</v>
      </c>
      <c r="W266" s="8">
        <f>+VLOOKUP($B266,NIFTY_IT!$B$63:$K$1238,10,0)</f>
        <v>0.1848654559153915</v>
      </c>
      <c r="X266" s="8">
        <f>+VLOOKUP($B266,NIFTY_PHARMA!$B$63:$K$1238,10,0)</f>
        <v>2.4017988301240356E-2</v>
      </c>
      <c r="Y266" s="8">
        <f>+VLOOKUP($B266,NIFTY_FMCG!$B$63:$K$1238,10,0)</f>
        <v>7.6568970761419664E-2</v>
      </c>
      <c r="Z266" s="8">
        <f>+VLOOKUP($B266,NIFTY_METAL!$B$63:$K$1238,10,0)</f>
        <v>1.3714748415339262E-2</v>
      </c>
      <c r="AA266" s="8">
        <f>+VLOOKUP($B266,NIFTY_ENERGY!$B$63:$K$1238,10,0)</f>
        <v>-1.1609044423028791E-2</v>
      </c>
      <c r="AB266" s="8">
        <f>+VLOOKUP($B266,NIFTY_AUTO!$B$63:$K$1238,10,0)</f>
        <v>4.2652908335265582E-2</v>
      </c>
      <c r="AC266" s="8"/>
      <c r="AD266" s="16">
        <f t="shared" si="167"/>
        <v>4.3355498351900952E-2</v>
      </c>
      <c r="AE266" s="8">
        <f t="shared" si="168"/>
        <v>5.3681503471631989E-2</v>
      </c>
      <c r="AF266" s="8">
        <f t="shared" si="169"/>
        <v>6.9968126287211246E-2</v>
      </c>
      <c r="AG266" s="8">
        <f t="shared" si="170"/>
        <v>8.9935212865431657E-2</v>
      </c>
      <c r="AH266" s="8">
        <f t="shared" si="171"/>
        <v>5.3741350615165634E-2</v>
      </c>
      <c r="AI266" s="8">
        <f t="shared" si="172"/>
        <v>9.9311773947474688E-2</v>
      </c>
      <c r="AJ266" s="8">
        <f t="shared" si="173"/>
        <v>6.3583533672956508E-2</v>
      </c>
      <c r="AK266" s="8">
        <f t="shared" si="174"/>
        <v>6.4335365037186371E-2</v>
      </c>
      <c r="AL266" s="9">
        <v>0</v>
      </c>
      <c r="AM266" s="17">
        <f t="shared" si="151"/>
        <v>23.065125255471877</v>
      </c>
      <c r="AN266" s="13">
        <f t="shared" si="152"/>
        <v>18.628390326818071</v>
      </c>
      <c r="AO266" s="13">
        <f t="shared" si="153"/>
        <v>14.292222088313657</v>
      </c>
      <c r="AP266" s="13">
        <f t="shared" si="154"/>
        <v>11.11911528464697</v>
      </c>
      <c r="AQ266" s="13">
        <f t="shared" si="155"/>
        <v>18.607645482542139</v>
      </c>
      <c r="AR266" s="13">
        <f t="shared" si="156"/>
        <v>10.069299542760087</v>
      </c>
      <c r="AS266" s="13">
        <f t="shared" si="157"/>
        <v>15.727342320159885</v>
      </c>
      <c r="AT266" s="13">
        <f t="shared" si="158"/>
        <v>15.543550571633373</v>
      </c>
      <c r="AU266" s="9">
        <v>0</v>
      </c>
      <c r="AV266" s="18">
        <f t="shared" si="175"/>
        <v>1</v>
      </c>
      <c r="AW266" s="18">
        <f t="shared" si="176"/>
        <v>2</v>
      </c>
      <c r="AX266" s="18">
        <f t="shared" si="177"/>
        <v>6</v>
      </c>
      <c r="AY266" s="18">
        <f t="shared" si="178"/>
        <v>7</v>
      </c>
      <c r="AZ266" s="18">
        <f t="shared" si="179"/>
        <v>3</v>
      </c>
      <c r="BA266" s="18">
        <f t="shared" si="180"/>
        <v>8</v>
      </c>
      <c r="BB266" s="18">
        <f t="shared" si="181"/>
        <v>4</v>
      </c>
      <c r="BC266" s="18">
        <f t="shared" si="182"/>
        <v>5</v>
      </c>
      <c r="BD266" s="18">
        <f t="shared" si="183"/>
        <v>9</v>
      </c>
      <c r="BE266" s="8">
        <f t="shared" si="185"/>
        <v>8.1792060299268384E-3</v>
      </c>
    </row>
    <row r="267" spans="1:57" x14ac:dyDescent="0.25">
      <c r="A267" t="str">
        <f t="shared" si="184"/>
        <v/>
      </c>
      <c r="B267" s="1">
        <v>43123</v>
      </c>
      <c r="C267" s="9">
        <f t="shared" si="159"/>
        <v>0.25171747757161744</v>
      </c>
      <c r="D267" s="9">
        <f t="shared" si="160"/>
        <v>0</v>
      </c>
      <c r="E267" s="9">
        <f t="shared" si="161"/>
        <v>0.26751435237540122</v>
      </c>
      <c r="F267" s="9">
        <f t="shared" si="162"/>
        <v>0</v>
      </c>
      <c r="G267" s="9">
        <f t="shared" si="163"/>
        <v>0.24726317625387551</v>
      </c>
      <c r="H267" s="9">
        <f t="shared" si="164"/>
        <v>0</v>
      </c>
      <c r="I267" s="9">
        <f t="shared" si="165"/>
        <v>0</v>
      </c>
      <c r="J267" s="9">
        <f t="shared" si="166"/>
        <v>0.23350499379910569</v>
      </c>
      <c r="K267" s="9">
        <v>0</v>
      </c>
      <c r="L267" s="8">
        <f>+VLOOKUP($B267,NIFTY_50!$B$3:$I$1238,8,0)</f>
        <v>1.071474166073938E-2</v>
      </c>
      <c r="M267" s="8">
        <f>+VLOOKUP($B267,NIFTY_BANK!$B$3:$I$41238,8,0)</f>
        <v>1.29210242149016E-2</v>
      </c>
      <c r="N267" s="8">
        <f>+VLOOKUP($B267,NIFTY_IT!$B$3:$I$1238,8,0)</f>
        <v>1.1938782236456724E-2</v>
      </c>
      <c r="O267" s="8">
        <f>+VLOOKUP($B267,NIFTY_PHARMA!$B$3:$I$1238,8,0)</f>
        <v>1.1652235157641799E-2</v>
      </c>
      <c r="P267" s="8">
        <f>+VLOOKUP($B267,NIFTY_FMCG!$B$3:$I$1238,8,0)</f>
        <v>5.5672773043802248E-3</v>
      </c>
      <c r="Q267" s="8">
        <f>+VLOOKUP($B267,NIFTY_METAL!$B$3:$I$1238,8,0)</f>
        <v>4.065000062404045E-2</v>
      </c>
      <c r="R267" s="8">
        <f>+VLOOKUP($B267,NIFTY_ENERGY!$B$3:$I$1238,8,0)</f>
        <v>1.2966779783343485E-2</v>
      </c>
      <c r="S267" s="8">
        <f>+VLOOKUP($B267,NIFTY_AUTO!$B$3:$I$1238,8,0)</f>
        <v>2.9895174431284754E-3</v>
      </c>
      <c r="T267" s="8">
        <v>0</v>
      </c>
      <c r="U267" s="8">
        <f>+VLOOKUP($B267,NIFTY_50!$B$63:$K$1238,10,0)</f>
        <v>7.3684618402507063E-2</v>
      </c>
      <c r="V267" s="8">
        <f>+VLOOKUP($B267,NIFTY_BANK!$B$63:$K$1238,10,0)</f>
        <v>0.10270113589014285</v>
      </c>
      <c r="W267" s="8">
        <f>+VLOOKUP($B267,NIFTY_IT!$B$63:$K$1238,10,0)</f>
        <v>0.20132939914656989</v>
      </c>
      <c r="X267" s="8">
        <f>+VLOOKUP($B267,NIFTY_PHARMA!$B$63:$K$1238,10,0)</f>
        <v>1.2144951865783682E-2</v>
      </c>
      <c r="Y267" s="8">
        <f>+VLOOKUP($B267,NIFTY_FMCG!$B$63:$K$1238,10,0)</f>
        <v>7.5412458792858406E-2</v>
      </c>
      <c r="Z267" s="8">
        <f>+VLOOKUP($B267,NIFTY_METAL!$B$63:$K$1238,10,0)</f>
        <v>5.6700377664562929E-2</v>
      </c>
      <c r="AA267" s="8">
        <f>+VLOOKUP($B267,NIFTY_ENERGY!$B$63:$K$1238,10,0)</f>
        <v>1.4579133940362921E-2</v>
      </c>
      <c r="AB267" s="8">
        <f>+VLOOKUP($B267,NIFTY_AUTO!$B$63:$K$1238,10,0)</f>
        <v>3.6040254817589767E-2</v>
      </c>
      <c r="AC267" s="8"/>
      <c r="AD267" s="16">
        <f t="shared" si="167"/>
        <v>4.4306368208917875E-2</v>
      </c>
      <c r="AE267" s="8">
        <f t="shared" si="168"/>
        <v>5.4187071033669675E-2</v>
      </c>
      <c r="AF267" s="8">
        <f t="shared" si="169"/>
        <v>7.0376529335951468E-2</v>
      </c>
      <c r="AG267" s="8">
        <f t="shared" si="170"/>
        <v>8.7632505270117969E-2</v>
      </c>
      <c r="AH267" s="8">
        <f t="shared" si="171"/>
        <v>5.3643003313319115E-2</v>
      </c>
      <c r="AI267" s="8">
        <f t="shared" si="172"/>
        <v>0.10703866234079987</v>
      </c>
      <c r="AJ267" s="8">
        <f t="shared" si="173"/>
        <v>6.3516629525396662E-2</v>
      </c>
      <c r="AK267" s="8">
        <f t="shared" si="174"/>
        <v>6.378330930041641E-2</v>
      </c>
      <c r="AL267" s="9">
        <v>0</v>
      </c>
      <c r="AM267" s="17">
        <f t="shared" si="151"/>
        <v>22.570118933799737</v>
      </c>
      <c r="AN267" s="13">
        <f t="shared" si="152"/>
        <v>18.454586692435175</v>
      </c>
      <c r="AO267" s="13">
        <f t="shared" si="153"/>
        <v>14.209282688925603</v>
      </c>
      <c r="AP267" s="13">
        <f t="shared" si="154"/>
        <v>11.411290786650516</v>
      </c>
      <c r="AQ267" s="13">
        <f t="shared" si="155"/>
        <v>18.641760122176237</v>
      </c>
      <c r="AR267" s="13">
        <f t="shared" si="156"/>
        <v>9.3424186936875664</v>
      </c>
      <c r="AS267" s="13">
        <f t="shared" si="157"/>
        <v>15.743908445270341</v>
      </c>
      <c r="AT267" s="13">
        <f t="shared" si="158"/>
        <v>15.678082729919934</v>
      </c>
      <c r="AU267" s="9">
        <v>0</v>
      </c>
      <c r="AV267" s="18">
        <f t="shared" si="175"/>
        <v>1</v>
      </c>
      <c r="AW267" s="18">
        <f t="shared" si="176"/>
        <v>3</v>
      </c>
      <c r="AX267" s="18">
        <f t="shared" si="177"/>
        <v>6</v>
      </c>
      <c r="AY267" s="18">
        <f t="shared" si="178"/>
        <v>7</v>
      </c>
      <c r="AZ267" s="18">
        <f t="shared" si="179"/>
        <v>2</v>
      </c>
      <c r="BA267" s="18">
        <f t="shared" si="180"/>
        <v>8</v>
      </c>
      <c r="BB267" s="18">
        <f t="shared" si="181"/>
        <v>4</v>
      </c>
      <c r="BC267" s="18">
        <f t="shared" si="182"/>
        <v>5</v>
      </c>
      <c r="BD267" s="18">
        <f t="shared" si="183"/>
        <v>9</v>
      </c>
      <c r="BE267" s="8">
        <f t="shared" si="185"/>
        <v>7.9522989273376598E-3</v>
      </c>
    </row>
    <row r="268" spans="1:57" x14ac:dyDescent="0.25">
      <c r="A268" t="str">
        <f t="shared" si="184"/>
        <v/>
      </c>
      <c r="B268" s="1">
        <v>43124</v>
      </c>
      <c r="C268" s="9">
        <f t="shared" si="159"/>
        <v>0.25079527870740248</v>
      </c>
      <c r="D268" s="9">
        <f t="shared" si="160"/>
        <v>0</v>
      </c>
      <c r="E268" s="9">
        <f t="shared" si="161"/>
        <v>0.27057656945514119</v>
      </c>
      <c r="F268" s="9">
        <f t="shared" si="162"/>
        <v>0</v>
      </c>
      <c r="G268" s="9">
        <f t="shared" si="163"/>
        <v>0.2474382823520036</v>
      </c>
      <c r="H268" s="9">
        <f t="shared" si="164"/>
        <v>0</v>
      </c>
      <c r="I268" s="9">
        <f t="shared" si="165"/>
        <v>0</v>
      </c>
      <c r="J268" s="9">
        <f t="shared" si="166"/>
        <v>0.23118986948545273</v>
      </c>
      <c r="K268" s="9">
        <v>0</v>
      </c>
      <c r="L268" s="8">
        <f>+VLOOKUP($B268,NIFTY_50!$B$3:$I$1238,8,0)</f>
        <v>2.0751193193602191E-4</v>
      </c>
      <c r="M268" s="8">
        <f>+VLOOKUP($B268,NIFTY_BANK!$B$3:$I$41238,8,0)</f>
        <v>2.9024555869527902E-4</v>
      </c>
      <c r="N268" s="8">
        <f>+VLOOKUP($B268,NIFTY_IT!$B$3:$I$1238,8,0)</f>
        <v>1.5376775053835834E-2</v>
      </c>
      <c r="O268" s="8">
        <f>+VLOOKUP($B268,NIFTY_PHARMA!$B$3:$I$1238,8,0)</f>
        <v>6.0508021664125167E-3</v>
      </c>
      <c r="P268" s="8">
        <f>+VLOOKUP($B268,NIFTY_FMCG!$B$3:$I$1238,8,0)</f>
        <v>4.5963017061427802E-3</v>
      </c>
      <c r="Q268" s="8">
        <f>+VLOOKUP($B268,NIFTY_METAL!$B$3:$I$1238,8,0)</f>
        <v>-1.718637562964731E-2</v>
      </c>
      <c r="R268" s="8">
        <f>+VLOOKUP($B268,NIFTY_ENERGY!$B$3:$I$1238,8,0)</f>
        <v>-6.302772877524121E-3</v>
      </c>
      <c r="S268" s="8">
        <f>+VLOOKUP($B268,NIFTY_AUTO!$B$3:$I$1238,8,0)</f>
        <v>-6.067816268399584E-3</v>
      </c>
      <c r="T268" s="8">
        <v>0</v>
      </c>
      <c r="U268" s="8">
        <f>+VLOOKUP($B268,NIFTY_50!$B$63:$K$1238,10,0)</f>
        <v>6.9700346885508413E-2</v>
      </c>
      <c r="V268" s="8">
        <f>+VLOOKUP($B268,NIFTY_BANK!$B$63:$K$1238,10,0)</f>
        <v>9.6444171430515091E-2</v>
      </c>
      <c r="W268" s="8">
        <f>+VLOOKUP($B268,NIFTY_IT!$B$63:$K$1238,10,0)</f>
        <v>0.2206729130390721</v>
      </c>
      <c r="X268" s="8">
        <f>+VLOOKUP($B268,NIFTY_PHARMA!$B$63:$K$1238,10,0)</f>
        <v>7.3348129392045713E-3</v>
      </c>
      <c r="Y268" s="8">
        <f>+VLOOKUP($B268,NIFTY_FMCG!$B$63:$K$1238,10,0)</f>
        <v>8.7818282522545088E-2</v>
      </c>
      <c r="Z268" s="8">
        <f>+VLOOKUP($B268,NIFTY_METAL!$B$63:$K$1238,10,0)</f>
        <v>3.8868675599954328E-2</v>
      </c>
      <c r="AA268" s="8">
        <f>+VLOOKUP($B268,NIFTY_ENERGY!$B$63:$K$1238,10,0)</f>
        <v>-1.864869235506883E-3</v>
      </c>
      <c r="AB268" s="8">
        <f>+VLOOKUP($B268,NIFTY_AUTO!$B$63:$K$1238,10,0)</f>
        <v>1.9966743972344991E-2</v>
      </c>
      <c r="AC268" s="8"/>
      <c r="AD268" s="16">
        <f t="shared" si="167"/>
        <v>4.4229072040668373E-2</v>
      </c>
      <c r="AE268" s="8">
        <f t="shared" si="168"/>
        <v>5.402215067408838E-2</v>
      </c>
      <c r="AF268" s="8">
        <f t="shared" si="169"/>
        <v>7.1318577001515851E-2</v>
      </c>
      <c r="AG268" s="8">
        <f t="shared" si="170"/>
        <v>8.7180109177167994E-2</v>
      </c>
      <c r="AH268" s="8">
        <f t="shared" si="171"/>
        <v>5.3118878771222448E-2</v>
      </c>
      <c r="AI268" s="8">
        <f t="shared" si="172"/>
        <v>0.10854290910831188</v>
      </c>
      <c r="AJ268" s="8">
        <f t="shared" si="173"/>
        <v>6.3064894792908568E-2</v>
      </c>
      <c r="AK268" s="8">
        <f t="shared" si="174"/>
        <v>6.3468572532999673E-2</v>
      </c>
      <c r="AL268" s="9">
        <v>0</v>
      </c>
      <c r="AM268" s="17">
        <f t="shared" si="151"/>
        <v>22.609563209476921</v>
      </c>
      <c r="AN268" s="13">
        <f t="shared" si="152"/>
        <v>18.510925380089468</v>
      </c>
      <c r="AO268" s="13">
        <f t="shared" si="153"/>
        <v>14.021592157941477</v>
      </c>
      <c r="AP268" s="13">
        <f t="shared" si="154"/>
        <v>11.470506396909798</v>
      </c>
      <c r="AQ268" s="13">
        <f t="shared" si="155"/>
        <v>18.825698567676799</v>
      </c>
      <c r="AR268" s="13">
        <f t="shared" si="156"/>
        <v>9.2129463657743731</v>
      </c>
      <c r="AS268" s="13">
        <f t="shared" si="157"/>
        <v>15.856682283920128</v>
      </c>
      <c r="AT268" s="13">
        <f t="shared" si="158"/>
        <v>15.755829382803006</v>
      </c>
      <c r="AU268" s="9">
        <v>0</v>
      </c>
      <c r="AV268" s="18">
        <f t="shared" si="175"/>
        <v>1</v>
      </c>
      <c r="AW268" s="18">
        <f t="shared" si="176"/>
        <v>3</v>
      </c>
      <c r="AX268" s="18">
        <f t="shared" si="177"/>
        <v>6</v>
      </c>
      <c r="AY268" s="18">
        <f t="shared" si="178"/>
        <v>7</v>
      </c>
      <c r="AZ268" s="18">
        <f t="shared" si="179"/>
        <v>2</v>
      </c>
      <c r="BA268" s="18">
        <f t="shared" si="180"/>
        <v>8</v>
      </c>
      <c r="BB268" s="18">
        <f t="shared" si="181"/>
        <v>4</v>
      </c>
      <c r="BC268" s="18">
        <f t="shared" si="182"/>
        <v>5</v>
      </c>
      <c r="BD268" s="18">
        <f t="shared" si="183"/>
        <v>9</v>
      </c>
      <c r="BE268" s="8">
        <f t="shared" si="185"/>
        <v>3.8853731589772807E-3</v>
      </c>
    </row>
    <row r="269" spans="1:57" x14ac:dyDescent="0.25">
      <c r="A269" t="str">
        <f t="shared" si="184"/>
        <v/>
      </c>
      <c r="B269" s="1">
        <v>43125</v>
      </c>
      <c r="C269" s="9">
        <f t="shared" si="159"/>
        <v>0.25231887870408809</v>
      </c>
      <c r="D269" s="9">
        <f t="shared" si="160"/>
        <v>0</v>
      </c>
      <c r="E269" s="9">
        <f t="shared" si="161"/>
        <v>0.26991255887389648</v>
      </c>
      <c r="F269" s="9">
        <f t="shared" si="162"/>
        <v>0</v>
      </c>
      <c r="G269" s="9">
        <f t="shared" si="163"/>
        <v>0.24776669789442524</v>
      </c>
      <c r="H269" s="9">
        <f t="shared" si="164"/>
        <v>0</v>
      </c>
      <c r="I269" s="9">
        <f t="shared" si="165"/>
        <v>0</v>
      </c>
      <c r="J269" s="9">
        <f t="shared" si="166"/>
        <v>0.23000186452759017</v>
      </c>
      <c r="K269" s="9">
        <v>0</v>
      </c>
      <c r="L269" s="8">
        <f>+VLOOKUP($B269,NIFTY_50!$B$3:$I$1238,8,0)</f>
        <v>-1.4748331228576772E-3</v>
      </c>
      <c r="M269" s="8">
        <f>+VLOOKUP($B269,NIFTY_BANK!$B$3:$I$41238,8,0)</f>
        <v>1.7190690748234427E-3</v>
      </c>
      <c r="N269" s="8">
        <f>+VLOOKUP($B269,NIFTY_IT!$B$3:$I$1238,8,0)</f>
        <v>-9.9399602250641594E-3</v>
      </c>
      <c r="O269" s="8">
        <f>+VLOOKUP($B269,NIFTY_PHARMA!$B$3:$I$1238,8,0)</f>
        <v>-9.8968085972481745E-3</v>
      </c>
      <c r="P269" s="8">
        <f>+VLOOKUP($B269,NIFTY_FMCG!$B$3:$I$1238,8,0)</f>
        <v>-6.1870160511025007E-3</v>
      </c>
      <c r="Q269" s="8">
        <f>+VLOOKUP($B269,NIFTY_METAL!$B$3:$I$1238,8,0)</f>
        <v>9.2254750021354415E-3</v>
      </c>
      <c r="R269" s="8">
        <f>+VLOOKUP($B269,NIFTY_ENERGY!$B$3:$I$1238,8,0)</f>
        <v>-2.6956686602664925E-3</v>
      </c>
      <c r="S269" s="8">
        <f>+VLOOKUP($B269,NIFTY_AUTO!$B$3:$I$1238,8,0)</f>
        <v>-1.2604411114876868E-2</v>
      </c>
      <c r="T269" s="8">
        <v>0</v>
      </c>
      <c r="U269" s="8">
        <f>+VLOOKUP($B269,NIFTY_50!$B$63:$K$1238,10,0)</f>
        <v>7.1052606116900341E-2</v>
      </c>
      <c r="V269" s="8">
        <f>+VLOOKUP($B269,NIFTY_BANK!$B$63:$K$1238,10,0)</f>
        <v>9.6976939848557375E-2</v>
      </c>
      <c r="W269" s="8">
        <f>+VLOOKUP($B269,NIFTY_IT!$B$63:$K$1238,10,0)</f>
        <v>0.21036824477066607</v>
      </c>
      <c r="X269" s="8">
        <f>+VLOOKUP($B269,NIFTY_PHARMA!$B$63:$K$1238,10,0)</f>
        <v>-2.7521525215252751E-3</v>
      </c>
      <c r="Y269" s="8">
        <f>+VLOOKUP($B269,NIFTY_FMCG!$B$63:$K$1238,10,0)</f>
        <v>7.8979433736768856E-2</v>
      </c>
      <c r="Z269" s="8">
        <f>+VLOOKUP($B269,NIFTY_METAL!$B$63:$K$1238,10,0)</f>
        <v>6.6708800350827158E-2</v>
      </c>
      <c r="AA269" s="8">
        <f>+VLOOKUP($B269,NIFTY_ENERGY!$B$63:$K$1238,10,0)</f>
        <v>-3.1389547384090832E-3</v>
      </c>
      <c r="AB269" s="8">
        <f>+VLOOKUP($B269,NIFTY_AUTO!$B$63:$K$1238,10,0)</f>
        <v>1.2115215479331587E-2</v>
      </c>
      <c r="AC269" s="8"/>
      <c r="AD269" s="16">
        <f t="shared" si="167"/>
        <v>4.4136717104471757E-2</v>
      </c>
      <c r="AE269" s="8">
        <f t="shared" si="168"/>
        <v>5.4021587034157124E-2</v>
      </c>
      <c r="AF269" s="8">
        <f t="shared" si="169"/>
        <v>7.2371187222763256E-2</v>
      </c>
      <c r="AG269" s="8">
        <f t="shared" si="170"/>
        <v>8.775142226321915E-2</v>
      </c>
      <c r="AH269" s="8">
        <f t="shared" si="171"/>
        <v>5.364558070574605E-2</v>
      </c>
      <c r="AI269" s="8">
        <f t="shared" si="172"/>
        <v>0.1073516399702051</v>
      </c>
      <c r="AJ269" s="8">
        <f t="shared" si="173"/>
        <v>6.3106314228854543E-2</v>
      </c>
      <c r="AK269" s="8">
        <f t="shared" si="174"/>
        <v>6.4553755140556487E-2</v>
      </c>
      <c r="AL269" s="9">
        <v>0</v>
      </c>
      <c r="AM269" s="17">
        <f t="shared" si="151"/>
        <v>22.656873134288549</v>
      </c>
      <c r="AN269" s="13">
        <f t="shared" si="152"/>
        <v>18.511118515783579</v>
      </c>
      <c r="AO269" s="13">
        <f t="shared" si="153"/>
        <v>13.817653659901067</v>
      </c>
      <c r="AP269" s="13">
        <f t="shared" si="154"/>
        <v>11.395826690995392</v>
      </c>
      <c r="AQ269" s="13">
        <f t="shared" si="155"/>
        <v>18.640864482111734</v>
      </c>
      <c r="AR269" s="13">
        <f t="shared" si="156"/>
        <v>9.3151814008388225</v>
      </c>
      <c r="AS269" s="13">
        <f t="shared" si="157"/>
        <v>15.846274849351968</v>
      </c>
      <c r="AT269" s="13">
        <f t="shared" si="158"/>
        <v>15.49096559638776</v>
      </c>
      <c r="AU269" s="9">
        <v>0</v>
      </c>
      <c r="AV269" s="18">
        <f t="shared" si="175"/>
        <v>1</v>
      </c>
      <c r="AW269" s="18">
        <f t="shared" si="176"/>
        <v>3</v>
      </c>
      <c r="AX269" s="18">
        <f t="shared" si="177"/>
        <v>6</v>
      </c>
      <c r="AY269" s="18">
        <f t="shared" si="178"/>
        <v>7</v>
      </c>
      <c r="AZ269" s="18">
        <f t="shared" si="179"/>
        <v>2</v>
      </c>
      <c r="BA269" s="18">
        <f t="shared" si="180"/>
        <v>8</v>
      </c>
      <c r="BB269" s="18">
        <f t="shared" si="181"/>
        <v>4</v>
      </c>
      <c r="BC269" s="18">
        <f t="shared" si="182"/>
        <v>5</v>
      </c>
      <c r="BD269" s="18">
        <f t="shared" si="183"/>
        <v>9</v>
      </c>
      <c r="BE269" s="8">
        <f t="shared" si="185"/>
        <v>-7.5043183074708641E-3</v>
      </c>
    </row>
    <row r="270" spans="1:57" x14ac:dyDescent="0.25">
      <c r="A270" t="str">
        <f t="shared" si="184"/>
        <v/>
      </c>
      <c r="B270" s="1">
        <v>43129</v>
      </c>
      <c r="C270" s="9">
        <f t="shared" si="159"/>
        <v>0.25220611234109097</v>
      </c>
      <c r="D270" s="9">
        <f t="shared" si="160"/>
        <v>0</v>
      </c>
      <c r="E270" s="9">
        <f t="shared" si="161"/>
        <v>0.27086905509634496</v>
      </c>
      <c r="F270" s="9">
        <f t="shared" si="162"/>
        <v>0</v>
      </c>
      <c r="G270" s="9">
        <f t="shared" si="163"/>
        <v>0.24488995804461122</v>
      </c>
      <c r="H270" s="9">
        <f t="shared" si="164"/>
        <v>0</v>
      </c>
      <c r="I270" s="9">
        <f t="shared" si="165"/>
        <v>0</v>
      </c>
      <c r="J270" s="9">
        <f t="shared" si="166"/>
        <v>0.23203487451795279</v>
      </c>
      <c r="K270" s="9">
        <v>0</v>
      </c>
      <c r="L270" s="8">
        <f>+VLOOKUP($B270,NIFTY_50!$B$3:$I$1238,8,0)</f>
        <v>5.4879783913674984E-3</v>
      </c>
      <c r="M270" s="8">
        <f>+VLOOKUP($B270,NIFTY_BANK!$B$3:$I$41238,8,0)</f>
        <v>1.9238021325782562E-3</v>
      </c>
      <c r="N270" s="8">
        <f>+VLOOKUP($B270,NIFTY_IT!$B$3:$I$1238,8,0)</f>
        <v>9.5023193587362442E-3</v>
      </c>
      <c r="O270" s="8">
        <f>+VLOOKUP($B270,NIFTY_PHARMA!$B$3:$I$1238,8,0)</f>
        <v>-1.0977320732026841E-2</v>
      </c>
      <c r="P270" s="8">
        <f>+VLOOKUP($B270,NIFTY_FMCG!$B$3:$I$1238,8,0)</f>
        <v>-5.7420669998016205E-3</v>
      </c>
      <c r="Q270" s="8">
        <f>+VLOOKUP($B270,NIFTY_METAL!$B$3:$I$1238,8,0)</f>
        <v>1.3784264174214744E-3</v>
      </c>
      <c r="R270" s="8">
        <f>+VLOOKUP($B270,NIFTY_ENERGY!$B$3:$I$1238,8,0)</f>
        <v>-5.8483372679416501E-3</v>
      </c>
      <c r="S270" s="8">
        <f>+VLOOKUP($B270,NIFTY_AUTO!$B$3:$I$1238,8,0)</f>
        <v>1.4829136886011618E-2</v>
      </c>
      <c r="T270" s="8">
        <v>0</v>
      </c>
      <c r="U270" s="8">
        <f>+VLOOKUP($B270,NIFTY_50!$B$63:$K$1238,10,0)</f>
        <v>6.6079210765767948E-2</v>
      </c>
      <c r="V270" s="8">
        <f>+VLOOKUP($B270,NIFTY_BANK!$B$63:$K$1238,10,0)</f>
        <v>7.8774599899178011E-2</v>
      </c>
      <c r="W270" s="8">
        <f>+VLOOKUP($B270,NIFTY_IT!$B$63:$K$1238,10,0)</f>
        <v>0.22419642609523649</v>
      </c>
      <c r="X270" s="8">
        <f>+VLOOKUP($B270,NIFTY_PHARMA!$B$63:$K$1238,10,0)</f>
        <v>-9.1849395822498625E-3</v>
      </c>
      <c r="Y270" s="8">
        <f>+VLOOKUP($B270,NIFTY_FMCG!$B$63:$K$1238,10,0)</f>
        <v>5.649494417022094E-2</v>
      </c>
      <c r="Z270" s="8">
        <f>+VLOOKUP($B270,NIFTY_METAL!$B$63:$K$1238,10,0)</f>
        <v>4.9272754915872685E-2</v>
      </c>
      <c r="AA270" s="8">
        <f>+VLOOKUP($B270,NIFTY_ENERGY!$B$63:$K$1238,10,0)</f>
        <v>-1.4003825769781875E-2</v>
      </c>
      <c r="AB270" s="8">
        <f>+VLOOKUP($B270,NIFTY_AUTO!$B$63:$K$1238,10,0)</f>
        <v>2.7711532538390538E-2</v>
      </c>
      <c r="AC270" s="8"/>
      <c r="AD270" s="16">
        <f t="shared" si="167"/>
        <v>4.341558973673549E-2</v>
      </c>
      <c r="AE270" s="8">
        <f t="shared" si="168"/>
        <v>5.1136587019555473E-2</v>
      </c>
      <c r="AF270" s="8">
        <f t="shared" si="169"/>
        <v>7.245463750676201E-2</v>
      </c>
      <c r="AG270" s="8">
        <f t="shared" si="170"/>
        <v>8.8315413086089423E-2</v>
      </c>
      <c r="AH270" s="8">
        <f t="shared" si="171"/>
        <v>5.2149153380196871E-2</v>
      </c>
      <c r="AI270" s="8">
        <f t="shared" si="172"/>
        <v>0.1059974356286056</v>
      </c>
      <c r="AJ270" s="8">
        <f t="shared" si="173"/>
        <v>6.3151836592091615E-2</v>
      </c>
      <c r="AK270" s="8">
        <f t="shared" si="174"/>
        <v>6.6149449473057273E-2</v>
      </c>
      <c r="AL270" s="9">
        <v>0</v>
      </c>
      <c r="AM270" s="17">
        <f t="shared" si="151"/>
        <v>23.033200886221387</v>
      </c>
      <c r="AN270" s="13">
        <f t="shared" si="152"/>
        <v>19.555470129783661</v>
      </c>
      <c r="AO270" s="13">
        <f t="shared" si="153"/>
        <v>13.801739052337023</v>
      </c>
      <c r="AP270" s="13">
        <f t="shared" si="154"/>
        <v>11.323051832698841</v>
      </c>
      <c r="AQ270" s="13">
        <f t="shared" si="155"/>
        <v>19.175766722604937</v>
      </c>
      <c r="AR270" s="13">
        <f t="shared" si="156"/>
        <v>9.4341904978136029</v>
      </c>
      <c r="AS270" s="13">
        <f t="shared" si="157"/>
        <v>15.834852222258696</v>
      </c>
      <c r="AT270" s="13">
        <f t="shared" si="158"/>
        <v>15.117283786425174</v>
      </c>
      <c r="AU270" s="9">
        <v>0</v>
      </c>
      <c r="AV270" s="18">
        <f t="shared" si="175"/>
        <v>1</v>
      </c>
      <c r="AW270" s="18">
        <f t="shared" si="176"/>
        <v>2</v>
      </c>
      <c r="AX270" s="18">
        <f t="shared" si="177"/>
        <v>6</v>
      </c>
      <c r="AY270" s="18">
        <f t="shared" si="178"/>
        <v>7</v>
      </c>
      <c r="AZ270" s="18">
        <f t="shared" si="179"/>
        <v>3</v>
      </c>
      <c r="BA270" s="18">
        <f t="shared" si="180"/>
        <v>8</v>
      </c>
      <c r="BB270" s="18">
        <f t="shared" si="181"/>
        <v>4</v>
      </c>
      <c r="BC270" s="18">
        <f t="shared" si="182"/>
        <v>5</v>
      </c>
      <c r="BD270" s="18">
        <f t="shared" si="183"/>
        <v>9</v>
      </c>
      <c r="BE270" s="8">
        <f t="shared" si="185"/>
        <v>5.9375520409037123E-3</v>
      </c>
    </row>
    <row r="271" spans="1:57" x14ac:dyDescent="0.25">
      <c r="A271" t="str">
        <f t="shared" si="184"/>
        <v/>
      </c>
      <c r="B271" s="1">
        <v>43130</v>
      </c>
      <c r="C271" s="9">
        <f t="shared" si="159"/>
        <v>0.25188450785087974</v>
      </c>
      <c r="D271" s="9">
        <f t="shared" si="160"/>
        <v>0</v>
      </c>
      <c r="E271" s="9">
        <f t="shared" si="161"/>
        <v>0.26973188463426639</v>
      </c>
      <c r="F271" s="9">
        <f t="shared" si="162"/>
        <v>0</v>
      </c>
      <c r="G271" s="9">
        <f t="shared" si="163"/>
        <v>0.24596049910126511</v>
      </c>
      <c r="H271" s="9">
        <f t="shared" si="164"/>
        <v>0</v>
      </c>
      <c r="I271" s="9">
        <f t="shared" si="165"/>
        <v>0</v>
      </c>
      <c r="J271" s="9">
        <f t="shared" si="166"/>
        <v>0.23242310841358876</v>
      </c>
      <c r="K271" s="9">
        <v>0</v>
      </c>
      <c r="L271" s="8">
        <f>+VLOOKUP($B271,NIFTY_50!$B$3:$I$1238,8,0)</f>
        <v>-7.2549054840795879E-3</v>
      </c>
      <c r="M271" s="8">
        <f>+VLOOKUP($B271,NIFTY_BANK!$B$3:$I$41238,8,0)</f>
        <v>-8.34228838352713E-3</v>
      </c>
      <c r="N271" s="8">
        <f>+VLOOKUP($B271,NIFTY_IT!$B$3:$I$1238,8,0)</f>
        <v>-1.0160468189541194E-2</v>
      </c>
      <c r="O271" s="8">
        <f>+VLOOKUP($B271,NIFTY_PHARMA!$B$3:$I$1238,8,0)</f>
        <v>-6.1107733557811406E-3</v>
      </c>
      <c r="P271" s="8">
        <f>+VLOOKUP($B271,NIFTY_FMCG!$B$3:$I$1238,8,0)</f>
        <v>-1.6420301661806969E-3</v>
      </c>
      <c r="Q271" s="8">
        <f>+VLOOKUP($B271,NIFTY_METAL!$B$3:$I$1238,8,0)</f>
        <v>-5.9408092541387569E-3</v>
      </c>
      <c r="R271" s="8">
        <f>+VLOOKUP($B271,NIFTY_ENERGY!$B$3:$I$1238,8,0)</f>
        <v>-8.6919939781870958E-4</v>
      </c>
      <c r="S271" s="8">
        <f>+VLOOKUP($B271,NIFTY_AUTO!$B$3:$I$1238,8,0)</f>
        <v>-4.3242224962323217E-3</v>
      </c>
      <c r="T271" s="8">
        <v>0</v>
      </c>
      <c r="U271" s="8">
        <f>+VLOOKUP($B271,NIFTY_50!$B$63:$K$1238,10,0)</f>
        <v>6.0040484276367545E-2</v>
      </c>
      <c r="V271" s="8">
        <f>+VLOOKUP($B271,NIFTY_BANK!$B$63:$K$1238,10,0)</f>
        <v>7.2431992386136068E-2</v>
      </c>
      <c r="W271" s="8">
        <f>+VLOOKUP($B271,NIFTY_IT!$B$63:$K$1238,10,0)</f>
        <v>0.20856825421705083</v>
      </c>
      <c r="X271" s="8">
        <f>+VLOOKUP($B271,NIFTY_PHARMA!$B$63:$K$1238,10,0)</f>
        <v>-4.4075166175221225E-2</v>
      </c>
      <c r="Y271" s="8">
        <f>+VLOOKUP($B271,NIFTY_FMCG!$B$63:$K$1238,10,0)</f>
        <v>6.5373549308973322E-2</v>
      </c>
      <c r="Z271" s="8">
        <f>+VLOOKUP($B271,NIFTY_METAL!$B$63:$K$1238,10,0)</f>
        <v>4.4468409033240341E-2</v>
      </c>
      <c r="AA271" s="8">
        <f>+VLOOKUP($B271,NIFTY_ENERGY!$B$63:$K$1238,10,0)</f>
        <v>-1.2443641062297339E-2</v>
      </c>
      <c r="AB271" s="8">
        <f>+VLOOKUP($B271,NIFTY_AUTO!$B$63:$K$1238,10,0)</f>
        <v>3.0581812219430349E-2</v>
      </c>
      <c r="AC271" s="8"/>
      <c r="AD271" s="16">
        <f t="shared" si="167"/>
        <v>4.4119270265331557E-2</v>
      </c>
      <c r="AE271" s="8">
        <f t="shared" si="168"/>
        <v>5.1891078491490258E-2</v>
      </c>
      <c r="AF271" s="8">
        <f t="shared" si="169"/>
        <v>7.3684347193224101E-2</v>
      </c>
      <c r="AG271" s="8">
        <f t="shared" si="170"/>
        <v>8.3060982314850124E-2</v>
      </c>
      <c r="AH271" s="8">
        <f t="shared" si="171"/>
        <v>5.105372533038955E-2</v>
      </c>
      <c r="AI271" s="8">
        <f t="shared" si="172"/>
        <v>0.10619128534507666</v>
      </c>
      <c r="AJ271" s="8">
        <f t="shared" si="173"/>
        <v>6.311500983784403E-2</v>
      </c>
      <c r="AK271" s="8">
        <f t="shared" si="174"/>
        <v>6.5888297346520713E-2</v>
      </c>
      <c r="AL271" s="9">
        <v>0</v>
      </c>
      <c r="AM271" s="17">
        <f t="shared" si="151"/>
        <v>22.665832729916865</v>
      </c>
      <c r="AN271" s="13">
        <f t="shared" si="152"/>
        <v>19.271135406522575</v>
      </c>
      <c r="AO271" s="13">
        <f t="shared" si="153"/>
        <v>13.571403399662044</v>
      </c>
      <c r="AP271" s="13">
        <f t="shared" si="154"/>
        <v>12.039347141470229</v>
      </c>
      <c r="AQ271" s="13">
        <f t="shared" si="155"/>
        <v>19.587209229661319</v>
      </c>
      <c r="AR271" s="13">
        <f t="shared" si="156"/>
        <v>9.4169686029359561</v>
      </c>
      <c r="AS271" s="13">
        <f t="shared" si="157"/>
        <v>15.844091644273114</v>
      </c>
      <c r="AT271" s="13">
        <f t="shared" si="158"/>
        <v>15.177202026344453</v>
      </c>
      <c r="AU271" s="9">
        <v>0</v>
      </c>
      <c r="AV271" s="18">
        <f t="shared" si="175"/>
        <v>1</v>
      </c>
      <c r="AW271" s="18">
        <f t="shared" si="176"/>
        <v>3</v>
      </c>
      <c r="AX271" s="18">
        <f t="shared" si="177"/>
        <v>6</v>
      </c>
      <c r="AY271" s="18">
        <f t="shared" si="178"/>
        <v>7</v>
      </c>
      <c r="AZ271" s="18">
        <f t="shared" si="179"/>
        <v>2</v>
      </c>
      <c r="BA271" s="18">
        <f t="shared" si="180"/>
        <v>8</v>
      </c>
      <c r="BB271" s="18">
        <f t="shared" si="181"/>
        <v>4</v>
      </c>
      <c r="BC271" s="18">
        <f t="shared" si="182"/>
        <v>5</v>
      </c>
      <c r="BD271" s="18">
        <f t="shared" si="183"/>
        <v>9</v>
      </c>
      <c r="BE271" s="8">
        <f t="shared" si="185"/>
        <v>-5.9873750481842201E-3</v>
      </c>
    </row>
    <row r="272" spans="1:57" x14ac:dyDescent="0.25">
      <c r="A272" t="str">
        <f t="shared" si="184"/>
        <v>Y</v>
      </c>
      <c r="B272" s="1">
        <v>43131</v>
      </c>
      <c r="C272" s="9">
        <f t="shared" si="159"/>
        <v>0.25</v>
      </c>
      <c r="D272" s="9">
        <f t="shared" si="160"/>
        <v>0.25</v>
      </c>
      <c r="E272" s="9">
        <f t="shared" si="161"/>
        <v>0</v>
      </c>
      <c r="F272" s="9">
        <f t="shared" si="162"/>
        <v>0</v>
      </c>
      <c r="G272" s="9">
        <f t="shared" si="163"/>
        <v>0.25</v>
      </c>
      <c r="H272" s="9">
        <f t="shared" si="164"/>
        <v>0</v>
      </c>
      <c r="I272" s="9">
        <f t="shared" si="165"/>
        <v>0.25</v>
      </c>
      <c r="J272" s="9">
        <f t="shared" si="166"/>
        <v>0</v>
      </c>
      <c r="K272" s="9">
        <v>0</v>
      </c>
      <c r="L272" s="8">
        <f>+VLOOKUP($B272,NIFTY_50!$B$3:$I$1238,8,0)</f>
        <v>-1.9864882598090716E-3</v>
      </c>
      <c r="M272" s="8">
        <f>+VLOOKUP($B272,NIFTY_BANK!$B$3:$I$41238,8,0)</f>
        <v>4.0485458789361051E-3</v>
      </c>
      <c r="N272" s="8">
        <f>+VLOOKUP($B272,NIFTY_IT!$B$3:$I$1238,8,0)</f>
        <v>-9.2729984475071747E-3</v>
      </c>
      <c r="O272" s="8">
        <f>+VLOOKUP($B272,NIFTY_PHARMA!$B$3:$I$1238,8,0)</f>
        <v>-1.8695986323070346E-2</v>
      </c>
      <c r="P272" s="8">
        <f>+VLOOKUP($B272,NIFTY_FMCG!$B$3:$I$1238,8,0)</f>
        <v>-1.3986573180527762E-2</v>
      </c>
      <c r="Q272" s="8">
        <f>+VLOOKUP($B272,NIFTY_METAL!$B$3:$I$1238,8,0)</f>
        <v>-1.2244154266626173E-2</v>
      </c>
      <c r="R272" s="8">
        <f>+VLOOKUP($B272,NIFTY_ENERGY!$B$3:$I$1238,8,0)</f>
        <v>5.9435364041606764E-3</v>
      </c>
      <c r="S272" s="8">
        <f>+VLOOKUP($B272,NIFTY_AUTO!$B$3:$I$1238,8,0)</f>
        <v>-1.3760008256005207E-3</v>
      </c>
      <c r="T272" s="8">
        <v>0</v>
      </c>
      <c r="U272" s="8">
        <f>+VLOOKUP($B272,NIFTY_50!$B$63:$K$1238,10,0)</f>
        <v>5.502989715379103E-2</v>
      </c>
      <c r="V272" s="8">
        <f>+VLOOKUP($B272,NIFTY_BANK!$B$63:$K$1238,10,0)</f>
        <v>6.739582155652668E-2</v>
      </c>
      <c r="W272" s="8">
        <f>+VLOOKUP($B272,NIFTY_IT!$B$63:$K$1238,10,0)</f>
        <v>0.19811238069757042</v>
      </c>
      <c r="X272" s="8">
        <f>+VLOOKUP($B272,NIFTY_PHARMA!$B$63:$K$1238,10,0)</f>
        <v>-5.1777270339085857E-2</v>
      </c>
      <c r="Y272" s="8">
        <f>+VLOOKUP($B272,NIFTY_FMCG!$B$63:$K$1238,10,0)</f>
        <v>5.1833039297415784E-2</v>
      </c>
      <c r="Z272" s="8">
        <f>+VLOOKUP($B272,NIFTY_METAL!$B$63:$K$1238,10,0)</f>
        <v>3.2360857200893767E-2</v>
      </c>
      <c r="AA272" s="8">
        <f>+VLOOKUP($B272,NIFTY_ENERGY!$B$63:$K$1238,10,0)</f>
        <v>-4.212854200108862E-3</v>
      </c>
      <c r="AB272" s="8">
        <f>+VLOOKUP($B272,NIFTY_AUTO!$B$63:$K$1238,10,0)</f>
        <v>2.6361960994020439E-2</v>
      </c>
      <c r="AC272" s="8"/>
      <c r="AD272" s="16">
        <f t="shared" si="167"/>
        <v>4.4178319277717842E-2</v>
      </c>
      <c r="AE272" s="8">
        <f t="shared" si="168"/>
        <v>5.1406154917710903E-2</v>
      </c>
      <c r="AF272" s="8">
        <f t="shared" si="169"/>
        <v>7.4621046781514655E-2</v>
      </c>
      <c r="AG272" s="8">
        <f t="shared" si="170"/>
        <v>8.4390324185031979E-2</v>
      </c>
      <c r="AH272" s="8">
        <f t="shared" si="171"/>
        <v>5.3147924356926848E-2</v>
      </c>
      <c r="AI272" s="8">
        <f t="shared" si="172"/>
        <v>0.10696982236970053</v>
      </c>
      <c r="AJ272" s="8">
        <f t="shared" si="173"/>
        <v>6.3363582592507003E-2</v>
      </c>
      <c r="AK272" s="8">
        <f t="shared" si="174"/>
        <v>6.5877000065729011E-2</v>
      </c>
      <c r="AL272" s="9">
        <v>0</v>
      </c>
      <c r="AM272" s="17">
        <f t="shared" si="151"/>
        <v>22.635537438934861</v>
      </c>
      <c r="AN272" s="13">
        <f t="shared" si="152"/>
        <v>19.452923518609076</v>
      </c>
      <c r="AO272" s="13">
        <f t="shared" si="153"/>
        <v>13.401044921387017</v>
      </c>
      <c r="AP272" s="13">
        <f t="shared" si="154"/>
        <v>11.84969970973718</v>
      </c>
      <c r="AQ272" s="13">
        <f t="shared" si="155"/>
        <v>18.815410236611967</v>
      </c>
      <c r="AR272" s="13">
        <f t="shared" si="156"/>
        <v>9.3484309672299926</v>
      </c>
      <c r="AS272" s="13">
        <f t="shared" si="157"/>
        <v>15.781935917844613</v>
      </c>
      <c r="AT272" s="13">
        <f t="shared" si="158"/>
        <v>15.179804772564726</v>
      </c>
      <c r="AU272" s="9">
        <v>0</v>
      </c>
      <c r="AV272" s="18">
        <f t="shared" si="175"/>
        <v>1</v>
      </c>
      <c r="AW272" s="18">
        <f t="shared" si="176"/>
        <v>2</v>
      </c>
      <c r="AX272" s="18">
        <f t="shared" si="177"/>
        <v>6</v>
      </c>
      <c r="AY272" s="18">
        <f t="shared" si="178"/>
        <v>7</v>
      </c>
      <c r="AZ272" s="18">
        <f t="shared" si="179"/>
        <v>3</v>
      </c>
      <c r="BA272" s="18">
        <f t="shared" si="180"/>
        <v>8</v>
      </c>
      <c r="BB272" s="18">
        <f t="shared" si="181"/>
        <v>4</v>
      </c>
      <c r="BC272" s="18">
        <f t="shared" si="182"/>
        <v>5</v>
      </c>
      <c r="BD272" s="18">
        <f t="shared" si="183"/>
        <v>9</v>
      </c>
      <c r="BE272" s="8">
        <f t="shared" si="185"/>
        <v>-6.7615478743950101E-3</v>
      </c>
    </row>
    <row r="273" spans="1:57" x14ac:dyDescent="0.25">
      <c r="A273" t="str">
        <f t="shared" si="184"/>
        <v/>
      </c>
      <c r="B273" s="1">
        <v>43132</v>
      </c>
      <c r="C273" s="9">
        <f t="shared" si="159"/>
        <v>0.25048448947307878</v>
      </c>
      <c r="D273" s="9">
        <f t="shared" si="160"/>
        <v>0.2492762734919419</v>
      </c>
      <c r="E273" s="9">
        <f t="shared" si="161"/>
        <v>0</v>
      </c>
      <c r="F273" s="9">
        <f t="shared" si="162"/>
        <v>0</v>
      </c>
      <c r="G273" s="9">
        <f t="shared" si="163"/>
        <v>0.25280595738710215</v>
      </c>
      <c r="H273" s="9">
        <f t="shared" si="164"/>
        <v>0</v>
      </c>
      <c r="I273" s="9">
        <f t="shared" si="165"/>
        <v>0.2474332796478772</v>
      </c>
      <c r="J273" s="9">
        <f t="shared" si="166"/>
        <v>0</v>
      </c>
      <c r="K273" s="9">
        <v>0</v>
      </c>
      <c r="L273" s="8">
        <f>+VLOOKUP($B273,NIFTY_50!$B$3:$I$1238,8,0)</f>
        <v>-9.7935199542975582E-4</v>
      </c>
      <c r="M273" s="8">
        <f>+VLOOKUP($B273,NIFTY_BANK!$B$3:$I$41238,8,0)</f>
        <v>-5.7981442286093587E-3</v>
      </c>
      <c r="N273" s="8">
        <f>+VLOOKUP($B273,NIFTY_IT!$B$3:$I$1238,8,0)</f>
        <v>-1.6786792336597189E-3</v>
      </c>
      <c r="O273" s="8">
        <f>+VLOOKUP($B273,NIFTY_PHARMA!$B$3:$I$1238,8,0)</f>
        <v>-2.4086949572444616E-2</v>
      </c>
      <c r="P273" s="8">
        <f>+VLOOKUP($B273,NIFTY_FMCG!$B$3:$I$1238,8,0)</f>
        <v>8.2794822927456657E-3</v>
      </c>
      <c r="Q273" s="8">
        <f>+VLOOKUP($B273,NIFTY_METAL!$B$3:$I$1238,8,0)</f>
        <v>1.3650282228807598E-3</v>
      </c>
      <c r="R273" s="8">
        <f>+VLOOKUP($B273,NIFTY_ENERGY!$B$3:$I$1238,8,0)</f>
        <v>-1.3148654865970943E-2</v>
      </c>
      <c r="S273" s="8">
        <f>+VLOOKUP($B273,NIFTY_AUTO!$B$3:$I$1238,8,0)</f>
        <v>7.0358856001171421E-3</v>
      </c>
      <c r="T273" s="8">
        <v>0</v>
      </c>
      <c r="U273" s="8">
        <f>+VLOOKUP($B273,NIFTY_50!$B$63:$K$1238,10,0)</f>
        <v>5.4067242006161642E-2</v>
      </c>
      <c r="V273" s="8">
        <f>+VLOOKUP($B273,NIFTY_BANK!$B$63:$K$1238,10,0)</f>
        <v>6.4508244642888624E-2</v>
      </c>
      <c r="W273" s="8">
        <f>+VLOOKUP($B273,NIFTY_IT!$B$63:$K$1238,10,0)</f>
        <v>0.18615906824399131</v>
      </c>
      <c r="X273" s="8">
        <f>+VLOOKUP($B273,NIFTY_PHARMA!$B$63:$K$1238,10,0)</f>
        <v>-7.4327124245762599E-2</v>
      </c>
      <c r="Y273" s="8">
        <f>+VLOOKUP($B273,NIFTY_FMCG!$B$63:$K$1238,10,0)</f>
        <v>5.9252030253389654E-2</v>
      </c>
      <c r="Z273" s="8">
        <f>+VLOOKUP($B273,NIFTY_METAL!$B$63:$K$1238,10,0)</f>
        <v>3.0277725058518445E-2</v>
      </c>
      <c r="AA273" s="8">
        <f>+VLOOKUP($B273,NIFTY_ENERGY!$B$63:$K$1238,10,0)</f>
        <v>-1.0331094582593181E-2</v>
      </c>
      <c r="AB273" s="8">
        <f>+VLOOKUP($B273,NIFTY_AUTO!$B$63:$K$1238,10,0)</f>
        <v>2.0099099727824754E-2</v>
      </c>
      <c r="AC273" s="8"/>
      <c r="AD273" s="16">
        <f t="shared" si="167"/>
        <v>4.4207434651439323E-2</v>
      </c>
      <c r="AE273" s="8">
        <f t="shared" si="168"/>
        <v>5.1694883936263036E-2</v>
      </c>
      <c r="AF273" s="8">
        <f t="shared" si="169"/>
        <v>7.4564234287222877E-2</v>
      </c>
      <c r="AG273" s="8">
        <f t="shared" si="170"/>
        <v>8.7486648397305911E-2</v>
      </c>
      <c r="AH273" s="8">
        <f t="shared" si="171"/>
        <v>5.3655566408266471E-2</v>
      </c>
      <c r="AI273" s="8">
        <f t="shared" si="172"/>
        <v>0.10693616286181006</v>
      </c>
      <c r="AJ273" s="8">
        <f t="shared" si="173"/>
        <v>6.4320341740960157E-2</v>
      </c>
      <c r="AK273" s="8">
        <f t="shared" si="174"/>
        <v>6.4958745666778284E-2</v>
      </c>
      <c r="AL273" s="9">
        <v>0</v>
      </c>
      <c r="AM273" s="17">
        <f t="shared" si="151"/>
        <v>22.620629491049684</v>
      </c>
      <c r="AN273" s="13">
        <f t="shared" si="152"/>
        <v>19.344274014290182</v>
      </c>
      <c r="AO273" s="13">
        <f t="shared" si="153"/>
        <v>13.411255537715046</v>
      </c>
      <c r="AP273" s="13">
        <f t="shared" si="154"/>
        <v>11.430315577511532</v>
      </c>
      <c r="AQ273" s="13">
        <f t="shared" si="155"/>
        <v>18.637395277704766</v>
      </c>
      <c r="AR273" s="13">
        <f t="shared" si="156"/>
        <v>9.3513735039498833</v>
      </c>
      <c r="AS273" s="13">
        <f t="shared" si="157"/>
        <v>15.547181077291837</v>
      </c>
      <c r="AT273" s="13">
        <f t="shared" si="158"/>
        <v>15.394385925026073</v>
      </c>
      <c r="AU273" s="9">
        <v>0</v>
      </c>
      <c r="AV273" s="18">
        <f t="shared" si="175"/>
        <v>1</v>
      </c>
      <c r="AW273" s="18">
        <f t="shared" si="176"/>
        <v>2</v>
      </c>
      <c r="AX273" s="18">
        <f t="shared" si="177"/>
        <v>6</v>
      </c>
      <c r="AY273" s="18">
        <f t="shared" si="178"/>
        <v>7</v>
      </c>
      <c r="AZ273" s="18">
        <f t="shared" si="179"/>
        <v>3</v>
      </c>
      <c r="BA273" s="18">
        <f t="shared" si="180"/>
        <v>8</v>
      </c>
      <c r="BB273" s="18">
        <f t="shared" si="181"/>
        <v>4</v>
      </c>
      <c r="BC273" s="18">
        <f t="shared" si="182"/>
        <v>5</v>
      </c>
      <c r="BD273" s="18">
        <f t="shared" si="183"/>
        <v>9</v>
      </c>
      <c r="BE273" s="8">
        <f t="shared" si="185"/>
        <v>-2.9116671993160981E-3</v>
      </c>
    </row>
    <row r="274" spans="1:57" x14ac:dyDescent="0.25">
      <c r="A274" t="str">
        <f t="shared" si="184"/>
        <v/>
      </c>
      <c r="B274" s="1">
        <v>43133</v>
      </c>
      <c r="C274" s="9">
        <f t="shared" si="159"/>
        <v>0.25040087949937301</v>
      </c>
      <c r="D274" s="9">
        <f t="shared" si="160"/>
        <v>0.24791576451719632</v>
      </c>
      <c r="E274" s="9">
        <f t="shared" si="161"/>
        <v>0</v>
      </c>
      <c r="F274" s="9">
        <f t="shared" si="162"/>
        <v>0</v>
      </c>
      <c r="G274" s="9">
        <f t="shared" si="163"/>
        <v>0.25711581171808623</v>
      </c>
      <c r="H274" s="9">
        <f t="shared" si="164"/>
        <v>0</v>
      </c>
      <c r="I274" s="9">
        <f t="shared" si="165"/>
        <v>0.24456754426534452</v>
      </c>
      <c r="J274" s="9">
        <f t="shared" si="166"/>
        <v>0</v>
      </c>
      <c r="K274" s="9">
        <v>0</v>
      </c>
      <c r="L274" s="8">
        <f>+VLOOKUP($B274,NIFTY_50!$B$3:$I$1238,8,0)</f>
        <v>-2.326425764053397E-2</v>
      </c>
      <c r="M274" s="8">
        <f>+VLOOKUP($B274,NIFTY_BANK!$B$3:$I$41238,8,0)</f>
        <v>-2.8270764528465442E-2</v>
      </c>
      <c r="N274" s="8">
        <f>+VLOOKUP($B274,NIFTY_IT!$B$3:$I$1238,8,0)</f>
        <v>1.4655292103111783E-3</v>
      </c>
      <c r="O274" s="8">
        <f>+VLOOKUP($B274,NIFTY_PHARMA!$B$3:$I$1238,8,0)</f>
        <v>-1.2660093681417739E-2</v>
      </c>
      <c r="P274" s="8">
        <f>+VLOOKUP($B274,NIFTY_FMCG!$B$3:$I$1238,8,0)</f>
        <v>-6.2810993020595562E-3</v>
      </c>
      <c r="Q274" s="8">
        <f>+VLOOKUP($B274,NIFTY_METAL!$B$3:$I$1238,8,0)</f>
        <v>-3.0235299896841372E-2</v>
      </c>
      <c r="R274" s="8">
        <f>+VLOOKUP($B274,NIFTY_ENERGY!$B$3:$I$1238,8,0)</f>
        <v>-3.4254306325759432E-2</v>
      </c>
      <c r="S274" s="8">
        <f>+VLOOKUP($B274,NIFTY_AUTO!$B$3:$I$1238,8,0)</f>
        <v>-3.3492679756447985E-2</v>
      </c>
      <c r="T274" s="8">
        <v>0</v>
      </c>
      <c r="U274" s="8">
        <f>+VLOOKUP($B274,NIFTY_50!$B$63:$K$1238,10,0)</f>
        <v>3.9656430100046824E-2</v>
      </c>
      <c r="V274" s="8">
        <f>+VLOOKUP($B274,NIFTY_BANK!$B$63:$K$1238,10,0)</f>
        <v>4.5466941756782564E-2</v>
      </c>
      <c r="W274" s="8">
        <f>+VLOOKUP($B274,NIFTY_IT!$B$63:$K$1238,10,0)</f>
        <v>0.16214498617090789</v>
      </c>
      <c r="X274" s="8">
        <f>+VLOOKUP($B274,NIFTY_PHARMA!$B$63:$K$1238,10,0)</f>
        <v>-4.5090947490694089E-2</v>
      </c>
      <c r="Y274" s="8">
        <f>+VLOOKUP($B274,NIFTY_FMCG!$B$63:$K$1238,10,0)</f>
        <v>5.50891950801502E-2</v>
      </c>
      <c r="Z274" s="8">
        <f>+VLOOKUP($B274,NIFTY_METAL!$B$63:$K$1238,10,0)</f>
        <v>1.6149579853560025E-2</v>
      </c>
      <c r="AA274" s="8">
        <f>+VLOOKUP($B274,NIFTY_ENERGY!$B$63:$K$1238,10,0)</f>
        <v>-2.524403748925319E-2</v>
      </c>
      <c r="AB274" s="8">
        <f>+VLOOKUP($B274,NIFTY_AUTO!$B$63:$K$1238,10,0)</f>
        <v>-2.6297791603238085E-3</v>
      </c>
      <c r="AC274" s="8"/>
      <c r="AD274" s="16">
        <f t="shared" si="167"/>
        <v>4.9211264139626974E-2</v>
      </c>
      <c r="AE274" s="8">
        <f t="shared" si="168"/>
        <v>5.8238765363683699E-2</v>
      </c>
      <c r="AF274" s="8">
        <f t="shared" si="169"/>
        <v>7.1984573545157499E-2</v>
      </c>
      <c r="AG274" s="8">
        <f t="shared" si="170"/>
        <v>7.7668597642690101E-2</v>
      </c>
      <c r="AH274" s="8">
        <f t="shared" si="171"/>
        <v>5.4038285599534844E-2</v>
      </c>
      <c r="AI274" s="8">
        <f t="shared" si="172"/>
        <v>0.1099164126071151</v>
      </c>
      <c r="AJ274" s="8">
        <f t="shared" si="173"/>
        <v>7.0167078608527292E-2</v>
      </c>
      <c r="AK274" s="8">
        <f t="shared" si="174"/>
        <v>7.2234588692073498E-2</v>
      </c>
      <c r="AL274" s="9">
        <v>0</v>
      </c>
      <c r="AM274" s="17">
        <f t="shared" si="151"/>
        <v>20.320550944651675</v>
      </c>
      <c r="AN274" s="13">
        <f t="shared" si="152"/>
        <v>17.170693673797832</v>
      </c>
      <c r="AO274" s="13">
        <f t="shared" si="153"/>
        <v>13.891865308789781</v>
      </c>
      <c r="AP274" s="13">
        <f t="shared" si="154"/>
        <v>12.875216372522164</v>
      </c>
      <c r="AQ274" s="13">
        <f t="shared" si="155"/>
        <v>18.505398328340156</v>
      </c>
      <c r="AR274" s="13">
        <f t="shared" si="156"/>
        <v>9.0978223932252682</v>
      </c>
      <c r="AS274" s="13">
        <f t="shared" si="157"/>
        <v>14.251697802314826</v>
      </c>
      <c r="AT274" s="13">
        <f t="shared" si="158"/>
        <v>13.843783402199019</v>
      </c>
      <c r="AU274" s="9">
        <v>0</v>
      </c>
      <c r="AV274" s="18">
        <f t="shared" si="175"/>
        <v>1</v>
      </c>
      <c r="AW274" s="18">
        <f t="shared" si="176"/>
        <v>3</v>
      </c>
      <c r="AX274" s="18">
        <f t="shared" si="177"/>
        <v>5</v>
      </c>
      <c r="AY274" s="18">
        <f t="shared" si="178"/>
        <v>7</v>
      </c>
      <c r="AZ274" s="18">
        <f t="shared" si="179"/>
        <v>2</v>
      </c>
      <c r="BA274" s="18">
        <f t="shared" si="180"/>
        <v>8</v>
      </c>
      <c r="BB274" s="18">
        <f t="shared" si="181"/>
        <v>4</v>
      </c>
      <c r="BC274" s="18">
        <f t="shared" si="182"/>
        <v>6</v>
      </c>
      <c r="BD274" s="18">
        <f t="shared" si="183"/>
        <v>9</v>
      </c>
      <c r="BE274" s="8">
        <f t="shared" si="185"/>
        <v>-2.2938121207229673E-2</v>
      </c>
    </row>
    <row r="275" spans="1:57" x14ac:dyDescent="0.25">
      <c r="A275" t="str">
        <f t="shared" si="184"/>
        <v/>
      </c>
      <c r="B275" s="1">
        <v>43136</v>
      </c>
      <c r="C275" s="9">
        <f t="shared" si="159"/>
        <v>0.24959501183871777</v>
      </c>
      <c r="D275" s="9">
        <f t="shared" si="160"/>
        <v>0.24597550378659572</v>
      </c>
      <c r="E275" s="9">
        <f t="shared" si="161"/>
        <v>0</v>
      </c>
      <c r="F275" s="9">
        <f t="shared" si="162"/>
        <v>0</v>
      </c>
      <c r="G275" s="9">
        <f t="shared" si="163"/>
        <v>0.25865844421890843</v>
      </c>
      <c r="H275" s="9">
        <f t="shared" si="164"/>
        <v>0</v>
      </c>
      <c r="I275" s="9">
        <f t="shared" si="165"/>
        <v>0.24577104015577814</v>
      </c>
      <c r="J275" s="9">
        <f t="shared" si="166"/>
        <v>0</v>
      </c>
      <c r="K275" s="9">
        <v>0</v>
      </c>
      <c r="L275" s="8">
        <f>+VLOOKUP($B275,NIFTY_50!$B$3:$I$1238,8,0)</f>
        <v>-8.7402189468990255E-3</v>
      </c>
      <c r="M275" s="8">
        <f>+VLOOKUP($B275,NIFTY_BANK!$B$3:$I$41238,8,0)</f>
        <v>-1.3322672171153238E-2</v>
      </c>
      <c r="N275" s="8">
        <f>+VLOOKUP($B275,NIFTY_IT!$B$3:$I$1238,8,0)</f>
        <v>-3.5968452509319571E-3</v>
      </c>
      <c r="O275" s="8">
        <f>+VLOOKUP($B275,NIFTY_PHARMA!$B$3:$I$1238,8,0)</f>
        <v>2.9581709103978504E-3</v>
      </c>
      <c r="P275" s="8">
        <f>+VLOOKUP($B275,NIFTY_FMCG!$B$3:$I$1238,8,0)</f>
        <v>4.2678283008523721E-4</v>
      </c>
      <c r="Q275" s="8">
        <f>+VLOOKUP($B275,NIFTY_METAL!$B$3:$I$1238,8,0)</f>
        <v>-5.5086999468125786E-3</v>
      </c>
      <c r="R275" s="8">
        <f>+VLOOKUP($B275,NIFTY_ENERGY!$B$3:$I$1238,8,0)</f>
        <v>-6.4608393283627219E-4</v>
      </c>
      <c r="S275" s="8">
        <f>+VLOOKUP($B275,NIFTY_AUTO!$B$3:$I$1238,8,0)</f>
        <v>7.4721618835686954E-3</v>
      </c>
      <c r="T275" s="8">
        <v>0</v>
      </c>
      <c r="U275" s="8">
        <f>+VLOOKUP($B275,NIFTY_50!$B$63:$K$1238,10,0)</f>
        <v>3.5270766707269141E-2</v>
      </c>
      <c r="V275" s="8">
        <f>+VLOOKUP($B275,NIFTY_BANK!$B$63:$K$1238,10,0)</f>
        <v>3.630826286959965E-2</v>
      </c>
      <c r="W275" s="8">
        <f>+VLOOKUP($B275,NIFTY_IT!$B$63:$K$1238,10,0)</f>
        <v>0.150365911132057</v>
      </c>
      <c r="X275" s="8">
        <f>+VLOOKUP($B275,NIFTY_PHARMA!$B$63:$K$1238,10,0)</f>
        <v>-4.4808029531487881E-2</v>
      </c>
      <c r="Y275" s="8">
        <f>+VLOOKUP($B275,NIFTY_FMCG!$B$63:$K$1238,10,0)</f>
        <v>5.6343198783280757E-2</v>
      </c>
      <c r="Z275" s="8">
        <f>+VLOOKUP($B275,NIFTY_METAL!$B$63:$K$1238,10,0)</f>
        <v>2.4673799582463518E-2</v>
      </c>
      <c r="AA275" s="8">
        <f>+VLOOKUP($B275,NIFTY_ENERGY!$B$63:$K$1238,10,0)</f>
        <v>-1.1886304909560774E-2</v>
      </c>
      <c r="AB275" s="8">
        <f>+VLOOKUP($B275,NIFTY_AUTO!$B$63:$K$1238,10,0)</f>
        <v>1.1755715694724556E-2</v>
      </c>
      <c r="AC275" s="8"/>
      <c r="AD275" s="16">
        <f t="shared" si="167"/>
        <v>4.9827237827980431E-2</v>
      </c>
      <c r="AE275" s="8">
        <f t="shared" si="168"/>
        <v>5.9665907903184059E-2</v>
      </c>
      <c r="AF275" s="8">
        <f t="shared" si="169"/>
        <v>7.2114922033281889E-2</v>
      </c>
      <c r="AG275" s="8">
        <f t="shared" si="170"/>
        <v>7.7682036188245623E-2</v>
      </c>
      <c r="AH275" s="8">
        <f t="shared" si="171"/>
        <v>5.4014541505759898E-2</v>
      </c>
      <c r="AI275" s="8">
        <f t="shared" si="172"/>
        <v>0.10915547720753981</v>
      </c>
      <c r="AJ275" s="8">
        <f t="shared" si="173"/>
        <v>6.8779973324721522E-2</v>
      </c>
      <c r="AK275" s="8">
        <f t="shared" si="174"/>
        <v>7.227283422069658E-2</v>
      </c>
      <c r="AL275" s="9">
        <v>0</v>
      </c>
      <c r="AM275" s="17">
        <f t="shared" si="151"/>
        <v>20.069344470835812</v>
      </c>
      <c r="AN275" s="13">
        <f t="shared" si="152"/>
        <v>16.759989668180935</v>
      </c>
      <c r="AO275" s="13">
        <f t="shared" si="153"/>
        <v>13.866755614579853</v>
      </c>
      <c r="AP275" s="13">
        <f t="shared" si="154"/>
        <v>12.872989034127738</v>
      </c>
      <c r="AQ275" s="13">
        <f t="shared" si="155"/>
        <v>18.513533062080402</v>
      </c>
      <c r="AR275" s="13">
        <f t="shared" si="156"/>
        <v>9.1612443606350329</v>
      </c>
      <c r="AS275" s="13">
        <f t="shared" si="157"/>
        <v>14.539115845230649</v>
      </c>
      <c r="AT275" s="13">
        <f t="shared" si="158"/>
        <v>13.836457512463689</v>
      </c>
      <c r="AU275" s="9">
        <v>0</v>
      </c>
      <c r="AV275" s="18">
        <f t="shared" si="175"/>
        <v>1</v>
      </c>
      <c r="AW275" s="18">
        <f t="shared" si="176"/>
        <v>3</v>
      </c>
      <c r="AX275" s="18">
        <f t="shared" si="177"/>
        <v>5</v>
      </c>
      <c r="AY275" s="18">
        <f t="shared" si="178"/>
        <v>7</v>
      </c>
      <c r="AZ275" s="18">
        <f t="shared" si="179"/>
        <v>2</v>
      </c>
      <c r="BA275" s="18">
        <f t="shared" si="180"/>
        <v>8</v>
      </c>
      <c r="BB275" s="18">
        <f t="shared" si="181"/>
        <v>4</v>
      </c>
      <c r="BC275" s="18">
        <f t="shared" si="182"/>
        <v>6</v>
      </c>
      <c r="BD275" s="18">
        <f t="shared" si="183"/>
        <v>9</v>
      </c>
      <c r="BE275" s="8">
        <f t="shared" si="185"/>
        <v>-5.5397375151023864E-3</v>
      </c>
    </row>
    <row r="276" spans="1:57" x14ac:dyDescent="0.25">
      <c r="A276" t="str">
        <f t="shared" si="184"/>
        <v/>
      </c>
      <c r="B276" s="1">
        <v>43137</v>
      </c>
      <c r="C276" s="9">
        <f t="shared" si="159"/>
        <v>0.24935905354060642</v>
      </c>
      <c r="D276" s="9">
        <f t="shared" si="160"/>
        <v>0.2469325447456075</v>
      </c>
      <c r="E276" s="9">
        <f t="shared" si="161"/>
        <v>0</v>
      </c>
      <c r="F276" s="9">
        <f t="shared" si="162"/>
        <v>0</v>
      </c>
      <c r="G276" s="9">
        <f t="shared" si="163"/>
        <v>0.25754430742311923</v>
      </c>
      <c r="H276" s="9">
        <f t="shared" si="164"/>
        <v>0</v>
      </c>
      <c r="I276" s="9">
        <f t="shared" si="165"/>
        <v>0.24616409429066677</v>
      </c>
      <c r="J276" s="9">
        <f t="shared" si="166"/>
        <v>0</v>
      </c>
      <c r="K276" s="9">
        <v>0</v>
      </c>
      <c r="L276" s="8">
        <f>+VLOOKUP($B276,NIFTY_50!$B$3:$I$1238,8,0)</f>
        <v>-1.5778297575129607E-2</v>
      </c>
      <c r="M276" s="8">
        <f>+VLOOKUP($B276,NIFTY_BANK!$B$3:$I$41238,8,0)</f>
        <v>-1.101393744911161E-2</v>
      </c>
      <c r="N276" s="8">
        <f>+VLOOKUP($B276,NIFTY_IT!$B$3:$I$1238,8,0)</f>
        <v>-2.8952067342253529E-2</v>
      </c>
      <c r="O276" s="8">
        <f>+VLOOKUP($B276,NIFTY_PHARMA!$B$3:$I$1238,8,0)</f>
        <v>-2.1858977892937892E-2</v>
      </c>
      <c r="P276" s="8">
        <f>+VLOOKUP($B276,NIFTY_FMCG!$B$3:$I$1238,8,0)</f>
        <v>-1.909038419811937E-2</v>
      </c>
      <c r="Q276" s="8">
        <f>+VLOOKUP($B276,NIFTY_METAL!$B$3:$I$1238,8,0)</f>
        <v>-1.6439367892934098E-2</v>
      </c>
      <c r="R276" s="8">
        <f>+VLOOKUP($B276,NIFTY_ENERGY!$B$3:$I$1238,8,0)</f>
        <v>-1.3271443514644266E-2</v>
      </c>
      <c r="S276" s="8">
        <f>+VLOOKUP($B276,NIFTY_AUTO!$B$3:$I$1238,8,0)</f>
        <v>-1.7977587297126285E-2</v>
      </c>
      <c r="T276" s="8">
        <v>0</v>
      </c>
      <c r="U276" s="8">
        <f>+VLOOKUP($B276,NIFTY_50!$B$63:$K$1238,10,0)</f>
        <v>1.8362684851512379E-2</v>
      </c>
      <c r="V276" s="8">
        <f>+VLOOKUP($B276,NIFTY_BANK!$B$63:$K$1238,10,0)</f>
        <v>2.0558412263481429E-2</v>
      </c>
      <c r="W276" s="8">
        <f>+VLOOKUP($B276,NIFTY_IT!$B$63:$K$1238,10,0)</f>
        <v>0.11680720454818205</v>
      </c>
      <c r="X276" s="8">
        <f>+VLOOKUP($B276,NIFTY_PHARMA!$B$63:$K$1238,10,0)</f>
        <v>-5.9835626891059146E-2</v>
      </c>
      <c r="Y276" s="8">
        <f>+VLOOKUP($B276,NIFTY_FMCG!$B$63:$K$1238,10,0)</f>
        <v>3.6789414661735131E-2</v>
      </c>
      <c r="Z276" s="8">
        <f>+VLOOKUP($B276,NIFTY_METAL!$B$63:$K$1238,10,0)</f>
        <v>3.1820248068057388E-3</v>
      </c>
      <c r="AA276" s="8">
        <f>+VLOOKUP($B276,NIFTY_ENERGY!$B$63:$K$1238,10,0)</f>
        <v>-3.0476707088154087E-2</v>
      </c>
      <c r="AB276" s="8">
        <f>+VLOOKUP($B276,NIFTY_AUTO!$B$63:$K$1238,10,0)</f>
        <v>-5.4080498109850828E-3</v>
      </c>
      <c r="AC276" s="8"/>
      <c r="AD276" s="16">
        <f t="shared" si="167"/>
        <v>5.2404753804073223E-2</v>
      </c>
      <c r="AE276" s="8">
        <f t="shared" si="168"/>
        <v>6.0648201111184546E-2</v>
      </c>
      <c r="AF276" s="8">
        <f t="shared" si="169"/>
        <v>7.8494648115652738E-2</v>
      </c>
      <c r="AG276" s="8">
        <f t="shared" si="170"/>
        <v>8.02970726309052E-2</v>
      </c>
      <c r="AH276" s="8">
        <f t="shared" si="171"/>
        <v>5.7534333344765681E-2</v>
      </c>
      <c r="AI276" s="8">
        <f t="shared" si="172"/>
        <v>0.11035123040753764</v>
      </c>
      <c r="AJ276" s="8">
        <f t="shared" si="173"/>
        <v>6.9735906653349569E-2</v>
      </c>
      <c r="AK276" s="8">
        <f t="shared" si="174"/>
        <v>7.4489793481394936E-2</v>
      </c>
      <c r="AL276" s="9">
        <v>0</v>
      </c>
      <c r="AM276" s="17">
        <f t="shared" si="151"/>
        <v>19.082238297287329</v>
      </c>
      <c r="AN276" s="13">
        <f t="shared" si="152"/>
        <v>16.488535219152332</v>
      </c>
      <c r="AO276" s="13">
        <f t="shared" si="153"/>
        <v>12.73972205756775</v>
      </c>
      <c r="AP276" s="13">
        <f t="shared" si="154"/>
        <v>12.453754131194993</v>
      </c>
      <c r="AQ276" s="13">
        <f t="shared" si="155"/>
        <v>17.38092616816559</v>
      </c>
      <c r="AR276" s="13">
        <f t="shared" si="156"/>
        <v>9.0619741737985571</v>
      </c>
      <c r="AS276" s="13">
        <f t="shared" si="157"/>
        <v>14.339814996181278</v>
      </c>
      <c r="AT276" s="13">
        <f t="shared" si="158"/>
        <v>13.424657973441242</v>
      </c>
      <c r="AU276" s="9">
        <v>0</v>
      </c>
      <c r="AV276" s="18">
        <f t="shared" si="175"/>
        <v>1</v>
      </c>
      <c r="AW276" s="18">
        <f t="shared" si="176"/>
        <v>3</v>
      </c>
      <c r="AX276" s="18">
        <f t="shared" si="177"/>
        <v>6</v>
      </c>
      <c r="AY276" s="18">
        <f t="shared" si="178"/>
        <v>7</v>
      </c>
      <c r="AZ276" s="18">
        <f t="shared" si="179"/>
        <v>2</v>
      </c>
      <c r="BA276" s="18">
        <f t="shared" si="180"/>
        <v>8</v>
      </c>
      <c r="BB276" s="18">
        <f t="shared" si="181"/>
        <v>4</v>
      </c>
      <c r="BC276" s="18">
        <f t="shared" si="182"/>
        <v>5</v>
      </c>
      <c r="BD276" s="18">
        <f t="shared" si="183"/>
        <v>9</v>
      </c>
      <c r="BE276" s="8">
        <f t="shared" si="185"/>
        <v>-1.4846968735968136E-2</v>
      </c>
    </row>
    <row r="277" spans="1:57" x14ac:dyDescent="0.25">
      <c r="A277" t="str">
        <f t="shared" si="184"/>
        <v/>
      </c>
      <c r="B277" s="1">
        <v>43138</v>
      </c>
      <c r="C277" s="9">
        <f t="shared" si="159"/>
        <v>0.24860757176939083</v>
      </c>
      <c r="D277" s="9">
        <f t="shared" si="160"/>
        <v>0.24534427901909428</v>
      </c>
      <c r="E277" s="9">
        <f t="shared" si="161"/>
        <v>0</v>
      </c>
      <c r="F277" s="9">
        <f t="shared" si="162"/>
        <v>0</v>
      </c>
      <c r="G277" s="9">
        <f t="shared" si="163"/>
        <v>0.25788426829161831</v>
      </c>
      <c r="H277" s="9">
        <f t="shared" si="164"/>
        <v>0</v>
      </c>
      <c r="I277" s="9">
        <f t="shared" si="165"/>
        <v>0.24816388091989663</v>
      </c>
      <c r="J277" s="9">
        <f t="shared" si="166"/>
        <v>0</v>
      </c>
      <c r="K277" s="9">
        <v>0</v>
      </c>
      <c r="L277" s="8">
        <f>+VLOOKUP($B277,NIFTY_50!$B$3:$I$1238,8,0)</f>
        <v>-2.052723072893059E-3</v>
      </c>
      <c r="M277" s="8">
        <f>+VLOOKUP($B277,NIFTY_BANK!$B$3:$I$41238,8,0)</f>
        <v>-5.474346507149952E-3</v>
      </c>
      <c r="N277" s="8">
        <f>+VLOOKUP($B277,NIFTY_IT!$B$3:$I$1238,8,0)</f>
        <v>-8.9394102218136595E-3</v>
      </c>
      <c r="O277" s="8">
        <f>+VLOOKUP($B277,NIFTY_PHARMA!$B$3:$I$1238,8,0)</f>
        <v>7.2763139354656836E-3</v>
      </c>
      <c r="P277" s="8">
        <f>+VLOOKUP($B277,NIFTY_FMCG!$B$3:$I$1238,8,0)</f>
        <v>2.2851165615651592E-3</v>
      </c>
      <c r="Q277" s="8">
        <f>+VLOOKUP($B277,NIFTY_METAL!$B$3:$I$1238,8,0)</f>
        <v>4.5960642154323494E-3</v>
      </c>
      <c r="R277" s="8">
        <f>+VLOOKUP($B277,NIFTY_ENERGY!$B$3:$I$1238,8,0)</f>
        <v>9.0954599998527286E-3</v>
      </c>
      <c r="S277" s="8">
        <f>+VLOOKUP($B277,NIFTY_AUTO!$B$3:$I$1238,8,0)</f>
        <v>2.9557222962517393E-3</v>
      </c>
      <c r="T277" s="8">
        <v>0</v>
      </c>
      <c r="U277" s="8">
        <f>+VLOOKUP($B277,NIFTY_50!$B$63:$K$1238,10,0)</f>
        <v>1.501198924600966E-2</v>
      </c>
      <c r="V277" s="8">
        <f>+VLOOKUP($B277,NIFTY_BANK!$B$63:$K$1238,10,0)</f>
        <v>6.7081193539342276E-3</v>
      </c>
      <c r="W277" s="8">
        <f>+VLOOKUP($B277,NIFTY_IT!$B$63:$K$1238,10,0)</f>
        <v>0.10937799341504384</v>
      </c>
      <c r="X277" s="8">
        <f>+VLOOKUP($B277,NIFTY_PHARMA!$B$63:$K$1238,10,0)</f>
        <v>-4.0347956827578857E-2</v>
      </c>
      <c r="Y277" s="8">
        <f>+VLOOKUP($B277,NIFTY_FMCG!$B$63:$K$1238,10,0)</f>
        <v>3.1365075200950665E-2</v>
      </c>
      <c r="Z277" s="8">
        <f>+VLOOKUP($B277,NIFTY_METAL!$B$63:$K$1238,10,0)</f>
        <v>3.6345293219857133E-3</v>
      </c>
      <c r="AA277" s="8">
        <f>+VLOOKUP($B277,NIFTY_ENERGY!$B$63:$K$1238,10,0)</f>
        <v>-1.1224243211172324E-2</v>
      </c>
      <c r="AB277" s="8">
        <f>+VLOOKUP($B277,NIFTY_AUTO!$B$63:$K$1238,10,0)</f>
        <v>2.6149926243796973E-3</v>
      </c>
      <c r="AC277" s="8"/>
      <c r="AD277" s="16">
        <f t="shared" si="167"/>
        <v>5.2448707400769748E-2</v>
      </c>
      <c r="AE277" s="8">
        <f t="shared" si="168"/>
        <v>6.0396077080440161E-2</v>
      </c>
      <c r="AF277" s="8">
        <f t="shared" si="169"/>
        <v>7.9120337933468801E-2</v>
      </c>
      <c r="AG277" s="8">
        <f t="shared" si="170"/>
        <v>7.974476954231087E-2</v>
      </c>
      <c r="AH277" s="8">
        <f t="shared" si="171"/>
        <v>5.7134900798191571E-2</v>
      </c>
      <c r="AI277" s="8">
        <f t="shared" si="172"/>
        <v>0.11036852553180813</v>
      </c>
      <c r="AJ277" s="8">
        <f t="shared" si="173"/>
        <v>6.9616773107159496E-2</v>
      </c>
      <c r="AK277" s="8">
        <f t="shared" si="174"/>
        <v>7.4373393761708914E-2</v>
      </c>
      <c r="AL277" s="9">
        <v>0</v>
      </c>
      <c r="AM277" s="17">
        <f t="shared" si="151"/>
        <v>19.066246806786392</v>
      </c>
      <c r="AN277" s="13">
        <f t="shared" si="152"/>
        <v>16.557366775132145</v>
      </c>
      <c r="AO277" s="13">
        <f t="shared" si="153"/>
        <v>12.6389753395756</v>
      </c>
      <c r="AP277" s="13">
        <f t="shared" si="154"/>
        <v>12.540007397844713</v>
      </c>
      <c r="AQ277" s="13">
        <f t="shared" si="155"/>
        <v>17.502436969867844</v>
      </c>
      <c r="AR277" s="13">
        <f t="shared" si="156"/>
        <v>9.060554131547228</v>
      </c>
      <c r="AS277" s="13">
        <f t="shared" si="157"/>
        <v>14.364354384262008</v>
      </c>
      <c r="AT277" s="13">
        <f t="shared" si="158"/>
        <v>13.445668530388474</v>
      </c>
      <c r="AU277" s="9">
        <v>0</v>
      </c>
      <c r="AV277" s="18">
        <f t="shared" si="175"/>
        <v>1</v>
      </c>
      <c r="AW277" s="18">
        <f t="shared" si="176"/>
        <v>3</v>
      </c>
      <c r="AX277" s="18">
        <f t="shared" si="177"/>
        <v>6</v>
      </c>
      <c r="AY277" s="18">
        <f t="shared" si="178"/>
        <v>7</v>
      </c>
      <c r="AZ277" s="18">
        <f t="shared" si="179"/>
        <v>2</v>
      </c>
      <c r="BA277" s="18">
        <f t="shared" si="180"/>
        <v>8</v>
      </c>
      <c r="BB277" s="18">
        <f t="shared" si="181"/>
        <v>4</v>
      </c>
      <c r="BC277" s="18">
        <f t="shared" si="182"/>
        <v>5</v>
      </c>
      <c r="BD277" s="18">
        <f t="shared" si="183"/>
        <v>9</v>
      </c>
      <c r="BE277" s="8">
        <f t="shared" si="185"/>
        <v>9.6383503878278917E-4</v>
      </c>
    </row>
    <row r="278" spans="1:57" x14ac:dyDescent="0.25">
      <c r="A278" t="str">
        <f t="shared" si="184"/>
        <v/>
      </c>
      <c r="B278" s="1">
        <v>43139</v>
      </c>
      <c r="C278" s="9">
        <f t="shared" si="159"/>
        <v>0.24957544397978187</v>
      </c>
      <c r="D278" s="9">
        <f t="shared" si="160"/>
        <v>0.24634946204122876</v>
      </c>
      <c r="E278" s="9">
        <f t="shared" si="161"/>
        <v>0</v>
      </c>
      <c r="F278" s="9">
        <f t="shared" si="162"/>
        <v>0</v>
      </c>
      <c r="G278" s="9">
        <f t="shared" si="163"/>
        <v>0.25694576988948864</v>
      </c>
      <c r="H278" s="9">
        <f t="shared" si="164"/>
        <v>0</v>
      </c>
      <c r="I278" s="9">
        <f t="shared" si="165"/>
        <v>0.24712932408950056</v>
      </c>
      <c r="J278" s="9">
        <f t="shared" si="166"/>
        <v>0</v>
      </c>
      <c r="K278" s="9">
        <v>0</v>
      </c>
      <c r="L278" s="8">
        <f>+VLOOKUP($B278,NIFTY_50!$B$3:$I$1238,8,0)</f>
        <v>9.5593077973026297E-3</v>
      </c>
      <c r="M278" s="8">
        <f>+VLOOKUP($B278,NIFTY_BANK!$B$3:$I$41238,8,0)</f>
        <v>9.7643163225555885E-3</v>
      </c>
      <c r="N278" s="8">
        <f>+VLOOKUP($B278,NIFTY_IT!$B$3:$I$1238,8,0)</f>
        <v>1.1108389122935325E-2</v>
      </c>
      <c r="O278" s="8">
        <f>+VLOOKUP($B278,NIFTY_PHARMA!$B$3:$I$1238,8,0)</f>
        <v>3.6555204906108196E-2</v>
      </c>
      <c r="P278" s="8">
        <f>+VLOOKUP($B278,NIFTY_FMCG!$B$3:$I$1238,8,0)</f>
        <v>1.9843978820619501E-3</v>
      </c>
      <c r="Q278" s="8">
        <f>+VLOOKUP($B278,NIFTY_METAL!$B$3:$I$1238,8,0)</f>
        <v>1.4614343707713084E-2</v>
      </c>
      <c r="R278" s="8">
        <f>+VLOOKUP($B278,NIFTY_ENERGY!$B$3:$I$1238,8,0)</f>
        <v>1.4517864633678546E-3</v>
      </c>
      <c r="S278" s="8">
        <f>+VLOOKUP($B278,NIFTY_AUTO!$B$3:$I$1238,8,0)</f>
        <v>1.1542834213870146E-2</v>
      </c>
      <c r="T278" s="8">
        <v>0</v>
      </c>
      <c r="U278" s="8">
        <f>+VLOOKUP($B278,NIFTY_50!$B$63:$K$1238,10,0)</f>
        <v>3.4415816214260264E-2</v>
      </c>
      <c r="V278" s="8">
        <f>+VLOOKUP($B278,NIFTY_BANK!$B$63:$K$1238,10,0)</f>
        <v>2.2176171115571686E-2</v>
      </c>
      <c r="W278" s="8">
        <f>+VLOOKUP($B278,NIFTY_IT!$B$63:$K$1238,10,0)</f>
        <v>0.12033872661575984</v>
      </c>
      <c r="X278" s="8">
        <f>+VLOOKUP($B278,NIFTY_PHARMA!$B$63:$K$1238,10,0)</f>
        <v>2.5544304756544012E-3</v>
      </c>
      <c r="Y278" s="8">
        <f>+VLOOKUP($B278,NIFTY_FMCG!$B$63:$K$1238,10,0)</f>
        <v>4.3725939433612249E-2</v>
      </c>
      <c r="Z278" s="8">
        <f>+VLOOKUP($B278,NIFTY_METAL!$B$63:$K$1238,10,0)</f>
        <v>3.7956493078444176E-2</v>
      </c>
      <c r="AA278" s="8">
        <f>+VLOOKUP($B278,NIFTY_ENERGY!$B$63:$K$1238,10,0)</f>
        <v>-7.2431590364785414E-4</v>
      </c>
      <c r="AB278" s="8">
        <f>+VLOOKUP($B278,NIFTY_AUTO!$B$63:$K$1238,10,0)</f>
        <v>1.8874533525536696E-2</v>
      </c>
      <c r="AC278" s="8"/>
      <c r="AD278" s="16">
        <f t="shared" si="167"/>
        <v>5.2328827385412467E-2</v>
      </c>
      <c r="AE278" s="8">
        <f t="shared" si="168"/>
        <v>6.086466824582322E-2</v>
      </c>
      <c r="AF278" s="8">
        <f t="shared" si="169"/>
        <v>7.9659497209018562E-2</v>
      </c>
      <c r="AG278" s="8">
        <f t="shared" si="170"/>
        <v>8.7507881355520442E-2</v>
      </c>
      <c r="AH278" s="8">
        <f t="shared" si="171"/>
        <v>5.6175764505978006E-2</v>
      </c>
      <c r="AI278" s="8">
        <f t="shared" si="172"/>
        <v>0.10957684954069898</v>
      </c>
      <c r="AJ278" s="8">
        <f t="shared" si="173"/>
        <v>6.9047501866283251E-2</v>
      </c>
      <c r="AK278" s="8">
        <f t="shared" si="174"/>
        <v>7.5075725499096149E-2</v>
      </c>
      <c r="AL278" s="9">
        <v>0</v>
      </c>
      <c r="AM278" s="17">
        <f t="shared" si="151"/>
        <v>19.109925636873083</v>
      </c>
      <c r="AN278" s="13">
        <f t="shared" si="152"/>
        <v>16.429893217542084</v>
      </c>
      <c r="AO278" s="13">
        <f t="shared" si="153"/>
        <v>12.553430978557396</v>
      </c>
      <c r="AP278" s="13">
        <f t="shared" si="154"/>
        <v>11.427542119746622</v>
      </c>
      <c r="AQ278" s="13">
        <f t="shared" si="155"/>
        <v>17.801270864655237</v>
      </c>
      <c r="AR278" s="13">
        <f t="shared" si="156"/>
        <v>9.1260152504072547</v>
      </c>
      <c r="AS278" s="13">
        <f t="shared" si="157"/>
        <v>14.482783199551385</v>
      </c>
      <c r="AT278" s="13">
        <f t="shared" si="158"/>
        <v>13.319884601208939</v>
      </c>
      <c r="AU278" s="9">
        <v>0</v>
      </c>
      <c r="AV278" s="18">
        <f t="shared" si="175"/>
        <v>1</v>
      </c>
      <c r="AW278" s="18">
        <f t="shared" si="176"/>
        <v>3</v>
      </c>
      <c r="AX278" s="18">
        <f t="shared" si="177"/>
        <v>6</v>
      </c>
      <c r="AY278" s="18">
        <f t="shared" si="178"/>
        <v>7</v>
      </c>
      <c r="AZ278" s="18">
        <f t="shared" si="179"/>
        <v>2</v>
      </c>
      <c r="BA278" s="18">
        <f t="shared" si="180"/>
        <v>8</v>
      </c>
      <c r="BB278" s="18">
        <f t="shared" si="181"/>
        <v>4</v>
      </c>
      <c r="BC278" s="18">
        <f t="shared" si="182"/>
        <v>5</v>
      </c>
      <c r="BD278" s="18">
        <f t="shared" si="183"/>
        <v>9</v>
      </c>
      <c r="BE278" s="8">
        <f t="shared" si="185"/>
        <v>5.6441614063867064E-3</v>
      </c>
    </row>
    <row r="279" spans="1:57" x14ac:dyDescent="0.25">
      <c r="A279" t="str">
        <f t="shared" si="184"/>
        <v/>
      </c>
      <c r="B279" s="1">
        <v>43140</v>
      </c>
      <c r="C279" s="9">
        <f t="shared" si="159"/>
        <v>0.24918315654867779</v>
      </c>
      <c r="D279" s="9">
        <f t="shared" si="160"/>
        <v>0.24444299840181205</v>
      </c>
      <c r="E279" s="9">
        <f t="shared" si="161"/>
        <v>0</v>
      </c>
      <c r="F279" s="9">
        <f t="shared" si="162"/>
        <v>0</v>
      </c>
      <c r="G279" s="9">
        <f t="shared" si="163"/>
        <v>0.25834810625439181</v>
      </c>
      <c r="H279" s="9">
        <f t="shared" si="164"/>
        <v>0</v>
      </c>
      <c r="I279" s="9">
        <f t="shared" si="165"/>
        <v>0.24802573879511838</v>
      </c>
      <c r="J279" s="9">
        <f t="shared" si="166"/>
        <v>0</v>
      </c>
      <c r="K279" s="9">
        <v>0</v>
      </c>
      <c r="L279" s="8">
        <f>+VLOOKUP($B279,NIFTY_50!$B$3:$I$1238,8,0)</f>
        <v>-1.1525170537541873E-2</v>
      </c>
      <c r="M279" s="8">
        <f>+VLOOKUP($B279,NIFTY_BANK!$B$3:$I$41238,8,0)</f>
        <v>-1.7630730710842535E-2</v>
      </c>
      <c r="N279" s="8">
        <f>+VLOOKUP($B279,NIFTY_IT!$B$3:$I$1238,8,0)</f>
        <v>-7.5982952491787659E-3</v>
      </c>
      <c r="O279" s="8">
        <f>+VLOOKUP($B279,NIFTY_PHARMA!$B$3:$I$1238,8,0)</f>
        <v>-4.3077155612177842E-3</v>
      </c>
      <c r="P279" s="8">
        <f>+VLOOKUP($B279,NIFTY_FMCG!$B$3:$I$1238,8,0)</f>
        <v>-4.5657156936677046E-3</v>
      </c>
      <c r="Q279" s="8">
        <f>+VLOOKUP($B279,NIFTY_METAL!$B$3:$I$1238,8,0)</f>
        <v>1.2689098045193026E-2</v>
      </c>
      <c r="R279" s="8">
        <f>+VLOOKUP($B279,NIFTY_ENERGY!$B$3:$I$1238,8,0)</f>
        <v>-6.377871590242612E-3</v>
      </c>
      <c r="S279" s="8">
        <f>+VLOOKUP($B279,NIFTY_AUTO!$B$3:$I$1238,8,0)</f>
        <v>-9.6481021138555834E-3</v>
      </c>
      <c r="T279" s="8">
        <v>0</v>
      </c>
      <c r="U279" s="8">
        <f>+VLOOKUP($B279,NIFTY_50!$B$63:$K$1238,10,0)</f>
        <v>2.6343431566960618E-2</v>
      </c>
      <c r="V279" s="8">
        <f>+VLOOKUP($B279,NIFTY_BANK!$B$63:$K$1238,10,0)</f>
        <v>7.0813855073841303E-3</v>
      </c>
      <c r="W279" s="8">
        <f>+VLOOKUP($B279,NIFTY_IT!$B$63:$K$1238,10,0)</f>
        <v>0.11854057078903191</v>
      </c>
      <c r="X279" s="8">
        <f>+VLOOKUP($B279,NIFTY_PHARMA!$B$63:$K$1238,10,0)</f>
        <v>1.5312023196085711E-3</v>
      </c>
      <c r="Y279" s="8">
        <f>+VLOOKUP($B279,NIFTY_FMCG!$B$63:$K$1238,10,0)</f>
        <v>4.2408960300240439E-2</v>
      </c>
      <c r="Z279" s="8">
        <f>+VLOOKUP($B279,NIFTY_METAL!$B$63:$K$1238,10,0)</f>
        <v>5.6629779338678743E-2</v>
      </c>
      <c r="AA279" s="8">
        <f>+VLOOKUP($B279,NIFTY_ENERGY!$B$63:$K$1238,10,0)</f>
        <v>-7.1337060330770585E-3</v>
      </c>
      <c r="AB279" s="8">
        <f>+VLOOKUP($B279,NIFTY_AUTO!$B$63:$K$1238,10,0)</f>
        <v>6.9957962479945124E-3</v>
      </c>
      <c r="AC279" s="8"/>
      <c r="AD279" s="16">
        <f t="shared" si="167"/>
        <v>5.3526213055406703E-2</v>
      </c>
      <c r="AE279" s="8">
        <f t="shared" si="168"/>
        <v>6.3362751070870832E-2</v>
      </c>
      <c r="AF279" s="8">
        <f t="shared" si="169"/>
        <v>7.9833623423424177E-2</v>
      </c>
      <c r="AG279" s="8">
        <f t="shared" si="170"/>
        <v>8.7553150187326928E-2</v>
      </c>
      <c r="AH279" s="8">
        <f t="shared" si="171"/>
        <v>5.6279865515693688E-2</v>
      </c>
      <c r="AI279" s="8">
        <f t="shared" si="172"/>
        <v>0.11004699335687906</v>
      </c>
      <c r="AJ279" s="8">
        <f t="shared" si="173"/>
        <v>6.9339100715433491E-2</v>
      </c>
      <c r="AK279" s="8">
        <f t="shared" si="174"/>
        <v>7.5705460453499754E-2</v>
      </c>
      <c r="AL279" s="9">
        <v>0</v>
      </c>
      <c r="AM279" s="17">
        <f t="shared" si="151"/>
        <v>18.682435070922502</v>
      </c>
      <c r="AN279" s="13">
        <f t="shared" si="152"/>
        <v>15.782143027241769</v>
      </c>
      <c r="AO279" s="13">
        <f t="shared" si="153"/>
        <v>12.52605051753905</v>
      </c>
      <c r="AP279" s="13">
        <f t="shared" si="154"/>
        <v>11.421633577551699</v>
      </c>
      <c r="AQ279" s="13">
        <f t="shared" si="155"/>
        <v>17.76834380887334</v>
      </c>
      <c r="AR279" s="13">
        <f t="shared" si="156"/>
        <v>9.0870270008834346</v>
      </c>
      <c r="AS279" s="13">
        <f t="shared" si="157"/>
        <v>14.421877262354228</v>
      </c>
      <c r="AT279" s="13">
        <f t="shared" si="158"/>
        <v>13.209086821606821</v>
      </c>
      <c r="AU279" s="9">
        <v>0</v>
      </c>
      <c r="AV279" s="18">
        <f t="shared" si="175"/>
        <v>1</v>
      </c>
      <c r="AW279" s="18">
        <f t="shared" si="176"/>
        <v>3</v>
      </c>
      <c r="AX279" s="18">
        <f t="shared" si="177"/>
        <v>6</v>
      </c>
      <c r="AY279" s="18">
        <f t="shared" si="178"/>
        <v>7</v>
      </c>
      <c r="AZ279" s="18">
        <f t="shared" si="179"/>
        <v>2</v>
      </c>
      <c r="BA279" s="18">
        <f t="shared" si="180"/>
        <v>8</v>
      </c>
      <c r="BB279" s="18">
        <f t="shared" si="181"/>
        <v>4</v>
      </c>
      <c r="BC279" s="18">
        <f t="shared" si="182"/>
        <v>5</v>
      </c>
      <c r="BD279" s="18">
        <f t="shared" si="183"/>
        <v>9</v>
      </c>
      <c r="BE279" s="8">
        <f t="shared" si="185"/>
        <v>-9.9690210090917965E-3</v>
      </c>
    </row>
    <row r="280" spans="1:57" x14ac:dyDescent="0.25">
      <c r="A280" t="str">
        <f t="shared" si="184"/>
        <v/>
      </c>
      <c r="B280" s="1">
        <v>43143</v>
      </c>
      <c r="C280" s="9">
        <f t="shared" si="159"/>
        <v>0.24898941295334098</v>
      </c>
      <c r="D280" s="9">
        <f t="shared" si="160"/>
        <v>0.24455185142847069</v>
      </c>
      <c r="E280" s="9">
        <f t="shared" si="161"/>
        <v>0</v>
      </c>
      <c r="F280" s="9">
        <f t="shared" si="162"/>
        <v>0</v>
      </c>
      <c r="G280" s="9">
        <f t="shared" si="163"/>
        <v>0.25720250448055698</v>
      </c>
      <c r="H280" s="9">
        <f t="shared" si="164"/>
        <v>0</v>
      </c>
      <c r="I280" s="9">
        <f t="shared" si="165"/>
        <v>0.24925623113763132</v>
      </c>
      <c r="J280" s="9">
        <f t="shared" si="166"/>
        <v>0</v>
      </c>
      <c r="K280" s="9">
        <v>0</v>
      </c>
      <c r="L280" s="8">
        <f>+VLOOKUP($B280,NIFTY_50!$B$3:$I$1238,8,0)</f>
        <v>8.1109904877592065E-3</v>
      </c>
      <c r="M280" s="8">
        <f>+VLOOKUP($B280,NIFTY_BANK!$B$3:$I$41238,8,0)</f>
        <v>9.3446933177292468E-3</v>
      </c>
      <c r="N280" s="8">
        <f>+VLOOKUP($B280,NIFTY_IT!$B$3:$I$1238,8,0)</f>
        <v>-5.6072746483947222E-3</v>
      </c>
      <c r="O280" s="8">
        <f>+VLOOKUP($B280,NIFTY_PHARMA!$B$3:$I$1238,8,0)</f>
        <v>1.2729668041919107E-2</v>
      </c>
      <c r="P280" s="8">
        <f>+VLOOKUP($B280,NIFTY_FMCG!$B$3:$I$1238,8,0)</f>
        <v>4.4216424207648153E-3</v>
      </c>
      <c r="Q280" s="8">
        <f>+VLOOKUP($B280,NIFTY_METAL!$B$3:$I$1238,8,0)</f>
        <v>1.067379088902265E-2</v>
      </c>
      <c r="R280" s="8">
        <f>+VLOOKUP($B280,NIFTY_ENERGY!$B$3:$I$1238,8,0)</f>
        <v>1.3900700900319585E-2</v>
      </c>
      <c r="S280" s="8">
        <f>+VLOOKUP($B280,NIFTY_AUTO!$B$3:$I$1238,8,0)</f>
        <v>1.1571241015599032E-2</v>
      </c>
      <c r="T280" s="8">
        <v>0</v>
      </c>
      <c r="U280" s="8">
        <f>+VLOOKUP($B280,NIFTY_50!$B$63:$K$1238,10,0)</f>
        <v>4.167799131255534E-2</v>
      </c>
      <c r="V280" s="8">
        <f>+VLOOKUP($B280,NIFTY_BANK!$B$63:$K$1238,10,0)</f>
        <v>1.9140406599811977E-2</v>
      </c>
      <c r="W280" s="8">
        <f>+VLOOKUP($B280,NIFTY_IT!$B$63:$K$1238,10,0)</f>
        <v>0.11685351841695968</v>
      </c>
      <c r="X280" s="8">
        <f>+VLOOKUP($B280,NIFTY_PHARMA!$B$63:$K$1238,10,0)</f>
        <v>3.4874573416655563E-2</v>
      </c>
      <c r="Y280" s="8">
        <f>+VLOOKUP($B280,NIFTY_FMCG!$B$63:$K$1238,10,0)</f>
        <v>5.9684455215391452E-2</v>
      </c>
      <c r="Z280" s="8">
        <f>+VLOOKUP($B280,NIFTY_METAL!$B$63:$K$1238,10,0)</f>
        <v>0.10052035673800508</v>
      </c>
      <c r="AA280" s="8">
        <f>+VLOOKUP($B280,NIFTY_ENERGY!$B$63:$K$1238,10,0)</f>
        <v>1.1202105878912016E-2</v>
      </c>
      <c r="AB280" s="8">
        <f>+VLOOKUP($B280,NIFTY_AUTO!$B$63:$K$1238,10,0)</f>
        <v>2.3519399113800965E-2</v>
      </c>
      <c r="AC280" s="8"/>
      <c r="AD280" s="16">
        <f t="shared" si="167"/>
        <v>5.3559252125620842E-2</v>
      </c>
      <c r="AE280" s="8">
        <f t="shared" si="168"/>
        <v>6.3949342911165705E-2</v>
      </c>
      <c r="AF280" s="8">
        <f t="shared" si="169"/>
        <v>7.9960225686819486E-2</v>
      </c>
      <c r="AG280" s="8">
        <f t="shared" si="170"/>
        <v>8.6072065270253753E-2</v>
      </c>
      <c r="AH280" s="8">
        <f t="shared" si="171"/>
        <v>5.4923128218408855E-2</v>
      </c>
      <c r="AI280" s="8">
        <f t="shared" si="172"/>
        <v>0.1060125356814041</v>
      </c>
      <c r="AJ280" s="8">
        <f t="shared" si="173"/>
        <v>7.0557426577169874E-2</v>
      </c>
      <c r="AK280" s="8">
        <f t="shared" si="174"/>
        <v>7.6373552150619098E-2</v>
      </c>
      <c r="AL280" s="9">
        <v>0</v>
      </c>
      <c r="AM280" s="17">
        <f t="shared" si="151"/>
        <v>18.670910446145598</v>
      </c>
      <c r="AN280" s="13">
        <f t="shared" si="152"/>
        <v>15.63737725013274</v>
      </c>
      <c r="AO280" s="13">
        <f t="shared" si="153"/>
        <v>12.506217827807337</v>
      </c>
      <c r="AP280" s="13">
        <f t="shared" si="154"/>
        <v>11.61817131795485</v>
      </c>
      <c r="AQ280" s="13">
        <f t="shared" si="155"/>
        <v>18.207265908514387</v>
      </c>
      <c r="AR280" s="13">
        <f t="shared" si="156"/>
        <v>9.4328467248936132</v>
      </c>
      <c r="AS280" s="13">
        <f t="shared" si="157"/>
        <v>14.17285250484983</v>
      </c>
      <c r="AT280" s="13">
        <f t="shared" si="158"/>
        <v>13.09353790469066</v>
      </c>
      <c r="AU280" s="9">
        <v>0</v>
      </c>
      <c r="AV280" s="18">
        <f t="shared" si="175"/>
        <v>1</v>
      </c>
      <c r="AW280" s="18">
        <f t="shared" si="176"/>
        <v>3</v>
      </c>
      <c r="AX280" s="18">
        <f t="shared" si="177"/>
        <v>6</v>
      </c>
      <c r="AY280" s="18">
        <f t="shared" si="178"/>
        <v>7</v>
      </c>
      <c r="AZ280" s="18">
        <f t="shared" si="179"/>
        <v>2</v>
      </c>
      <c r="BA280" s="18">
        <f t="shared" si="180"/>
        <v>8</v>
      </c>
      <c r="BB280" s="18">
        <f t="shared" si="181"/>
        <v>4</v>
      </c>
      <c r="BC280" s="18">
        <f t="shared" si="182"/>
        <v>5</v>
      </c>
      <c r="BD280" s="18">
        <f t="shared" si="183"/>
        <v>9</v>
      </c>
      <c r="BE280" s="8">
        <f t="shared" si="185"/>
        <v>8.8954216227176593E-3</v>
      </c>
    </row>
    <row r="281" spans="1:57" x14ac:dyDescent="0.25">
      <c r="A281" t="str">
        <f t="shared" si="184"/>
        <v/>
      </c>
      <c r="B281" s="1">
        <v>43145</v>
      </c>
      <c r="C281" s="9">
        <f t="shared" si="159"/>
        <v>0.24925949261078281</v>
      </c>
      <c r="D281" s="9">
        <f t="shared" si="160"/>
        <v>0.24227769908545044</v>
      </c>
      <c r="E281" s="9">
        <f t="shared" si="161"/>
        <v>0</v>
      </c>
      <c r="F281" s="9">
        <f t="shared" si="162"/>
        <v>0</v>
      </c>
      <c r="G281" s="9">
        <f t="shared" si="163"/>
        <v>0.25711115014791097</v>
      </c>
      <c r="H281" s="9">
        <f t="shared" si="164"/>
        <v>0</v>
      </c>
      <c r="I281" s="9">
        <f t="shared" si="165"/>
        <v>0.25135165815585575</v>
      </c>
      <c r="J281" s="9">
        <f t="shared" si="166"/>
        <v>0</v>
      </c>
      <c r="K281" s="9">
        <v>0</v>
      </c>
      <c r="L281" s="8">
        <f>+VLOOKUP($B281,NIFTY_50!$B$3:$I$1238,8,0)</f>
        <v>-3.6860456841956157E-3</v>
      </c>
      <c r="M281" s="8">
        <f>+VLOOKUP($B281,NIFTY_BANK!$B$3:$I$41238,8,0)</f>
        <v>-1.4020527904877511E-2</v>
      </c>
      <c r="N281" s="8">
        <f>+VLOOKUP($B281,NIFTY_IT!$B$3:$I$1238,8,0)</f>
        <v>-2.1332002431040387E-4</v>
      </c>
      <c r="O281" s="8">
        <f>+VLOOKUP($B281,NIFTY_PHARMA!$B$3:$I$1238,8,0)</f>
        <v>-9.716326104529438E-3</v>
      </c>
      <c r="P281" s="8">
        <f>+VLOOKUP($B281,NIFTY_FMCG!$B$3:$I$1238,8,0)</f>
        <v>-5.1190716221969357E-3</v>
      </c>
      <c r="Q281" s="8">
        <f>+VLOOKUP($B281,NIFTY_METAL!$B$3:$I$1238,8,0)</f>
        <v>-1.0424552302709111E-3</v>
      </c>
      <c r="R281" s="8">
        <f>+VLOOKUP($B281,NIFTY_ENERGY!$B$3:$I$1238,8,0)</f>
        <v>3.6010759841493822E-3</v>
      </c>
      <c r="S281" s="8">
        <f>+VLOOKUP($B281,NIFTY_AUTO!$B$3:$I$1238,8,0)</f>
        <v>-2.5605490661915198E-3</v>
      </c>
      <c r="T281" s="8">
        <v>0</v>
      </c>
      <c r="U281" s="8">
        <f>+VLOOKUP($B281,NIFTY_50!$B$63:$K$1238,10,0)</f>
        <v>2.8013411977777292E-2</v>
      </c>
      <c r="V281" s="8">
        <f>+VLOOKUP($B281,NIFTY_BANK!$B$63:$K$1238,10,0)</f>
        <v>-4.1400422846273877E-3</v>
      </c>
      <c r="W281" s="8">
        <f>+VLOOKUP($B281,NIFTY_IT!$B$63:$K$1238,10,0)</f>
        <v>9.743974905564512E-2</v>
      </c>
      <c r="X281" s="8">
        <f>+VLOOKUP($B281,NIFTY_PHARMA!$B$63:$K$1238,10,0)</f>
        <v>1.833715930923252E-2</v>
      </c>
      <c r="Y281" s="8">
        <f>+VLOOKUP($B281,NIFTY_FMCG!$B$63:$K$1238,10,0)</f>
        <v>4.3093762600658447E-2</v>
      </c>
      <c r="Z281" s="8">
        <f>+VLOOKUP($B281,NIFTY_METAL!$B$63:$K$1238,10,0)</f>
        <v>8.8402720499749954E-2</v>
      </c>
      <c r="AA281" s="8">
        <f>+VLOOKUP($B281,NIFTY_ENERGY!$B$63:$K$1238,10,0)</f>
        <v>1.2970916323173931E-4</v>
      </c>
      <c r="AB281" s="8">
        <f>+VLOOKUP($B281,NIFTY_AUTO!$B$63:$K$1238,10,0)</f>
        <v>1.6067010863719533E-2</v>
      </c>
      <c r="AC281" s="8"/>
      <c r="AD281" s="16">
        <f t="shared" si="167"/>
        <v>5.2974773571954417E-2</v>
      </c>
      <c r="AE281" s="8">
        <f t="shared" si="168"/>
        <v>6.4897958373086553E-2</v>
      </c>
      <c r="AF281" s="8">
        <f t="shared" si="169"/>
        <v>7.8417096579567941E-2</v>
      </c>
      <c r="AG281" s="8">
        <f t="shared" si="170"/>
        <v>8.6475862835413447E-2</v>
      </c>
      <c r="AH281" s="8">
        <f t="shared" si="171"/>
        <v>5.4359271290304739E-2</v>
      </c>
      <c r="AI281" s="8">
        <f t="shared" si="172"/>
        <v>0.10570300229414341</v>
      </c>
      <c r="AJ281" s="8">
        <f t="shared" si="173"/>
        <v>6.9121810008706056E-2</v>
      </c>
      <c r="AK281" s="8">
        <f t="shared" si="174"/>
        <v>7.6303752962837423E-2</v>
      </c>
      <c r="AL281" s="9">
        <v>0</v>
      </c>
      <c r="AM281" s="17">
        <f t="shared" si="151"/>
        <v>18.876909377285454</v>
      </c>
      <c r="AN281" s="13">
        <f t="shared" si="152"/>
        <v>15.408805223905226</v>
      </c>
      <c r="AO281" s="13">
        <f t="shared" si="153"/>
        <v>12.752321159778264</v>
      </c>
      <c r="AP281" s="13">
        <f t="shared" si="154"/>
        <v>11.563920465335695</v>
      </c>
      <c r="AQ281" s="13">
        <f t="shared" si="155"/>
        <v>18.396125927802039</v>
      </c>
      <c r="AR281" s="13">
        <f t="shared" si="156"/>
        <v>9.4604692231661058</v>
      </c>
      <c r="AS281" s="13">
        <f t="shared" si="157"/>
        <v>14.467213747354817</v>
      </c>
      <c r="AT281" s="13">
        <f t="shared" si="158"/>
        <v>13.105515275074801</v>
      </c>
      <c r="AU281" s="9">
        <v>0</v>
      </c>
      <c r="AV281" s="18">
        <f t="shared" si="175"/>
        <v>1</v>
      </c>
      <c r="AW281" s="18">
        <f t="shared" si="176"/>
        <v>3</v>
      </c>
      <c r="AX281" s="18">
        <f t="shared" si="177"/>
        <v>6</v>
      </c>
      <c r="AY281" s="18">
        <f t="shared" si="178"/>
        <v>7</v>
      </c>
      <c r="AZ281" s="18">
        <f t="shared" si="179"/>
        <v>2</v>
      </c>
      <c r="BA281" s="18">
        <f t="shared" si="180"/>
        <v>8</v>
      </c>
      <c r="BB281" s="18">
        <f t="shared" si="181"/>
        <v>4</v>
      </c>
      <c r="BC281" s="18">
        <f t="shared" si="182"/>
        <v>5</v>
      </c>
      <c r="BD281" s="18">
        <f t="shared" si="183"/>
        <v>9</v>
      </c>
      <c r="BE281" s="8">
        <f t="shared" si="185"/>
        <v>-4.765579822164483E-3</v>
      </c>
    </row>
    <row r="282" spans="1:57" x14ac:dyDescent="0.25">
      <c r="A282" t="str">
        <f t="shared" si="184"/>
        <v/>
      </c>
      <c r="B282" s="1">
        <v>43146</v>
      </c>
      <c r="C282" s="9">
        <f t="shared" si="159"/>
        <v>0.24924149074803795</v>
      </c>
      <c r="D282" s="9">
        <f t="shared" si="160"/>
        <v>0.24202668137989114</v>
      </c>
      <c r="E282" s="9">
        <f t="shared" si="161"/>
        <v>0</v>
      </c>
      <c r="F282" s="9">
        <f t="shared" si="162"/>
        <v>0</v>
      </c>
      <c r="G282" s="9">
        <f t="shared" si="163"/>
        <v>0.25685460595048781</v>
      </c>
      <c r="H282" s="9">
        <f t="shared" si="164"/>
        <v>0</v>
      </c>
      <c r="I282" s="9">
        <f t="shared" si="165"/>
        <v>0.25187722192158302</v>
      </c>
      <c r="J282" s="9">
        <f t="shared" si="166"/>
        <v>0</v>
      </c>
      <c r="K282" s="9">
        <v>0</v>
      </c>
      <c r="L282" s="8">
        <f>+VLOOKUP($B282,NIFTY_50!$B$3:$I$1238,8,0)</f>
        <v>4.247254997190808E-3</v>
      </c>
      <c r="M282" s="8">
        <f>+VLOOKUP($B282,NIFTY_BANK!$B$3:$I$41238,8,0)</f>
        <v>3.2792383958959448E-3</v>
      </c>
      <c r="N282" s="8">
        <f>+VLOOKUP($B282,NIFTY_IT!$B$3:$I$1238,8,0)</f>
        <v>2.938808373591062E-3</v>
      </c>
      <c r="O282" s="8">
        <f>+VLOOKUP($B282,NIFTY_PHARMA!$B$3:$I$1238,8,0)</f>
        <v>-4.5084980322622759E-3</v>
      </c>
      <c r="P282" s="8">
        <f>+VLOOKUP($B282,NIFTY_FMCG!$B$3:$I$1238,8,0)</f>
        <v>3.3176831762689041E-3</v>
      </c>
      <c r="Q282" s="8">
        <f>+VLOOKUP($B282,NIFTY_METAL!$B$3:$I$1238,8,0)</f>
        <v>6.9072613205789501E-3</v>
      </c>
      <c r="R282" s="8">
        <f>+VLOOKUP($B282,NIFTY_ENERGY!$B$3:$I$1238,8,0)</f>
        <v>6.4197708768642947E-3</v>
      </c>
      <c r="S282" s="8">
        <f>+VLOOKUP($B282,NIFTY_AUTO!$B$3:$I$1238,8,0)</f>
        <v>-2.5450679934543308E-3</v>
      </c>
      <c r="T282" s="8">
        <v>0</v>
      </c>
      <c r="U282" s="8">
        <f>+VLOOKUP($B282,NIFTY_50!$B$63:$K$1238,10,0)</f>
        <v>2.5467735034423677E-2</v>
      </c>
      <c r="V282" s="8">
        <f>+VLOOKUP($B282,NIFTY_BANK!$B$63:$K$1238,10,0)</f>
        <v>-1.181768007338202E-2</v>
      </c>
      <c r="W282" s="8">
        <f>+VLOOKUP($B282,NIFTY_IT!$B$63:$K$1238,10,0)</f>
        <v>0.11717488789237662</v>
      </c>
      <c r="X282" s="8">
        <f>+VLOOKUP($B282,NIFTY_PHARMA!$B$63:$K$1238,10,0)</f>
        <v>4.9881027745639628E-3</v>
      </c>
      <c r="Y282" s="8">
        <f>+VLOOKUP($B282,NIFTY_FMCG!$B$63:$K$1238,10,0)</f>
        <v>3.8234494543477382E-2</v>
      </c>
      <c r="Z282" s="8">
        <f>+VLOOKUP($B282,NIFTY_METAL!$B$63:$K$1238,10,0)</f>
        <v>7.5560332815796771E-2</v>
      </c>
      <c r="AA282" s="8">
        <f>+VLOOKUP($B282,NIFTY_ENERGY!$B$63:$K$1238,10,0)</f>
        <v>4.2256950910313229E-4</v>
      </c>
      <c r="AB282" s="8">
        <f>+VLOOKUP($B282,NIFTY_AUTO!$B$63:$K$1238,10,0)</f>
        <v>4.8613147767970766E-3</v>
      </c>
      <c r="AC282" s="8"/>
      <c r="AD282" s="16">
        <f t="shared" si="167"/>
        <v>5.2737148623854903E-2</v>
      </c>
      <c r="AE282" s="8">
        <f t="shared" si="168"/>
        <v>6.401832158838261E-2</v>
      </c>
      <c r="AF282" s="8">
        <f t="shared" si="169"/>
        <v>7.667138576917823E-2</v>
      </c>
      <c r="AG282" s="8">
        <f t="shared" si="170"/>
        <v>8.619216089915635E-2</v>
      </c>
      <c r="AH282" s="8">
        <f t="shared" si="171"/>
        <v>5.3926660094482562E-2</v>
      </c>
      <c r="AI282" s="8">
        <f t="shared" si="172"/>
        <v>0.10438265139229054</v>
      </c>
      <c r="AJ282" s="8">
        <f t="shared" si="173"/>
        <v>6.9148352568408442E-2</v>
      </c>
      <c r="AK282" s="8">
        <f t="shared" si="174"/>
        <v>7.5894688774756067E-2</v>
      </c>
      <c r="AL282" s="9">
        <v>0</v>
      </c>
      <c r="AM282" s="17">
        <f t="shared" si="151"/>
        <v>18.961965637020885</v>
      </c>
      <c r="AN282" s="13">
        <f t="shared" si="152"/>
        <v>15.620528236114671</v>
      </c>
      <c r="AO282" s="13">
        <f t="shared" si="153"/>
        <v>13.042675438403233</v>
      </c>
      <c r="AP282" s="13">
        <f t="shared" si="154"/>
        <v>11.601983168399576</v>
      </c>
      <c r="AQ282" s="13">
        <f t="shared" si="155"/>
        <v>18.54370358275375</v>
      </c>
      <c r="AR282" s="13">
        <f t="shared" si="156"/>
        <v>9.5801360346922326</v>
      </c>
      <c r="AS282" s="13">
        <f t="shared" si="157"/>
        <v>14.461660514770765</v>
      </c>
      <c r="AT282" s="13">
        <f t="shared" si="158"/>
        <v>13.176152589120543</v>
      </c>
      <c r="AU282" s="9">
        <v>0</v>
      </c>
      <c r="AV282" s="18">
        <f t="shared" si="175"/>
        <v>1</v>
      </c>
      <c r="AW282" s="18">
        <f t="shared" si="176"/>
        <v>3</v>
      </c>
      <c r="AX282" s="18">
        <f t="shared" si="177"/>
        <v>6</v>
      </c>
      <c r="AY282" s="18">
        <f t="shared" si="178"/>
        <v>7</v>
      </c>
      <c r="AZ282" s="18">
        <f t="shared" si="179"/>
        <v>2</v>
      </c>
      <c r="BA282" s="18">
        <f t="shared" si="180"/>
        <v>8</v>
      </c>
      <c r="BB282" s="18">
        <f t="shared" si="181"/>
        <v>4</v>
      </c>
      <c r="BC282" s="18">
        <f t="shared" si="182"/>
        <v>5</v>
      </c>
      <c r="BD282" s="18">
        <f t="shared" si="183"/>
        <v>9</v>
      </c>
      <c r="BE282" s="8">
        <f t="shared" si="185"/>
        <v>4.319788351056111E-3</v>
      </c>
    </row>
    <row r="283" spans="1:57" x14ac:dyDescent="0.25">
      <c r="A283" t="str">
        <f t="shared" si="184"/>
        <v/>
      </c>
      <c r="B283" s="1">
        <v>43147</v>
      </c>
      <c r="C283" s="9">
        <f t="shared" si="159"/>
        <v>0.24927879248923795</v>
      </c>
      <c r="D283" s="9">
        <f t="shared" si="160"/>
        <v>0.24171947362420848</v>
      </c>
      <c r="E283" s="9">
        <f t="shared" si="161"/>
        <v>0</v>
      </c>
      <c r="F283" s="9">
        <f t="shared" si="162"/>
        <v>0</v>
      </c>
      <c r="G283" s="9">
        <f t="shared" si="163"/>
        <v>0.25788017990446865</v>
      </c>
      <c r="H283" s="9">
        <f t="shared" si="164"/>
        <v>0</v>
      </c>
      <c r="I283" s="9">
        <f t="shared" si="165"/>
        <v>0.25112155398208497</v>
      </c>
      <c r="J283" s="9">
        <f t="shared" si="166"/>
        <v>0</v>
      </c>
      <c r="K283" s="9">
        <v>0</v>
      </c>
      <c r="L283" s="8">
        <f>+VLOOKUP($B283,NIFTY_50!$B$3:$I$1238,8,0)</f>
        <v>-8.8378929401167206E-3</v>
      </c>
      <c r="M283" s="8">
        <f>+VLOOKUP($B283,NIFTY_BANK!$B$3:$I$41238,8,0)</f>
        <v>-1.0244116368756662E-2</v>
      </c>
      <c r="N283" s="8">
        <f>+VLOOKUP($B283,NIFTY_IT!$B$3:$I$1238,8,0)</f>
        <v>-1.4891823545939431E-3</v>
      </c>
      <c r="O283" s="8">
        <f>+VLOOKUP($B283,NIFTY_PHARMA!$B$3:$I$1238,8,0)</f>
        <v>-2.888949226174331E-3</v>
      </c>
      <c r="P283" s="8">
        <f>+VLOOKUP($B283,NIFTY_FMCG!$B$3:$I$1238,8,0)</f>
        <v>-5.0292703910823633E-3</v>
      </c>
      <c r="Q283" s="8">
        <f>+VLOOKUP($B283,NIFTY_METAL!$B$3:$I$1238,8,0)</f>
        <v>-1.5039913141108752E-2</v>
      </c>
      <c r="R283" s="8">
        <f>+VLOOKUP($B283,NIFTY_ENERGY!$B$3:$I$1238,8,0)</f>
        <v>-1.1959393188765932E-2</v>
      </c>
      <c r="S283" s="8">
        <f>+VLOOKUP($B283,NIFTY_AUTO!$B$3:$I$1238,8,0)</f>
        <v>-1.7003042416952607E-2</v>
      </c>
      <c r="T283" s="8">
        <v>0</v>
      </c>
      <c r="U283" s="8">
        <f>+VLOOKUP($B283,NIFTY_50!$B$63:$K$1238,10,0)</f>
        <v>1.4909576404903424E-2</v>
      </c>
      <c r="V283" s="8">
        <f>+VLOOKUP($B283,NIFTY_BANK!$B$63:$K$1238,10,0)</f>
        <v>-2.3466544554224811E-2</v>
      </c>
      <c r="W283" s="8">
        <f>+VLOOKUP($B283,NIFTY_IT!$B$63:$K$1238,10,0)</f>
        <v>0.12052594120773685</v>
      </c>
      <c r="X283" s="8">
        <f>+VLOOKUP($B283,NIFTY_PHARMA!$B$63:$K$1238,10,0)</f>
        <v>4.1068098672805142E-3</v>
      </c>
      <c r="Y283" s="8">
        <f>+VLOOKUP($B283,NIFTY_FMCG!$B$63:$K$1238,10,0)</f>
        <v>2.8763872854167483E-2</v>
      </c>
      <c r="Z283" s="8">
        <f>+VLOOKUP($B283,NIFTY_METAL!$B$63:$K$1238,10,0)</f>
        <v>4.5674241928089554E-2</v>
      </c>
      <c r="AA283" s="8">
        <f>+VLOOKUP($B283,NIFTY_ENERGY!$B$63:$K$1238,10,0)</f>
        <v>-2.1122290115860642E-2</v>
      </c>
      <c r="AB283" s="8">
        <f>+VLOOKUP($B283,NIFTY_AUTO!$B$63:$K$1238,10,0)</f>
        <v>-1.5099756755679206E-2</v>
      </c>
      <c r="AC283" s="8"/>
      <c r="AD283" s="16">
        <f t="shared" si="167"/>
        <v>5.3519881656629881E-2</v>
      </c>
      <c r="AE283" s="8">
        <f t="shared" si="168"/>
        <v>6.4766940117367555E-2</v>
      </c>
      <c r="AF283" s="8">
        <f t="shared" si="169"/>
        <v>7.6481366591344926E-2</v>
      </c>
      <c r="AG283" s="8">
        <f t="shared" si="170"/>
        <v>8.6218418442259304E-2</v>
      </c>
      <c r="AH283" s="8">
        <f t="shared" si="171"/>
        <v>5.4098539254402646E-2</v>
      </c>
      <c r="AI283" s="8">
        <f t="shared" si="172"/>
        <v>0.10492541622145488</v>
      </c>
      <c r="AJ283" s="8">
        <f t="shared" si="173"/>
        <v>6.9447801511675886E-2</v>
      </c>
      <c r="AK283" s="8">
        <f t="shared" si="174"/>
        <v>7.7711806811473438E-2</v>
      </c>
      <c r="AL283" s="9">
        <v>0</v>
      </c>
      <c r="AM283" s="17">
        <f t="shared" si="151"/>
        <v>18.684645201866267</v>
      </c>
      <c r="AN283" s="13">
        <f t="shared" si="152"/>
        <v>15.43997598447368</v>
      </c>
      <c r="AO283" s="13">
        <f t="shared" si="153"/>
        <v>13.07508017401412</v>
      </c>
      <c r="AP283" s="13">
        <f t="shared" si="154"/>
        <v>11.598449821597024</v>
      </c>
      <c r="AQ283" s="13">
        <f t="shared" si="155"/>
        <v>18.484787459739369</v>
      </c>
      <c r="AR283" s="13">
        <f t="shared" si="156"/>
        <v>9.5305793011047655</v>
      </c>
      <c r="AS283" s="13">
        <f t="shared" si="157"/>
        <v>14.399303912189003</v>
      </c>
      <c r="AT283" s="13">
        <f t="shared" si="158"/>
        <v>12.868057519573192</v>
      </c>
      <c r="AU283" s="9">
        <v>0</v>
      </c>
      <c r="AV283" s="18">
        <f t="shared" si="175"/>
        <v>1</v>
      </c>
      <c r="AW283" s="18">
        <f t="shared" si="176"/>
        <v>3</v>
      </c>
      <c r="AX283" s="18">
        <f t="shared" si="177"/>
        <v>5</v>
      </c>
      <c r="AY283" s="18">
        <f t="shared" si="178"/>
        <v>7</v>
      </c>
      <c r="AZ283" s="18">
        <f t="shared" si="179"/>
        <v>2</v>
      </c>
      <c r="BA283" s="18">
        <f t="shared" si="180"/>
        <v>8</v>
      </c>
      <c r="BB283" s="18">
        <f t="shared" si="181"/>
        <v>4</v>
      </c>
      <c r="BC283" s="18">
        <f t="shared" si="182"/>
        <v>6</v>
      </c>
      <c r="BD283" s="18">
        <f t="shared" si="183"/>
        <v>9</v>
      </c>
      <c r="BE283" s="8">
        <f t="shared" si="185"/>
        <v>-8.9862090966400278E-3</v>
      </c>
    </row>
    <row r="284" spans="1:57" x14ac:dyDescent="0.25">
      <c r="A284" t="str">
        <f t="shared" si="184"/>
        <v/>
      </c>
      <c r="B284" s="1">
        <v>43150</v>
      </c>
      <c r="C284" s="9">
        <f t="shared" si="159"/>
        <v>0.24876455705022268</v>
      </c>
      <c r="D284" s="9">
        <f t="shared" si="160"/>
        <v>0.24192138447154998</v>
      </c>
      <c r="E284" s="9">
        <f t="shared" si="161"/>
        <v>0</v>
      </c>
      <c r="F284" s="9">
        <f t="shared" si="162"/>
        <v>0</v>
      </c>
      <c r="G284" s="9">
        <f t="shared" si="163"/>
        <v>0.25735220531936615</v>
      </c>
      <c r="H284" s="9">
        <f t="shared" si="164"/>
        <v>0</v>
      </c>
      <c r="I284" s="9">
        <f t="shared" si="165"/>
        <v>0.25196185315886116</v>
      </c>
      <c r="J284" s="9">
        <f t="shared" si="166"/>
        <v>0</v>
      </c>
      <c r="K284" s="9">
        <v>0</v>
      </c>
      <c r="L284" s="8">
        <f>+VLOOKUP($B284,NIFTY_50!$B$3:$I$1238,8,0)</f>
        <v>-7.0702142112262223E-3</v>
      </c>
      <c r="M284" s="8">
        <f>+VLOOKUP($B284,NIFTY_BANK!$B$3:$I$41238,8,0)</f>
        <v>-4.1865529588022143E-3</v>
      </c>
      <c r="N284" s="8">
        <f>+VLOOKUP($B284,NIFTY_IT!$B$3:$I$1238,8,0)</f>
        <v>-8.5665242262592534E-3</v>
      </c>
      <c r="O284" s="8">
        <f>+VLOOKUP($B284,NIFTY_PHARMA!$B$3:$I$1238,8,0)</f>
        <v>-1.6665032839917604E-2</v>
      </c>
      <c r="P284" s="8">
        <f>+VLOOKUP($B284,NIFTY_FMCG!$B$3:$I$1238,8,0)</f>
        <v>-7.0547632340252076E-3</v>
      </c>
      <c r="Q284" s="8">
        <f>+VLOOKUP($B284,NIFTY_METAL!$B$3:$I$1238,8,0)</f>
        <v>-1.7085880348732263E-2</v>
      </c>
      <c r="R284" s="8">
        <f>+VLOOKUP($B284,NIFTY_ENERGY!$B$3:$I$1238,8,0)</f>
        <v>-1.6882773412167928E-3</v>
      </c>
      <c r="S284" s="8">
        <f>+VLOOKUP($B284,NIFTY_AUTO!$B$3:$I$1238,8,0)</f>
        <v>-1.2407159983984895E-2</v>
      </c>
      <c r="T284" s="8">
        <v>0</v>
      </c>
      <c r="U284" s="8">
        <f>+VLOOKUP($B284,NIFTY_50!$B$63:$K$1238,10,0)</f>
        <v>4.9869757623295374E-3</v>
      </c>
      <c r="V284" s="8">
        <f>+VLOOKUP($B284,NIFTY_BANK!$B$63:$K$1238,10,0)</f>
        <v>-2.7135785693487402E-2</v>
      </c>
      <c r="W284" s="8">
        <f>+VLOOKUP($B284,NIFTY_IT!$B$63:$K$1238,10,0)</f>
        <v>0.10899370022797883</v>
      </c>
      <c r="X284" s="8">
        <f>+VLOOKUP($B284,NIFTY_PHARMA!$B$63:$K$1238,10,0)</f>
        <v>-3.4092793597637616E-2</v>
      </c>
      <c r="Y284" s="8">
        <f>+VLOOKUP($B284,NIFTY_FMCG!$B$63:$K$1238,10,0)</f>
        <v>2.7560985099015722E-2</v>
      </c>
      <c r="Z284" s="8">
        <f>+VLOOKUP($B284,NIFTY_METAL!$B$63:$K$1238,10,0)</f>
        <v>2.6423189619087406E-2</v>
      </c>
      <c r="AA284" s="8">
        <f>+VLOOKUP($B284,NIFTY_ENERGY!$B$63:$K$1238,10,0)</f>
        <v>-3.1859688078616277E-2</v>
      </c>
      <c r="AB284" s="8">
        <f>+VLOOKUP($B284,NIFTY_AUTO!$B$63:$K$1238,10,0)</f>
        <v>-3.0836401522174817E-2</v>
      </c>
      <c r="AC284" s="8"/>
      <c r="AD284" s="16">
        <f t="shared" si="167"/>
        <v>5.3949408466099115E-2</v>
      </c>
      <c r="AE284" s="8">
        <f t="shared" si="168"/>
        <v>6.4878369847270217E-2</v>
      </c>
      <c r="AF284" s="8">
        <f t="shared" si="169"/>
        <v>7.7184781534679253E-2</v>
      </c>
      <c r="AG284" s="8">
        <f t="shared" si="170"/>
        <v>8.4868116568005636E-2</v>
      </c>
      <c r="AH284" s="8">
        <f t="shared" si="171"/>
        <v>5.4247726678502799E-2</v>
      </c>
      <c r="AI284" s="8">
        <f t="shared" si="172"/>
        <v>0.10641525435788984</v>
      </c>
      <c r="AJ284" s="8">
        <f t="shared" si="173"/>
        <v>6.8767108624013168E-2</v>
      </c>
      <c r="AK284" s="8">
        <f t="shared" si="174"/>
        <v>7.8544685165241407E-2</v>
      </c>
      <c r="AL284" s="9">
        <v>0</v>
      </c>
      <c r="AM284" s="17">
        <f t="shared" si="151"/>
        <v>18.535884422688024</v>
      </c>
      <c r="AN284" s="13">
        <f t="shared" si="152"/>
        <v>15.413457556872869</v>
      </c>
      <c r="AO284" s="13">
        <f t="shared" si="153"/>
        <v>12.955921881448848</v>
      </c>
      <c r="AP284" s="13">
        <f t="shared" si="154"/>
        <v>11.782988010564491</v>
      </c>
      <c r="AQ284" s="13">
        <f t="shared" si="155"/>
        <v>18.433952189857909</v>
      </c>
      <c r="AR284" s="13">
        <f t="shared" si="156"/>
        <v>9.3971489899075547</v>
      </c>
      <c r="AS284" s="13">
        <f t="shared" si="157"/>
        <v>14.541835770172318</v>
      </c>
      <c r="AT284" s="13">
        <f t="shared" si="158"/>
        <v>12.731606192019377</v>
      </c>
      <c r="AU284" s="9">
        <v>0</v>
      </c>
      <c r="AV284" s="18">
        <f t="shared" si="175"/>
        <v>1</v>
      </c>
      <c r="AW284" s="18">
        <f t="shared" si="176"/>
        <v>3</v>
      </c>
      <c r="AX284" s="18">
        <f t="shared" si="177"/>
        <v>5</v>
      </c>
      <c r="AY284" s="18">
        <f t="shared" si="178"/>
        <v>7</v>
      </c>
      <c r="AZ284" s="18">
        <f t="shared" si="179"/>
        <v>2</v>
      </c>
      <c r="BA284" s="18">
        <f t="shared" si="180"/>
        <v>8</v>
      </c>
      <c r="BB284" s="18">
        <f t="shared" si="181"/>
        <v>4</v>
      </c>
      <c r="BC284" s="18">
        <f t="shared" si="182"/>
        <v>6</v>
      </c>
      <c r="BD284" s="18">
        <f t="shared" si="183"/>
        <v>9</v>
      </c>
      <c r="BE284" s="8">
        <f t="shared" si="185"/>
        <v>-5.017672280169222E-3</v>
      </c>
    </row>
    <row r="285" spans="1:57" x14ac:dyDescent="0.25">
      <c r="A285" t="str">
        <f t="shared" si="184"/>
        <v/>
      </c>
      <c r="B285" s="1">
        <v>43151</v>
      </c>
      <c r="C285" s="9">
        <f t="shared" si="159"/>
        <v>0.24915171898262245</v>
      </c>
      <c r="D285" s="9">
        <f t="shared" si="160"/>
        <v>0.24093517102907061</v>
      </c>
      <c r="E285" s="9">
        <f t="shared" si="161"/>
        <v>0</v>
      </c>
      <c r="F285" s="9">
        <f t="shared" si="162"/>
        <v>0</v>
      </c>
      <c r="G285" s="9">
        <f t="shared" si="163"/>
        <v>0.25766286255849474</v>
      </c>
      <c r="H285" s="9">
        <f t="shared" si="164"/>
        <v>0</v>
      </c>
      <c r="I285" s="9">
        <f t="shared" si="165"/>
        <v>0.25225024742981217</v>
      </c>
      <c r="J285" s="9">
        <f t="shared" si="166"/>
        <v>0</v>
      </c>
      <c r="K285" s="9">
        <v>0</v>
      </c>
      <c r="L285" s="8">
        <f>+VLOOKUP($B285,NIFTY_50!$B$3:$I$1238,8,0)</f>
        <v>-1.7343713867262744E-3</v>
      </c>
      <c r="M285" s="8">
        <f>+VLOOKUP($B285,NIFTY_BANK!$B$3:$I$41238,8,0)</f>
        <v>-7.3487891358438029E-3</v>
      </c>
      <c r="N285" s="8">
        <f>+VLOOKUP($B285,NIFTY_IT!$B$3:$I$1238,8,0)</f>
        <v>3.2924079990916955E-3</v>
      </c>
      <c r="O285" s="8">
        <f>+VLOOKUP($B285,NIFTY_PHARMA!$B$3:$I$1238,8,0)</f>
        <v>-7.9198927768353578E-4</v>
      </c>
      <c r="P285" s="8">
        <f>+VLOOKUP($B285,NIFTY_FMCG!$B$3:$I$1238,8,0)</f>
        <v>-2.0824341004263003E-3</v>
      </c>
      <c r="Q285" s="8">
        <f>+VLOOKUP($B285,NIFTY_METAL!$B$3:$I$1238,8,0)</f>
        <v>1.0985369832288372E-2</v>
      </c>
      <c r="R285" s="8">
        <f>+VLOOKUP($B285,NIFTY_ENERGY!$B$3:$I$1238,8,0)</f>
        <v>-2.1447623886338141E-3</v>
      </c>
      <c r="S285" s="8">
        <f>+VLOOKUP($B285,NIFTY_AUTO!$B$3:$I$1238,8,0)</f>
        <v>-1.2526590535363313E-3</v>
      </c>
      <c r="T285" s="8">
        <v>0</v>
      </c>
      <c r="U285" s="8">
        <f>+VLOOKUP($B285,NIFTY_50!$B$63:$K$1238,10,0)</f>
        <v>1.7500942730341862E-3</v>
      </c>
      <c r="V285" s="8">
        <f>+VLOOKUP($B285,NIFTY_BANK!$B$63:$K$1238,10,0)</f>
        <v>-3.4628094843528356E-2</v>
      </c>
      <c r="W285" s="8">
        <f>+VLOOKUP($B285,NIFTY_IT!$B$63:$K$1238,10,0)</f>
        <v>0.11284011693276375</v>
      </c>
      <c r="X285" s="8">
        <f>+VLOOKUP($B285,NIFTY_PHARMA!$B$63:$K$1238,10,0)</f>
        <v>-2.7726880793274455E-2</v>
      </c>
      <c r="Y285" s="8">
        <f>+VLOOKUP($B285,NIFTY_FMCG!$B$63:$K$1238,10,0)</f>
        <v>2.1698553881996263E-2</v>
      </c>
      <c r="Z285" s="8">
        <f>+VLOOKUP($B285,NIFTY_METAL!$B$63:$K$1238,10,0)</f>
        <v>4.4571729541115213E-2</v>
      </c>
      <c r="AA285" s="8">
        <f>+VLOOKUP($B285,NIFTY_ENERGY!$B$63:$K$1238,10,0)</f>
        <v>-3.3351965716415077E-2</v>
      </c>
      <c r="AB285" s="8">
        <f>+VLOOKUP($B285,NIFTY_AUTO!$B$63:$K$1238,10,0)</f>
        <v>-3.4492780427229586E-2</v>
      </c>
      <c r="AC285" s="8"/>
      <c r="AD285" s="16">
        <f t="shared" si="167"/>
        <v>5.3961402342885857E-2</v>
      </c>
      <c r="AE285" s="8">
        <f t="shared" si="168"/>
        <v>6.5235688454406998E-2</v>
      </c>
      <c r="AF285" s="8">
        <f t="shared" si="169"/>
        <v>7.7175079749634848E-2</v>
      </c>
      <c r="AG285" s="8">
        <f t="shared" si="170"/>
        <v>8.4589595014440661E-2</v>
      </c>
      <c r="AH285" s="8">
        <f t="shared" si="171"/>
        <v>5.4209970259239383E-2</v>
      </c>
      <c r="AI285" s="8">
        <f t="shared" si="172"/>
        <v>0.10666890690346016</v>
      </c>
      <c r="AJ285" s="8">
        <f t="shared" si="173"/>
        <v>6.8786600469827222E-2</v>
      </c>
      <c r="AK285" s="8">
        <f t="shared" si="174"/>
        <v>7.8490142403679214E-2</v>
      </c>
      <c r="AL285" s="9">
        <v>0</v>
      </c>
      <c r="AM285" s="17">
        <f t="shared" si="151"/>
        <v>18.531764494290197</v>
      </c>
      <c r="AN285" s="13">
        <f t="shared" si="152"/>
        <v>15.32903267662909</v>
      </c>
      <c r="AO285" s="13">
        <f t="shared" si="153"/>
        <v>12.957550588144763</v>
      </c>
      <c r="AP285" s="13">
        <f t="shared" si="154"/>
        <v>11.821784935006317</v>
      </c>
      <c r="AQ285" s="13">
        <f t="shared" si="155"/>
        <v>18.446791157011621</v>
      </c>
      <c r="AR285" s="13">
        <f t="shared" si="156"/>
        <v>9.3748031083232348</v>
      </c>
      <c r="AS285" s="13">
        <f t="shared" si="157"/>
        <v>14.537715095233457</v>
      </c>
      <c r="AT285" s="13">
        <f t="shared" si="158"/>
        <v>12.740453378934438</v>
      </c>
      <c r="AU285" s="9">
        <v>0</v>
      </c>
      <c r="AV285" s="18">
        <f t="shared" si="175"/>
        <v>1</v>
      </c>
      <c r="AW285" s="18">
        <f t="shared" si="176"/>
        <v>3</v>
      </c>
      <c r="AX285" s="18">
        <f t="shared" si="177"/>
        <v>5</v>
      </c>
      <c r="AY285" s="18">
        <f t="shared" si="178"/>
        <v>7</v>
      </c>
      <c r="AZ285" s="18">
        <f t="shared" si="179"/>
        <v>2</v>
      </c>
      <c r="BA285" s="18">
        <f t="shared" si="180"/>
        <v>8</v>
      </c>
      <c r="BB285" s="18">
        <f t="shared" si="181"/>
        <v>4</v>
      </c>
      <c r="BC285" s="18">
        <f t="shared" si="182"/>
        <v>6</v>
      </c>
      <c r="BD285" s="18">
        <f t="shared" si="183"/>
        <v>9</v>
      </c>
      <c r="BE285" s="8">
        <f t="shared" si="185"/>
        <v>-3.2855966859149204E-3</v>
      </c>
    </row>
    <row r="286" spans="1:57" x14ac:dyDescent="0.25">
      <c r="A286" t="str">
        <f t="shared" si="184"/>
        <v/>
      </c>
      <c r="B286" s="1">
        <v>43152</v>
      </c>
      <c r="C286" s="9">
        <f t="shared" si="159"/>
        <v>0.24882545526522112</v>
      </c>
      <c r="D286" s="9">
        <f t="shared" si="160"/>
        <v>0.24036275352971861</v>
      </c>
      <c r="E286" s="9">
        <f t="shared" si="161"/>
        <v>0</v>
      </c>
      <c r="F286" s="9">
        <f t="shared" si="162"/>
        <v>0</v>
      </c>
      <c r="G286" s="9">
        <f t="shared" si="163"/>
        <v>0.25850597356120569</v>
      </c>
      <c r="H286" s="9">
        <f t="shared" si="164"/>
        <v>0</v>
      </c>
      <c r="I286" s="9">
        <f t="shared" si="165"/>
        <v>0.25230581764385446</v>
      </c>
      <c r="J286" s="9">
        <f t="shared" si="166"/>
        <v>0</v>
      </c>
      <c r="K286" s="9">
        <v>0</v>
      </c>
      <c r="L286" s="8">
        <f>+VLOOKUP($B286,NIFTY_50!$B$3:$I$1238,8,0)</f>
        <v>3.5761167522490034E-3</v>
      </c>
      <c r="M286" s="8">
        <f>+VLOOKUP($B286,NIFTY_BANK!$B$3:$I$41238,8,0)</f>
        <v>2.5045830251182455E-3</v>
      </c>
      <c r="N286" s="8">
        <f>+VLOOKUP($B286,NIFTY_IT!$B$3:$I$1238,8,0)</f>
        <v>2.3282411897833866E-2</v>
      </c>
      <c r="O286" s="8">
        <f>+VLOOKUP($B286,NIFTY_PHARMA!$B$3:$I$1238,8,0)</f>
        <v>-1.9660227808109165E-2</v>
      </c>
      <c r="P286" s="8">
        <f>+VLOOKUP($B286,NIFTY_FMCG!$B$3:$I$1238,8,0)</f>
        <v>8.1801763518538628E-3</v>
      </c>
      <c r="Q286" s="8">
        <f>+VLOOKUP($B286,NIFTY_METAL!$B$3:$I$1238,8,0)</f>
        <v>-1.37148619689903E-2</v>
      </c>
      <c r="R286" s="8">
        <f>+VLOOKUP($B286,NIFTY_ENERGY!$B$3:$I$1238,8,0)</f>
        <v>5.1133966628358341E-3</v>
      </c>
      <c r="S286" s="8">
        <f>+VLOOKUP($B286,NIFTY_AUTO!$B$3:$I$1238,8,0)</f>
        <v>-1.8881865199900094E-3</v>
      </c>
      <c r="T286" s="8">
        <v>0</v>
      </c>
      <c r="U286" s="8">
        <f>+VLOOKUP($B286,NIFTY_50!$B$63:$K$1238,10,0)</f>
        <v>4.7058823529413374E-3</v>
      </c>
      <c r="V286" s="8">
        <f>+VLOOKUP($B286,NIFTY_BANK!$B$63:$K$1238,10,0)</f>
        <v>-3.1067074651512927E-2</v>
      </c>
      <c r="W286" s="8">
        <f>+VLOOKUP($B286,NIFTY_IT!$B$63:$K$1238,10,0)</f>
        <v>0.12728171246416031</v>
      </c>
      <c r="X286" s="8">
        <f>+VLOOKUP($B286,NIFTY_PHARMA!$B$63:$K$1238,10,0)</f>
        <v>-4.8400981362716977E-2</v>
      </c>
      <c r="Y286" s="8">
        <f>+VLOOKUP($B286,NIFTY_FMCG!$B$63:$K$1238,10,0)</f>
        <v>3.049564389495707E-2</v>
      </c>
      <c r="Z286" s="8">
        <f>+VLOOKUP($B286,NIFTY_METAL!$B$63:$K$1238,10,0)</f>
        <v>3.2924961715160794E-2</v>
      </c>
      <c r="AA286" s="8">
        <f>+VLOOKUP($B286,NIFTY_ENERGY!$B$63:$K$1238,10,0)</f>
        <v>-3.6417202726496178E-2</v>
      </c>
      <c r="AB286" s="8">
        <f>+VLOOKUP($B286,NIFTY_AUTO!$B$63:$K$1238,10,0)</f>
        <v>-3.3950603659478551E-2</v>
      </c>
      <c r="AC286" s="8"/>
      <c r="AD286" s="16">
        <f t="shared" si="167"/>
        <v>5.4071979542253394E-2</v>
      </c>
      <c r="AE286" s="8">
        <f t="shared" si="168"/>
        <v>6.5302000461833473E-2</v>
      </c>
      <c r="AF286" s="8">
        <f t="shared" si="169"/>
        <v>7.9652274270682194E-2</v>
      </c>
      <c r="AG286" s="8">
        <f t="shared" si="170"/>
        <v>8.6687161684268627E-2</v>
      </c>
      <c r="AH286" s="8">
        <f t="shared" si="171"/>
        <v>5.4751868834856124E-2</v>
      </c>
      <c r="AI286" s="8">
        <f t="shared" si="172"/>
        <v>0.10758984505550738</v>
      </c>
      <c r="AJ286" s="8">
        <f t="shared" si="173"/>
        <v>6.8448533041504431E-2</v>
      </c>
      <c r="AK286" s="8">
        <f t="shared" si="174"/>
        <v>7.8478379608189958E-2</v>
      </c>
      <c r="AL286" s="9">
        <v>0</v>
      </c>
      <c r="AM286" s="17">
        <f t="shared" si="151"/>
        <v>18.493867035486861</v>
      </c>
      <c r="AN286" s="13">
        <f t="shared" si="152"/>
        <v>15.313466554282083</v>
      </c>
      <c r="AO286" s="13">
        <f t="shared" si="153"/>
        <v>12.554569334727363</v>
      </c>
      <c r="AP286" s="13">
        <f t="shared" si="154"/>
        <v>11.535733556973442</v>
      </c>
      <c r="AQ286" s="13">
        <f t="shared" si="155"/>
        <v>18.264216752422161</v>
      </c>
      <c r="AR286" s="13">
        <f t="shared" si="156"/>
        <v>9.2945574880611037</v>
      </c>
      <c r="AS286" s="13">
        <f t="shared" si="157"/>
        <v>14.609516896346637</v>
      </c>
      <c r="AT286" s="13">
        <f t="shared" si="158"/>
        <v>12.742362992107964</v>
      </c>
      <c r="AU286" s="9">
        <v>0</v>
      </c>
      <c r="AV286" s="18">
        <f t="shared" si="175"/>
        <v>1</v>
      </c>
      <c r="AW286" s="18">
        <f t="shared" si="176"/>
        <v>3</v>
      </c>
      <c r="AX286" s="18">
        <f t="shared" si="177"/>
        <v>6</v>
      </c>
      <c r="AY286" s="18">
        <f t="shared" si="178"/>
        <v>7</v>
      </c>
      <c r="AZ286" s="18">
        <f t="shared" si="179"/>
        <v>2</v>
      </c>
      <c r="BA286" s="18">
        <f t="shared" si="180"/>
        <v>8</v>
      </c>
      <c r="BB286" s="18">
        <f t="shared" si="181"/>
        <v>4</v>
      </c>
      <c r="BC286" s="18">
        <f t="shared" si="182"/>
        <v>5</v>
      </c>
      <c r="BD286" s="18">
        <f t="shared" si="183"/>
        <v>9</v>
      </c>
      <c r="BE286" s="8">
        <f t="shared" si="185"/>
        <v>4.892021004077849E-3</v>
      </c>
    </row>
    <row r="287" spans="1:57" x14ac:dyDescent="0.25">
      <c r="A287" t="str">
        <f t="shared" si="184"/>
        <v/>
      </c>
      <c r="B287" s="1">
        <v>43153</v>
      </c>
      <c r="C287" s="9">
        <f t="shared" si="159"/>
        <v>0.2494750002367622</v>
      </c>
      <c r="D287" s="9">
        <f t="shared" si="160"/>
        <v>0.2415116050126114</v>
      </c>
      <c r="E287" s="9">
        <f t="shared" si="161"/>
        <v>0</v>
      </c>
      <c r="F287" s="9">
        <f t="shared" si="162"/>
        <v>0</v>
      </c>
      <c r="G287" s="9">
        <f t="shared" si="163"/>
        <v>0.25846232601478125</v>
      </c>
      <c r="H287" s="9">
        <f t="shared" si="164"/>
        <v>0</v>
      </c>
      <c r="I287" s="9">
        <f t="shared" si="165"/>
        <v>0.25055106873584526</v>
      </c>
      <c r="J287" s="9">
        <f t="shared" si="166"/>
        <v>0</v>
      </c>
      <c r="K287" s="9">
        <v>0</v>
      </c>
      <c r="L287" s="8">
        <f>+VLOOKUP($B287,NIFTY_50!$B$3:$I$1238,8,0)</f>
        <v>-1.4186170647610963E-3</v>
      </c>
      <c r="M287" s="8">
        <f>+VLOOKUP($B287,NIFTY_BANK!$B$3:$I$41238,8,0)</f>
        <v>7.4187843620054927E-4</v>
      </c>
      <c r="N287" s="8">
        <f>+VLOOKUP($B287,NIFTY_IT!$B$3:$I$1238,8,0)</f>
        <v>5.5450017969913556E-3</v>
      </c>
      <c r="O287" s="8">
        <f>+VLOOKUP($B287,NIFTY_PHARMA!$B$3:$I$1238,8,0)</f>
        <v>2.0749937806725516E-3</v>
      </c>
      <c r="P287" s="8">
        <f>+VLOOKUP($B287,NIFTY_FMCG!$B$3:$I$1238,8,0)</f>
        <v>-4.1867379196146581E-3</v>
      </c>
      <c r="Q287" s="8">
        <f>+VLOOKUP($B287,NIFTY_METAL!$B$3:$I$1238,8,0)</f>
        <v>-1.9938140640576307E-3</v>
      </c>
      <c r="R287" s="8">
        <f>+VLOOKUP($B287,NIFTY_ENERGY!$B$3:$I$1238,8,0)</f>
        <v>-1.094547165032389E-2</v>
      </c>
      <c r="S287" s="8">
        <f>+VLOOKUP($B287,NIFTY_AUTO!$B$3:$I$1238,8,0)</f>
        <v>-8.61344153826471E-3</v>
      </c>
      <c r="T287" s="8">
        <v>0</v>
      </c>
      <c r="U287" s="8">
        <f>+VLOOKUP($B287,NIFTY_50!$B$63:$K$1238,10,0)</f>
        <v>-6.7374418895638222E-4</v>
      </c>
      <c r="V287" s="8">
        <f>+VLOOKUP($B287,NIFTY_BANK!$B$63:$K$1238,10,0)</f>
        <v>-3.1980651405275062E-2</v>
      </c>
      <c r="W287" s="8">
        <f>+VLOOKUP($B287,NIFTY_IT!$B$63:$K$1238,10,0)</f>
        <v>0.12593309983726031</v>
      </c>
      <c r="X287" s="8">
        <f>+VLOOKUP($B287,NIFTY_PHARMA!$B$63:$K$1238,10,0)</f>
        <v>-5.3666584795446504E-2</v>
      </c>
      <c r="Y287" s="8">
        <f>+VLOOKUP($B287,NIFTY_FMCG!$B$63:$K$1238,10,0)</f>
        <v>1.8849725850172527E-2</v>
      </c>
      <c r="Z287" s="8">
        <f>+VLOOKUP($B287,NIFTY_METAL!$B$63:$K$1238,10,0)</f>
        <v>3.6750843091956753E-2</v>
      </c>
      <c r="AA287" s="8">
        <f>+VLOOKUP($B287,NIFTY_ENERGY!$B$63:$K$1238,10,0)</f>
        <v>-5.1738193777124075E-2</v>
      </c>
      <c r="AB287" s="8">
        <f>+VLOOKUP($B287,NIFTY_AUTO!$B$63:$K$1238,10,0)</f>
        <v>-4.6078289123677063E-2</v>
      </c>
      <c r="AC287" s="8"/>
      <c r="AD287" s="16">
        <f t="shared" si="167"/>
        <v>5.395133003059395E-2</v>
      </c>
      <c r="AE287" s="8">
        <f t="shared" si="168"/>
        <v>6.5277351269277556E-2</v>
      </c>
      <c r="AF287" s="8">
        <f t="shared" si="169"/>
        <v>7.9589659590034806E-2</v>
      </c>
      <c r="AG287" s="8">
        <f t="shared" si="170"/>
        <v>8.6322333446129648E-2</v>
      </c>
      <c r="AH287" s="8">
        <f t="shared" si="171"/>
        <v>5.45267285667329E-2</v>
      </c>
      <c r="AI287" s="8">
        <f t="shared" si="172"/>
        <v>0.10743598893179572</v>
      </c>
      <c r="AJ287" s="8">
        <f t="shared" si="173"/>
        <v>6.8973008294088201E-2</v>
      </c>
      <c r="AK287" s="8">
        <f t="shared" si="174"/>
        <v>7.8749735431073817E-2</v>
      </c>
      <c r="AL287" s="9">
        <v>0</v>
      </c>
      <c r="AM287" s="17">
        <f t="shared" si="151"/>
        <v>18.535224236973107</v>
      </c>
      <c r="AN287" s="13">
        <f t="shared" si="152"/>
        <v>15.319249028271232</v>
      </c>
      <c r="AO287" s="13">
        <f t="shared" si="153"/>
        <v>12.564446250316758</v>
      </c>
      <c r="AP287" s="13">
        <f t="shared" si="154"/>
        <v>11.58448758366872</v>
      </c>
      <c r="AQ287" s="13">
        <f t="shared" si="155"/>
        <v>18.339629504384135</v>
      </c>
      <c r="AR287" s="13">
        <f t="shared" si="156"/>
        <v>9.3078679681055139</v>
      </c>
      <c r="AS287" s="13">
        <f t="shared" si="157"/>
        <v>14.498425177225622</v>
      </c>
      <c r="AT287" s="13">
        <f t="shared" si="158"/>
        <v>12.69845536021205</v>
      </c>
      <c r="AU287" s="9">
        <v>0</v>
      </c>
      <c r="AV287" s="18">
        <f t="shared" si="175"/>
        <v>1</v>
      </c>
      <c r="AW287" s="18">
        <f t="shared" si="176"/>
        <v>3</v>
      </c>
      <c r="AX287" s="18">
        <f t="shared" si="177"/>
        <v>6</v>
      </c>
      <c r="AY287" s="18">
        <f t="shared" si="178"/>
        <v>7</v>
      </c>
      <c r="AZ287" s="18">
        <f t="shared" si="179"/>
        <v>2</v>
      </c>
      <c r="BA287" s="18">
        <f t="shared" si="180"/>
        <v>8</v>
      </c>
      <c r="BB287" s="18">
        <f t="shared" si="181"/>
        <v>4</v>
      </c>
      <c r="BC287" s="18">
        <f t="shared" si="182"/>
        <v>5</v>
      </c>
      <c r="BD287" s="18">
        <f t="shared" si="183"/>
        <v>9</v>
      </c>
      <c r="BE287" s="8">
        <f t="shared" si="185"/>
        <v>-4.0185710294649082E-3</v>
      </c>
    </row>
    <row r="288" spans="1:57" x14ac:dyDescent="0.25">
      <c r="A288" t="str">
        <f t="shared" si="184"/>
        <v/>
      </c>
      <c r="B288" s="1">
        <v>43154</v>
      </c>
      <c r="C288" s="9">
        <f t="shared" si="159"/>
        <v>0.24939809521583398</v>
      </c>
      <c r="D288" s="9">
        <f t="shared" si="160"/>
        <v>0.24226899184559786</v>
      </c>
      <c r="E288" s="9">
        <f t="shared" si="161"/>
        <v>0</v>
      </c>
      <c r="F288" s="9">
        <f t="shared" si="162"/>
        <v>0</v>
      </c>
      <c r="G288" s="9">
        <f t="shared" si="163"/>
        <v>0.25773531825585172</v>
      </c>
      <c r="H288" s="9">
        <f t="shared" si="164"/>
        <v>0</v>
      </c>
      <c r="I288" s="9">
        <f t="shared" si="165"/>
        <v>0.25059759468271653</v>
      </c>
      <c r="J288" s="9">
        <f t="shared" si="166"/>
        <v>0</v>
      </c>
      <c r="K288" s="9">
        <v>0</v>
      </c>
      <c r="L288" s="8">
        <f>+VLOOKUP($B288,NIFTY_50!$B$3:$I$1238,8,0)</f>
        <v>1.0435628497404092E-2</v>
      </c>
      <c r="M288" s="8">
        <f>+VLOOKUP($B288,NIFTY_BANK!$B$3:$I$41238,8,0)</f>
        <v>1.3916939154965613E-2</v>
      </c>
      <c r="N288" s="8">
        <f>+VLOOKUP($B288,NIFTY_IT!$B$3:$I$1238,8,0)</f>
        <v>1.1068125135013096E-2</v>
      </c>
      <c r="O288" s="8">
        <f>+VLOOKUP($B288,NIFTY_PHARMA!$B$3:$I$1238,8,0)</f>
        <v>2.6366124072559005E-2</v>
      </c>
      <c r="P288" s="8">
        <f>+VLOOKUP($B288,NIFTY_FMCG!$B$3:$I$1238,8,0)</f>
        <v>7.9041599349980451E-3</v>
      </c>
      <c r="Q288" s="8">
        <f>+VLOOKUP($B288,NIFTY_METAL!$B$3:$I$1238,8,0)</f>
        <v>3.1887918448889607E-2</v>
      </c>
      <c r="R288" s="8">
        <f>+VLOOKUP($B288,NIFTY_ENERGY!$B$3:$I$1238,8,0)</f>
        <v>1.0934899120159658E-2</v>
      </c>
      <c r="S288" s="8">
        <f>+VLOOKUP($B288,NIFTY_AUTO!$B$3:$I$1238,8,0)</f>
        <v>7.2870911093800839E-3</v>
      </c>
      <c r="T288" s="8">
        <v>0</v>
      </c>
      <c r="U288" s="8">
        <f>+VLOOKUP($B288,NIFTY_50!$B$63:$K$1238,10,0)</f>
        <v>8.7984576255704106E-3</v>
      </c>
      <c r="V288" s="8">
        <f>+VLOOKUP($B288,NIFTY_BANK!$B$63:$K$1238,10,0)</f>
        <v>-2.2765763103976377E-2</v>
      </c>
      <c r="W288" s="8">
        <f>+VLOOKUP($B288,NIFTY_IT!$B$63:$K$1238,10,0)</f>
        <v>0.13760523233974853</v>
      </c>
      <c r="X288" s="8">
        <f>+VLOOKUP($B288,NIFTY_PHARMA!$B$63:$K$1238,10,0)</f>
        <v>-2.9171603317429406E-2</v>
      </c>
      <c r="Y288" s="8">
        <f>+VLOOKUP($B288,NIFTY_FMCG!$B$63:$K$1238,10,0)</f>
        <v>2.9455586950144497E-2</v>
      </c>
      <c r="Z288" s="8">
        <f>+VLOOKUP($B288,NIFTY_METAL!$B$63:$K$1238,10,0)</f>
        <v>7.729126278494558E-2</v>
      </c>
      <c r="AA288" s="8">
        <f>+VLOOKUP($B288,NIFTY_ENERGY!$B$63:$K$1238,10,0)</f>
        <v>-4.4121360549865263E-2</v>
      </c>
      <c r="AB288" s="8">
        <f>+VLOOKUP($B288,NIFTY_AUTO!$B$63:$K$1238,10,0)</f>
        <v>-4.1718189551597451E-2</v>
      </c>
      <c r="AC288" s="8"/>
      <c r="AD288" s="16">
        <f t="shared" si="167"/>
        <v>5.4927489791591295E-2</v>
      </c>
      <c r="AE288" s="8">
        <f t="shared" si="168"/>
        <v>6.6662241007861833E-2</v>
      </c>
      <c r="AF288" s="8">
        <f t="shared" si="169"/>
        <v>8.0083185402867491E-2</v>
      </c>
      <c r="AG288" s="8">
        <f t="shared" si="170"/>
        <v>9.0438712410525715E-2</v>
      </c>
      <c r="AH288" s="8">
        <f t="shared" si="171"/>
        <v>5.4962342548117743E-2</v>
      </c>
      <c r="AI288" s="8">
        <f t="shared" si="172"/>
        <v>0.11150376076079176</v>
      </c>
      <c r="AJ288" s="8">
        <f t="shared" si="173"/>
        <v>6.9863340961910728E-2</v>
      </c>
      <c r="AK288" s="8">
        <f t="shared" si="174"/>
        <v>7.9079622304050995E-2</v>
      </c>
      <c r="AL288" s="9">
        <v>0</v>
      </c>
      <c r="AM288" s="17">
        <f t="shared" si="151"/>
        <v>18.205820142050026</v>
      </c>
      <c r="AN288" s="13">
        <f t="shared" si="152"/>
        <v>15.000995839339765</v>
      </c>
      <c r="AO288" s="13">
        <f t="shared" si="153"/>
        <v>12.487015782019499</v>
      </c>
      <c r="AP288" s="13">
        <f t="shared" si="154"/>
        <v>11.057211821644808</v>
      </c>
      <c r="AQ288" s="13">
        <f t="shared" si="155"/>
        <v>18.194275455499962</v>
      </c>
      <c r="AR288" s="13">
        <f t="shared" si="156"/>
        <v>8.9683073752578899</v>
      </c>
      <c r="AS288" s="13">
        <f t="shared" si="157"/>
        <v>14.313658439913386</v>
      </c>
      <c r="AT288" s="13">
        <f t="shared" si="158"/>
        <v>12.645482753510485</v>
      </c>
      <c r="AU288" s="9">
        <v>0</v>
      </c>
      <c r="AV288" s="18">
        <f t="shared" si="175"/>
        <v>1</v>
      </c>
      <c r="AW288" s="18">
        <f t="shared" si="176"/>
        <v>3</v>
      </c>
      <c r="AX288" s="18">
        <f t="shared" si="177"/>
        <v>6</v>
      </c>
      <c r="AY288" s="18">
        <f t="shared" si="178"/>
        <v>7</v>
      </c>
      <c r="AZ288" s="18">
        <f t="shared" si="179"/>
        <v>2</v>
      </c>
      <c r="BA288" s="18">
        <f t="shared" si="180"/>
        <v>8</v>
      </c>
      <c r="BB288" s="18">
        <f t="shared" si="181"/>
        <v>4</v>
      </c>
      <c r="BC288" s="18">
        <f t="shared" si="182"/>
        <v>5</v>
      </c>
      <c r="BD288" s="18">
        <f t="shared" si="183"/>
        <v>9</v>
      </c>
      <c r="BE288" s="8">
        <f t="shared" si="185"/>
        <v>1.0747208957106343E-2</v>
      </c>
    </row>
    <row r="289" spans="1:57" x14ac:dyDescent="0.25">
      <c r="A289" t="str">
        <f t="shared" si="184"/>
        <v/>
      </c>
      <c r="B289" s="1">
        <v>43157</v>
      </c>
      <c r="C289" s="9">
        <f t="shared" si="159"/>
        <v>0.24974610082329332</v>
      </c>
      <c r="D289" s="9">
        <f t="shared" si="160"/>
        <v>0.24417160648929223</v>
      </c>
      <c r="E289" s="9">
        <f t="shared" si="161"/>
        <v>0</v>
      </c>
      <c r="F289" s="9">
        <f t="shared" si="162"/>
        <v>0</v>
      </c>
      <c r="G289" s="9">
        <f t="shared" si="163"/>
        <v>0.25563145203995347</v>
      </c>
      <c r="H289" s="9">
        <f t="shared" si="164"/>
        <v>0</v>
      </c>
      <c r="I289" s="9">
        <f t="shared" si="165"/>
        <v>0.25045084064746093</v>
      </c>
      <c r="J289" s="9">
        <f t="shared" si="166"/>
        <v>0</v>
      </c>
      <c r="K289" s="9">
        <v>0</v>
      </c>
      <c r="L289" s="8">
        <f>+VLOOKUP($B289,NIFTY_50!$B$3:$I$1238,8,0)</f>
        <v>8.7264859094180469E-3</v>
      </c>
      <c r="M289" s="8">
        <f>+VLOOKUP($B289,NIFTY_BANK!$B$3:$I$41238,8,0)</f>
        <v>1.5231696472680634E-2</v>
      </c>
      <c r="N289" s="8">
        <f>+VLOOKUP($B289,NIFTY_IT!$B$3:$I$1238,8,0)</f>
        <v>-1.2275515396837133E-2</v>
      </c>
      <c r="O289" s="8">
        <f>+VLOOKUP($B289,NIFTY_PHARMA!$B$3:$I$1238,8,0)</f>
        <v>-3.3313543109703136E-3</v>
      </c>
      <c r="P289" s="8">
        <f>+VLOOKUP($B289,NIFTY_FMCG!$B$3:$I$1238,8,0)</f>
        <v>-9.0176566091371146E-4</v>
      </c>
      <c r="Q289" s="8">
        <f>+VLOOKUP($B289,NIFTY_METAL!$B$3:$I$1238,8,0)</f>
        <v>1.0710385226370134E-2</v>
      </c>
      <c r="R289" s="8">
        <f>+VLOOKUP($B289,NIFTY_ENERGY!$B$3:$I$1238,8,0)</f>
        <v>6.7309849674668243E-3</v>
      </c>
      <c r="S289" s="8">
        <f>+VLOOKUP($B289,NIFTY_AUTO!$B$3:$I$1238,8,0)</f>
        <v>2.2389493914157566E-2</v>
      </c>
      <c r="T289" s="8">
        <v>0</v>
      </c>
      <c r="U289" s="8">
        <f>+VLOOKUP($B289,NIFTY_50!$B$63:$K$1238,10,0)</f>
        <v>2.0476844820520368E-2</v>
      </c>
      <c r="V289" s="8">
        <f>+VLOOKUP($B289,NIFTY_BANK!$B$63:$K$1238,10,0)</f>
        <v>-6.1323820725517342E-3</v>
      </c>
      <c r="W289" s="8">
        <f>+VLOOKUP($B289,NIFTY_IT!$B$63:$K$1238,10,0)</f>
        <v>0.12799229854666105</v>
      </c>
      <c r="X289" s="8">
        <f>+VLOOKUP($B289,NIFTY_PHARMA!$B$63:$K$1238,10,0)</f>
        <v>-2.7193217792563118E-2</v>
      </c>
      <c r="Y289" s="8">
        <f>+VLOOKUP($B289,NIFTY_FMCG!$B$63:$K$1238,10,0)</f>
        <v>2.7351468685961278E-2</v>
      </c>
      <c r="Z289" s="8">
        <f>+VLOOKUP($B289,NIFTY_METAL!$B$63:$K$1238,10,0)</f>
        <v>8.996613889743954E-2</v>
      </c>
      <c r="AA289" s="8">
        <f>+VLOOKUP($B289,NIFTY_ENERGY!$B$63:$K$1238,10,0)</f>
        <v>-2.8601358311364011E-2</v>
      </c>
      <c r="AB289" s="8">
        <f>+VLOOKUP($B289,NIFTY_AUTO!$B$63:$K$1238,10,0)</f>
        <v>-2.0580551269462788E-2</v>
      </c>
      <c r="AC289" s="8"/>
      <c r="AD289" s="16">
        <f t="shared" si="167"/>
        <v>5.5490263939538903E-2</v>
      </c>
      <c r="AE289" s="8">
        <f t="shared" si="168"/>
        <v>6.8407712015725097E-2</v>
      </c>
      <c r="AF289" s="8">
        <f t="shared" si="169"/>
        <v>8.1144682363071347E-2</v>
      </c>
      <c r="AG289" s="8">
        <f t="shared" si="170"/>
        <v>9.0350298105580512E-2</v>
      </c>
      <c r="AH289" s="8">
        <f t="shared" si="171"/>
        <v>5.4975841520696421E-2</v>
      </c>
      <c r="AI289" s="8">
        <f t="shared" si="172"/>
        <v>0.11186309120121511</v>
      </c>
      <c r="AJ289" s="8">
        <f t="shared" si="173"/>
        <v>6.9691869540916468E-2</v>
      </c>
      <c r="AK289" s="8">
        <f t="shared" si="174"/>
        <v>8.23124933495364E-2</v>
      </c>
      <c r="AL289" s="9">
        <v>0</v>
      </c>
      <c r="AM289" s="17">
        <f t="shared" si="151"/>
        <v>18.021179374630119</v>
      </c>
      <c r="AN289" s="13">
        <f t="shared" si="152"/>
        <v>14.618234852966969</v>
      </c>
      <c r="AO289" s="13">
        <f t="shared" si="153"/>
        <v>12.323666454514294</v>
      </c>
      <c r="AP289" s="13">
        <f t="shared" si="154"/>
        <v>11.068032103573488</v>
      </c>
      <c r="AQ289" s="13">
        <f t="shared" si="155"/>
        <v>18.189807965441258</v>
      </c>
      <c r="AR289" s="13">
        <f t="shared" si="156"/>
        <v>8.9394990721402259</v>
      </c>
      <c r="AS289" s="13">
        <f t="shared" si="157"/>
        <v>14.348876082494741</v>
      </c>
      <c r="AT289" s="13">
        <f t="shared" si="158"/>
        <v>12.148824064331812</v>
      </c>
      <c r="AU289" s="9">
        <v>0</v>
      </c>
      <c r="AV289" s="18">
        <f t="shared" si="175"/>
        <v>2</v>
      </c>
      <c r="AW289" s="18">
        <f t="shared" si="176"/>
        <v>3</v>
      </c>
      <c r="AX289" s="18">
        <f t="shared" si="177"/>
        <v>5</v>
      </c>
      <c r="AY289" s="18">
        <f t="shared" si="178"/>
        <v>7</v>
      </c>
      <c r="AZ289" s="18">
        <f t="shared" si="179"/>
        <v>1</v>
      </c>
      <c r="BA289" s="18">
        <f t="shared" si="180"/>
        <v>8</v>
      </c>
      <c r="BB289" s="18">
        <f t="shared" si="181"/>
        <v>4</v>
      </c>
      <c r="BC289" s="18">
        <f t="shared" si="182"/>
        <v>6</v>
      </c>
      <c r="BD289" s="18">
        <f t="shared" si="183"/>
        <v>9</v>
      </c>
      <c r="BE289" s="8">
        <f t="shared" si="185"/>
        <v>7.3208884953560767E-3</v>
      </c>
    </row>
    <row r="290" spans="1:57" x14ac:dyDescent="0.25">
      <c r="A290" t="str">
        <f t="shared" si="184"/>
        <v/>
      </c>
      <c r="B290" s="1">
        <v>43158</v>
      </c>
      <c r="C290" s="9">
        <f t="shared" si="159"/>
        <v>0.2493984441403391</v>
      </c>
      <c r="D290" s="9">
        <f t="shared" si="160"/>
        <v>0.24158932693702337</v>
      </c>
      <c r="E290" s="9">
        <f t="shared" si="161"/>
        <v>0</v>
      </c>
      <c r="F290" s="9">
        <f t="shared" si="162"/>
        <v>0</v>
      </c>
      <c r="G290" s="9">
        <f t="shared" si="163"/>
        <v>0.25675114572856916</v>
      </c>
      <c r="H290" s="9">
        <f t="shared" si="164"/>
        <v>0</v>
      </c>
      <c r="I290" s="9">
        <f t="shared" si="165"/>
        <v>0.25226108319406831</v>
      </c>
      <c r="J290" s="9">
        <f t="shared" si="166"/>
        <v>0</v>
      </c>
      <c r="K290" s="9">
        <v>0</v>
      </c>
      <c r="L290" s="8">
        <f>+VLOOKUP($B290,NIFTY_50!$B$3:$I$1238,8,0)</f>
        <v>-2.6742010470017785E-3</v>
      </c>
      <c r="M290" s="8">
        <f>+VLOOKUP($B290,NIFTY_BANK!$B$3:$I$41238,8,0)</f>
        <v>-1.1846044246513032E-2</v>
      </c>
      <c r="N290" s="8">
        <f>+VLOOKUP($B290,NIFTY_IT!$B$3:$I$1238,8,0)</f>
        <v>2.6468656469875729E-3</v>
      </c>
      <c r="O290" s="8">
        <f>+VLOOKUP($B290,NIFTY_PHARMA!$B$3:$I$1238,8,0)</f>
        <v>-4.5945439101608976E-3</v>
      </c>
      <c r="P290" s="8">
        <f>+VLOOKUP($B290,NIFTY_FMCG!$B$3:$I$1238,8,0)</f>
        <v>3.0905375508756272E-3</v>
      </c>
      <c r="Q290" s="8">
        <f>+VLOOKUP($B290,NIFTY_METAL!$B$3:$I$1238,8,0)</f>
        <v>-8.5217156399267635E-3</v>
      </c>
      <c r="R290" s="8">
        <f>+VLOOKUP($B290,NIFTY_ENERGY!$B$3:$I$1238,8,0)</f>
        <v>5.934707434380293E-3</v>
      </c>
      <c r="S290" s="8">
        <f>+VLOOKUP($B290,NIFTY_AUTO!$B$3:$I$1238,8,0)</f>
        <v>-5.72878670563437E-4</v>
      </c>
      <c r="T290" s="8">
        <v>0</v>
      </c>
      <c r="U290" s="8">
        <f>+VLOOKUP($B290,NIFTY_50!$B$63:$K$1238,10,0)</f>
        <v>1.8627006263692847E-2</v>
      </c>
      <c r="V290" s="8">
        <f>+VLOOKUP($B290,NIFTY_BANK!$B$63:$K$1238,10,0)</f>
        <v>-1.5975530805521942E-2</v>
      </c>
      <c r="W290" s="8">
        <f>+VLOOKUP($B290,NIFTY_IT!$B$63:$K$1238,10,0)</f>
        <v>0.13476869388717994</v>
      </c>
      <c r="X290" s="8">
        <f>+VLOOKUP($B290,NIFTY_PHARMA!$B$63:$K$1238,10,0)</f>
        <v>-3.5116046557632896E-2</v>
      </c>
      <c r="Y290" s="8">
        <f>+VLOOKUP($B290,NIFTY_FMCG!$B$63:$K$1238,10,0)</f>
        <v>2.9082291700756935E-2</v>
      </c>
      <c r="Z290" s="8">
        <f>+VLOOKUP($B290,NIFTY_METAL!$B$63:$K$1238,10,0)</f>
        <v>8.4728230205002752E-2</v>
      </c>
      <c r="AA290" s="8">
        <f>+VLOOKUP($B290,NIFTY_ENERGY!$B$63:$K$1238,10,0)</f>
        <v>-2.4485043695903097E-2</v>
      </c>
      <c r="AB290" s="8">
        <f>+VLOOKUP($B290,NIFTY_AUTO!$B$63:$K$1238,10,0)</f>
        <v>-2.2987499945309575E-2</v>
      </c>
      <c r="AC290" s="8"/>
      <c r="AD290" s="16">
        <f t="shared" si="167"/>
        <v>5.5559137336121327E-2</v>
      </c>
      <c r="AE290" s="8">
        <f t="shared" si="168"/>
        <v>6.9377676258955648E-2</v>
      </c>
      <c r="AF290" s="8">
        <f t="shared" si="169"/>
        <v>8.0965475881791718E-2</v>
      </c>
      <c r="AG290" s="8">
        <f t="shared" si="170"/>
        <v>9.0355332531967092E-2</v>
      </c>
      <c r="AH290" s="8">
        <f t="shared" si="171"/>
        <v>5.5030008283164671E-2</v>
      </c>
      <c r="AI290" s="8">
        <f t="shared" si="172"/>
        <v>0.11218807451105914</v>
      </c>
      <c r="AJ290" s="8">
        <f t="shared" si="173"/>
        <v>6.9948005081502063E-2</v>
      </c>
      <c r="AK290" s="8">
        <f t="shared" si="174"/>
        <v>8.2283659281371171E-2</v>
      </c>
      <c r="AL290" s="9">
        <v>0</v>
      </c>
      <c r="AM290" s="17">
        <f t="shared" si="151"/>
        <v>17.998839577911482</v>
      </c>
      <c r="AN290" s="13">
        <f t="shared" si="152"/>
        <v>14.413858375242347</v>
      </c>
      <c r="AO290" s="13">
        <f t="shared" si="153"/>
        <v>12.350943276860175</v>
      </c>
      <c r="AP290" s="13">
        <f t="shared" si="154"/>
        <v>11.067415413984635</v>
      </c>
      <c r="AQ290" s="13">
        <f t="shared" si="155"/>
        <v>18.171903497712719</v>
      </c>
      <c r="AR290" s="13">
        <f t="shared" si="156"/>
        <v>8.9136033785963882</v>
      </c>
      <c r="AS290" s="13">
        <f t="shared" si="157"/>
        <v>14.296333381271122</v>
      </c>
      <c r="AT290" s="13">
        <f t="shared" si="158"/>
        <v>12.153081288964961</v>
      </c>
      <c r="AU290" s="9">
        <v>0</v>
      </c>
      <c r="AV290" s="18">
        <f t="shared" si="175"/>
        <v>2</v>
      </c>
      <c r="AW290" s="18">
        <f t="shared" si="176"/>
        <v>3</v>
      </c>
      <c r="AX290" s="18">
        <f t="shared" si="177"/>
        <v>5</v>
      </c>
      <c r="AY290" s="18">
        <f t="shared" si="178"/>
        <v>7</v>
      </c>
      <c r="AZ290" s="18">
        <f t="shared" si="179"/>
        <v>1</v>
      </c>
      <c r="BA290" s="18">
        <f t="shared" si="180"/>
        <v>8</v>
      </c>
      <c r="BB290" s="18">
        <f t="shared" si="181"/>
        <v>4</v>
      </c>
      <c r="BC290" s="18">
        <f t="shared" si="182"/>
        <v>6</v>
      </c>
      <c r="BD290" s="18">
        <f t="shared" si="183"/>
        <v>9</v>
      </c>
      <c r="BE290" s="8">
        <f t="shared" si="185"/>
        <v>-1.2839478708689689E-3</v>
      </c>
    </row>
    <row r="291" spans="1:57" x14ac:dyDescent="0.25">
      <c r="A291" t="str">
        <f t="shared" si="184"/>
        <v>Y</v>
      </c>
      <c r="B291" s="1">
        <v>43159</v>
      </c>
      <c r="C291" s="9">
        <f t="shared" si="159"/>
        <v>0.25</v>
      </c>
      <c r="D291" s="9">
        <f t="shared" si="160"/>
        <v>0.25</v>
      </c>
      <c r="E291" s="9">
        <f t="shared" si="161"/>
        <v>0</v>
      </c>
      <c r="F291" s="9">
        <f t="shared" si="162"/>
        <v>0</v>
      </c>
      <c r="G291" s="9">
        <f t="shared" si="163"/>
        <v>0.25</v>
      </c>
      <c r="H291" s="9">
        <f t="shared" si="164"/>
        <v>0</v>
      </c>
      <c r="I291" s="9">
        <f t="shared" si="165"/>
        <v>0.25</v>
      </c>
      <c r="J291" s="9">
        <f t="shared" si="166"/>
        <v>0</v>
      </c>
      <c r="K291" s="9">
        <v>0</v>
      </c>
      <c r="L291" s="8">
        <f>+VLOOKUP($B291,NIFTY_50!$B$3:$I$1238,8,0)</f>
        <v>-5.8222714912404827E-3</v>
      </c>
      <c r="M291" s="8">
        <f>+VLOOKUP($B291,NIFTY_BANK!$B$3:$I$41238,8,0)</f>
        <v>-1.0881041302258088E-2</v>
      </c>
      <c r="N291" s="8">
        <f>+VLOOKUP($B291,NIFTY_IT!$B$3:$I$1238,8,0)</f>
        <v>4.8796560705433034E-3</v>
      </c>
      <c r="O291" s="8">
        <f>+VLOOKUP($B291,NIFTY_PHARMA!$B$3:$I$1238,8,0)</f>
        <v>-7.0039729815093432E-3</v>
      </c>
      <c r="P291" s="8">
        <f>+VLOOKUP($B291,NIFTY_FMCG!$B$3:$I$1238,8,0)</f>
        <v>-8.0252317776730031E-3</v>
      </c>
      <c r="Q291" s="8">
        <f>+VLOOKUP($B291,NIFTY_METAL!$B$3:$I$1238,8,0)</f>
        <v>-1.0626044956344116E-2</v>
      </c>
      <c r="R291" s="8">
        <f>+VLOOKUP($B291,NIFTY_ENERGY!$B$3:$I$1238,8,0)</f>
        <v>-5.7174507316459788E-5</v>
      </c>
      <c r="S291" s="8">
        <f>+VLOOKUP($B291,NIFTY_AUTO!$B$3:$I$1238,8,0)</f>
        <v>-7.2098699088685159E-4</v>
      </c>
      <c r="T291" s="8">
        <v>0</v>
      </c>
      <c r="U291" s="8">
        <f>+VLOOKUP($B291,NIFTY_50!$B$63:$K$1238,10,0)</f>
        <v>2.6040062386631035E-2</v>
      </c>
      <c r="V291" s="8">
        <f>+VLOOKUP($B291,NIFTY_BANK!$B$63:$K$1238,10,0)</f>
        <v>-8.8819061754906725E-3</v>
      </c>
      <c r="W291" s="8">
        <f>+VLOOKUP($B291,NIFTY_IT!$B$63:$K$1238,10,0)</f>
        <v>0.15237037070357662</v>
      </c>
      <c r="X291" s="8">
        <f>+VLOOKUP($B291,NIFTY_PHARMA!$B$63:$K$1238,10,0)</f>
        <v>-3.0144770667027476E-2</v>
      </c>
      <c r="Y291" s="8">
        <f>+VLOOKUP($B291,NIFTY_FMCG!$B$63:$K$1238,10,0)</f>
        <v>2.6864781439230434E-2</v>
      </c>
      <c r="Z291" s="8">
        <f>+VLOOKUP($B291,NIFTY_METAL!$B$63:$K$1238,10,0)</f>
        <v>8.5908083787567868E-2</v>
      </c>
      <c r="AA291" s="8">
        <f>+VLOOKUP($B291,NIFTY_ENERGY!$B$63:$K$1238,10,0)</f>
        <v>-9.4303221672749071E-3</v>
      </c>
      <c r="AB291" s="8">
        <f>+VLOOKUP($B291,NIFTY_AUTO!$B$63:$K$1238,10,0)</f>
        <v>-1.2016399684757539E-2</v>
      </c>
      <c r="AC291" s="8"/>
      <c r="AD291" s="16">
        <f t="shared" si="167"/>
        <v>5.427730424149612E-2</v>
      </c>
      <c r="AE291" s="8">
        <f t="shared" si="168"/>
        <v>6.7907583357503576E-2</v>
      </c>
      <c r="AF291" s="8">
        <f t="shared" si="169"/>
        <v>8.000262806640368E-2</v>
      </c>
      <c r="AG291" s="8">
        <f t="shared" si="170"/>
        <v>8.9842865496308572E-2</v>
      </c>
      <c r="AH291" s="8">
        <f t="shared" si="171"/>
        <v>5.5318538098192066E-2</v>
      </c>
      <c r="AI291" s="8">
        <f t="shared" si="172"/>
        <v>0.11206718744028793</v>
      </c>
      <c r="AJ291" s="8">
        <f t="shared" si="173"/>
        <v>6.8318143425537131E-2</v>
      </c>
      <c r="AK291" s="8">
        <f t="shared" si="174"/>
        <v>8.1465806482929878E-2</v>
      </c>
      <c r="AL291" s="9">
        <v>0</v>
      </c>
      <c r="AM291" s="17">
        <f t="shared" si="151"/>
        <v>18.423906897636218</v>
      </c>
      <c r="AN291" s="13">
        <f t="shared" si="152"/>
        <v>14.725895850768824</v>
      </c>
      <c r="AO291" s="13">
        <f t="shared" si="153"/>
        <v>12.499589378113695</v>
      </c>
      <c r="AP291" s="13">
        <f t="shared" si="154"/>
        <v>11.13054436182345</v>
      </c>
      <c r="AQ291" s="13">
        <f t="shared" si="155"/>
        <v>18.077122685797843</v>
      </c>
      <c r="AR291" s="13">
        <f t="shared" si="156"/>
        <v>8.9232184981248306</v>
      </c>
      <c r="AS291" s="13">
        <f t="shared" si="157"/>
        <v>14.637400108654047</v>
      </c>
      <c r="AT291" s="13">
        <f t="shared" si="158"/>
        <v>12.275088692696331</v>
      </c>
      <c r="AU291" s="9">
        <v>0</v>
      </c>
      <c r="AV291" s="18">
        <f t="shared" si="175"/>
        <v>1</v>
      </c>
      <c r="AW291" s="18">
        <f t="shared" si="176"/>
        <v>3</v>
      </c>
      <c r="AX291" s="18">
        <f t="shared" si="177"/>
        <v>5</v>
      </c>
      <c r="AY291" s="18">
        <f t="shared" si="178"/>
        <v>7</v>
      </c>
      <c r="AZ291" s="18">
        <f t="shared" si="179"/>
        <v>2</v>
      </c>
      <c r="BA291" s="18">
        <f t="shared" si="180"/>
        <v>8</v>
      </c>
      <c r="BB291" s="18">
        <f t="shared" si="181"/>
        <v>4</v>
      </c>
      <c r="BC291" s="18">
        <f t="shared" si="182"/>
        <v>6</v>
      </c>
      <c r="BD291" s="18">
        <f t="shared" si="183"/>
        <v>9</v>
      </c>
      <c r="BE291" s="8">
        <f t="shared" si="185"/>
        <v>-6.1557192526661151E-3</v>
      </c>
    </row>
    <row r="292" spans="1:57" x14ac:dyDescent="0.25">
      <c r="A292" t="str">
        <f t="shared" si="184"/>
        <v/>
      </c>
      <c r="B292" s="1">
        <v>43160</v>
      </c>
      <c r="C292" s="9">
        <f t="shared" si="159"/>
        <v>0.25008008027627771</v>
      </c>
      <c r="D292" s="9">
        <f t="shared" si="160"/>
        <v>0.24885792282676472</v>
      </c>
      <c r="E292" s="9">
        <f t="shared" si="161"/>
        <v>0</v>
      </c>
      <c r="F292" s="9">
        <f t="shared" si="162"/>
        <v>0</v>
      </c>
      <c r="G292" s="9">
        <f t="shared" si="163"/>
        <v>0.25070300452408395</v>
      </c>
      <c r="H292" s="9">
        <f t="shared" si="164"/>
        <v>0</v>
      </c>
      <c r="I292" s="9">
        <f t="shared" si="165"/>
        <v>0.25035899237287368</v>
      </c>
      <c r="J292" s="9">
        <f t="shared" si="166"/>
        <v>0</v>
      </c>
      <c r="K292" s="9">
        <v>0</v>
      </c>
      <c r="L292" s="8">
        <f>+VLOOKUP($B292,NIFTY_50!$B$3:$I$1238,8,0)</f>
        <v>-3.2879532252915178E-3</v>
      </c>
      <c r="M292" s="8">
        <f>+VLOOKUP($B292,NIFTY_BANK!$B$3:$I$41238,8,0)</f>
        <v>-8.1589491544326043E-3</v>
      </c>
      <c r="N292" s="8">
        <f>+VLOOKUP($B292,NIFTY_IT!$B$3:$I$1238,8,0)</f>
        <v>-3.0876727301115681E-3</v>
      </c>
      <c r="O292" s="8">
        <f>+VLOOKUP($B292,NIFTY_PHARMA!$B$3:$I$1238,8,0)</f>
        <v>-4.7431712284813354E-3</v>
      </c>
      <c r="P292" s="8">
        <f>+VLOOKUP($B292,NIFTY_FMCG!$B$3:$I$1238,8,0)</f>
        <v>-8.0524408136184444E-4</v>
      </c>
      <c r="Q292" s="8">
        <f>+VLOOKUP($B292,NIFTY_METAL!$B$3:$I$1238,8,0)</f>
        <v>-8.3743287393442944E-3</v>
      </c>
      <c r="R292" s="8">
        <f>+VLOOKUP($B292,NIFTY_ENERGY!$B$3:$I$1238,8,0)</f>
        <v>-2.1763291152812059E-3</v>
      </c>
      <c r="S292" s="8">
        <f>+VLOOKUP($B292,NIFTY_AUTO!$B$3:$I$1238,8,0)</f>
        <v>-9.4109633241312718E-4</v>
      </c>
      <c r="T292" s="8">
        <v>0</v>
      </c>
      <c r="U292" s="8">
        <f>+VLOOKUP($B292,NIFTY_50!$B$63:$K$1238,10,0)</f>
        <v>3.3250014819498519E-2</v>
      </c>
      <c r="V292" s="8">
        <f>+VLOOKUP($B292,NIFTY_BANK!$B$63:$K$1238,10,0)</f>
        <v>-1.1487796696960761E-2</v>
      </c>
      <c r="W292" s="8">
        <f>+VLOOKUP($B292,NIFTY_IT!$B$63:$K$1238,10,0)</f>
        <v>0.16631958715805828</v>
      </c>
      <c r="X292" s="8">
        <f>+VLOOKUP($B292,NIFTY_PHARMA!$B$63:$K$1238,10,0)</f>
        <v>-1.8285198456601592E-2</v>
      </c>
      <c r="Y292" s="8">
        <f>+VLOOKUP($B292,NIFTY_FMCG!$B$63:$K$1238,10,0)</f>
        <v>3.2164118627955096E-2</v>
      </c>
      <c r="Z292" s="8">
        <f>+VLOOKUP($B292,NIFTY_METAL!$B$63:$K$1238,10,0)</f>
        <v>9.4806379391359608E-2</v>
      </c>
      <c r="AA292" s="8">
        <f>+VLOOKUP($B292,NIFTY_ENERGY!$B$63:$K$1238,10,0)</f>
        <v>1.4274339901443334E-3</v>
      </c>
      <c r="AB292" s="8">
        <f>+VLOOKUP($B292,NIFTY_AUTO!$B$63:$K$1238,10,0)</f>
        <v>-3.7092651186071413E-3</v>
      </c>
      <c r="AC292" s="8"/>
      <c r="AD292" s="16">
        <f t="shared" si="167"/>
        <v>5.3337840658989909E-2</v>
      </c>
      <c r="AE292" s="8">
        <f t="shared" si="168"/>
        <v>6.8165905826919157E-2</v>
      </c>
      <c r="AF292" s="8">
        <f t="shared" si="169"/>
        <v>7.8265889032488531E-2</v>
      </c>
      <c r="AG292" s="8">
        <f t="shared" si="170"/>
        <v>8.8437751204009651E-2</v>
      </c>
      <c r="AH292" s="8">
        <f t="shared" si="171"/>
        <v>5.4958280427222339E-2</v>
      </c>
      <c r="AI292" s="8">
        <f t="shared" si="172"/>
        <v>0.11106121265578846</v>
      </c>
      <c r="AJ292" s="8">
        <f t="shared" si="173"/>
        <v>6.7110684742296839E-2</v>
      </c>
      <c r="AK292" s="8">
        <f t="shared" si="174"/>
        <v>8.0949768395824559E-2</v>
      </c>
      <c r="AL292" s="9">
        <v>0</v>
      </c>
      <c r="AM292" s="17">
        <f t="shared" si="151"/>
        <v>18.748415527231387</v>
      </c>
      <c r="AN292" s="13">
        <f t="shared" si="152"/>
        <v>14.670090390042077</v>
      </c>
      <c r="AO292" s="13">
        <f t="shared" si="153"/>
        <v>12.776958293860247</v>
      </c>
      <c r="AP292" s="13">
        <f t="shared" si="154"/>
        <v>11.307388376409342</v>
      </c>
      <c r="AQ292" s="13">
        <f t="shared" si="155"/>
        <v>18.195620245510312</v>
      </c>
      <c r="AR292" s="13">
        <f t="shared" si="156"/>
        <v>9.0040435908015493</v>
      </c>
      <c r="AS292" s="13">
        <f t="shared" si="157"/>
        <v>14.90075691881214</v>
      </c>
      <c r="AT292" s="13">
        <f t="shared" si="158"/>
        <v>12.353339852811496</v>
      </c>
      <c r="AU292" s="9">
        <v>0</v>
      </c>
      <c r="AV292" s="18">
        <f t="shared" si="175"/>
        <v>1</v>
      </c>
      <c r="AW292" s="18">
        <f t="shared" si="176"/>
        <v>4</v>
      </c>
      <c r="AX292" s="18">
        <f t="shared" si="177"/>
        <v>5</v>
      </c>
      <c r="AY292" s="18">
        <f t="shared" si="178"/>
        <v>7</v>
      </c>
      <c r="AZ292" s="18">
        <f t="shared" si="179"/>
        <v>2</v>
      </c>
      <c r="BA292" s="18">
        <f t="shared" si="180"/>
        <v>8</v>
      </c>
      <c r="BB292" s="18">
        <f t="shared" si="181"/>
        <v>3</v>
      </c>
      <c r="BC292" s="18">
        <f t="shared" si="182"/>
        <v>6</v>
      </c>
      <c r="BD292" s="18">
        <f t="shared" si="183"/>
        <v>9</v>
      </c>
      <c r="BE292" s="8">
        <f t="shared" si="185"/>
        <v>-3.6071188940917931E-3</v>
      </c>
    </row>
    <row r="293" spans="1:57" x14ac:dyDescent="0.25">
      <c r="A293" t="str">
        <f t="shared" si="184"/>
        <v/>
      </c>
      <c r="B293" s="1">
        <v>43164</v>
      </c>
      <c r="C293" s="9">
        <f t="shared" si="159"/>
        <v>0.25051729152008628</v>
      </c>
      <c r="D293" s="9">
        <f t="shared" si="160"/>
        <v>0.25084007133840208</v>
      </c>
      <c r="E293" s="9">
        <f t="shared" si="161"/>
        <v>0</v>
      </c>
      <c r="F293" s="9">
        <f t="shared" si="162"/>
        <v>0</v>
      </c>
      <c r="G293" s="9">
        <f t="shared" si="163"/>
        <v>0.25041819408779581</v>
      </c>
      <c r="H293" s="9">
        <f t="shared" si="164"/>
        <v>0</v>
      </c>
      <c r="I293" s="9">
        <f t="shared" si="165"/>
        <v>0.2482244430537158</v>
      </c>
      <c r="J293" s="9">
        <f t="shared" si="166"/>
        <v>0</v>
      </c>
      <c r="K293" s="9">
        <v>0</v>
      </c>
      <c r="L293" s="8">
        <f>+VLOOKUP($B293,NIFTY_50!$B$3:$I$1238,8,0)</f>
        <v>-9.5139290614676408E-3</v>
      </c>
      <c r="M293" s="8">
        <f>+VLOOKUP($B293,NIFTY_BANK!$B$3:$I$41238,8,0)</f>
        <v>-3.3671250534583752E-3</v>
      </c>
      <c r="N293" s="8">
        <f>+VLOOKUP($B293,NIFTY_IT!$B$3:$I$1238,8,0)</f>
        <v>6.9071103297322356E-3</v>
      </c>
      <c r="O293" s="8">
        <f>+VLOOKUP($B293,NIFTY_PHARMA!$B$3:$I$1238,8,0)</f>
        <v>-6.9468195452889736E-3</v>
      </c>
      <c r="P293" s="8">
        <f>+VLOOKUP($B293,NIFTY_FMCG!$B$3:$I$1238,8,0)</f>
        <v>-1.2365833910543911E-2</v>
      </c>
      <c r="Q293" s="8">
        <f>+VLOOKUP($B293,NIFTY_METAL!$B$3:$I$1238,8,0)</f>
        <v>-3.2846070337549493E-2</v>
      </c>
      <c r="R293" s="8">
        <f>+VLOOKUP($B293,NIFTY_ENERGY!$B$3:$I$1238,8,0)</f>
        <v>-1.9672659551608018E-2</v>
      </c>
      <c r="S293" s="8">
        <f>+VLOOKUP($B293,NIFTY_AUTO!$B$3:$I$1238,8,0)</f>
        <v>-1.5708685081683438E-2</v>
      </c>
      <c r="T293" s="8">
        <v>0</v>
      </c>
      <c r="U293" s="8">
        <f>+VLOOKUP($B293,NIFTY_50!$B$63:$K$1238,10,0)</f>
        <v>2.2818493742440271E-2</v>
      </c>
      <c r="V293" s="8">
        <f>+VLOOKUP($B293,NIFTY_BANK!$B$63:$K$1238,10,0)</f>
        <v>-1.0225283249119532E-2</v>
      </c>
      <c r="W293" s="8">
        <f>+VLOOKUP($B293,NIFTY_IT!$B$63:$K$1238,10,0)</f>
        <v>0.16026494249502554</v>
      </c>
      <c r="X293" s="8">
        <f>+VLOOKUP($B293,NIFTY_PHARMA!$B$63:$K$1238,10,0)</f>
        <v>-2.1674768007070355E-2</v>
      </c>
      <c r="Y293" s="8">
        <f>+VLOOKUP($B293,NIFTY_FMCG!$B$63:$K$1238,10,0)</f>
        <v>1.5791210497709374E-2</v>
      </c>
      <c r="Z293" s="8">
        <f>+VLOOKUP($B293,NIFTY_METAL!$B$63:$K$1238,10,0)</f>
        <v>5.5098808786063547E-2</v>
      </c>
      <c r="AA293" s="8">
        <f>+VLOOKUP($B293,NIFTY_ENERGY!$B$63:$K$1238,10,0)</f>
        <v>-1.5480288169304801E-2</v>
      </c>
      <c r="AB293" s="8">
        <f>+VLOOKUP($B293,NIFTY_AUTO!$B$63:$K$1238,10,0)</f>
        <v>-1.689052965475224E-2</v>
      </c>
      <c r="AC293" s="8"/>
      <c r="AD293" s="16">
        <f t="shared" si="167"/>
        <v>5.4265372822390689E-2</v>
      </c>
      <c r="AE293" s="8">
        <f t="shared" si="168"/>
        <v>6.8093843502651866E-2</v>
      </c>
      <c r="AF293" s="8">
        <f t="shared" si="169"/>
        <v>7.7794388306326123E-2</v>
      </c>
      <c r="AG293" s="8">
        <f t="shared" si="170"/>
        <v>8.8630494076439553E-2</v>
      </c>
      <c r="AH293" s="8">
        <f t="shared" si="171"/>
        <v>5.6337038821802257E-2</v>
      </c>
      <c r="AI293" s="8">
        <f t="shared" si="172"/>
        <v>0.11616644198662475</v>
      </c>
      <c r="AJ293" s="8">
        <f t="shared" si="173"/>
        <v>6.9858432632742967E-2</v>
      </c>
      <c r="AK293" s="8">
        <f t="shared" si="174"/>
        <v>8.2403109011869952E-2</v>
      </c>
      <c r="AL293" s="9">
        <v>0</v>
      </c>
      <c r="AM293" s="17">
        <f t="shared" si="151"/>
        <v>18.427957793139594</v>
      </c>
      <c r="AN293" s="13">
        <f t="shared" si="152"/>
        <v>14.685615447174101</v>
      </c>
      <c r="AO293" s="13">
        <f t="shared" si="153"/>
        <v>12.854397621360068</v>
      </c>
      <c r="AP293" s="13">
        <f t="shared" si="154"/>
        <v>11.282798436591676</v>
      </c>
      <c r="AQ293" s="13">
        <f t="shared" si="155"/>
        <v>17.750311711679867</v>
      </c>
      <c r="AR293" s="13">
        <f t="shared" si="156"/>
        <v>8.6083380268730156</v>
      </c>
      <c r="AS293" s="13">
        <f t="shared" si="157"/>
        <v>14.314664133064094</v>
      </c>
      <c r="AT293" s="13">
        <f t="shared" si="158"/>
        <v>12.135464450206031</v>
      </c>
      <c r="AU293" s="9">
        <v>0</v>
      </c>
      <c r="AV293" s="18">
        <f t="shared" si="175"/>
        <v>1</v>
      </c>
      <c r="AW293" s="18">
        <f t="shared" si="176"/>
        <v>3</v>
      </c>
      <c r="AX293" s="18">
        <f t="shared" si="177"/>
        <v>5</v>
      </c>
      <c r="AY293" s="18">
        <f t="shared" si="178"/>
        <v>7</v>
      </c>
      <c r="AZ293" s="18">
        <f t="shared" si="179"/>
        <v>2</v>
      </c>
      <c r="BA293" s="18">
        <f t="shared" si="180"/>
        <v>8</v>
      </c>
      <c r="BB293" s="18">
        <f t="shared" si="181"/>
        <v>4</v>
      </c>
      <c r="BC293" s="18">
        <f t="shared" si="182"/>
        <v>6</v>
      </c>
      <c r="BD293" s="18">
        <f t="shared" si="183"/>
        <v>9</v>
      </c>
      <c r="BE293" s="8">
        <f t="shared" si="185"/>
        <v>-1.1242558827590583E-2</v>
      </c>
    </row>
    <row r="294" spans="1:57" x14ac:dyDescent="0.25">
      <c r="A294" t="str">
        <f t="shared" si="184"/>
        <v/>
      </c>
      <c r="B294" s="1">
        <v>43165</v>
      </c>
      <c r="C294" s="9">
        <f t="shared" si="159"/>
        <v>0.25059786674163792</v>
      </c>
      <c r="D294" s="9">
        <f t="shared" si="160"/>
        <v>0.24982065147216764</v>
      </c>
      <c r="E294" s="9">
        <f t="shared" si="161"/>
        <v>0</v>
      </c>
      <c r="F294" s="9">
        <f t="shared" si="162"/>
        <v>0</v>
      </c>
      <c r="G294" s="9">
        <f t="shared" si="163"/>
        <v>0.25053629649104758</v>
      </c>
      <c r="H294" s="9">
        <f t="shared" si="164"/>
        <v>0</v>
      </c>
      <c r="I294" s="9">
        <f t="shared" si="165"/>
        <v>0.2490451852951468</v>
      </c>
      <c r="J294" s="9">
        <f t="shared" si="166"/>
        <v>0</v>
      </c>
      <c r="K294" s="9">
        <v>0</v>
      </c>
      <c r="L294" s="8">
        <f>+VLOOKUP($B294,NIFTY_50!$B$3:$I$1238,8,0)</f>
        <v>-1.0580325036080307E-2</v>
      </c>
      <c r="M294" s="8">
        <f>+VLOOKUP($B294,NIFTY_BANK!$B$3:$I$41238,8,0)</f>
        <v>-1.491818668987499E-2</v>
      </c>
      <c r="N294" s="8">
        <f>+VLOOKUP($B294,NIFTY_IT!$B$3:$I$1238,8,0)</f>
        <v>-1.1786757300128681E-2</v>
      </c>
      <c r="O294" s="8">
        <f>+VLOOKUP($B294,NIFTY_PHARMA!$B$3:$I$1238,8,0)</f>
        <v>-1.1997786761218654E-2</v>
      </c>
      <c r="P294" s="8">
        <f>+VLOOKUP($B294,NIFTY_FMCG!$B$3:$I$1238,8,0)</f>
        <v>-1.0431974316590042E-2</v>
      </c>
      <c r="Q294" s="8">
        <f>+VLOOKUP($B294,NIFTY_METAL!$B$3:$I$1238,8,0)</f>
        <v>-3.6284849117678153E-3</v>
      </c>
      <c r="R294" s="8">
        <f>+VLOOKUP($B294,NIFTY_ENERGY!$B$3:$I$1238,8,0)</f>
        <v>-7.6280381548038401E-3</v>
      </c>
      <c r="S294" s="8">
        <f>+VLOOKUP($B294,NIFTY_AUTO!$B$3:$I$1238,8,0)</f>
        <v>-1.369444748259141E-2</v>
      </c>
      <c r="T294" s="8">
        <v>0</v>
      </c>
      <c r="U294" s="8">
        <f>+VLOOKUP($B294,NIFTY_50!$B$63:$K$1238,10,0)</f>
        <v>1.2946902873520516E-2</v>
      </c>
      <c r="V294" s="8">
        <f>+VLOOKUP($B294,NIFTY_BANK!$B$63:$K$1238,10,0)</f>
        <v>-2.6921553760519856E-2</v>
      </c>
      <c r="W294" s="8">
        <f>+VLOOKUP($B294,NIFTY_IT!$B$63:$K$1238,10,0)</f>
        <v>0.1524389137809059</v>
      </c>
      <c r="X294" s="8">
        <f>+VLOOKUP($B294,NIFTY_PHARMA!$B$63:$K$1238,10,0)</f>
        <v>-3.2466563089189049E-2</v>
      </c>
      <c r="Y294" s="8">
        <f>+VLOOKUP($B294,NIFTY_FMCG!$B$63:$K$1238,10,0)</f>
        <v>7.6335877862594437E-3</v>
      </c>
      <c r="Z294" s="8">
        <f>+VLOOKUP($B294,NIFTY_METAL!$B$63:$K$1238,10,0)</f>
        <v>5.9911417186176541E-2</v>
      </c>
      <c r="AA294" s="8">
        <f>+VLOOKUP($B294,NIFTY_ENERGY!$B$63:$K$1238,10,0)</f>
        <v>-2.582833944792895E-2</v>
      </c>
      <c r="AB294" s="8">
        <f>+VLOOKUP($B294,NIFTY_AUTO!$B$63:$K$1238,10,0)</f>
        <v>-2.5151906887496467E-2</v>
      </c>
      <c r="AC294" s="8"/>
      <c r="AD294" s="16">
        <f t="shared" si="167"/>
        <v>5.533417568913003E-2</v>
      </c>
      <c r="AE294" s="8">
        <f t="shared" si="168"/>
        <v>6.9615355559784348E-2</v>
      </c>
      <c r="AF294" s="8">
        <f t="shared" si="169"/>
        <v>7.8726106886862726E-2</v>
      </c>
      <c r="AG294" s="8">
        <f t="shared" si="170"/>
        <v>8.938602926665859E-2</v>
      </c>
      <c r="AH294" s="8">
        <f t="shared" si="171"/>
        <v>5.7273983100385825E-2</v>
      </c>
      <c r="AI294" s="8">
        <f t="shared" si="172"/>
        <v>0.115896714661381</v>
      </c>
      <c r="AJ294" s="8">
        <f t="shared" si="173"/>
        <v>7.0167909820664703E-2</v>
      </c>
      <c r="AK294" s="8">
        <f t="shared" si="174"/>
        <v>8.3333390188632131E-2</v>
      </c>
      <c r="AL294" s="9">
        <v>0</v>
      </c>
      <c r="AM294" s="17">
        <f t="shared" si="151"/>
        <v>18.072014040979781</v>
      </c>
      <c r="AN294" s="13">
        <f t="shared" si="152"/>
        <v>14.364646879397448</v>
      </c>
      <c r="AO294" s="13">
        <f t="shared" si="153"/>
        <v>12.702266624680169</v>
      </c>
      <c r="AP294" s="13">
        <f t="shared" si="154"/>
        <v>11.187430610848319</v>
      </c>
      <c r="AQ294" s="13">
        <f t="shared" si="155"/>
        <v>17.459934613719287</v>
      </c>
      <c r="AR294" s="13">
        <f t="shared" si="156"/>
        <v>8.6283722789013542</v>
      </c>
      <c r="AS294" s="13">
        <f t="shared" si="157"/>
        <v>14.251528976077557</v>
      </c>
      <c r="AT294" s="13">
        <f t="shared" si="158"/>
        <v>11.999991812842559</v>
      </c>
      <c r="AU294" s="9">
        <v>0</v>
      </c>
      <c r="AV294" s="18">
        <f t="shared" si="175"/>
        <v>1</v>
      </c>
      <c r="AW294" s="18">
        <f t="shared" si="176"/>
        <v>3</v>
      </c>
      <c r="AX294" s="18">
        <f t="shared" si="177"/>
        <v>5</v>
      </c>
      <c r="AY294" s="18">
        <f t="shared" si="178"/>
        <v>7</v>
      </c>
      <c r="AZ294" s="18">
        <f t="shared" si="179"/>
        <v>2</v>
      </c>
      <c r="BA294" s="18">
        <f t="shared" si="180"/>
        <v>8</v>
      </c>
      <c r="BB294" s="18">
        <f t="shared" si="181"/>
        <v>4</v>
      </c>
      <c r="BC294" s="18">
        <f t="shared" si="182"/>
        <v>6</v>
      </c>
      <c r="BD294" s="18">
        <f t="shared" si="183"/>
        <v>9</v>
      </c>
      <c r="BE294" s="8">
        <f t="shared" si="185"/>
        <v>-1.0898455076668263E-2</v>
      </c>
    </row>
    <row r="295" spans="1:57" x14ac:dyDescent="0.25">
      <c r="A295" t="str">
        <f t="shared" si="184"/>
        <v/>
      </c>
      <c r="B295" s="1">
        <v>43166</v>
      </c>
      <c r="C295" s="9">
        <f t="shared" si="159"/>
        <v>0.25027624783648139</v>
      </c>
      <c r="D295" s="9">
        <f t="shared" si="160"/>
        <v>0.24859749777295528</v>
      </c>
      <c r="E295" s="9">
        <f t="shared" si="161"/>
        <v>0</v>
      </c>
      <c r="F295" s="9">
        <f t="shared" si="162"/>
        <v>0</v>
      </c>
      <c r="G295" s="9">
        <f t="shared" si="163"/>
        <v>0.25420833809507026</v>
      </c>
      <c r="H295" s="9">
        <f t="shared" si="164"/>
        <v>0</v>
      </c>
      <c r="I295" s="9">
        <f t="shared" si="165"/>
        <v>0.2469179162954932</v>
      </c>
      <c r="J295" s="9">
        <f t="shared" si="166"/>
        <v>0</v>
      </c>
      <c r="K295" s="9">
        <v>0</v>
      </c>
      <c r="L295" s="8">
        <f>+VLOOKUP($B295,NIFTY_50!$B$3:$I$1238,8,0)</f>
        <v>-9.2738493060466887E-3</v>
      </c>
      <c r="M295" s="8">
        <f>+VLOOKUP($B295,NIFTY_BANK!$B$3:$I$41238,8,0)</f>
        <v>-1.285766582339587E-2</v>
      </c>
      <c r="N295" s="8">
        <f>+VLOOKUP($B295,NIFTY_IT!$B$3:$I$1238,8,0)</f>
        <v>-2.2784331935055135E-3</v>
      </c>
      <c r="O295" s="8">
        <f>+VLOOKUP($B295,NIFTY_PHARMA!$B$3:$I$1238,8,0)</f>
        <v>-1.537793372230567E-2</v>
      </c>
      <c r="P295" s="8">
        <f>+VLOOKUP($B295,NIFTY_FMCG!$B$3:$I$1238,8,0)</f>
        <v>6.5387497199884681E-3</v>
      </c>
      <c r="Q295" s="8">
        <f>+VLOOKUP($B295,NIFTY_METAL!$B$3:$I$1238,8,0)</f>
        <v>-1.1514579894678967E-2</v>
      </c>
      <c r="R295" s="8">
        <f>+VLOOKUP($B295,NIFTY_ENERGY!$B$3:$I$1238,8,0)</f>
        <v>-1.6474070365448235E-2</v>
      </c>
      <c r="S295" s="8">
        <f>+VLOOKUP($B295,NIFTY_AUTO!$B$3:$I$1238,8,0)</f>
        <v>-3.0310451098986002E-3</v>
      </c>
      <c r="T295" s="8">
        <v>0</v>
      </c>
      <c r="U295" s="8">
        <f>+VLOOKUP($B295,NIFTY_50!$B$63:$K$1238,10,0)</f>
        <v>1.0961659083442044E-2</v>
      </c>
      <c r="V295" s="8">
        <f>+VLOOKUP($B295,NIFTY_BANK!$B$63:$K$1238,10,0)</f>
        <v>-2.8879195873136032E-2</v>
      </c>
      <c r="W295" s="8">
        <f>+VLOOKUP($B295,NIFTY_IT!$B$63:$K$1238,10,0)</f>
        <v>0.14467399254169333</v>
      </c>
      <c r="X295" s="8">
        <f>+VLOOKUP($B295,NIFTY_PHARMA!$B$63:$K$1238,10,0)</f>
        <v>-3.6159405696896574E-2</v>
      </c>
      <c r="Y295" s="8">
        <f>+VLOOKUP($B295,NIFTY_FMCG!$B$63:$K$1238,10,0)</f>
        <v>1.7131661472592929E-2</v>
      </c>
      <c r="Z295" s="8">
        <f>+VLOOKUP($B295,NIFTY_METAL!$B$63:$K$1238,10,0)</f>
        <v>6.859732351483383E-2</v>
      </c>
      <c r="AA295" s="8">
        <f>+VLOOKUP($B295,NIFTY_ENERGY!$B$63:$K$1238,10,0)</f>
        <v>-4.3454910651948842E-2</v>
      </c>
      <c r="AB295" s="8">
        <f>+VLOOKUP($B295,NIFTY_AUTO!$B$63:$K$1238,10,0)</f>
        <v>-2.1069346460086735E-2</v>
      </c>
      <c r="AC295" s="8"/>
      <c r="AD295" s="16">
        <f t="shared" si="167"/>
        <v>5.5632968878984404E-2</v>
      </c>
      <c r="AE295" s="8">
        <f t="shared" si="168"/>
        <v>6.9941571122800889E-2</v>
      </c>
      <c r="AF295" s="8">
        <f t="shared" si="169"/>
        <v>7.8830758081146576E-2</v>
      </c>
      <c r="AG295" s="8">
        <f t="shared" si="170"/>
        <v>8.9932384950629163E-2</v>
      </c>
      <c r="AH295" s="8">
        <f t="shared" si="171"/>
        <v>5.7537685647428026E-2</v>
      </c>
      <c r="AI295" s="8">
        <f t="shared" si="172"/>
        <v>0.11473576793830782</v>
      </c>
      <c r="AJ295" s="8">
        <f t="shared" si="173"/>
        <v>7.1921832814727429E-2</v>
      </c>
      <c r="AK295" s="8">
        <f t="shared" si="174"/>
        <v>8.309438903424346E-2</v>
      </c>
      <c r="AL295" s="9">
        <v>0</v>
      </c>
      <c r="AM295" s="17">
        <f t="shared" si="151"/>
        <v>17.974952984717564</v>
      </c>
      <c r="AN295" s="13">
        <f t="shared" si="152"/>
        <v>14.297648507841439</v>
      </c>
      <c r="AO295" s="13">
        <f t="shared" si="153"/>
        <v>12.685403823855442</v>
      </c>
      <c r="AP295" s="13">
        <f t="shared" si="154"/>
        <v>11.119464924109121</v>
      </c>
      <c r="AQ295" s="13">
        <f t="shared" si="155"/>
        <v>17.379913507951475</v>
      </c>
      <c r="AR295" s="13">
        <f t="shared" si="156"/>
        <v>8.7156779265005593</v>
      </c>
      <c r="AS295" s="13">
        <f t="shared" si="157"/>
        <v>13.903983823327012</v>
      </c>
      <c r="AT295" s="13">
        <f t="shared" si="158"/>
        <v>12.034506921856021</v>
      </c>
      <c r="AU295" s="9">
        <v>0</v>
      </c>
      <c r="AV295" s="18">
        <f t="shared" si="175"/>
        <v>1</v>
      </c>
      <c r="AW295" s="18">
        <f t="shared" si="176"/>
        <v>3</v>
      </c>
      <c r="AX295" s="18">
        <f t="shared" si="177"/>
        <v>5</v>
      </c>
      <c r="AY295" s="18">
        <f t="shared" si="178"/>
        <v>7</v>
      </c>
      <c r="AZ295" s="18">
        <f t="shared" si="179"/>
        <v>2</v>
      </c>
      <c r="BA295" s="18">
        <f t="shared" si="180"/>
        <v>8</v>
      </c>
      <c r="BB295" s="18">
        <f t="shared" si="181"/>
        <v>4</v>
      </c>
      <c r="BC295" s="18">
        <f t="shared" si="182"/>
        <v>6</v>
      </c>
      <c r="BD295" s="18">
        <f t="shared" si="183"/>
        <v>9</v>
      </c>
      <c r="BE295" s="8">
        <f t="shared" si="185"/>
        <v>-8.000711073191457E-3</v>
      </c>
    </row>
    <row r="296" spans="1:57" x14ac:dyDescent="0.25">
      <c r="A296" t="str">
        <f t="shared" si="184"/>
        <v/>
      </c>
      <c r="B296" s="1">
        <v>43167</v>
      </c>
      <c r="C296" s="9">
        <f t="shared" si="159"/>
        <v>0.25040264273841539</v>
      </c>
      <c r="D296" s="9">
        <f t="shared" si="160"/>
        <v>0.25008521599795608</v>
      </c>
      <c r="E296" s="9">
        <f t="shared" si="161"/>
        <v>0</v>
      </c>
      <c r="F296" s="9">
        <f t="shared" si="162"/>
        <v>0</v>
      </c>
      <c r="G296" s="9">
        <f t="shared" si="163"/>
        <v>0.25109647464316376</v>
      </c>
      <c r="H296" s="9">
        <f t="shared" si="164"/>
        <v>0</v>
      </c>
      <c r="I296" s="9">
        <f t="shared" si="165"/>
        <v>0.24841566662046477</v>
      </c>
      <c r="J296" s="9">
        <f t="shared" si="166"/>
        <v>0</v>
      </c>
      <c r="K296" s="9">
        <v>0</v>
      </c>
      <c r="L296" s="8">
        <f>+VLOOKUP($B296,NIFTY_50!$B$3:$I$1238,8,0)</f>
        <v>8.7106812944395262E-3</v>
      </c>
      <c r="M296" s="8">
        <f>+VLOOKUP($B296,NIFTY_BANK!$B$3:$I$41238,8,0)</f>
        <v>1.4235045019288073E-2</v>
      </c>
      <c r="N296" s="8">
        <f>+VLOOKUP($B296,NIFTY_IT!$B$3:$I$1238,8,0)</f>
        <v>4.1413093636966103E-4</v>
      </c>
      <c r="O296" s="8">
        <f>+VLOOKUP($B296,NIFTY_PHARMA!$B$3:$I$1238,8,0)</f>
        <v>-3.325594892629069E-3</v>
      </c>
      <c r="P296" s="8">
        <f>+VLOOKUP($B296,NIFTY_FMCG!$B$3:$I$1238,8,0)</f>
        <v>-4.1402703646430394E-3</v>
      </c>
      <c r="Q296" s="8">
        <f>+VLOOKUP($B296,NIFTY_METAL!$B$3:$I$1238,8,0)</f>
        <v>-4.4925058641115401E-3</v>
      </c>
      <c r="R296" s="8">
        <f>+VLOOKUP($B296,NIFTY_ENERGY!$B$3:$I$1238,8,0)</f>
        <v>1.4317048704166835E-2</v>
      </c>
      <c r="S296" s="8">
        <f>+VLOOKUP($B296,NIFTY_AUTO!$B$3:$I$1238,8,0)</f>
        <v>9.8437695519788537E-3</v>
      </c>
      <c r="T296" s="8">
        <v>0</v>
      </c>
      <c r="U296" s="8">
        <f>+VLOOKUP($B296,NIFTY_50!$B$63:$K$1238,10,0)</f>
        <v>7.4704673099430519E-3</v>
      </c>
      <c r="V296" s="8">
        <f>+VLOOKUP($B296,NIFTY_BANK!$B$63:$K$1238,10,0)</f>
        <v>-2.3131029941434011E-2</v>
      </c>
      <c r="W296" s="8">
        <f>+VLOOKUP($B296,NIFTY_IT!$B$63:$K$1238,10,0)</f>
        <v>0.13605947955390341</v>
      </c>
      <c r="X296" s="8">
        <f>+VLOOKUP($B296,NIFTY_PHARMA!$B$63:$K$1238,10,0)</f>
        <v>-4.1744788179099102E-2</v>
      </c>
      <c r="Y296" s="8">
        <f>+VLOOKUP($B296,NIFTY_FMCG!$B$63:$K$1238,10,0)</f>
        <v>4.0427565022611578E-3</v>
      </c>
      <c r="Z296" s="8">
        <f>+VLOOKUP($B296,NIFTY_METAL!$B$63:$K$1238,10,0)</f>
        <v>4.4813485771509676E-2</v>
      </c>
      <c r="AA296" s="8">
        <f>+VLOOKUP($B296,NIFTY_ENERGY!$B$63:$K$1238,10,0)</f>
        <v>-4.2901644439421238E-2</v>
      </c>
      <c r="AB296" s="8">
        <f>+VLOOKUP($B296,NIFTY_AUTO!$B$63:$K$1238,10,0)</f>
        <v>-3.0340923756079996E-2</v>
      </c>
      <c r="AC296" s="8"/>
      <c r="AD296" s="16">
        <f t="shared" si="167"/>
        <v>5.4983086142417016E-2</v>
      </c>
      <c r="AE296" s="8">
        <f t="shared" si="168"/>
        <v>7.092802766437073E-2</v>
      </c>
      <c r="AF296" s="8">
        <f t="shared" si="169"/>
        <v>7.8637960172562402E-2</v>
      </c>
      <c r="AG296" s="8">
        <f t="shared" si="170"/>
        <v>8.9921777150143045E-2</v>
      </c>
      <c r="AH296" s="8">
        <f t="shared" si="171"/>
        <v>5.7050150256386427E-2</v>
      </c>
      <c r="AI296" s="8">
        <f t="shared" si="172"/>
        <v>0.11357886932317293</v>
      </c>
      <c r="AJ296" s="8">
        <f t="shared" si="173"/>
        <v>7.2041611161051414E-2</v>
      </c>
      <c r="AK296" s="8">
        <f t="shared" si="174"/>
        <v>8.1327527204096556E-2</v>
      </c>
      <c r="AL296" s="9">
        <v>0</v>
      </c>
      <c r="AM296" s="17">
        <f t="shared" si="151"/>
        <v>18.187411259706362</v>
      </c>
      <c r="AN296" s="13">
        <f t="shared" si="152"/>
        <v>14.09879892236634</v>
      </c>
      <c r="AO296" s="13">
        <f t="shared" si="153"/>
        <v>12.716504825476264</v>
      </c>
      <c r="AP296" s="13">
        <f t="shared" si="154"/>
        <v>11.12077665380537</v>
      </c>
      <c r="AQ296" s="13">
        <f t="shared" si="155"/>
        <v>17.528437620338359</v>
      </c>
      <c r="AR296" s="13">
        <f t="shared" si="156"/>
        <v>8.8044546134249551</v>
      </c>
      <c r="AS296" s="13">
        <f t="shared" si="157"/>
        <v>13.880866680847362</v>
      </c>
      <c r="AT296" s="13">
        <f t="shared" si="158"/>
        <v>12.295959736860521</v>
      </c>
      <c r="AU296" s="9">
        <v>0</v>
      </c>
      <c r="AV296" s="18">
        <f t="shared" si="175"/>
        <v>1</v>
      </c>
      <c r="AW296" s="18">
        <f t="shared" si="176"/>
        <v>3</v>
      </c>
      <c r="AX296" s="18">
        <f t="shared" si="177"/>
        <v>5</v>
      </c>
      <c r="AY296" s="18">
        <f t="shared" si="178"/>
        <v>7</v>
      </c>
      <c r="AZ296" s="18">
        <f t="shared" si="179"/>
        <v>2</v>
      </c>
      <c r="BA296" s="18">
        <f t="shared" si="180"/>
        <v>8</v>
      </c>
      <c r="BB296" s="18">
        <f t="shared" si="181"/>
        <v>4</v>
      </c>
      <c r="BC296" s="18">
        <f t="shared" si="182"/>
        <v>6</v>
      </c>
      <c r="BD296" s="18">
        <f t="shared" si="183"/>
        <v>9</v>
      </c>
      <c r="BE296" s="8">
        <f t="shared" si="185"/>
        <v>8.2015177878259227E-3</v>
      </c>
    </row>
    <row r="297" spans="1:57" x14ac:dyDescent="0.25">
      <c r="A297" t="str">
        <f t="shared" si="184"/>
        <v/>
      </c>
      <c r="B297" s="1">
        <v>43168</v>
      </c>
      <c r="C297" s="9">
        <f t="shared" si="159"/>
        <v>0.25047130992653077</v>
      </c>
      <c r="D297" s="9">
        <f t="shared" si="160"/>
        <v>0.24868560462381725</v>
      </c>
      <c r="E297" s="9">
        <f t="shared" si="161"/>
        <v>0</v>
      </c>
      <c r="F297" s="9">
        <f t="shared" si="162"/>
        <v>0</v>
      </c>
      <c r="G297" s="9">
        <f t="shared" si="163"/>
        <v>0.25220131939275559</v>
      </c>
      <c r="H297" s="9">
        <f t="shared" si="164"/>
        <v>0</v>
      </c>
      <c r="I297" s="9">
        <f t="shared" si="165"/>
        <v>0.24864176605689645</v>
      </c>
      <c r="J297" s="9">
        <f t="shared" si="166"/>
        <v>0</v>
      </c>
      <c r="K297" s="9">
        <v>0</v>
      </c>
      <c r="L297" s="8">
        <f>+VLOOKUP($B297,NIFTY_50!$B$3:$I$1238,8,0)</f>
        <v>-1.542569549872308E-3</v>
      </c>
      <c r="M297" s="8">
        <f>+VLOOKUP($B297,NIFTY_BANK!$B$3:$I$41238,8,0)</f>
        <v>-7.4026714165780216E-3</v>
      </c>
      <c r="N297" s="8">
        <f>+VLOOKUP($B297,NIFTY_IT!$B$3:$I$1238,8,0)</f>
        <v>5.1133854790892386E-3</v>
      </c>
      <c r="O297" s="8">
        <f>+VLOOKUP($B297,NIFTY_PHARMA!$B$3:$I$1238,8,0)</f>
        <v>-8.2281761167434242E-3</v>
      </c>
      <c r="P297" s="8">
        <f>+VLOOKUP($B297,NIFTY_FMCG!$B$3:$I$1238,8,0)</f>
        <v>2.5757902686374123E-3</v>
      </c>
      <c r="Q297" s="8">
        <f>+VLOOKUP($B297,NIFTY_METAL!$B$3:$I$1238,8,0)</f>
        <v>-1.8064430244941421E-2</v>
      </c>
      <c r="R297" s="8">
        <f>+VLOOKUP($B297,NIFTY_ENERGY!$B$3:$I$1238,8,0)</f>
        <v>-9.0778592489004772E-4</v>
      </c>
      <c r="S297" s="8">
        <f>+VLOOKUP($B297,NIFTY_AUTO!$B$3:$I$1238,8,0)</f>
        <v>-5.8743890405921206E-4</v>
      </c>
      <c r="T297" s="8">
        <v>0</v>
      </c>
      <c r="U297" s="8">
        <f>+VLOOKUP($B297,NIFTY_50!$B$63:$K$1238,10,0)</f>
        <v>-3.7795950573026316E-3</v>
      </c>
      <c r="V297" s="8">
        <f>+VLOOKUP($B297,NIFTY_BANK!$B$63:$K$1238,10,0)</f>
        <v>-4.0468146193991972E-2</v>
      </c>
      <c r="W297" s="8">
        <f>+VLOOKUP($B297,NIFTY_IT!$B$63:$K$1238,10,0)</f>
        <v>0.14085685646267021</v>
      </c>
      <c r="X297" s="8">
        <f>+VLOOKUP($B297,NIFTY_PHARMA!$B$63:$K$1238,10,0)</f>
        <v>-6.4049371046716708E-2</v>
      </c>
      <c r="Y297" s="8">
        <f>+VLOOKUP($B297,NIFTY_FMCG!$B$63:$K$1238,10,0)</f>
        <v>-1.6610259811674855E-2</v>
      </c>
      <c r="Z297" s="8">
        <f>+VLOOKUP($B297,NIFTY_METAL!$B$63:$K$1238,10,0)</f>
        <v>1.2254700150953868E-2</v>
      </c>
      <c r="AA297" s="8">
        <f>+VLOOKUP($B297,NIFTY_ENERGY!$B$63:$K$1238,10,0)</f>
        <v>-4.492749021973419E-2</v>
      </c>
      <c r="AB297" s="8">
        <f>+VLOOKUP($B297,NIFTY_AUTO!$B$63:$K$1238,10,0)</f>
        <v>-4.1277961460401524E-2</v>
      </c>
      <c r="AC297" s="8"/>
      <c r="AD297" s="16">
        <f t="shared" si="167"/>
        <v>5.4148139098960713E-2</v>
      </c>
      <c r="AE297" s="8">
        <f t="shared" si="168"/>
        <v>7.040679045401152E-2</v>
      </c>
      <c r="AF297" s="8">
        <f t="shared" si="169"/>
        <v>7.8682105512827547E-2</v>
      </c>
      <c r="AG297" s="8">
        <f t="shared" si="170"/>
        <v>8.8753564762273598E-2</v>
      </c>
      <c r="AH297" s="8">
        <f t="shared" si="171"/>
        <v>5.1957051757659009E-2</v>
      </c>
      <c r="AI297" s="8">
        <f t="shared" si="172"/>
        <v>0.11436541974563433</v>
      </c>
      <c r="AJ297" s="8">
        <f t="shared" si="173"/>
        <v>7.2016750581449837E-2</v>
      </c>
      <c r="AK297" s="8">
        <f t="shared" si="174"/>
        <v>8.053051376042912E-2</v>
      </c>
      <c r="AL297" s="9">
        <v>0</v>
      </c>
      <c r="AM297" s="17">
        <f t="shared" si="151"/>
        <v>18.467855343512504</v>
      </c>
      <c r="AN297" s="13">
        <f t="shared" si="152"/>
        <v>14.203175482813444</v>
      </c>
      <c r="AO297" s="13">
        <f t="shared" si="153"/>
        <v>12.709370110043254</v>
      </c>
      <c r="AP297" s="13">
        <f t="shared" si="154"/>
        <v>11.267153073552592</v>
      </c>
      <c r="AQ297" s="13">
        <f t="shared" si="155"/>
        <v>19.246665585727534</v>
      </c>
      <c r="AR297" s="13">
        <f t="shared" si="156"/>
        <v>8.7439018037458212</v>
      </c>
      <c r="AS297" s="13">
        <f t="shared" si="157"/>
        <v>13.885658432603334</v>
      </c>
      <c r="AT297" s="13">
        <f t="shared" si="158"/>
        <v>12.417653300647109</v>
      </c>
      <c r="AU297" s="9">
        <v>0</v>
      </c>
      <c r="AV297" s="18">
        <f t="shared" si="175"/>
        <v>2</v>
      </c>
      <c r="AW297" s="18">
        <f t="shared" si="176"/>
        <v>3</v>
      </c>
      <c r="AX297" s="18">
        <f t="shared" si="177"/>
        <v>5</v>
      </c>
      <c r="AY297" s="18">
        <f t="shared" si="178"/>
        <v>7</v>
      </c>
      <c r="AZ297" s="18">
        <f t="shared" si="179"/>
        <v>1</v>
      </c>
      <c r="BA297" s="18">
        <f t="shared" si="180"/>
        <v>8</v>
      </c>
      <c r="BB297" s="18">
        <f t="shared" si="181"/>
        <v>4</v>
      </c>
      <c r="BC297" s="18">
        <f t="shared" si="182"/>
        <v>6</v>
      </c>
      <c r="BD297" s="18">
        <f t="shared" si="183"/>
        <v>9</v>
      </c>
      <c r="BE297" s="8">
        <f t="shared" si="185"/>
        <v>-1.8162985618778581E-3</v>
      </c>
    </row>
    <row r="298" spans="1:57" x14ac:dyDescent="0.25">
      <c r="A298" t="str">
        <f t="shared" si="184"/>
        <v/>
      </c>
      <c r="B298" s="1">
        <v>43171</v>
      </c>
      <c r="C298" s="9">
        <f t="shared" si="159"/>
        <v>0.25007767357255534</v>
      </c>
      <c r="D298" s="9">
        <f t="shared" si="160"/>
        <v>0.24734754899093594</v>
      </c>
      <c r="E298" s="9">
        <f t="shared" si="161"/>
        <v>0</v>
      </c>
      <c r="F298" s="9">
        <f t="shared" si="162"/>
        <v>0</v>
      </c>
      <c r="G298" s="9">
        <f t="shared" si="163"/>
        <v>0.2535899495154767</v>
      </c>
      <c r="H298" s="9">
        <f t="shared" si="164"/>
        <v>0</v>
      </c>
      <c r="I298" s="9">
        <f t="shared" si="165"/>
        <v>0.24898482792103194</v>
      </c>
      <c r="J298" s="9">
        <f t="shared" si="166"/>
        <v>0</v>
      </c>
      <c r="K298" s="9">
        <v>0</v>
      </c>
      <c r="L298" s="8">
        <f>+VLOOKUP($B298,NIFTY_50!$B$3:$I$1238,8,0)</f>
        <v>1.9023452969389343E-2</v>
      </c>
      <c r="M298" s="8">
        <f>+VLOOKUP($B298,NIFTY_BANK!$B$3:$I$41238,8,0)</f>
        <v>1.5135956075887691E-2</v>
      </c>
      <c r="N298" s="8">
        <f>+VLOOKUP($B298,NIFTY_IT!$B$3:$I$1238,8,0)</f>
        <v>1.381866677126431E-2</v>
      </c>
      <c r="O298" s="8">
        <f>+VLOOKUP($B298,NIFTY_PHARMA!$B$3:$I$1238,8,0)</f>
        <v>9.9815634651290175E-3</v>
      </c>
      <c r="P298" s="8">
        <f>+VLOOKUP($B298,NIFTY_FMCG!$B$3:$I$1238,8,0)</f>
        <v>2.6247067165512838E-2</v>
      </c>
      <c r="Q298" s="8">
        <f>+VLOOKUP($B298,NIFTY_METAL!$B$3:$I$1238,8,0)</f>
        <v>2.1352168431327367E-2</v>
      </c>
      <c r="R298" s="8">
        <f>+VLOOKUP($B298,NIFTY_ENERGY!$B$3:$I$1238,8,0)</f>
        <v>2.2035657431586531E-2</v>
      </c>
      <c r="S298" s="8">
        <f>+VLOOKUP($B298,NIFTY_AUTO!$B$3:$I$1238,8,0)</f>
        <v>1.4460409520266948E-2</v>
      </c>
      <c r="T298" s="8">
        <v>0</v>
      </c>
      <c r="U298" s="8">
        <f>+VLOOKUP($B298,NIFTY_50!$B$63:$K$1238,10,0)</f>
        <v>9.6054639250162666E-3</v>
      </c>
      <c r="V298" s="8">
        <f>+VLOOKUP($B298,NIFTY_BANK!$B$63:$K$1238,10,0)</f>
        <v>-2.9153882034335887E-2</v>
      </c>
      <c r="W298" s="8">
        <f>+VLOOKUP($B298,NIFTY_IT!$B$63:$K$1238,10,0)</f>
        <v>0.14123984457788774</v>
      </c>
      <c r="X298" s="8">
        <f>+VLOOKUP($B298,NIFTY_PHARMA!$B$63:$K$1238,10,0)</f>
        <v>-6.3726717540631972E-2</v>
      </c>
      <c r="Y298" s="8">
        <f>+VLOOKUP($B298,NIFTY_FMCG!$B$63:$K$1238,10,0)</f>
        <v>-2.4897368554066546E-4</v>
      </c>
      <c r="Z298" s="8">
        <f>+VLOOKUP($B298,NIFTY_METAL!$B$63:$K$1238,10,0)</f>
        <v>3.2098088910199385E-2</v>
      </c>
      <c r="AA298" s="8">
        <f>+VLOOKUP($B298,NIFTY_ENERGY!$B$63:$K$1238,10,0)</f>
        <v>-2.1192076406084115E-2</v>
      </c>
      <c r="AB298" s="8">
        <f>+VLOOKUP($B298,NIFTY_AUTO!$B$63:$K$1238,10,0)</f>
        <v>-3.3156521891357316E-2</v>
      </c>
      <c r="AC298" s="8"/>
      <c r="AD298" s="16">
        <f t="shared" si="167"/>
        <v>5.7109956782511934E-2</v>
      </c>
      <c r="AE298" s="8">
        <f t="shared" si="168"/>
        <v>7.2028091671342817E-2</v>
      </c>
      <c r="AF298" s="8">
        <f t="shared" si="169"/>
        <v>7.8731525356421542E-2</v>
      </c>
      <c r="AG298" s="8">
        <f t="shared" si="170"/>
        <v>8.8796005360207292E-2</v>
      </c>
      <c r="AH298" s="8">
        <f t="shared" si="171"/>
        <v>5.7471325146329702E-2</v>
      </c>
      <c r="AI298" s="8">
        <f t="shared" si="172"/>
        <v>0.11624994913668506</v>
      </c>
      <c r="AJ298" s="8">
        <f t="shared" si="173"/>
        <v>7.5429307618672517E-2</v>
      </c>
      <c r="AK298" s="8">
        <f t="shared" si="174"/>
        <v>8.1661944378926418E-2</v>
      </c>
      <c r="AL298" s="9">
        <v>0</v>
      </c>
      <c r="AM298" s="17">
        <f t="shared" si="151"/>
        <v>17.510081539865872</v>
      </c>
      <c r="AN298" s="13">
        <f t="shared" si="152"/>
        <v>13.883472084237672</v>
      </c>
      <c r="AO298" s="13">
        <f t="shared" si="153"/>
        <v>12.70139242791182</v>
      </c>
      <c r="AP298" s="13">
        <f t="shared" si="154"/>
        <v>11.261767868311519</v>
      </c>
      <c r="AQ298" s="13">
        <f t="shared" si="155"/>
        <v>17.399981598716678</v>
      </c>
      <c r="AR298" s="13">
        <f t="shared" si="156"/>
        <v>8.6021543013684596</v>
      </c>
      <c r="AS298" s="13">
        <f t="shared" si="157"/>
        <v>13.257446363626041</v>
      </c>
      <c r="AT298" s="13">
        <f t="shared" si="158"/>
        <v>12.245606048269147</v>
      </c>
      <c r="AU298" s="9">
        <v>0</v>
      </c>
      <c r="AV298" s="18">
        <f t="shared" si="175"/>
        <v>1</v>
      </c>
      <c r="AW298" s="18">
        <f t="shared" si="176"/>
        <v>3</v>
      </c>
      <c r="AX298" s="18">
        <f t="shared" si="177"/>
        <v>5</v>
      </c>
      <c r="AY298" s="18">
        <f t="shared" si="178"/>
        <v>7</v>
      </c>
      <c r="AZ298" s="18">
        <f t="shared" si="179"/>
        <v>2</v>
      </c>
      <c r="BA298" s="18">
        <f t="shared" si="180"/>
        <v>8</v>
      </c>
      <c r="BB298" s="18">
        <f t="shared" si="181"/>
        <v>4</v>
      </c>
      <c r="BC298" s="18">
        <f t="shared" si="182"/>
        <v>6</v>
      </c>
      <c r="BD298" s="18">
        <f t="shared" si="183"/>
        <v>9</v>
      </c>
      <c r="BE298" s="8">
        <f t="shared" si="185"/>
        <v>2.0627453322207431E-2</v>
      </c>
    </row>
    <row r="299" spans="1:57" x14ac:dyDescent="0.25">
      <c r="A299" t="str">
        <f t="shared" si="184"/>
        <v/>
      </c>
      <c r="B299" s="1">
        <v>43172</v>
      </c>
      <c r="C299" s="9">
        <f t="shared" si="159"/>
        <v>0.24968366373886478</v>
      </c>
      <c r="D299" s="9">
        <f t="shared" si="160"/>
        <v>0.24757382219185961</v>
      </c>
      <c r="E299" s="9">
        <f t="shared" si="161"/>
        <v>0</v>
      </c>
      <c r="F299" s="9">
        <f t="shared" si="162"/>
        <v>0</v>
      </c>
      <c r="G299" s="9">
        <f t="shared" si="163"/>
        <v>0.25250651832571497</v>
      </c>
      <c r="H299" s="9">
        <f t="shared" si="164"/>
        <v>0</v>
      </c>
      <c r="I299" s="9">
        <f t="shared" si="165"/>
        <v>0.25023599574356065</v>
      </c>
      <c r="J299" s="9">
        <f t="shared" si="166"/>
        <v>0</v>
      </c>
      <c r="K299" s="9">
        <v>0</v>
      </c>
      <c r="L299" s="8">
        <f>+VLOOKUP($B299,NIFTY_50!$B$3:$I$1238,8,0)</f>
        <v>5.229623659011029E-4</v>
      </c>
      <c r="M299" s="8">
        <f>+VLOOKUP($B299,NIFTY_BANK!$B$3:$I$41238,8,0)</f>
        <v>3.0185450977531225E-3</v>
      </c>
      <c r="N299" s="8">
        <f>+VLOOKUP($B299,NIFTY_IT!$B$3:$I$1238,8,0)</f>
        <v>-1.4640110187721378E-2</v>
      </c>
      <c r="O299" s="8">
        <f>+VLOOKUP($B299,NIFTY_PHARMA!$B$3:$I$1238,8,0)</f>
        <v>1.2952434104200883E-2</v>
      </c>
      <c r="P299" s="8">
        <f>+VLOOKUP($B299,NIFTY_FMCG!$B$3:$I$1238,8,0)</f>
        <v>-2.1795303898438645E-3</v>
      </c>
      <c r="Q299" s="8">
        <f>+VLOOKUP($B299,NIFTY_METAL!$B$3:$I$1238,8,0)</f>
        <v>5.3094056120417399E-3</v>
      </c>
      <c r="R299" s="8">
        <f>+VLOOKUP($B299,NIFTY_ENERGY!$B$3:$I$1238,8,0)</f>
        <v>7.1374620991728754E-3</v>
      </c>
      <c r="S299" s="8">
        <f>+VLOOKUP($B299,NIFTY_AUTO!$B$3:$I$1238,8,0)</f>
        <v>1.6748447373662323E-3</v>
      </c>
      <c r="T299" s="8">
        <v>0</v>
      </c>
      <c r="U299" s="8">
        <f>+VLOOKUP($B299,NIFTY_50!$B$63:$K$1238,10,0)</f>
        <v>1.823215480242002E-2</v>
      </c>
      <c r="V299" s="8">
        <f>+VLOOKUP($B299,NIFTY_BANK!$B$63:$K$1238,10,0)</f>
        <v>-1.539474914877148E-2</v>
      </c>
      <c r="W299" s="8">
        <f>+VLOOKUP($B299,NIFTY_IT!$B$63:$K$1238,10,0)</f>
        <v>0.12967456054362625</v>
      </c>
      <c r="X299" s="8">
        <f>+VLOOKUP($B299,NIFTY_PHARMA!$B$63:$K$1238,10,0)</f>
        <v>-4.463159741641165E-2</v>
      </c>
      <c r="Y299" s="8">
        <f>+VLOOKUP($B299,NIFTY_FMCG!$B$63:$K$1238,10,0)</f>
        <v>1.1043969074609805E-2</v>
      </c>
      <c r="Z299" s="8">
        <f>+VLOOKUP($B299,NIFTY_METAL!$B$63:$K$1238,10,0)</f>
        <v>4.6307296991130897E-2</v>
      </c>
      <c r="AA299" s="8">
        <f>+VLOOKUP($B299,NIFTY_ENERGY!$B$63:$K$1238,10,0)</f>
        <v>-8.7393869979831562E-3</v>
      </c>
      <c r="AB299" s="8">
        <f>+VLOOKUP($B299,NIFTY_AUTO!$B$63:$K$1238,10,0)</f>
        <v>-2.3545816381463469E-2</v>
      </c>
      <c r="AC299" s="8"/>
      <c r="AD299" s="16">
        <f t="shared" si="167"/>
        <v>5.6517875682176776E-2</v>
      </c>
      <c r="AE299" s="8">
        <f t="shared" si="168"/>
        <v>7.1311862113490415E-2</v>
      </c>
      <c r="AF299" s="8">
        <f t="shared" si="169"/>
        <v>8.022068919826976E-2</v>
      </c>
      <c r="AG299" s="8">
        <f t="shared" si="170"/>
        <v>8.9630681725003977E-2</v>
      </c>
      <c r="AH299" s="8">
        <f t="shared" si="171"/>
        <v>5.592500234516596E-2</v>
      </c>
      <c r="AI299" s="8">
        <f t="shared" si="172"/>
        <v>0.11598453010891033</v>
      </c>
      <c r="AJ299" s="8">
        <f t="shared" si="173"/>
        <v>7.5598851353002455E-2</v>
      </c>
      <c r="AK299" s="8">
        <f t="shared" si="174"/>
        <v>8.1318662538141129E-2</v>
      </c>
      <c r="AL299" s="9">
        <v>0</v>
      </c>
      <c r="AM299" s="17">
        <f t="shared" si="151"/>
        <v>17.693517102861591</v>
      </c>
      <c r="AN299" s="13">
        <f t="shared" si="152"/>
        <v>14.022912463126174</v>
      </c>
      <c r="AO299" s="13">
        <f t="shared" si="153"/>
        <v>12.465612175537984</v>
      </c>
      <c r="AP299" s="13">
        <f t="shared" si="154"/>
        <v>11.156893830932821</v>
      </c>
      <c r="AQ299" s="13">
        <f t="shared" si="155"/>
        <v>17.881089996707669</v>
      </c>
      <c r="AR299" s="13">
        <f t="shared" si="156"/>
        <v>8.621839473427988</v>
      </c>
      <c r="AS299" s="13">
        <f t="shared" si="157"/>
        <v>13.227714206008031</v>
      </c>
      <c r="AT299" s="13">
        <f t="shared" si="158"/>
        <v>12.297300137357363</v>
      </c>
      <c r="AU299" s="9">
        <v>0</v>
      </c>
      <c r="AV299" s="18">
        <f t="shared" si="175"/>
        <v>2</v>
      </c>
      <c r="AW299" s="18">
        <f t="shared" si="176"/>
        <v>3</v>
      </c>
      <c r="AX299" s="18">
        <f t="shared" si="177"/>
        <v>5</v>
      </c>
      <c r="AY299" s="18">
        <f t="shared" si="178"/>
        <v>7</v>
      </c>
      <c r="AZ299" s="18">
        <f t="shared" si="179"/>
        <v>1</v>
      </c>
      <c r="BA299" s="18">
        <f t="shared" si="180"/>
        <v>8</v>
      </c>
      <c r="BB299" s="18">
        <f t="shared" si="181"/>
        <v>4</v>
      </c>
      <c r="BC299" s="18">
        <f t="shared" si="182"/>
        <v>6</v>
      </c>
      <c r="BD299" s="18">
        <f t="shared" si="183"/>
        <v>9</v>
      </c>
      <c r="BE299" s="8">
        <f t="shared" si="185"/>
        <v>2.1018237143058801E-3</v>
      </c>
    </row>
    <row r="300" spans="1:57" x14ac:dyDescent="0.25">
      <c r="A300" t="str">
        <f t="shared" si="184"/>
        <v/>
      </c>
      <c r="B300" s="1">
        <v>43173</v>
      </c>
      <c r="C300" s="9">
        <f t="shared" si="159"/>
        <v>0.24978930049249326</v>
      </c>
      <c r="D300" s="9">
        <f t="shared" si="160"/>
        <v>0.24919108914057547</v>
      </c>
      <c r="E300" s="9">
        <f t="shared" si="161"/>
        <v>0</v>
      </c>
      <c r="F300" s="9">
        <f t="shared" si="162"/>
        <v>0</v>
      </c>
      <c r="G300" s="9">
        <f t="shared" si="163"/>
        <v>0.25193071966480707</v>
      </c>
      <c r="H300" s="9">
        <f t="shared" si="164"/>
        <v>0</v>
      </c>
      <c r="I300" s="9">
        <f t="shared" si="165"/>
        <v>0.2490888907021242</v>
      </c>
      <c r="J300" s="9">
        <f t="shared" si="166"/>
        <v>0</v>
      </c>
      <c r="K300" s="9">
        <v>0</v>
      </c>
      <c r="L300" s="8">
        <f>+VLOOKUP($B300,NIFTY_50!$B$3:$I$1238,8,0)</f>
        <v>-1.5297045608214654E-3</v>
      </c>
      <c r="M300" s="8">
        <f>+VLOOKUP($B300,NIFTY_BANK!$B$3:$I$41238,8,0)</f>
        <v>4.5677512717954283E-3</v>
      </c>
      <c r="N300" s="8">
        <f>+VLOOKUP($B300,NIFTY_IT!$B$3:$I$1238,8,0)</f>
        <v>4.1423882144147051E-3</v>
      </c>
      <c r="O300" s="8">
        <f>+VLOOKUP($B300,NIFTY_PHARMA!$B$3:$I$1238,8,0)</f>
        <v>-1.2109594701623649E-3</v>
      </c>
      <c r="P300" s="8">
        <f>+VLOOKUP($B300,NIFTY_FMCG!$B$3:$I$1238,8,0)</f>
        <v>-4.2278418303007825E-3</v>
      </c>
      <c r="Q300" s="8">
        <f>+VLOOKUP($B300,NIFTY_METAL!$B$3:$I$1238,8,0)</f>
        <v>-5.6906704692493149E-3</v>
      </c>
      <c r="R300" s="8">
        <f>+VLOOKUP($B300,NIFTY_ENERGY!$B$3:$I$1238,8,0)</f>
        <v>-6.5271059694852473E-3</v>
      </c>
      <c r="S300" s="8">
        <f>+VLOOKUP($B300,NIFTY_AUTO!$B$3:$I$1238,8,0)</f>
        <v>-3.3440886454627616E-4</v>
      </c>
      <c r="T300" s="8">
        <v>0</v>
      </c>
      <c r="U300" s="8">
        <f>+VLOOKUP($B300,NIFTY_50!$B$63:$K$1238,10,0)</f>
        <v>2.1382426088619955E-2</v>
      </c>
      <c r="V300" s="8">
        <f>+VLOOKUP($B300,NIFTY_BANK!$B$63:$K$1238,10,0)</f>
        <v>-5.9479167291657253E-3</v>
      </c>
      <c r="W300" s="8">
        <f>+VLOOKUP($B300,NIFTY_IT!$B$63:$K$1238,10,0)</f>
        <v>0.13644604815272365</v>
      </c>
      <c r="X300" s="8">
        <f>+VLOOKUP($B300,NIFTY_PHARMA!$B$63:$K$1238,10,0)</f>
        <v>-3.346181188074826E-2</v>
      </c>
      <c r="Y300" s="8">
        <f>+VLOOKUP($B300,NIFTY_FMCG!$B$63:$K$1238,10,0)</f>
        <v>1.423754859574089E-2</v>
      </c>
      <c r="Z300" s="8">
        <f>+VLOOKUP($B300,NIFTY_METAL!$B$63:$K$1238,10,0)</f>
        <v>5.6703056155810616E-2</v>
      </c>
      <c r="AA300" s="8">
        <f>+VLOOKUP($B300,NIFTY_ENERGY!$B$63:$K$1238,10,0)</f>
        <v>-1.718109369730747E-2</v>
      </c>
      <c r="AB300" s="8">
        <f>+VLOOKUP($B300,NIFTY_AUTO!$B$63:$K$1238,10,0)</f>
        <v>-1.8114189078222487E-2</v>
      </c>
      <c r="AC300" s="8"/>
      <c r="AD300" s="16">
        <f t="shared" si="167"/>
        <v>5.6331366587386598E-2</v>
      </c>
      <c r="AE300" s="8">
        <f t="shared" si="168"/>
        <v>7.1302306079925798E-2</v>
      </c>
      <c r="AF300" s="8">
        <f t="shared" si="169"/>
        <v>8.0149683858325022E-2</v>
      </c>
      <c r="AG300" s="8">
        <f t="shared" si="170"/>
        <v>8.8803428612659843E-2</v>
      </c>
      <c r="AH300" s="8">
        <f t="shared" si="171"/>
        <v>5.558607538191572E-2</v>
      </c>
      <c r="AI300" s="8">
        <f t="shared" si="172"/>
        <v>0.1150093292724101</v>
      </c>
      <c r="AJ300" s="8">
        <f t="shared" si="173"/>
        <v>7.5834812971590226E-2</v>
      </c>
      <c r="AK300" s="8">
        <f t="shared" si="174"/>
        <v>8.1127458910044137E-2</v>
      </c>
      <c r="AL300" s="9">
        <v>0</v>
      </c>
      <c r="AM300" s="17">
        <f t="shared" si="151"/>
        <v>17.752099062761143</v>
      </c>
      <c r="AN300" s="13">
        <f t="shared" si="152"/>
        <v>14.024791833227066</v>
      </c>
      <c r="AO300" s="13">
        <f t="shared" si="153"/>
        <v>12.476655575680496</v>
      </c>
      <c r="AP300" s="13">
        <f t="shared" si="154"/>
        <v>11.260826475087693</v>
      </c>
      <c r="AQ300" s="13">
        <f t="shared" si="155"/>
        <v>17.99011700555025</v>
      </c>
      <c r="AR300" s="13">
        <f t="shared" si="156"/>
        <v>8.6949468041102005</v>
      </c>
      <c r="AS300" s="13">
        <f t="shared" si="157"/>
        <v>13.186555894515452</v>
      </c>
      <c r="AT300" s="13">
        <f t="shared" si="158"/>
        <v>12.326282783105796</v>
      </c>
      <c r="AU300" s="9">
        <v>0</v>
      </c>
      <c r="AV300" s="18">
        <f t="shared" si="175"/>
        <v>2</v>
      </c>
      <c r="AW300" s="18">
        <f t="shared" si="176"/>
        <v>3</v>
      </c>
      <c r="AX300" s="18">
        <f t="shared" si="177"/>
        <v>5</v>
      </c>
      <c r="AY300" s="18">
        <f t="shared" si="178"/>
        <v>7</v>
      </c>
      <c r="AZ300" s="18">
        <f t="shared" si="179"/>
        <v>1</v>
      </c>
      <c r="BA300" s="18">
        <f t="shared" si="180"/>
        <v>8</v>
      </c>
      <c r="BB300" s="18">
        <f t="shared" si="181"/>
        <v>4</v>
      </c>
      <c r="BC300" s="18">
        <f t="shared" si="182"/>
        <v>6</v>
      </c>
      <c r="BD300" s="18">
        <f t="shared" si="183"/>
        <v>9</v>
      </c>
      <c r="BE300" s="8">
        <f t="shared" si="185"/>
        <v>-1.9519610802027814E-3</v>
      </c>
    </row>
    <row r="301" spans="1:57" x14ac:dyDescent="0.25">
      <c r="A301" t="str">
        <f t="shared" si="184"/>
        <v/>
      </c>
      <c r="B301" s="1">
        <v>43174</v>
      </c>
      <c r="C301" s="9">
        <f t="shared" si="159"/>
        <v>0.25017736553351244</v>
      </c>
      <c r="D301" s="9">
        <f t="shared" si="160"/>
        <v>0.25019730648061539</v>
      </c>
      <c r="E301" s="9">
        <f t="shared" si="161"/>
        <v>0</v>
      </c>
      <c r="F301" s="9">
        <f t="shared" si="162"/>
        <v>0</v>
      </c>
      <c r="G301" s="9">
        <f t="shared" si="163"/>
        <v>0.252116512306233</v>
      </c>
      <c r="H301" s="9">
        <f t="shared" si="164"/>
        <v>0</v>
      </c>
      <c r="I301" s="9">
        <f t="shared" si="165"/>
        <v>0.24750881567963917</v>
      </c>
      <c r="J301" s="9">
        <f t="shared" si="166"/>
        <v>0</v>
      </c>
      <c r="K301" s="9">
        <v>0</v>
      </c>
      <c r="L301" s="8">
        <f>+VLOOKUP($B301,NIFTY_50!$B$3:$I$1238,8,0)</f>
        <v>-4.8746986331633657E-3</v>
      </c>
      <c r="M301" s="8">
        <f>+VLOOKUP($B301,NIFTY_BANK!$B$3:$I$41238,8,0)</f>
        <v>-2.40627885874789E-3</v>
      </c>
      <c r="N301" s="8">
        <f>+VLOOKUP($B301,NIFTY_IT!$B$3:$I$1238,8,0)</f>
        <v>-1.9277466479498129E-3</v>
      </c>
      <c r="O301" s="8">
        <f>+VLOOKUP($B301,NIFTY_PHARMA!$B$3:$I$1238,8,0)</f>
        <v>-3.5625836776206343E-3</v>
      </c>
      <c r="P301" s="8">
        <f>+VLOOKUP($B301,NIFTY_FMCG!$B$3:$I$1238,8,0)</f>
        <v>-5.6855550718657444E-3</v>
      </c>
      <c r="Q301" s="8">
        <f>+VLOOKUP($B301,NIFTY_METAL!$B$3:$I$1238,8,0)</f>
        <v>-3.1205598417145541E-3</v>
      </c>
      <c r="R301" s="8">
        <f>+VLOOKUP($B301,NIFTY_ENERGY!$B$3:$I$1238,8,0)</f>
        <v>-1.2721001209975991E-2</v>
      </c>
      <c r="S301" s="8">
        <f>+VLOOKUP($B301,NIFTY_AUTO!$B$3:$I$1238,8,0)</f>
        <v>-8.0013742473283855E-4</v>
      </c>
      <c r="T301" s="8">
        <v>0</v>
      </c>
      <c r="U301" s="8">
        <f>+VLOOKUP($B301,NIFTY_50!$B$63:$K$1238,10,0)</f>
        <v>1.0539304142565875E-2</v>
      </c>
      <c r="V301" s="8">
        <f>+VLOOKUP($B301,NIFTY_BANK!$B$63:$K$1238,10,0)</f>
        <v>-1.4953393568074125E-2</v>
      </c>
      <c r="W301" s="8">
        <f>+VLOOKUP($B301,NIFTY_IT!$B$63:$K$1238,10,0)</f>
        <v>0.13187115312982245</v>
      </c>
      <c r="X301" s="8">
        <f>+VLOOKUP($B301,NIFTY_PHARMA!$B$63:$K$1238,10,0)</f>
        <v>-4.4130373669501899E-2</v>
      </c>
      <c r="Y301" s="8">
        <f>+VLOOKUP($B301,NIFTY_FMCG!$B$63:$K$1238,10,0)</f>
        <v>-7.5805528497174812E-5</v>
      </c>
      <c r="Z301" s="8">
        <f>+VLOOKUP($B301,NIFTY_METAL!$B$63:$K$1238,10,0)</f>
        <v>5.1148853946428874E-2</v>
      </c>
      <c r="AA301" s="8">
        <f>+VLOOKUP($B301,NIFTY_ENERGY!$B$63:$K$1238,10,0)</f>
        <v>-3.7287359560455036E-2</v>
      </c>
      <c r="AB301" s="8">
        <f>+VLOOKUP($B301,NIFTY_AUTO!$B$63:$K$1238,10,0)</f>
        <v>-2.1640020537880056E-2</v>
      </c>
      <c r="AC301" s="8"/>
      <c r="AD301" s="16">
        <f t="shared" si="167"/>
        <v>5.6297478923051564E-2</v>
      </c>
      <c r="AE301" s="8">
        <f t="shared" si="168"/>
        <v>7.1009488107720828E-2</v>
      </c>
      <c r="AF301" s="8">
        <f t="shared" si="169"/>
        <v>8.0251746758285211E-2</v>
      </c>
      <c r="AG301" s="8">
        <f t="shared" si="170"/>
        <v>8.847939993345004E-2</v>
      </c>
      <c r="AH301" s="8">
        <f t="shared" si="171"/>
        <v>5.5254632118692214E-2</v>
      </c>
      <c r="AI301" s="8">
        <f t="shared" si="172"/>
        <v>0.11507602068464243</v>
      </c>
      <c r="AJ301" s="8">
        <f t="shared" si="173"/>
        <v>7.6378188354089591E-2</v>
      </c>
      <c r="AK301" s="8">
        <f t="shared" si="174"/>
        <v>8.1070821757234499E-2</v>
      </c>
      <c r="AL301" s="9">
        <v>0</v>
      </c>
      <c r="AM301" s="17">
        <f t="shared" si="151"/>
        <v>17.76278474861758</v>
      </c>
      <c r="AN301" s="13">
        <f t="shared" si="152"/>
        <v>14.082625106140858</v>
      </c>
      <c r="AO301" s="13">
        <f t="shared" si="153"/>
        <v>12.460787962808544</v>
      </c>
      <c r="AP301" s="13">
        <f t="shared" si="154"/>
        <v>11.302065800086257</v>
      </c>
      <c r="AQ301" s="13">
        <f t="shared" si="155"/>
        <v>18.098030185992457</v>
      </c>
      <c r="AR301" s="13">
        <f t="shared" si="156"/>
        <v>8.6899077153565134</v>
      </c>
      <c r="AS301" s="13">
        <f t="shared" si="157"/>
        <v>13.092743118807636</v>
      </c>
      <c r="AT301" s="13">
        <f t="shared" si="158"/>
        <v>12.334894087967761</v>
      </c>
      <c r="AU301" s="9">
        <v>0</v>
      </c>
      <c r="AV301" s="18">
        <f t="shared" si="175"/>
        <v>2</v>
      </c>
      <c r="AW301" s="18">
        <f t="shared" si="176"/>
        <v>3</v>
      </c>
      <c r="AX301" s="18">
        <f t="shared" si="177"/>
        <v>5</v>
      </c>
      <c r="AY301" s="18">
        <f t="shared" si="178"/>
        <v>7</v>
      </c>
      <c r="AZ301" s="18">
        <f t="shared" si="179"/>
        <v>1</v>
      </c>
      <c r="BA301" s="18">
        <f t="shared" si="180"/>
        <v>8</v>
      </c>
      <c r="BB301" s="18">
        <f t="shared" si="181"/>
        <v>4</v>
      </c>
      <c r="BC301" s="18">
        <f t="shared" si="182"/>
        <v>6</v>
      </c>
      <c r="BD301" s="18">
        <f t="shared" si="183"/>
        <v>9</v>
      </c>
      <c r="BE301" s="8">
        <f t="shared" si="185"/>
        <v>-6.4182968722392483E-3</v>
      </c>
    </row>
    <row r="302" spans="1:57" x14ac:dyDescent="0.25">
      <c r="A302" t="str">
        <f t="shared" si="184"/>
        <v/>
      </c>
      <c r="B302" s="1">
        <v>43175</v>
      </c>
      <c r="C302" s="9">
        <f t="shared" si="159"/>
        <v>0.24985840869730758</v>
      </c>
      <c r="D302" s="9">
        <f t="shared" si="160"/>
        <v>0.25082618784864852</v>
      </c>
      <c r="E302" s="9">
        <f t="shared" si="161"/>
        <v>0</v>
      </c>
      <c r="F302" s="9">
        <f t="shared" si="162"/>
        <v>0</v>
      </c>
      <c r="G302" s="9">
        <f t="shared" si="163"/>
        <v>0.25267777638517863</v>
      </c>
      <c r="H302" s="9">
        <f t="shared" si="164"/>
        <v>0</v>
      </c>
      <c r="I302" s="9">
        <f t="shared" si="165"/>
        <v>0.2466376270688653</v>
      </c>
      <c r="J302" s="9">
        <f t="shared" si="166"/>
        <v>0</v>
      </c>
      <c r="K302" s="9">
        <v>0</v>
      </c>
      <c r="L302" s="8">
        <f>+VLOOKUP($B302,NIFTY_50!$B$3:$I$1238,8,0)</f>
        <v>-1.592641033189679E-2</v>
      </c>
      <c r="M302" s="8">
        <f>+VLOOKUP($B302,NIFTY_BANK!$B$3:$I$41238,8,0)</f>
        <v>-1.2193523274785845E-2</v>
      </c>
      <c r="N302" s="8">
        <f>+VLOOKUP($B302,NIFTY_IT!$B$3:$I$1238,8,0)</f>
        <v>-5.0069344867303966E-3</v>
      </c>
      <c r="O302" s="8">
        <f>+VLOOKUP($B302,NIFTY_PHARMA!$B$3:$I$1238,8,0)</f>
        <v>-1.4272450997918296E-2</v>
      </c>
      <c r="P302" s="8">
        <f>+VLOOKUP($B302,NIFTY_FMCG!$B$3:$I$1238,8,0)</f>
        <v>-1.2476640650763926E-2</v>
      </c>
      <c r="Q302" s="8">
        <f>+VLOOKUP($B302,NIFTY_METAL!$B$3:$I$1238,8,0)</f>
        <v>-2.3737212276214836E-2</v>
      </c>
      <c r="R302" s="8">
        <f>+VLOOKUP($B302,NIFTY_ENERGY!$B$3:$I$1238,8,0)</f>
        <v>-1.8138382910848239E-2</v>
      </c>
      <c r="S302" s="8">
        <f>+VLOOKUP($B302,NIFTY_AUTO!$B$3:$I$1238,8,0)</f>
        <v>-1.722351663763666E-2</v>
      </c>
      <c r="T302" s="8">
        <v>0</v>
      </c>
      <c r="U302" s="8">
        <f>+VLOOKUP($B302,NIFTY_50!$B$63:$K$1238,10,0)</f>
        <v>-1.3364623908257323E-2</v>
      </c>
      <c r="V302" s="8">
        <f>+VLOOKUP($B302,NIFTY_BANK!$B$63:$K$1238,10,0)</f>
        <v>-3.7371807722393235E-2</v>
      </c>
      <c r="W302" s="8">
        <f>+VLOOKUP($B302,NIFTY_IT!$B$63:$K$1238,10,0)</f>
        <v>0.12491694940779396</v>
      </c>
      <c r="X302" s="8">
        <f>+VLOOKUP($B302,NIFTY_PHARMA!$B$63:$K$1238,10,0)</f>
        <v>-6.0822170697669264E-2</v>
      </c>
      <c r="Y302" s="8">
        <f>+VLOOKUP($B302,NIFTY_FMCG!$B$63:$K$1238,10,0)</f>
        <v>-1.4326089259500185E-2</v>
      </c>
      <c r="Z302" s="8">
        <f>+VLOOKUP($B302,NIFTY_METAL!$B$63:$K$1238,10,0)</f>
        <v>-3.81898033225192E-4</v>
      </c>
      <c r="AA302" s="8">
        <f>+VLOOKUP($B302,NIFTY_ENERGY!$B$63:$K$1238,10,0)</f>
        <v>-5.5231892986007169E-2</v>
      </c>
      <c r="AB302" s="8">
        <f>+VLOOKUP($B302,NIFTY_AUTO!$B$63:$K$1238,10,0)</f>
        <v>-5.1273540407393181E-2</v>
      </c>
      <c r="AC302" s="8"/>
      <c r="AD302" s="16">
        <f t="shared" si="167"/>
        <v>5.7970003132194484E-2</v>
      </c>
      <c r="AE302" s="8">
        <f t="shared" si="168"/>
        <v>7.110565830700645E-2</v>
      </c>
      <c r="AF302" s="8">
        <f t="shared" si="169"/>
        <v>8.0555178235849526E-2</v>
      </c>
      <c r="AG302" s="8">
        <f t="shared" si="170"/>
        <v>8.9403910879490747E-2</v>
      </c>
      <c r="AH302" s="8">
        <f t="shared" si="171"/>
        <v>5.6593603233357263E-2</v>
      </c>
      <c r="AI302" s="8">
        <f t="shared" si="172"/>
        <v>0.11467641559722595</v>
      </c>
      <c r="AJ302" s="8">
        <f t="shared" si="173"/>
        <v>7.8327708396587897E-2</v>
      </c>
      <c r="AK302" s="8">
        <f t="shared" si="174"/>
        <v>8.1568580390613835E-2</v>
      </c>
      <c r="AL302" s="9">
        <v>0</v>
      </c>
      <c r="AM302" s="17">
        <f t="shared" si="151"/>
        <v>17.250300948226712</v>
      </c>
      <c r="AN302" s="13">
        <f t="shared" si="152"/>
        <v>14.06357839600318</v>
      </c>
      <c r="AO302" s="13">
        <f t="shared" si="153"/>
        <v>12.413851249539777</v>
      </c>
      <c r="AP302" s="13">
        <f t="shared" si="154"/>
        <v>11.185193020783165</v>
      </c>
      <c r="AQ302" s="13">
        <f t="shared" si="155"/>
        <v>17.669841516833873</v>
      </c>
      <c r="AR302" s="13">
        <f t="shared" si="156"/>
        <v>8.7201888443415054</v>
      </c>
      <c r="AS302" s="13">
        <f t="shared" si="157"/>
        <v>12.766874206721486</v>
      </c>
      <c r="AT302" s="13">
        <f t="shared" si="158"/>
        <v>12.25962245770641</v>
      </c>
      <c r="AU302" s="9">
        <v>0</v>
      </c>
      <c r="AV302" s="18">
        <f t="shared" si="175"/>
        <v>2</v>
      </c>
      <c r="AW302" s="18">
        <f t="shared" si="176"/>
        <v>3</v>
      </c>
      <c r="AX302" s="18">
        <f t="shared" si="177"/>
        <v>5</v>
      </c>
      <c r="AY302" s="18">
        <f t="shared" si="178"/>
        <v>7</v>
      </c>
      <c r="AZ302" s="18">
        <f t="shared" si="179"/>
        <v>1</v>
      </c>
      <c r="BA302" s="18">
        <f t="shared" si="180"/>
        <v>8</v>
      </c>
      <c r="BB302" s="18">
        <f t="shared" si="181"/>
        <v>4</v>
      </c>
      <c r="BC302" s="18">
        <f t="shared" si="182"/>
        <v>6</v>
      </c>
      <c r="BD302" s="18">
        <f t="shared" si="183"/>
        <v>9</v>
      </c>
      <c r="BE302" s="8">
        <f t="shared" si="185"/>
        <v>-1.4670190857876388E-2</v>
      </c>
    </row>
    <row r="303" spans="1:57" x14ac:dyDescent="0.25">
      <c r="A303" t="str">
        <f t="shared" si="184"/>
        <v/>
      </c>
      <c r="B303" s="1">
        <v>43178</v>
      </c>
      <c r="C303" s="9">
        <f t="shared" si="159"/>
        <v>0.24934434873989963</v>
      </c>
      <c r="D303" s="9">
        <f t="shared" si="160"/>
        <v>0.25028866143329564</v>
      </c>
      <c r="E303" s="9">
        <f t="shared" si="161"/>
        <v>0</v>
      </c>
      <c r="F303" s="9">
        <f t="shared" si="162"/>
        <v>0</v>
      </c>
      <c r="G303" s="9">
        <f t="shared" si="163"/>
        <v>0.25354102872189233</v>
      </c>
      <c r="H303" s="9">
        <f t="shared" si="164"/>
        <v>0</v>
      </c>
      <c r="I303" s="9">
        <f t="shared" si="165"/>
        <v>0.24682596110491251</v>
      </c>
      <c r="J303" s="9">
        <f t="shared" si="166"/>
        <v>0</v>
      </c>
      <c r="K303" s="9">
        <v>0</v>
      </c>
      <c r="L303" s="8">
        <f>+VLOOKUP($B303,NIFTY_50!$B$3:$I$1238,8,0)</f>
        <v>-9.8968627239421902E-3</v>
      </c>
      <c r="M303" s="8">
        <f>+VLOOKUP($B303,NIFTY_BANK!$B$3:$I$41238,8,0)</f>
        <v>-9.9818085673277768E-3</v>
      </c>
      <c r="N303" s="8">
        <f>+VLOOKUP($B303,NIFTY_IT!$B$3:$I$1238,8,0)</f>
        <v>-2.182164682164689E-2</v>
      </c>
      <c r="O303" s="8">
        <f>+VLOOKUP($B303,NIFTY_PHARMA!$B$3:$I$1238,8,0)</f>
        <v>-3.9663967800813715E-3</v>
      </c>
      <c r="P303" s="8">
        <f>+VLOOKUP($B303,NIFTY_FMCG!$B$3:$I$1238,8,0)</f>
        <v>-4.4660421500721803E-3</v>
      </c>
      <c r="Q303" s="8">
        <f>+VLOOKUP($B303,NIFTY_METAL!$B$3:$I$1238,8,0)</f>
        <v>-2.6661208896165856E-2</v>
      </c>
      <c r="R303" s="8">
        <f>+VLOOKUP($B303,NIFTY_ENERGY!$B$3:$I$1238,8,0)</f>
        <v>-7.0980121839894217E-3</v>
      </c>
      <c r="S303" s="8">
        <f>+VLOOKUP($B303,NIFTY_AUTO!$B$3:$I$1238,8,0)</f>
        <v>-6.8499456791941693E-3</v>
      </c>
      <c r="T303" s="8">
        <v>0</v>
      </c>
      <c r="U303" s="8">
        <f>+VLOOKUP($B303,NIFTY_50!$B$63:$K$1238,10,0)</f>
        <v>-2.8347972566478141E-2</v>
      </c>
      <c r="V303" s="8">
        <f>+VLOOKUP($B303,NIFTY_BANK!$B$63:$K$1238,10,0)</f>
        <v>-5.2724115094815116E-2</v>
      </c>
      <c r="W303" s="8">
        <f>+VLOOKUP($B303,NIFTY_IT!$B$63:$K$1238,10,0)</f>
        <v>9.7753464366515663E-2</v>
      </c>
      <c r="X303" s="8">
        <f>+VLOOKUP($B303,NIFTY_PHARMA!$B$63:$K$1238,10,0)</f>
        <v>-7.7737271747314707E-2</v>
      </c>
      <c r="Y303" s="8">
        <f>+VLOOKUP($B303,NIFTY_FMCG!$B$63:$K$1238,10,0)</f>
        <v>-1.9572042315681659E-2</v>
      </c>
      <c r="Z303" s="8">
        <f>+VLOOKUP($B303,NIFTY_METAL!$B$63:$K$1238,10,0)</f>
        <v>-4.2957954332018544E-2</v>
      </c>
      <c r="AA303" s="8">
        <f>+VLOOKUP($B303,NIFTY_ENERGY!$B$63:$K$1238,10,0)</f>
        <v>-6.3111967401584201E-2</v>
      </c>
      <c r="AB303" s="8">
        <f>+VLOOKUP($B303,NIFTY_AUTO!$B$63:$K$1238,10,0)</f>
        <v>-6.9207570939809449E-2</v>
      </c>
      <c r="AC303" s="8"/>
      <c r="AD303" s="16">
        <f t="shared" si="167"/>
        <v>5.84799852832152E-2</v>
      </c>
      <c r="AE303" s="8">
        <f t="shared" si="168"/>
        <v>7.1386071324575084E-2</v>
      </c>
      <c r="AF303" s="8">
        <f t="shared" si="169"/>
        <v>8.3941082666970257E-2</v>
      </c>
      <c r="AG303" s="8">
        <f t="shared" si="170"/>
        <v>8.8111295775881407E-2</v>
      </c>
      <c r="AH303" s="8">
        <f t="shared" si="171"/>
        <v>5.6739183071901525E-2</v>
      </c>
      <c r="AI303" s="8">
        <f t="shared" si="172"/>
        <v>0.11645887860966464</v>
      </c>
      <c r="AJ303" s="8">
        <f t="shared" si="173"/>
        <v>7.8537839050176611E-2</v>
      </c>
      <c r="AK303" s="8">
        <f t="shared" si="174"/>
        <v>8.0700031504107081E-2</v>
      </c>
      <c r="AL303" s="9">
        <v>0</v>
      </c>
      <c r="AM303" s="17">
        <f t="shared" si="151"/>
        <v>17.099867504361665</v>
      </c>
      <c r="AN303" s="13">
        <f t="shared" si="152"/>
        <v>14.008334979708346</v>
      </c>
      <c r="AO303" s="13">
        <f t="shared" si="153"/>
        <v>11.913117727673617</v>
      </c>
      <c r="AP303" s="13">
        <f t="shared" si="154"/>
        <v>11.3492826452534</v>
      </c>
      <c r="AQ303" s="13">
        <f t="shared" si="155"/>
        <v>17.624504722473201</v>
      </c>
      <c r="AR303" s="13">
        <f t="shared" si="156"/>
        <v>8.5867218707446185</v>
      </c>
      <c r="AS303" s="13">
        <f t="shared" si="157"/>
        <v>12.732716001532911</v>
      </c>
      <c r="AT303" s="13">
        <f t="shared" si="158"/>
        <v>12.3915688923753</v>
      </c>
      <c r="AU303" s="9">
        <v>0</v>
      </c>
      <c r="AV303" s="18">
        <f t="shared" si="175"/>
        <v>2</v>
      </c>
      <c r="AW303" s="18">
        <f t="shared" si="176"/>
        <v>3</v>
      </c>
      <c r="AX303" s="18">
        <f t="shared" si="177"/>
        <v>6</v>
      </c>
      <c r="AY303" s="18">
        <f t="shared" si="178"/>
        <v>7</v>
      </c>
      <c r="AZ303" s="18">
        <f t="shared" si="179"/>
        <v>1</v>
      </c>
      <c r="BA303" s="18">
        <f t="shared" si="180"/>
        <v>8</v>
      </c>
      <c r="BB303" s="18">
        <f t="shared" si="181"/>
        <v>4</v>
      </c>
      <c r="BC303" s="18">
        <f t="shared" si="182"/>
        <v>5</v>
      </c>
      <c r="BD303" s="18">
        <f t="shared" si="183"/>
        <v>9</v>
      </c>
      <c r="BE303" s="8">
        <f t="shared" si="185"/>
        <v>-7.8556198437654684E-3</v>
      </c>
    </row>
    <row r="304" spans="1:57" x14ac:dyDescent="0.25">
      <c r="A304" t="str">
        <f t="shared" si="184"/>
        <v/>
      </c>
      <c r="B304" s="1">
        <v>43179</v>
      </c>
      <c r="C304" s="9">
        <f t="shared" si="159"/>
        <v>0.25020360172073708</v>
      </c>
      <c r="D304" s="9">
        <f t="shared" si="160"/>
        <v>0.2496102618361756</v>
      </c>
      <c r="E304" s="9">
        <f t="shared" si="161"/>
        <v>0</v>
      </c>
      <c r="F304" s="9">
        <f t="shared" si="162"/>
        <v>0</v>
      </c>
      <c r="G304" s="9">
        <f t="shared" si="163"/>
        <v>0.25471658293044724</v>
      </c>
      <c r="H304" s="9">
        <f t="shared" si="164"/>
        <v>0</v>
      </c>
      <c r="I304" s="9">
        <f t="shared" si="165"/>
        <v>0.24546955351263997</v>
      </c>
      <c r="J304" s="9">
        <f t="shared" si="166"/>
        <v>0</v>
      </c>
      <c r="K304" s="9">
        <v>0</v>
      </c>
      <c r="L304" s="8">
        <f>+VLOOKUP($B304,NIFTY_50!$B$3:$I$1238,8,0)</f>
        <v>2.9818956336529201E-3</v>
      </c>
      <c r="M304" s="8">
        <f>+VLOOKUP($B304,NIFTY_BANK!$B$3:$I$41238,8,0)</f>
        <v>-3.1717749153435948E-3</v>
      </c>
      <c r="N304" s="8">
        <f>+VLOOKUP($B304,NIFTY_IT!$B$3:$I$1238,8,0)</f>
        <v>1.5119190422902662E-2</v>
      </c>
      <c r="O304" s="8">
        <f>+VLOOKUP($B304,NIFTY_PHARMA!$B$3:$I$1238,8,0)</f>
        <v>7.7294458997523297E-3</v>
      </c>
      <c r="P304" s="8">
        <f>+VLOOKUP($B304,NIFTY_FMCG!$B$3:$I$1238,8,0)</f>
        <v>4.1718396964813831E-3</v>
      </c>
      <c r="Q304" s="8">
        <f>+VLOOKUP($B304,NIFTY_METAL!$B$3:$I$1238,8,0)</f>
        <v>-3.1821240327465361E-3</v>
      </c>
      <c r="R304" s="8">
        <f>+VLOOKUP($B304,NIFTY_ENERGY!$B$3:$I$1238,8,0)</f>
        <v>-5.9554187931551983E-3</v>
      </c>
      <c r="S304" s="8">
        <f>+VLOOKUP($B304,NIFTY_AUTO!$B$3:$I$1238,8,0)</f>
        <v>5.7105775470474018E-3</v>
      </c>
      <c r="T304" s="8">
        <v>0</v>
      </c>
      <c r="U304" s="8">
        <f>+VLOOKUP($B304,NIFTY_50!$B$63:$K$1238,10,0)</f>
        <v>-3.2384930040523008E-2</v>
      </c>
      <c r="V304" s="8">
        <f>+VLOOKUP($B304,NIFTY_BANK!$B$63:$K$1238,10,0)</f>
        <v>-6.019551877804652E-2</v>
      </c>
      <c r="W304" s="8">
        <f>+VLOOKUP($B304,NIFTY_IT!$B$63:$K$1238,10,0)</f>
        <v>0.12174118044774995</v>
      </c>
      <c r="X304" s="8">
        <f>+VLOOKUP($B304,NIFTY_PHARMA!$B$63:$K$1238,10,0)</f>
        <v>-7.7524422962154338E-2</v>
      </c>
      <c r="Y304" s="8">
        <f>+VLOOKUP($B304,NIFTY_FMCG!$B$63:$K$1238,10,0)</f>
        <v>-2.4350041207762074E-2</v>
      </c>
      <c r="Z304" s="8">
        <f>+VLOOKUP($B304,NIFTY_METAL!$B$63:$K$1238,10,0)</f>
        <v>-5.9728135826303208E-2</v>
      </c>
      <c r="AA304" s="8">
        <f>+VLOOKUP($B304,NIFTY_ENERGY!$B$63:$K$1238,10,0)</f>
        <v>-7.4625770728895535E-2</v>
      </c>
      <c r="AB304" s="8">
        <f>+VLOOKUP($B304,NIFTY_AUTO!$B$63:$K$1238,10,0)</f>
        <v>-9.5339354063993187E-2</v>
      </c>
      <c r="AC304" s="8"/>
      <c r="AD304" s="16">
        <f t="shared" si="167"/>
        <v>5.8081379189474244E-2</v>
      </c>
      <c r="AE304" s="8">
        <f t="shared" si="168"/>
        <v>7.1196963479920827E-2</v>
      </c>
      <c r="AF304" s="8">
        <f t="shared" si="169"/>
        <v>8.4585059704800833E-2</v>
      </c>
      <c r="AG304" s="8">
        <f t="shared" si="170"/>
        <v>8.8134709677271411E-2</v>
      </c>
      <c r="AH304" s="8">
        <f t="shared" si="171"/>
        <v>5.6131952043583067E-2</v>
      </c>
      <c r="AI304" s="8">
        <f t="shared" si="172"/>
        <v>0.1154682799681946</v>
      </c>
      <c r="AJ304" s="8">
        <f t="shared" si="173"/>
        <v>7.8325356813578231E-2</v>
      </c>
      <c r="AK304" s="8">
        <f t="shared" si="174"/>
        <v>7.2510373867368541E-2</v>
      </c>
      <c r="AL304" s="9">
        <v>0</v>
      </c>
      <c r="AM304" s="17">
        <f t="shared" si="151"/>
        <v>17.217222007380023</v>
      </c>
      <c r="AN304" s="13">
        <f t="shared" si="152"/>
        <v>14.045542831079066</v>
      </c>
      <c r="AO304" s="13">
        <f t="shared" si="153"/>
        <v>11.822418799371523</v>
      </c>
      <c r="AP304" s="13">
        <f t="shared" si="154"/>
        <v>11.346267590393897</v>
      </c>
      <c r="AQ304" s="13">
        <f t="shared" si="155"/>
        <v>17.815165223963003</v>
      </c>
      <c r="AR304" s="13">
        <f t="shared" si="156"/>
        <v>8.6603870801179941</v>
      </c>
      <c r="AS304" s="13">
        <f t="shared" si="157"/>
        <v>12.767257509979746</v>
      </c>
      <c r="AT304" s="13">
        <f t="shared" si="158"/>
        <v>13.791130105454121</v>
      </c>
      <c r="AU304" s="9">
        <v>0</v>
      </c>
      <c r="AV304" s="18">
        <f t="shared" si="175"/>
        <v>2</v>
      </c>
      <c r="AW304" s="18">
        <f t="shared" si="176"/>
        <v>3</v>
      </c>
      <c r="AX304" s="18">
        <f t="shared" si="177"/>
        <v>6</v>
      </c>
      <c r="AY304" s="18">
        <f t="shared" si="178"/>
        <v>7</v>
      </c>
      <c r="AZ304" s="18">
        <f t="shared" si="179"/>
        <v>1</v>
      </c>
      <c r="BA304" s="18">
        <f t="shared" si="180"/>
        <v>8</v>
      </c>
      <c r="BB304" s="18">
        <f t="shared" si="181"/>
        <v>5</v>
      </c>
      <c r="BC304" s="18">
        <f t="shared" si="182"/>
        <v>4</v>
      </c>
      <c r="BD304" s="18">
        <f t="shared" si="183"/>
        <v>9</v>
      </c>
      <c r="BE304" s="8">
        <f t="shared" si="185"/>
        <v>-4.6255991223958831E-4</v>
      </c>
    </row>
    <row r="305" spans="1:57" x14ac:dyDescent="0.25">
      <c r="A305" t="str">
        <f t="shared" si="184"/>
        <v/>
      </c>
      <c r="B305" s="1">
        <v>43180</v>
      </c>
      <c r="C305" s="9">
        <f t="shared" si="159"/>
        <v>0.25005696220245172</v>
      </c>
      <c r="D305" s="9">
        <f t="shared" si="160"/>
        <v>0.24960430789941712</v>
      </c>
      <c r="E305" s="9">
        <f t="shared" si="161"/>
        <v>0</v>
      </c>
      <c r="F305" s="9">
        <f t="shared" si="162"/>
        <v>0</v>
      </c>
      <c r="G305" s="9">
        <f t="shared" si="163"/>
        <v>0.25427020454066729</v>
      </c>
      <c r="H305" s="9">
        <f t="shared" si="164"/>
        <v>0</v>
      </c>
      <c r="I305" s="9">
        <f t="shared" si="165"/>
        <v>0.24606852535746401</v>
      </c>
      <c r="J305" s="9">
        <f t="shared" si="166"/>
        <v>0</v>
      </c>
      <c r="K305" s="9">
        <v>0</v>
      </c>
      <c r="L305" s="8">
        <f>+VLOOKUP($B305,NIFTY_50!$B$3:$I$1238,8,0)</f>
        <v>3.0520477857838291E-3</v>
      </c>
      <c r="M305" s="8">
        <f>+VLOOKUP($B305,NIFTY_BANK!$B$3:$I$41238,8,0)</f>
        <v>3.6163222747245261E-3</v>
      </c>
      <c r="N305" s="8">
        <f>+VLOOKUP($B305,NIFTY_IT!$B$3:$I$1238,8,0)</f>
        <v>-1.9826950377055397E-5</v>
      </c>
      <c r="O305" s="8">
        <f>+VLOOKUP($B305,NIFTY_PHARMA!$B$3:$I$1238,8,0)</f>
        <v>-6.2072341963234079E-3</v>
      </c>
      <c r="P305" s="8">
        <f>+VLOOKUP($B305,NIFTY_FMCG!$B$3:$I$1238,8,0)</f>
        <v>1.8814314237445284E-3</v>
      </c>
      <c r="Q305" s="8">
        <f>+VLOOKUP($B305,NIFTY_METAL!$B$3:$I$1238,8,0)</f>
        <v>-4.5985740201661685E-3</v>
      </c>
      <c r="R305" s="8">
        <f>+VLOOKUP($B305,NIFTY_ENERGY!$B$3:$I$1238,8,0)</f>
        <v>6.0892511315888687E-3</v>
      </c>
      <c r="S305" s="8">
        <f>+VLOOKUP($B305,NIFTY_AUTO!$B$3:$I$1238,8,0)</f>
        <v>-1.3826668878933468E-3</v>
      </c>
      <c r="T305" s="8">
        <v>0</v>
      </c>
      <c r="U305" s="8">
        <f>+VLOOKUP($B305,NIFTY_50!$B$63:$K$1238,10,0)</f>
        <v>-2.766607303575197E-2</v>
      </c>
      <c r="V305" s="8">
        <f>+VLOOKUP($B305,NIFTY_BANK!$B$63:$K$1238,10,0)</f>
        <v>-5.2208333170520205E-2</v>
      </c>
      <c r="W305" s="8">
        <f>+VLOOKUP($B305,NIFTY_IT!$B$63:$K$1238,10,0)</f>
        <v>0.11541285539887824</v>
      </c>
      <c r="X305" s="8">
        <f>+VLOOKUP($B305,NIFTY_PHARMA!$B$63:$K$1238,10,0)</f>
        <v>-8.1848483379911574E-2</v>
      </c>
      <c r="Y305" s="8">
        <f>+VLOOKUP($B305,NIFTY_FMCG!$B$63:$K$1238,10,0)</f>
        <v>-2.3821771621507892E-2</v>
      </c>
      <c r="Z305" s="8">
        <f>+VLOOKUP($B305,NIFTY_METAL!$B$63:$K$1238,10,0)</f>
        <v>-7.0223833543505698E-2</v>
      </c>
      <c r="AA305" s="8">
        <f>+VLOOKUP($B305,NIFTY_ENERGY!$B$63:$K$1238,10,0)</f>
        <v>-6.5756632452745656E-2</v>
      </c>
      <c r="AB305" s="8">
        <f>+VLOOKUP($B305,NIFTY_AUTO!$B$63:$K$1238,10,0)</f>
        <v>-9.373353075513835E-2</v>
      </c>
      <c r="AC305" s="8"/>
      <c r="AD305" s="16">
        <f t="shared" si="167"/>
        <v>5.8172662957101745E-2</v>
      </c>
      <c r="AE305" s="8">
        <f t="shared" si="168"/>
        <v>7.1231852749548935E-2</v>
      </c>
      <c r="AF305" s="8">
        <f t="shared" si="169"/>
        <v>8.452334061066738E-2</v>
      </c>
      <c r="AG305" s="8">
        <f t="shared" si="170"/>
        <v>8.8271089342013317E-2</v>
      </c>
      <c r="AH305" s="8">
        <f t="shared" si="171"/>
        <v>5.6151113684397985E-2</v>
      </c>
      <c r="AI305" s="8">
        <f t="shared" si="172"/>
        <v>0.11527236315654989</v>
      </c>
      <c r="AJ305" s="8">
        <f t="shared" si="173"/>
        <v>7.862421435892146E-2</v>
      </c>
      <c r="AK305" s="8">
        <f t="shared" si="174"/>
        <v>7.2493680818317918E-2</v>
      </c>
      <c r="AL305" s="9">
        <v>0</v>
      </c>
      <c r="AM305" s="17">
        <f t="shared" si="151"/>
        <v>17.190204972006004</v>
      </c>
      <c r="AN305" s="13">
        <f t="shared" si="152"/>
        <v>14.038663342311173</v>
      </c>
      <c r="AO305" s="13">
        <f t="shared" si="153"/>
        <v>11.831051550674202</v>
      </c>
      <c r="AP305" s="13">
        <f t="shared" si="154"/>
        <v>11.328737500059855</v>
      </c>
      <c r="AQ305" s="13">
        <f t="shared" si="155"/>
        <v>17.809085775583782</v>
      </c>
      <c r="AR305" s="13">
        <f t="shared" si="156"/>
        <v>8.6751062667285925</v>
      </c>
      <c r="AS305" s="13">
        <f t="shared" si="157"/>
        <v>12.718728042673668</v>
      </c>
      <c r="AT305" s="13">
        <f t="shared" si="158"/>
        <v>13.794305775508601</v>
      </c>
      <c r="AU305" s="9">
        <v>0</v>
      </c>
      <c r="AV305" s="18">
        <f t="shared" si="175"/>
        <v>2</v>
      </c>
      <c r="AW305" s="18">
        <f t="shared" si="176"/>
        <v>3</v>
      </c>
      <c r="AX305" s="18">
        <f t="shared" si="177"/>
        <v>6</v>
      </c>
      <c r="AY305" s="18">
        <f t="shared" si="178"/>
        <v>7</v>
      </c>
      <c r="AZ305" s="18">
        <f t="shared" si="179"/>
        <v>1</v>
      </c>
      <c r="BA305" s="18">
        <f t="shared" si="180"/>
        <v>8</v>
      </c>
      <c r="BB305" s="18">
        <f t="shared" si="181"/>
        <v>5</v>
      </c>
      <c r="BC305" s="18">
        <f t="shared" si="182"/>
        <v>4</v>
      </c>
      <c r="BD305" s="18">
        <f t="shared" si="183"/>
        <v>9</v>
      </c>
      <c r="BE305" s="8">
        <f t="shared" si="185"/>
        <v>3.6402620382765278E-3</v>
      </c>
    </row>
    <row r="306" spans="1:57" x14ac:dyDescent="0.25">
      <c r="A306" t="str">
        <f t="shared" si="184"/>
        <v/>
      </c>
      <c r="B306" s="1">
        <v>43181</v>
      </c>
      <c r="C306" s="9">
        <f t="shared" si="159"/>
        <v>0.2495201974720217</v>
      </c>
      <c r="D306" s="9">
        <f t="shared" si="160"/>
        <v>0.24888947187289565</v>
      </c>
      <c r="E306" s="9">
        <f t="shared" si="161"/>
        <v>0</v>
      </c>
      <c r="F306" s="9">
        <f t="shared" si="162"/>
        <v>0</v>
      </c>
      <c r="G306" s="9">
        <f t="shared" si="163"/>
        <v>0.25418530757479785</v>
      </c>
      <c r="H306" s="9">
        <f t="shared" si="164"/>
        <v>0</v>
      </c>
      <c r="I306" s="9">
        <f t="shared" si="165"/>
        <v>0.24740502308028473</v>
      </c>
      <c r="J306" s="9">
        <f t="shared" si="166"/>
        <v>0</v>
      </c>
      <c r="K306" s="9">
        <v>0</v>
      </c>
      <c r="L306" s="8">
        <f>+VLOOKUP($B306,NIFTY_50!$B$3:$I$1238,8,0)</f>
        <v>-3.988084980675044E-3</v>
      </c>
      <c r="M306" s="8">
        <f>+VLOOKUP($B306,NIFTY_BANK!$B$3:$I$41238,8,0)</f>
        <v>-4.7040683388577254E-3</v>
      </c>
      <c r="N306" s="8">
        <f>+VLOOKUP($B306,NIFTY_IT!$B$3:$I$1238,8,0)</f>
        <v>-9.4576428460961814E-3</v>
      </c>
      <c r="O306" s="8">
        <f>+VLOOKUP($B306,NIFTY_PHARMA!$B$3:$I$1238,8,0)</f>
        <v>-6.0348720595394534E-3</v>
      </c>
      <c r="P306" s="8">
        <f>+VLOOKUP($B306,NIFTY_FMCG!$B$3:$I$1238,8,0)</f>
        <v>-2.1787452573486243E-3</v>
      </c>
      <c r="Q306" s="8">
        <f>+VLOOKUP($B306,NIFTY_METAL!$B$3:$I$1238,8,0)</f>
        <v>3.1929021502641319E-3</v>
      </c>
      <c r="R306" s="8">
        <f>+VLOOKUP($B306,NIFTY_ENERGY!$B$3:$I$1238,8,0)</f>
        <v>3.5759044824508202E-3</v>
      </c>
      <c r="S306" s="8">
        <f>+VLOOKUP($B306,NIFTY_AUTO!$B$3:$I$1238,8,0)</f>
        <v>-8.9028577758086813E-3</v>
      </c>
      <c r="T306" s="8">
        <v>0</v>
      </c>
      <c r="U306" s="8">
        <f>+VLOOKUP($B306,NIFTY_50!$B$63:$K$1238,10,0)</f>
        <v>-3.118205415553188E-2</v>
      </c>
      <c r="V306" s="8">
        <f>+VLOOKUP($B306,NIFTY_BANK!$B$63:$K$1238,10,0)</f>
        <v>-5.5286194495642538E-2</v>
      </c>
      <c r="W306" s="8">
        <f>+VLOOKUP($B306,NIFTY_IT!$B$63:$K$1238,10,0)</f>
        <v>9.8054385764398733E-2</v>
      </c>
      <c r="X306" s="8">
        <f>+VLOOKUP($B306,NIFTY_PHARMA!$B$63:$K$1238,10,0)</f>
        <v>-9.0928595949193336E-2</v>
      </c>
      <c r="Y306" s="8">
        <f>+VLOOKUP($B306,NIFTY_FMCG!$B$63:$K$1238,10,0)</f>
        <v>-2.3689529359267159E-2</v>
      </c>
      <c r="Z306" s="8">
        <f>+VLOOKUP($B306,NIFTY_METAL!$B$63:$K$1238,10,0)</f>
        <v>-7.5380548719350959E-2</v>
      </c>
      <c r="AA306" s="8">
        <f>+VLOOKUP($B306,NIFTY_ENERGY!$B$63:$K$1238,10,0)</f>
        <v>-6.1639558218841595E-2</v>
      </c>
      <c r="AB306" s="8">
        <f>+VLOOKUP($B306,NIFTY_AUTO!$B$63:$K$1238,10,0)</f>
        <v>-9.5959787317344336E-2</v>
      </c>
      <c r="AC306" s="8"/>
      <c r="AD306" s="16">
        <f t="shared" si="167"/>
        <v>5.8279384747496166E-2</v>
      </c>
      <c r="AE306" s="8">
        <f t="shared" si="168"/>
        <v>7.1332805855878506E-2</v>
      </c>
      <c r="AF306" s="8">
        <f t="shared" si="169"/>
        <v>8.5141775433705838E-2</v>
      </c>
      <c r="AG306" s="8">
        <f t="shared" si="170"/>
        <v>8.8232184386268522E-2</v>
      </c>
      <c r="AH306" s="8">
        <f t="shared" si="171"/>
        <v>5.6146592984895508E-2</v>
      </c>
      <c r="AI306" s="8">
        <f t="shared" si="172"/>
        <v>0.11492625228893244</v>
      </c>
      <c r="AJ306" s="8">
        <f t="shared" si="173"/>
        <v>7.875860514239888E-2</v>
      </c>
      <c r="AK306" s="8">
        <f t="shared" si="174"/>
        <v>7.269854488594954E-2</v>
      </c>
      <c r="AL306" s="9">
        <v>0</v>
      </c>
      <c r="AM306" s="17">
        <f t="shared" si="151"/>
        <v>17.158726097275121</v>
      </c>
      <c r="AN306" s="13">
        <f t="shared" si="152"/>
        <v>14.018795251379986</v>
      </c>
      <c r="AO306" s="13">
        <f t="shared" si="153"/>
        <v>11.745115660392031</v>
      </c>
      <c r="AP306" s="13">
        <f t="shared" si="154"/>
        <v>11.333732775130397</v>
      </c>
      <c r="AQ306" s="13">
        <f t="shared" si="155"/>
        <v>17.810519692067849</v>
      </c>
      <c r="AR306" s="13">
        <f t="shared" si="156"/>
        <v>8.7012321387278142</v>
      </c>
      <c r="AS306" s="13">
        <f t="shared" si="157"/>
        <v>12.697025273517196</v>
      </c>
      <c r="AT306" s="13">
        <f t="shared" si="158"/>
        <v>13.755433503776636</v>
      </c>
      <c r="AU306" s="9">
        <v>0</v>
      </c>
      <c r="AV306" s="18">
        <f t="shared" si="175"/>
        <v>2</v>
      </c>
      <c r="AW306" s="18">
        <f t="shared" si="176"/>
        <v>3</v>
      </c>
      <c r="AX306" s="18">
        <f t="shared" si="177"/>
        <v>6</v>
      </c>
      <c r="AY306" s="18">
        <f t="shared" si="178"/>
        <v>7</v>
      </c>
      <c r="AZ306" s="18">
        <f t="shared" si="179"/>
        <v>1</v>
      </c>
      <c r="BA306" s="18">
        <f t="shared" si="180"/>
        <v>8</v>
      </c>
      <c r="BB306" s="18">
        <f t="shared" si="181"/>
        <v>5</v>
      </c>
      <c r="BC306" s="18">
        <f t="shared" si="182"/>
        <v>4</v>
      </c>
      <c r="BD306" s="18">
        <f t="shared" si="183"/>
        <v>9</v>
      </c>
      <c r="BE306" s="8">
        <f t="shared" si="185"/>
        <v>-1.845476596717193E-3</v>
      </c>
    </row>
    <row r="307" spans="1:57" x14ac:dyDescent="0.25">
      <c r="A307" t="str">
        <f t="shared" si="184"/>
        <v/>
      </c>
      <c r="B307" s="1">
        <v>43182</v>
      </c>
      <c r="C307" s="9">
        <f t="shared" si="159"/>
        <v>0.24949587391621181</v>
      </c>
      <c r="D307" s="9">
        <f t="shared" si="160"/>
        <v>0.24685696393363779</v>
      </c>
      <c r="E307" s="9">
        <f t="shared" si="161"/>
        <v>0</v>
      </c>
      <c r="F307" s="9">
        <f t="shared" si="162"/>
        <v>0</v>
      </c>
      <c r="G307" s="9">
        <f t="shared" si="163"/>
        <v>0.25588182589108188</v>
      </c>
      <c r="H307" s="9">
        <f t="shared" si="164"/>
        <v>0</v>
      </c>
      <c r="I307" s="9">
        <f t="shared" si="165"/>
        <v>0.24776533625906844</v>
      </c>
      <c r="J307" s="9">
        <f t="shared" si="166"/>
        <v>0</v>
      </c>
      <c r="K307" s="9">
        <v>0</v>
      </c>
      <c r="L307" s="8">
        <f>+VLOOKUP($B307,NIFTY_50!$B$3:$I$1238,8,0)</f>
        <v>-1.1537605971477349E-2</v>
      </c>
      <c r="M307" s="8">
        <f>+VLOOKUP($B307,NIFTY_BANK!$B$3:$I$41238,8,0)</f>
        <v>-1.9514114698755192E-2</v>
      </c>
      <c r="N307" s="8">
        <f>+VLOOKUP($B307,NIFTY_IT!$B$3:$I$1238,8,0)</f>
        <v>4.1234306943376264E-3</v>
      </c>
      <c r="O307" s="8">
        <f>+VLOOKUP($B307,NIFTY_PHARMA!$B$3:$I$1238,8,0)</f>
        <v>-1.7299976398395089E-2</v>
      </c>
      <c r="P307" s="8">
        <f>+VLOOKUP($B307,NIFTY_FMCG!$B$3:$I$1238,8,0)</f>
        <v>-4.8432659974689818E-3</v>
      </c>
      <c r="Q307" s="8">
        <f>+VLOOKUP($B307,NIFTY_METAL!$B$3:$I$1238,8,0)</f>
        <v>-2.8968566922036976E-2</v>
      </c>
      <c r="R307" s="8">
        <f>+VLOOKUP($B307,NIFTY_ENERGY!$B$3:$I$1238,8,0)</f>
        <v>-1.0001532945236424E-2</v>
      </c>
      <c r="S307" s="8">
        <f>+VLOOKUP($B307,NIFTY_AUTO!$B$3:$I$1238,8,0)</f>
        <v>-9.2622343918077332E-3</v>
      </c>
      <c r="T307" s="8">
        <v>0</v>
      </c>
      <c r="U307" s="8">
        <f>+VLOOKUP($B307,NIFTY_50!$B$63:$K$1238,10,0)</f>
        <v>-4.7169541599161424E-2</v>
      </c>
      <c r="V307" s="8">
        <f>+VLOOKUP($B307,NIFTY_BANK!$B$63:$K$1238,10,0)</f>
        <v>-7.712521760489377E-2</v>
      </c>
      <c r="W307" s="8">
        <f>+VLOOKUP($B307,NIFTY_IT!$B$63:$K$1238,10,0)</f>
        <v>9.0350289952094931E-2</v>
      </c>
      <c r="X307" s="8">
        <f>+VLOOKUP($B307,NIFTY_PHARMA!$B$63:$K$1238,10,0)</f>
        <v>-0.10713443269787493</v>
      </c>
      <c r="Y307" s="8">
        <f>+VLOOKUP($B307,NIFTY_FMCG!$B$63:$K$1238,10,0)</f>
        <v>-2.9960352373428978E-2</v>
      </c>
      <c r="Z307" s="8">
        <f>+VLOOKUP($B307,NIFTY_METAL!$B$63:$K$1238,10,0)</f>
        <v>-0.10203682963040139</v>
      </c>
      <c r="AA307" s="8">
        <f>+VLOOKUP($B307,NIFTY_ENERGY!$B$63:$K$1238,10,0)</f>
        <v>-7.799556380426409E-2</v>
      </c>
      <c r="AB307" s="8">
        <f>+VLOOKUP($B307,NIFTY_AUTO!$B$63:$K$1238,10,0)</f>
        <v>-0.10841323588574492</v>
      </c>
      <c r="AC307" s="8"/>
      <c r="AD307" s="16">
        <f t="shared" si="167"/>
        <v>5.901963977108466E-2</v>
      </c>
      <c r="AE307" s="8">
        <f t="shared" si="168"/>
        <v>7.3521675480619178E-2</v>
      </c>
      <c r="AF307" s="8">
        <f t="shared" si="169"/>
        <v>8.4628989310516448E-2</v>
      </c>
      <c r="AG307" s="8">
        <f t="shared" si="170"/>
        <v>8.9583843121039092E-2</v>
      </c>
      <c r="AH307" s="8">
        <f t="shared" si="171"/>
        <v>5.6284695550698857E-2</v>
      </c>
      <c r="AI307" s="8">
        <f t="shared" si="172"/>
        <v>0.11817698117661338</v>
      </c>
      <c r="AJ307" s="8">
        <f t="shared" si="173"/>
        <v>7.8777585150343429E-2</v>
      </c>
      <c r="AK307" s="8">
        <f t="shared" si="174"/>
        <v>7.2816601269263481E-2</v>
      </c>
      <c r="AL307" s="9">
        <v>0</v>
      </c>
      <c r="AM307" s="17">
        <f t="shared" si="151"/>
        <v>16.943512428720844</v>
      </c>
      <c r="AN307" s="13">
        <f t="shared" si="152"/>
        <v>13.60143105367079</v>
      </c>
      <c r="AO307" s="13">
        <f t="shared" si="153"/>
        <v>11.81628196374708</v>
      </c>
      <c r="AP307" s="13">
        <f t="shared" si="154"/>
        <v>11.162727174462404</v>
      </c>
      <c r="AQ307" s="13">
        <f t="shared" si="155"/>
        <v>17.766819029859416</v>
      </c>
      <c r="AR307" s="13">
        <f t="shared" si="156"/>
        <v>8.4618847938374557</v>
      </c>
      <c r="AS307" s="13">
        <f t="shared" si="157"/>
        <v>12.693966159175172</v>
      </c>
      <c r="AT307" s="13">
        <f t="shared" si="158"/>
        <v>13.733132040895029</v>
      </c>
      <c r="AU307" s="9">
        <v>0</v>
      </c>
      <c r="AV307" s="18">
        <f t="shared" si="175"/>
        <v>2</v>
      </c>
      <c r="AW307" s="18">
        <f t="shared" si="176"/>
        <v>4</v>
      </c>
      <c r="AX307" s="18">
        <f t="shared" si="177"/>
        <v>6</v>
      </c>
      <c r="AY307" s="18">
        <f t="shared" si="178"/>
        <v>7</v>
      </c>
      <c r="AZ307" s="18">
        <f t="shared" si="179"/>
        <v>1</v>
      </c>
      <c r="BA307" s="18">
        <f t="shared" si="180"/>
        <v>8</v>
      </c>
      <c r="BB307" s="18">
        <f t="shared" si="181"/>
        <v>5</v>
      </c>
      <c r="BC307" s="18">
        <f t="shared" si="182"/>
        <v>3</v>
      </c>
      <c r="BD307" s="18">
        <f t="shared" si="183"/>
        <v>9</v>
      </c>
      <c r="BE307" s="8">
        <f t="shared" si="185"/>
        <v>-1.1441239968185354E-2</v>
      </c>
    </row>
    <row r="308" spans="1:57" x14ac:dyDescent="0.25">
      <c r="A308" t="str">
        <f t="shared" si="184"/>
        <v/>
      </c>
      <c r="B308" s="1">
        <v>43185</v>
      </c>
      <c r="C308" s="9">
        <f t="shared" si="159"/>
        <v>0.24965449948201451</v>
      </c>
      <c r="D308" s="9">
        <f t="shared" si="160"/>
        <v>0.24969184258024932</v>
      </c>
      <c r="E308" s="9">
        <f t="shared" si="161"/>
        <v>0</v>
      </c>
      <c r="F308" s="9">
        <f t="shared" si="162"/>
        <v>0</v>
      </c>
      <c r="G308" s="9">
        <f t="shared" si="163"/>
        <v>0.2552181229521327</v>
      </c>
      <c r="H308" s="9">
        <f t="shared" si="164"/>
        <v>0</v>
      </c>
      <c r="I308" s="9">
        <f t="shared" si="165"/>
        <v>0.24543553498560355</v>
      </c>
      <c r="J308" s="9">
        <f t="shared" si="166"/>
        <v>0</v>
      </c>
      <c r="K308" s="9">
        <v>0</v>
      </c>
      <c r="L308" s="8">
        <f>+VLOOKUP($B308,NIFTY_50!$B$3:$I$1238,8,0)</f>
        <v>1.3262586204309867E-2</v>
      </c>
      <c r="M308" s="8">
        <f>+VLOOKUP($B308,NIFTY_BANK!$B$3:$I$41238,8,0)</f>
        <v>2.4247583479789059E-2</v>
      </c>
      <c r="N308" s="8">
        <f>+VLOOKUP($B308,NIFTY_IT!$B$3:$I$1238,8,0)</f>
        <v>-6.2753665946368997E-3</v>
      </c>
      <c r="O308" s="8">
        <f>+VLOOKUP($B308,NIFTY_PHARMA!$B$3:$I$1238,8,0)</f>
        <v>7.5773951053150768E-3</v>
      </c>
      <c r="P308" s="8">
        <f>+VLOOKUP($B308,NIFTY_FMCG!$B$3:$I$1238,8,0)</f>
        <v>9.9922616899621453E-3</v>
      </c>
      <c r="Q308" s="8">
        <f>+VLOOKUP($B308,NIFTY_METAL!$B$3:$I$1238,8,0)</f>
        <v>2.1406506069527653E-2</v>
      </c>
      <c r="R308" s="8">
        <f>+VLOOKUP($B308,NIFTY_ENERGY!$B$3:$I$1238,8,0)</f>
        <v>3.096863858843335E-3</v>
      </c>
      <c r="S308" s="8">
        <f>+VLOOKUP($B308,NIFTY_AUTO!$B$3:$I$1238,8,0)</f>
        <v>1.5351062729725307E-2</v>
      </c>
      <c r="T308" s="8">
        <v>0</v>
      </c>
      <c r="U308" s="8">
        <f>+VLOOKUP($B308,NIFTY_50!$B$63:$K$1238,10,0)</f>
        <v>-3.8062004462802057E-2</v>
      </c>
      <c r="V308" s="8">
        <f>+VLOOKUP($B308,NIFTY_BANK!$B$63:$K$1238,10,0)</f>
        <v>-5.5730713430249046E-2</v>
      </c>
      <c r="W308" s="8">
        <f>+VLOOKUP($B308,NIFTY_IT!$B$63:$K$1238,10,0)</f>
        <v>8.2990075951127062E-2</v>
      </c>
      <c r="X308" s="8">
        <f>+VLOOKUP($B308,NIFTY_PHARMA!$B$63:$K$1238,10,0)</f>
        <v>-0.10891036533559895</v>
      </c>
      <c r="Y308" s="8">
        <f>+VLOOKUP($B308,NIFTY_FMCG!$B$63:$K$1238,10,0)</f>
        <v>-2.0806361085126235E-2</v>
      </c>
      <c r="Z308" s="8">
        <f>+VLOOKUP($B308,NIFTY_METAL!$B$63:$K$1238,10,0)</f>
        <v>-9.3790210510062311E-2</v>
      </c>
      <c r="AA308" s="8">
        <f>+VLOOKUP($B308,NIFTY_ENERGY!$B$63:$K$1238,10,0)</f>
        <v>-8.0493673296290424E-2</v>
      </c>
      <c r="AB308" s="8">
        <f>+VLOOKUP($B308,NIFTY_AUTO!$B$63:$K$1238,10,0)</f>
        <v>-9.6842166876408453E-2</v>
      </c>
      <c r="AC308" s="8"/>
      <c r="AD308" s="16">
        <f t="shared" si="167"/>
        <v>6.0488724362591929E-2</v>
      </c>
      <c r="AE308" s="8">
        <f t="shared" si="168"/>
        <v>7.77331078900491E-2</v>
      </c>
      <c r="AF308" s="8">
        <f t="shared" si="169"/>
        <v>8.4973094700589141E-2</v>
      </c>
      <c r="AG308" s="8">
        <f t="shared" si="170"/>
        <v>8.935067672413359E-2</v>
      </c>
      <c r="AH308" s="8">
        <f t="shared" si="171"/>
        <v>5.7227375929331234E-2</v>
      </c>
      <c r="AI308" s="8">
        <f t="shared" si="172"/>
        <v>0.11961008113909577</v>
      </c>
      <c r="AJ308" s="8">
        <f t="shared" si="173"/>
        <v>7.8578035819957565E-2</v>
      </c>
      <c r="AK308" s="8">
        <f t="shared" si="174"/>
        <v>7.4682073122699213E-2</v>
      </c>
      <c r="AL308" s="9">
        <v>0</v>
      </c>
      <c r="AM308" s="17">
        <f t="shared" si="151"/>
        <v>16.532006758906466</v>
      </c>
      <c r="AN308" s="13">
        <f t="shared" si="152"/>
        <v>12.864531306460393</v>
      </c>
      <c r="AO308" s="13">
        <f t="shared" si="153"/>
        <v>11.76843097834198</v>
      </c>
      <c r="AP308" s="13">
        <f t="shared" si="154"/>
        <v>11.19185703637654</v>
      </c>
      <c r="AQ308" s="13">
        <f t="shared" si="155"/>
        <v>17.474154349395242</v>
      </c>
      <c r="AR308" s="13">
        <f t="shared" si="156"/>
        <v>8.3604993030402674</v>
      </c>
      <c r="AS308" s="13">
        <f t="shared" si="157"/>
        <v>12.726202552215183</v>
      </c>
      <c r="AT308" s="13">
        <f t="shared" si="158"/>
        <v>13.390094278141502</v>
      </c>
      <c r="AU308" s="9">
        <v>0</v>
      </c>
      <c r="AV308" s="18">
        <f t="shared" si="175"/>
        <v>2</v>
      </c>
      <c r="AW308" s="18">
        <f t="shared" si="176"/>
        <v>4</v>
      </c>
      <c r="AX308" s="18">
        <f t="shared" si="177"/>
        <v>6</v>
      </c>
      <c r="AY308" s="18">
        <f t="shared" si="178"/>
        <v>7</v>
      </c>
      <c r="AZ308" s="18">
        <f t="shared" si="179"/>
        <v>1</v>
      </c>
      <c r="BA308" s="18">
        <f t="shared" si="180"/>
        <v>8</v>
      </c>
      <c r="BB308" s="18">
        <f t="shared" si="181"/>
        <v>5</v>
      </c>
      <c r="BC308" s="18">
        <f t="shared" si="182"/>
        <v>3</v>
      </c>
      <c r="BD308" s="18">
        <f t="shared" si="183"/>
        <v>9</v>
      </c>
      <c r="BE308" s="8">
        <f t="shared" si="185"/>
        <v>1.2618779057325441E-2</v>
      </c>
    </row>
    <row r="309" spans="1:57" x14ac:dyDescent="0.25">
      <c r="A309" t="str">
        <f t="shared" si="184"/>
        <v/>
      </c>
      <c r="B309" s="1">
        <v>43186</v>
      </c>
      <c r="C309" s="9">
        <f t="shared" si="159"/>
        <v>0.24949490809587424</v>
      </c>
      <c r="D309" s="9">
        <f t="shared" si="160"/>
        <v>0.25016460214632719</v>
      </c>
      <c r="E309" s="9">
        <f t="shared" si="161"/>
        <v>0</v>
      </c>
      <c r="F309" s="9">
        <f t="shared" si="162"/>
        <v>0</v>
      </c>
      <c r="G309" s="9">
        <f t="shared" si="163"/>
        <v>0.25498712439111665</v>
      </c>
      <c r="H309" s="9">
        <f t="shared" si="164"/>
        <v>0</v>
      </c>
      <c r="I309" s="9">
        <f t="shared" si="165"/>
        <v>0.24535336536668192</v>
      </c>
      <c r="J309" s="9">
        <f t="shared" si="166"/>
        <v>0</v>
      </c>
      <c r="K309" s="9">
        <v>0</v>
      </c>
      <c r="L309" s="8">
        <f>+VLOOKUP($B309,NIFTY_50!$B$3:$I$1238,8,0)</f>
        <v>5.2810036868315979E-3</v>
      </c>
      <c r="M309" s="8">
        <f>+VLOOKUP($B309,NIFTY_BANK!$B$3:$I$41238,8,0)</f>
        <v>7.8286281133543856E-3</v>
      </c>
      <c r="N309" s="8">
        <f>+VLOOKUP($B309,NIFTY_IT!$B$3:$I$1238,8,0)</f>
        <v>4.4774682244190789E-3</v>
      </c>
      <c r="O309" s="8">
        <f>+VLOOKUP($B309,NIFTY_PHARMA!$B$3:$I$1238,8,0)</f>
        <v>7.3893093379417962E-3</v>
      </c>
      <c r="P309" s="8">
        <f>+VLOOKUP($B309,NIFTY_FMCG!$B$3:$I$1238,8,0)</f>
        <v>5.0135752485291896E-3</v>
      </c>
      <c r="Q309" s="8">
        <f>+VLOOKUP($B309,NIFTY_METAL!$B$3:$I$1238,8,0)</f>
        <v>1.8274241413094305E-2</v>
      </c>
      <c r="R309" s="8">
        <f>+VLOOKUP($B309,NIFTY_ENERGY!$B$3:$I$1238,8,0)</f>
        <v>5.5872652520292387E-3</v>
      </c>
      <c r="S309" s="8">
        <f>+VLOOKUP($B309,NIFTY_AUTO!$B$3:$I$1238,8,0)</f>
        <v>3.9579668549207803E-3</v>
      </c>
      <c r="T309" s="8">
        <v>0</v>
      </c>
      <c r="U309" s="8">
        <f>+VLOOKUP($B309,NIFTY_50!$B$63:$K$1238,10,0)</f>
        <v>-2.9225746490956328E-2</v>
      </c>
      <c r="V309" s="8">
        <f>+VLOOKUP($B309,NIFTY_BANK!$B$63:$K$1238,10,0)</f>
        <v>-4.1649588857881836E-2</v>
      </c>
      <c r="W309" s="8">
        <f>+VLOOKUP($B309,NIFTY_IT!$B$63:$K$1238,10,0)</f>
        <v>8.7664270043660508E-2</v>
      </c>
      <c r="X309" s="8">
        <f>+VLOOKUP($B309,NIFTY_PHARMA!$B$63:$K$1238,10,0)</f>
        <v>-0.12317100369819034</v>
      </c>
      <c r="Y309" s="8">
        <f>+VLOOKUP($B309,NIFTY_FMCG!$B$63:$K$1238,10,0)</f>
        <v>-1.2645943612268562E-2</v>
      </c>
      <c r="Z309" s="8">
        <f>+VLOOKUP($B309,NIFTY_METAL!$B$63:$K$1238,10,0)</f>
        <v>-7.5707583646955734E-2</v>
      </c>
      <c r="AA309" s="8">
        <f>+VLOOKUP($B309,NIFTY_ENERGY!$B$63:$K$1238,10,0)</f>
        <v>-6.8227249733991524E-2</v>
      </c>
      <c r="AB309" s="8">
        <f>+VLOOKUP($B309,NIFTY_AUTO!$B$63:$K$1238,10,0)</f>
        <v>-8.9181470748813552E-2</v>
      </c>
      <c r="AC309" s="8"/>
      <c r="AD309" s="16">
        <f t="shared" si="167"/>
        <v>6.0675519719572163E-2</v>
      </c>
      <c r="AE309" s="8">
        <f t="shared" si="168"/>
        <v>7.7960084676832714E-2</v>
      </c>
      <c r="AF309" s="8">
        <f t="shared" si="169"/>
        <v>8.5019662154474929E-2</v>
      </c>
      <c r="AG309" s="8">
        <f t="shared" si="170"/>
        <v>8.6074522893376609E-2</v>
      </c>
      <c r="AH309" s="8">
        <f t="shared" si="171"/>
        <v>5.7388281222588933E-2</v>
      </c>
      <c r="AI309" s="8">
        <f t="shared" si="172"/>
        <v>0.12120602567499923</v>
      </c>
      <c r="AJ309" s="8">
        <f t="shared" si="173"/>
        <v>7.8608963008629018E-2</v>
      </c>
      <c r="AK309" s="8">
        <f t="shared" si="174"/>
        <v>7.4827701967378896E-2</v>
      </c>
      <c r="AL309" s="9">
        <v>0</v>
      </c>
      <c r="AM309" s="17">
        <f t="shared" si="151"/>
        <v>16.481111404101068</v>
      </c>
      <c r="AN309" s="13">
        <f t="shared" si="152"/>
        <v>12.827076883578201</v>
      </c>
      <c r="AO309" s="13">
        <f t="shared" si="153"/>
        <v>11.761985106257752</v>
      </c>
      <c r="AP309" s="13">
        <f t="shared" si="154"/>
        <v>11.61783959277629</v>
      </c>
      <c r="AQ309" s="13">
        <f t="shared" si="155"/>
        <v>17.425160306184328</v>
      </c>
      <c r="AR309" s="13">
        <f t="shared" si="156"/>
        <v>8.250414898359848</v>
      </c>
      <c r="AS309" s="13">
        <f t="shared" si="157"/>
        <v>12.721195671926477</v>
      </c>
      <c r="AT309" s="13">
        <f t="shared" si="158"/>
        <v>13.364034624983534</v>
      </c>
      <c r="AU309" s="9">
        <v>0</v>
      </c>
      <c r="AV309" s="18">
        <f t="shared" si="175"/>
        <v>2</v>
      </c>
      <c r="AW309" s="18">
        <f t="shared" si="176"/>
        <v>4</v>
      </c>
      <c r="AX309" s="18">
        <f t="shared" si="177"/>
        <v>6</v>
      </c>
      <c r="AY309" s="18">
        <f t="shared" si="178"/>
        <v>7</v>
      </c>
      <c r="AZ309" s="18">
        <f t="shared" si="179"/>
        <v>1</v>
      </c>
      <c r="BA309" s="18">
        <f t="shared" si="180"/>
        <v>8</v>
      </c>
      <c r="BB309" s="18">
        <f t="shared" si="181"/>
        <v>5</v>
      </c>
      <c r="BC309" s="18">
        <f t="shared" si="182"/>
        <v>3</v>
      </c>
      <c r="BD309" s="18">
        <f t="shared" si="183"/>
        <v>9</v>
      </c>
      <c r="BE309" s="8">
        <f t="shared" si="185"/>
        <v>5.9240396111447744E-3</v>
      </c>
    </row>
    <row r="310" spans="1:57" x14ac:dyDescent="0.25">
      <c r="A310" t="str">
        <f t="shared" si="184"/>
        <v>Y</v>
      </c>
      <c r="B310" s="1">
        <v>43187</v>
      </c>
      <c r="C310" s="9">
        <f t="shared" si="159"/>
        <v>0.25</v>
      </c>
      <c r="D310" s="9">
        <f t="shared" si="160"/>
        <v>0.25</v>
      </c>
      <c r="E310" s="9">
        <f t="shared" si="161"/>
        <v>0</v>
      </c>
      <c r="F310" s="9">
        <f t="shared" si="162"/>
        <v>0</v>
      </c>
      <c r="G310" s="9">
        <f t="shared" si="163"/>
        <v>0.25</v>
      </c>
      <c r="H310" s="9">
        <f t="shared" si="164"/>
        <v>0</v>
      </c>
      <c r="I310" s="9">
        <f t="shared" si="165"/>
        <v>0</v>
      </c>
      <c r="J310" s="9">
        <f t="shared" si="166"/>
        <v>0.25</v>
      </c>
      <c r="K310" s="9">
        <v>0</v>
      </c>
      <c r="L310" s="8">
        <f>+VLOOKUP($B310,NIFTY_50!$B$3:$I$1238,8,0)</f>
        <v>-6.9176121718551586E-3</v>
      </c>
      <c r="M310" s="8">
        <f>+VLOOKUP($B310,NIFTY_BANK!$B$3:$I$41238,8,0)</f>
        <v>-6.9902165616566592E-3</v>
      </c>
      <c r="N310" s="8">
        <f>+VLOOKUP($B310,NIFTY_IT!$B$3:$I$1238,8,0)</f>
        <v>-5.3122653416637355E-4</v>
      </c>
      <c r="O310" s="8">
        <f>+VLOOKUP($B310,NIFTY_PHARMA!$B$3:$I$1238,8,0)</f>
        <v>-1.1174208813960473E-2</v>
      </c>
      <c r="P310" s="8">
        <f>+VLOOKUP($B310,NIFTY_FMCG!$B$3:$I$1238,8,0)</f>
        <v>-6.5684036022608527E-3</v>
      </c>
      <c r="Q310" s="8">
        <f>+VLOOKUP($B310,NIFTY_METAL!$B$3:$I$1238,8,0)</f>
        <v>-2.0400479683185924E-2</v>
      </c>
      <c r="R310" s="8">
        <f>+VLOOKUP($B310,NIFTY_ENERGY!$B$3:$I$1238,8,0)</f>
        <v>-1.0502156592583689E-2</v>
      </c>
      <c r="S310" s="8">
        <f>+VLOOKUP($B310,NIFTY_AUTO!$B$3:$I$1238,8,0)</f>
        <v>-2.0657060518731729E-3</v>
      </c>
      <c r="T310" s="8">
        <v>0</v>
      </c>
      <c r="U310" s="8">
        <f>+VLOOKUP($B310,NIFTY_50!$B$63:$K$1238,10,0)</f>
        <v>-3.4758873438379689E-2</v>
      </c>
      <c r="V310" s="8">
        <f>+VLOOKUP($B310,NIFTY_BANK!$B$63:$K$1238,10,0)</f>
        <v>-4.812279325225588E-2</v>
      </c>
      <c r="W310" s="8">
        <f>+VLOOKUP($B310,NIFTY_IT!$B$63:$K$1238,10,0)</f>
        <v>8.8301555269475696E-2</v>
      </c>
      <c r="X310" s="8">
        <f>+VLOOKUP($B310,NIFTY_PHARMA!$B$63:$K$1238,10,0)</f>
        <v>-0.12793451722626836</v>
      </c>
      <c r="Y310" s="8">
        <f>+VLOOKUP($B310,NIFTY_FMCG!$B$63:$K$1238,10,0)</f>
        <v>-1.8281765765698066E-2</v>
      </c>
      <c r="Z310" s="8">
        <f>+VLOOKUP($B310,NIFTY_METAL!$B$63:$K$1238,10,0)</f>
        <v>-0.11298122451041037</v>
      </c>
      <c r="AA310" s="8">
        <f>+VLOOKUP($B310,NIFTY_ENERGY!$B$63:$K$1238,10,0)</f>
        <v>-7.5189837981593621E-2</v>
      </c>
      <c r="AB310" s="8">
        <f>+VLOOKUP($B310,NIFTY_AUTO!$B$63:$K$1238,10,0)</f>
        <v>-8.7395057199360693E-2</v>
      </c>
      <c r="AC310" s="8"/>
      <c r="AD310" s="16">
        <f t="shared" si="167"/>
        <v>6.1009424697774491E-2</v>
      </c>
      <c r="AE310" s="8">
        <f t="shared" si="168"/>
        <v>7.8211841084821973E-2</v>
      </c>
      <c r="AF310" s="8">
        <f t="shared" si="169"/>
        <v>8.5004060167702081E-2</v>
      </c>
      <c r="AG310" s="8">
        <f t="shared" si="170"/>
        <v>8.6471284634900836E-2</v>
      </c>
      <c r="AH310" s="8">
        <f t="shared" si="171"/>
        <v>5.7733913595362105E-2</v>
      </c>
      <c r="AI310" s="8">
        <f t="shared" si="172"/>
        <v>0.12063130442339361</v>
      </c>
      <c r="AJ310" s="8">
        <f t="shared" si="173"/>
        <v>7.913876602240047E-2</v>
      </c>
      <c r="AK310" s="8">
        <f t="shared" si="174"/>
        <v>7.4786591077196762E-2</v>
      </c>
      <c r="AL310" s="9">
        <v>0</v>
      </c>
      <c r="AM310" s="17">
        <f t="shared" si="151"/>
        <v>16.390910174186221</v>
      </c>
      <c r="AN310" s="13">
        <f t="shared" si="152"/>
        <v>12.785787754510014</v>
      </c>
      <c r="AO310" s="13">
        <f t="shared" si="153"/>
        <v>11.764143948267042</v>
      </c>
      <c r="AP310" s="13">
        <f t="shared" si="154"/>
        <v>11.564532714209131</v>
      </c>
      <c r="AQ310" s="13">
        <f t="shared" si="155"/>
        <v>17.320842079209616</v>
      </c>
      <c r="AR310" s="13">
        <f t="shared" si="156"/>
        <v>8.2897221809869901</v>
      </c>
      <c r="AS310" s="13">
        <f t="shared" si="157"/>
        <v>12.636032253989745</v>
      </c>
      <c r="AT310" s="13">
        <f t="shared" si="158"/>
        <v>13.371380960094474</v>
      </c>
      <c r="AU310" s="9">
        <v>0</v>
      </c>
      <c r="AV310" s="18">
        <f t="shared" si="175"/>
        <v>2</v>
      </c>
      <c r="AW310" s="18">
        <f t="shared" si="176"/>
        <v>4</v>
      </c>
      <c r="AX310" s="18">
        <f t="shared" si="177"/>
        <v>6</v>
      </c>
      <c r="AY310" s="18">
        <f t="shared" si="178"/>
        <v>7</v>
      </c>
      <c r="AZ310" s="18">
        <f t="shared" si="179"/>
        <v>1</v>
      </c>
      <c r="BA310" s="18">
        <f t="shared" si="180"/>
        <v>8</v>
      </c>
      <c r="BB310" s="18">
        <f t="shared" si="181"/>
        <v>5</v>
      </c>
      <c r="BC310" s="18">
        <f t="shared" si="182"/>
        <v>3</v>
      </c>
      <c r="BD310" s="18">
        <f t="shared" si="183"/>
        <v>9</v>
      </c>
      <c r="BE310" s="8">
        <f t="shared" si="185"/>
        <v>-7.726211568102449E-3</v>
      </c>
    </row>
    <row r="311" spans="1:57" x14ac:dyDescent="0.25">
      <c r="A311" t="str">
        <f t="shared" si="184"/>
        <v/>
      </c>
      <c r="B311" s="1">
        <v>43192</v>
      </c>
      <c r="C311" s="9">
        <f t="shared" si="159"/>
        <v>0.24939406664561645</v>
      </c>
      <c r="D311" s="9">
        <f t="shared" si="160"/>
        <v>0.24766147404781094</v>
      </c>
      <c r="E311" s="9">
        <f t="shared" si="161"/>
        <v>0</v>
      </c>
      <c r="F311" s="9">
        <f t="shared" si="162"/>
        <v>0</v>
      </c>
      <c r="G311" s="9">
        <f t="shared" si="163"/>
        <v>0.25053437704155396</v>
      </c>
      <c r="H311" s="9">
        <f t="shared" si="164"/>
        <v>0</v>
      </c>
      <c r="I311" s="9">
        <f t="shared" si="165"/>
        <v>0</v>
      </c>
      <c r="J311" s="9">
        <f t="shared" si="166"/>
        <v>0.25241008226501849</v>
      </c>
      <c r="K311" s="9">
        <v>0</v>
      </c>
      <c r="L311" s="8">
        <f>+VLOOKUP($B311,NIFTY_50!$B$3:$I$1238,8,0)</f>
        <v>9.6997142489887445E-3</v>
      </c>
      <c r="M311" s="8">
        <f>+VLOOKUP($B311,NIFTY_BANK!$B$3:$I$41238,8,0)</f>
        <v>2.6851197382060654E-3</v>
      </c>
      <c r="N311" s="8">
        <f>+VLOOKUP($B311,NIFTY_IT!$B$3:$I$1238,8,0)</f>
        <v>1.5629558288141832E-2</v>
      </c>
      <c r="O311" s="8">
        <f>+VLOOKUP($B311,NIFTY_PHARMA!$B$3:$I$1238,8,0)</f>
        <v>3.1442740830696314E-2</v>
      </c>
      <c r="P311" s="8">
        <f>+VLOOKUP($B311,NIFTY_FMCG!$B$3:$I$1238,8,0)</f>
        <v>1.4316388159556714E-2</v>
      </c>
      <c r="Q311" s="8">
        <f>+VLOOKUP($B311,NIFTY_METAL!$B$3:$I$1238,8,0)</f>
        <v>7.6867233206645569E-3</v>
      </c>
      <c r="R311" s="8">
        <f>+VLOOKUP($B311,NIFTY_ENERGY!$B$3:$I$1238,8,0)</f>
        <v>5.8346545180734122E-3</v>
      </c>
      <c r="S311" s="8">
        <f>+VLOOKUP($B311,NIFTY_AUTO!$B$3:$I$1238,8,0)</f>
        <v>2.1910390108442979E-2</v>
      </c>
      <c r="T311" s="8">
        <v>0</v>
      </c>
      <c r="U311" s="8">
        <f>+VLOOKUP($B311,NIFTY_50!$B$63:$K$1238,10,0)</f>
        <v>-3.0282887177490725E-2</v>
      </c>
      <c r="V311" s="8">
        <f>+VLOOKUP($B311,NIFTY_BANK!$B$63:$K$1238,10,0)</f>
        <v>-4.7414881683043308E-2</v>
      </c>
      <c r="W311" s="8">
        <f>+VLOOKUP($B311,NIFTY_IT!$B$63:$K$1238,10,0)</f>
        <v>8.926558515311922E-2</v>
      </c>
      <c r="X311" s="8">
        <f>+VLOOKUP($B311,NIFTY_PHARMA!$B$63:$K$1238,10,0)</f>
        <v>-0.10387106163137594</v>
      </c>
      <c r="Y311" s="8">
        <f>+VLOOKUP($B311,NIFTY_FMCG!$B$63:$K$1238,10,0)</f>
        <v>-1.3036515650894698E-2</v>
      </c>
      <c r="Z311" s="8">
        <f>+VLOOKUP($B311,NIFTY_METAL!$B$63:$K$1238,10,0)</f>
        <v>-0.10167125617045036</v>
      </c>
      <c r="AA311" s="8">
        <f>+VLOOKUP($B311,NIFTY_ENERGY!$B$63:$K$1238,10,0)</f>
        <v>-6.7234881713487682E-2</v>
      </c>
      <c r="AB311" s="8">
        <f>+VLOOKUP($B311,NIFTY_AUTO!$B$63:$K$1238,10,0)</f>
        <v>-7.9206807830337178E-2</v>
      </c>
      <c r="AC311" s="8"/>
      <c r="AD311" s="16">
        <f t="shared" si="167"/>
        <v>6.1608475445977598E-2</v>
      </c>
      <c r="AE311" s="8">
        <f t="shared" si="168"/>
        <v>7.8241031080122078E-2</v>
      </c>
      <c r="AF311" s="8">
        <f t="shared" si="169"/>
        <v>8.514907517295256E-2</v>
      </c>
      <c r="AG311" s="8">
        <f t="shared" si="170"/>
        <v>9.2520859903748989E-2</v>
      </c>
      <c r="AH311" s="8">
        <f t="shared" si="171"/>
        <v>5.8830131912835502E-2</v>
      </c>
      <c r="AI311" s="8">
        <f t="shared" si="172"/>
        <v>0.12095515753844964</v>
      </c>
      <c r="AJ311" s="8">
        <f t="shared" si="173"/>
        <v>7.9431356086472407E-2</v>
      </c>
      <c r="AK311" s="8">
        <f t="shared" si="174"/>
        <v>7.7030571730839478E-2</v>
      </c>
      <c r="AL311" s="9">
        <v>0</v>
      </c>
      <c r="AM311" s="17">
        <f t="shared" si="151"/>
        <v>16.231532962974654</v>
      </c>
      <c r="AN311" s="13">
        <f t="shared" si="152"/>
        <v>12.781017660362352</v>
      </c>
      <c r="AO311" s="13">
        <f t="shared" si="153"/>
        <v>11.7441087641742</v>
      </c>
      <c r="AP311" s="13">
        <f t="shared" si="154"/>
        <v>10.808373387799431</v>
      </c>
      <c r="AQ311" s="13">
        <f t="shared" si="155"/>
        <v>16.998092091339011</v>
      </c>
      <c r="AR311" s="13">
        <f t="shared" si="156"/>
        <v>8.2675267458695725</v>
      </c>
      <c r="AS311" s="13">
        <f t="shared" si="157"/>
        <v>12.589486687239191</v>
      </c>
      <c r="AT311" s="13">
        <f t="shared" si="158"/>
        <v>12.981858728690264</v>
      </c>
      <c r="AU311" s="9">
        <v>0</v>
      </c>
      <c r="AV311" s="18">
        <f t="shared" si="175"/>
        <v>2</v>
      </c>
      <c r="AW311" s="18">
        <f t="shared" si="176"/>
        <v>4</v>
      </c>
      <c r="AX311" s="18">
        <f t="shared" si="177"/>
        <v>6</v>
      </c>
      <c r="AY311" s="18">
        <f t="shared" si="178"/>
        <v>7</v>
      </c>
      <c r="AZ311" s="18">
        <f t="shared" si="179"/>
        <v>1</v>
      </c>
      <c r="BA311" s="18">
        <f t="shared" si="180"/>
        <v>8</v>
      </c>
      <c r="BB311" s="18">
        <f t="shared" si="181"/>
        <v>5</v>
      </c>
      <c r="BC311" s="18">
        <f t="shared" si="182"/>
        <v>3</v>
      </c>
      <c r="BD311" s="18">
        <f t="shared" si="183"/>
        <v>9</v>
      </c>
      <c r="BE311" s="8">
        <f t="shared" si="185"/>
        <v>1.2152903063798626E-2</v>
      </c>
    </row>
    <row r="312" spans="1:57" x14ac:dyDescent="0.25">
      <c r="A312" t="str">
        <f t="shared" si="184"/>
        <v/>
      </c>
      <c r="B312" s="1">
        <v>43193</v>
      </c>
      <c r="C312" s="9">
        <f t="shared" si="159"/>
        <v>0.24898975593290057</v>
      </c>
      <c r="D312" s="9">
        <f t="shared" si="160"/>
        <v>0.24830345552076594</v>
      </c>
      <c r="E312" s="9">
        <f t="shared" si="161"/>
        <v>0</v>
      </c>
      <c r="F312" s="9">
        <f t="shared" si="162"/>
        <v>0</v>
      </c>
      <c r="G312" s="9">
        <f t="shared" si="163"/>
        <v>0.24936468938557385</v>
      </c>
      <c r="H312" s="9">
        <f t="shared" si="164"/>
        <v>0</v>
      </c>
      <c r="I312" s="9">
        <f t="shared" si="165"/>
        <v>0</v>
      </c>
      <c r="J312" s="9">
        <f t="shared" si="166"/>
        <v>0.25334209916075967</v>
      </c>
      <c r="K312" s="9">
        <v>0</v>
      </c>
      <c r="L312" s="8">
        <f>+VLOOKUP($B312,NIFTY_50!$B$3:$I$1238,8,0)</f>
        <v>3.2511408370710093E-3</v>
      </c>
      <c r="M312" s="8">
        <f>+VLOOKUP($B312,NIFTY_BANK!$B$3:$I$41238,8,0)</f>
        <v>7.4850484000246187E-3</v>
      </c>
      <c r="N312" s="8">
        <f>+VLOOKUP($B312,NIFTY_IT!$B$3:$I$1238,8,0)</f>
        <v>-7.2125032462166949E-3</v>
      </c>
      <c r="O312" s="8">
        <f>+VLOOKUP($B312,NIFTY_PHARMA!$B$3:$I$1238,8,0)</f>
        <v>5.0865053909998625E-3</v>
      </c>
      <c r="P312" s="8">
        <f>+VLOOKUP($B312,NIFTY_FMCG!$B$3:$I$1238,8,0)</f>
        <v>1.8866892188929008E-4</v>
      </c>
      <c r="Q312" s="8">
        <f>+VLOOKUP($B312,NIFTY_METAL!$B$3:$I$1238,8,0)</f>
        <v>5.7351923267081606E-3</v>
      </c>
      <c r="R312" s="8">
        <f>+VLOOKUP($B312,NIFTY_ENERGY!$B$3:$I$1238,8,0)</f>
        <v>7.7870779648265831E-3</v>
      </c>
      <c r="S312" s="8">
        <f>+VLOOKUP($B312,NIFTY_AUTO!$B$3:$I$1238,8,0)</f>
        <v>8.5907156970461696E-3</v>
      </c>
      <c r="T312" s="8">
        <v>0</v>
      </c>
      <c r="U312" s="8">
        <f>+VLOOKUP($B312,NIFTY_50!$B$63:$K$1238,10,0)</f>
        <v>-1.8259698817982728E-2</v>
      </c>
      <c r="V312" s="8">
        <f>+VLOOKUP($B312,NIFTY_BANK!$B$63:$K$1238,10,0)</f>
        <v>-3.1894178473108159E-2</v>
      </c>
      <c r="W312" s="8">
        <f>+VLOOKUP($B312,NIFTY_IT!$B$63:$K$1238,10,0)</f>
        <v>9.0759354127488479E-2</v>
      </c>
      <c r="X312" s="8">
        <f>+VLOOKUP($B312,NIFTY_PHARMA!$B$63:$K$1238,10,0)</f>
        <v>-9.9130290128558896E-2</v>
      </c>
      <c r="Y312" s="8">
        <f>+VLOOKUP($B312,NIFTY_FMCG!$B$63:$K$1238,10,0)</f>
        <v>-6.7412740970570484E-3</v>
      </c>
      <c r="Z312" s="8">
        <f>+VLOOKUP($B312,NIFTY_METAL!$B$63:$K$1238,10,0)</f>
        <v>-9.1689630536844202E-2</v>
      </c>
      <c r="AA312" s="8">
        <f>+VLOOKUP($B312,NIFTY_ENERGY!$B$63:$K$1238,10,0)</f>
        <v>-5.2634743032544895E-2</v>
      </c>
      <c r="AB312" s="8">
        <f>+VLOOKUP($B312,NIFTY_AUTO!$B$63:$K$1238,10,0)</f>
        <v>-6.1986459778815006E-2</v>
      </c>
      <c r="AC312" s="8"/>
      <c r="AD312" s="16">
        <f t="shared" si="167"/>
        <v>6.1103829047475286E-2</v>
      </c>
      <c r="AE312" s="8">
        <f t="shared" si="168"/>
        <v>7.8245655017370436E-2</v>
      </c>
      <c r="AF312" s="8">
        <f t="shared" si="169"/>
        <v>8.4999404365931036E-2</v>
      </c>
      <c r="AG312" s="8">
        <f t="shared" si="170"/>
        <v>9.275637726192347E-2</v>
      </c>
      <c r="AH312" s="8">
        <f t="shared" si="171"/>
        <v>5.8522650885062463E-2</v>
      </c>
      <c r="AI312" s="8">
        <f t="shared" si="172"/>
        <v>0.12111537947479158</v>
      </c>
      <c r="AJ312" s="8">
        <f t="shared" si="173"/>
        <v>7.9623239829269221E-2</v>
      </c>
      <c r="AK312" s="8">
        <f t="shared" si="174"/>
        <v>7.7146832172117263E-2</v>
      </c>
      <c r="AL312" s="9">
        <v>0</v>
      </c>
      <c r="AM312" s="17">
        <f t="shared" si="151"/>
        <v>16.365586503965883</v>
      </c>
      <c r="AN312" s="13">
        <f t="shared" si="152"/>
        <v>12.780262364446962</v>
      </c>
      <c r="AO312" s="13">
        <f t="shared" si="153"/>
        <v>11.764788323632231</v>
      </c>
      <c r="AP312" s="13">
        <f t="shared" si="154"/>
        <v>10.7809298888013</v>
      </c>
      <c r="AQ312" s="13">
        <f t="shared" si="155"/>
        <v>17.087400944362273</v>
      </c>
      <c r="AR312" s="13">
        <f t="shared" si="156"/>
        <v>8.2565897438990028</v>
      </c>
      <c r="AS312" s="13">
        <f t="shared" si="157"/>
        <v>12.559147331159005</v>
      </c>
      <c r="AT312" s="13">
        <f t="shared" si="158"/>
        <v>12.962295039788092</v>
      </c>
      <c r="AU312" s="9">
        <v>0</v>
      </c>
      <c r="AV312" s="18">
        <f t="shared" si="175"/>
        <v>2</v>
      </c>
      <c r="AW312" s="18">
        <f t="shared" si="176"/>
        <v>4</v>
      </c>
      <c r="AX312" s="18">
        <f t="shared" si="177"/>
        <v>6</v>
      </c>
      <c r="AY312" s="18">
        <f t="shared" si="178"/>
        <v>7</v>
      </c>
      <c r="AZ312" s="18">
        <f t="shared" si="179"/>
        <v>1</v>
      </c>
      <c r="BA312" s="18">
        <f t="shared" si="180"/>
        <v>8</v>
      </c>
      <c r="BB312" s="18">
        <f t="shared" si="181"/>
        <v>5</v>
      </c>
      <c r="BC312" s="18">
        <f t="shared" si="182"/>
        <v>3</v>
      </c>
      <c r="BD312" s="18">
        <f t="shared" si="183"/>
        <v>9</v>
      </c>
      <c r="BE312" s="8">
        <f t="shared" si="185"/>
        <v>4.8802246612835226E-3</v>
      </c>
    </row>
    <row r="313" spans="1:57" x14ac:dyDescent="0.25">
      <c r="A313" t="str">
        <f t="shared" si="184"/>
        <v/>
      </c>
      <c r="B313" s="1">
        <v>43194</v>
      </c>
      <c r="C313" s="9">
        <f t="shared" si="159"/>
        <v>0.24769934385691805</v>
      </c>
      <c r="D313" s="9">
        <f t="shared" si="160"/>
        <v>0.2459753790542859</v>
      </c>
      <c r="E313" s="9">
        <f t="shared" si="161"/>
        <v>0</v>
      </c>
      <c r="F313" s="9">
        <f t="shared" si="162"/>
        <v>0</v>
      </c>
      <c r="G313" s="9">
        <f t="shared" si="163"/>
        <v>0.25037533408015999</v>
      </c>
      <c r="H313" s="9">
        <f t="shared" si="164"/>
        <v>0</v>
      </c>
      <c r="I313" s="9">
        <f t="shared" si="165"/>
        <v>0</v>
      </c>
      <c r="J313" s="9">
        <f t="shared" si="166"/>
        <v>0.25594994300863599</v>
      </c>
      <c r="K313" s="9">
        <v>0</v>
      </c>
      <c r="L313" s="8">
        <f>+VLOOKUP($B313,NIFTY_50!$B$3:$I$1238,8,0)</f>
        <v>-1.1381161542215801E-2</v>
      </c>
      <c r="M313" s="8">
        <f>+VLOOKUP($B313,NIFTY_BANK!$B$3:$I$41238,8,0)</f>
        <v>-1.5548374988780256E-2</v>
      </c>
      <c r="N313" s="8">
        <f>+VLOOKUP($B313,NIFTY_IT!$B$3:$I$1238,8,0)</f>
        <v>-9.8767780776746195E-3</v>
      </c>
      <c r="O313" s="8">
        <f>+VLOOKUP($B313,NIFTY_PHARMA!$B$3:$I$1238,8,0)</f>
        <v>-1.0987108613108476E-2</v>
      </c>
      <c r="P313" s="8">
        <f>+VLOOKUP($B313,NIFTY_FMCG!$B$3:$I$1238,8,0)</f>
        <v>-2.2032373252548476E-3</v>
      </c>
      <c r="Q313" s="8">
        <f>+VLOOKUP($B313,NIFTY_METAL!$B$3:$I$1238,8,0)</f>
        <v>-2.5703330196497065E-2</v>
      </c>
      <c r="R313" s="8">
        <f>+VLOOKUP($B313,NIFTY_ENERGY!$B$3:$I$1238,8,0)</f>
        <v>-1.0500382612590675E-2</v>
      </c>
      <c r="S313" s="8">
        <f>+VLOOKUP($B313,NIFTY_AUTO!$B$3:$I$1238,8,0)</f>
        <v>3.9987627146755855E-3</v>
      </c>
      <c r="T313" s="8">
        <v>0</v>
      </c>
      <c r="U313" s="8">
        <f>+VLOOKUP($B313,NIFTY_50!$B$63:$K$1238,10,0)</f>
        <v>-3.005113864894382E-2</v>
      </c>
      <c r="V313" s="8">
        <f>+VLOOKUP($B313,NIFTY_BANK!$B$63:$K$1238,10,0)</f>
        <v>-4.7704557339200648E-2</v>
      </c>
      <c r="W313" s="8">
        <f>+VLOOKUP($B313,NIFTY_IT!$B$63:$K$1238,10,0)</f>
        <v>7.6579313673523108E-2</v>
      </c>
      <c r="X313" s="8">
        <f>+VLOOKUP($B313,NIFTY_PHARMA!$B$63:$K$1238,10,0)</f>
        <v>-0.1041522925421815</v>
      </c>
      <c r="Y313" s="8">
        <f>+VLOOKUP($B313,NIFTY_FMCG!$B$63:$K$1238,10,0)</f>
        <v>-3.2204571579323993E-3</v>
      </c>
      <c r="Z313" s="8">
        <f>+VLOOKUP($B313,NIFTY_METAL!$B$63:$K$1238,10,0)</f>
        <v>-0.12034442091380604</v>
      </c>
      <c r="AA313" s="8">
        <f>+VLOOKUP($B313,NIFTY_ENERGY!$B$63:$K$1238,10,0)</f>
        <v>-6.4134609953115262E-2</v>
      </c>
      <c r="AB313" s="8">
        <f>+VLOOKUP($B313,NIFTY_AUTO!$B$63:$K$1238,10,0)</f>
        <v>-6.112943997518272E-2</v>
      </c>
      <c r="AC313" s="8"/>
      <c r="AD313" s="16">
        <f t="shared" si="167"/>
        <v>6.2079878849314894E-2</v>
      </c>
      <c r="AE313" s="8">
        <f t="shared" si="168"/>
        <v>7.9645461489487923E-2</v>
      </c>
      <c r="AF313" s="8">
        <f t="shared" si="169"/>
        <v>8.572256981648807E-2</v>
      </c>
      <c r="AG313" s="8">
        <f t="shared" si="170"/>
        <v>9.3145860236754488E-2</v>
      </c>
      <c r="AH313" s="8">
        <f t="shared" si="171"/>
        <v>5.8286614039230612E-2</v>
      </c>
      <c r="AI313" s="8">
        <f t="shared" si="172"/>
        <v>0.12322465374020766</v>
      </c>
      <c r="AJ313" s="8">
        <f t="shared" si="173"/>
        <v>8.0154024537331822E-2</v>
      </c>
      <c r="AK313" s="8">
        <f t="shared" si="174"/>
        <v>7.7200658376013573E-2</v>
      </c>
      <c r="AL313" s="9">
        <v>0</v>
      </c>
      <c r="AM313" s="17">
        <f t="shared" si="151"/>
        <v>16.108278858392712</v>
      </c>
      <c r="AN313" s="13">
        <f t="shared" si="152"/>
        <v>12.555643238152195</v>
      </c>
      <c r="AO313" s="13">
        <f t="shared" si="153"/>
        <v>11.665539217276915</v>
      </c>
      <c r="AP313" s="13">
        <f t="shared" si="154"/>
        <v>10.735850175823588</v>
      </c>
      <c r="AQ313" s="13">
        <f t="shared" si="155"/>
        <v>17.156597899595543</v>
      </c>
      <c r="AR313" s="13">
        <f t="shared" si="156"/>
        <v>8.1152591599752615</v>
      </c>
      <c r="AS313" s="13">
        <f t="shared" si="157"/>
        <v>12.475979912078513</v>
      </c>
      <c r="AT313" s="13">
        <f t="shared" si="158"/>
        <v>12.953257407850066</v>
      </c>
      <c r="AU313" s="9">
        <v>0</v>
      </c>
      <c r="AV313" s="18">
        <f t="shared" si="175"/>
        <v>2</v>
      </c>
      <c r="AW313" s="18">
        <f t="shared" si="176"/>
        <v>4</v>
      </c>
      <c r="AX313" s="18">
        <f t="shared" si="177"/>
        <v>6</v>
      </c>
      <c r="AY313" s="18">
        <f t="shared" si="178"/>
        <v>7</v>
      </c>
      <c r="AZ313" s="18">
        <f t="shared" si="179"/>
        <v>1</v>
      </c>
      <c r="BA313" s="18">
        <f t="shared" si="180"/>
        <v>8</v>
      </c>
      <c r="BB313" s="18">
        <f t="shared" si="181"/>
        <v>5</v>
      </c>
      <c r="BC313" s="18">
        <f t="shared" si="182"/>
        <v>3</v>
      </c>
      <c r="BD313" s="18">
        <f t="shared" si="183"/>
        <v>9</v>
      </c>
      <c r="BE313" s="8">
        <f t="shared" si="185"/>
        <v>-6.2308625231492012E-3</v>
      </c>
    </row>
    <row r="314" spans="1:57" x14ac:dyDescent="0.25">
      <c r="A314" t="str">
        <f t="shared" si="184"/>
        <v/>
      </c>
      <c r="B314" s="1">
        <v>43195</v>
      </c>
      <c r="C314" s="9">
        <f t="shared" si="159"/>
        <v>0.24800830140659752</v>
      </c>
      <c r="D314" s="9">
        <f t="shared" si="160"/>
        <v>0.24789986182645563</v>
      </c>
      <c r="E314" s="9">
        <f t="shared" si="161"/>
        <v>0</v>
      </c>
      <c r="F314" s="9">
        <f t="shared" si="162"/>
        <v>0</v>
      </c>
      <c r="G314" s="9">
        <f t="shared" si="163"/>
        <v>0.24803430778110086</v>
      </c>
      <c r="H314" s="9">
        <f t="shared" si="164"/>
        <v>0</v>
      </c>
      <c r="I314" s="9">
        <f t="shared" si="165"/>
        <v>0</v>
      </c>
      <c r="J314" s="9">
        <f t="shared" si="166"/>
        <v>0.25605752898584611</v>
      </c>
      <c r="K314" s="9">
        <v>0</v>
      </c>
      <c r="L314" s="8">
        <f>+VLOOKUP($B314,NIFTY_50!$B$3:$I$1238,8,0)</f>
        <v>1.9425575609178125E-2</v>
      </c>
      <c r="M314" s="8">
        <f>+VLOOKUP($B314,NIFTY_BANK!$B$3:$I$41238,8,0)</f>
        <v>2.6121552456536579E-2</v>
      </c>
      <c r="N314" s="8">
        <f>+VLOOKUP($B314,NIFTY_IT!$B$3:$I$1238,8,0)</f>
        <v>1.5347234175416391E-2</v>
      </c>
      <c r="O314" s="8">
        <f>+VLOOKUP($B314,NIFTY_PHARMA!$B$3:$I$1238,8,0)</f>
        <v>1.0053095279771274E-2</v>
      </c>
      <c r="P314" s="8">
        <f>+VLOOKUP($B314,NIFTY_FMCG!$B$3:$I$1238,8,0)</f>
        <v>8.6357973461181903E-3</v>
      </c>
      <c r="Q314" s="8">
        <f>+VLOOKUP($B314,NIFTY_METAL!$B$3:$I$1238,8,0)</f>
        <v>4.0624504447359655E-2</v>
      </c>
      <c r="R314" s="8">
        <f>+VLOOKUP($B314,NIFTY_ENERGY!$B$3:$I$1238,8,0)</f>
        <v>1.341471695550811E-2</v>
      </c>
      <c r="S314" s="8">
        <f>+VLOOKUP($B314,NIFTY_AUTO!$B$3:$I$1238,8,0)</f>
        <v>1.8583592679082495E-2</v>
      </c>
      <c r="T314" s="8">
        <v>0</v>
      </c>
      <c r="U314" s="8">
        <f>+VLOOKUP($B314,NIFTY_50!$B$63:$K$1238,10,0)</f>
        <v>-1.1304006434809333E-2</v>
      </c>
      <c r="V314" s="8">
        <f>+VLOOKUP($B314,NIFTY_BANK!$B$63:$K$1238,10,0)</f>
        <v>-2.2070730609117351E-2</v>
      </c>
      <c r="W314" s="8">
        <f>+VLOOKUP($B314,NIFTY_IT!$B$63:$K$1238,10,0)</f>
        <v>9.4578266460683347E-2</v>
      </c>
      <c r="X314" s="8">
        <f>+VLOOKUP($B314,NIFTY_PHARMA!$B$63:$K$1238,10,0)</f>
        <v>-9.0750087976847582E-2</v>
      </c>
      <c r="Y314" s="8">
        <f>+VLOOKUP($B314,NIFTY_FMCG!$B$63:$K$1238,10,0)</f>
        <v>1.0525960282794511E-3</v>
      </c>
      <c r="Z314" s="8">
        <f>+VLOOKUP($B314,NIFTY_METAL!$B$63:$K$1238,10,0)</f>
        <v>-9.7732613369331478E-2</v>
      </c>
      <c r="AA314" s="8">
        <f>+VLOOKUP($B314,NIFTY_ENERGY!$B$63:$K$1238,10,0)</f>
        <v>-5.1272090296515027E-2</v>
      </c>
      <c r="AB314" s="8">
        <f>+VLOOKUP($B314,NIFTY_AUTO!$B$63:$K$1238,10,0)</f>
        <v>-3.8818384063100342E-2</v>
      </c>
      <c r="AC314" s="8"/>
      <c r="AD314" s="16">
        <f t="shared" si="167"/>
        <v>6.5140146501470764E-2</v>
      </c>
      <c r="AE314" s="8">
        <f t="shared" si="168"/>
        <v>8.398547973073496E-2</v>
      </c>
      <c r="AF314" s="8">
        <f t="shared" si="169"/>
        <v>8.6804870773703705E-2</v>
      </c>
      <c r="AG314" s="8">
        <f t="shared" si="170"/>
        <v>9.3817574876879889E-2</v>
      </c>
      <c r="AH314" s="8">
        <f t="shared" si="171"/>
        <v>5.8762796782805153E-2</v>
      </c>
      <c r="AI314" s="8">
        <f t="shared" si="172"/>
        <v>0.12928640975709121</v>
      </c>
      <c r="AJ314" s="8">
        <f t="shared" si="173"/>
        <v>8.1423655085597957E-2</v>
      </c>
      <c r="AK314" s="8">
        <f t="shared" si="174"/>
        <v>7.9480064545686804E-2</v>
      </c>
      <c r="AL314" s="9">
        <v>0</v>
      </c>
      <c r="AM314" s="17">
        <f t="shared" si="151"/>
        <v>15.351515980662118</v>
      </c>
      <c r="AN314" s="13">
        <f t="shared" si="152"/>
        <v>11.906820121836422</v>
      </c>
      <c r="AO314" s="13">
        <f t="shared" si="153"/>
        <v>11.520090878390382</v>
      </c>
      <c r="AP314" s="13">
        <f t="shared" si="154"/>
        <v>10.6589836852246</v>
      </c>
      <c r="AQ314" s="13">
        <f t="shared" si="155"/>
        <v>17.017569869863895</v>
      </c>
      <c r="AR314" s="13">
        <f t="shared" si="156"/>
        <v>7.7347650219295465</v>
      </c>
      <c r="AS314" s="13">
        <f t="shared" si="157"/>
        <v>12.281443260545521</v>
      </c>
      <c r="AT314" s="13">
        <f t="shared" si="158"/>
        <v>12.581771362618598</v>
      </c>
      <c r="AU314" s="9">
        <v>0</v>
      </c>
      <c r="AV314" s="18">
        <f t="shared" si="175"/>
        <v>2</v>
      </c>
      <c r="AW314" s="18">
        <f t="shared" si="176"/>
        <v>5</v>
      </c>
      <c r="AX314" s="18">
        <f t="shared" si="177"/>
        <v>6</v>
      </c>
      <c r="AY314" s="18">
        <f t="shared" si="178"/>
        <v>7</v>
      </c>
      <c r="AZ314" s="18">
        <f t="shared" si="179"/>
        <v>1</v>
      </c>
      <c r="BA314" s="18">
        <f t="shared" si="180"/>
        <v>8</v>
      </c>
      <c r="BB314" s="18">
        <f t="shared" si="181"/>
        <v>4</v>
      </c>
      <c r="BC314" s="18">
        <f t="shared" si="182"/>
        <v>3</v>
      </c>
      <c r="BD314" s="18">
        <f t="shared" si="183"/>
        <v>9</v>
      </c>
      <c r="BE314" s="8">
        <f t="shared" si="185"/>
        <v>1.8155621232109141E-2</v>
      </c>
    </row>
    <row r="315" spans="1:57" x14ac:dyDescent="0.25">
      <c r="A315" t="str">
        <f t="shared" si="184"/>
        <v/>
      </c>
      <c r="B315" s="1">
        <v>43196</v>
      </c>
      <c r="C315" s="9">
        <f t="shared" si="159"/>
        <v>0.24733552474357787</v>
      </c>
      <c r="D315" s="9">
        <f t="shared" si="160"/>
        <v>0.24820413242559219</v>
      </c>
      <c r="E315" s="9">
        <f t="shared" si="161"/>
        <v>0</v>
      </c>
      <c r="F315" s="9">
        <f t="shared" si="162"/>
        <v>0</v>
      </c>
      <c r="G315" s="9">
        <f t="shared" si="163"/>
        <v>0.24840662877872824</v>
      </c>
      <c r="H315" s="9">
        <f t="shared" si="164"/>
        <v>0</v>
      </c>
      <c r="I315" s="9">
        <f t="shared" si="165"/>
        <v>0</v>
      </c>
      <c r="J315" s="9">
        <f t="shared" si="166"/>
        <v>0.25605371405210181</v>
      </c>
      <c r="K315" s="9">
        <v>0</v>
      </c>
      <c r="L315" s="8">
        <f>+VLOOKUP($B315,NIFTY_50!$B$3:$I$1238,8,0)</f>
        <v>6.2468826118755594E-4</v>
      </c>
      <c r="M315" s="8">
        <f>+VLOOKUP($B315,NIFTY_BANK!$B$3:$I$41238,8,0)</f>
        <v>4.5779852825953427E-3</v>
      </c>
      <c r="N315" s="8">
        <f>+VLOOKUP($B315,NIFTY_IT!$B$3:$I$1238,8,0)</f>
        <v>-6.2448009272582095E-3</v>
      </c>
      <c r="O315" s="8">
        <f>+VLOOKUP($B315,NIFTY_PHARMA!$B$3:$I$1238,8,0)</f>
        <v>1.3488299550004967E-2</v>
      </c>
      <c r="P315" s="8">
        <f>+VLOOKUP($B315,NIFTY_FMCG!$B$3:$I$1238,8,0)</f>
        <v>4.8525947043178697E-3</v>
      </c>
      <c r="Q315" s="8">
        <f>+VLOOKUP($B315,NIFTY_METAL!$B$3:$I$1238,8,0)</f>
        <v>-1.4407425365380311E-3</v>
      </c>
      <c r="R315" s="8">
        <f>+VLOOKUP($B315,NIFTY_ENERGY!$B$3:$I$1238,8,0)</f>
        <v>4.3701933456921083E-3</v>
      </c>
      <c r="S315" s="8">
        <f>+VLOOKUP($B315,NIFTY_AUTO!$B$3:$I$1238,8,0)</f>
        <v>3.3315360573025199E-3</v>
      </c>
      <c r="T315" s="8">
        <v>0</v>
      </c>
      <c r="U315" s="8">
        <f>+VLOOKUP($B315,NIFTY_50!$B$63:$K$1238,10,0)</f>
        <v>-1.648770086055884E-2</v>
      </c>
      <c r="V315" s="8">
        <f>+VLOOKUP($B315,NIFTY_BANK!$B$63:$K$1238,10,0)</f>
        <v>-2.3149639078491435E-2</v>
      </c>
      <c r="W315" s="8">
        <f>+VLOOKUP($B315,NIFTY_IT!$B$63:$K$1238,10,0)</f>
        <v>8.7358077095627706E-2</v>
      </c>
      <c r="X315" s="8">
        <f>+VLOOKUP($B315,NIFTY_PHARMA!$B$63:$K$1238,10,0)</f>
        <v>-8.9395449260920135E-2</v>
      </c>
      <c r="Y315" s="8">
        <f>+VLOOKUP($B315,NIFTY_FMCG!$B$63:$K$1238,10,0)</f>
        <v>4.357502547809089E-3</v>
      </c>
      <c r="Z315" s="8">
        <f>+VLOOKUP($B315,NIFTY_METAL!$B$63:$K$1238,10,0)</f>
        <v>-0.12352869649805442</v>
      </c>
      <c r="AA315" s="8">
        <f>+VLOOKUP($B315,NIFTY_ENERGY!$B$63:$K$1238,10,0)</f>
        <v>-5.3108494621769142E-2</v>
      </c>
      <c r="AB315" s="8">
        <f>+VLOOKUP($B315,NIFTY_AUTO!$B$63:$K$1238,10,0)</f>
        <v>-3.3698520254153208E-2</v>
      </c>
      <c r="AC315" s="8"/>
      <c r="AD315" s="16">
        <f t="shared" si="167"/>
        <v>6.4859705697308562E-2</v>
      </c>
      <c r="AE315" s="8">
        <f t="shared" si="168"/>
        <v>8.3913451184943852E-2</v>
      </c>
      <c r="AF315" s="8">
        <f t="shared" si="169"/>
        <v>8.7141392385039845E-2</v>
      </c>
      <c r="AG315" s="8">
        <f t="shared" si="170"/>
        <v>9.4045637456809869E-2</v>
      </c>
      <c r="AH315" s="8">
        <f t="shared" si="171"/>
        <v>5.8938472282400962E-2</v>
      </c>
      <c r="AI315" s="8">
        <f t="shared" si="172"/>
        <v>0.12582048471191659</v>
      </c>
      <c r="AJ315" s="8">
        <f t="shared" si="173"/>
        <v>8.1275965713043935E-2</v>
      </c>
      <c r="AK315" s="8">
        <f t="shared" si="174"/>
        <v>7.9562081853515779E-2</v>
      </c>
      <c r="AL315" s="9">
        <v>0</v>
      </c>
      <c r="AM315" s="17">
        <f t="shared" si="151"/>
        <v>15.417892962186171</v>
      </c>
      <c r="AN315" s="13">
        <f t="shared" si="152"/>
        <v>11.917040544501223</v>
      </c>
      <c r="AO315" s="13">
        <f t="shared" si="153"/>
        <v>11.475602725986242</v>
      </c>
      <c r="AP315" s="13">
        <f t="shared" si="154"/>
        <v>10.633135433413873</v>
      </c>
      <c r="AQ315" s="13">
        <f t="shared" si="155"/>
        <v>16.966846293683119</v>
      </c>
      <c r="AR315" s="13">
        <f t="shared" si="156"/>
        <v>7.9478314067032754</v>
      </c>
      <c r="AS315" s="13">
        <f t="shared" si="157"/>
        <v>12.303760296501904</v>
      </c>
      <c r="AT315" s="13">
        <f t="shared" si="158"/>
        <v>12.568801327259523</v>
      </c>
      <c r="AU315" s="9">
        <v>0</v>
      </c>
      <c r="AV315" s="18">
        <f t="shared" si="175"/>
        <v>2</v>
      </c>
      <c r="AW315" s="18">
        <f t="shared" si="176"/>
        <v>5</v>
      </c>
      <c r="AX315" s="18">
        <f t="shared" si="177"/>
        <v>6</v>
      </c>
      <c r="AY315" s="18">
        <f t="shared" si="178"/>
        <v>7</v>
      </c>
      <c r="AZ315" s="18">
        <f t="shared" si="179"/>
        <v>1</v>
      </c>
      <c r="BA315" s="18">
        <f t="shared" si="180"/>
        <v>8</v>
      </c>
      <c r="BB315" s="18">
        <f t="shared" si="181"/>
        <v>4</v>
      </c>
      <c r="BC315" s="18">
        <f t="shared" si="182"/>
        <v>3</v>
      </c>
      <c r="BD315" s="18">
        <f t="shared" si="183"/>
        <v>9</v>
      </c>
      <c r="BE315" s="8">
        <f t="shared" si="185"/>
        <v>3.3464846525525496E-3</v>
      </c>
    </row>
    <row r="316" spans="1:57" x14ac:dyDescent="0.25">
      <c r="A316" t="str">
        <f t="shared" si="184"/>
        <v/>
      </c>
      <c r="B316" s="1">
        <v>43199</v>
      </c>
      <c r="C316" s="9">
        <f t="shared" si="159"/>
        <v>0.24680711150149942</v>
      </c>
      <c r="D316" s="9">
        <f t="shared" si="160"/>
        <v>0.24872145452256986</v>
      </c>
      <c r="E316" s="9">
        <f t="shared" si="161"/>
        <v>0</v>
      </c>
      <c r="F316" s="9">
        <f t="shared" si="162"/>
        <v>0</v>
      </c>
      <c r="G316" s="9">
        <f t="shared" si="163"/>
        <v>0.2495135044394243</v>
      </c>
      <c r="H316" s="9">
        <f t="shared" si="164"/>
        <v>0</v>
      </c>
      <c r="I316" s="9">
        <f t="shared" si="165"/>
        <v>0</v>
      </c>
      <c r="J316" s="9">
        <f t="shared" si="166"/>
        <v>0.25495792953650648</v>
      </c>
      <c r="K316" s="9">
        <v>0</v>
      </c>
      <c r="L316" s="8">
        <f>+VLOOKUP($B316,NIFTY_50!$B$3:$I$1238,8,0)</f>
        <v>4.6217430020518702E-3</v>
      </c>
      <c r="M316" s="8">
        <f>+VLOOKUP($B316,NIFTY_BANK!$B$3:$I$41238,8,0)</f>
        <v>8.8710115124139843E-3</v>
      </c>
      <c r="N316" s="8">
        <f>+VLOOKUP($B316,NIFTY_IT!$B$3:$I$1238,8,0)</f>
        <v>-5.7246684413271298E-3</v>
      </c>
      <c r="O316" s="8">
        <f>+VLOOKUP($B316,NIFTY_PHARMA!$B$3:$I$1238,8,0)</f>
        <v>-3.9042907300168572E-3</v>
      </c>
      <c r="P316" s="8">
        <f>+VLOOKUP($B316,NIFTY_FMCG!$B$3:$I$1238,8,0)</f>
        <v>1.1258715432050481E-2</v>
      </c>
      <c r="Q316" s="8">
        <f>+VLOOKUP($B316,NIFTY_METAL!$B$3:$I$1238,8,0)</f>
        <v>1.5260609591987162E-3</v>
      </c>
      <c r="R316" s="8">
        <f>+VLOOKUP($B316,NIFTY_ENERGY!$B$3:$I$1238,8,0)</f>
        <v>8.9543830519027701E-3</v>
      </c>
      <c r="S316" s="8">
        <f>+VLOOKUP($B316,NIFTY_AUTO!$B$3:$I$1238,8,0)</f>
        <v>2.464141067707093E-3</v>
      </c>
      <c r="T316" s="8">
        <v>0</v>
      </c>
      <c r="U316" s="8">
        <f>+VLOOKUP($B316,NIFTY_50!$B$63:$K$1238,10,0)</f>
        <v>-1.6999957381722441E-2</v>
      </c>
      <c r="V316" s="8">
        <f>+VLOOKUP($B316,NIFTY_BANK!$B$63:$K$1238,10,0)</f>
        <v>-1.984426906649317E-2</v>
      </c>
      <c r="W316" s="8">
        <f>+VLOOKUP($B316,NIFTY_IT!$B$63:$K$1238,10,0)</f>
        <v>7.716045403165861E-2</v>
      </c>
      <c r="X316" s="8">
        <f>+VLOOKUP($B316,NIFTY_PHARMA!$B$63:$K$1238,10,0)</f>
        <v>-9.9257296890542746E-2</v>
      </c>
      <c r="Y316" s="8">
        <f>+VLOOKUP($B316,NIFTY_FMCG!$B$63:$K$1238,10,0)</f>
        <v>7.1857711328178198E-3</v>
      </c>
      <c r="Z316" s="8">
        <f>+VLOOKUP($B316,NIFTY_METAL!$B$63:$K$1238,10,0)</f>
        <v>-0.12610158822390072</v>
      </c>
      <c r="AA316" s="8">
        <f>+VLOOKUP($B316,NIFTY_ENERGY!$B$63:$K$1238,10,0)</f>
        <v>-4.4807331981277065E-2</v>
      </c>
      <c r="AB316" s="8">
        <f>+VLOOKUP($B316,NIFTY_AUTO!$B$63:$K$1238,10,0)</f>
        <v>-3.8329030311158752E-2</v>
      </c>
      <c r="AC316" s="8"/>
      <c r="AD316" s="16">
        <f t="shared" si="167"/>
        <v>6.4818319006044484E-2</v>
      </c>
      <c r="AE316" s="8">
        <f t="shared" si="168"/>
        <v>8.4215698736784236E-2</v>
      </c>
      <c r="AF316" s="8">
        <f t="shared" si="169"/>
        <v>8.7397774985235682E-2</v>
      </c>
      <c r="AG316" s="8">
        <f t="shared" si="170"/>
        <v>9.3685477052773691E-2</v>
      </c>
      <c r="AH316" s="8">
        <f t="shared" si="171"/>
        <v>5.94047471421515E-2</v>
      </c>
      <c r="AI316" s="8">
        <f t="shared" si="172"/>
        <v>0.12570198500874347</v>
      </c>
      <c r="AJ316" s="8">
        <f t="shared" si="173"/>
        <v>8.1849840710062807E-2</v>
      </c>
      <c r="AK316" s="8">
        <f t="shared" si="174"/>
        <v>7.9232150842667562E-2</v>
      </c>
      <c r="AL316" s="9">
        <v>0</v>
      </c>
      <c r="AM316" s="17">
        <f t="shared" si="151"/>
        <v>15.427737333125645</v>
      </c>
      <c r="AN316" s="13">
        <f t="shared" si="152"/>
        <v>11.874270652619</v>
      </c>
      <c r="AO316" s="13">
        <f t="shared" si="153"/>
        <v>11.441938884244278</v>
      </c>
      <c r="AP316" s="13">
        <f t="shared" si="154"/>
        <v>10.674013000293449</v>
      </c>
      <c r="AQ316" s="13">
        <f t="shared" si="155"/>
        <v>16.833671517986069</v>
      </c>
      <c r="AR316" s="13">
        <f t="shared" si="156"/>
        <v>7.9553238553109793</v>
      </c>
      <c r="AS316" s="13">
        <f t="shared" si="157"/>
        <v>12.217494760219585</v>
      </c>
      <c r="AT316" s="13">
        <f t="shared" si="158"/>
        <v>12.621139138147525</v>
      </c>
      <c r="AU316" s="9">
        <v>0</v>
      </c>
      <c r="AV316" s="18">
        <f t="shared" si="175"/>
        <v>2</v>
      </c>
      <c r="AW316" s="18">
        <f t="shared" si="176"/>
        <v>5</v>
      </c>
      <c r="AX316" s="18">
        <f t="shared" si="177"/>
        <v>6</v>
      </c>
      <c r="AY316" s="18">
        <f t="shared" si="178"/>
        <v>7</v>
      </c>
      <c r="AZ316" s="18">
        <f t="shared" si="179"/>
        <v>1</v>
      </c>
      <c r="BA316" s="18">
        <f t="shared" si="180"/>
        <v>8</v>
      </c>
      <c r="BB316" s="18">
        <f t="shared" si="181"/>
        <v>4</v>
      </c>
      <c r="BC316" s="18">
        <f t="shared" si="182"/>
        <v>3</v>
      </c>
      <c r="BD316" s="18">
        <f t="shared" si="183"/>
        <v>9</v>
      </c>
      <c r="BE316" s="8">
        <f t="shared" si="185"/>
        <v>6.7726349640080275E-3</v>
      </c>
    </row>
    <row r="317" spans="1:57" x14ac:dyDescent="0.25">
      <c r="A317" t="str">
        <f t="shared" si="184"/>
        <v/>
      </c>
      <c r="B317" s="1">
        <v>43200</v>
      </c>
      <c r="C317" s="9">
        <f t="shared" si="159"/>
        <v>0.24737165677989101</v>
      </c>
      <c r="D317" s="9">
        <f t="shared" si="160"/>
        <v>0.25005993787125186</v>
      </c>
      <c r="E317" s="9">
        <f t="shared" si="161"/>
        <v>0</v>
      </c>
      <c r="F317" s="9">
        <f t="shared" si="162"/>
        <v>0</v>
      </c>
      <c r="G317" s="9">
        <f t="shared" si="163"/>
        <v>0.24949457075872017</v>
      </c>
      <c r="H317" s="9">
        <f t="shared" si="164"/>
        <v>0</v>
      </c>
      <c r="I317" s="9">
        <f t="shared" si="165"/>
        <v>0</v>
      </c>
      <c r="J317" s="9">
        <f t="shared" si="166"/>
        <v>0.25307383459013694</v>
      </c>
      <c r="K317" s="9">
        <v>0</v>
      </c>
      <c r="L317" s="8">
        <f>+VLOOKUP($B317,NIFTY_50!$B$3:$I$1238,8,0)</f>
        <v>2.206303862958725E-3</v>
      </c>
      <c r="M317" s="8">
        <f>+VLOOKUP($B317,NIFTY_BANK!$B$3:$I$41238,8,0)</f>
        <v>5.3001139723756197E-3</v>
      </c>
      <c r="N317" s="8">
        <f>+VLOOKUP($B317,NIFTY_IT!$B$3:$I$1238,8,0)</f>
        <v>3.6189670582225109E-3</v>
      </c>
      <c r="O317" s="8">
        <f>+VLOOKUP($B317,NIFTY_PHARMA!$B$3:$I$1238,8,0)</f>
        <v>-2.1228749792575607E-3</v>
      </c>
      <c r="P317" s="8">
        <f>+VLOOKUP($B317,NIFTY_FMCG!$B$3:$I$1238,8,0)</f>
        <v>-1.567820213445037E-4</v>
      </c>
      <c r="Q317" s="8">
        <f>+VLOOKUP($B317,NIFTY_METAL!$B$3:$I$1238,8,0)</f>
        <v>2.0445761937083473E-2</v>
      </c>
      <c r="R317" s="8">
        <f>+VLOOKUP($B317,NIFTY_ENERGY!$B$3:$I$1238,8,0)</f>
        <v>1.8624094509014366E-3</v>
      </c>
      <c r="S317" s="8">
        <f>+VLOOKUP($B317,NIFTY_AUTO!$B$3:$I$1238,8,0)</f>
        <v>-7.4701347152066333E-3</v>
      </c>
      <c r="T317" s="8">
        <v>0</v>
      </c>
      <c r="U317" s="8">
        <f>+VLOOKUP($B317,NIFTY_50!$B$63:$K$1238,10,0)</f>
        <v>-2.0835686584585345E-2</v>
      </c>
      <c r="V317" s="8">
        <f>+VLOOKUP($B317,NIFTY_BANK!$B$63:$K$1238,10,0)</f>
        <v>-1.7498763441488374E-2</v>
      </c>
      <c r="W317" s="8">
        <f>+VLOOKUP($B317,NIFTY_IT!$B$63:$K$1238,10,0)</f>
        <v>6.7904405677239543E-2</v>
      </c>
      <c r="X317" s="8">
        <f>+VLOOKUP($B317,NIFTY_PHARMA!$B$63:$K$1238,10,0)</f>
        <v>-0.11370416486671919</v>
      </c>
      <c r="Y317" s="8">
        <f>+VLOOKUP($B317,NIFTY_FMCG!$B$63:$K$1238,10,0)</f>
        <v>-6.4157281206145278E-4</v>
      </c>
      <c r="Z317" s="8">
        <f>+VLOOKUP($B317,NIFTY_METAL!$B$63:$K$1238,10,0)</f>
        <v>-0.11592881058960491</v>
      </c>
      <c r="AA317" s="8">
        <f>+VLOOKUP($B317,NIFTY_ENERGY!$B$63:$K$1238,10,0)</f>
        <v>-4.8111824654474389E-2</v>
      </c>
      <c r="AB317" s="8">
        <f>+VLOOKUP($B317,NIFTY_AUTO!$B$63:$K$1238,10,0)</f>
        <v>-4.9091820117750262E-2</v>
      </c>
      <c r="AC317" s="8"/>
      <c r="AD317" s="16">
        <f t="shared" si="167"/>
        <v>6.4548341764775363E-2</v>
      </c>
      <c r="AE317" s="8">
        <f t="shared" si="168"/>
        <v>8.4339596238037121E-2</v>
      </c>
      <c r="AF317" s="8">
        <f t="shared" si="169"/>
        <v>8.6722524041481994E-2</v>
      </c>
      <c r="AG317" s="8">
        <f t="shared" si="170"/>
        <v>9.2324140714269642E-2</v>
      </c>
      <c r="AH317" s="8">
        <f t="shared" si="171"/>
        <v>5.891806347868888E-2</v>
      </c>
      <c r="AI317" s="8">
        <f t="shared" si="172"/>
        <v>0.12723914073684603</v>
      </c>
      <c r="AJ317" s="8">
        <f t="shared" si="173"/>
        <v>8.1665813057196862E-2</v>
      </c>
      <c r="AK317" s="8">
        <f t="shared" si="174"/>
        <v>7.9398175674013735E-2</v>
      </c>
      <c r="AL317" s="9">
        <v>0</v>
      </c>
      <c r="AM317" s="17">
        <f t="shared" si="151"/>
        <v>15.492264753200978</v>
      </c>
      <c r="AN317" s="13">
        <f t="shared" si="152"/>
        <v>11.856826978132965</v>
      </c>
      <c r="AO317" s="13">
        <f t="shared" si="153"/>
        <v>11.5310296956033</v>
      </c>
      <c r="AP317" s="13">
        <f t="shared" si="154"/>
        <v>10.831403273980754</v>
      </c>
      <c r="AQ317" s="13">
        <f t="shared" si="155"/>
        <v>16.972723490168814</v>
      </c>
      <c r="AR317" s="13">
        <f t="shared" si="156"/>
        <v>7.8592168589709681</v>
      </c>
      <c r="AS317" s="13">
        <f t="shared" si="157"/>
        <v>12.245025948613565</v>
      </c>
      <c r="AT317" s="13">
        <f t="shared" si="158"/>
        <v>12.594747820223411</v>
      </c>
      <c r="AU317" s="9">
        <v>0</v>
      </c>
      <c r="AV317" s="18">
        <f t="shared" si="175"/>
        <v>2</v>
      </c>
      <c r="AW317" s="18">
        <f t="shared" si="176"/>
        <v>5</v>
      </c>
      <c r="AX317" s="18">
        <f t="shared" si="177"/>
        <v>6</v>
      </c>
      <c r="AY317" s="18">
        <f t="shared" si="178"/>
        <v>7</v>
      </c>
      <c r="AZ317" s="18">
        <f t="shared" si="179"/>
        <v>1</v>
      </c>
      <c r="BA317" s="18">
        <f t="shared" si="180"/>
        <v>8</v>
      </c>
      <c r="BB317" s="18">
        <f t="shared" si="181"/>
        <v>4</v>
      </c>
      <c r="BC317" s="18">
        <f t="shared" si="182"/>
        <v>3</v>
      </c>
      <c r="BD317" s="18">
        <f t="shared" si="183"/>
        <v>9</v>
      </c>
      <c r="BE317" s="8">
        <f t="shared" si="185"/>
        <v>-8.090577207052474E-5</v>
      </c>
    </row>
    <row r="318" spans="1:57" x14ac:dyDescent="0.25">
      <c r="A318" t="str">
        <f t="shared" si="184"/>
        <v/>
      </c>
      <c r="B318" s="1">
        <v>43201</v>
      </c>
      <c r="C318" s="9">
        <f t="shared" si="159"/>
        <v>0.24745796246936722</v>
      </c>
      <c r="D318" s="9">
        <f t="shared" si="160"/>
        <v>0.2485165179923064</v>
      </c>
      <c r="E318" s="9">
        <f t="shared" si="161"/>
        <v>0</v>
      </c>
      <c r="F318" s="9">
        <f t="shared" si="162"/>
        <v>0</v>
      </c>
      <c r="G318" s="9">
        <f t="shared" si="163"/>
        <v>0.24973910974188349</v>
      </c>
      <c r="H318" s="9">
        <f t="shared" si="164"/>
        <v>0</v>
      </c>
      <c r="I318" s="9">
        <f t="shared" si="165"/>
        <v>0</v>
      </c>
      <c r="J318" s="9">
        <f t="shared" si="166"/>
        <v>0.25428640979644279</v>
      </c>
      <c r="K318" s="9">
        <v>0</v>
      </c>
      <c r="L318" s="8">
        <f>+VLOOKUP($B318,NIFTY_50!$B$3:$I$1238,8,0)</f>
        <v>1.4323824172655097E-3</v>
      </c>
      <c r="M318" s="8">
        <f>+VLOOKUP($B318,NIFTY_BANK!$B$3:$I$41238,8,0)</f>
        <v>-5.0957711640001735E-3</v>
      </c>
      <c r="N318" s="8">
        <f>+VLOOKUP($B318,NIFTY_IT!$B$3:$I$1238,8,0)</f>
        <v>1.4515109469608101E-2</v>
      </c>
      <c r="O318" s="8">
        <f>+VLOOKUP($B318,NIFTY_PHARMA!$B$3:$I$1238,8,0)</f>
        <v>4.8396715445662153E-3</v>
      </c>
      <c r="P318" s="8">
        <f>+VLOOKUP($B318,NIFTY_FMCG!$B$3:$I$1238,8,0)</f>
        <v>2.0643128457815685E-3</v>
      </c>
      <c r="Q318" s="8">
        <f>+VLOOKUP($B318,NIFTY_METAL!$B$3:$I$1238,8,0)</f>
        <v>1.5923004873281243E-2</v>
      </c>
      <c r="R318" s="8">
        <f>+VLOOKUP($B318,NIFTY_ENERGY!$B$3:$I$1238,8,0)</f>
        <v>-4.0405521843548398E-3</v>
      </c>
      <c r="S318" s="8">
        <f>+VLOOKUP($B318,NIFTY_AUTO!$B$3:$I$1238,8,0)</f>
        <v>5.8796924468567102E-3</v>
      </c>
      <c r="T318" s="8">
        <v>0</v>
      </c>
      <c r="U318" s="8">
        <f>+VLOOKUP($B318,NIFTY_50!$B$63:$K$1238,10,0)</f>
        <v>-2.0668421547428872E-2</v>
      </c>
      <c r="V318" s="8">
        <f>+VLOOKUP($B318,NIFTY_BANK!$B$63:$K$1238,10,0)</f>
        <v>-2.3558773410935374E-2</v>
      </c>
      <c r="W318" s="8">
        <f>+VLOOKUP($B318,NIFTY_IT!$B$63:$K$1238,10,0)</f>
        <v>8.2118761582074207E-2</v>
      </c>
      <c r="X318" s="8">
        <f>+VLOOKUP($B318,NIFTY_PHARMA!$B$63:$K$1238,10,0)</f>
        <v>-0.10321180733250102</v>
      </c>
      <c r="Y318" s="8">
        <f>+VLOOKUP($B318,NIFTY_FMCG!$B$63:$K$1238,10,0)</f>
        <v>-3.2955095929421141E-3</v>
      </c>
      <c r="Z318" s="8">
        <f>+VLOOKUP($B318,NIFTY_METAL!$B$63:$K$1238,10,0)</f>
        <v>-0.10190563049008794</v>
      </c>
      <c r="AA318" s="8">
        <f>+VLOOKUP($B318,NIFTY_ENERGY!$B$63:$K$1238,10,0)</f>
        <v>-5.7556328108194443E-2</v>
      </c>
      <c r="AB318" s="8">
        <f>+VLOOKUP($B318,NIFTY_AUTO!$B$63:$K$1238,10,0)</f>
        <v>-4.0917750005233455E-2</v>
      </c>
      <c r="AC318" s="8"/>
      <c r="AD318" s="16">
        <f t="shared" si="167"/>
        <v>6.4552730718047263E-2</v>
      </c>
      <c r="AE318" s="8">
        <f t="shared" si="168"/>
        <v>8.4465923576315757E-2</v>
      </c>
      <c r="AF318" s="8">
        <f t="shared" si="169"/>
        <v>8.7731419679516767E-2</v>
      </c>
      <c r="AG318" s="8">
        <f t="shared" si="170"/>
        <v>9.2422435706972061E-2</v>
      </c>
      <c r="AH318" s="8">
        <f t="shared" si="171"/>
        <v>5.8763777516633926E-2</v>
      </c>
      <c r="AI318" s="8">
        <f t="shared" si="172"/>
        <v>0.12844853940649417</v>
      </c>
      <c r="AJ318" s="8">
        <f t="shared" si="173"/>
        <v>8.144739662918607E-2</v>
      </c>
      <c r="AK318" s="8">
        <f t="shared" si="174"/>
        <v>7.9645702418755487E-2</v>
      </c>
      <c r="AL318" s="9">
        <v>0</v>
      </c>
      <c r="AM318" s="17">
        <f t="shared" si="151"/>
        <v>15.491211430973996</v>
      </c>
      <c r="AN318" s="13">
        <f t="shared" si="152"/>
        <v>11.839093893249039</v>
      </c>
      <c r="AO318" s="13">
        <f t="shared" si="153"/>
        <v>11.39842491610194</v>
      </c>
      <c r="AP318" s="13">
        <f t="shared" si="154"/>
        <v>10.819883639190468</v>
      </c>
      <c r="AQ318" s="13">
        <f t="shared" si="155"/>
        <v>17.017285856358292</v>
      </c>
      <c r="AR318" s="13">
        <f t="shared" si="156"/>
        <v>7.7852189259650038</v>
      </c>
      <c r="AS318" s="13">
        <f t="shared" si="157"/>
        <v>12.27786327600872</v>
      </c>
      <c r="AT318" s="13">
        <f t="shared" si="158"/>
        <v>12.555605257170956</v>
      </c>
      <c r="AU318" s="9">
        <v>0</v>
      </c>
      <c r="AV318" s="18">
        <f t="shared" si="175"/>
        <v>2</v>
      </c>
      <c r="AW318" s="18">
        <f t="shared" si="176"/>
        <v>5</v>
      </c>
      <c r="AX318" s="18">
        <f t="shared" si="177"/>
        <v>6</v>
      </c>
      <c r="AY318" s="18">
        <f t="shared" si="178"/>
        <v>7</v>
      </c>
      <c r="AZ318" s="18">
        <f t="shared" si="179"/>
        <v>1</v>
      </c>
      <c r="BA318" s="18">
        <f t="shared" si="180"/>
        <v>8</v>
      </c>
      <c r="BB318" s="18">
        <f t="shared" si="181"/>
        <v>4</v>
      </c>
      <c r="BC318" s="18">
        <f t="shared" si="182"/>
        <v>3</v>
      </c>
      <c r="BD318" s="18">
        <f t="shared" si="183"/>
        <v>9</v>
      </c>
      <c r="BE318" s="8">
        <f t="shared" si="185"/>
        <v>1.0831137521320313E-3</v>
      </c>
    </row>
    <row r="319" spans="1:57" x14ac:dyDescent="0.25">
      <c r="A319" t="str">
        <f t="shared" si="184"/>
        <v/>
      </c>
      <c r="B319" s="1">
        <v>43202</v>
      </c>
      <c r="C319" s="9">
        <f t="shared" si="159"/>
        <v>0.2481974972431305</v>
      </c>
      <c r="D319" s="9">
        <f t="shared" si="160"/>
        <v>0.24922818739160446</v>
      </c>
      <c r="E319" s="9">
        <f t="shared" si="161"/>
        <v>0</v>
      </c>
      <c r="F319" s="9">
        <f t="shared" si="162"/>
        <v>0</v>
      </c>
      <c r="G319" s="9">
        <f t="shared" si="163"/>
        <v>0.24840802198073486</v>
      </c>
      <c r="H319" s="9">
        <f t="shared" si="164"/>
        <v>0</v>
      </c>
      <c r="I319" s="9">
        <f t="shared" si="165"/>
        <v>0</v>
      </c>
      <c r="J319" s="9">
        <f t="shared" si="166"/>
        <v>0.25416629338453017</v>
      </c>
      <c r="K319" s="9">
        <v>0</v>
      </c>
      <c r="L319" s="8">
        <f>+VLOOKUP($B319,NIFTY_50!$B$3:$I$1238,8,0)</f>
        <v>3.9838151509770103E-3</v>
      </c>
      <c r="M319" s="8">
        <f>+VLOOKUP($B319,NIFTY_BANK!$B$3:$I$41238,8,0)</f>
        <v>3.858834779317144E-3</v>
      </c>
      <c r="N319" s="8">
        <f>+VLOOKUP($B319,NIFTY_IT!$B$3:$I$1238,8,0)</f>
        <v>3.2063390051022544E-2</v>
      </c>
      <c r="O319" s="8">
        <f>+VLOOKUP($B319,NIFTY_PHARMA!$B$3:$I$1238,8,0)</f>
        <v>-8.7596156040996576E-3</v>
      </c>
      <c r="P319" s="8">
        <f>+VLOOKUP($B319,NIFTY_FMCG!$B$3:$I$1238,8,0)</f>
        <v>-4.3428794450540709E-3</v>
      </c>
      <c r="Q319" s="8">
        <f>+VLOOKUP($B319,NIFTY_METAL!$B$3:$I$1238,8,0)</f>
        <v>-1.3776055585248526E-2</v>
      </c>
      <c r="R319" s="8">
        <f>+VLOOKUP($B319,NIFTY_ENERGY!$B$3:$I$1238,8,0)</f>
        <v>-5.0435698166273468E-4</v>
      </c>
      <c r="S319" s="8">
        <f>+VLOOKUP($B319,NIFTY_AUTO!$B$3:$I$1238,8,0)</f>
        <v>5.1948732276296816E-4</v>
      </c>
      <c r="T319" s="8">
        <v>0</v>
      </c>
      <c r="U319" s="8">
        <f>+VLOOKUP($B319,NIFTY_50!$B$63:$K$1238,10,0)</f>
        <v>-1.6323056375914802E-2</v>
      </c>
      <c r="V319" s="8">
        <f>+VLOOKUP($B319,NIFTY_BANK!$B$63:$K$1238,10,0)</f>
        <v>-1.6481049915486823E-2</v>
      </c>
      <c r="W319" s="8">
        <f>+VLOOKUP($B319,NIFTY_IT!$B$63:$K$1238,10,0)</f>
        <v>9.2370610633196959E-2</v>
      </c>
      <c r="X319" s="8">
        <f>+VLOOKUP($B319,NIFTY_PHARMA!$B$63:$K$1238,10,0)</f>
        <v>-0.10909771659520351</v>
      </c>
      <c r="Y319" s="8">
        <f>+VLOOKUP($B319,NIFTY_FMCG!$B$63:$K$1238,10,0)</f>
        <v>-6.2163274606218399E-3</v>
      </c>
      <c r="Z319" s="8">
        <f>+VLOOKUP($B319,NIFTY_METAL!$B$63:$K$1238,10,0)</f>
        <v>-0.11491509976976222</v>
      </c>
      <c r="AA319" s="8">
        <f>+VLOOKUP($B319,NIFTY_ENERGY!$B$63:$K$1238,10,0)</f>
        <v>-5.702397243621371E-2</v>
      </c>
      <c r="AB319" s="8">
        <f>+VLOOKUP($B319,NIFTY_AUTO!$B$63:$K$1238,10,0)</f>
        <v>-3.3516207793741315E-2</v>
      </c>
      <c r="AC319" s="8"/>
      <c r="AD319" s="16">
        <f t="shared" si="167"/>
        <v>6.4692603089946246E-2</v>
      </c>
      <c r="AE319" s="8">
        <f t="shared" si="168"/>
        <v>8.4510372456329086E-2</v>
      </c>
      <c r="AF319" s="8">
        <f t="shared" si="169"/>
        <v>9.0533279002919242E-2</v>
      </c>
      <c r="AG319" s="8">
        <f t="shared" si="170"/>
        <v>9.2685436309678973E-2</v>
      </c>
      <c r="AH319" s="8">
        <f t="shared" si="171"/>
        <v>5.8904531167128786E-2</v>
      </c>
      <c r="AI319" s="8">
        <f t="shared" si="172"/>
        <v>0.12898729553097785</v>
      </c>
      <c r="AJ319" s="8">
        <f t="shared" si="173"/>
        <v>8.1448266807058342E-2</v>
      </c>
      <c r="AK319" s="8">
        <f t="shared" si="174"/>
        <v>7.9381486331764728E-2</v>
      </c>
      <c r="AL319" s="9">
        <v>0</v>
      </c>
      <c r="AM319" s="17">
        <f t="shared" si="151"/>
        <v>15.457717764264894</v>
      </c>
      <c r="AN319" s="13">
        <f t="shared" si="152"/>
        <v>11.832867030810355</v>
      </c>
      <c r="AO319" s="13">
        <f t="shared" si="153"/>
        <v>11.045662004220073</v>
      </c>
      <c r="AP319" s="13">
        <f t="shared" si="154"/>
        <v>10.789181556623603</v>
      </c>
      <c r="AQ319" s="13">
        <f t="shared" si="155"/>
        <v>16.976622683961573</v>
      </c>
      <c r="AR319" s="13">
        <f t="shared" si="156"/>
        <v>7.7527015035355786</v>
      </c>
      <c r="AS319" s="13">
        <f t="shared" si="157"/>
        <v>12.277732101640492</v>
      </c>
      <c r="AT319" s="13">
        <f t="shared" si="158"/>
        <v>12.597395768336064</v>
      </c>
      <c r="AU319" s="9">
        <v>0</v>
      </c>
      <c r="AV319" s="18">
        <f t="shared" si="175"/>
        <v>2</v>
      </c>
      <c r="AW319" s="18">
        <f t="shared" si="176"/>
        <v>5</v>
      </c>
      <c r="AX319" s="18">
        <f t="shared" si="177"/>
        <v>6</v>
      </c>
      <c r="AY319" s="18">
        <f t="shared" si="178"/>
        <v>7</v>
      </c>
      <c r="AZ319" s="18">
        <f t="shared" si="179"/>
        <v>1</v>
      </c>
      <c r="BA319" s="18">
        <f t="shared" si="180"/>
        <v>8</v>
      </c>
      <c r="BB319" s="18">
        <f t="shared" si="181"/>
        <v>4</v>
      </c>
      <c r="BC319" s="18">
        <f t="shared" si="182"/>
        <v>3</v>
      </c>
      <c r="BD319" s="18">
        <f t="shared" si="183"/>
        <v>9</v>
      </c>
      <c r="BE319" s="8">
        <f t="shared" si="185"/>
        <v>9.9232268289490481E-4</v>
      </c>
    </row>
    <row r="320" spans="1:57" x14ac:dyDescent="0.25">
      <c r="A320" t="str">
        <f t="shared" si="184"/>
        <v/>
      </c>
      <c r="B320" s="1">
        <v>43203</v>
      </c>
      <c r="C320" s="9">
        <f t="shared" si="159"/>
        <v>0.24867737078925303</v>
      </c>
      <c r="D320" s="9">
        <f t="shared" si="160"/>
        <v>0.24924147116624437</v>
      </c>
      <c r="E320" s="9">
        <f t="shared" si="161"/>
        <v>0</v>
      </c>
      <c r="F320" s="9">
        <f t="shared" si="162"/>
        <v>0</v>
      </c>
      <c r="G320" s="9">
        <f t="shared" si="163"/>
        <v>0.24782928143606492</v>
      </c>
      <c r="H320" s="9">
        <f t="shared" si="164"/>
        <v>0</v>
      </c>
      <c r="I320" s="9">
        <f t="shared" si="165"/>
        <v>0</v>
      </c>
      <c r="J320" s="9">
        <f t="shared" si="166"/>
        <v>0.25425187660843768</v>
      </c>
      <c r="K320" s="9">
        <v>0</v>
      </c>
      <c r="L320" s="8">
        <f>+VLOOKUP($B320,NIFTY_50!$B$3:$I$1238,8,0)</f>
        <v>2.0987412333333122E-3</v>
      </c>
      <c r="M320" s="8">
        <f>+VLOOKUP($B320,NIFTY_BANK!$B$3:$I$41238,8,0)</f>
        <v>2.1829641477899564E-4</v>
      </c>
      <c r="N320" s="8">
        <f>+VLOOKUP($B320,NIFTY_IT!$B$3:$I$1238,8,0)</f>
        <v>7.0055132819974997E-3</v>
      </c>
      <c r="O320" s="8">
        <f>+VLOOKUP($B320,NIFTY_PHARMA!$B$3:$I$1238,8,0)</f>
        <v>5.2446445328468982E-3</v>
      </c>
      <c r="P320" s="8">
        <f>+VLOOKUP($B320,NIFTY_FMCG!$B$3:$I$1238,8,0)</f>
        <v>-2.1651945439316034E-3</v>
      </c>
      <c r="Q320" s="8">
        <f>+VLOOKUP($B320,NIFTY_METAL!$B$3:$I$1238,8,0)</f>
        <v>9.4839382731102262E-3</v>
      </c>
      <c r="R320" s="8">
        <f>+VLOOKUP($B320,NIFTY_ENERGY!$B$3:$I$1238,8,0)</f>
        <v>4.3462887114358306E-3</v>
      </c>
      <c r="S320" s="8">
        <f>+VLOOKUP($B320,NIFTY_AUTO!$B$3:$I$1238,8,0)</f>
        <v>5.0176490350839487E-4</v>
      </c>
      <c r="T320" s="8">
        <v>0</v>
      </c>
      <c r="U320" s="8">
        <f>+VLOOKUP($B320,NIFTY_50!$B$63:$K$1238,10,0)</f>
        <v>-1.6016974613189183E-2</v>
      </c>
      <c r="V320" s="8">
        <f>+VLOOKUP($B320,NIFTY_BANK!$B$63:$K$1238,10,0)</f>
        <v>-1.7937796413999618E-2</v>
      </c>
      <c r="W320" s="8">
        <f>+VLOOKUP($B320,NIFTY_IT!$B$63:$K$1238,10,0)</f>
        <v>9.5624261552825329E-2</v>
      </c>
      <c r="X320" s="8">
        <f>+VLOOKUP($B320,NIFTY_PHARMA!$B$63:$K$1238,10,0)</f>
        <v>-0.1066474979151425</v>
      </c>
      <c r="Y320" s="8">
        <f>+VLOOKUP($B320,NIFTY_FMCG!$B$63:$K$1238,10,0)</f>
        <v>-1.1894081156596847E-2</v>
      </c>
      <c r="Z320" s="8">
        <f>+VLOOKUP($B320,NIFTY_METAL!$B$63:$K$1238,10,0)</f>
        <v>-0.10525494151836112</v>
      </c>
      <c r="AA320" s="8">
        <f>+VLOOKUP($B320,NIFTY_ENERGY!$B$63:$K$1238,10,0)</f>
        <v>-4.9309843490145444E-2</v>
      </c>
      <c r="AB320" s="8">
        <f>+VLOOKUP($B320,NIFTY_AUTO!$B$63:$K$1238,10,0)</f>
        <v>-3.4236738475793449E-2</v>
      </c>
      <c r="AC320" s="8"/>
      <c r="AD320" s="16">
        <f t="shared" si="167"/>
        <v>6.4703085951813261E-2</v>
      </c>
      <c r="AE320" s="8">
        <f t="shared" si="168"/>
        <v>8.4489545809874916E-2</v>
      </c>
      <c r="AF320" s="8">
        <f t="shared" si="169"/>
        <v>9.0664303652335521E-2</v>
      </c>
      <c r="AG320" s="8">
        <f t="shared" si="170"/>
        <v>9.2853811943467091E-2</v>
      </c>
      <c r="AH320" s="8">
        <f t="shared" si="171"/>
        <v>5.8824419687490054E-2</v>
      </c>
      <c r="AI320" s="8">
        <f t="shared" si="172"/>
        <v>0.12947712687817434</v>
      </c>
      <c r="AJ320" s="8">
        <f t="shared" si="173"/>
        <v>8.1559475197616832E-2</v>
      </c>
      <c r="AK320" s="8">
        <f t="shared" si="174"/>
        <v>7.9368433107361622E-2</v>
      </c>
      <c r="AL320" s="9">
        <v>0</v>
      </c>
      <c r="AM320" s="17">
        <f t="shared" ref="AM320:AM383" si="186">1/AD320</f>
        <v>15.455213384176705</v>
      </c>
      <c r="AN320" s="13">
        <f t="shared" ref="AN320:AN383" si="187">1/AE320</f>
        <v>11.835783828809772</v>
      </c>
      <c r="AO320" s="13">
        <f t="shared" ref="AO320:AO383" si="188">1/AF320</f>
        <v>11.029699227985411</v>
      </c>
      <c r="AP320" s="13">
        <f t="shared" ref="AP320:AP383" si="189">1/AG320</f>
        <v>10.769617090236832</v>
      </c>
      <c r="AQ320" s="13">
        <f t="shared" ref="AQ320:AQ383" si="190">1/AH320</f>
        <v>16.999742714209315</v>
      </c>
      <c r="AR320" s="13">
        <f t="shared" ref="AR320:AR383" si="191">1/AI320</f>
        <v>7.7233718735580599</v>
      </c>
      <c r="AS320" s="13">
        <f t="shared" ref="AS320:AS383" si="192">1/AJ320</f>
        <v>12.26099110590182</v>
      </c>
      <c r="AT320" s="13">
        <f t="shared" ref="AT320:AT383" si="193">1/AK320</f>
        <v>12.599467582373721</v>
      </c>
      <c r="AU320" s="9">
        <v>0</v>
      </c>
      <c r="AV320" s="18">
        <f t="shared" si="175"/>
        <v>2</v>
      </c>
      <c r="AW320" s="18">
        <f t="shared" si="176"/>
        <v>5</v>
      </c>
      <c r="AX320" s="18">
        <f t="shared" si="177"/>
        <v>6</v>
      </c>
      <c r="AY320" s="18">
        <f t="shared" si="178"/>
        <v>7</v>
      </c>
      <c r="AZ320" s="18">
        <f t="shared" si="179"/>
        <v>1</v>
      </c>
      <c r="BA320" s="18">
        <f t="shared" si="180"/>
        <v>8</v>
      </c>
      <c r="BB320" s="18">
        <f t="shared" si="181"/>
        <v>4</v>
      </c>
      <c r="BC320" s="18">
        <f t="shared" si="182"/>
        <v>3</v>
      </c>
      <c r="BD320" s="18">
        <f t="shared" si="183"/>
        <v>9</v>
      </c>
      <c r="BE320" s="8">
        <f t="shared" si="185"/>
        <v>1.6498797305739029E-4</v>
      </c>
    </row>
    <row r="321" spans="1:57" x14ac:dyDescent="0.25">
      <c r="A321" t="str">
        <f t="shared" si="184"/>
        <v/>
      </c>
      <c r="B321" s="1">
        <v>43206</v>
      </c>
      <c r="C321" s="9">
        <f t="shared" ref="C321:C384" si="194">+IF($A321="Y",IF(AV321&lt;=4,0.25,0),C320*(1+L321)/SUMPRODUCT($C320:$J320,1+$L321:$S321))</f>
        <v>0.24836665695006396</v>
      </c>
      <c r="D321" s="9">
        <f t="shared" ref="D321:D384" si="195">+IF($A321="Y",IF(AW321&lt;=4,0.25,0),D320*(1+M321)/SUMPRODUCT($C320:$J320,1+$L321:$S321))</f>
        <v>0.24898349697629901</v>
      </c>
      <c r="E321" s="9">
        <f t="shared" ref="E321:E384" si="196">+IF($A321="Y",IF(AX321&lt;=4,0.25,0),E320*(1+N321)/SUMPRODUCT($C320:$J320,1+$L321:$S321))</f>
        <v>0</v>
      </c>
      <c r="F321" s="9">
        <f t="shared" ref="F321:F384" si="197">+IF($A321="Y",IF(AY321&lt;=4,0.25,0),F320*(1+O321)/SUMPRODUCT($C320:$J320,1+$L321:$S321))</f>
        <v>0</v>
      </c>
      <c r="G321" s="9">
        <f t="shared" ref="G321:G384" si="198">+IF($A321="Y",IF(AZ321&lt;=4,0.25,0),G320*(1+P321)/SUMPRODUCT($C320:$J320,1+$L321:$S321))</f>
        <v>0.2489931469952654</v>
      </c>
      <c r="H321" s="9">
        <f t="shared" ref="H321:H384" si="199">+IF($A321="Y",IF(BA321&lt;=4,0.25,0),H320*(1+Q321)/SUMPRODUCT($C320:$J320,1+$L321:$S321))</f>
        <v>0</v>
      </c>
      <c r="I321" s="9">
        <f t="shared" ref="I321:I384" si="200">+IF($A321="Y",IF(BB321&lt;=4,0.25,0),I320*(1+R321)/SUMPRODUCT($C320:$J320,1+$L321:$S321))</f>
        <v>0</v>
      </c>
      <c r="J321" s="9">
        <f t="shared" ref="J321:J384" si="201">+IF($A321="Y",IF(BC321&lt;=4,0.25,0),J320*(1+S321)/SUMPRODUCT($C320:$J320,1+$L321:$S321))</f>
        <v>0.25365669907837168</v>
      </c>
      <c r="K321" s="9">
        <v>0</v>
      </c>
      <c r="L321" s="8">
        <f>+VLOOKUP($B321,NIFTY_50!$B$3:$I$1238,8,0)</f>
        <v>4.5560368681183405E-3</v>
      </c>
      <c r="M321" s="8">
        <f>+VLOOKUP($B321,NIFTY_BANK!$B$3:$I$41238,8,0)</f>
        <v>4.7717117846399759E-3</v>
      </c>
      <c r="N321" s="8">
        <f>+VLOOKUP($B321,NIFTY_IT!$B$3:$I$1238,8,0)</f>
        <v>-4.3248909350738218E-3</v>
      </c>
      <c r="O321" s="8">
        <f>+VLOOKUP($B321,NIFTY_PHARMA!$B$3:$I$1238,8,0)</f>
        <v>1.5646118250750352E-2</v>
      </c>
      <c r="P321" s="8">
        <f>+VLOOKUP($B321,NIFTY_FMCG!$B$3:$I$1238,8,0)</f>
        <v>1.0536302621289684E-2</v>
      </c>
      <c r="Q321" s="8">
        <f>+VLOOKUP($B321,NIFTY_METAL!$B$3:$I$1238,8,0)</f>
        <v>1.623964890147489E-3</v>
      </c>
      <c r="R321" s="8">
        <f>+VLOOKUP($B321,NIFTY_ENERGY!$B$3:$I$1238,8,0)</f>
        <v>3.3372940779541338E-4</v>
      </c>
      <c r="S321" s="8">
        <f>+VLOOKUP($B321,NIFTY_AUTO!$B$3:$I$1238,8,0)</f>
        <v>3.4582610136675296E-3</v>
      </c>
      <c r="T321" s="8">
        <v>0</v>
      </c>
      <c r="U321" s="8">
        <f>+VLOOKUP($B321,NIFTY_50!$B$63:$K$1238,10,0)</f>
        <v>-1.4314803978935031E-2</v>
      </c>
      <c r="V321" s="8">
        <f>+VLOOKUP($B321,NIFTY_BANK!$B$63:$K$1238,10,0)</f>
        <v>-1.6629739737970994E-2</v>
      </c>
      <c r="W321" s="8">
        <f>+VLOOKUP($B321,NIFTY_IT!$B$63:$K$1238,10,0)</f>
        <v>9.1237437185929693E-2</v>
      </c>
      <c r="X321" s="8">
        <f>+VLOOKUP($B321,NIFTY_PHARMA!$B$63:$K$1238,10,0)</f>
        <v>-8.9782741471075789E-2</v>
      </c>
      <c r="Y321" s="8">
        <f>+VLOOKUP($B321,NIFTY_FMCG!$B$63:$K$1238,10,0)</f>
        <v>2.594069490176043E-3</v>
      </c>
      <c r="Z321" s="8">
        <f>+VLOOKUP($B321,NIFTY_METAL!$B$63:$K$1238,10,0)</f>
        <v>-0.10932092135099658</v>
      </c>
      <c r="AA321" s="8">
        <f>+VLOOKUP($B321,NIFTY_ENERGY!$B$63:$K$1238,10,0)</f>
        <v>-5.5447245125164968E-2</v>
      </c>
      <c r="AB321" s="8">
        <f>+VLOOKUP($B321,NIFTY_AUTO!$B$63:$K$1238,10,0)</f>
        <v>-3.3879446441167471E-2</v>
      </c>
      <c r="AC321" s="8"/>
      <c r="AD321" s="16">
        <f t="shared" ref="AD321:AD384" si="202">+_xlfn.STDEV.S(L261:L321)*SQRT(60)</f>
        <v>6.480769194619139E-2</v>
      </c>
      <c r="AE321" s="8">
        <f t="shared" ref="AE321:AE384" si="203">+_xlfn.STDEV.S(M261:M321)*SQRT(60)</f>
        <v>8.4558023970798826E-2</v>
      </c>
      <c r="AF321" s="8">
        <f t="shared" ref="AF321:AF384" si="204">+_xlfn.STDEV.S(N261:N321)*SQRT(60)</f>
        <v>9.0834381580805326E-2</v>
      </c>
      <c r="AG321" s="8">
        <f t="shared" ref="AG321:AG384" si="205">+_xlfn.STDEV.S(O261:O321)*SQRT(60)</f>
        <v>9.4433221917914117E-2</v>
      </c>
      <c r="AH321" s="8">
        <f t="shared" ref="AH321:AH384" si="206">+_xlfn.STDEV.S(P261:P321)*SQRT(60)</f>
        <v>5.9633835363200785E-2</v>
      </c>
      <c r="AI321" s="8">
        <f t="shared" ref="AI321:AI384" si="207">+_xlfn.STDEV.S(Q261:Q321)*SQRT(60)</f>
        <v>0.12927808320732323</v>
      </c>
      <c r="AJ321" s="8">
        <f t="shared" ref="AJ321:AJ384" si="208">+_xlfn.STDEV.S(R261:R321)*SQRT(60)</f>
        <v>8.1207197452393687E-2</v>
      </c>
      <c r="AK321" s="8">
        <f t="shared" ref="AK321:AK384" si="209">+_xlfn.STDEV.S(S261:S321)*SQRT(60)</f>
        <v>7.9386146470868987E-2</v>
      </c>
      <c r="AL321" s="9">
        <v>0</v>
      </c>
      <c r="AM321" s="17">
        <f t="shared" si="186"/>
        <v>15.430267148385429</v>
      </c>
      <c r="AN321" s="13">
        <f t="shared" si="187"/>
        <v>11.826198780914499</v>
      </c>
      <c r="AO321" s="13">
        <f t="shared" si="188"/>
        <v>11.00904726378756</v>
      </c>
      <c r="AP321" s="13">
        <f t="shared" si="189"/>
        <v>10.589493609243238</v>
      </c>
      <c r="AQ321" s="13">
        <f t="shared" si="190"/>
        <v>16.769003601889509</v>
      </c>
      <c r="AR321" s="13">
        <f t="shared" si="191"/>
        <v>7.7352632030929813</v>
      </c>
      <c r="AS321" s="13">
        <f t="shared" si="192"/>
        <v>12.314179424628373</v>
      </c>
      <c r="AT321" s="13">
        <f t="shared" si="193"/>
        <v>12.596656273862006</v>
      </c>
      <c r="AU321" s="9">
        <v>0</v>
      </c>
      <c r="AV321" s="18">
        <f t="shared" ref="AV321:AV384" si="210">+RANK(AM321,$AM321:$AU321)</f>
        <v>2</v>
      </c>
      <c r="AW321" s="18">
        <f t="shared" ref="AW321:AW384" si="211">+RANK(AN321,$AM321:$AU321)</f>
        <v>5</v>
      </c>
      <c r="AX321" s="18">
        <f t="shared" ref="AX321:AX384" si="212">+RANK(AO321,$AM321:$AU321)</f>
        <v>6</v>
      </c>
      <c r="AY321" s="18">
        <f t="shared" ref="AY321:AY384" si="213">+RANK(AP321,$AM321:$AU321)</f>
        <v>7</v>
      </c>
      <c r="AZ321" s="18">
        <f t="shared" ref="AZ321:AZ384" si="214">+RANK(AQ321,$AM321:$AU321)</f>
        <v>1</v>
      </c>
      <c r="BA321" s="18">
        <f t="shared" ref="BA321:BA384" si="215">+RANK(AR321,$AM321:$AU321)</f>
        <v>8</v>
      </c>
      <c r="BB321" s="18">
        <f t="shared" ref="BB321:BB384" si="216">+RANK(AS321,$AM321:$AU321)</f>
        <v>4</v>
      </c>
      <c r="BC321" s="18">
        <f t="shared" ref="BC321:BC384" si="217">+RANK(AT321,$AM321:$AU321)</f>
        <v>3</v>
      </c>
      <c r="BD321" s="18">
        <f t="shared" ref="BD321:BD384" si="218">+RANK(AU321,$AM321:$AU321)</f>
        <v>9</v>
      </c>
      <c r="BE321" s="8">
        <f t="shared" si="185"/>
        <v>5.812765394921462E-3</v>
      </c>
    </row>
    <row r="322" spans="1:57" x14ac:dyDescent="0.25">
      <c r="A322" t="str">
        <f t="shared" si="184"/>
        <v/>
      </c>
      <c r="B322" s="1">
        <v>43207</v>
      </c>
      <c r="C322" s="9">
        <f t="shared" si="194"/>
        <v>0.24826181254790181</v>
      </c>
      <c r="D322" s="9">
        <f t="shared" si="195"/>
        <v>0.24853168540661105</v>
      </c>
      <c r="E322" s="9">
        <f t="shared" si="196"/>
        <v>0</v>
      </c>
      <c r="F322" s="9">
        <f t="shared" si="197"/>
        <v>0</v>
      </c>
      <c r="G322" s="9">
        <f t="shared" si="198"/>
        <v>0.25086307796372731</v>
      </c>
      <c r="H322" s="9">
        <f t="shared" si="199"/>
        <v>0</v>
      </c>
      <c r="I322" s="9">
        <f t="shared" si="200"/>
        <v>0</v>
      </c>
      <c r="J322" s="9">
        <f t="shared" si="201"/>
        <v>0.25234342408175975</v>
      </c>
      <c r="K322" s="9">
        <v>0</v>
      </c>
      <c r="L322" s="8">
        <f>+VLOOKUP($B322,NIFTY_50!$B$3:$I$1238,8,0)</f>
        <v>1.9328764716219915E-3</v>
      </c>
      <c r="M322" s="8">
        <f>+VLOOKUP($B322,NIFTY_BANK!$B$3:$I$41238,8,0)</f>
        <v>5.3710677169216403E-4</v>
      </c>
      <c r="N322" s="8">
        <f>+VLOOKUP($B322,NIFTY_IT!$B$3:$I$1238,8,0)</f>
        <v>-3.0901833660277322E-3</v>
      </c>
      <c r="O322" s="8">
        <f>+VLOOKUP($B322,NIFTY_PHARMA!$B$3:$I$1238,8,0)</f>
        <v>-4.4489805124504622E-3</v>
      </c>
      <c r="P322" s="8">
        <f>+VLOOKUP($B322,NIFTY_FMCG!$B$3:$I$1238,8,0)</f>
        <v>9.8836697570707788E-3</v>
      </c>
      <c r="Q322" s="8">
        <f>+VLOOKUP($B322,NIFTY_METAL!$B$3:$I$1238,8,0)</f>
        <v>1.0853544151145922E-3</v>
      </c>
      <c r="R322" s="8">
        <f>+VLOOKUP($B322,NIFTY_ENERGY!$B$3:$I$1238,8,0)</f>
        <v>8.2268016292292856E-3</v>
      </c>
      <c r="S322" s="8">
        <f>+VLOOKUP($B322,NIFTY_AUTO!$B$3:$I$1238,8,0)</f>
        <v>-2.8335629446456512E-3</v>
      </c>
      <c r="T322" s="8">
        <v>0</v>
      </c>
      <c r="U322" s="8">
        <f>+VLOOKUP($B322,NIFTY_50!$B$63:$K$1238,10,0)</f>
        <v>-1.7953647285540608E-2</v>
      </c>
      <c r="V322" s="8">
        <f>+VLOOKUP($B322,NIFTY_BANK!$B$63:$K$1238,10,0)</f>
        <v>-2.8184600985070474E-2</v>
      </c>
      <c r="W322" s="8">
        <f>+VLOOKUP($B322,NIFTY_IT!$B$63:$K$1238,10,0)</f>
        <v>9.7516843439396927E-2</v>
      </c>
      <c r="X322" s="8">
        <f>+VLOOKUP($B322,NIFTY_PHARMA!$B$63:$K$1238,10,0)</f>
        <v>-8.6130593441859249E-2</v>
      </c>
      <c r="Y322" s="8">
        <f>+VLOOKUP($B322,NIFTY_FMCG!$B$63:$K$1238,10,0)</f>
        <v>1.344428332732206E-2</v>
      </c>
      <c r="Z322" s="8">
        <f>+VLOOKUP($B322,NIFTY_METAL!$B$63:$K$1238,10,0)</f>
        <v>-0.10968241673121604</v>
      </c>
      <c r="AA322" s="8">
        <f>+VLOOKUP($B322,NIFTY_ENERGY!$B$63:$K$1238,10,0)</f>
        <v>-4.5789846222172859E-2</v>
      </c>
      <c r="AB322" s="8">
        <f>+VLOOKUP($B322,NIFTY_AUTO!$B$63:$K$1238,10,0)</f>
        <v>-2.7280589447265968E-2</v>
      </c>
      <c r="AC322" s="8"/>
      <c r="AD322" s="16">
        <f t="shared" si="202"/>
        <v>6.4576911096036249E-2</v>
      </c>
      <c r="AE322" s="8">
        <f t="shared" si="203"/>
        <v>8.3596001073892437E-2</v>
      </c>
      <c r="AF322" s="8">
        <f t="shared" si="204"/>
        <v>9.0362930168734132E-2</v>
      </c>
      <c r="AG322" s="8">
        <f t="shared" si="205"/>
        <v>9.4222218732156984E-2</v>
      </c>
      <c r="AH322" s="8">
        <f t="shared" si="206"/>
        <v>6.0411549462039291E-2</v>
      </c>
      <c r="AI322" s="8">
        <f t="shared" si="207"/>
        <v>0.12926848952316339</v>
      </c>
      <c r="AJ322" s="8">
        <f t="shared" si="208"/>
        <v>8.1698472643482081E-2</v>
      </c>
      <c r="AK322" s="8">
        <f t="shared" si="209"/>
        <v>7.8893942449232507E-2</v>
      </c>
      <c r="AL322" s="9">
        <v>0</v>
      </c>
      <c r="AM322" s="17">
        <f t="shared" si="186"/>
        <v>15.485410853932596</v>
      </c>
      <c r="AN322" s="13">
        <f t="shared" si="187"/>
        <v>11.962294692973135</v>
      </c>
      <c r="AO322" s="13">
        <f t="shared" si="188"/>
        <v>11.066484875299045</v>
      </c>
      <c r="AP322" s="13">
        <f t="shared" si="189"/>
        <v>10.613207940291383</v>
      </c>
      <c r="AQ322" s="13">
        <f t="shared" si="190"/>
        <v>16.553126163869848</v>
      </c>
      <c r="AR322" s="13">
        <f t="shared" si="191"/>
        <v>7.7358372770404484</v>
      </c>
      <c r="AS322" s="13">
        <f t="shared" si="192"/>
        <v>12.240130906287881</v>
      </c>
      <c r="AT322" s="13">
        <f t="shared" si="193"/>
        <v>12.675244371815877</v>
      </c>
      <c r="AU322" s="9">
        <v>0</v>
      </c>
      <c r="AV322" s="18">
        <f t="shared" si="210"/>
        <v>2</v>
      </c>
      <c r="AW322" s="18">
        <f t="shared" si="211"/>
        <v>5</v>
      </c>
      <c r="AX322" s="18">
        <f t="shared" si="212"/>
        <v>6</v>
      </c>
      <c r="AY322" s="18">
        <f t="shared" si="213"/>
        <v>7</v>
      </c>
      <c r="AZ322" s="18">
        <f t="shared" si="214"/>
        <v>1</v>
      </c>
      <c r="BA322" s="18">
        <f t="shared" si="215"/>
        <v>8</v>
      </c>
      <c r="BB322" s="18">
        <f t="shared" si="216"/>
        <v>4</v>
      </c>
      <c r="BC322" s="18">
        <f t="shared" si="217"/>
        <v>3</v>
      </c>
      <c r="BD322" s="18">
        <f t="shared" si="218"/>
        <v>9</v>
      </c>
      <c r="BE322" s="8">
        <f t="shared" si="185"/>
        <v>2.3560066033251319E-3</v>
      </c>
    </row>
    <row r="323" spans="1:57" x14ac:dyDescent="0.25">
      <c r="A323" t="str">
        <f t="shared" si="184"/>
        <v/>
      </c>
      <c r="B323" s="1">
        <v>43208</v>
      </c>
      <c r="C323" s="9">
        <f t="shared" si="194"/>
        <v>0.24767396296390148</v>
      </c>
      <c r="D323" s="9">
        <f t="shared" si="195"/>
        <v>0.24619631911446824</v>
      </c>
      <c r="E323" s="9">
        <f t="shared" si="196"/>
        <v>0</v>
      </c>
      <c r="F323" s="9">
        <f t="shared" si="197"/>
        <v>0</v>
      </c>
      <c r="G323" s="9">
        <f t="shared" si="198"/>
        <v>0.25517722700187068</v>
      </c>
      <c r="H323" s="9">
        <f t="shared" si="199"/>
        <v>0</v>
      </c>
      <c r="I323" s="9">
        <f t="shared" si="200"/>
        <v>0</v>
      </c>
      <c r="J323" s="9">
        <f t="shared" si="201"/>
        <v>0.25095249091975963</v>
      </c>
      <c r="K323" s="9">
        <v>0</v>
      </c>
      <c r="L323" s="8">
        <f>+VLOOKUP($B323,NIFTY_50!$B$3:$I$1238,8,0)</f>
        <v>-2.1329642515190983E-3</v>
      </c>
      <c r="M323" s="8">
        <f>+VLOOKUP($B323,NIFTY_BANK!$B$3:$I$41238,8,0)</f>
        <v>-9.1634118759239547E-3</v>
      </c>
      <c r="N323" s="8">
        <f>+VLOOKUP($B323,NIFTY_IT!$B$3:$I$1238,8,0)</f>
        <v>-2.9098257903253932E-3</v>
      </c>
      <c r="O323" s="8">
        <f>+VLOOKUP($B323,NIFTY_PHARMA!$B$3:$I$1238,8,0)</f>
        <v>-4.2762878423153738E-3</v>
      </c>
      <c r="P323" s="8">
        <f>+VLOOKUP($B323,NIFTY_FMCG!$B$3:$I$1238,8,0)</f>
        <v>1.7436729891381342E-2</v>
      </c>
      <c r="Q323" s="8">
        <f>+VLOOKUP($B323,NIFTY_METAL!$B$3:$I$1238,8,0)</f>
        <v>4.0020880459370467E-3</v>
      </c>
      <c r="R323" s="8">
        <f>+VLOOKUP($B323,NIFTY_ENERGY!$B$3:$I$1238,8,0)</f>
        <v>-3.9598416063356678E-3</v>
      </c>
      <c r="S323" s="8">
        <f>+VLOOKUP($B323,NIFTY_AUTO!$B$3:$I$1238,8,0)</f>
        <v>-5.2779073162866341E-3</v>
      </c>
      <c r="T323" s="8">
        <v>0</v>
      </c>
      <c r="U323" s="8">
        <f>+VLOOKUP($B323,NIFTY_50!$B$63:$K$1238,10,0)</f>
        <v>-1.6284361872631492E-2</v>
      </c>
      <c r="V323" s="8">
        <f>+VLOOKUP($B323,NIFTY_BANK!$B$63:$K$1238,10,0)</f>
        <v>-3.3593969562924264E-2</v>
      </c>
      <c r="W323" s="8">
        <f>+VLOOKUP($B323,NIFTY_IT!$B$63:$K$1238,10,0)</f>
        <v>5.5751973903844787E-2</v>
      </c>
      <c r="X323" s="8">
        <f>+VLOOKUP($B323,NIFTY_PHARMA!$B$63:$K$1238,10,0)</f>
        <v>-8.6606154757389531E-2</v>
      </c>
      <c r="Y323" s="8">
        <f>+VLOOKUP($B323,NIFTY_FMCG!$B$63:$K$1238,10,0)</f>
        <v>4.2504897756427518E-2</v>
      </c>
      <c r="Z323" s="8">
        <f>+VLOOKUP($B323,NIFTY_METAL!$B$63:$K$1238,10,0)</f>
        <v>-7.9947993327445843E-2</v>
      </c>
      <c r="AA323" s="8">
        <f>+VLOOKUP($B323,NIFTY_ENERGY!$B$63:$K$1238,10,0)</f>
        <v>-2.9003488075319717E-2</v>
      </c>
      <c r="AB323" s="8">
        <f>+VLOOKUP($B323,NIFTY_AUTO!$B$63:$K$1238,10,0)</f>
        <v>-2.013094343672861E-2</v>
      </c>
      <c r="AC323" s="8"/>
      <c r="AD323" s="16">
        <f t="shared" si="202"/>
        <v>6.4505266987961676E-2</v>
      </c>
      <c r="AE323" s="8">
        <f t="shared" si="203"/>
        <v>8.3988739968065287E-2</v>
      </c>
      <c r="AF323" s="8">
        <f t="shared" si="204"/>
        <v>8.3302705114490866E-2</v>
      </c>
      <c r="AG323" s="8">
        <f t="shared" si="205"/>
        <v>9.4236577326292412E-2</v>
      </c>
      <c r="AH323" s="8">
        <f t="shared" si="206"/>
        <v>6.1700380005102022E-2</v>
      </c>
      <c r="AI323" s="8">
        <f t="shared" si="207"/>
        <v>0.12654862387520485</v>
      </c>
      <c r="AJ323" s="8">
        <f t="shared" si="208"/>
        <v>7.9129409383463634E-2</v>
      </c>
      <c r="AK323" s="8">
        <f t="shared" si="209"/>
        <v>7.8102084070100899E-2</v>
      </c>
      <c r="AL323" s="9">
        <v>0</v>
      </c>
      <c r="AM323" s="17">
        <f t="shared" si="186"/>
        <v>15.502610045573881</v>
      </c>
      <c r="AN323" s="13">
        <f t="shared" si="187"/>
        <v>11.906357928220213</v>
      </c>
      <c r="AO323" s="13">
        <f t="shared" si="188"/>
        <v>12.00441208512502</v>
      </c>
      <c r="AP323" s="13">
        <f t="shared" si="189"/>
        <v>10.611590832055779</v>
      </c>
      <c r="AQ323" s="13">
        <f t="shared" si="190"/>
        <v>16.207355609759773</v>
      </c>
      <c r="AR323" s="13">
        <f t="shared" si="191"/>
        <v>7.9021009425289668</v>
      </c>
      <c r="AS323" s="13">
        <f t="shared" si="192"/>
        <v>12.63752639873714</v>
      </c>
      <c r="AT323" s="13">
        <f t="shared" si="193"/>
        <v>12.803755647575873</v>
      </c>
      <c r="AU323" s="9">
        <v>0</v>
      </c>
      <c r="AV323" s="18">
        <f t="shared" si="210"/>
        <v>2</v>
      </c>
      <c r="AW323" s="18">
        <f t="shared" si="211"/>
        <v>6</v>
      </c>
      <c r="AX323" s="18">
        <f t="shared" si="212"/>
        <v>5</v>
      </c>
      <c r="AY323" s="18">
        <f t="shared" si="213"/>
        <v>7</v>
      </c>
      <c r="AZ323" s="18">
        <f t="shared" si="214"/>
        <v>1</v>
      </c>
      <c r="BA323" s="18">
        <f t="shared" si="215"/>
        <v>8</v>
      </c>
      <c r="BB323" s="18">
        <f t="shared" si="216"/>
        <v>4</v>
      </c>
      <c r="BC323" s="18">
        <f t="shared" si="217"/>
        <v>3</v>
      </c>
      <c r="BD323" s="18">
        <f t="shared" si="218"/>
        <v>9</v>
      </c>
      <c r="BE323" s="8">
        <f t="shared" si="185"/>
        <v>2.3545475721576488E-4</v>
      </c>
    </row>
    <row r="324" spans="1:57" x14ac:dyDescent="0.25">
      <c r="A324" t="str">
        <f t="shared" ref="A324:A387" si="219">+IF(MONTH(B324)&lt;&gt;MONTH(B325),"Y","")</f>
        <v/>
      </c>
      <c r="B324" s="1">
        <v>43209</v>
      </c>
      <c r="C324" s="9">
        <f t="shared" si="194"/>
        <v>0.24784683431933366</v>
      </c>
      <c r="D324" s="9">
        <f t="shared" si="195"/>
        <v>0.24568961237984624</v>
      </c>
      <c r="E324" s="9">
        <f t="shared" si="196"/>
        <v>0</v>
      </c>
      <c r="F324" s="9">
        <f t="shared" si="197"/>
        <v>0</v>
      </c>
      <c r="G324" s="9">
        <f t="shared" si="198"/>
        <v>0.25583007261598439</v>
      </c>
      <c r="H324" s="9">
        <f t="shared" si="199"/>
        <v>0</v>
      </c>
      <c r="I324" s="9">
        <f t="shared" si="200"/>
        <v>0</v>
      </c>
      <c r="J324" s="9">
        <f t="shared" si="201"/>
        <v>0.25063348068483571</v>
      </c>
      <c r="K324" s="9">
        <v>0</v>
      </c>
      <c r="L324" s="8">
        <f>+VLOOKUP($B324,NIFTY_50!$B$3:$I$1238,8,0)</f>
        <v>3.7145408599492669E-3</v>
      </c>
      <c r="M324" s="8">
        <f>+VLOOKUP($B324,NIFTY_BANK!$B$3:$I$41238,8,0)</f>
        <v>9.5011214111861975E-4</v>
      </c>
      <c r="N324" s="8">
        <f>+VLOOKUP($B324,NIFTY_IT!$B$3:$I$1238,8,0)</f>
        <v>1.1387534288326728E-2</v>
      </c>
      <c r="O324" s="8">
        <f>+VLOOKUP($B324,NIFTY_PHARMA!$B$3:$I$1238,8,0)</f>
        <v>4.5221843003413476E-3</v>
      </c>
      <c r="P324" s="8">
        <f>+VLOOKUP($B324,NIFTY_FMCG!$B$3:$I$1238,8,0)</f>
        <v>5.5805702639661892E-3</v>
      </c>
      <c r="Q324" s="8">
        <f>+VLOOKUP($B324,NIFTY_METAL!$B$3:$I$1238,8,0)</f>
        <v>4.5233968804159419E-2</v>
      </c>
      <c r="R324" s="8">
        <f>+VLOOKUP($B324,NIFTY_ENERGY!$B$3:$I$1238,8,0)</f>
        <v>-3.8295573192369536E-3</v>
      </c>
      <c r="S324" s="8">
        <f>+VLOOKUP($B324,NIFTY_AUTO!$B$3:$I$1238,8,0)</f>
        <v>1.7394276100177741E-3</v>
      </c>
      <c r="T324" s="8">
        <v>0</v>
      </c>
      <c r="U324" s="8">
        <f>+VLOOKUP($B324,NIFTY_50!$B$63:$K$1238,10,0)</f>
        <v>-2.0693234957431694E-2</v>
      </c>
      <c r="V324" s="8">
        <f>+VLOOKUP($B324,NIFTY_BANK!$B$63:$K$1238,10,0)</f>
        <v>-4.4236965130034722E-2</v>
      </c>
      <c r="W324" s="8">
        <f>+VLOOKUP($B324,NIFTY_IT!$B$63:$K$1238,10,0)</f>
        <v>5.9215251288762705E-2</v>
      </c>
      <c r="X324" s="8">
        <f>+VLOOKUP($B324,NIFTY_PHARMA!$B$63:$K$1238,10,0)</f>
        <v>-9.385486900033857E-2</v>
      </c>
      <c r="Y324" s="8">
        <f>+VLOOKUP($B324,NIFTY_FMCG!$B$63:$K$1238,10,0)</f>
        <v>4.1725288641973002E-2</v>
      </c>
      <c r="Z324" s="8">
        <f>+VLOOKUP($B324,NIFTY_METAL!$B$63:$K$1238,10,0)</f>
        <v>-4.7964251454105988E-2</v>
      </c>
      <c r="AA324" s="8">
        <f>+VLOOKUP($B324,NIFTY_ENERGY!$B$63:$K$1238,10,0)</f>
        <v>-3.5160545511762065E-2</v>
      </c>
      <c r="AB324" s="8">
        <f>+VLOOKUP($B324,NIFTY_AUTO!$B$63:$K$1238,10,0)</f>
        <v>-2.231753416690907E-2</v>
      </c>
      <c r="AC324" s="8"/>
      <c r="AD324" s="16">
        <f t="shared" si="202"/>
        <v>6.4066229217379742E-2</v>
      </c>
      <c r="AE324" s="8">
        <f t="shared" si="203"/>
        <v>8.3038900485465694E-2</v>
      </c>
      <c r="AF324" s="8">
        <f t="shared" si="204"/>
        <v>8.3649747738777369E-2</v>
      </c>
      <c r="AG324" s="8">
        <f t="shared" si="205"/>
        <v>9.3378473644383508E-2</v>
      </c>
      <c r="AH324" s="8">
        <f t="shared" si="206"/>
        <v>6.1636321605548598E-2</v>
      </c>
      <c r="AI324" s="8">
        <f t="shared" si="207"/>
        <v>0.13425615523762319</v>
      </c>
      <c r="AJ324" s="8">
        <f t="shared" si="208"/>
        <v>7.914291226615712E-2</v>
      </c>
      <c r="AK324" s="8">
        <f t="shared" si="209"/>
        <v>7.8011351100258211E-2</v>
      </c>
      <c r="AL324" s="9">
        <v>0</v>
      </c>
      <c r="AM324" s="17">
        <f t="shared" si="186"/>
        <v>15.608847472620134</v>
      </c>
      <c r="AN324" s="13">
        <f t="shared" si="187"/>
        <v>12.042548662780405</v>
      </c>
      <c r="AO324" s="13">
        <f t="shared" si="188"/>
        <v>11.954608675244478</v>
      </c>
      <c r="AP324" s="13">
        <f t="shared" si="189"/>
        <v>10.709106295829324</v>
      </c>
      <c r="AQ324" s="13">
        <f t="shared" si="190"/>
        <v>16.224199854099965</v>
      </c>
      <c r="AR324" s="13">
        <f t="shared" si="191"/>
        <v>7.4484480672791209</v>
      </c>
      <c r="AS324" s="13">
        <f t="shared" si="192"/>
        <v>12.635370260788562</v>
      </c>
      <c r="AT324" s="13">
        <f t="shared" si="193"/>
        <v>12.818647362161762</v>
      </c>
      <c r="AU324" s="9">
        <v>0</v>
      </c>
      <c r="AV324" s="18">
        <f t="shared" si="210"/>
        <v>2</v>
      </c>
      <c r="AW324" s="18">
        <f t="shared" si="211"/>
        <v>5</v>
      </c>
      <c r="AX324" s="18">
        <f t="shared" si="212"/>
        <v>6</v>
      </c>
      <c r="AY324" s="18">
        <f t="shared" si="213"/>
        <v>7</v>
      </c>
      <c r="AZ324" s="18">
        <f t="shared" si="214"/>
        <v>1</v>
      </c>
      <c r="BA324" s="18">
        <f t="shared" si="215"/>
        <v>8</v>
      </c>
      <c r="BB324" s="18">
        <f t="shared" si="216"/>
        <v>4</v>
      </c>
      <c r="BC324" s="18">
        <f t="shared" si="217"/>
        <v>3</v>
      </c>
      <c r="BD324" s="18">
        <f t="shared" si="218"/>
        <v>9</v>
      </c>
      <c r="BE324" s="8">
        <f t="shared" ref="BE324:BE387" si="220">+SUMPRODUCT(C323:J323,L324:S324)</f>
        <v>3.014457303820898E-3</v>
      </c>
    </row>
    <row r="325" spans="1:57" x14ac:dyDescent="0.25">
      <c r="A325" t="str">
        <f t="shared" si="219"/>
        <v/>
      </c>
      <c r="B325" s="1">
        <v>43210</v>
      </c>
      <c r="C325" s="9">
        <f t="shared" si="194"/>
        <v>0.24836189635587974</v>
      </c>
      <c r="D325" s="9">
        <f t="shared" si="195"/>
        <v>0.24444283363696023</v>
      </c>
      <c r="E325" s="9">
        <f t="shared" si="196"/>
        <v>0</v>
      </c>
      <c r="F325" s="9">
        <f t="shared" si="197"/>
        <v>0</v>
      </c>
      <c r="G325" s="9">
        <f t="shared" si="198"/>
        <v>0.2558255489872745</v>
      </c>
      <c r="H325" s="9">
        <f t="shared" si="199"/>
        <v>0</v>
      </c>
      <c r="I325" s="9">
        <f t="shared" si="200"/>
        <v>0</v>
      </c>
      <c r="J325" s="9">
        <f t="shared" si="201"/>
        <v>0.25136972101988553</v>
      </c>
      <c r="K325" s="9">
        <v>0</v>
      </c>
      <c r="L325" s="8">
        <f>+VLOOKUP($B325,NIFTY_50!$B$3:$I$1238,8,0)</f>
        <v>-1.1831183212973606E-4</v>
      </c>
      <c r="M325" s="8">
        <f>+VLOOKUP($B325,NIFTY_BANK!$B$3:$I$41238,8,0)</f>
        <v>-7.2553893055642416E-3</v>
      </c>
      <c r="N325" s="8">
        <f>+VLOOKUP($B325,NIFTY_IT!$B$3:$I$1238,8,0)</f>
        <v>4.7983003665211355E-2</v>
      </c>
      <c r="O325" s="8">
        <f>+VLOOKUP($B325,NIFTY_PHARMA!$B$3:$I$1238,8,0)</f>
        <v>-1.1268722217504523E-3</v>
      </c>
      <c r="P325" s="8">
        <f>+VLOOKUP($B325,NIFTY_FMCG!$B$3:$I$1238,8,0)</f>
        <v>-2.2095466613660797E-3</v>
      </c>
      <c r="Q325" s="8">
        <f>+VLOOKUP($B325,NIFTY_METAL!$B$3:$I$1238,8,0)</f>
        <v>-7.3211484254429582E-3</v>
      </c>
      <c r="R325" s="8">
        <f>+VLOOKUP($B325,NIFTY_ENERGY!$B$3:$I$1238,8,0)</f>
        <v>-1.2254785193111739E-2</v>
      </c>
      <c r="S325" s="8">
        <f>+VLOOKUP($B325,NIFTY_AUTO!$B$3:$I$1238,8,0)</f>
        <v>7.3917588449612381E-4</v>
      </c>
      <c r="T325" s="8">
        <v>0</v>
      </c>
      <c r="U325" s="8">
        <f>+VLOOKUP($B325,NIFTY_50!$B$63:$K$1238,10,0)</f>
        <v>-2.3384487380974428E-2</v>
      </c>
      <c r="V325" s="8">
        <f>+VLOOKUP($B325,NIFTY_BANK!$B$63:$K$1238,10,0)</f>
        <v>-6.0049213562745507E-2</v>
      </c>
      <c r="W325" s="8">
        <f>+VLOOKUP($B325,NIFTY_IT!$B$63:$K$1238,10,0)</f>
        <v>0.10656924435393411</v>
      </c>
      <c r="X325" s="8">
        <f>+VLOOKUP($B325,NIFTY_PHARMA!$B$63:$K$1238,10,0)</f>
        <v>-8.3795168520067298E-2</v>
      </c>
      <c r="Y325" s="8">
        <f>+VLOOKUP($B325,NIFTY_FMCG!$B$63:$K$1238,10,0)</f>
        <v>2.7903473216358998E-2</v>
      </c>
      <c r="Z325" s="8">
        <f>+VLOOKUP($B325,NIFTY_METAL!$B$63:$K$1238,10,0)</f>
        <v>-2.6857721594958583E-2</v>
      </c>
      <c r="AA325" s="8">
        <f>+VLOOKUP($B325,NIFTY_ENERGY!$B$63:$K$1238,10,0)</f>
        <v>-3.6966502903081677E-2</v>
      </c>
      <c r="AB325" s="8">
        <f>+VLOOKUP($B325,NIFTY_AUTO!$B$63:$K$1238,10,0)</f>
        <v>-1.9036022671731545E-2</v>
      </c>
      <c r="AC325" s="8"/>
      <c r="AD325" s="16">
        <f t="shared" si="202"/>
        <v>6.3997766239828682E-2</v>
      </c>
      <c r="AE325" s="8">
        <f t="shared" si="203"/>
        <v>8.2652543578376286E-2</v>
      </c>
      <c r="AF325" s="8">
        <f t="shared" si="204"/>
        <v>9.5744867257934019E-2</v>
      </c>
      <c r="AG325" s="8">
        <f t="shared" si="205"/>
        <v>9.2770776049980463E-2</v>
      </c>
      <c r="AH325" s="8">
        <f t="shared" si="206"/>
        <v>6.0779802263590879E-2</v>
      </c>
      <c r="AI325" s="8">
        <f t="shared" si="207"/>
        <v>0.13140266105473655</v>
      </c>
      <c r="AJ325" s="8">
        <f t="shared" si="208"/>
        <v>7.9394773879132838E-2</v>
      </c>
      <c r="AK325" s="8">
        <f t="shared" si="209"/>
        <v>7.7983789367984488E-2</v>
      </c>
      <c r="AL325" s="9">
        <v>0</v>
      </c>
      <c r="AM325" s="17">
        <f t="shared" si="186"/>
        <v>15.625545370639125</v>
      </c>
      <c r="AN325" s="13">
        <f t="shared" si="187"/>
        <v>12.098841205676118</v>
      </c>
      <c r="AO325" s="13">
        <f t="shared" si="188"/>
        <v>10.444424110025947</v>
      </c>
      <c r="AP325" s="13">
        <f t="shared" si="189"/>
        <v>10.779256599742657</v>
      </c>
      <c r="AQ325" s="13">
        <f t="shared" si="190"/>
        <v>16.452834046138928</v>
      </c>
      <c r="AR325" s="13">
        <f t="shared" si="191"/>
        <v>7.6101959577777816</v>
      </c>
      <c r="AS325" s="13">
        <f t="shared" si="192"/>
        <v>12.595287462149042</v>
      </c>
      <c r="AT325" s="13">
        <f t="shared" si="193"/>
        <v>12.823177843811481</v>
      </c>
      <c r="AU325" s="9">
        <v>0</v>
      </c>
      <c r="AV325" s="18">
        <f t="shared" si="210"/>
        <v>2</v>
      </c>
      <c r="AW325" s="18">
        <f t="shared" si="211"/>
        <v>5</v>
      </c>
      <c r="AX325" s="18">
        <f t="shared" si="212"/>
        <v>7</v>
      </c>
      <c r="AY325" s="18">
        <f t="shared" si="213"/>
        <v>6</v>
      </c>
      <c r="AZ325" s="18">
        <f t="shared" si="214"/>
        <v>1</v>
      </c>
      <c r="BA325" s="18">
        <f t="shared" si="215"/>
        <v>8</v>
      </c>
      <c r="BB325" s="18">
        <f t="shared" si="216"/>
        <v>4</v>
      </c>
      <c r="BC325" s="18">
        <f t="shared" si="217"/>
        <v>3</v>
      </c>
      <c r="BD325" s="18">
        <f t="shared" si="218"/>
        <v>9</v>
      </c>
      <c r="BE325" s="8">
        <f t="shared" si="220"/>
        <v>-2.1919032572609706E-3</v>
      </c>
    </row>
    <row r="326" spans="1:57" x14ac:dyDescent="0.25">
      <c r="A326" t="str">
        <f t="shared" si="219"/>
        <v/>
      </c>
      <c r="B326" s="1">
        <v>43213</v>
      </c>
      <c r="C326" s="9">
        <f t="shared" si="194"/>
        <v>0.24857501159998716</v>
      </c>
      <c r="D326" s="9">
        <f t="shared" si="195"/>
        <v>0.24433974128972799</v>
      </c>
      <c r="E326" s="9">
        <f t="shared" si="196"/>
        <v>0</v>
      </c>
      <c r="F326" s="9">
        <f t="shared" si="197"/>
        <v>0</v>
      </c>
      <c r="G326" s="9">
        <f t="shared" si="198"/>
        <v>0.25473738808958196</v>
      </c>
      <c r="H326" s="9">
        <f t="shared" si="199"/>
        <v>0</v>
      </c>
      <c r="I326" s="9">
        <f t="shared" si="200"/>
        <v>0</v>
      </c>
      <c r="J326" s="9">
        <f t="shared" si="201"/>
        <v>0.25234785902070284</v>
      </c>
      <c r="K326" s="9">
        <v>0</v>
      </c>
      <c r="L326" s="8">
        <f>+VLOOKUP($B326,NIFTY_50!$B$3:$I$1238,8,0)</f>
        <v>1.9547427359773994E-3</v>
      </c>
      <c r="M326" s="8">
        <f>+VLOOKUP($B326,NIFTY_BANK!$B$3:$I$41238,8,0)</f>
        <v>6.7351270954585374E-4</v>
      </c>
      <c r="N326" s="8">
        <f>+VLOOKUP($B326,NIFTY_IT!$B$3:$I$1238,8,0)</f>
        <v>7.4476918265895531E-3</v>
      </c>
      <c r="O326" s="8">
        <f>+VLOOKUP($B326,NIFTY_PHARMA!$B$3:$I$1238,8,0)</f>
        <v>1.4750901380983672E-2</v>
      </c>
      <c r="P326" s="8">
        <f>+VLOOKUP($B326,NIFTY_FMCG!$B$3:$I$1238,8,0)</f>
        <v>-3.1624687177060906E-3</v>
      </c>
      <c r="Q326" s="8">
        <f>+VLOOKUP($B326,NIFTY_METAL!$B$3:$I$1238,8,0)</f>
        <v>-7.6835112875662803E-3</v>
      </c>
      <c r="R326" s="8">
        <f>+VLOOKUP($B326,NIFTY_ENERGY!$B$3:$I$1238,8,0)</f>
        <v>6.0995291786782868E-3</v>
      </c>
      <c r="S326" s="8">
        <f>+VLOOKUP($B326,NIFTY_AUTO!$B$3:$I$1238,8,0)</f>
        <v>4.9912151117561532E-3</v>
      </c>
      <c r="T326" s="8">
        <v>0</v>
      </c>
      <c r="U326" s="8">
        <f>+VLOOKUP($B326,NIFTY_50!$B$63:$K$1238,10,0)</f>
        <v>-2.8454202502134041E-2</v>
      </c>
      <c r="V326" s="8">
        <f>+VLOOKUP($B326,NIFTY_BANK!$B$63:$K$1238,10,0)</f>
        <v>-7.2422378713837054E-2</v>
      </c>
      <c r="W326" s="8">
        <f>+VLOOKUP($B326,NIFTY_IT!$B$63:$K$1238,10,0)</f>
        <v>0.10923827653486473</v>
      </c>
      <c r="X326" s="8">
        <f>+VLOOKUP($B326,NIFTY_PHARMA!$B$63:$K$1238,10,0)</f>
        <v>-7.1375210110191101E-2</v>
      </c>
      <c r="Y326" s="8">
        <f>+VLOOKUP($B326,NIFTY_FMCG!$B$63:$K$1238,10,0)</f>
        <v>1.8350407564750704E-2</v>
      </c>
      <c r="Z326" s="8">
        <f>+VLOOKUP($B326,NIFTY_METAL!$B$63:$K$1238,10,0)</f>
        <v>-4.2606733772995509E-2</v>
      </c>
      <c r="AA326" s="8">
        <f>+VLOOKUP($B326,NIFTY_ENERGY!$B$63:$K$1238,10,0)</f>
        <v>-4.0306198285686046E-2</v>
      </c>
      <c r="AB326" s="8">
        <f>+VLOOKUP($B326,NIFTY_AUTO!$B$63:$K$1238,10,0)</f>
        <v>-1.5444164229654223E-2</v>
      </c>
      <c r="AC326" s="8"/>
      <c r="AD326" s="16">
        <f t="shared" si="202"/>
        <v>6.3590765405935376E-2</v>
      </c>
      <c r="AE326" s="8">
        <f t="shared" si="203"/>
        <v>8.12820596578544E-2</v>
      </c>
      <c r="AF326" s="8">
        <f t="shared" si="204"/>
        <v>9.5858221555014375E-2</v>
      </c>
      <c r="AG326" s="8">
        <f t="shared" si="205"/>
        <v>9.4109537674462215E-2</v>
      </c>
      <c r="AH326" s="8">
        <f t="shared" si="206"/>
        <v>6.0609040138654091E-2</v>
      </c>
      <c r="AI326" s="8">
        <f t="shared" si="207"/>
        <v>0.13128864679405572</v>
      </c>
      <c r="AJ326" s="8">
        <f t="shared" si="208"/>
        <v>7.9021517846559461E-2</v>
      </c>
      <c r="AK326" s="8">
        <f t="shared" si="209"/>
        <v>7.81431490024911E-2</v>
      </c>
      <c r="AL326" s="9">
        <v>0</v>
      </c>
      <c r="AM326" s="17">
        <f t="shared" si="186"/>
        <v>15.725553759519034</v>
      </c>
      <c r="AN326" s="13">
        <f t="shared" si="187"/>
        <v>12.302837848959067</v>
      </c>
      <c r="AO326" s="13">
        <f t="shared" si="188"/>
        <v>10.43207336603972</v>
      </c>
      <c r="AP326" s="13">
        <f t="shared" si="189"/>
        <v>10.625915552354927</v>
      </c>
      <c r="AQ326" s="13">
        <f t="shared" si="190"/>
        <v>16.499188862128818</v>
      </c>
      <c r="AR326" s="13">
        <f t="shared" si="191"/>
        <v>7.6168048374254127</v>
      </c>
      <c r="AS326" s="13">
        <f t="shared" si="192"/>
        <v>12.654780966644509</v>
      </c>
      <c r="AT326" s="13">
        <f t="shared" si="193"/>
        <v>12.797027158044544</v>
      </c>
      <c r="AU326" s="9">
        <v>0</v>
      </c>
      <c r="AV326" s="18">
        <f t="shared" si="210"/>
        <v>2</v>
      </c>
      <c r="AW326" s="18">
        <f t="shared" si="211"/>
        <v>5</v>
      </c>
      <c r="AX326" s="18">
        <f t="shared" si="212"/>
        <v>7</v>
      </c>
      <c r="AY326" s="18">
        <f t="shared" si="213"/>
        <v>6</v>
      </c>
      <c r="AZ326" s="18">
        <f t="shared" si="214"/>
        <v>1</v>
      </c>
      <c r="BA326" s="18">
        <f t="shared" si="215"/>
        <v>8</v>
      </c>
      <c r="BB326" s="18">
        <f t="shared" si="216"/>
        <v>4</v>
      </c>
      <c r="BC326" s="18">
        <f t="shared" si="217"/>
        <v>3</v>
      </c>
      <c r="BD326" s="18">
        <f t="shared" si="218"/>
        <v>9</v>
      </c>
      <c r="BE326" s="8">
        <f t="shared" si="220"/>
        <v>1.0957190223372616E-3</v>
      </c>
    </row>
    <row r="327" spans="1:57" x14ac:dyDescent="0.25">
      <c r="A327" t="str">
        <f t="shared" si="219"/>
        <v/>
      </c>
      <c r="B327" s="1">
        <v>43214</v>
      </c>
      <c r="C327" s="9">
        <f t="shared" si="194"/>
        <v>0.2486333043663681</v>
      </c>
      <c r="D327" s="9">
        <f t="shared" si="195"/>
        <v>0.24450961813931146</v>
      </c>
      <c r="E327" s="9">
        <f t="shared" si="196"/>
        <v>0</v>
      </c>
      <c r="F327" s="9">
        <f t="shared" si="197"/>
        <v>0</v>
      </c>
      <c r="G327" s="9">
        <f t="shared" si="198"/>
        <v>0.25459904335392103</v>
      </c>
      <c r="H327" s="9">
        <f t="shared" si="199"/>
        <v>0</v>
      </c>
      <c r="I327" s="9">
        <f t="shared" si="200"/>
        <v>0</v>
      </c>
      <c r="J327" s="9">
        <f t="shared" si="201"/>
        <v>0.2522580341403996</v>
      </c>
      <c r="K327" s="9">
        <v>0</v>
      </c>
      <c r="L327" s="8">
        <f>+VLOOKUP($B327,NIFTY_50!$B$3:$I$1238,8,0)</f>
        <v>2.8012130716978945E-3</v>
      </c>
      <c r="M327" s="8">
        <f>+VLOOKUP($B327,NIFTY_BANK!$B$3:$I$41238,8,0)</f>
        <v>3.2631361763415523E-3</v>
      </c>
      <c r="N327" s="8">
        <f>+VLOOKUP($B327,NIFTY_IT!$B$3:$I$1238,8,0)</f>
        <v>-1.9919437417716068E-2</v>
      </c>
      <c r="O327" s="8">
        <f>+VLOOKUP($B327,NIFTY_PHARMA!$B$3:$I$1238,8,0)</f>
        <v>3.8268584006524442E-3</v>
      </c>
      <c r="P327" s="8">
        <f>+VLOOKUP($B327,NIFTY_FMCG!$B$3:$I$1238,8,0)</f>
        <v>2.0216222581859178E-3</v>
      </c>
      <c r="Q327" s="8">
        <f>+VLOOKUP($B327,NIFTY_METAL!$B$3:$I$1238,8,0)</f>
        <v>-1.9150341184239528E-2</v>
      </c>
      <c r="R327" s="8">
        <f>+VLOOKUP($B327,NIFTY_ENERGY!$B$3:$I$1238,8,0)</f>
        <v>2.0883347530912033E-2</v>
      </c>
      <c r="S327" s="8">
        <f>+VLOOKUP($B327,NIFTY_AUTO!$B$3:$I$1238,8,0)</f>
        <v>2.2092335525170093E-3</v>
      </c>
      <c r="T327" s="8">
        <v>0</v>
      </c>
      <c r="U327" s="8">
        <f>+VLOOKUP($B327,NIFTY_50!$B$63:$K$1238,10,0)</f>
        <v>-3.2084951943243789E-2</v>
      </c>
      <c r="V327" s="8">
        <f>+VLOOKUP($B327,NIFTY_BANK!$B$63:$K$1238,10,0)</f>
        <v>-7.3927932192358381E-2</v>
      </c>
      <c r="W327" s="8">
        <f>+VLOOKUP($B327,NIFTY_IT!$B$63:$K$1238,10,0)</f>
        <v>6.5130147848576181E-2</v>
      </c>
      <c r="X327" s="8">
        <f>+VLOOKUP($B327,NIFTY_PHARMA!$B$63:$K$1238,10,0)</f>
        <v>-6.9462857853088589E-2</v>
      </c>
      <c r="Y327" s="8">
        <f>+VLOOKUP($B327,NIFTY_FMCG!$B$63:$K$1238,10,0)</f>
        <v>1.7058615787233666E-2</v>
      </c>
      <c r="Z327" s="8">
        <f>+VLOOKUP($B327,NIFTY_METAL!$B$63:$K$1238,10,0)</f>
        <v>-5.455362380340234E-2</v>
      </c>
      <c r="AA327" s="8">
        <f>+VLOOKUP($B327,NIFTY_ENERGY!$B$63:$K$1238,10,0)</f>
        <v>-3.9424284693162392E-2</v>
      </c>
      <c r="AB327" s="8">
        <f>+VLOOKUP($B327,NIFTY_AUTO!$B$63:$K$1238,10,0)</f>
        <v>-1.4391596847106891E-2</v>
      </c>
      <c r="AC327" s="8"/>
      <c r="AD327" s="16">
        <f t="shared" si="202"/>
        <v>6.3285226363407013E-2</v>
      </c>
      <c r="AE327" s="8">
        <f t="shared" si="203"/>
        <v>8.1176249372802989E-2</v>
      </c>
      <c r="AF327" s="8">
        <f t="shared" si="204"/>
        <v>9.630993847729416E-2</v>
      </c>
      <c r="AG327" s="8">
        <f t="shared" si="205"/>
        <v>9.4195415777133154E-2</v>
      </c>
      <c r="AH327" s="8">
        <f t="shared" si="206"/>
        <v>6.0559879221681989E-2</v>
      </c>
      <c r="AI327" s="8">
        <f t="shared" si="207"/>
        <v>0.132442735803739</v>
      </c>
      <c r="AJ327" s="8">
        <f t="shared" si="208"/>
        <v>7.9270562791476595E-2</v>
      </c>
      <c r="AK327" s="8">
        <f t="shared" si="209"/>
        <v>7.8168761016982433E-2</v>
      </c>
      <c r="AL327" s="9">
        <v>0</v>
      </c>
      <c r="AM327" s="17">
        <f t="shared" si="186"/>
        <v>15.801476228553449</v>
      </c>
      <c r="AN327" s="13">
        <f t="shared" si="187"/>
        <v>12.31887415009145</v>
      </c>
      <c r="AO327" s="13">
        <f t="shared" si="188"/>
        <v>10.383144416977879</v>
      </c>
      <c r="AP327" s="13">
        <f t="shared" si="189"/>
        <v>10.616227889115169</v>
      </c>
      <c r="AQ327" s="13">
        <f t="shared" si="190"/>
        <v>16.512582469648887</v>
      </c>
      <c r="AR327" s="13">
        <f t="shared" si="191"/>
        <v>7.5504329771763059</v>
      </c>
      <c r="AS327" s="13">
        <f t="shared" si="192"/>
        <v>12.615023342656562</v>
      </c>
      <c r="AT327" s="13">
        <f t="shared" si="193"/>
        <v>12.792834208831154</v>
      </c>
      <c r="AU327" s="9">
        <v>0</v>
      </c>
      <c r="AV327" s="18">
        <f t="shared" si="210"/>
        <v>2</v>
      </c>
      <c r="AW327" s="18">
        <f t="shared" si="211"/>
        <v>5</v>
      </c>
      <c r="AX327" s="18">
        <f t="shared" si="212"/>
        <v>7</v>
      </c>
      <c r="AY327" s="18">
        <f t="shared" si="213"/>
        <v>6</v>
      </c>
      <c r="AZ327" s="18">
        <f t="shared" si="214"/>
        <v>1</v>
      </c>
      <c r="BA327" s="18">
        <f t="shared" si="215"/>
        <v>8</v>
      </c>
      <c r="BB327" s="18">
        <f t="shared" si="216"/>
        <v>4</v>
      </c>
      <c r="BC327" s="18">
        <f t="shared" si="217"/>
        <v>3</v>
      </c>
      <c r="BD327" s="18">
        <f t="shared" si="218"/>
        <v>9</v>
      </c>
      <c r="BE327" s="8">
        <f t="shared" si="220"/>
        <v>2.5661035517201992E-3</v>
      </c>
    </row>
    <row r="328" spans="1:57" x14ac:dyDescent="0.25">
      <c r="A328" t="str">
        <f t="shared" si="219"/>
        <v/>
      </c>
      <c r="B328" s="1">
        <v>43215</v>
      </c>
      <c r="C328" s="9">
        <f t="shared" si="194"/>
        <v>0.24866718992631143</v>
      </c>
      <c r="D328" s="9">
        <f t="shared" si="195"/>
        <v>0.24332346066079552</v>
      </c>
      <c r="E328" s="9">
        <f t="shared" si="196"/>
        <v>0</v>
      </c>
      <c r="F328" s="9">
        <f t="shared" si="197"/>
        <v>0</v>
      </c>
      <c r="G328" s="9">
        <f t="shared" si="198"/>
        <v>0.25509147578094654</v>
      </c>
      <c r="H328" s="9">
        <f t="shared" si="199"/>
        <v>0</v>
      </c>
      <c r="I328" s="9">
        <f t="shared" si="200"/>
        <v>0</v>
      </c>
      <c r="J328" s="9">
        <f t="shared" si="201"/>
        <v>0.25291787363194651</v>
      </c>
      <c r="K328" s="9">
        <v>0</v>
      </c>
      <c r="L328" s="8">
        <f>+VLOOKUP($B328,NIFTY_50!$B$3:$I$1238,8,0)</f>
        <v>-4.1264891397024828E-3</v>
      </c>
      <c r="M328" s="8">
        <f>+VLOOKUP($B328,NIFTY_BANK!$B$3:$I$41238,8,0)</f>
        <v>-9.0926879135534433E-3</v>
      </c>
      <c r="N328" s="8">
        <f>+VLOOKUP($B328,NIFTY_IT!$B$3:$I$1238,8,0)</f>
        <v>1.1474502723010094E-2</v>
      </c>
      <c r="O328" s="8">
        <f>+VLOOKUP($B328,NIFTY_PHARMA!$B$3:$I$1238,8,0)</f>
        <v>-9.2384922335446706E-3</v>
      </c>
      <c r="P328" s="8">
        <f>+VLOOKUP($B328,NIFTY_FMCG!$B$3:$I$1238,8,0)</f>
        <v>-2.3362904977795029E-3</v>
      </c>
      <c r="Q328" s="8">
        <f>+VLOOKUP($B328,NIFTY_METAL!$B$3:$I$1238,8,0)</f>
        <v>-1.3570598796071365E-2</v>
      </c>
      <c r="R328" s="8">
        <f>+VLOOKUP($B328,NIFTY_ENERGY!$B$3:$I$1238,8,0)</f>
        <v>-4.1143492898321199E-3</v>
      </c>
      <c r="S328" s="8">
        <f>+VLOOKUP($B328,NIFTY_AUTO!$B$3:$I$1238,8,0)</f>
        <v>-1.6576119972923076E-3</v>
      </c>
      <c r="T328" s="8">
        <v>0</v>
      </c>
      <c r="U328" s="8">
        <f>+VLOOKUP($B328,NIFTY_50!$B$63:$K$1238,10,0)</f>
        <v>-4.6297716466523031E-2</v>
      </c>
      <c r="V328" s="8">
        <f>+VLOOKUP($B328,NIFTY_BANK!$B$63:$K$1238,10,0)</f>
        <v>-9.4054164567406229E-2</v>
      </c>
      <c r="W328" s="8">
        <f>+VLOOKUP($B328,NIFTY_IT!$B$63:$K$1238,10,0)</f>
        <v>6.464146403145099E-2</v>
      </c>
      <c r="X328" s="8">
        <f>+VLOOKUP($B328,NIFTY_PHARMA!$B$63:$K$1238,10,0)</f>
        <v>-8.8678549855128797E-2</v>
      </c>
      <c r="Y328" s="8">
        <f>+VLOOKUP($B328,NIFTY_FMCG!$B$63:$K$1238,10,0)</f>
        <v>9.0647282472635649E-3</v>
      </c>
      <c r="Z328" s="8">
        <f>+VLOOKUP($B328,NIFTY_METAL!$B$63:$K$1238,10,0)</f>
        <v>-0.1038138642360279</v>
      </c>
      <c r="AA328" s="8">
        <f>+VLOOKUP($B328,NIFTY_ENERGY!$B$63:$K$1238,10,0)</f>
        <v>-5.5621970644150198E-2</v>
      </c>
      <c r="AB328" s="8">
        <f>+VLOOKUP($B328,NIFTY_AUTO!$B$63:$K$1238,10,0)</f>
        <v>-1.8958194750038349E-2</v>
      </c>
      <c r="AC328" s="8"/>
      <c r="AD328" s="16">
        <f t="shared" si="202"/>
        <v>6.2359782334972129E-2</v>
      </c>
      <c r="AE328" s="8">
        <f t="shared" si="203"/>
        <v>8.0276663905244641E-2</v>
      </c>
      <c r="AF328" s="8">
        <f t="shared" si="204"/>
        <v>9.6258825259861236E-2</v>
      </c>
      <c r="AG328" s="8">
        <f t="shared" si="205"/>
        <v>9.3642615656403375E-2</v>
      </c>
      <c r="AH328" s="8">
        <f t="shared" si="206"/>
        <v>6.0380430029887466E-2</v>
      </c>
      <c r="AI328" s="8">
        <f t="shared" si="207"/>
        <v>0.12625551550415204</v>
      </c>
      <c r="AJ328" s="8">
        <f t="shared" si="208"/>
        <v>7.8147789598981915E-2</v>
      </c>
      <c r="AK328" s="8">
        <f t="shared" si="209"/>
        <v>7.8115746665415015E-2</v>
      </c>
      <c r="AL328" s="9">
        <v>0</v>
      </c>
      <c r="AM328" s="17">
        <f t="shared" si="186"/>
        <v>16.035976434753969</v>
      </c>
      <c r="AN328" s="13">
        <f t="shared" si="187"/>
        <v>12.456920247462699</v>
      </c>
      <c r="AO328" s="13">
        <f t="shared" si="188"/>
        <v>10.388657843064161</v>
      </c>
      <c r="AP328" s="13">
        <f t="shared" si="189"/>
        <v>10.678898629543129</v>
      </c>
      <c r="AQ328" s="13">
        <f t="shared" si="190"/>
        <v>16.561657469233229</v>
      </c>
      <c r="AR328" s="13">
        <f t="shared" si="191"/>
        <v>7.9204460574010644</v>
      </c>
      <c r="AS328" s="13">
        <f t="shared" si="192"/>
        <v>12.796267240974244</v>
      </c>
      <c r="AT328" s="13">
        <f t="shared" si="193"/>
        <v>12.801516245926639</v>
      </c>
      <c r="AU328" s="9">
        <v>0</v>
      </c>
      <c r="AV328" s="18">
        <f t="shared" si="210"/>
        <v>2</v>
      </c>
      <c r="AW328" s="18">
        <f t="shared" si="211"/>
        <v>5</v>
      </c>
      <c r="AX328" s="18">
        <f t="shared" si="212"/>
        <v>7</v>
      </c>
      <c r="AY328" s="18">
        <f t="shared" si="213"/>
        <v>6</v>
      </c>
      <c r="AZ328" s="18">
        <f t="shared" si="214"/>
        <v>1</v>
      </c>
      <c r="BA328" s="18">
        <f t="shared" si="215"/>
        <v>8</v>
      </c>
      <c r="BB328" s="18">
        <f t="shared" si="216"/>
        <v>4</v>
      </c>
      <c r="BC328" s="18">
        <f t="shared" si="217"/>
        <v>3</v>
      </c>
      <c r="BD328" s="18">
        <f t="shared" si="218"/>
        <v>9</v>
      </c>
      <c r="BE328" s="8">
        <f t="shared" si="220"/>
        <v>-4.2621955493750609E-3</v>
      </c>
    </row>
    <row r="329" spans="1:57" x14ac:dyDescent="0.25">
      <c r="A329" t="str">
        <f t="shared" si="219"/>
        <v/>
      </c>
      <c r="B329" s="1">
        <v>43216</v>
      </c>
      <c r="C329" s="9">
        <f t="shared" si="194"/>
        <v>0.24811024993254654</v>
      </c>
      <c r="D329" s="9">
        <f t="shared" si="195"/>
        <v>0.24361206300999513</v>
      </c>
      <c r="E329" s="9">
        <f t="shared" si="196"/>
        <v>0</v>
      </c>
      <c r="F329" s="9">
        <f t="shared" si="197"/>
        <v>0</v>
      </c>
      <c r="G329" s="9">
        <f t="shared" si="198"/>
        <v>0.25636568603470011</v>
      </c>
      <c r="H329" s="9">
        <f t="shared" si="199"/>
        <v>0</v>
      </c>
      <c r="I329" s="9">
        <f t="shared" si="200"/>
        <v>0</v>
      </c>
      <c r="J329" s="9">
        <f t="shared" si="201"/>
        <v>0.25191200102275807</v>
      </c>
      <c r="K329" s="9">
        <v>0</v>
      </c>
      <c r="L329" s="8">
        <f>+VLOOKUP($B329,NIFTY_50!$B$3:$I$1238,8,0)</f>
        <v>4.4699660850191503E-3</v>
      </c>
      <c r="M329" s="8">
        <f>+VLOOKUP($B329,NIFTY_BANK!$B$3:$I$41238,8,0)</f>
        <v>7.9187890902057134E-3</v>
      </c>
      <c r="N329" s="8">
        <f>+VLOOKUP($B329,NIFTY_IT!$B$3:$I$1238,8,0)</f>
        <v>9.6635570527769943E-3</v>
      </c>
      <c r="O329" s="8">
        <f>+VLOOKUP($B329,NIFTY_PHARMA!$B$3:$I$1238,8,0)</f>
        <v>-5.1116990501220982E-4</v>
      </c>
      <c r="P329" s="8">
        <f>+VLOOKUP($B329,NIFTY_FMCG!$B$3:$I$1238,8,0)</f>
        <v>1.1753429645415814E-2</v>
      </c>
      <c r="Q329" s="8">
        <f>+VLOOKUP($B329,NIFTY_METAL!$B$3:$I$1238,8,0)</f>
        <v>3.4794711203911532E-4</v>
      </c>
      <c r="R329" s="8">
        <f>+VLOOKUP($B329,NIFTY_ENERGY!$B$3:$I$1238,8,0)</f>
        <v>2.9017363264742801E-3</v>
      </c>
      <c r="S329" s="8">
        <f>+VLOOKUP($B329,NIFTY_AUTO!$B$3:$I$1238,8,0)</f>
        <v>2.7209110270787207E-3</v>
      </c>
      <c r="T329" s="8">
        <v>0</v>
      </c>
      <c r="U329" s="8">
        <f>+VLOOKUP($B329,NIFTY_50!$B$63:$K$1238,10,0)</f>
        <v>-4.2233447591557005E-2</v>
      </c>
      <c r="V329" s="8">
        <f>+VLOOKUP($B329,NIFTY_BANK!$B$63:$K$1238,10,0)</f>
        <v>-8.7145122643351502E-2</v>
      </c>
      <c r="W329" s="8">
        <f>+VLOOKUP($B329,NIFTY_IT!$B$63:$K$1238,10,0)</f>
        <v>5.8651048526176419E-2</v>
      </c>
      <c r="X329" s="8">
        <f>+VLOOKUP($B329,NIFTY_PHARMA!$B$63:$K$1238,10,0)</f>
        <v>-9.4622649189937236E-2</v>
      </c>
      <c r="Y329" s="8">
        <f>+VLOOKUP($B329,NIFTY_FMCG!$B$63:$K$1238,10,0)</f>
        <v>1.6253690964733503E-2</v>
      </c>
      <c r="Z329" s="8">
        <f>+VLOOKUP($B329,NIFTY_METAL!$B$63:$K$1238,10,0)</f>
        <v>-8.7825057659218886E-2</v>
      </c>
      <c r="AA329" s="8">
        <f>+VLOOKUP($B329,NIFTY_ENERGY!$B$63:$K$1238,10,0)</f>
        <v>-4.6874299798341901E-2</v>
      </c>
      <c r="AB329" s="8">
        <f>+VLOOKUP($B329,NIFTY_AUTO!$B$63:$K$1238,10,0)</f>
        <v>-1.0283449095425445E-2</v>
      </c>
      <c r="AC329" s="8"/>
      <c r="AD329" s="16">
        <f t="shared" si="202"/>
        <v>6.2567822068621742E-2</v>
      </c>
      <c r="AE329" s="8">
        <f t="shared" si="203"/>
        <v>8.0807742360514898E-2</v>
      </c>
      <c r="AF329" s="8">
        <f t="shared" si="204"/>
        <v>9.5575969454709767E-2</v>
      </c>
      <c r="AG329" s="8">
        <f t="shared" si="205"/>
        <v>9.3342692040359582E-2</v>
      </c>
      <c r="AH329" s="8">
        <f t="shared" si="206"/>
        <v>6.1314186065767516E-2</v>
      </c>
      <c r="AI329" s="8">
        <f t="shared" si="207"/>
        <v>0.12529387216655641</v>
      </c>
      <c r="AJ329" s="8">
        <f t="shared" si="208"/>
        <v>7.8043071748955792E-2</v>
      </c>
      <c r="AK329" s="8">
        <f t="shared" si="209"/>
        <v>7.794884034529044E-2</v>
      </c>
      <c r="AL329" s="9">
        <v>0</v>
      </c>
      <c r="AM329" s="17">
        <f t="shared" si="186"/>
        <v>15.982656370925653</v>
      </c>
      <c r="AN329" s="13">
        <f t="shared" si="187"/>
        <v>12.375051830288854</v>
      </c>
      <c r="AO329" s="13">
        <f t="shared" si="188"/>
        <v>10.462881053734604</v>
      </c>
      <c r="AP329" s="13">
        <f t="shared" si="189"/>
        <v>10.713211480633312</v>
      </c>
      <c r="AQ329" s="13">
        <f t="shared" si="190"/>
        <v>16.309439367381778</v>
      </c>
      <c r="AR329" s="13">
        <f t="shared" si="191"/>
        <v>7.9812362943869593</v>
      </c>
      <c r="AS329" s="13">
        <f t="shared" si="192"/>
        <v>12.813437216012451</v>
      </c>
      <c r="AT329" s="13">
        <f t="shared" si="193"/>
        <v>12.828927224193382</v>
      </c>
      <c r="AU329" s="9">
        <v>0</v>
      </c>
      <c r="AV329" s="18">
        <f t="shared" si="210"/>
        <v>2</v>
      </c>
      <c r="AW329" s="18">
        <f t="shared" si="211"/>
        <v>5</v>
      </c>
      <c r="AX329" s="18">
        <f t="shared" si="212"/>
        <v>7</v>
      </c>
      <c r="AY329" s="18">
        <f t="shared" si="213"/>
        <v>6</v>
      </c>
      <c r="AZ329" s="18">
        <f t="shared" si="214"/>
        <v>1</v>
      </c>
      <c r="BA329" s="18">
        <f t="shared" si="215"/>
        <v>8</v>
      </c>
      <c r="BB329" s="18">
        <f t="shared" si="216"/>
        <v>4</v>
      </c>
      <c r="BC329" s="18">
        <f t="shared" si="217"/>
        <v>3</v>
      </c>
      <c r="BD329" s="18">
        <f t="shared" si="218"/>
        <v>9</v>
      </c>
      <c r="BE329" s="8">
        <f t="shared" si="220"/>
        <v>6.7247278161465468E-3</v>
      </c>
    </row>
    <row r="330" spans="1:57" x14ac:dyDescent="0.25">
      <c r="A330" t="str">
        <f t="shared" si="219"/>
        <v/>
      </c>
      <c r="B330" s="1">
        <v>43217</v>
      </c>
      <c r="C330" s="9">
        <f t="shared" si="194"/>
        <v>0.24803325304873536</v>
      </c>
      <c r="D330" s="9">
        <f t="shared" si="195"/>
        <v>0.24554972628835445</v>
      </c>
      <c r="E330" s="9">
        <f t="shared" si="196"/>
        <v>0</v>
      </c>
      <c r="F330" s="9">
        <f t="shared" si="197"/>
        <v>0</v>
      </c>
      <c r="G330" s="9">
        <f t="shared" si="198"/>
        <v>0.25531890242351668</v>
      </c>
      <c r="H330" s="9">
        <f t="shared" si="199"/>
        <v>0</v>
      </c>
      <c r="I330" s="9">
        <f t="shared" si="200"/>
        <v>0</v>
      </c>
      <c r="J330" s="9">
        <f t="shared" si="201"/>
        <v>0.25109811823939349</v>
      </c>
      <c r="K330" s="9">
        <v>0</v>
      </c>
      <c r="L330" s="8">
        <f>+VLOOKUP($B330,NIFTY_50!$B$3:$I$1238,8,0)</f>
        <v>7.0165194296369915E-3</v>
      </c>
      <c r="M330" s="8">
        <f>+VLOOKUP($B330,NIFTY_BANK!$B$3:$I$41238,8,0)</f>
        <v>1.5341311188321827E-2</v>
      </c>
      <c r="N330" s="8">
        <f>+VLOOKUP($B330,NIFTY_IT!$B$3:$I$1238,8,0)</f>
        <v>-1.6522120392253314E-2</v>
      </c>
      <c r="O330" s="8">
        <f>+VLOOKUP($B330,NIFTY_PHARMA!$B$3:$I$1238,8,0)</f>
        <v>1.0206146168199037E-2</v>
      </c>
      <c r="P330" s="8">
        <f>+VLOOKUP($B330,NIFTY_FMCG!$B$3:$I$1238,8,0)</f>
        <v>3.2160353675683151E-3</v>
      </c>
      <c r="Q330" s="8">
        <f>+VLOOKUP($B330,NIFTY_METAL!$B$3:$I$1238,8,0)</f>
        <v>7.0501672240801394E-3</v>
      </c>
      <c r="R330" s="8">
        <f>+VLOOKUP($B330,NIFTY_ENERGY!$B$3:$I$1238,8,0)</f>
        <v>1.4871770760623182E-2</v>
      </c>
      <c r="S330" s="8">
        <f>+VLOOKUP($B330,NIFTY_AUTO!$B$3:$I$1238,8,0)</f>
        <v>4.0746263480944123E-3</v>
      </c>
      <c r="T330" s="8">
        <v>0</v>
      </c>
      <c r="U330" s="8">
        <f>+VLOOKUP($B330,NIFTY_50!$B$63:$K$1238,10,0)</f>
        <v>-3.4088701991481285E-2</v>
      </c>
      <c r="V330" s="8">
        <f>+VLOOKUP($B330,NIFTY_BANK!$B$63:$K$1238,10,0)</f>
        <v>-7.4731332651986837E-2</v>
      </c>
      <c r="W330" s="8">
        <f>+VLOOKUP($B330,NIFTY_IT!$B$63:$K$1238,10,0)</f>
        <v>5.16128786348371E-2</v>
      </c>
      <c r="X330" s="8">
        <f>+VLOOKUP($B330,NIFTY_PHARMA!$B$63:$K$1238,10,0)</f>
        <v>-7.6239959297574766E-2</v>
      </c>
      <c r="Y330" s="8">
        <f>+VLOOKUP($B330,NIFTY_FMCG!$B$63:$K$1238,10,0)</f>
        <v>2.5869067162159753E-2</v>
      </c>
      <c r="Z330" s="8">
        <f>+VLOOKUP($B330,NIFTY_METAL!$B$63:$K$1238,10,0)</f>
        <v>-8.9791180489220412E-2</v>
      </c>
      <c r="AA330" s="8">
        <f>+VLOOKUP($B330,NIFTY_ENERGY!$B$63:$K$1238,10,0)</f>
        <v>-3.008506358165719E-2</v>
      </c>
      <c r="AB330" s="8">
        <f>+VLOOKUP($B330,NIFTY_AUTO!$B$63:$K$1238,10,0)</f>
        <v>6.4347939432121137E-3</v>
      </c>
      <c r="AC330" s="8"/>
      <c r="AD330" s="16">
        <f t="shared" si="202"/>
        <v>6.3024364352127896E-2</v>
      </c>
      <c r="AE330" s="8">
        <f t="shared" si="203"/>
        <v>8.2452920575883867E-2</v>
      </c>
      <c r="AF330" s="8">
        <f t="shared" si="204"/>
        <v>9.6548005167093012E-2</v>
      </c>
      <c r="AG330" s="8">
        <f t="shared" si="205"/>
        <v>9.3675286873245819E-2</v>
      </c>
      <c r="AH330" s="8">
        <f t="shared" si="206"/>
        <v>6.1028636298934499E-2</v>
      </c>
      <c r="AI330" s="8">
        <f t="shared" si="207"/>
        <v>0.12512825032553773</v>
      </c>
      <c r="AJ330" s="8">
        <f t="shared" si="208"/>
        <v>7.9532665713766992E-2</v>
      </c>
      <c r="AK330" s="8">
        <f t="shared" si="209"/>
        <v>7.7027132295149472E-2</v>
      </c>
      <c r="AL330" s="9">
        <v>0</v>
      </c>
      <c r="AM330" s="17">
        <f t="shared" si="186"/>
        <v>15.866879583470752</v>
      </c>
      <c r="AN330" s="13">
        <f t="shared" si="187"/>
        <v>12.128133157874867</v>
      </c>
      <c r="AO330" s="13">
        <f t="shared" si="188"/>
        <v>10.357541808029355</v>
      </c>
      <c r="AP330" s="13">
        <f t="shared" si="189"/>
        <v>10.675174140145661</v>
      </c>
      <c r="AQ330" s="13">
        <f t="shared" si="190"/>
        <v>16.385750373017249</v>
      </c>
      <c r="AR330" s="13">
        <f t="shared" si="191"/>
        <v>7.9918003919847633</v>
      </c>
      <c r="AS330" s="13">
        <f t="shared" si="192"/>
        <v>12.573450053829912</v>
      </c>
      <c r="AT330" s="13">
        <f t="shared" si="193"/>
        <v>12.982438398047069</v>
      </c>
      <c r="AU330" s="9">
        <v>0</v>
      </c>
      <c r="AV330" s="18">
        <f t="shared" si="210"/>
        <v>2</v>
      </c>
      <c r="AW330" s="18">
        <f t="shared" si="211"/>
        <v>5</v>
      </c>
      <c r="AX330" s="18">
        <f t="shared" si="212"/>
        <v>7</v>
      </c>
      <c r="AY330" s="18">
        <f t="shared" si="213"/>
        <v>6</v>
      </c>
      <c r="AZ330" s="18">
        <f t="shared" si="214"/>
        <v>1</v>
      </c>
      <c r="BA330" s="18">
        <f t="shared" si="215"/>
        <v>8</v>
      </c>
      <c r="BB330" s="18">
        <f t="shared" si="216"/>
        <v>4</v>
      </c>
      <c r="BC330" s="18">
        <f t="shared" si="217"/>
        <v>3</v>
      </c>
      <c r="BD330" s="18">
        <f t="shared" si="218"/>
        <v>9</v>
      </c>
      <c r="BE330" s="8">
        <f t="shared" si="220"/>
        <v>7.3291272472962299E-3</v>
      </c>
    </row>
    <row r="331" spans="1:57" x14ac:dyDescent="0.25">
      <c r="A331" t="str">
        <f t="shared" si="219"/>
        <v>Y</v>
      </c>
      <c r="B331" s="1">
        <v>43220</v>
      </c>
      <c r="C331" s="9">
        <f t="shared" si="194"/>
        <v>0.25</v>
      </c>
      <c r="D331" s="9">
        <f t="shared" si="195"/>
        <v>0</v>
      </c>
      <c r="E331" s="9">
        <f t="shared" si="196"/>
        <v>0</v>
      </c>
      <c r="F331" s="9">
        <f t="shared" si="197"/>
        <v>0</v>
      </c>
      <c r="G331" s="9">
        <f t="shared" si="198"/>
        <v>0.25</v>
      </c>
      <c r="H331" s="9">
        <f t="shared" si="199"/>
        <v>0</v>
      </c>
      <c r="I331" s="9">
        <f t="shared" si="200"/>
        <v>0.25</v>
      </c>
      <c r="J331" s="9">
        <f t="shared" si="201"/>
        <v>0.25</v>
      </c>
      <c r="K331" s="9">
        <v>0</v>
      </c>
      <c r="L331" s="8">
        <f>+VLOOKUP($B331,NIFTY_50!$B$3:$I$1238,8,0)</f>
        <v>4.4003628779589743E-3</v>
      </c>
      <c r="M331" s="8">
        <f>+VLOOKUP($B331,NIFTY_BANK!$B$3:$I$41238,8,0)</f>
        <v>5.3948477235317149E-3</v>
      </c>
      <c r="N331" s="8">
        <f>+VLOOKUP($B331,NIFTY_IT!$B$3:$I$1238,8,0)</f>
        <v>1.3871068293354716E-2</v>
      </c>
      <c r="O331" s="8">
        <f>+VLOOKUP($B331,NIFTY_PHARMA!$B$3:$I$1238,8,0)</f>
        <v>8.1558626521576194E-3</v>
      </c>
      <c r="P331" s="8">
        <f>+VLOOKUP($B331,NIFTY_FMCG!$B$3:$I$1238,8,0)</f>
        <v>1.1931348585295432E-2</v>
      </c>
      <c r="Q331" s="8">
        <f>+VLOOKUP($B331,NIFTY_METAL!$B$3:$I$1238,8,0)</f>
        <v>2.9225394210714573E-3</v>
      </c>
      <c r="R331" s="8">
        <f>+VLOOKUP($B331,NIFTY_ENERGY!$B$3:$I$1238,8,0)</f>
        <v>-1.8552505443517608E-2</v>
      </c>
      <c r="S331" s="8">
        <f>+VLOOKUP($B331,NIFTY_AUTO!$B$3:$I$1238,8,0)</f>
        <v>3.7947469305290582E-3</v>
      </c>
      <c r="T331" s="8">
        <v>0</v>
      </c>
      <c r="U331" s="8">
        <f>+VLOOKUP($B331,NIFTY_50!$B$63:$K$1238,10,0)</f>
        <v>-3.5133508229713173E-2</v>
      </c>
      <c r="V331" s="8">
        <f>+VLOOKUP($B331,NIFTY_BANK!$B$63:$K$1238,10,0)</f>
        <v>-7.1525849638797934E-2</v>
      </c>
      <c r="W331" s="8">
        <f>+VLOOKUP($B331,NIFTY_IT!$B$63:$K$1238,10,0)</f>
        <v>5.6163866339437485E-2</v>
      </c>
      <c r="X331" s="8">
        <f>+VLOOKUP($B331,NIFTY_PHARMA!$B$63:$K$1238,10,0)</f>
        <v>-5.8369317266572018E-2</v>
      </c>
      <c r="Y331" s="8">
        <f>+VLOOKUP($B331,NIFTY_FMCG!$B$63:$K$1238,10,0)</f>
        <v>4.4104385944221836E-2</v>
      </c>
      <c r="Z331" s="8">
        <f>+VLOOKUP($B331,NIFTY_METAL!$B$63:$K$1238,10,0)</f>
        <v>-8.8387649878648222E-2</v>
      </c>
      <c r="AA331" s="8">
        <f>+VLOOKUP($B331,NIFTY_ENERGY!$B$63:$K$1238,10,0)</f>
        <v>-4.2479512970193367E-2</v>
      </c>
      <c r="AB331" s="8">
        <f>+VLOOKUP($B331,NIFTY_AUTO!$B$63:$K$1238,10,0)</f>
        <v>-4.508323057953123E-3</v>
      </c>
      <c r="AC331" s="8"/>
      <c r="AD331" s="16">
        <f t="shared" si="202"/>
        <v>6.2929570626023459E-2</v>
      </c>
      <c r="AE331" s="8">
        <f t="shared" si="203"/>
        <v>8.265674127278308E-2</v>
      </c>
      <c r="AF331" s="8">
        <f t="shared" si="204"/>
        <v>9.7033204576801979E-2</v>
      </c>
      <c r="AG331" s="8">
        <f t="shared" si="205"/>
        <v>9.3605828544854677E-2</v>
      </c>
      <c r="AH331" s="8">
        <f t="shared" si="206"/>
        <v>6.1748530973727143E-2</v>
      </c>
      <c r="AI331" s="8">
        <f t="shared" si="207"/>
        <v>0.12517206353643734</v>
      </c>
      <c r="AJ331" s="8">
        <f t="shared" si="208"/>
        <v>8.1371943522501572E-2</v>
      </c>
      <c r="AK331" s="8">
        <f t="shared" si="209"/>
        <v>7.569066472431181E-2</v>
      </c>
      <c r="AL331" s="9">
        <v>0</v>
      </c>
      <c r="AM331" s="17">
        <f t="shared" si="186"/>
        <v>15.890780598882188</v>
      </c>
      <c r="AN331" s="13">
        <f t="shared" si="187"/>
        <v>12.098226770153065</v>
      </c>
      <c r="AO331" s="13">
        <f t="shared" si="188"/>
        <v>10.305750535204657</v>
      </c>
      <c r="AP331" s="13">
        <f t="shared" si="189"/>
        <v>10.683095439092376</v>
      </c>
      <c r="AQ331" s="13">
        <f t="shared" si="190"/>
        <v>16.194717254496005</v>
      </c>
      <c r="AR331" s="13">
        <f t="shared" si="191"/>
        <v>7.9890030710319158</v>
      </c>
      <c r="AS331" s="13">
        <f t="shared" si="192"/>
        <v>12.289248071400342</v>
      </c>
      <c r="AT331" s="13">
        <f t="shared" si="193"/>
        <v>13.211668884694051</v>
      </c>
      <c r="AU331" s="9">
        <v>0</v>
      </c>
      <c r="AV331" s="18">
        <f t="shared" si="210"/>
        <v>2</v>
      </c>
      <c r="AW331" s="18">
        <f t="shared" si="211"/>
        <v>5</v>
      </c>
      <c r="AX331" s="18">
        <f t="shared" si="212"/>
        <v>7</v>
      </c>
      <c r="AY331" s="18">
        <f t="shared" si="213"/>
        <v>6</v>
      </c>
      <c r="AZ331" s="18">
        <f t="shared" si="214"/>
        <v>1</v>
      </c>
      <c r="BA331" s="18">
        <f t="shared" si="215"/>
        <v>8</v>
      </c>
      <c r="BB331" s="18">
        <f t="shared" si="216"/>
        <v>4</v>
      </c>
      <c r="BC331" s="18">
        <f t="shared" si="217"/>
        <v>3</v>
      </c>
      <c r="BD331" s="18">
        <f t="shared" si="218"/>
        <v>9</v>
      </c>
      <c r="BE331" s="8">
        <f t="shared" si="220"/>
        <v>6.4152923397761937E-3</v>
      </c>
    </row>
    <row r="332" spans="1:57" x14ac:dyDescent="0.25">
      <c r="A332" t="str">
        <f t="shared" si="219"/>
        <v/>
      </c>
      <c r="B332" s="1">
        <v>43222</v>
      </c>
      <c r="C332" s="9">
        <f t="shared" si="194"/>
        <v>0.25015470939310791</v>
      </c>
      <c r="D332" s="9">
        <f t="shared" si="195"/>
        <v>0</v>
      </c>
      <c r="E332" s="9">
        <f t="shared" si="196"/>
        <v>0</v>
      </c>
      <c r="F332" s="9">
        <f t="shared" si="197"/>
        <v>0</v>
      </c>
      <c r="G332" s="9">
        <f t="shared" si="198"/>
        <v>0.25104777686023083</v>
      </c>
      <c r="H332" s="9">
        <f t="shared" si="199"/>
        <v>0</v>
      </c>
      <c r="I332" s="9">
        <f t="shared" si="200"/>
        <v>0.25068005624834294</v>
      </c>
      <c r="J332" s="9">
        <f t="shared" si="201"/>
        <v>0.24811745749831837</v>
      </c>
      <c r="K332" s="9">
        <v>0</v>
      </c>
      <c r="L332" s="8">
        <f>+VLOOKUP($B332,NIFTY_50!$B$3:$I$1238,8,0)</f>
        <v>-1.9833602592336241E-3</v>
      </c>
      <c r="M332" s="8">
        <f>+VLOOKUP($B332,NIFTY_BANK!$B$3:$I$41238,8,0)</f>
        <v>1.4374343950243063E-3</v>
      </c>
      <c r="N332" s="8">
        <f>+VLOOKUP($B332,NIFTY_IT!$B$3:$I$1238,8,0)</f>
        <v>-1.6584145142550799E-2</v>
      </c>
      <c r="O332" s="8">
        <f>+VLOOKUP($B332,NIFTY_PHARMA!$B$3:$I$1238,8,0)</f>
        <v>-1.0998046508548076E-2</v>
      </c>
      <c r="P332" s="8">
        <f>+VLOOKUP($B332,NIFTY_FMCG!$B$3:$I$1238,8,0)</f>
        <v>1.5796196053556866E-3</v>
      </c>
      <c r="Q332" s="8">
        <f>+VLOOKUP($B332,NIFTY_METAL!$B$3:$I$1238,8,0)</f>
        <v>-3.4332490032716545E-2</v>
      </c>
      <c r="R332" s="8">
        <f>+VLOOKUP($B332,NIFTY_ENERGY!$B$3:$I$1238,8,0)</f>
        <v>1.1256231776712866E-4</v>
      </c>
      <c r="S332" s="8">
        <f>+VLOOKUP($B332,NIFTY_AUTO!$B$3:$I$1238,8,0)</f>
        <v>-1.0111175623078061E-2</v>
      </c>
      <c r="T332" s="8">
        <v>0</v>
      </c>
      <c r="U332" s="8">
        <f>+VLOOKUP($B332,NIFTY_50!$B$63:$K$1238,10,0)</f>
        <v>-3.0010000316752161E-2</v>
      </c>
      <c r="V332" s="8">
        <f>+VLOOKUP($B332,NIFTY_BANK!$B$63:$K$1238,10,0)</f>
        <v>-6.2369242786235679E-2</v>
      </c>
      <c r="W332" s="8">
        <f>+VLOOKUP($B332,NIFTY_IT!$B$63:$K$1238,10,0)</f>
        <v>4.9309770025061095E-2</v>
      </c>
      <c r="X332" s="8">
        <f>+VLOOKUP($B332,NIFTY_PHARMA!$B$63:$K$1238,10,0)</f>
        <v>-6.299961834256107E-2</v>
      </c>
      <c r="Y332" s="8">
        <f>+VLOOKUP($B332,NIFTY_FMCG!$B$63:$K$1238,10,0)</f>
        <v>4.7473657045445483E-2</v>
      </c>
      <c r="Z332" s="8">
        <f>+VLOOKUP($B332,NIFTY_METAL!$B$63:$K$1238,10,0)</f>
        <v>-0.11442453689644705</v>
      </c>
      <c r="AA332" s="8">
        <f>+VLOOKUP($B332,NIFTY_ENERGY!$B$63:$K$1238,10,0)</f>
        <v>-4.1538638206360279E-2</v>
      </c>
      <c r="AB332" s="8">
        <f>+VLOOKUP($B332,NIFTY_AUTO!$B$63:$K$1238,10,0)</f>
        <v>-1.0294206176523657E-2</v>
      </c>
      <c r="AC332" s="8"/>
      <c r="AD332" s="16">
        <f t="shared" si="202"/>
        <v>6.258444349772338E-2</v>
      </c>
      <c r="AE332" s="8">
        <f t="shared" si="203"/>
        <v>8.2375528633818196E-2</v>
      </c>
      <c r="AF332" s="8">
        <f t="shared" si="204"/>
        <v>9.7974808138860225E-2</v>
      </c>
      <c r="AG332" s="8">
        <f t="shared" si="205"/>
        <v>9.4001816465594148E-2</v>
      </c>
      <c r="AH332" s="8">
        <f t="shared" si="206"/>
        <v>6.1706957282545397E-2</v>
      </c>
      <c r="AI332" s="8">
        <f t="shared" si="207"/>
        <v>0.12930370100604449</v>
      </c>
      <c r="AJ332" s="8">
        <f t="shared" si="208"/>
        <v>8.1375207117791531E-2</v>
      </c>
      <c r="AK332" s="8">
        <f t="shared" si="209"/>
        <v>7.6234851232846595E-2</v>
      </c>
      <c r="AL332" s="9">
        <v>0</v>
      </c>
      <c r="AM332" s="17">
        <f t="shared" si="186"/>
        <v>15.978411632538952</v>
      </c>
      <c r="AN332" s="13">
        <f t="shared" si="187"/>
        <v>12.139527558545621</v>
      </c>
      <c r="AO332" s="13">
        <f t="shared" si="188"/>
        <v>10.206705366370247</v>
      </c>
      <c r="AP332" s="13">
        <f t="shared" si="189"/>
        <v>10.638092300759025</v>
      </c>
      <c r="AQ332" s="13">
        <f t="shared" si="190"/>
        <v>16.205628085357933</v>
      </c>
      <c r="AR332" s="13">
        <f t="shared" si="191"/>
        <v>7.7337306838050486</v>
      </c>
      <c r="AS332" s="13">
        <f t="shared" si="192"/>
        <v>12.288755204671721</v>
      </c>
      <c r="AT332" s="13">
        <f t="shared" si="193"/>
        <v>13.117360155208637</v>
      </c>
      <c r="AU332" s="9">
        <v>0</v>
      </c>
      <c r="AV332" s="18">
        <f t="shared" si="210"/>
        <v>2</v>
      </c>
      <c r="AW332" s="18">
        <f t="shared" si="211"/>
        <v>5</v>
      </c>
      <c r="AX332" s="18">
        <f t="shared" si="212"/>
        <v>7</v>
      </c>
      <c r="AY332" s="18">
        <f t="shared" si="213"/>
        <v>6</v>
      </c>
      <c r="AZ332" s="18">
        <f t="shared" si="214"/>
        <v>1</v>
      </c>
      <c r="BA332" s="18">
        <f t="shared" si="215"/>
        <v>8</v>
      </c>
      <c r="BB332" s="18">
        <f t="shared" si="216"/>
        <v>4</v>
      </c>
      <c r="BC332" s="18">
        <f t="shared" si="217"/>
        <v>3</v>
      </c>
      <c r="BD332" s="18">
        <f t="shared" si="218"/>
        <v>9</v>
      </c>
      <c r="BE332" s="8">
        <f t="shared" si="220"/>
        <v>-2.6005884897972176E-3</v>
      </c>
    </row>
    <row r="333" spans="1:57" x14ac:dyDescent="0.25">
      <c r="A333" t="str">
        <f t="shared" si="219"/>
        <v/>
      </c>
      <c r="B333" s="1">
        <v>43223</v>
      </c>
      <c r="C333" s="9">
        <f t="shared" si="194"/>
        <v>0.25079811531180224</v>
      </c>
      <c r="D333" s="9">
        <f t="shared" si="195"/>
        <v>0</v>
      </c>
      <c r="E333" s="9">
        <f t="shared" si="196"/>
        <v>0</v>
      </c>
      <c r="F333" s="9">
        <f t="shared" si="197"/>
        <v>0</v>
      </c>
      <c r="G333" s="9">
        <f t="shared" si="198"/>
        <v>0.24968929119209418</v>
      </c>
      <c r="H333" s="9">
        <f t="shared" si="199"/>
        <v>0</v>
      </c>
      <c r="I333" s="9">
        <f t="shared" si="200"/>
        <v>0.25108929068466279</v>
      </c>
      <c r="J333" s="9">
        <f t="shared" si="201"/>
        <v>0.2484233028114407</v>
      </c>
      <c r="K333" s="9">
        <v>0</v>
      </c>
      <c r="L333" s="8">
        <f>+VLOOKUP($B333,NIFTY_50!$B$3:$I$1238,8,0)</f>
        <v>-3.5827412635693889E-3</v>
      </c>
      <c r="M333" s="8">
        <f>+VLOOKUP($B333,NIFTY_BANK!$B$3:$I$41238,8,0)</f>
        <v>1.445148875756308E-3</v>
      </c>
      <c r="N333" s="8">
        <f>+VLOOKUP($B333,NIFTY_IT!$B$3:$I$1238,8,0)</f>
        <v>-2.0382716677693424E-2</v>
      </c>
      <c r="O333" s="8">
        <f>+VLOOKUP($B333,NIFTY_PHARMA!$B$3:$I$1238,8,0)</f>
        <v>5.8586884349498547E-4</v>
      </c>
      <c r="P333" s="8">
        <f>+VLOOKUP($B333,NIFTY_FMCG!$B$3:$I$1238,8,0)</f>
        <v>-1.1517027434052141E-2</v>
      </c>
      <c r="Q333" s="8">
        <f>+VLOOKUP($B333,NIFTY_METAL!$B$3:$I$1238,8,0)</f>
        <v>7.6263630752348988E-3</v>
      </c>
      <c r="R333" s="8">
        <f>+VLOOKUP($B333,NIFTY_ENERGY!$B$3:$I$1238,8,0)</f>
        <v>-4.51650849205254E-3</v>
      </c>
      <c r="S333" s="8">
        <f>+VLOOKUP($B333,NIFTY_AUTO!$B$3:$I$1238,8,0)</f>
        <v>-4.913887488921076E-3</v>
      </c>
      <c r="T333" s="8">
        <v>0</v>
      </c>
      <c r="U333" s="8">
        <f>+VLOOKUP($B333,NIFTY_50!$B$63:$K$1238,10,0)</f>
        <v>-3.1561431667528228E-2</v>
      </c>
      <c r="V333" s="8">
        <f>+VLOOKUP($B333,NIFTY_BANK!$B$63:$K$1238,10,0)</f>
        <v>-6.4800425136370521E-2</v>
      </c>
      <c r="W333" s="8">
        <f>+VLOOKUP($B333,NIFTY_IT!$B$63:$K$1238,10,0)</f>
        <v>3.7543122035360144E-2</v>
      </c>
      <c r="X333" s="8">
        <f>+VLOOKUP($B333,NIFTY_PHARMA!$B$63:$K$1238,10,0)</f>
        <v>-4.4588294840033127E-2</v>
      </c>
      <c r="Y333" s="8">
        <f>+VLOOKUP($B333,NIFTY_FMCG!$B$63:$K$1238,10,0)</f>
        <v>5.0097134620843198E-2</v>
      </c>
      <c r="Z333" s="8">
        <f>+VLOOKUP($B333,NIFTY_METAL!$B$63:$K$1238,10,0)</f>
        <v>-9.6609565035601364E-2</v>
      </c>
      <c r="AA333" s="8">
        <f>+VLOOKUP($B333,NIFTY_ENERGY!$B$63:$K$1238,10,0)</f>
        <v>-5.1504951933554532E-2</v>
      </c>
      <c r="AB333" s="8">
        <f>+VLOOKUP($B333,NIFTY_AUTO!$B$63:$K$1238,10,0)</f>
        <v>-1.3800497765223629E-2</v>
      </c>
      <c r="AC333" s="8"/>
      <c r="AD333" s="16">
        <f t="shared" si="202"/>
        <v>6.264318838452157E-2</v>
      </c>
      <c r="AE333" s="8">
        <f t="shared" si="203"/>
        <v>8.2256367124049226E-2</v>
      </c>
      <c r="AF333" s="8">
        <f t="shared" si="204"/>
        <v>9.972853939726066E-2</v>
      </c>
      <c r="AG333" s="8">
        <f t="shared" si="205"/>
        <v>9.230051639096086E-2</v>
      </c>
      <c r="AH333" s="8">
        <f t="shared" si="206"/>
        <v>6.1161717500494664E-2</v>
      </c>
      <c r="AI333" s="8">
        <f t="shared" si="207"/>
        <v>0.1292086320928075</v>
      </c>
      <c r="AJ333" s="8">
        <f t="shared" si="208"/>
        <v>8.1189893664907739E-2</v>
      </c>
      <c r="AK333" s="8">
        <f t="shared" si="209"/>
        <v>7.6373674511317977E-2</v>
      </c>
      <c r="AL333" s="9">
        <v>0</v>
      </c>
      <c r="AM333" s="17">
        <f t="shared" si="186"/>
        <v>15.963427561536584</v>
      </c>
      <c r="AN333" s="13">
        <f t="shared" si="187"/>
        <v>12.157113606681893</v>
      </c>
      <c r="AO333" s="13">
        <f t="shared" si="188"/>
        <v>10.027219951718935</v>
      </c>
      <c r="AP333" s="13">
        <f t="shared" si="189"/>
        <v>10.83417557236908</v>
      </c>
      <c r="AQ333" s="13">
        <f t="shared" si="190"/>
        <v>16.350096774046808</v>
      </c>
      <c r="AR333" s="13">
        <f t="shared" si="191"/>
        <v>7.7394209953536519</v>
      </c>
      <c r="AS333" s="13">
        <f t="shared" si="192"/>
        <v>12.316803913147931</v>
      </c>
      <c r="AT333" s="13">
        <f t="shared" si="193"/>
        <v>13.093516927116134</v>
      </c>
      <c r="AU333" s="9">
        <v>0</v>
      </c>
      <c r="AV333" s="18">
        <f t="shared" si="210"/>
        <v>2</v>
      </c>
      <c r="AW333" s="18">
        <f t="shared" si="211"/>
        <v>5</v>
      </c>
      <c r="AX333" s="18">
        <f t="shared" si="212"/>
        <v>7</v>
      </c>
      <c r="AY333" s="18">
        <f t="shared" si="213"/>
        <v>6</v>
      </c>
      <c r="AZ333" s="18">
        <f t="shared" si="214"/>
        <v>1</v>
      </c>
      <c r="BA333" s="18">
        <f t="shared" si="215"/>
        <v>8</v>
      </c>
      <c r="BB333" s="18">
        <f t="shared" si="216"/>
        <v>4</v>
      </c>
      <c r="BC333" s="18">
        <f t="shared" si="217"/>
        <v>3</v>
      </c>
      <c r="BD333" s="18">
        <f t="shared" si="218"/>
        <v>9</v>
      </c>
      <c r="BE333" s="8">
        <f t="shared" si="220"/>
        <v>-6.1389836059937176E-3</v>
      </c>
    </row>
    <row r="334" spans="1:57" x14ac:dyDescent="0.25">
      <c r="A334" t="str">
        <f t="shared" si="219"/>
        <v/>
      </c>
      <c r="B334" s="1">
        <v>43224</v>
      </c>
      <c r="C334" s="9">
        <f t="shared" si="194"/>
        <v>0.25140102938995396</v>
      </c>
      <c r="D334" s="9">
        <f t="shared" si="195"/>
        <v>0</v>
      </c>
      <c r="E334" s="9">
        <f t="shared" si="196"/>
        <v>0</v>
      </c>
      <c r="F334" s="9">
        <f t="shared" si="197"/>
        <v>0</v>
      </c>
      <c r="G334" s="9">
        <f t="shared" si="198"/>
        <v>0.24901191240995049</v>
      </c>
      <c r="H334" s="9">
        <f t="shared" si="199"/>
        <v>0</v>
      </c>
      <c r="I334" s="9">
        <f t="shared" si="200"/>
        <v>0.25192500038746107</v>
      </c>
      <c r="J334" s="9">
        <f t="shared" si="201"/>
        <v>0.24766205781263451</v>
      </c>
      <c r="K334" s="9">
        <v>0</v>
      </c>
      <c r="L334" s="8">
        <f>+VLOOKUP($B334,NIFTY_50!$B$3:$I$1238,8,0)</f>
        <v>-5.7492520822310933E-3</v>
      </c>
      <c r="M334" s="8">
        <f>+VLOOKUP($B334,NIFTY_BANK!$B$3:$I$41238,8,0)</f>
        <v>1.5680378047471244E-3</v>
      </c>
      <c r="N334" s="8">
        <f>+VLOOKUP($B334,NIFTY_IT!$B$3:$I$1238,8,0)</f>
        <v>-1.5325869548277193E-3</v>
      </c>
      <c r="O334" s="8">
        <f>+VLOOKUP($B334,NIFTY_PHARMA!$B$3:$I$1238,8,0)</f>
        <v>-1.6601050600582035E-2</v>
      </c>
      <c r="P334" s="8">
        <f>+VLOOKUP($B334,NIFTY_FMCG!$B$3:$I$1238,8,0)</f>
        <v>-1.0824501602524683E-2</v>
      </c>
      <c r="Q334" s="8">
        <f>+VLOOKUP($B334,NIFTY_METAL!$B$3:$I$1238,8,0)</f>
        <v>-1.07403928615184E-2</v>
      </c>
      <c r="R334" s="8">
        <f>+VLOOKUP($B334,NIFTY_ENERGY!$B$3:$I$1238,8,0)</f>
        <v>-4.8324154783179196E-3</v>
      </c>
      <c r="S334" s="8">
        <f>+VLOOKUP($B334,NIFTY_AUTO!$B$3:$I$1238,8,0)</f>
        <v>-1.117306239712168E-2</v>
      </c>
      <c r="T334" s="8">
        <v>0</v>
      </c>
      <c r="U334" s="8">
        <f>+VLOOKUP($B334,NIFTY_50!$B$63:$K$1238,10,0)</f>
        <v>-3.6185315288329689E-2</v>
      </c>
      <c r="V334" s="8">
        <f>+VLOOKUP($B334,NIFTY_BANK!$B$63:$K$1238,10,0)</f>
        <v>-5.7871399339473273E-2</v>
      </c>
      <c r="W334" s="8">
        <f>+VLOOKUP($B334,NIFTY_IT!$B$63:$K$1238,10,0)</f>
        <v>3.7694953951529442E-2</v>
      </c>
      <c r="X334" s="8">
        <f>+VLOOKUP($B334,NIFTY_PHARMA!$B$63:$K$1238,10,0)</f>
        <v>-3.7259654754495775E-2</v>
      </c>
      <c r="Y334" s="8">
        <f>+VLOOKUP($B334,NIFTY_FMCG!$B$63:$K$1238,10,0)</f>
        <v>3.0200826999221331E-2</v>
      </c>
      <c r="Z334" s="8">
        <f>+VLOOKUP($B334,NIFTY_METAL!$B$63:$K$1238,10,0)</f>
        <v>-0.10753057916195907</v>
      </c>
      <c r="AA334" s="8">
        <f>+VLOOKUP($B334,NIFTY_ENERGY!$B$63:$K$1238,10,0)</f>
        <v>-4.3511942736558673E-2</v>
      </c>
      <c r="AB334" s="8">
        <f>+VLOOKUP($B334,NIFTY_AUTO!$B$63:$K$1238,10,0)</f>
        <v>-3.1632687966066886E-2</v>
      </c>
      <c r="AC334" s="8"/>
      <c r="AD334" s="16">
        <f t="shared" si="202"/>
        <v>6.285844323503588E-2</v>
      </c>
      <c r="AE334" s="8">
        <f t="shared" si="203"/>
        <v>8.2154823645703826E-2</v>
      </c>
      <c r="AF334" s="8">
        <f t="shared" si="204"/>
        <v>9.9725181497989313E-2</v>
      </c>
      <c r="AG334" s="8">
        <f t="shared" si="205"/>
        <v>9.0686443515648266E-2</v>
      </c>
      <c r="AH334" s="8">
        <f t="shared" si="206"/>
        <v>6.1767234766687877E-2</v>
      </c>
      <c r="AI334" s="8">
        <f t="shared" si="207"/>
        <v>0.12949508247777114</v>
      </c>
      <c r="AJ334" s="8">
        <f t="shared" si="208"/>
        <v>8.0340773796954881E-2</v>
      </c>
      <c r="AK334" s="8">
        <f t="shared" si="209"/>
        <v>7.6787284102743228E-2</v>
      </c>
      <c r="AL334" s="9">
        <v>0</v>
      </c>
      <c r="AM334" s="17">
        <f t="shared" si="186"/>
        <v>15.90876179132961</v>
      </c>
      <c r="AN334" s="13">
        <f t="shared" si="187"/>
        <v>12.172139816312461</v>
      </c>
      <c r="AO334" s="13">
        <f t="shared" si="188"/>
        <v>10.027557583539341</v>
      </c>
      <c r="AP334" s="13">
        <f t="shared" si="189"/>
        <v>11.027006476744747</v>
      </c>
      <c r="AQ334" s="13">
        <f t="shared" si="190"/>
        <v>16.189813317323978</v>
      </c>
      <c r="AR334" s="13">
        <f t="shared" si="191"/>
        <v>7.7223009620589877</v>
      </c>
      <c r="AS334" s="13">
        <f t="shared" si="192"/>
        <v>12.446979942305491</v>
      </c>
      <c r="AT334" s="13">
        <f t="shared" si="193"/>
        <v>13.022989570278016</v>
      </c>
      <c r="AU334" s="9">
        <v>0</v>
      </c>
      <c r="AV334" s="18">
        <f t="shared" si="210"/>
        <v>2</v>
      </c>
      <c r="AW334" s="18">
        <f t="shared" si="211"/>
        <v>5</v>
      </c>
      <c r="AX334" s="18">
        <f t="shared" si="212"/>
        <v>7</v>
      </c>
      <c r="AY334" s="18">
        <f t="shared" si="213"/>
        <v>6</v>
      </c>
      <c r="AZ334" s="18">
        <f t="shared" si="214"/>
        <v>1</v>
      </c>
      <c r="BA334" s="18">
        <f t="shared" si="215"/>
        <v>8</v>
      </c>
      <c r="BB334" s="18">
        <f t="shared" si="216"/>
        <v>4</v>
      </c>
      <c r="BC334" s="18">
        <f t="shared" si="217"/>
        <v>3</v>
      </c>
      <c r="BD334" s="18">
        <f t="shared" si="218"/>
        <v>9</v>
      </c>
      <c r="BE334" s="8">
        <f t="shared" si="220"/>
        <v>-8.1336805572738008E-3</v>
      </c>
    </row>
    <row r="335" spans="1:57" x14ac:dyDescent="0.25">
      <c r="A335" t="str">
        <f t="shared" si="219"/>
        <v/>
      </c>
      <c r="B335" s="1">
        <v>43227</v>
      </c>
      <c r="C335" s="9">
        <f t="shared" si="194"/>
        <v>0.25029925210468229</v>
      </c>
      <c r="D335" s="9">
        <f t="shared" si="195"/>
        <v>0</v>
      </c>
      <c r="E335" s="9">
        <f t="shared" si="196"/>
        <v>0</v>
      </c>
      <c r="F335" s="9">
        <f t="shared" si="197"/>
        <v>0</v>
      </c>
      <c r="G335" s="9">
        <f t="shared" si="198"/>
        <v>0.24923252713452204</v>
      </c>
      <c r="H335" s="9">
        <f t="shared" si="199"/>
        <v>0</v>
      </c>
      <c r="I335" s="9">
        <f t="shared" si="200"/>
        <v>0.25254966259684813</v>
      </c>
      <c r="J335" s="9">
        <f t="shared" si="201"/>
        <v>0.24791855816394748</v>
      </c>
      <c r="K335" s="9">
        <v>0</v>
      </c>
      <c r="L335" s="8">
        <f>+VLOOKUP($B335,NIFTY_50!$B$3:$I$1238,8,0)</f>
        <v>9.1587596826219198E-3</v>
      </c>
      <c r="M335" s="8">
        <f>+VLOOKUP($B335,NIFTY_BANK!$B$3:$I$41238,8,0)</f>
        <v>8.057975309412102E-3</v>
      </c>
      <c r="N335" s="8">
        <f>+VLOOKUP($B335,NIFTY_IT!$B$3:$I$1238,8,0)</f>
        <v>-2.1110062215218273E-3</v>
      </c>
      <c r="O335" s="8">
        <f>+VLOOKUP($B335,NIFTY_PHARMA!$B$3:$I$1238,8,0)</f>
        <v>-4.8823639487608483E-3</v>
      </c>
      <c r="P335" s="8">
        <f>+VLOOKUP($B335,NIFTY_FMCG!$B$3:$I$1238,8,0)</f>
        <v>1.4498925578333433E-2</v>
      </c>
      <c r="Q335" s="8">
        <f>+VLOOKUP($B335,NIFTY_METAL!$B$3:$I$1238,8,0)</f>
        <v>1.7159291061206394E-2</v>
      </c>
      <c r="R335" s="8">
        <f>+VLOOKUP($B335,NIFTY_ENERGY!$B$3:$I$1238,8,0)</f>
        <v>1.6114195664522768E-2</v>
      </c>
      <c r="S335" s="8">
        <f>+VLOOKUP($B335,NIFTY_AUTO!$B$3:$I$1238,8,0)</f>
        <v>1.4650688379239885E-2</v>
      </c>
      <c r="T335" s="8">
        <v>0</v>
      </c>
      <c r="U335" s="8">
        <f>+VLOOKUP($B335,NIFTY_50!$B$63:$K$1238,10,0)</f>
        <v>-4.1912161031912865E-3</v>
      </c>
      <c r="V335" s="8">
        <f>+VLOOKUP($B335,NIFTY_BANK!$B$63:$K$1238,10,0)</f>
        <v>-2.2649298801753481E-2</v>
      </c>
      <c r="W335" s="8">
        <f>+VLOOKUP($B335,NIFTY_IT!$B$63:$K$1238,10,0)</f>
        <v>3.3989032317693013E-2</v>
      </c>
      <c r="X335" s="8">
        <f>+VLOOKUP($B335,NIFTY_PHARMA!$B$63:$K$1238,10,0)</f>
        <v>-2.9675707058140488E-2</v>
      </c>
      <c r="Y335" s="8">
        <f>+VLOOKUP($B335,NIFTY_FMCG!$B$63:$K$1238,10,0)</f>
        <v>5.174373898550777E-2</v>
      </c>
      <c r="Z335" s="8">
        <f>+VLOOKUP($B335,NIFTY_METAL!$B$63:$K$1238,10,0)</f>
        <v>-6.3913583061064316E-2</v>
      </c>
      <c r="AA335" s="8">
        <f>+VLOOKUP($B335,NIFTY_ENERGY!$B$63:$K$1238,10,0)</f>
        <v>6.3737268879806575E-3</v>
      </c>
      <c r="AB335" s="8">
        <f>+VLOOKUP($B335,NIFTY_AUTO!$B$63:$K$1238,10,0)</f>
        <v>1.6603329513933396E-2</v>
      </c>
      <c r="AC335" s="8"/>
      <c r="AD335" s="16">
        <f t="shared" si="202"/>
        <v>5.9276244916293679E-2</v>
      </c>
      <c r="AE335" s="8">
        <f t="shared" si="203"/>
        <v>7.7848734002535377E-2</v>
      </c>
      <c r="AF335" s="8">
        <f t="shared" si="204"/>
        <v>9.9760364507249552E-2</v>
      </c>
      <c r="AG335" s="8">
        <f t="shared" si="205"/>
        <v>8.9973530790615236E-2</v>
      </c>
      <c r="AH335" s="8">
        <f t="shared" si="206"/>
        <v>6.2907126056295948E-2</v>
      </c>
      <c r="AI335" s="8">
        <f t="shared" si="207"/>
        <v>0.12757755296881726</v>
      </c>
      <c r="AJ335" s="8">
        <f t="shared" si="208"/>
        <v>7.4615346387541109E-2</v>
      </c>
      <c r="AK335" s="8">
        <f t="shared" si="209"/>
        <v>7.0691101605921902E-2</v>
      </c>
      <c r="AL335" s="9">
        <v>0</v>
      </c>
      <c r="AM335" s="17">
        <f t="shared" si="186"/>
        <v>16.870164454785208</v>
      </c>
      <c r="AN335" s="13">
        <f t="shared" si="187"/>
        <v>12.845424049765947</v>
      </c>
      <c r="AO335" s="13">
        <f t="shared" si="188"/>
        <v>10.024021112386075</v>
      </c>
      <c r="AP335" s="13">
        <f t="shared" si="189"/>
        <v>11.114379876090245</v>
      </c>
      <c r="AQ335" s="13">
        <f t="shared" si="190"/>
        <v>15.896450254381264</v>
      </c>
      <c r="AR335" s="13">
        <f t="shared" si="191"/>
        <v>7.8383694994088957</v>
      </c>
      <c r="AS335" s="13">
        <f t="shared" si="192"/>
        <v>13.402068721977747</v>
      </c>
      <c r="AT335" s="13">
        <f t="shared" si="193"/>
        <v>14.146052010543693</v>
      </c>
      <c r="AU335" s="9">
        <v>0</v>
      </c>
      <c r="AV335" s="18">
        <f t="shared" si="210"/>
        <v>1</v>
      </c>
      <c r="AW335" s="18">
        <f t="shared" si="211"/>
        <v>5</v>
      </c>
      <c r="AX335" s="18">
        <f t="shared" si="212"/>
        <v>7</v>
      </c>
      <c r="AY335" s="18">
        <f t="shared" si="213"/>
        <v>6</v>
      </c>
      <c r="AZ335" s="18">
        <f t="shared" si="214"/>
        <v>2</v>
      </c>
      <c r="BA335" s="18">
        <f t="shared" si="215"/>
        <v>8</v>
      </c>
      <c r="BB335" s="18">
        <f t="shared" si="216"/>
        <v>4</v>
      </c>
      <c r="BC335" s="18">
        <f t="shared" si="217"/>
        <v>3</v>
      </c>
      <c r="BD335" s="18">
        <f t="shared" si="218"/>
        <v>9</v>
      </c>
      <c r="BE335" s="8">
        <f t="shared" si="220"/>
        <v>1.3600915179699436E-2</v>
      </c>
    </row>
    <row r="336" spans="1:57" x14ac:dyDescent="0.25">
      <c r="A336" t="str">
        <f t="shared" si="219"/>
        <v/>
      </c>
      <c r="B336" s="1">
        <v>43228</v>
      </c>
      <c r="C336" s="9">
        <f t="shared" si="194"/>
        <v>0.25061147405651318</v>
      </c>
      <c r="D336" s="9">
        <f t="shared" si="195"/>
        <v>0</v>
      </c>
      <c r="E336" s="9">
        <f t="shared" si="196"/>
        <v>0</v>
      </c>
      <c r="F336" s="9">
        <f t="shared" si="197"/>
        <v>0</v>
      </c>
      <c r="G336" s="9">
        <f t="shared" si="198"/>
        <v>0.24921625894171773</v>
      </c>
      <c r="H336" s="9">
        <f t="shared" si="199"/>
        <v>0</v>
      </c>
      <c r="I336" s="9">
        <f t="shared" si="200"/>
        <v>0.25312956158336203</v>
      </c>
      <c r="J336" s="9">
        <f t="shared" si="201"/>
        <v>0.24704270541840698</v>
      </c>
      <c r="K336" s="9">
        <v>0</v>
      </c>
      <c r="L336" s="8">
        <f>+VLOOKUP($B336,NIFTY_50!$B$3:$I$1238,8,0)</f>
        <v>2.1464234053469866E-4</v>
      </c>
      <c r="M336" s="8">
        <f>+VLOOKUP($B336,NIFTY_BANK!$B$3:$I$41238,8,0)</f>
        <v>9.2236399047658235E-3</v>
      </c>
      <c r="N336" s="8">
        <f>+VLOOKUP($B336,NIFTY_IT!$B$3:$I$1238,8,0)</f>
        <v>-3.3706023880997193E-3</v>
      </c>
      <c r="O336" s="8">
        <f>+VLOOKUP($B336,NIFTY_PHARMA!$B$3:$I$1238,8,0)</f>
        <v>-2.4104212253829305E-3</v>
      </c>
      <c r="P336" s="8">
        <f>+VLOOKUP($B336,NIFTY_FMCG!$B$3:$I$1238,8,0)</f>
        <v>-1.0966715057806331E-3</v>
      </c>
      <c r="Q336" s="8">
        <f>+VLOOKUP($B336,NIFTY_METAL!$B$3:$I$1238,8,0)</f>
        <v>-1.8533800511369991E-3</v>
      </c>
      <c r="R336" s="8">
        <f>+VLOOKUP($B336,NIFTY_ENERGY!$B$3:$I$1238,8,0)</f>
        <v>1.2623439201910891E-3</v>
      </c>
      <c r="S336" s="8">
        <f>+VLOOKUP($B336,NIFTY_AUTO!$B$3:$I$1238,8,0)</f>
        <v>-4.5606461495613093E-3</v>
      </c>
      <c r="T336" s="8">
        <v>0</v>
      </c>
      <c r="U336" s="8">
        <f>+VLOOKUP($B336,NIFTY_50!$B$63:$K$1238,10,0)</f>
        <v>4.8047400518442807E-3</v>
      </c>
      <c r="V336" s="8">
        <f>+VLOOKUP($B336,NIFTY_BANK!$B$63:$K$1238,10,0)</f>
        <v>-3.1610709325158304E-4</v>
      </c>
      <c r="W336" s="8">
        <f>+VLOOKUP($B336,NIFTY_IT!$B$63:$K$1238,10,0)</f>
        <v>3.4223809413383321E-2</v>
      </c>
      <c r="X336" s="8">
        <f>+VLOOKUP($B336,NIFTY_PHARMA!$B$63:$K$1238,10,0)</f>
        <v>-3.486961795027288E-2</v>
      </c>
      <c r="Y336" s="8">
        <f>+VLOOKUP($B336,NIFTY_FMCG!$B$63:$K$1238,10,0)</f>
        <v>5.014213896152131E-2</v>
      </c>
      <c r="Z336" s="8">
        <f>+VLOOKUP($B336,NIFTY_METAL!$B$63:$K$1238,10,0)</f>
        <v>-6.0472934255262345E-2</v>
      </c>
      <c r="AA336" s="8">
        <f>+VLOOKUP($B336,NIFTY_ENERGY!$B$63:$K$1238,10,0)</f>
        <v>8.2955602045560184E-3</v>
      </c>
      <c r="AB336" s="8">
        <f>+VLOOKUP($B336,NIFTY_AUTO!$B$63:$K$1238,10,0)</f>
        <v>4.4614627977237475E-3</v>
      </c>
      <c r="AC336" s="8"/>
      <c r="AD336" s="16">
        <f t="shared" si="202"/>
        <v>5.8623638112974559E-2</v>
      </c>
      <c r="AE336" s="8">
        <f t="shared" si="203"/>
        <v>7.7294049482121624E-2</v>
      </c>
      <c r="AF336" s="8">
        <f t="shared" si="204"/>
        <v>9.9751032468673631E-2</v>
      </c>
      <c r="AG336" s="8">
        <f t="shared" si="205"/>
        <v>8.9929028503609773E-2</v>
      </c>
      <c r="AH336" s="8">
        <f t="shared" si="206"/>
        <v>6.2935749083016621E-2</v>
      </c>
      <c r="AI336" s="8">
        <f t="shared" si="207"/>
        <v>0.12749839497696874</v>
      </c>
      <c r="AJ336" s="8">
        <f t="shared" si="208"/>
        <v>7.4618995955689327E-2</v>
      </c>
      <c r="AK336" s="8">
        <f t="shared" si="209"/>
        <v>7.0479119881750749E-2</v>
      </c>
      <c r="AL336" s="9">
        <v>0</v>
      </c>
      <c r="AM336" s="17">
        <f t="shared" si="186"/>
        <v>17.057965561142485</v>
      </c>
      <c r="AN336" s="13">
        <f t="shared" si="187"/>
        <v>12.937606538926433</v>
      </c>
      <c r="AO336" s="13">
        <f t="shared" si="188"/>
        <v>10.024958892671568</v>
      </c>
      <c r="AP336" s="13">
        <f t="shared" si="189"/>
        <v>11.119879939099528</v>
      </c>
      <c r="AQ336" s="13">
        <f t="shared" si="190"/>
        <v>15.889220587188541</v>
      </c>
      <c r="AR336" s="13">
        <f t="shared" si="191"/>
        <v>7.8432359888188365</v>
      </c>
      <c r="AS336" s="13">
        <f t="shared" si="192"/>
        <v>13.401413235228006</v>
      </c>
      <c r="AT336" s="13">
        <f t="shared" si="193"/>
        <v>14.188599427430297</v>
      </c>
      <c r="AU336" s="9">
        <v>0</v>
      </c>
      <c r="AV336" s="18">
        <f t="shared" si="210"/>
        <v>1</v>
      </c>
      <c r="AW336" s="18">
        <f t="shared" si="211"/>
        <v>5</v>
      </c>
      <c r="AX336" s="18">
        <f t="shared" si="212"/>
        <v>7</v>
      </c>
      <c r="AY336" s="18">
        <f t="shared" si="213"/>
        <v>6</v>
      </c>
      <c r="AZ336" s="18">
        <f t="shared" si="214"/>
        <v>2</v>
      </c>
      <c r="BA336" s="18">
        <f t="shared" si="215"/>
        <v>8</v>
      </c>
      <c r="BB336" s="18">
        <f t="shared" si="216"/>
        <v>4</v>
      </c>
      <c r="BC336" s="18">
        <f t="shared" si="217"/>
        <v>3</v>
      </c>
      <c r="BD336" s="18">
        <f t="shared" si="218"/>
        <v>9</v>
      </c>
      <c r="BE336" s="8">
        <f t="shared" si="220"/>
        <v>-1.0314656800860516E-3</v>
      </c>
    </row>
    <row r="337" spans="1:57" x14ac:dyDescent="0.25">
      <c r="A337" t="str">
        <f t="shared" si="219"/>
        <v/>
      </c>
      <c r="B337" s="1">
        <v>43229</v>
      </c>
      <c r="C337" s="9">
        <f t="shared" si="194"/>
        <v>0.25120030276057059</v>
      </c>
      <c r="D337" s="9">
        <f t="shared" si="195"/>
        <v>0</v>
      </c>
      <c r="E337" s="9">
        <f t="shared" si="196"/>
        <v>0</v>
      </c>
      <c r="F337" s="9">
        <f t="shared" si="197"/>
        <v>0</v>
      </c>
      <c r="G337" s="9">
        <f t="shared" si="198"/>
        <v>0.24820512347119489</v>
      </c>
      <c r="H337" s="9">
        <f t="shared" si="199"/>
        <v>0</v>
      </c>
      <c r="I337" s="9">
        <f t="shared" si="200"/>
        <v>0.25389934345342119</v>
      </c>
      <c r="J337" s="9">
        <f t="shared" si="201"/>
        <v>0.24669523031481336</v>
      </c>
      <c r="K337" s="9">
        <v>0</v>
      </c>
      <c r="L337" s="8">
        <f>+VLOOKUP($B337,NIFTY_50!$B$3:$I$1238,8,0)</f>
        <v>2.2299352479053791E-3</v>
      </c>
      <c r="M337" s="8">
        <f>+VLOOKUP($B337,NIFTY_BANK!$B$3:$I$41238,8,0)</f>
        <v>2.4510837277935682E-3</v>
      </c>
      <c r="N337" s="8">
        <f>+VLOOKUP($B337,NIFTY_IT!$B$3:$I$1238,8,0)</f>
        <v>5.5121023345154896E-3</v>
      </c>
      <c r="O337" s="8">
        <f>+VLOOKUP($B337,NIFTY_PHARMA!$B$3:$I$1238,8,0)</f>
        <v>-5.6150572644445562E-3</v>
      </c>
      <c r="P337" s="8">
        <f>+VLOOKUP($B337,NIFTY_FMCG!$B$3:$I$1238,8,0)</f>
        <v>-4.176129349697022E-3</v>
      </c>
      <c r="Q337" s="8">
        <f>+VLOOKUP($B337,NIFTY_METAL!$B$3:$I$1238,8,0)</f>
        <v>6.9122550215494627E-4</v>
      </c>
      <c r="R337" s="8">
        <f>+VLOOKUP($B337,NIFTY_ENERGY!$B$3:$I$1238,8,0)</f>
        <v>2.9213434577755049E-3</v>
      </c>
      <c r="S337" s="8">
        <f>+VLOOKUP($B337,NIFTY_AUTO!$B$3:$I$1238,8,0)</f>
        <v>-1.5257230790753917E-3</v>
      </c>
      <c r="T337" s="8">
        <v>0</v>
      </c>
      <c r="U337" s="8">
        <f>+VLOOKUP($B337,NIFTY_50!$B$63:$K$1238,10,0)</f>
        <v>2.3189579215583622E-2</v>
      </c>
      <c r="V337" s="8">
        <f>+VLOOKUP($B337,NIFTY_BANK!$B$63:$K$1238,10,0)</f>
        <v>1.3294564783641327E-2</v>
      </c>
      <c r="W337" s="8">
        <f>+VLOOKUP($B337,NIFTY_IT!$B$63:$K$1238,10,0)</f>
        <v>7.0930200161593904E-2</v>
      </c>
      <c r="X337" s="8">
        <f>+VLOOKUP($B337,NIFTY_PHARMA!$B$63:$K$1238,10,0)</f>
        <v>-1.8841764125686833E-2</v>
      </c>
      <c r="Y337" s="8">
        <f>+VLOOKUP($B337,NIFTY_FMCG!$B$63:$K$1238,10,0)</f>
        <v>6.6109040738435709E-2</v>
      </c>
      <c r="Z337" s="8">
        <f>+VLOOKUP($B337,NIFTY_METAL!$B$63:$K$1238,10,0)</f>
        <v>-4.4109269808389362E-2</v>
      </c>
      <c r="AA337" s="8">
        <f>+VLOOKUP($B337,NIFTY_ENERGY!$B$63:$K$1238,10,0)</f>
        <v>2.4842274196279268E-2</v>
      </c>
      <c r="AB337" s="8">
        <f>+VLOOKUP($B337,NIFTY_AUTO!$B$63:$K$1238,10,0)</f>
        <v>2.1289249398570798E-2</v>
      </c>
      <c r="AC337" s="8"/>
      <c r="AD337" s="16">
        <f t="shared" si="202"/>
        <v>5.6423297797395647E-2</v>
      </c>
      <c r="AE337" s="8">
        <f t="shared" si="203"/>
        <v>7.6517461733396311E-2</v>
      </c>
      <c r="AF337" s="8">
        <f t="shared" si="204"/>
        <v>9.5285555194723121E-2</v>
      </c>
      <c r="AG337" s="8">
        <f t="shared" si="205"/>
        <v>8.7483568309363713E-2</v>
      </c>
      <c r="AH337" s="8">
        <f t="shared" si="206"/>
        <v>5.987787515629539E-2</v>
      </c>
      <c r="AI337" s="8">
        <f t="shared" si="207"/>
        <v>0.12653742143806057</v>
      </c>
      <c r="AJ337" s="8">
        <f t="shared" si="208"/>
        <v>7.3418218258277768E-2</v>
      </c>
      <c r="AK337" s="8">
        <f t="shared" si="209"/>
        <v>6.8104805265056731E-2</v>
      </c>
      <c r="AL337" s="9">
        <v>0</v>
      </c>
      <c r="AM337" s="17">
        <f t="shared" si="186"/>
        <v>17.723175337797386</v>
      </c>
      <c r="AN337" s="13">
        <f t="shared" si="187"/>
        <v>13.068912341658956</v>
      </c>
      <c r="AO337" s="13">
        <f t="shared" si="188"/>
        <v>10.494770145972552</v>
      </c>
      <c r="AP337" s="13">
        <f t="shared" si="189"/>
        <v>11.430718011681355</v>
      </c>
      <c r="AQ337" s="13">
        <f t="shared" si="190"/>
        <v>16.700659423698049</v>
      </c>
      <c r="AR337" s="13">
        <f t="shared" si="191"/>
        <v>7.9028005204728702</v>
      </c>
      <c r="AS337" s="13">
        <f t="shared" si="192"/>
        <v>13.620597499139825</v>
      </c>
      <c r="AT337" s="13">
        <f t="shared" si="193"/>
        <v>14.683251733972446</v>
      </c>
      <c r="AU337" s="9">
        <v>0</v>
      </c>
      <c r="AV337" s="18">
        <f t="shared" si="210"/>
        <v>1</v>
      </c>
      <c r="AW337" s="18">
        <f t="shared" si="211"/>
        <v>5</v>
      </c>
      <c r="AX337" s="18">
        <f t="shared" si="212"/>
        <v>7</v>
      </c>
      <c r="AY337" s="18">
        <f t="shared" si="213"/>
        <v>6</v>
      </c>
      <c r="AZ337" s="18">
        <f t="shared" si="214"/>
        <v>2</v>
      </c>
      <c r="BA337" s="18">
        <f t="shared" si="215"/>
        <v>8</v>
      </c>
      <c r="BB337" s="18">
        <f t="shared" si="216"/>
        <v>4</v>
      </c>
      <c r="BC337" s="18">
        <f t="shared" si="217"/>
        <v>3</v>
      </c>
      <c r="BD337" s="18">
        <f t="shared" si="218"/>
        <v>9</v>
      </c>
      <c r="BE337" s="8">
        <f t="shared" si="220"/>
        <v>-1.1935234233300762E-4</v>
      </c>
    </row>
    <row r="338" spans="1:57" x14ac:dyDescent="0.25">
      <c r="A338" t="str">
        <f t="shared" si="219"/>
        <v/>
      </c>
      <c r="B338" s="1">
        <v>43230</v>
      </c>
      <c r="C338" s="9">
        <f t="shared" si="194"/>
        <v>0.25142896104752271</v>
      </c>
      <c r="D338" s="9">
        <f t="shared" si="195"/>
        <v>0</v>
      </c>
      <c r="E338" s="9">
        <f t="shared" si="196"/>
        <v>0</v>
      </c>
      <c r="F338" s="9">
        <f t="shared" si="197"/>
        <v>0</v>
      </c>
      <c r="G338" s="9">
        <f t="shared" si="198"/>
        <v>0.2472228317724301</v>
      </c>
      <c r="H338" s="9">
        <f t="shared" si="199"/>
        <v>0</v>
      </c>
      <c r="I338" s="9">
        <f t="shared" si="200"/>
        <v>0.25543864709107383</v>
      </c>
      <c r="J338" s="9">
        <f t="shared" si="201"/>
        <v>0.24590956008897338</v>
      </c>
      <c r="K338" s="9">
        <v>0</v>
      </c>
      <c r="L338" s="8">
        <f>+VLOOKUP($B338,NIFTY_50!$B$3:$I$1238,8,0)</f>
        <v>-2.3413426180214358E-3</v>
      </c>
      <c r="M338" s="8">
        <f>+VLOOKUP($B338,NIFTY_BANK!$B$3:$I$41238,8,0)</f>
        <v>-8.9659694621757602E-4</v>
      </c>
      <c r="N338" s="8">
        <f>+VLOOKUP($B338,NIFTY_IT!$B$3:$I$1238,8,0)</f>
        <v>-1.9400300295836503E-3</v>
      </c>
      <c r="O338" s="8">
        <f>+VLOOKUP($B338,NIFTY_PHARMA!$B$3:$I$1238,8,0)</f>
        <v>-1.8284486621247376E-2</v>
      </c>
      <c r="P338" s="8">
        <f>+VLOOKUP($B338,NIFTY_FMCG!$B$3:$I$1238,8,0)</f>
        <v>-7.1933717589386381E-3</v>
      </c>
      <c r="Q338" s="8">
        <f>+VLOOKUP($B338,NIFTY_METAL!$B$3:$I$1238,8,0)</f>
        <v>-9.7381929489523955E-3</v>
      </c>
      <c r="R338" s="8">
        <f>+VLOOKUP($B338,NIFTY_ENERGY!$B$3:$I$1238,8,0)</f>
        <v>2.7943093781763739E-3</v>
      </c>
      <c r="S338" s="8">
        <f>+VLOOKUP($B338,NIFTY_AUTO!$B$3:$I$1238,8,0)</f>
        <v>-6.423082817049397E-3</v>
      </c>
      <c r="T338" s="8">
        <v>0</v>
      </c>
      <c r="U338" s="8">
        <f>+VLOOKUP($B338,NIFTY_50!$B$63:$K$1238,10,0)</f>
        <v>2.2893659262935628E-2</v>
      </c>
      <c r="V338" s="8">
        <f>+VLOOKUP($B338,NIFTY_BANK!$B$63:$K$1238,10,0)</f>
        <v>1.795870666147259E-2</v>
      </c>
      <c r="W338" s="8">
        <f>+VLOOKUP($B338,NIFTY_IT!$B$63:$K$1238,10,0)</f>
        <v>7.8493660668029541E-2</v>
      </c>
      <c r="X338" s="8">
        <f>+VLOOKUP($B338,NIFTY_PHARMA!$B$63:$K$1238,10,0)</f>
        <v>-4.3739788267418533E-2</v>
      </c>
      <c r="Y338" s="8">
        <f>+VLOOKUP($B338,NIFTY_FMCG!$B$63:$K$1238,10,0)</f>
        <v>5.6026977337465533E-2</v>
      </c>
      <c r="Z338" s="8">
        <f>+VLOOKUP($B338,NIFTY_METAL!$B$63:$K$1238,10,0)</f>
        <v>-5.7748566273600144E-2</v>
      </c>
      <c r="AA338" s="8">
        <f>+VLOOKUP($B338,NIFTY_ENERGY!$B$63:$K$1238,10,0)</f>
        <v>1.8442794871327273E-2</v>
      </c>
      <c r="AB338" s="8">
        <f>+VLOOKUP($B338,NIFTY_AUTO!$B$63:$K$1238,10,0)</f>
        <v>1.173900443612208E-2</v>
      </c>
      <c r="AC338" s="8"/>
      <c r="AD338" s="16">
        <f t="shared" si="202"/>
        <v>5.643657857337521E-2</v>
      </c>
      <c r="AE338" s="8">
        <f t="shared" si="203"/>
        <v>7.6308536560134047E-2</v>
      </c>
      <c r="AF338" s="8">
        <f t="shared" si="204"/>
        <v>9.4792491498285156E-2</v>
      </c>
      <c r="AG338" s="8">
        <f t="shared" si="205"/>
        <v>8.8945421863459134E-2</v>
      </c>
      <c r="AH338" s="8">
        <f t="shared" si="206"/>
        <v>6.0422423202022048E-2</v>
      </c>
      <c r="AI338" s="8">
        <f t="shared" si="207"/>
        <v>0.12674627787315906</v>
      </c>
      <c r="AJ338" s="8">
        <f t="shared" si="208"/>
        <v>7.2940331893193849E-2</v>
      </c>
      <c r="AK338" s="8">
        <f t="shared" si="209"/>
        <v>6.8385178509223488E-2</v>
      </c>
      <c r="AL338" s="9">
        <v>0</v>
      </c>
      <c r="AM338" s="17">
        <f t="shared" si="186"/>
        <v>17.719004682395202</v>
      </c>
      <c r="AN338" s="13">
        <f t="shared" si="187"/>
        <v>13.104693722070817</v>
      </c>
      <c r="AO338" s="13">
        <f t="shared" si="188"/>
        <v>10.549358753990452</v>
      </c>
      <c r="AP338" s="13">
        <f t="shared" si="189"/>
        <v>11.242849593035922</v>
      </c>
      <c r="AQ338" s="13">
        <f t="shared" si="190"/>
        <v>16.550147230217917</v>
      </c>
      <c r="AR338" s="13">
        <f t="shared" si="191"/>
        <v>7.8897780414565455</v>
      </c>
      <c r="AS338" s="13">
        <f t="shared" si="192"/>
        <v>13.709836163952405</v>
      </c>
      <c r="AT338" s="13">
        <f t="shared" si="193"/>
        <v>14.623051687510394</v>
      </c>
      <c r="AU338" s="9">
        <v>0</v>
      </c>
      <c r="AV338" s="18">
        <f t="shared" si="210"/>
        <v>1</v>
      </c>
      <c r="AW338" s="18">
        <f t="shared" si="211"/>
        <v>5</v>
      </c>
      <c r="AX338" s="18">
        <f t="shared" si="212"/>
        <v>7</v>
      </c>
      <c r="AY338" s="18">
        <f t="shared" si="213"/>
        <v>6</v>
      </c>
      <c r="AZ338" s="18">
        <f t="shared" si="214"/>
        <v>2</v>
      </c>
      <c r="BA338" s="18">
        <f t="shared" si="215"/>
        <v>8</v>
      </c>
      <c r="BB338" s="18">
        <f t="shared" si="216"/>
        <v>4</v>
      </c>
      <c r="BC338" s="18">
        <f t="shared" si="217"/>
        <v>3</v>
      </c>
      <c r="BD338" s="18">
        <f t="shared" si="218"/>
        <v>9</v>
      </c>
      <c r="BE338" s="8">
        <f t="shared" si="220"/>
        <v>-3.2486482784731853E-3</v>
      </c>
    </row>
    <row r="339" spans="1:57" x14ac:dyDescent="0.25">
      <c r="A339" t="str">
        <f t="shared" si="219"/>
        <v/>
      </c>
      <c r="B339" s="1">
        <v>43231</v>
      </c>
      <c r="C339" s="9">
        <f t="shared" si="194"/>
        <v>0.25191466557708969</v>
      </c>
      <c r="D339" s="9">
        <f t="shared" si="195"/>
        <v>0</v>
      </c>
      <c r="E339" s="9">
        <f t="shared" si="196"/>
        <v>0</v>
      </c>
      <c r="F339" s="9">
        <f t="shared" si="197"/>
        <v>0</v>
      </c>
      <c r="G339" s="9">
        <f t="shared" si="198"/>
        <v>0.24776730786213225</v>
      </c>
      <c r="H339" s="9">
        <f t="shared" si="199"/>
        <v>0</v>
      </c>
      <c r="I339" s="9">
        <f t="shared" si="200"/>
        <v>0.25540714211278898</v>
      </c>
      <c r="J339" s="9">
        <f t="shared" si="201"/>
        <v>0.24491088444798909</v>
      </c>
      <c r="K339" s="9">
        <v>0</v>
      </c>
      <c r="L339" s="8">
        <f>+VLOOKUP($B339,NIFTY_50!$B$3:$I$1238,8,0)</f>
        <v>8.3935594944268832E-3</v>
      </c>
      <c r="M339" s="8">
        <f>+VLOOKUP($B339,NIFTY_BANK!$B$3:$I$41238,8,0)</f>
        <v>1.0797520186751397E-2</v>
      </c>
      <c r="N339" s="8">
        <f>+VLOOKUP($B339,NIFTY_IT!$B$3:$I$1238,8,0)</f>
        <v>3.820574501202767E-3</v>
      </c>
      <c r="O339" s="8">
        <f>+VLOOKUP($B339,NIFTY_PHARMA!$B$3:$I$1238,8,0)</f>
        <v>-1.1615047484186514E-2</v>
      </c>
      <c r="P339" s="8">
        <f>+VLOOKUP($B339,NIFTY_FMCG!$B$3:$I$1238,8,0)</f>
        <v>8.6658980176292921E-3</v>
      </c>
      <c r="Q339" s="8">
        <f>+VLOOKUP($B339,NIFTY_METAL!$B$3:$I$1238,8,0)</f>
        <v>1.5619443608611228E-2</v>
      </c>
      <c r="R339" s="8">
        <f>+VLOOKUP($B339,NIFTY_ENERGY!$B$3:$I$1238,8,0)</f>
        <v>6.3251922450136E-3</v>
      </c>
      <c r="S339" s="8">
        <f>+VLOOKUP($B339,NIFTY_AUTO!$B$3:$I$1238,8,0)</f>
        <v>2.361982655291639E-3</v>
      </c>
      <c r="T339" s="8">
        <v>0</v>
      </c>
      <c r="U339" s="8">
        <f>+VLOOKUP($B339,NIFTY_50!$B$63:$K$1238,10,0)</f>
        <v>2.171251365009419E-2</v>
      </c>
      <c r="V339" s="8">
        <f>+VLOOKUP($B339,NIFTY_BANK!$B$63:$K$1238,10,0)</f>
        <v>1.9000295131487821E-2</v>
      </c>
      <c r="W339" s="8">
        <f>+VLOOKUP($B339,NIFTY_IT!$B$63:$K$1238,10,0)</f>
        <v>7.0720149979941693E-2</v>
      </c>
      <c r="X339" s="8">
        <f>+VLOOKUP($B339,NIFTY_PHARMA!$B$63:$K$1238,10,0)</f>
        <v>-8.8178613649736337E-2</v>
      </c>
      <c r="Y339" s="8">
        <f>+VLOOKUP($B339,NIFTY_FMCG!$B$63:$K$1238,10,0)</f>
        <v>6.3068847856764254E-2</v>
      </c>
      <c r="Z339" s="8">
        <f>+VLOOKUP($B339,NIFTY_METAL!$B$63:$K$1238,10,0)</f>
        <v>-5.6815150706855055E-2</v>
      </c>
      <c r="AA339" s="8">
        <f>+VLOOKUP($B339,NIFTY_ENERGY!$B$63:$K$1238,10,0)</f>
        <v>2.3398884692015454E-2</v>
      </c>
      <c r="AB339" s="8">
        <f>+VLOOKUP($B339,NIFTY_AUTO!$B$63:$K$1238,10,0)</f>
        <v>2.5563724193862214E-3</v>
      </c>
      <c r="AC339" s="8"/>
      <c r="AD339" s="16">
        <f t="shared" si="202"/>
        <v>5.6258889992855859E-2</v>
      </c>
      <c r="AE339" s="8">
        <f t="shared" si="203"/>
        <v>7.6442908806843013E-2</v>
      </c>
      <c r="AF339" s="8">
        <f t="shared" si="204"/>
        <v>9.4313720087255207E-2</v>
      </c>
      <c r="AG339" s="8">
        <f t="shared" si="205"/>
        <v>8.1286353684216134E-2</v>
      </c>
      <c r="AH339" s="8">
        <f t="shared" si="206"/>
        <v>6.0901163885785273E-2</v>
      </c>
      <c r="AI339" s="8">
        <f t="shared" si="207"/>
        <v>0.12687271429923583</v>
      </c>
      <c r="AJ339" s="8">
        <f t="shared" si="208"/>
        <v>7.3174159206798997E-2</v>
      </c>
      <c r="AK339" s="8">
        <f t="shared" si="209"/>
        <v>6.7466349808150264E-2</v>
      </c>
      <c r="AL339" s="9">
        <v>0</v>
      </c>
      <c r="AM339" s="17">
        <f t="shared" si="186"/>
        <v>17.774968545006608</v>
      </c>
      <c r="AN339" s="13">
        <f t="shared" si="187"/>
        <v>13.081658136882437</v>
      </c>
      <c r="AO339" s="13">
        <f t="shared" si="188"/>
        <v>10.602911210318506</v>
      </c>
      <c r="AP339" s="13">
        <f t="shared" si="189"/>
        <v>12.302187940239422</v>
      </c>
      <c r="AQ339" s="13">
        <f t="shared" si="190"/>
        <v>16.42004743744161</v>
      </c>
      <c r="AR339" s="13">
        <f t="shared" si="191"/>
        <v>7.8819153946801244</v>
      </c>
      <c r="AS339" s="13">
        <f t="shared" si="192"/>
        <v>13.666026515916355</v>
      </c>
      <c r="AT339" s="13">
        <f t="shared" si="193"/>
        <v>14.822204000122074</v>
      </c>
      <c r="AU339" s="9">
        <v>0</v>
      </c>
      <c r="AV339" s="18">
        <f t="shared" si="210"/>
        <v>1</v>
      </c>
      <c r="AW339" s="18">
        <f t="shared" si="211"/>
        <v>5</v>
      </c>
      <c r="AX339" s="18">
        <f t="shared" si="212"/>
        <v>7</v>
      </c>
      <c r="AY339" s="18">
        <f t="shared" si="213"/>
        <v>6</v>
      </c>
      <c r="AZ339" s="18">
        <f t="shared" si="214"/>
        <v>2</v>
      </c>
      <c r="BA339" s="18">
        <f t="shared" si="215"/>
        <v>8</v>
      </c>
      <c r="BB339" s="18">
        <f t="shared" si="216"/>
        <v>4</v>
      </c>
      <c r="BC339" s="18">
        <f t="shared" si="217"/>
        <v>3</v>
      </c>
      <c r="BD339" s="18">
        <f t="shared" si="218"/>
        <v>9</v>
      </c>
      <c r="BE339" s="8">
        <f t="shared" si="220"/>
        <v>6.4493244563015011E-3</v>
      </c>
    </row>
    <row r="340" spans="1:57" x14ac:dyDescent="0.25">
      <c r="A340" t="str">
        <f t="shared" si="219"/>
        <v/>
      </c>
      <c r="B340" s="1">
        <v>43234</v>
      </c>
      <c r="C340" s="9">
        <f t="shared" si="194"/>
        <v>0.25243690085417031</v>
      </c>
      <c r="D340" s="9">
        <f t="shared" si="195"/>
        <v>0</v>
      </c>
      <c r="E340" s="9">
        <f t="shared" si="196"/>
        <v>0</v>
      </c>
      <c r="F340" s="9">
        <f t="shared" si="197"/>
        <v>0</v>
      </c>
      <c r="G340" s="9">
        <f t="shared" si="198"/>
        <v>0.24793948371923955</v>
      </c>
      <c r="H340" s="9">
        <f t="shared" si="199"/>
        <v>0</v>
      </c>
      <c r="I340" s="9">
        <f t="shared" si="200"/>
        <v>0.25635326548842507</v>
      </c>
      <c r="J340" s="9">
        <f t="shared" si="201"/>
        <v>0.24327034993816504</v>
      </c>
      <c r="K340" s="9">
        <v>0</v>
      </c>
      <c r="L340" s="8">
        <f>+VLOOKUP($B340,NIFTY_50!$B$3:$I$1238,8,0)</f>
        <v>9.2536899087836133E-6</v>
      </c>
      <c r="M340" s="8">
        <f>+VLOOKUP($B340,NIFTY_BANK!$B$3:$I$41238,8,0)</f>
        <v>2.3473156363402747E-3</v>
      </c>
      <c r="N340" s="8">
        <f>+VLOOKUP($B340,NIFTY_IT!$B$3:$I$1238,8,0)</f>
        <v>-2.4075200688499221E-3</v>
      </c>
      <c r="O340" s="8">
        <f>+VLOOKUP($B340,NIFTY_PHARMA!$B$3:$I$1238,8,0)</f>
        <v>1.9358963733022705E-3</v>
      </c>
      <c r="P340" s="8">
        <f>+VLOOKUP($B340,NIFTY_FMCG!$B$3:$I$1238,8,0)</f>
        <v>-1.366062649248545E-3</v>
      </c>
      <c r="Q340" s="8">
        <f>+VLOOKUP($B340,NIFTY_METAL!$B$3:$I$1238,8,0)</f>
        <v>-2.8953889248006792E-3</v>
      </c>
      <c r="R340" s="8">
        <f>+VLOOKUP($B340,NIFTY_ENERGY!$B$3:$I$1238,8,0)</f>
        <v>1.6372029455415937E-3</v>
      </c>
      <c r="S340" s="8">
        <f>+VLOOKUP($B340,NIFTY_AUTO!$B$3:$I$1238,8,0)</f>
        <v>-8.744240846903284E-3</v>
      </c>
      <c r="T340" s="8">
        <v>0</v>
      </c>
      <c r="U340" s="8">
        <f>+VLOOKUP($B340,NIFTY_50!$B$63:$K$1238,10,0)</f>
        <v>3.3634785436563508E-2</v>
      </c>
      <c r="V340" s="8">
        <f>+VLOOKUP($B340,NIFTY_BANK!$B$63:$K$1238,10,0)</f>
        <v>3.9723291829725893E-2</v>
      </c>
      <c r="W340" s="8">
        <f>+VLOOKUP($B340,NIFTY_IT!$B$63:$K$1238,10,0)</f>
        <v>7.6320571213588595E-2</v>
      </c>
      <c r="X340" s="8">
        <f>+VLOOKUP($B340,NIFTY_PHARMA!$B$63:$K$1238,10,0)</f>
        <v>-8.2460924581596151E-2</v>
      </c>
      <c r="Y340" s="8">
        <f>+VLOOKUP($B340,NIFTY_FMCG!$B$63:$K$1238,10,0)</f>
        <v>6.6485900623680427E-2</v>
      </c>
      <c r="Z340" s="8">
        <f>+VLOOKUP($B340,NIFTY_METAL!$B$63:$K$1238,10,0)</f>
        <v>-7.1330022075055122E-2</v>
      </c>
      <c r="AA340" s="8">
        <f>+VLOOKUP($B340,NIFTY_ENERGY!$B$63:$K$1238,10,0)</f>
        <v>3.1654154080764885E-2</v>
      </c>
      <c r="AB340" s="8">
        <f>+VLOOKUP($B340,NIFTY_AUTO!$B$63:$K$1238,10,0)</f>
        <v>3.471372304679754E-3</v>
      </c>
      <c r="AC340" s="8"/>
      <c r="AD340" s="16">
        <f t="shared" si="202"/>
        <v>5.4966624179061833E-2</v>
      </c>
      <c r="AE340" s="8">
        <f t="shared" si="203"/>
        <v>7.4279211713077178E-2</v>
      </c>
      <c r="AF340" s="8">
        <f t="shared" si="204"/>
        <v>9.39697394204628E-2</v>
      </c>
      <c r="AG340" s="8">
        <f t="shared" si="205"/>
        <v>8.1303334266956614E-2</v>
      </c>
      <c r="AH340" s="8">
        <f t="shared" si="206"/>
        <v>6.0689301245088971E-2</v>
      </c>
      <c r="AI340" s="8">
        <f t="shared" si="207"/>
        <v>0.12615190026684397</v>
      </c>
      <c r="AJ340" s="8">
        <f t="shared" si="208"/>
        <v>7.2860310199303002E-2</v>
      </c>
      <c r="AK340" s="8">
        <f t="shared" si="209"/>
        <v>6.7341873200995231E-2</v>
      </c>
      <c r="AL340" s="9">
        <v>0</v>
      </c>
      <c r="AM340" s="17">
        <f t="shared" si="186"/>
        <v>18.192858210508863</v>
      </c>
      <c r="AN340" s="13">
        <f t="shared" si="187"/>
        <v>13.462716915504714</v>
      </c>
      <c r="AO340" s="13">
        <f t="shared" si="188"/>
        <v>10.641723667291989</v>
      </c>
      <c r="AP340" s="13">
        <f t="shared" si="189"/>
        <v>12.299618570580826</v>
      </c>
      <c r="AQ340" s="13">
        <f t="shared" si="190"/>
        <v>16.477368819284614</v>
      </c>
      <c r="AR340" s="13">
        <f t="shared" si="191"/>
        <v>7.9269515392533982</v>
      </c>
      <c r="AS340" s="13">
        <f t="shared" si="192"/>
        <v>13.724893529338367</v>
      </c>
      <c r="AT340" s="13">
        <f t="shared" si="193"/>
        <v>14.849601777712671</v>
      </c>
      <c r="AU340" s="9">
        <v>0</v>
      </c>
      <c r="AV340" s="18">
        <f t="shared" si="210"/>
        <v>1</v>
      </c>
      <c r="AW340" s="18">
        <f t="shared" si="211"/>
        <v>5</v>
      </c>
      <c r="AX340" s="18">
        <f t="shared" si="212"/>
        <v>7</v>
      </c>
      <c r="AY340" s="18">
        <f t="shared" si="213"/>
        <v>6</v>
      </c>
      <c r="AZ340" s="18">
        <f t="shared" si="214"/>
        <v>2</v>
      </c>
      <c r="BA340" s="18">
        <f t="shared" si="215"/>
        <v>8</v>
      </c>
      <c r="BB340" s="18">
        <f t="shared" si="216"/>
        <v>4</v>
      </c>
      <c r="BC340" s="18">
        <f t="shared" si="217"/>
        <v>3</v>
      </c>
      <c r="BD340" s="18">
        <f t="shared" si="218"/>
        <v>9</v>
      </c>
      <c r="BE340" s="8">
        <f t="shared" si="220"/>
        <v>-2.0595409590384965E-3</v>
      </c>
    </row>
    <row r="341" spans="1:57" x14ac:dyDescent="0.25">
      <c r="A341" t="str">
        <f t="shared" si="219"/>
        <v/>
      </c>
      <c r="B341" s="1">
        <v>43235</v>
      </c>
      <c r="C341" s="9">
        <f t="shared" si="194"/>
        <v>0.25322944660565722</v>
      </c>
      <c r="D341" s="9">
        <f t="shared" si="195"/>
        <v>0</v>
      </c>
      <c r="E341" s="9">
        <f t="shared" si="196"/>
        <v>0</v>
      </c>
      <c r="F341" s="9">
        <f t="shared" si="197"/>
        <v>0</v>
      </c>
      <c r="G341" s="9">
        <f t="shared" si="198"/>
        <v>0.24808833517169809</v>
      </c>
      <c r="H341" s="9">
        <f t="shared" si="199"/>
        <v>0</v>
      </c>
      <c r="I341" s="9">
        <f t="shared" si="200"/>
        <v>0.25642375702987702</v>
      </c>
      <c r="J341" s="9">
        <f t="shared" si="201"/>
        <v>0.24225846119276759</v>
      </c>
      <c r="K341" s="9">
        <v>0</v>
      </c>
      <c r="L341" s="8">
        <f>+VLOOKUP($B341,NIFTY_50!$B$3:$I$1238,8,0)</f>
        <v>-4.3954620324615501E-4</v>
      </c>
      <c r="M341" s="8">
        <f>+VLOOKUP($B341,NIFTY_BANK!$B$3:$I$41238,8,0)</f>
        <v>-4.3436958808595882E-5</v>
      </c>
      <c r="N341" s="8">
        <f>+VLOOKUP($B341,NIFTY_IT!$B$3:$I$1238,8,0)</f>
        <v>4.3729989625282961E-3</v>
      </c>
      <c r="O341" s="8">
        <f>+VLOOKUP($B341,NIFTY_PHARMA!$B$3:$I$1238,8,0)</f>
        <v>-7.1968376457240968E-3</v>
      </c>
      <c r="P341" s="8">
        <f>+VLOOKUP($B341,NIFTY_FMCG!$B$3:$I$1238,8,0)</f>
        <v>-2.9697121014448102E-3</v>
      </c>
      <c r="Q341" s="8">
        <f>+VLOOKUP($B341,NIFTY_METAL!$B$3:$I$1238,8,0)</f>
        <v>2.5661457840926438E-3</v>
      </c>
      <c r="R341" s="8">
        <f>+VLOOKUP($B341,NIFTY_ENERGY!$B$3:$I$1238,8,0)</f>
        <v>-3.2939270219275452E-3</v>
      </c>
      <c r="S341" s="8">
        <f>+VLOOKUP($B341,NIFTY_AUTO!$B$3:$I$1238,8,0)</f>
        <v>-7.7126067191485292E-3</v>
      </c>
      <c r="T341" s="8">
        <v>0</v>
      </c>
      <c r="U341" s="8">
        <f>+VLOOKUP($B341,NIFTY_50!$B$63:$K$1238,10,0)</f>
        <v>2.4867762518086423E-2</v>
      </c>
      <c r="V341" s="8">
        <f>+VLOOKUP($B341,NIFTY_BANK!$B$63:$K$1238,10,0)</f>
        <v>3.00526037289508E-2</v>
      </c>
      <c r="W341" s="8">
        <f>+VLOOKUP($B341,NIFTY_IT!$B$63:$K$1238,10,0)</f>
        <v>8.7123117853276089E-2</v>
      </c>
      <c r="X341" s="8">
        <f>+VLOOKUP($B341,NIFTY_PHARMA!$B$63:$K$1238,10,0)</f>
        <v>-0.10051445671550718</v>
      </c>
      <c r="Y341" s="8">
        <f>+VLOOKUP($B341,NIFTY_FMCG!$B$63:$K$1238,10,0)</f>
        <v>5.8637826616185329E-2</v>
      </c>
      <c r="Z341" s="8">
        <f>+VLOOKUP($B341,NIFTY_METAL!$B$63:$K$1238,10,0)</f>
        <v>-7.8779830973330411E-2</v>
      </c>
      <c r="AA341" s="8">
        <f>+VLOOKUP($B341,NIFTY_ENERGY!$B$63:$K$1238,10,0)</f>
        <v>1.4158447343302516E-2</v>
      </c>
      <c r="AB341" s="8">
        <f>+VLOOKUP($B341,NIFTY_AUTO!$B$63:$K$1238,10,0)</f>
        <v>-1.5658065509580155E-2</v>
      </c>
      <c r="AC341" s="8"/>
      <c r="AD341" s="16">
        <f t="shared" si="202"/>
        <v>5.444479650207458E-2</v>
      </c>
      <c r="AE341" s="8">
        <f t="shared" si="203"/>
        <v>7.3766365592736735E-2</v>
      </c>
      <c r="AF341" s="8">
        <f t="shared" si="204"/>
        <v>9.3759517784476304E-2</v>
      </c>
      <c r="AG341" s="8">
        <f t="shared" si="205"/>
        <v>8.0246115742104884E-2</v>
      </c>
      <c r="AH341" s="8">
        <f t="shared" si="206"/>
        <v>6.0725741886019112E-2</v>
      </c>
      <c r="AI341" s="8">
        <f t="shared" si="207"/>
        <v>0.12565161844265357</v>
      </c>
      <c r="AJ341" s="8">
        <f t="shared" si="208"/>
        <v>7.1697057993854327E-2</v>
      </c>
      <c r="AK341" s="8">
        <f t="shared" si="209"/>
        <v>6.6768583324388842E-2</v>
      </c>
      <c r="AL341" s="9">
        <v>0</v>
      </c>
      <c r="AM341" s="17">
        <f t="shared" si="186"/>
        <v>18.36722816958083</v>
      </c>
      <c r="AN341" s="13">
        <f t="shared" si="187"/>
        <v>13.556313801888907</v>
      </c>
      <c r="AO341" s="13">
        <f t="shared" si="188"/>
        <v>10.665583864228974</v>
      </c>
      <c r="AP341" s="13">
        <f t="shared" si="189"/>
        <v>12.461662359008153</v>
      </c>
      <c r="AQ341" s="13">
        <f t="shared" si="190"/>
        <v>16.467480988161135</v>
      </c>
      <c r="AR341" s="13">
        <f t="shared" si="191"/>
        <v>7.9585126908364678</v>
      </c>
      <c r="AS341" s="13">
        <f t="shared" si="192"/>
        <v>13.947573693828794</v>
      </c>
      <c r="AT341" s="13">
        <f t="shared" si="193"/>
        <v>14.977103754644526</v>
      </c>
      <c r="AU341" s="9">
        <v>0</v>
      </c>
      <c r="AV341" s="18">
        <f t="shared" si="210"/>
        <v>1</v>
      </c>
      <c r="AW341" s="18">
        <f t="shared" si="211"/>
        <v>5</v>
      </c>
      <c r="AX341" s="18">
        <f t="shared" si="212"/>
        <v>7</v>
      </c>
      <c r="AY341" s="18">
        <f t="shared" si="213"/>
        <v>6</v>
      </c>
      <c r="AZ341" s="18">
        <f t="shared" si="214"/>
        <v>2</v>
      </c>
      <c r="BA341" s="18">
        <f t="shared" si="215"/>
        <v>8</v>
      </c>
      <c r="BB341" s="18">
        <f t="shared" si="216"/>
        <v>4</v>
      </c>
      <c r="BC341" s="18">
        <f t="shared" si="217"/>
        <v>3</v>
      </c>
      <c r="BD341" s="18">
        <f t="shared" si="218"/>
        <v>9</v>
      </c>
      <c r="BE341" s="8">
        <f t="shared" si="220"/>
        <v>-3.5679240504110756E-3</v>
      </c>
    </row>
    <row r="342" spans="1:57" x14ac:dyDescent="0.25">
      <c r="A342" t="str">
        <f t="shared" si="219"/>
        <v/>
      </c>
      <c r="B342" s="1">
        <v>43236</v>
      </c>
      <c r="C342" s="9">
        <f t="shared" si="194"/>
        <v>0.25225421320367769</v>
      </c>
      <c r="D342" s="9">
        <f t="shared" si="195"/>
        <v>0</v>
      </c>
      <c r="E342" s="9">
        <f t="shared" si="196"/>
        <v>0</v>
      </c>
      <c r="F342" s="9">
        <f t="shared" si="197"/>
        <v>0</v>
      </c>
      <c r="G342" s="9">
        <f t="shared" si="198"/>
        <v>0.25303051547964017</v>
      </c>
      <c r="H342" s="9">
        <f t="shared" si="199"/>
        <v>0</v>
      </c>
      <c r="I342" s="9">
        <f t="shared" si="200"/>
        <v>0.25250433783820525</v>
      </c>
      <c r="J342" s="9">
        <f t="shared" si="201"/>
        <v>0.24221093347847694</v>
      </c>
      <c r="K342" s="9">
        <v>0</v>
      </c>
      <c r="L342" s="8">
        <f>+VLOOKUP($B342,NIFTY_50!$B$3:$I$1238,8,0)</f>
        <v>-5.6240366233561989E-3</v>
      </c>
      <c r="M342" s="8">
        <f>+VLOOKUP($B342,NIFTY_BANK!$B$3:$I$41238,8,0)</f>
        <v>-1.1024023570295305E-2</v>
      </c>
      <c r="N342" s="8">
        <f>+VLOOKUP($B342,NIFTY_IT!$B$3:$I$1238,8,0)</f>
        <v>1.5290689710067973E-3</v>
      </c>
      <c r="O342" s="8">
        <f>+VLOOKUP($B342,NIFTY_PHARMA!$B$3:$I$1238,8,0)</f>
        <v>-2.4401421233988252E-4</v>
      </c>
      <c r="P342" s="8">
        <f>+VLOOKUP($B342,NIFTY_FMCG!$B$3:$I$1238,8,0)</f>
        <v>1.8105891336435809E-2</v>
      </c>
      <c r="Q342" s="8">
        <f>+VLOOKUP($B342,NIFTY_METAL!$B$3:$I$1238,8,0)</f>
        <v>-4.1492098988293868E-3</v>
      </c>
      <c r="R342" s="8">
        <f>+VLOOKUP($B342,NIFTY_ENERGY!$B$3:$I$1238,8,0)</f>
        <v>-1.7037433155080217E-2</v>
      </c>
      <c r="S342" s="8">
        <f>+VLOOKUP($B342,NIFTY_AUTO!$B$3:$I$1238,8,0)</f>
        <v>-1.9755426037828538E-3</v>
      </c>
      <c r="T342" s="8">
        <v>0</v>
      </c>
      <c r="U342" s="8">
        <f>+VLOOKUP($B342,NIFTY_50!$B$63:$K$1238,10,0)</f>
        <v>2.2874229827919645E-2</v>
      </c>
      <c r="V342" s="8">
        <f>+VLOOKUP($B342,NIFTY_BANK!$B$63:$K$1238,10,0)</f>
        <v>3.3183051349084947E-2</v>
      </c>
      <c r="W342" s="8">
        <f>+VLOOKUP($B342,NIFTY_IT!$B$63:$K$1238,10,0)</f>
        <v>8.901771336553943E-2</v>
      </c>
      <c r="X342" s="8">
        <f>+VLOOKUP($B342,NIFTY_PHARMA!$B$63:$K$1238,10,0)</f>
        <v>-9.1910651732041715E-2</v>
      </c>
      <c r="Y342" s="8">
        <f>+VLOOKUP($B342,NIFTY_FMCG!$B$63:$K$1238,10,0)</f>
        <v>8.3351160250852985E-2</v>
      </c>
      <c r="Z342" s="8">
        <f>+VLOOKUP($B342,NIFTY_METAL!$B$63:$K$1238,10,0)</f>
        <v>-8.164482265979256E-2</v>
      </c>
      <c r="AA342" s="8">
        <f>+VLOOKUP($B342,NIFTY_ENERGY!$B$63:$K$1238,10,0)</f>
        <v>-6.6971683838893403E-3</v>
      </c>
      <c r="AB342" s="8">
        <f>+VLOOKUP($B342,NIFTY_AUTO!$B$63:$K$1238,10,0)</f>
        <v>-1.5080740848561702E-2</v>
      </c>
      <c r="AC342" s="8"/>
      <c r="AD342" s="16">
        <f t="shared" si="202"/>
        <v>5.4624832025244471E-2</v>
      </c>
      <c r="AE342" s="8">
        <f t="shared" si="203"/>
        <v>7.3233236497435433E-2</v>
      </c>
      <c r="AF342" s="8">
        <f t="shared" si="204"/>
        <v>9.3744682945979596E-2</v>
      </c>
      <c r="AG342" s="8">
        <f t="shared" si="205"/>
        <v>7.9846696365498612E-2</v>
      </c>
      <c r="AH342" s="8">
        <f t="shared" si="206"/>
        <v>6.2734219316996964E-2</v>
      </c>
      <c r="AI342" s="8">
        <f t="shared" si="207"/>
        <v>0.12568511946782832</v>
      </c>
      <c r="AJ342" s="8">
        <f t="shared" si="208"/>
        <v>7.3634541537873174E-2</v>
      </c>
      <c r="AK342" s="8">
        <f t="shared" si="209"/>
        <v>6.6750614092381769E-2</v>
      </c>
      <c r="AL342" s="9">
        <v>0</v>
      </c>
      <c r="AM342" s="17">
        <f t="shared" si="186"/>
        <v>18.306692449651052</v>
      </c>
      <c r="AN342" s="13">
        <f t="shared" si="187"/>
        <v>13.655002125094105</v>
      </c>
      <c r="AO342" s="13">
        <f t="shared" si="188"/>
        <v>10.667271663569979</v>
      </c>
      <c r="AP342" s="13">
        <f t="shared" si="189"/>
        <v>12.523999683374445</v>
      </c>
      <c r="AQ342" s="13">
        <f t="shared" si="190"/>
        <v>15.940263717110829</v>
      </c>
      <c r="AR342" s="13">
        <f t="shared" si="191"/>
        <v>7.9563913710243996</v>
      </c>
      <c r="AS342" s="13">
        <f t="shared" si="192"/>
        <v>13.580582958959013</v>
      </c>
      <c r="AT342" s="13">
        <f t="shared" si="193"/>
        <v>14.981135583502141</v>
      </c>
      <c r="AU342" s="9">
        <v>0</v>
      </c>
      <c r="AV342" s="18">
        <f t="shared" si="210"/>
        <v>1</v>
      </c>
      <c r="AW342" s="18">
        <f t="shared" si="211"/>
        <v>4</v>
      </c>
      <c r="AX342" s="18">
        <f t="shared" si="212"/>
        <v>7</v>
      </c>
      <c r="AY342" s="18">
        <f t="shared" si="213"/>
        <v>6</v>
      </c>
      <c r="AZ342" s="18">
        <f t="shared" si="214"/>
        <v>2</v>
      </c>
      <c r="BA342" s="18">
        <f t="shared" si="215"/>
        <v>8</v>
      </c>
      <c r="BB342" s="18">
        <f t="shared" si="216"/>
        <v>5</v>
      </c>
      <c r="BC342" s="18">
        <f t="shared" si="217"/>
        <v>3</v>
      </c>
      <c r="BD342" s="18">
        <f t="shared" si="218"/>
        <v>9</v>
      </c>
      <c r="BE342" s="8">
        <f t="shared" si="220"/>
        <v>-1.7797057743506562E-3</v>
      </c>
    </row>
    <row r="343" spans="1:57" x14ac:dyDescent="0.25">
      <c r="A343" t="str">
        <f t="shared" si="219"/>
        <v/>
      </c>
      <c r="B343" s="1">
        <v>43237</v>
      </c>
      <c r="C343" s="9">
        <f t="shared" si="194"/>
        <v>0.25258067913316573</v>
      </c>
      <c r="D343" s="9">
        <f t="shared" si="195"/>
        <v>0</v>
      </c>
      <c r="E343" s="9">
        <f t="shared" si="196"/>
        <v>0</v>
      </c>
      <c r="F343" s="9">
        <f t="shared" si="197"/>
        <v>0</v>
      </c>
      <c r="G343" s="9">
        <f t="shared" si="198"/>
        <v>0.25147778160920431</v>
      </c>
      <c r="H343" s="9">
        <f t="shared" si="199"/>
        <v>0</v>
      </c>
      <c r="I343" s="9">
        <f t="shared" si="200"/>
        <v>0.25230753727969196</v>
      </c>
      <c r="J343" s="9">
        <f t="shared" si="201"/>
        <v>0.24363400197793794</v>
      </c>
      <c r="K343" s="9">
        <v>0</v>
      </c>
      <c r="L343" s="8">
        <f>+VLOOKUP($B343,NIFTY_50!$B$3:$I$1238,8,0)</f>
        <v>-5.4370595190436077E-3</v>
      </c>
      <c r="M343" s="8">
        <f>+VLOOKUP($B343,NIFTY_BANK!$B$3:$I$41238,8,0)</f>
        <v>-4.1383156081529204E-3</v>
      </c>
      <c r="N343" s="8">
        <f>+VLOOKUP($B343,NIFTY_IT!$B$3:$I$1238,8,0)</f>
        <v>-1.5415212633820286E-3</v>
      </c>
      <c r="O343" s="8">
        <f>+VLOOKUP($B343,NIFTY_PHARMA!$B$3:$I$1238,8,0)</f>
        <v>4.6433546451396523E-4</v>
      </c>
      <c r="P343" s="8">
        <f>+VLOOKUP($B343,NIFTY_FMCG!$B$3:$I$1238,8,0)</f>
        <v>-1.2817847987251385E-2</v>
      </c>
      <c r="Q343" s="8">
        <f>+VLOOKUP($B343,NIFTY_METAL!$B$3:$I$1238,8,0)</f>
        <v>-4.5452700783248368E-3</v>
      </c>
      <c r="R343" s="8">
        <f>+VLOOKUP($B343,NIFTY_ENERGY!$B$3:$I$1238,8,0)</f>
        <v>-7.4967086293752372E-3</v>
      </c>
      <c r="S343" s="8">
        <f>+VLOOKUP($B343,NIFTY_AUTO!$B$3:$I$1238,8,0)</f>
        <v>-8.8672333336337061E-4</v>
      </c>
      <c r="T343" s="8">
        <v>0</v>
      </c>
      <c r="U343" s="8">
        <f>+VLOOKUP($B343,NIFTY_50!$B$63:$K$1238,10,0)</f>
        <v>1.3010288748755539E-2</v>
      </c>
      <c r="V343" s="8">
        <f>+VLOOKUP($B343,NIFTY_BANK!$B$63:$K$1238,10,0)</f>
        <v>2.5544409198268614E-2</v>
      </c>
      <c r="W343" s="8">
        <f>+VLOOKUP($B343,NIFTY_IT!$B$63:$K$1238,10,0)</f>
        <v>8.4152851924697902E-2</v>
      </c>
      <c r="X343" s="8">
        <f>+VLOOKUP($B343,NIFTY_PHARMA!$B$63:$K$1238,10,0)</f>
        <v>-8.7374423024708103E-2</v>
      </c>
      <c r="Y343" s="8">
        <f>+VLOOKUP($B343,NIFTY_FMCG!$B$63:$K$1238,10,0)</f>
        <v>6.5928516655133107E-2</v>
      </c>
      <c r="Z343" s="8">
        <f>+VLOOKUP($B343,NIFTY_METAL!$B$63:$K$1238,10,0)</f>
        <v>-9.2090165451382489E-2</v>
      </c>
      <c r="AA343" s="8">
        <f>+VLOOKUP($B343,NIFTY_ENERGY!$B$63:$K$1238,10,0)</f>
        <v>-2.0432270673892639E-2</v>
      </c>
      <c r="AB343" s="8">
        <f>+VLOOKUP($B343,NIFTY_AUTO!$B$63:$K$1238,10,0)</f>
        <v>-1.3443237697668642E-2</v>
      </c>
      <c r="AC343" s="8"/>
      <c r="AD343" s="16">
        <f t="shared" si="202"/>
        <v>5.478606292738207E-2</v>
      </c>
      <c r="AE343" s="8">
        <f t="shared" si="203"/>
        <v>7.3329182279098348E-2</v>
      </c>
      <c r="AF343" s="8">
        <f t="shared" si="204"/>
        <v>9.3779804221046259E-2</v>
      </c>
      <c r="AG343" s="8">
        <f t="shared" si="205"/>
        <v>7.9813330224977511E-2</v>
      </c>
      <c r="AH343" s="8">
        <f t="shared" si="206"/>
        <v>6.42496875973467E-2</v>
      </c>
      <c r="AI343" s="8">
        <f t="shared" si="207"/>
        <v>0.12545336335912985</v>
      </c>
      <c r="AJ343" s="8">
        <f t="shared" si="208"/>
        <v>7.3702303943508435E-2</v>
      </c>
      <c r="AK343" s="8">
        <f t="shared" si="209"/>
        <v>6.6712919109814181E-2</v>
      </c>
      <c r="AL343" s="9">
        <v>0</v>
      </c>
      <c r="AM343" s="17">
        <f t="shared" si="186"/>
        <v>18.252817351111393</v>
      </c>
      <c r="AN343" s="13">
        <f t="shared" si="187"/>
        <v>13.637135570309484</v>
      </c>
      <c r="AO343" s="13">
        <f t="shared" si="188"/>
        <v>10.663276686342003</v>
      </c>
      <c r="AP343" s="13">
        <f t="shared" si="189"/>
        <v>12.529235369344994</v>
      </c>
      <c r="AQ343" s="13">
        <f t="shared" si="190"/>
        <v>15.564278012789851</v>
      </c>
      <c r="AR343" s="13">
        <f t="shared" si="191"/>
        <v>7.9710896003429079</v>
      </c>
      <c r="AS343" s="13">
        <f t="shared" si="192"/>
        <v>13.568096877493586</v>
      </c>
      <c r="AT343" s="13">
        <f t="shared" si="193"/>
        <v>14.989600415384752</v>
      </c>
      <c r="AU343" s="9">
        <v>0</v>
      </c>
      <c r="AV343" s="18">
        <f t="shared" si="210"/>
        <v>1</v>
      </c>
      <c r="AW343" s="18">
        <f t="shared" si="211"/>
        <v>4</v>
      </c>
      <c r="AX343" s="18">
        <f t="shared" si="212"/>
        <v>7</v>
      </c>
      <c r="AY343" s="18">
        <f t="shared" si="213"/>
        <v>6</v>
      </c>
      <c r="AZ343" s="18">
        <f t="shared" si="214"/>
        <v>2</v>
      </c>
      <c r="BA343" s="18">
        <f t="shared" si="215"/>
        <v>8</v>
      </c>
      <c r="BB343" s="18">
        <f t="shared" si="216"/>
        <v>5</v>
      </c>
      <c r="BC343" s="18">
        <f t="shared" si="217"/>
        <v>3</v>
      </c>
      <c r="BD343" s="18">
        <f t="shared" si="218"/>
        <v>9</v>
      </c>
      <c r="BE343" s="8">
        <f t="shared" si="220"/>
        <v>-6.7225533894092401E-3</v>
      </c>
    </row>
    <row r="344" spans="1:57" x14ac:dyDescent="0.25">
      <c r="A344" t="str">
        <f t="shared" si="219"/>
        <v/>
      </c>
      <c r="B344" s="1">
        <v>43238</v>
      </c>
      <c r="C344" s="9">
        <f t="shared" si="194"/>
        <v>0.25205807706428424</v>
      </c>
      <c r="D344" s="9">
        <f t="shared" si="195"/>
        <v>0</v>
      </c>
      <c r="E344" s="9">
        <f t="shared" si="196"/>
        <v>0</v>
      </c>
      <c r="F344" s="9">
        <f t="shared" si="197"/>
        <v>0</v>
      </c>
      <c r="G344" s="9">
        <f t="shared" si="198"/>
        <v>0.2561682840191804</v>
      </c>
      <c r="H344" s="9">
        <f t="shared" si="199"/>
        <v>0</v>
      </c>
      <c r="I344" s="9">
        <f t="shared" si="200"/>
        <v>0.2508836221224483</v>
      </c>
      <c r="J344" s="9">
        <f t="shared" si="201"/>
        <v>0.24089001679408698</v>
      </c>
      <c r="K344" s="9">
        <v>0</v>
      </c>
      <c r="L344" s="8">
        <f>+VLOOKUP($B344,NIFTY_50!$B$3:$I$1238,8,0)</f>
        <v>-8.0784820316962547E-3</v>
      </c>
      <c r="M344" s="8">
        <f>+VLOOKUP($B344,NIFTY_BANK!$B$3:$I$41238,8,0)</f>
        <v>-7.6015003566799466E-3</v>
      </c>
      <c r="N344" s="8">
        <f>+VLOOKUP($B344,NIFTY_IT!$B$3:$I$1238,8,0)</f>
        <v>-3.3765897184324656E-3</v>
      </c>
      <c r="O344" s="8">
        <f>+VLOOKUP($B344,NIFTY_PHARMA!$B$3:$I$1238,8,0)</f>
        <v>-2.2747828156610694E-2</v>
      </c>
      <c r="P344" s="8">
        <f>+VLOOKUP($B344,NIFTY_FMCG!$B$3:$I$1238,8,0)</f>
        <v>1.2517546322290851E-2</v>
      </c>
      <c r="Q344" s="8">
        <f>+VLOOKUP($B344,NIFTY_METAL!$B$3:$I$1238,8,0)</f>
        <v>-2.4107518991126065E-2</v>
      </c>
      <c r="R344" s="8">
        <f>+VLOOKUP($B344,NIFTY_ENERGY!$B$3:$I$1238,8,0)</f>
        <v>-1.1631476243723959E-2</v>
      </c>
      <c r="S344" s="8">
        <f>+VLOOKUP($B344,NIFTY_AUTO!$B$3:$I$1238,8,0)</f>
        <v>-1.7216803528525726E-2</v>
      </c>
      <c r="T344" s="8">
        <v>0</v>
      </c>
      <c r="U344" s="8">
        <f>+VLOOKUP($B344,NIFTY_50!$B$63:$K$1238,10,0)</f>
        <v>1.3786439348277391E-2</v>
      </c>
      <c r="V344" s="8">
        <f>+VLOOKUP($B344,NIFTY_BANK!$B$63:$K$1238,10,0)</f>
        <v>2.8282579409391939E-2</v>
      </c>
      <c r="W344" s="8">
        <f>+VLOOKUP($B344,NIFTY_IT!$B$63:$K$1238,10,0)</f>
        <v>8.2103562082175729E-2</v>
      </c>
      <c r="X344" s="8">
        <f>+VLOOKUP($B344,NIFTY_PHARMA!$B$63:$K$1238,10,0)</f>
        <v>-0.10555065407530839</v>
      </c>
      <c r="Y344" s="8">
        <f>+VLOOKUP($B344,NIFTY_FMCG!$B$63:$K$1238,10,0)</f>
        <v>8.4726710164460872E-2</v>
      </c>
      <c r="Z344" s="8">
        <f>+VLOOKUP($B344,NIFTY_METAL!$B$63:$K$1238,10,0)</f>
        <v>-0.10044844172762801</v>
      </c>
      <c r="AA344" s="8">
        <f>+VLOOKUP($B344,NIFTY_ENERGY!$B$63:$K$1238,10,0)</f>
        <v>-2.0107165759127077E-2</v>
      </c>
      <c r="AB344" s="8">
        <f>+VLOOKUP($B344,NIFTY_AUTO!$B$63:$K$1238,10,0)</f>
        <v>-1.3657772919281386E-2</v>
      </c>
      <c r="AC344" s="8"/>
      <c r="AD344" s="16">
        <f t="shared" si="202"/>
        <v>5.4665323285550967E-2</v>
      </c>
      <c r="AE344" s="8">
        <f t="shared" si="203"/>
        <v>7.298956852409566E-2</v>
      </c>
      <c r="AF344" s="8">
        <f t="shared" si="204"/>
        <v>9.3856539963345031E-2</v>
      </c>
      <c r="AG344" s="8">
        <f t="shared" si="205"/>
        <v>8.2555440523938886E-2</v>
      </c>
      <c r="AH344" s="8">
        <f t="shared" si="206"/>
        <v>6.493410275668246E-2</v>
      </c>
      <c r="AI344" s="8">
        <f t="shared" si="207"/>
        <v>0.1267509554625556</v>
      </c>
      <c r="AJ344" s="8">
        <f t="shared" si="208"/>
        <v>7.365110115965133E-2</v>
      </c>
      <c r="AK344" s="8">
        <f t="shared" si="209"/>
        <v>6.6767120743330022E-2</v>
      </c>
      <c r="AL344" s="9">
        <v>0</v>
      </c>
      <c r="AM344" s="17">
        <f t="shared" si="186"/>
        <v>18.293132463085936</v>
      </c>
      <c r="AN344" s="13">
        <f t="shared" si="187"/>
        <v>13.700587908940376</v>
      </c>
      <c r="AO344" s="13">
        <f t="shared" si="188"/>
        <v>10.654558546378787</v>
      </c>
      <c r="AP344" s="13">
        <f t="shared" si="189"/>
        <v>12.113072059860507</v>
      </c>
      <c r="AQ344" s="13">
        <f t="shared" si="190"/>
        <v>15.400228193606457</v>
      </c>
      <c r="AR344" s="13">
        <f t="shared" si="191"/>
        <v>7.8894868788221251</v>
      </c>
      <c r="AS344" s="13">
        <f t="shared" si="192"/>
        <v>13.577529517614806</v>
      </c>
      <c r="AT344" s="13">
        <f t="shared" si="193"/>
        <v>14.977431838707814</v>
      </c>
      <c r="AU344" s="9">
        <v>0</v>
      </c>
      <c r="AV344" s="18">
        <f t="shared" si="210"/>
        <v>1</v>
      </c>
      <c r="AW344" s="18">
        <f t="shared" si="211"/>
        <v>4</v>
      </c>
      <c r="AX344" s="18">
        <f t="shared" si="212"/>
        <v>7</v>
      </c>
      <c r="AY344" s="18">
        <f t="shared" si="213"/>
        <v>6</v>
      </c>
      <c r="AZ344" s="18">
        <f t="shared" si="214"/>
        <v>2</v>
      </c>
      <c r="BA344" s="18">
        <f t="shared" si="215"/>
        <v>8</v>
      </c>
      <c r="BB344" s="18">
        <f t="shared" si="216"/>
        <v>5</v>
      </c>
      <c r="BC344" s="18">
        <f t="shared" si="217"/>
        <v>3</v>
      </c>
      <c r="BD344" s="18">
        <f t="shared" si="218"/>
        <v>9</v>
      </c>
      <c r="BE344" s="8">
        <f t="shared" si="220"/>
        <v>-6.0218915685145988E-3</v>
      </c>
    </row>
    <row r="345" spans="1:57" x14ac:dyDescent="0.25">
      <c r="A345" t="str">
        <f t="shared" si="219"/>
        <v/>
      </c>
      <c r="B345" s="1">
        <v>43241</v>
      </c>
      <c r="C345" s="9">
        <f t="shared" si="194"/>
        <v>0.25236079239450487</v>
      </c>
      <c r="D345" s="9">
        <f t="shared" si="195"/>
        <v>0</v>
      </c>
      <c r="E345" s="9">
        <f t="shared" si="196"/>
        <v>0</v>
      </c>
      <c r="F345" s="9">
        <f t="shared" si="197"/>
        <v>0</v>
      </c>
      <c r="G345" s="9">
        <f t="shared" si="198"/>
        <v>0.25681640265342287</v>
      </c>
      <c r="H345" s="9">
        <f t="shared" si="199"/>
        <v>0</v>
      </c>
      <c r="I345" s="9">
        <f t="shared" si="200"/>
        <v>0.2529107233818319</v>
      </c>
      <c r="J345" s="9">
        <f t="shared" si="201"/>
        <v>0.2379120815702403</v>
      </c>
      <c r="K345" s="9">
        <v>0</v>
      </c>
      <c r="L345" s="8">
        <f>+VLOOKUP($B345,NIFTY_50!$B$3:$I$1238,8,0)</f>
        <v>-7.5214223698613081E-3</v>
      </c>
      <c r="M345" s="8">
        <f>+VLOOKUP($B345,NIFTY_BANK!$B$3:$I$41238,8,0)</f>
        <v>-4.8230765663405117E-3</v>
      </c>
      <c r="N345" s="8">
        <f>+VLOOKUP($B345,NIFTY_IT!$B$3:$I$1238,8,0)</f>
        <v>1.8351827567120171E-3</v>
      </c>
      <c r="O345" s="8">
        <f>+VLOOKUP($B345,NIFTY_PHARMA!$B$3:$I$1238,8,0)</f>
        <v>-2.7843908498085157E-2</v>
      </c>
      <c r="P345" s="8">
        <f>+VLOOKUP($B345,NIFTY_FMCG!$B$3:$I$1238,8,0)</f>
        <v>-6.2039254558499124E-3</v>
      </c>
      <c r="Q345" s="8">
        <f>+VLOOKUP($B345,NIFTY_METAL!$B$3:$I$1238,8,0)</f>
        <v>-1.679361675462665E-2</v>
      </c>
      <c r="R345" s="8">
        <f>+VLOOKUP($B345,NIFTY_ENERGY!$B$3:$I$1238,8,0)</f>
        <v>-7.0247826938929503E-4</v>
      </c>
      <c r="S345" s="8">
        <f>+VLOOKUP($B345,NIFTY_AUTO!$B$3:$I$1238,8,0)</f>
        <v>-2.0966454584844141E-2</v>
      </c>
      <c r="T345" s="8">
        <v>0</v>
      </c>
      <c r="U345" s="8">
        <f>+VLOOKUP($B345,NIFTY_50!$B$63:$K$1238,10,0)</f>
        <v>1.332575348801357E-2</v>
      </c>
      <c r="V345" s="8">
        <f>+VLOOKUP($B345,NIFTY_BANK!$B$63:$K$1238,10,0)</f>
        <v>2.7625301543784397E-2</v>
      </c>
      <c r="W345" s="8">
        <f>+VLOOKUP($B345,NIFTY_IT!$B$63:$K$1238,10,0)</f>
        <v>9.3456541836287821E-2</v>
      </c>
      <c r="X345" s="8">
        <f>+VLOOKUP($B345,NIFTY_PHARMA!$B$63:$K$1238,10,0)</f>
        <v>-0.11571904872672489</v>
      </c>
      <c r="Y345" s="8">
        <f>+VLOOKUP($B345,NIFTY_FMCG!$B$63:$K$1238,10,0)</f>
        <v>8.5656193916263446E-2</v>
      </c>
      <c r="Z345" s="8">
        <f>+VLOOKUP($B345,NIFTY_METAL!$B$63:$K$1238,10,0)</f>
        <v>-0.10018096548911659</v>
      </c>
      <c r="AA345" s="8">
        <f>+VLOOKUP($B345,NIFTY_ENERGY!$B$63:$K$1238,10,0)</f>
        <v>-1.9139554716844254E-2</v>
      </c>
      <c r="AB345" s="8">
        <f>+VLOOKUP($B345,NIFTY_AUTO!$B$63:$K$1238,10,0)</f>
        <v>-2.22062286763266E-2</v>
      </c>
      <c r="AC345" s="8"/>
      <c r="AD345" s="16">
        <f t="shared" si="202"/>
        <v>5.4727531878198538E-2</v>
      </c>
      <c r="AE345" s="8">
        <f t="shared" si="203"/>
        <v>7.3033163345361501E-2</v>
      </c>
      <c r="AF345" s="8">
        <f t="shared" si="204"/>
        <v>9.3321176090075439E-2</v>
      </c>
      <c r="AG345" s="8">
        <f t="shared" si="205"/>
        <v>8.5271982844564484E-2</v>
      </c>
      <c r="AH345" s="8">
        <f t="shared" si="206"/>
        <v>6.4829129325056967E-2</v>
      </c>
      <c r="AI345" s="8">
        <f t="shared" si="207"/>
        <v>0.1267155803984229</v>
      </c>
      <c r="AJ345" s="8">
        <f t="shared" si="208"/>
        <v>7.3638853083021247E-2</v>
      </c>
      <c r="AK345" s="8">
        <f t="shared" si="209"/>
        <v>6.8840883570116779E-2</v>
      </c>
      <c r="AL345" s="9">
        <v>0</v>
      </c>
      <c r="AM345" s="17">
        <f t="shared" si="186"/>
        <v>18.272338723872977</v>
      </c>
      <c r="AN345" s="13">
        <f t="shared" si="187"/>
        <v>13.692409779255607</v>
      </c>
      <c r="AO345" s="13">
        <f t="shared" si="188"/>
        <v>10.715681497999771</v>
      </c>
      <c r="AP345" s="13">
        <f t="shared" si="189"/>
        <v>11.727181269172789</v>
      </c>
      <c r="AQ345" s="13">
        <f t="shared" si="190"/>
        <v>15.425164743242853</v>
      </c>
      <c r="AR345" s="13">
        <f t="shared" si="191"/>
        <v>7.891689379125836</v>
      </c>
      <c r="AS345" s="13">
        <f t="shared" si="192"/>
        <v>13.579787817615642</v>
      </c>
      <c r="AT345" s="13">
        <f t="shared" si="193"/>
        <v>14.526251671094053</v>
      </c>
      <c r="AU345" s="9">
        <v>0</v>
      </c>
      <c r="AV345" s="18">
        <f t="shared" si="210"/>
        <v>1</v>
      </c>
      <c r="AW345" s="18">
        <f t="shared" si="211"/>
        <v>4</v>
      </c>
      <c r="AX345" s="18">
        <f t="shared" si="212"/>
        <v>7</v>
      </c>
      <c r="AY345" s="18">
        <f t="shared" si="213"/>
        <v>6</v>
      </c>
      <c r="AZ345" s="18">
        <f t="shared" si="214"/>
        <v>2</v>
      </c>
      <c r="BA345" s="18">
        <f t="shared" si="215"/>
        <v>8</v>
      </c>
      <c r="BB345" s="18">
        <f t="shared" si="216"/>
        <v>5</v>
      </c>
      <c r="BC345" s="18">
        <f t="shared" si="217"/>
        <v>3</v>
      </c>
      <c r="BD345" s="18">
        <f t="shared" si="218"/>
        <v>9</v>
      </c>
      <c r="BE345" s="8">
        <f t="shared" si="220"/>
        <v>-8.7119340872857786E-3</v>
      </c>
    </row>
    <row r="346" spans="1:57" x14ac:dyDescent="0.25">
      <c r="A346" t="str">
        <f t="shared" si="219"/>
        <v/>
      </c>
      <c r="B346" s="1">
        <v>43242</v>
      </c>
      <c r="C346" s="9">
        <f t="shared" si="194"/>
        <v>0.25216472726648115</v>
      </c>
      <c r="D346" s="9">
        <f t="shared" si="195"/>
        <v>0</v>
      </c>
      <c r="E346" s="9">
        <f t="shared" si="196"/>
        <v>0</v>
      </c>
      <c r="F346" s="9">
        <f t="shared" si="197"/>
        <v>0</v>
      </c>
      <c r="G346" s="9">
        <f t="shared" si="198"/>
        <v>0.2554120524423325</v>
      </c>
      <c r="H346" s="9">
        <f t="shared" si="199"/>
        <v>0</v>
      </c>
      <c r="I346" s="9">
        <f t="shared" si="200"/>
        <v>0.25115573239228528</v>
      </c>
      <c r="J346" s="9">
        <f t="shared" si="201"/>
        <v>0.24126748789890104</v>
      </c>
      <c r="K346" s="9">
        <v>0</v>
      </c>
      <c r="L346" s="8">
        <f>+VLOOKUP($B346,NIFTY_50!$B$3:$I$1238,8,0)</f>
        <v>1.9017372369660723E-3</v>
      </c>
      <c r="M346" s="8">
        <f>+VLOOKUP($B346,NIFTY_BANK!$B$3:$I$41238,8,0)</f>
        <v>1.0446277397206938E-3</v>
      </c>
      <c r="N346" s="8">
        <f>+VLOOKUP($B346,NIFTY_IT!$B$3:$I$1238,8,0)</f>
        <v>5.1913956325533306E-5</v>
      </c>
      <c r="O346" s="8">
        <f>+VLOOKUP($B346,NIFTY_PHARMA!$B$3:$I$1238,8,0)</f>
        <v>1.6998196212045347E-2</v>
      </c>
      <c r="P346" s="8">
        <f>+VLOOKUP($B346,NIFTY_FMCG!$B$3:$I$1238,8,0)</f>
        <v>-2.8022194554592206E-3</v>
      </c>
      <c r="Q346" s="8">
        <f>+VLOOKUP($B346,NIFTY_METAL!$B$3:$I$1238,8,0)</f>
        <v>1.7717790020819413E-2</v>
      </c>
      <c r="R346" s="8">
        <f>+VLOOKUP($B346,NIFTY_ENERGY!$B$3:$I$1238,8,0)</f>
        <v>-4.2770302019009554E-3</v>
      </c>
      <c r="S346" s="8">
        <f>+VLOOKUP($B346,NIFTY_AUTO!$B$3:$I$1238,8,0)</f>
        <v>1.6822107724846047E-2</v>
      </c>
      <c r="T346" s="8">
        <v>0</v>
      </c>
      <c r="U346" s="8">
        <f>+VLOOKUP($B346,NIFTY_50!$B$63:$K$1238,10,0)</f>
        <v>1.7016717501254774E-2</v>
      </c>
      <c r="V346" s="8">
        <f>+VLOOKUP($B346,NIFTY_BANK!$B$63:$K$1238,10,0)</f>
        <v>3.6314443765477655E-2</v>
      </c>
      <c r="W346" s="8">
        <f>+VLOOKUP($B346,NIFTY_IT!$B$63:$K$1238,10,0)</f>
        <v>8.9924830261881583E-2</v>
      </c>
      <c r="X346" s="8">
        <f>+VLOOKUP($B346,NIFTY_PHARMA!$B$63:$K$1238,10,0)</f>
        <v>-9.9975057506304976E-2</v>
      </c>
      <c r="Y346" s="8">
        <f>+VLOOKUP($B346,NIFTY_FMCG!$B$63:$K$1238,10,0)</f>
        <v>8.4873123795358829E-2</v>
      </c>
      <c r="Z346" s="8">
        <f>+VLOOKUP($B346,NIFTY_METAL!$B$63:$K$1238,10,0)</f>
        <v>-9.4188831463506872E-2</v>
      </c>
      <c r="AA346" s="8">
        <f>+VLOOKUP($B346,NIFTY_ENERGY!$B$63:$K$1238,10,0)</f>
        <v>-2.1235507193669068E-2</v>
      </c>
      <c r="AB346" s="8">
        <f>+VLOOKUP($B346,NIFTY_AUTO!$B$63:$K$1238,10,0)</f>
        <v>-4.5106677977541088E-3</v>
      </c>
      <c r="AC346" s="8"/>
      <c r="AD346" s="16">
        <f t="shared" si="202"/>
        <v>5.4715061989399814E-2</v>
      </c>
      <c r="AE346" s="8">
        <f t="shared" si="203"/>
        <v>7.2605383270371665E-2</v>
      </c>
      <c r="AF346" s="8">
        <f t="shared" si="204"/>
        <v>9.3315542887364489E-2</v>
      </c>
      <c r="AG346" s="8">
        <f t="shared" si="205"/>
        <v>8.7315382462487254E-2</v>
      </c>
      <c r="AH346" s="8">
        <f t="shared" si="206"/>
        <v>6.487151627721581E-2</v>
      </c>
      <c r="AI346" s="8">
        <f t="shared" si="207"/>
        <v>0.1275572456496944</v>
      </c>
      <c r="AJ346" s="8">
        <f t="shared" si="208"/>
        <v>7.3723387893909476E-2</v>
      </c>
      <c r="AK346" s="8">
        <f t="shared" si="209"/>
        <v>7.0901544037544867E-2</v>
      </c>
      <c r="AL346" s="9">
        <v>0</v>
      </c>
      <c r="AM346" s="17">
        <f t="shared" si="186"/>
        <v>18.276503098794521</v>
      </c>
      <c r="AN346" s="13">
        <f t="shared" si="187"/>
        <v>13.773083412784263</v>
      </c>
      <c r="AO346" s="13">
        <f t="shared" si="188"/>
        <v>10.716328374224208</v>
      </c>
      <c r="AP346" s="13">
        <f t="shared" si="189"/>
        <v>11.452735724196405</v>
      </c>
      <c r="AQ346" s="13">
        <f t="shared" si="190"/>
        <v>15.415085963563646</v>
      </c>
      <c r="AR346" s="13">
        <f t="shared" si="191"/>
        <v>7.8396173804682325</v>
      </c>
      <c r="AS346" s="13">
        <f t="shared" si="192"/>
        <v>13.56421657451547</v>
      </c>
      <c r="AT346" s="13">
        <f t="shared" si="193"/>
        <v>14.104065201604985</v>
      </c>
      <c r="AU346" s="9">
        <v>0</v>
      </c>
      <c r="AV346" s="18">
        <f t="shared" si="210"/>
        <v>1</v>
      </c>
      <c r="AW346" s="18">
        <f t="shared" si="211"/>
        <v>4</v>
      </c>
      <c r="AX346" s="18">
        <f t="shared" si="212"/>
        <v>7</v>
      </c>
      <c r="AY346" s="18">
        <f t="shared" si="213"/>
        <v>6</v>
      </c>
      <c r="AZ346" s="18">
        <f t="shared" si="214"/>
        <v>2</v>
      </c>
      <c r="BA346" s="18">
        <f t="shared" si="215"/>
        <v>8</v>
      </c>
      <c r="BB346" s="18">
        <f t="shared" si="216"/>
        <v>5</v>
      </c>
      <c r="BC346" s="18">
        <f t="shared" si="217"/>
        <v>3</v>
      </c>
      <c r="BD346" s="18">
        <f t="shared" si="218"/>
        <v>9</v>
      </c>
      <c r="BE346" s="8">
        <f t="shared" si="220"/>
        <v>2.6807438589786532E-3</v>
      </c>
    </row>
    <row r="347" spans="1:57" x14ac:dyDescent="0.25">
      <c r="A347" t="str">
        <f t="shared" si="219"/>
        <v/>
      </c>
      <c r="B347" s="1">
        <v>43243</v>
      </c>
      <c r="C347" s="9">
        <f t="shared" si="194"/>
        <v>0.25229485089522691</v>
      </c>
      <c r="D347" s="9">
        <f t="shared" si="195"/>
        <v>0</v>
      </c>
      <c r="E347" s="9">
        <f t="shared" si="196"/>
        <v>0</v>
      </c>
      <c r="F347" s="9">
        <f t="shared" si="197"/>
        <v>0</v>
      </c>
      <c r="G347" s="9">
        <f t="shared" si="198"/>
        <v>0.25654284306693026</v>
      </c>
      <c r="H347" s="9">
        <f t="shared" si="199"/>
        <v>0</v>
      </c>
      <c r="I347" s="9">
        <f t="shared" si="200"/>
        <v>0.2484899308946325</v>
      </c>
      <c r="J347" s="9">
        <f t="shared" si="201"/>
        <v>0.24267237514321027</v>
      </c>
      <c r="K347" s="9">
        <v>0</v>
      </c>
      <c r="L347" s="8">
        <f>+VLOOKUP($B347,NIFTY_50!$B$3:$I$1238,8,0)</f>
        <v>-1.0093292966488643E-2</v>
      </c>
      <c r="M347" s="8">
        <f>+VLOOKUP($B347,NIFTY_BANK!$B$3:$I$41238,8,0)</f>
        <v>-3.5980712010769134E-3</v>
      </c>
      <c r="N347" s="8">
        <f>+VLOOKUP($B347,NIFTY_IT!$B$3:$I$1238,8,0)</f>
        <v>-1.4980106863038412E-3</v>
      </c>
      <c r="O347" s="8">
        <f>+VLOOKUP($B347,NIFTY_PHARMA!$B$3:$I$1238,8,0)</f>
        <v>-6.05993422754314E-3</v>
      </c>
      <c r="P347" s="8">
        <f>+VLOOKUP($B347,NIFTY_FMCG!$B$3:$I$1238,8,0)</f>
        <v>-6.2234750387764048E-3</v>
      </c>
      <c r="Q347" s="8">
        <f>+VLOOKUP($B347,NIFTY_METAL!$B$3:$I$1238,8,0)</f>
        <v>-3.7448857468897034E-2</v>
      </c>
      <c r="R347" s="8">
        <f>+VLOOKUP($B347,NIFTY_ENERGY!$B$3:$I$1238,8,0)</f>
        <v>-2.1105434277752022E-2</v>
      </c>
      <c r="S347" s="8">
        <f>+VLOOKUP($B347,NIFTY_AUTO!$B$3:$I$1238,8,0)</f>
        <v>-4.8426482917868219E-3</v>
      </c>
      <c r="T347" s="8">
        <v>0</v>
      </c>
      <c r="U347" s="8">
        <f>+VLOOKUP($B347,NIFTY_50!$B$63:$K$1238,10,0)</f>
        <v>3.1642373851279437E-3</v>
      </c>
      <c r="V347" s="8">
        <f>+VLOOKUP($B347,NIFTY_BANK!$B$63:$K$1238,10,0)</f>
        <v>3.0005975129026696E-2</v>
      </c>
      <c r="W347" s="8">
        <f>+VLOOKUP($B347,NIFTY_IT!$B$63:$K$1238,10,0)</f>
        <v>6.3530554776640047E-2</v>
      </c>
      <c r="X347" s="8">
        <f>+VLOOKUP($B347,NIFTY_PHARMA!$B$63:$K$1238,10,0)</f>
        <v>-8.7488974828685784E-2</v>
      </c>
      <c r="Y347" s="8">
        <f>+VLOOKUP($B347,NIFTY_FMCG!$B$63:$K$1238,10,0)</f>
        <v>6.9373776908023599E-2</v>
      </c>
      <c r="Z347" s="8">
        <f>+VLOOKUP($B347,NIFTY_METAL!$B$63:$K$1238,10,0)</f>
        <v>-0.11598629891873935</v>
      </c>
      <c r="AA347" s="8">
        <f>+VLOOKUP($B347,NIFTY_ENERGY!$B$63:$K$1238,10,0)</f>
        <v>-4.6767015233201814E-2</v>
      </c>
      <c r="AB347" s="8">
        <f>+VLOOKUP($B347,NIFTY_AUTO!$B$63:$K$1238,10,0)</f>
        <v>-7.4573668914843516E-3</v>
      </c>
      <c r="AC347" s="8"/>
      <c r="AD347" s="16">
        <f t="shared" si="202"/>
        <v>5.5569721335131793E-2</v>
      </c>
      <c r="AE347" s="8">
        <f t="shared" si="203"/>
        <v>7.2699860334168559E-2</v>
      </c>
      <c r="AF347" s="8">
        <f t="shared" si="204"/>
        <v>9.0727143587187337E-2</v>
      </c>
      <c r="AG347" s="8">
        <f t="shared" si="205"/>
        <v>8.5535798071803837E-2</v>
      </c>
      <c r="AH347" s="8">
        <f t="shared" si="206"/>
        <v>6.4932388559280324E-2</v>
      </c>
      <c r="AI347" s="8">
        <f t="shared" si="207"/>
        <v>0.13192926610146119</v>
      </c>
      <c r="AJ347" s="8">
        <f t="shared" si="208"/>
        <v>7.633511454330448E-2</v>
      </c>
      <c r="AK347" s="8">
        <f t="shared" si="209"/>
        <v>7.1039263987659029E-2</v>
      </c>
      <c r="AL347" s="9">
        <v>0</v>
      </c>
      <c r="AM347" s="17">
        <f t="shared" si="186"/>
        <v>17.995411457422389</v>
      </c>
      <c r="AN347" s="13">
        <f t="shared" si="187"/>
        <v>13.755184609756467</v>
      </c>
      <c r="AO347" s="13">
        <f t="shared" si="188"/>
        <v>11.02205977684083</v>
      </c>
      <c r="AP347" s="13">
        <f t="shared" si="189"/>
        <v>11.691011512636388</v>
      </c>
      <c r="AQ347" s="13">
        <f t="shared" si="190"/>
        <v>15.400634755443278</v>
      </c>
      <c r="AR347" s="13">
        <f t="shared" si="191"/>
        <v>7.579819319474896</v>
      </c>
      <c r="AS347" s="13">
        <f t="shared" si="192"/>
        <v>13.100130994533396</v>
      </c>
      <c r="AT347" s="13">
        <f t="shared" si="193"/>
        <v>14.076722418938918</v>
      </c>
      <c r="AU347" s="9">
        <v>0</v>
      </c>
      <c r="AV347" s="18">
        <f t="shared" si="210"/>
        <v>1</v>
      </c>
      <c r="AW347" s="18">
        <f t="shared" si="211"/>
        <v>4</v>
      </c>
      <c r="AX347" s="18">
        <f t="shared" si="212"/>
        <v>7</v>
      </c>
      <c r="AY347" s="18">
        <f t="shared" si="213"/>
        <v>6</v>
      </c>
      <c r="AZ347" s="18">
        <f t="shared" si="214"/>
        <v>2</v>
      </c>
      <c r="BA347" s="18">
        <f t="shared" si="215"/>
        <v>8</v>
      </c>
      <c r="BB347" s="18">
        <f t="shared" si="216"/>
        <v>5</v>
      </c>
      <c r="BC347" s="18">
        <f t="shared" si="217"/>
        <v>3</v>
      </c>
      <c r="BD347" s="18">
        <f t="shared" si="218"/>
        <v>9</v>
      </c>
      <c r="BE347" s="8">
        <f t="shared" si="220"/>
        <v>-1.0603847392716168E-2</v>
      </c>
    </row>
    <row r="348" spans="1:57" x14ac:dyDescent="0.25">
      <c r="A348" t="str">
        <f t="shared" si="219"/>
        <v/>
      </c>
      <c r="B348" s="1">
        <v>43244</v>
      </c>
      <c r="C348" s="9">
        <f t="shared" si="194"/>
        <v>0.25490435094185993</v>
      </c>
      <c r="D348" s="9">
        <f t="shared" si="195"/>
        <v>0</v>
      </c>
      <c r="E348" s="9">
        <f t="shared" si="196"/>
        <v>0</v>
      </c>
      <c r="F348" s="9">
        <f t="shared" si="197"/>
        <v>0</v>
      </c>
      <c r="G348" s="9">
        <f t="shared" si="198"/>
        <v>0.2579055960475079</v>
      </c>
      <c r="H348" s="9">
        <f t="shared" si="199"/>
        <v>0</v>
      </c>
      <c r="I348" s="9">
        <f t="shared" si="200"/>
        <v>0.24796382134883724</v>
      </c>
      <c r="J348" s="9">
        <f t="shared" si="201"/>
        <v>0.23922623166179488</v>
      </c>
      <c r="K348" s="9">
        <v>0</v>
      </c>
      <c r="L348" s="8">
        <f>+VLOOKUP($B348,NIFTY_50!$B$3:$I$1238,8,0)</f>
        <v>8.0054839962224733E-3</v>
      </c>
      <c r="M348" s="8">
        <f>+VLOOKUP($B348,NIFTY_BANK!$B$3:$I$41238,8,0)</f>
        <v>1.2920017364254077E-2</v>
      </c>
      <c r="N348" s="8">
        <f>+VLOOKUP($B348,NIFTY_IT!$B$3:$I$1238,8,0)</f>
        <v>2.3124027524537016E-2</v>
      </c>
      <c r="O348" s="8">
        <f>+VLOOKUP($B348,NIFTY_PHARMA!$B$3:$I$1238,8,0)</f>
        <v>1.7014263231594828E-2</v>
      </c>
      <c r="P348" s="8">
        <f>+VLOOKUP($B348,NIFTY_FMCG!$B$3:$I$1238,8,0)</f>
        <v>2.9860568564932244E-3</v>
      </c>
      <c r="Q348" s="8">
        <f>+VLOOKUP($B348,NIFTY_METAL!$B$3:$I$1238,8,0)</f>
        <v>9.6288692584614033E-3</v>
      </c>
      <c r="R348" s="8">
        <f>+VLOOKUP($B348,NIFTY_ENERGY!$B$3:$I$1238,8,0)</f>
        <v>-4.4259712653494931E-3</v>
      </c>
      <c r="S348" s="8">
        <f>+VLOOKUP($B348,NIFTY_AUTO!$B$3:$I$1238,8,0)</f>
        <v>-1.6481594018746715E-2</v>
      </c>
      <c r="T348" s="8">
        <v>0</v>
      </c>
      <c r="U348" s="8">
        <f>+VLOOKUP($B348,NIFTY_50!$B$63:$K$1238,10,0)</f>
        <v>1.2631589085690509E-2</v>
      </c>
      <c r="V348" s="8">
        <f>+VLOOKUP($B348,NIFTY_BANK!$B$63:$K$1238,10,0)</f>
        <v>4.2540232095915842E-2</v>
      </c>
      <c r="W348" s="8">
        <f>+VLOOKUP($B348,NIFTY_IT!$B$63:$K$1238,10,0)</f>
        <v>8.212328901631949E-2</v>
      </c>
      <c r="X348" s="8">
        <f>+VLOOKUP($B348,NIFTY_PHARMA!$B$63:$K$1238,10,0)</f>
        <v>-7.3884955003244324E-2</v>
      </c>
      <c r="Y348" s="8">
        <f>+VLOOKUP($B348,NIFTY_FMCG!$B$63:$K$1238,10,0)</f>
        <v>7.7076424515555964E-2</v>
      </c>
      <c r="Z348" s="8">
        <f>+VLOOKUP($B348,NIFTY_METAL!$B$63:$K$1238,10,0)</f>
        <v>-0.10569116102758502</v>
      </c>
      <c r="AA348" s="8">
        <f>+VLOOKUP($B348,NIFTY_ENERGY!$B$63:$K$1238,10,0)</f>
        <v>-4.0483637893504509E-2</v>
      </c>
      <c r="AB348" s="8">
        <f>+VLOOKUP($B348,NIFTY_AUTO!$B$63:$K$1238,10,0)</f>
        <v>-1.5334694573629126E-2</v>
      </c>
      <c r="AC348" s="8"/>
      <c r="AD348" s="16">
        <f t="shared" si="202"/>
        <v>5.6099561225660892E-2</v>
      </c>
      <c r="AE348" s="8">
        <f t="shared" si="203"/>
        <v>7.3731641658823149E-2</v>
      </c>
      <c r="AF348" s="8">
        <f t="shared" si="204"/>
        <v>9.3233320693823174E-2</v>
      </c>
      <c r="AG348" s="8">
        <f t="shared" si="205"/>
        <v>8.7412332145385616E-2</v>
      </c>
      <c r="AH348" s="8">
        <f t="shared" si="206"/>
        <v>6.4733942233750993E-2</v>
      </c>
      <c r="AI348" s="8">
        <f t="shared" si="207"/>
        <v>0.13242158601771192</v>
      </c>
      <c r="AJ348" s="8">
        <f t="shared" si="208"/>
        <v>7.5734730529614894E-2</v>
      </c>
      <c r="AK348" s="8">
        <f t="shared" si="209"/>
        <v>7.2399811577622569E-2</v>
      </c>
      <c r="AL348" s="9">
        <v>0</v>
      </c>
      <c r="AM348" s="17">
        <f t="shared" si="186"/>
        <v>17.825451360973979</v>
      </c>
      <c r="AN348" s="13">
        <f t="shared" si="187"/>
        <v>13.562698151049975</v>
      </c>
      <c r="AO348" s="13">
        <f t="shared" si="188"/>
        <v>10.725779072955955</v>
      </c>
      <c r="AP348" s="13">
        <f t="shared" si="189"/>
        <v>11.440033407835221</v>
      </c>
      <c r="AQ348" s="13">
        <f t="shared" si="190"/>
        <v>15.447846454168518</v>
      </c>
      <c r="AR348" s="13">
        <f t="shared" si="191"/>
        <v>7.5516388987082967</v>
      </c>
      <c r="AS348" s="13">
        <f t="shared" si="192"/>
        <v>13.2039817532455</v>
      </c>
      <c r="AT348" s="13">
        <f t="shared" si="193"/>
        <v>13.812190642621525</v>
      </c>
      <c r="AU348" s="9">
        <v>0</v>
      </c>
      <c r="AV348" s="18">
        <f t="shared" si="210"/>
        <v>1</v>
      </c>
      <c r="AW348" s="18">
        <f t="shared" si="211"/>
        <v>4</v>
      </c>
      <c r="AX348" s="18">
        <f t="shared" si="212"/>
        <v>7</v>
      </c>
      <c r="AY348" s="18">
        <f t="shared" si="213"/>
        <v>6</v>
      </c>
      <c r="AZ348" s="18">
        <f t="shared" si="214"/>
        <v>2</v>
      </c>
      <c r="BA348" s="18">
        <f t="shared" si="215"/>
        <v>8</v>
      </c>
      <c r="BB348" s="18">
        <f t="shared" si="216"/>
        <v>5</v>
      </c>
      <c r="BC348" s="18">
        <f t="shared" si="217"/>
        <v>3</v>
      </c>
      <c r="BD348" s="18">
        <f t="shared" si="218"/>
        <v>9</v>
      </c>
      <c r="BE348" s="8">
        <f t="shared" si="220"/>
        <v>-2.3136429538483721E-3</v>
      </c>
    </row>
    <row r="349" spans="1:57" x14ac:dyDescent="0.25">
      <c r="A349" t="str">
        <f t="shared" si="219"/>
        <v/>
      </c>
      <c r="B349" s="1">
        <v>43245</v>
      </c>
      <c r="C349" s="9">
        <f t="shared" si="194"/>
        <v>0.254218416056323</v>
      </c>
      <c r="D349" s="9">
        <f t="shared" si="195"/>
        <v>0</v>
      </c>
      <c r="E349" s="9">
        <f t="shared" si="196"/>
        <v>0</v>
      </c>
      <c r="F349" s="9">
        <f t="shared" si="197"/>
        <v>0</v>
      </c>
      <c r="G349" s="9">
        <f t="shared" si="198"/>
        <v>0.25585214834555992</v>
      </c>
      <c r="H349" s="9">
        <f t="shared" si="199"/>
        <v>0</v>
      </c>
      <c r="I349" s="9">
        <f t="shared" si="200"/>
        <v>0.24894120175205922</v>
      </c>
      <c r="J349" s="9">
        <f t="shared" si="201"/>
        <v>0.24098823384605775</v>
      </c>
      <c r="K349" s="9">
        <v>0</v>
      </c>
      <c r="L349" s="8">
        <f>+VLOOKUP($B349,NIFTY_50!$B$3:$I$1238,8,0)</f>
        <v>8.6837837709305976E-3</v>
      </c>
      <c r="M349" s="8">
        <f>+VLOOKUP($B349,NIFTY_BANK!$B$3:$I$41238,8,0)</f>
        <v>9.8686233510654198E-3</v>
      </c>
      <c r="N349" s="8">
        <f>+VLOOKUP($B349,NIFTY_IT!$B$3:$I$1238,8,0)</f>
        <v>-9.6909775909759244E-4</v>
      </c>
      <c r="O349" s="8">
        <f>+VLOOKUP($B349,NIFTY_PHARMA!$B$3:$I$1238,8,0)</f>
        <v>1.0996710125502629E-2</v>
      </c>
      <c r="P349" s="8">
        <f>+VLOOKUP($B349,NIFTY_FMCG!$B$3:$I$1238,8,0)</f>
        <v>3.3526021701564268E-3</v>
      </c>
      <c r="Q349" s="8">
        <f>+VLOOKUP($B349,NIFTY_METAL!$B$3:$I$1238,8,0)</f>
        <v>2.1694614294101688E-2</v>
      </c>
      <c r="R349" s="8">
        <f>+VLOOKUP($B349,NIFTY_ENERGY!$B$3:$I$1238,8,0)</f>
        <v>1.5392006222381349E-2</v>
      </c>
      <c r="S349" s="8">
        <f>+VLOOKUP($B349,NIFTY_AUTO!$B$3:$I$1238,8,0)</f>
        <v>1.8854853205512168E-2</v>
      </c>
      <c r="T349" s="8">
        <v>0</v>
      </c>
      <c r="U349" s="8">
        <f>+VLOOKUP($B349,NIFTY_50!$B$63:$K$1238,10,0)</f>
        <v>1.0875937108297151E-2</v>
      </c>
      <c r="V349" s="8">
        <f>+VLOOKUP($B349,NIFTY_BANK!$B$63:$K$1238,10,0)</f>
        <v>3.8377630668906315E-2</v>
      </c>
      <c r="W349" s="8">
        <f>+VLOOKUP($B349,NIFTY_IT!$B$63:$K$1238,10,0)</f>
        <v>6.9240122288995121E-2</v>
      </c>
      <c r="X349" s="8">
        <f>+VLOOKUP($B349,NIFTY_PHARMA!$B$63:$K$1238,10,0)</f>
        <v>-8.7753149943927689E-2</v>
      </c>
      <c r="Y349" s="8">
        <f>+VLOOKUP($B349,NIFTY_FMCG!$B$63:$K$1238,10,0)</f>
        <v>7.2212494235073921E-2</v>
      </c>
      <c r="Z349" s="8">
        <f>+VLOOKUP($B349,NIFTY_METAL!$B$63:$K$1238,10,0)</f>
        <v>-0.1145254169976172</v>
      </c>
      <c r="AA349" s="8">
        <f>+VLOOKUP($B349,NIFTY_ENERGY!$B$63:$K$1238,10,0)</f>
        <v>-3.6253229787141739E-2</v>
      </c>
      <c r="AB349" s="8">
        <f>+VLOOKUP($B349,NIFTY_AUTO!$B$63:$K$1238,10,0)</f>
        <v>-4.0267227967419883E-3</v>
      </c>
      <c r="AC349" s="8"/>
      <c r="AD349" s="16">
        <f t="shared" si="202"/>
        <v>5.5807056175103731E-2</v>
      </c>
      <c r="AE349" s="8">
        <f t="shared" si="203"/>
        <v>7.3114199867175989E-2</v>
      </c>
      <c r="AF349" s="8">
        <f t="shared" si="204"/>
        <v>9.274363522259424E-2</v>
      </c>
      <c r="AG349" s="8">
        <f t="shared" si="205"/>
        <v>8.3821630109863626E-2</v>
      </c>
      <c r="AH349" s="8">
        <f t="shared" si="206"/>
        <v>6.4422871922144173E-2</v>
      </c>
      <c r="AI349" s="8">
        <f t="shared" si="207"/>
        <v>0.13020452753750669</v>
      </c>
      <c r="AJ349" s="8">
        <f t="shared" si="208"/>
        <v>7.654007590059024E-2</v>
      </c>
      <c r="AK349" s="8">
        <f t="shared" si="209"/>
        <v>7.4476911406022167E-2</v>
      </c>
      <c r="AL349" s="9">
        <v>0</v>
      </c>
      <c r="AM349" s="17">
        <f t="shared" si="186"/>
        <v>17.918881025767369</v>
      </c>
      <c r="AN349" s="13">
        <f t="shared" si="187"/>
        <v>13.677233722268246</v>
      </c>
      <c r="AO349" s="13">
        <f t="shared" si="188"/>
        <v>10.782411079745769</v>
      </c>
      <c r="AP349" s="13">
        <f t="shared" si="189"/>
        <v>11.930094877531211</v>
      </c>
      <c r="AQ349" s="13">
        <f t="shared" si="190"/>
        <v>15.52243745371228</v>
      </c>
      <c r="AR349" s="13">
        <f t="shared" si="191"/>
        <v>7.6802244815330267</v>
      </c>
      <c r="AS349" s="13">
        <f t="shared" si="192"/>
        <v>13.065051062907145</v>
      </c>
      <c r="AT349" s="13">
        <f t="shared" si="193"/>
        <v>13.426980001202635</v>
      </c>
      <c r="AU349" s="9">
        <v>0</v>
      </c>
      <c r="AV349" s="18">
        <f t="shared" si="210"/>
        <v>1</v>
      </c>
      <c r="AW349" s="18">
        <f t="shared" si="211"/>
        <v>3</v>
      </c>
      <c r="AX349" s="18">
        <f t="shared" si="212"/>
        <v>7</v>
      </c>
      <c r="AY349" s="18">
        <f t="shared" si="213"/>
        <v>6</v>
      </c>
      <c r="AZ349" s="18">
        <f t="shared" si="214"/>
        <v>2</v>
      </c>
      <c r="BA349" s="18">
        <f t="shared" si="215"/>
        <v>8</v>
      </c>
      <c r="BB349" s="18">
        <f t="shared" si="216"/>
        <v>5</v>
      </c>
      <c r="BC349" s="18">
        <f t="shared" si="217"/>
        <v>4</v>
      </c>
      <c r="BD349" s="18">
        <f t="shared" si="218"/>
        <v>9</v>
      </c>
      <c r="BE349" s="8">
        <f t="shared" si="220"/>
        <v>1.1405425288870633E-2</v>
      </c>
    </row>
    <row r="350" spans="1:57" x14ac:dyDescent="0.25">
      <c r="A350" t="str">
        <f t="shared" si="219"/>
        <v/>
      </c>
      <c r="B350" s="1">
        <v>43248</v>
      </c>
      <c r="C350" s="9">
        <f t="shared" si="194"/>
        <v>0.2539495022169424</v>
      </c>
      <c r="D350" s="9">
        <f t="shared" si="195"/>
        <v>0</v>
      </c>
      <c r="E350" s="9">
        <f t="shared" si="196"/>
        <v>0</v>
      </c>
      <c r="F350" s="9">
        <f t="shared" si="197"/>
        <v>0</v>
      </c>
      <c r="G350" s="9">
        <f t="shared" si="198"/>
        <v>0.25532345042395038</v>
      </c>
      <c r="H350" s="9">
        <f t="shared" si="199"/>
        <v>0</v>
      </c>
      <c r="I350" s="9">
        <f t="shared" si="200"/>
        <v>0.24914958706527499</v>
      </c>
      <c r="J350" s="9">
        <f t="shared" si="201"/>
        <v>0.24157746029383223</v>
      </c>
      <c r="K350" s="9">
        <v>0</v>
      </c>
      <c r="L350" s="8">
        <f>+VLOOKUP($B350,NIFTY_50!$B$3:$I$1238,8,0)</f>
        <v>7.8735331419168553E-3</v>
      </c>
      <c r="M350" s="8">
        <f>+VLOOKUP($B350,NIFTY_BANK!$B$3:$I$41238,8,0)</f>
        <v>1.2967413996205268E-2</v>
      </c>
      <c r="N350" s="8">
        <f>+VLOOKUP($B350,NIFTY_IT!$B$3:$I$1238,8,0)</f>
        <v>-1.9230000690289017E-2</v>
      </c>
      <c r="O350" s="8">
        <f>+VLOOKUP($B350,NIFTY_PHARMA!$B$3:$I$1238,8,0)</f>
        <v>2.4218867697128665E-2</v>
      </c>
      <c r="P350" s="8">
        <f>+VLOOKUP($B350,NIFTY_FMCG!$B$3:$I$1238,8,0)</f>
        <v>6.8559019156659851E-3</v>
      </c>
      <c r="Q350" s="8">
        <f>+VLOOKUP($B350,NIFTY_METAL!$B$3:$I$1238,8,0)</f>
        <v>1.0455794135785013E-2</v>
      </c>
      <c r="R350" s="8">
        <f>+VLOOKUP($B350,NIFTY_ENERGY!$B$3:$I$1238,8,0)</f>
        <v>9.7853677586026144E-3</v>
      </c>
      <c r="S350" s="8">
        <f>+VLOOKUP($B350,NIFTY_AUTO!$B$3:$I$1238,8,0)</f>
        <v>1.1407700082697758E-2</v>
      </c>
      <c r="T350" s="8">
        <v>0</v>
      </c>
      <c r="U350" s="8">
        <f>+VLOOKUP($B350,NIFTY_50!$B$63:$K$1238,10,0)</f>
        <v>1.0021166821007954E-2</v>
      </c>
      <c r="V350" s="8">
        <f>+VLOOKUP($B350,NIFTY_BANK!$B$63:$K$1238,10,0)</f>
        <v>3.6061725559504598E-2</v>
      </c>
      <c r="W350" s="8">
        <f>+VLOOKUP($B350,NIFTY_IT!$B$63:$K$1238,10,0)</f>
        <v>6.1711692224193149E-2</v>
      </c>
      <c r="X350" s="8">
        <f>+VLOOKUP($B350,NIFTY_PHARMA!$B$63:$K$1238,10,0)</f>
        <v>-6.2536541240581944E-2</v>
      </c>
      <c r="Y350" s="8">
        <f>+VLOOKUP($B350,NIFTY_FMCG!$B$63:$K$1238,10,0)</f>
        <v>8.053786987467082E-2</v>
      </c>
      <c r="Z350" s="8">
        <f>+VLOOKUP($B350,NIFTY_METAL!$B$63:$K$1238,10,0)</f>
        <v>-0.11474846203907219</v>
      </c>
      <c r="AA350" s="8">
        <f>+VLOOKUP($B350,NIFTY_ENERGY!$B$63:$K$1238,10,0)</f>
        <v>-3.3329259437658632E-2</v>
      </c>
      <c r="AB350" s="8">
        <f>+VLOOKUP($B350,NIFTY_AUTO!$B$63:$K$1238,10,0)</f>
        <v>-1.4724772079325765E-2</v>
      </c>
      <c r="AC350" s="8"/>
      <c r="AD350" s="16">
        <f t="shared" si="202"/>
        <v>5.5683054709921846E-2</v>
      </c>
      <c r="AE350" s="8">
        <f t="shared" si="203"/>
        <v>7.2696258600681574E-2</v>
      </c>
      <c r="AF350" s="8">
        <f t="shared" si="204"/>
        <v>9.3999676549879674E-2</v>
      </c>
      <c r="AG350" s="8">
        <f t="shared" si="205"/>
        <v>8.7571721034514924E-2</v>
      </c>
      <c r="AH350" s="8">
        <f t="shared" si="206"/>
        <v>6.4631571536670707E-2</v>
      </c>
      <c r="AI350" s="8">
        <f t="shared" si="207"/>
        <v>0.13018020456177631</v>
      </c>
      <c r="AJ350" s="8">
        <f t="shared" si="208"/>
        <v>7.6890057039035287E-2</v>
      </c>
      <c r="AK350" s="8">
        <f t="shared" si="209"/>
        <v>7.1925125146173927E-2</v>
      </c>
      <c r="AL350" s="9">
        <v>0</v>
      </c>
      <c r="AM350" s="17">
        <f t="shared" si="186"/>
        <v>17.958784862099453</v>
      </c>
      <c r="AN350" s="13">
        <f t="shared" si="187"/>
        <v>13.755866109877411</v>
      </c>
      <c r="AO350" s="13">
        <f t="shared" si="188"/>
        <v>10.638334478410288</v>
      </c>
      <c r="AP350" s="13">
        <f t="shared" si="189"/>
        <v>11.419211455326622</v>
      </c>
      <c r="AQ350" s="13">
        <f t="shared" si="190"/>
        <v>15.472314477648425</v>
      </c>
      <c r="AR350" s="13">
        <f t="shared" si="191"/>
        <v>7.6816594609471167</v>
      </c>
      <c r="AS350" s="13">
        <f t="shared" si="192"/>
        <v>13.005582756848826</v>
      </c>
      <c r="AT350" s="13">
        <f t="shared" si="193"/>
        <v>13.90334737642365</v>
      </c>
      <c r="AU350" s="9">
        <v>0</v>
      </c>
      <c r="AV350" s="18">
        <f t="shared" si="210"/>
        <v>1</v>
      </c>
      <c r="AW350" s="18">
        <f t="shared" si="211"/>
        <v>4</v>
      </c>
      <c r="AX350" s="18">
        <f t="shared" si="212"/>
        <v>7</v>
      </c>
      <c r="AY350" s="18">
        <f t="shared" si="213"/>
        <v>6</v>
      </c>
      <c r="AZ350" s="18">
        <f t="shared" si="214"/>
        <v>2</v>
      </c>
      <c r="BA350" s="18">
        <f t="shared" si="215"/>
        <v>8</v>
      </c>
      <c r="BB350" s="18">
        <f t="shared" si="216"/>
        <v>5</v>
      </c>
      <c r="BC350" s="18">
        <f t="shared" si="217"/>
        <v>3</v>
      </c>
      <c r="BD350" s="18">
        <f t="shared" si="218"/>
        <v>9</v>
      </c>
      <c r="BE350" s="8">
        <f t="shared" si="220"/>
        <v>8.9407970626618986E-3</v>
      </c>
    </row>
    <row r="351" spans="1:57" x14ac:dyDescent="0.25">
      <c r="A351" t="str">
        <f t="shared" si="219"/>
        <v/>
      </c>
      <c r="B351" s="1">
        <v>43249</v>
      </c>
      <c r="C351" s="9">
        <f t="shared" si="194"/>
        <v>0.25291302422271766</v>
      </c>
      <c r="D351" s="9">
        <f t="shared" si="195"/>
        <v>0</v>
      </c>
      <c r="E351" s="9">
        <f t="shared" si="196"/>
        <v>0</v>
      </c>
      <c r="F351" s="9">
        <f t="shared" si="197"/>
        <v>0</v>
      </c>
      <c r="G351" s="9">
        <f t="shared" si="198"/>
        <v>0.25484372557680585</v>
      </c>
      <c r="H351" s="9">
        <f t="shared" si="199"/>
        <v>0</v>
      </c>
      <c r="I351" s="9">
        <f t="shared" si="200"/>
        <v>0.24943266350142623</v>
      </c>
      <c r="J351" s="9">
        <f t="shared" si="201"/>
        <v>0.24281058669905023</v>
      </c>
      <c r="K351" s="9">
        <v>0</v>
      </c>
      <c r="L351" s="8">
        <f>+VLOOKUP($B351,NIFTY_50!$B$3:$I$1238,8,0)</f>
        <v>-5.1783901615265471E-3</v>
      </c>
      <c r="M351" s="8">
        <f>+VLOOKUP($B351,NIFTY_BANK!$B$3:$I$41238,8,0)</f>
        <v>-1.3505922579069463E-2</v>
      </c>
      <c r="N351" s="8">
        <f>+VLOOKUP($B351,NIFTY_IT!$B$3:$I$1238,8,0)</f>
        <v>4.6933922075611534E-3</v>
      </c>
      <c r="O351" s="8">
        <f>+VLOOKUP($B351,NIFTY_PHARMA!$B$3:$I$1238,8,0)</f>
        <v>-1.032571603398369E-2</v>
      </c>
      <c r="P351" s="8">
        <f>+VLOOKUP($B351,NIFTY_FMCG!$B$3:$I$1238,8,0)</f>
        <v>-2.9782733655531191E-3</v>
      </c>
      <c r="Q351" s="8">
        <f>+VLOOKUP($B351,NIFTY_METAL!$B$3:$I$1238,8,0)</f>
        <v>6.2418509168593594E-4</v>
      </c>
      <c r="R351" s="8">
        <f>+VLOOKUP($B351,NIFTY_ENERGY!$B$3:$I$1238,8,0)</f>
        <v>3.3466953242911046E-5</v>
      </c>
      <c r="S351" s="8">
        <f>+VLOOKUP($B351,NIFTY_AUTO!$B$3:$I$1238,8,0)</f>
        <v>3.9974016889021691E-3</v>
      </c>
      <c r="T351" s="8">
        <v>0</v>
      </c>
      <c r="U351" s="8">
        <f>+VLOOKUP($B351,NIFTY_50!$B$63:$K$1238,10,0)</f>
        <v>7.4851008593652679E-3</v>
      </c>
      <c r="V351" s="8">
        <f>+VLOOKUP($B351,NIFTY_BANK!$B$63:$K$1238,10,0)</f>
        <v>3.4321372854914323E-2</v>
      </c>
      <c r="W351" s="8">
        <f>+VLOOKUP($B351,NIFTY_IT!$B$63:$K$1238,10,0)</f>
        <v>6.3878777418646226E-2</v>
      </c>
      <c r="X351" s="8">
        <f>+VLOOKUP($B351,NIFTY_PHARMA!$B$63:$K$1238,10,0)</f>
        <v>-6.7934105026348002E-2</v>
      </c>
      <c r="Y351" s="8">
        <f>+VLOOKUP($B351,NIFTY_FMCG!$B$63:$K$1238,10,0)</f>
        <v>7.4000493860417071E-2</v>
      </c>
      <c r="Z351" s="8">
        <f>+VLOOKUP($B351,NIFTY_METAL!$B$63:$K$1238,10,0)</f>
        <v>-0.10658245092575391</v>
      </c>
      <c r="AA351" s="8">
        <f>+VLOOKUP($B351,NIFTY_ENERGY!$B$63:$K$1238,10,0)</f>
        <v>-3.9000160803301931E-2</v>
      </c>
      <c r="AB351" s="8">
        <f>+VLOOKUP($B351,NIFTY_AUTO!$B$63:$K$1238,10,0)</f>
        <v>-1.0219206914310108E-2</v>
      </c>
      <c r="AC351" s="8"/>
      <c r="AD351" s="16">
        <f t="shared" si="202"/>
        <v>5.5866895463068902E-2</v>
      </c>
      <c r="AE351" s="8">
        <f t="shared" si="203"/>
        <v>7.2999000319467391E-2</v>
      </c>
      <c r="AF351" s="8">
        <f t="shared" si="204"/>
        <v>9.4056252106672941E-2</v>
      </c>
      <c r="AG351" s="8">
        <f t="shared" si="205"/>
        <v>8.7990737154301141E-2</v>
      </c>
      <c r="AH351" s="8">
        <f t="shared" si="206"/>
        <v>6.4744043405231363E-2</v>
      </c>
      <c r="AI351" s="8">
        <f t="shared" si="207"/>
        <v>0.13002790708178411</v>
      </c>
      <c r="AJ351" s="8">
        <f t="shared" si="208"/>
        <v>7.6617921492173502E-2</v>
      </c>
      <c r="AK351" s="8">
        <f t="shared" si="209"/>
        <v>7.2044205301334638E-2</v>
      </c>
      <c r="AL351" s="9">
        <v>0</v>
      </c>
      <c r="AM351" s="17">
        <f t="shared" si="186"/>
        <v>17.89968803011535</v>
      </c>
      <c r="AN351" s="13">
        <f t="shared" si="187"/>
        <v>13.698817732074062</v>
      </c>
      <c r="AO351" s="13">
        <f t="shared" si="188"/>
        <v>10.631935438654946</v>
      </c>
      <c r="AP351" s="13">
        <f t="shared" si="189"/>
        <v>11.364832621488253</v>
      </c>
      <c r="AQ351" s="13">
        <f t="shared" si="190"/>
        <v>15.445436327493864</v>
      </c>
      <c r="AR351" s="13">
        <f t="shared" si="191"/>
        <v>7.6906567401029271</v>
      </c>
      <c r="AS351" s="13">
        <f t="shared" si="192"/>
        <v>13.051776666927067</v>
      </c>
      <c r="AT351" s="13">
        <f t="shared" si="193"/>
        <v>13.880366863890922</v>
      </c>
      <c r="AU351" s="9">
        <v>0</v>
      </c>
      <c r="AV351" s="18">
        <f t="shared" si="210"/>
        <v>1</v>
      </c>
      <c r="AW351" s="18">
        <f t="shared" si="211"/>
        <v>4</v>
      </c>
      <c r="AX351" s="18">
        <f t="shared" si="212"/>
        <v>7</v>
      </c>
      <c r="AY351" s="18">
        <f t="shared" si="213"/>
        <v>6</v>
      </c>
      <c r="AZ351" s="18">
        <f t="shared" si="214"/>
        <v>2</v>
      </c>
      <c r="BA351" s="18">
        <f t="shared" si="215"/>
        <v>8</v>
      </c>
      <c r="BB351" s="18">
        <f t="shared" si="216"/>
        <v>5</v>
      </c>
      <c r="BC351" s="18">
        <f t="shared" si="217"/>
        <v>3</v>
      </c>
      <c r="BD351" s="18">
        <f t="shared" si="218"/>
        <v>9</v>
      </c>
      <c r="BE351" s="8">
        <f t="shared" si="220"/>
        <v>-1.1014522104434861E-3</v>
      </c>
    </row>
    <row r="352" spans="1:57" x14ac:dyDescent="0.25">
      <c r="A352" t="str">
        <f t="shared" si="219"/>
        <v/>
      </c>
      <c r="B352" s="1">
        <v>43250</v>
      </c>
      <c r="C352" s="9">
        <f t="shared" si="194"/>
        <v>0.25304587398239148</v>
      </c>
      <c r="D352" s="9">
        <f t="shared" si="195"/>
        <v>0</v>
      </c>
      <c r="E352" s="9">
        <f t="shared" si="196"/>
        <v>0</v>
      </c>
      <c r="F352" s="9">
        <f t="shared" si="197"/>
        <v>0</v>
      </c>
      <c r="G352" s="9">
        <f t="shared" si="198"/>
        <v>0.25500524698723653</v>
      </c>
      <c r="H352" s="9">
        <f t="shared" si="199"/>
        <v>0</v>
      </c>
      <c r="I352" s="9">
        <f t="shared" si="200"/>
        <v>0.24917162949372185</v>
      </c>
      <c r="J352" s="9">
        <f t="shared" si="201"/>
        <v>0.24277724953665017</v>
      </c>
      <c r="K352" s="9">
        <v>0</v>
      </c>
      <c r="L352" s="8">
        <f>+VLOOKUP($B352,NIFTY_50!$B$3:$I$1238,8,0)</f>
        <v>-1.7821372480790743E-3</v>
      </c>
      <c r="M352" s="8">
        <f>+VLOOKUP($B352,NIFTY_BANK!$B$3:$I$41238,8,0)</f>
        <v>2.7804439569145689E-3</v>
      </c>
      <c r="N352" s="8">
        <f>+VLOOKUP($B352,NIFTY_IT!$B$3:$I$1238,8,0)</f>
        <v>-2.4703101898437829E-4</v>
      </c>
      <c r="O352" s="8">
        <f>+VLOOKUP($B352,NIFTY_PHARMA!$B$3:$I$1238,8,0)</f>
        <v>-1.062368838766059E-2</v>
      </c>
      <c r="P352" s="8">
        <f>+VLOOKUP($B352,NIFTY_FMCG!$B$3:$I$1238,8,0)</f>
        <v>-1.6738602596660934E-3</v>
      </c>
      <c r="Q352" s="8">
        <f>+VLOOKUP($B352,NIFTY_METAL!$B$3:$I$1238,8,0)</f>
        <v>8.8717614605138273E-4</v>
      </c>
      <c r="R352" s="8">
        <f>+VLOOKUP($B352,NIFTY_ENERGY!$B$3:$I$1238,8,0)</f>
        <v>-3.3503017502630739E-3</v>
      </c>
      <c r="S352" s="8">
        <f>+VLOOKUP($B352,NIFTY_AUTO!$B$3:$I$1238,8,0)</f>
        <v>-2.4431846459418427E-3</v>
      </c>
      <c r="T352" s="8">
        <v>0</v>
      </c>
      <c r="U352" s="8">
        <f>+VLOOKUP($B352,NIFTY_50!$B$63:$K$1238,10,0)</f>
        <v>1.1579313532548374E-2</v>
      </c>
      <c r="V352" s="8">
        <f>+VLOOKUP($B352,NIFTY_BANK!$B$63:$K$1238,10,0)</f>
        <v>4.8607183539514098E-2</v>
      </c>
      <c r="W352" s="8">
        <f>+VLOOKUP($B352,NIFTY_IT!$B$63:$K$1238,10,0)</f>
        <v>5.8451089077992124E-2</v>
      </c>
      <c r="X352" s="8">
        <f>+VLOOKUP($B352,NIFTY_PHARMA!$B$63:$K$1238,10,0)</f>
        <v>-7.1331715074914204E-2</v>
      </c>
      <c r="Y352" s="8">
        <f>+VLOOKUP($B352,NIFTY_FMCG!$B$63:$K$1238,10,0)</f>
        <v>8.0877056012552018E-2</v>
      </c>
      <c r="Z352" s="8">
        <f>+VLOOKUP($B352,NIFTY_METAL!$B$63:$K$1238,10,0)</f>
        <v>-9.6185862530824728E-2</v>
      </c>
      <c r="AA352" s="8">
        <f>+VLOOKUP($B352,NIFTY_ENERGY!$B$63:$K$1238,10,0)</f>
        <v>-4.2165036504436704E-2</v>
      </c>
      <c r="AB352" s="8">
        <f>+VLOOKUP($B352,NIFTY_AUTO!$B$63:$K$1238,10,0)</f>
        <v>-1.1925034955006741E-2</v>
      </c>
      <c r="AC352" s="8"/>
      <c r="AD352" s="16">
        <f t="shared" si="202"/>
        <v>5.5578100973030099E-2</v>
      </c>
      <c r="AE352" s="8">
        <f t="shared" si="203"/>
        <v>7.2102830424882913E-2</v>
      </c>
      <c r="AF352" s="8">
        <f t="shared" si="204"/>
        <v>9.3986959417688282E-2</v>
      </c>
      <c r="AG352" s="8">
        <f t="shared" si="205"/>
        <v>8.8306718225675152E-2</v>
      </c>
      <c r="AH352" s="8">
        <f t="shared" si="206"/>
        <v>6.4142166771372383E-2</v>
      </c>
      <c r="AI352" s="8">
        <f t="shared" si="207"/>
        <v>0.12973924254028291</v>
      </c>
      <c r="AJ352" s="8">
        <f t="shared" si="208"/>
        <v>7.6664024408645365E-2</v>
      </c>
      <c r="AK352" s="8">
        <f t="shared" si="209"/>
        <v>7.2078670271890688E-2</v>
      </c>
      <c r="AL352" s="9">
        <v>0</v>
      </c>
      <c r="AM352" s="17">
        <f t="shared" si="186"/>
        <v>17.992698247917129</v>
      </c>
      <c r="AN352" s="13">
        <f t="shared" si="187"/>
        <v>13.869081062522296</v>
      </c>
      <c r="AO352" s="13">
        <f t="shared" si="188"/>
        <v>10.639773923910987</v>
      </c>
      <c r="AP352" s="13">
        <f t="shared" si="189"/>
        <v>11.324166723582875</v>
      </c>
      <c r="AQ352" s="13">
        <f t="shared" si="190"/>
        <v>15.590368245032769</v>
      </c>
      <c r="AR352" s="13">
        <f t="shared" si="191"/>
        <v>7.7077681387688752</v>
      </c>
      <c r="AS352" s="13">
        <f t="shared" si="192"/>
        <v>13.043927809863716</v>
      </c>
      <c r="AT352" s="13">
        <f t="shared" si="193"/>
        <v>13.873729859719415</v>
      </c>
      <c r="AU352" s="9">
        <v>0</v>
      </c>
      <c r="AV352" s="18">
        <f t="shared" si="210"/>
        <v>1</v>
      </c>
      <c r="AW352" s="18">
        <f t="shared" si="211"/>
        <v>4</v>
      </c>
      <c r="AX352" s="18">
        <f t="shared" si="212"/>
        <v>7</v>
      </c>
      <c r="AY352" s="18">
        <f t="shared" si="213"/>
        <v>6</v>
      </c>
      <c r="AZ352" s="18">
        <f t="shared" si="214"/>
        <v>2</v>
      </c>
      <c r="BA352" s="18">
        <f t="shared" si="215"/>
        <v>8</v>
      </c>
      <c r="BB352" s="18">
        <f t="shared" si="216"/>
        <v>5</v>
      </c>
      <c r="BC352" s="18">
        <f t="shared" si="217"/>
        <v>3</v>
      </c>
      <c r="BD352" s="18">
        <f t="shared" si="218"/>
        <v>9</v>
      </c>
      <c r="BE352" s="8">
        <f t="shared" si="220"/>
        <v>-2.306204292056756E-3</v>
      </c>
    </row>
    <row r="353" spans="1:57" x14ac:dyDescent="0.25">
      <c r="A353" t="str">
        <f t="shared" si="219"/>
        <v>Y</v>
      </c>
      <c r="B353" s="1">
        <v>43251</v>
      </c>
      <c r="C353" s="9">
        <f t="shared" si="194"/>
        <v>0.25</v>
      </c>
      <c r="D353" s="9">
        <f t="shared" si="195"/>
        <v>0.25</v>
      </c>
      <c r="E353" s="9">
        <f t="shared" si="196"/>
        <v>0</v>
      </c>
      <c r="F353" s="9">
        <f t="shared" si="197"/>
        <v>0</v>
      </c>
      <c r="G353" s="9">
        <f t="shared" si="198"/>
        <v>0.25</v>
      </c>
      <c r="H353" s="9">
        <f t="shared" si="199"/>
        <v>0</v>
      </c>
      <c r="I353" s="9">
        <f t="shared" si="200"/>
        <v>0</v>
      </c>
      <c r="J353" s="9">
        <f t="shared" si="201"/>
        <v>0.25</v>
      </c>
      <c r="K353" s="9">
        <v>0</v>
      </c>
      <c r="L353" s="8">
        <f>+VLOOKUP($B353,NIFTY_50!$B$3:$I$1238,8,0)</f>
        <v>1.147503144328188E-2</v>
      </c>
      <c r="M353" s="8">
        <f>+VLOOKUP($B353,NIFTY_BANK!$B$3:$I$41238,8,0)</f>
        <v>2.386830650491123E-2</v>
      </c>
      <c r="N353" s="8">
        <f>+VLOOKUP($B353,NIFTY_IT!$B$3:$I$1238,8,0)</f>
        <v>7.9880805741385785E-3</v>
      </c>
      <c r="O353" s="8">
        <f>+VLOOKUP($B353,NIFTY_PHARMA!$B$3:$I$1238,8,0)</f>
        <v>-1.2119791854442341E-2</v>
      </c>
      <c r="P353" s="8">
        <f>+VLOOKUP($B353,NIFTY_FMCG!$B$3:$I$1238,8,0)</f>
        <v>5.4522202313136425E-3</v>
      </c>
      <c r="Q353" s="8">
        <f>+VLOOKUP($B353,NIFTY_METAL!$B$3:$I$1238,8,0)</f>
        <v>-4.570447211334705E-3</v>
      </c>
      <c r="R353" s="8">
        <f>+VLOOKUP($B353,NIFTY_ENERGY!$B$3:$I$1238,8,0)</f>
        <v>9.0959967167854039E-3</v>
      </c>
      <c r="S353" s="8">
        <f>+VLOOKUP($B353,NIFTY_AUTO!$B$3:$I$1238,8,0)</f>
        <v>-2.6940852582737485E-3</v>
      </c>
      <c r="T353" s="8">
        <v>0</v>
      </c>
      <c r="U353" s="8">
        <f>+VLOOKUP($B353,NIFTY_50!$B$63:$K$1238,10,0)</f>
        <v>2.6562507470107466E-2</v>
      </c>
      <c r="V353" s="8">
        <f>+VLOOKUP($B353,NIFTY_BANK!$B$63:$K$1238,10,0)</f>
        <v>8.2467458151876061E-2</v>
      </c>
      <c r="W353" s="8">
        <f>+VLOOKUP($B353,NIFTY_IT!$B$63:$K$1238,10,0)</f>
        <v>7.0210541566003259E-2</v>
      </c>
      <c r="X353" s="8">
        <f>+VLOOKUP($B353,NIFTY_PHARMA!$B$63:$K$1238,10,0)</f>
        <v>-7.8214796333155756E-2</v>
      </c>
      <c r="Y353" s="8">
        <f>+VLOOKUP($B353,NIFTY_FMCG!$B$63:$K$1238,10,0)</f>
        <v>8.7646056314369947E-2</v>
      </c>
      <c r="Z353" s="8">
        <f>+VLOOKUP($B353,NIFTY_METAL!$B$63:$K$1238,10,0)</f>
        <v>-9.2718826529324172E-2</v>
      </c>
      <c r="AA353" s="8">
        <f>+VLOOKUP($B353,NIFTY_ENERGY!$B$63:$K$1238,10,0)</f>
        <v>-3.134445956593368E-2</v>
      </c>
      <c r="AB353" s="8">
        <f>+VLOOKUP($B353,NIFTY_AUTO!$B$63:$K$1238,10,0)</f>
        <v>-1.3658751020481419E-2</v>
      </c>
      <c r="AC353" s="8"/>
      <c r="AD353" s="16">
        <f t="shared" si="202"/>
        <v>5.6567645967498498E-2</v>
      </c>
      <c r="AE353" s="8">
        <f t="shared" si="203"/>
        <v>7.5050304390701941E-2</v>
      </c>
      <c r="AF353" s="8">
        <f t="shared" si="204"/>
        <v>9.4146611568585559E-2</v>
      </c>
      <c r="AG353" s="8">
        <f t="shared" si="205"/>
        <v>8.8907988771991617E-2</v>
      </c>
      <c r="AH353" s="8">
        <f t="shared" si="206"/>
        <v>6.4236029531272568E-2</v>
      </c>
      <c r="AI353" s="8">
        <f t="shared" si="207"/>
        <v>0.12959300267865617</v>
      </c>
      <c r="AJ353" s="8">
        <f t="shared" si="208"/>
        <v>7.7253606468722119E-2</v>
      </c>
      <c r="AK353" s="8">
        <f t="shared" si="209"/>
        <v>7.2118766728859876E-2</v>
      </c>
      <c r="AL353" s="9">
        <v>0</v>
      </c>
      <c r="AM353" s="17">
        <f t="shared" si="186"/>
        <v>17.677949698924362</v>
      </c>
      <c r="AN353" s="13">
        <f t="shared" si="187"/>
        <v>13.324396324818784</v>
      </c>
      <c r="AO353" s="13">
        <f t="shared" si="188"/>
        <v>10.621731184361348</v>
      </c>
      <c r="AP353" s="13">
        <f t="shared" si="189"/>
        <v>11.247583190353605</v>
      </c>
      <c r="AQ353" s="13">
        <f t="shared" si="190"/>
        <v>15.567587338398019</v>
      </c>
      <c r="AR353" s="13">
        <f t="shared" si="191"/>
        <v>7.7164660076565914</v>
      </c>
      <c r="AS353" s="13">
        <f t="shared" si="192"/>
        <v>12.944379501620714</v>
      </c>
      <c r="AT353" s="13">
        <f t="shared" si="193"/>
        <v>13.866016369354087</v>
      </c>
      <c r="AU353" s="9">
        <v>0</v>
      </c>
      <c r="AV353" s="18">
        <f t="shared" si="210"/>
        <v>1</v>
      </c>
      <c r="AW353" s="18">
        <f t="shared" si="211"/>
        <v>4</v>
      </c>
      <c r="AX353" s="18">
        <f t="shared" si="212"/>
        <v>7</v>
      </c>
      <c r="AY353" s="18">
        <f t="shared" si="213"/>
        <v>6</v>
      </c>
      <c r="AZ353" s="18">
        <f t="shared" si="214"/>
        <v>2</v>
      </c>
      <c r="BA353" s="18">
        <f t="shared" si="215"/>
        <v>8</v>
      </c>
      <c r="BB353" s="18">
        <f t="shared" si="216"/>
        <v>5</v>
      </c>
      <c r="BC353" s="18">
        <f t="shared" si="217"/>
        <v>3</v>
      </c>
      <c r="BD353" s="18">
        <f t="shared" si="218"/>
        <v>9</v>
      </c>
      <c r="BE353" s="8">
        <f t="shared" si="220"/>
        <v>5.9064558420256564E-3</v>
      </c>
    </row>
    <row r="354" spans="1:57" x14ac:dyDescent="0.25">
      <c r="A354" t="str">
        <f t="shared" si="219"/>
        <v/>
      </c>
      <c r="B354" s="1">
        <v>43252</v>
      </c>
      <c r="C354" s="9">
        <f t="shared" si="194"/>
        <v>0.24988602931105269</v>
      </c>
      <c r="D354" s="9">
        <f t="shared" si="195"/>
        <v>0.24836848855341559</v>
      </c>
      <c r="E354" s="9">
        <f t="shared" si="196"/>
        <v>0</v>
      </c>
      <c r="F354" s="9">
        <f t="shared" si="197"/>
        <v>0</v>
      </c>
      <c r="G354" s="9">
        <f t="shared" si="198"/>
        <v>0.2490531662840528</v>
      </c>
      <c r="H354" s="9">
        <f t="shared" si="199"/>
        <v>0</v>
      </c>
      <c r="I354" s="9">
        <f t="shared" si="200"/>
        <v>0</v>
      </c>
      <c r="J354" s="9">
        <f t="shared" si="201"/>
        <v>0.252692315851479</v>
      </c>
      <c r="K354" s="9">
        <v>0</v>
      </c>
      <c r="L354" s="8">
        <f>+VLOOKUP($B354,NIFTY_50!$B$3:$I$1238,8,0)</f>
        <v>-3.7210731966299537E-3</v>
      </c>
      <c r="M354" s="8">
        <f>+VLOOKUP($B354,NIFTY_BANK!$B$3:$I$41238,8,0)</f>
        <v>-9.7714069490507649E-3</v>
      </c>
      <c r="N354" s="8">
        <f>+VLOOKUP($B354,NIFTY_IT!$B$3:$I$1238,8,0)</f>
        <v>-7.8625786623738314E-3</v>
      </c>
      <c r="O354" s="8">
        <f>+VLOOKUP($B354,NIFTY_PHARMA!$B$3:$I$1238,8,0)</f>
        <v>-8.5763814969119778E-4</v>
      </c>
      <c r="P354" s="8">
        <f>+VLOOKUP($B354,NIFTY_FMCG!$B$3:$I$1238,8,0)</f>
        <v>-7.0416425177775022E-3</v>
      </c>
      <c r="Q354" s="8">
        <f>+VLOOKUP($B354,NIFTY_METAL!$B$3:$I$1238,8,0)</f>
        <v>-7.0262824704687699E-3</v>
      </c>
      <c r="R354" s="8">
        <f>+VLOOKUP($B354,NIFTY_ENERGY!$B$3:$I$1238,8,0)</f>
        <v>-1.8597394146442348E-3</v>
      </c>
      <c r="S354" s="8">
        <f>+VLOOKUP($B354,NIFTY_AUTO!$B$3:$I$1238,8,0)</f>
        <v>7.4674040083859694E-3</v>
      </c>
      <c r="T354" s="8">
        <v>0</v>
      </c>
      <c r="U354" s="8">
        <f>+VLOOKUP($B354,NIFTY_50!$B$63:$K$1238,10,0)</f>
        <v>3.2566356304029931E-2</v>
      </c>
      <c r="V354" s="8">
        <f>+VLOOKUP($B354,NIFTY_BANK!$B$63:$K$1238,10,0)</f>
        <v>7.5511610197149581E-2</v>
      </c>
      <c r="W354" s="8">
        <f>+VLOOKUP($B354,NIFTY_IT!$B$63:$K$1238,10,0)</f>
        <v>5.4512294237282877E-2</v>
      </c>
      <c r="X354" s="8">
        <f>+VLOOKUP($B354,NIFTY_PHARMA!$B$63:$K$1238,10,0)</f>
        <v>-7.2562614331850184E-2</v>
      </c>
      <c r="Y354" s="8">
        <f>+VLOOKUP($B354,NIFTY_FMCG!$B$63:$K$1238,10,0)</f>
        <v>9.3509397185144172E-2</v>
      </c>
      <c r="Z354" s="8">
        <f>+VLOOKUP($B354,NIFTY_METAL!$B$63:$K$1238,10,0)</f>
        <v>-6.8497441787616187E-2</v>
      </c>
      <c r="AA354" s="8">
        <f>+VLOOKUP($B354,NIFTY_ENERGY!$B$63:$K$1238,10,0)</f>
        <v>-1.3743620468569029E-2</v>
      </c>
      <c r="AB354" s="8">
        <f>+VLOOKUP($B354,NIFTY_AUTO!$B$63:$K$1238,10,0)</f>
        <v>9.5656057457433885E-3</v>
      </c>
      <c r="AC354" s="8"/>
      <c r="AD354" s="16">
        <f t="shared" si="202"/>
        <v>5.5833648675522353E-2</v>
      </c>
      <c r="AE354" s="8">
        <f t="shared" si="203"/>
        <v>7.5718281431218656E-2</v>
      </c>
      <c r="AF354" s="8">
        <f t="shared" si="204"/>
        <v>9.4388167498317063E-2</v>
      </c>
      <c r="AG354" s="8">
        <f t="shared" si="205"/>
        <v>8.8724070659743234E-2</v>
      </c>
      <c r="AH354" s="8">
        <f t="shared" si="206"/>
        <v>6.330433516503059E-2</v>
      </c>
      <c r="AI354" s="8">
        <f t="shared" si="207"/>
        <v>0.12581382946266503</v>
      </c>
      <c r="AJ354" s="8">
        <f t="shared" si="208"/>
        <v>7.4807844943607815E-2</v>
      </c>
      <c r="AK354" s="8">
        <f t="shared" si="209"/>
        <v>7.0779835136460939E-2</v>
      </c>
      <c r="AL354" s="9">
        <v>0</v>
      </c>
      <c r="AM354" s="17">
        <f t="shared" si="186"/>
        <v>17.910346604992753</v>
      </c>
      <c r="AN354" s="13">
        <f t="shared" si="187"/>
        <v>13.206850196519381</v>
      </c>
      <c r="AO354" s="13">
        <f t="shared" si="188"/>
        <v>10.594548305197577</v>
      </c>
      <c r="AP354" s="13">
        <f t="shared" si="189"/>
        <v>11.270898557337382</v>
      </c>
      <c r="AQ354" s="13">
        <f t="shared" si="190"/>
        <v>15.796706456091202</v>
      </c>
      <c r="AR354" s="13">
        <f t="shared" si="191"/>
        <v>7.9482518278862795</v>
      </c>
      <c r="AS354" s="13">
        <f t="shared" si="192"/>
        <v>13.367581979588198</v>
      </c>
      <c r="AT354" s="13">
        <f t="shared" si="193"/>
        <v>14.128317734451295</v>
      </c>
      <c r="AU354" s="9">
        <v>0</v>
      </c>
      <c r="AV354" s="18">
        <f t="shared" si="210"/>
        <v>1</v>
      </c>
      <c r="AW354" s="18">
        <f t="shared" si="211"/>
        <v>5</v>
      </c>
      <c r="AX354" s="18">
        <f t="shared" si="212"/>
        <v>7</v>
      </c>
      <c r="AY354" s="18">
        <f t="shared" si="213"/>
        <v>6</v>
      </c>
      <c r="AZ354" s="18">
        <f t="shared" si="214"/>
        <v>2</v>
      </c>
      <c r="BA354" s="18">
        <f t="shared" si="215"/>
        <v>8</v>
      </c>
      <c r="BB354" s="18">
        <f t="shared" si="216"/>
        <v>4</v>
      </c>
      <c r="BC354" s="18">
        <f t="shared" si="217"/>
        <v>3</v>
      </c>
      <c r="BD354" s="18">
        <f t="shared" si="218"/>
        <v>9</v>
      </c>
      <c r="BE354" s="8">
        <f t="shared" si="220"/>
        <v>-3.2666796637680628E-3</v>
      </c>
    </row>
    <row r="355" spans="1:57" x14ac:dyDescent="0.25">
      <c r="A355" t="str">
        <f t="shared" si="219"/>
        <v/>
      </c>
      <c r="B355" s="1">
        <v>43255</v>
      </c>
      <c r="C355" s="9">
        <f t="shared" si="194"/>
        <v>0.25049192604861958</v>
      </c>
      <c r="D355" s="9">
        <f t="shared" si="195"/>
        <v>0.2464710169622204</v>
      </c>
      <c r="E355" s="9">
        <f t="shared" si="196"/>
        <v>0</v>
      </c>
      <c r="F355" s="9">
        <f t="shared" si="197"/>
        <v>0</v>
      </c>
      <c r="G355" s="9">
        <f t="shared" si="198"/>
        <v>0.24934523104625361</v>
      </c>
      <c r="H355" s="9">
        <f t="shared" si="199"/>
        <v>0</v>
      </c>
      <c r="I355" s="9">
        <f t="shared" si="200"/>
        <v>0</v>
      </c>
      <c r="J355" s="9">
        <f t="shared" si="201"/>
        <v>0.25369182594290635</v>
      </c>
      <c r="K355" s="9">
        <v>0</v>
      </c>
      <c r="L355" s="8">
        <f>+VLOOKUP($B355,NIFTY_50!$B$3:$I$1238,8,0)</f>
        <v>-6.3293506104972197E-3</v>
      </c>
      <c r="M355" s="8">
        <f>+VLOOKUP($B355,NIFTY_BANK!$B$3:$I$41238,8,0)</f>
        <v>-1.6305895222681777E-2</v>
      </c>
      <c r="N355" s="8">
        <f>+VLOOKUP($B355,NIFTY_IT!$B$3:$I$1238,8,0)</f>
        <v>2.6957159873290948E-3</v>
      </c>
      <c r="O355" s="8">
        <f>+VLOOKUP($B355,NIFTY_PHARMA!$B$3:$I$1238,8,0)</f>
        <v>-9.0098865241339254E-4</v>
      </c>
      <c r="P355" s="8">
        <f>+VLOOKUP($B355,NIFTY_FMCG!$B$3:$I$1238,8,0)</f>
        <v>-7.5704089978121392E-3</v>
      </c>
      <c r="Q355" s="8">
        <f>+VLOOKUP($B355,NIFTY_METAL!$B$3:$I$1238,8,0)</f>
        <v>1.6113664387400473E-3</v>
      </c>
      <c r="R355" s="8">
        <f>+VLOOKUP($B355,NIFTY_ENERGY!$B$3:$I$1238,8,0)</f>
        <v>9.7420035930584348E-4</v>
      </c>
      <c r="S355" s="8">
        <f>+VLOOKUP($B355,NIFTY_AUTO!$B$3:$I$1238,8,0)</f>
        <v>-4.8119676252984522E-3</v>
      </c>
      <c r="T355" s="8">
        <v>0</v>
      </c>
      <c r="U355" s="8">
        <f>+VLOOKUP($B355,NIFTY_50!$B$63:$K$1238,10,0)</f>
        <v>3.7002707515183975E-2</v>
      </c>
      <c r="V355" s="8">
        <f>+VLOOKUP($B355,NIFTY_BANK!$B$63:$K$1238,10,0)</f>
        <v>7.3996511026261258E-2</v>
      </c>
      <c r="W355" s="8">
        <f>+VLOOKUP($B355,NIFTY_IT!$B$63:$K$1238,10,0)</f>
        <v>6.9966394094175266E-2</v>
      </c>
      <c r="X355" s="8">
        <f>+VLOOKUP($B355,NIFTY_PHARMA!$B$63:$K$1238,10,0)</f>
        <v>-6.2146053225594411E-2</v>
      </c>
      <c r="Y355" s="8">
        <f>+VLOOKUP($B355,NIFTY_FMCG!$B$63:$K$1238,10,0)</f>
        <v>9.667153307224674E-2</v>
      </c>
      <c r="Z355" s="8">
        <f>+VLOOKUP($B355,NIFTY_METAL!$B$63:$K$1238,10,0)</f>
        <v>-6.3598731955251675E-2</v>
      </c>
      <c r="AA355" s="8">
        <f>+VLOOKUP($B355,NIFTY_ENERGY!$B$63:$K$1238,10,0)</f>
        <v>-5.1943940303124103E-3</v>
      </c>
      <c r="AB355" s="8">
        <f>+VLOOKUP($B355,NIFTY_AUTO!$B$63:$K$1238,10,0)</f>
        <v>1.8657561210015272E-2</v>
      </c>
      <c r="AC355" s="8"/>
      <c r="AD355" s="16">
        <f t="shared" si="202"/>
        <v>5.5141026290864349E-2</v>
      </c>
      <c r="AE355" s="8">
        <f t="shared" si="203"/>
        <v>7.6026315423941268E-2</v>
      </c>
      <c r="AF355" s="8">
        <f t="shared" si="204"/>
        <v>9.3523874271130542E-2</v>
      </c>
      <c r="AG355" s="8">
        <f t="shared" si="205"/>
        <v>8.8049798608117957E-2</v>
      </c>
      <c r="AH355" s="8">
        <f t="shared" si="206"/>
        <v>6.2826820765549296E-2</v>
      </c>
      <c r="AI355" s="8">
        <f t="shared" si="207"/>
        <v>0.12581305576693161</v>
      </c>
      <c r="AJ355" s="8">
        <f t="shared" si="208"/>
        <v>7.4437061818971723E-2</v>
      </c>
      <c r="AK355" s="8">
        <f t="shared" si="209"/>
        <v>6.9574472577397878E-2</v>
      </c>
      <c r="AL355" s="9">
        <v>0</v>
      </c>
      <c r="AM355" s="17">
        <f t="shared" si="186"/>
        <v>18.135317154328661</v>
      </c>
      <c r="AN355" s="13">
        <f t="shared" si="187"/>
        <v>13.15334031938489</v>
      </c>
      <c r="AO355" s="13">
        <f t="shared" si="188"/>
        <v>10.692456955974134</v>
      </c>
      <c r="AP355" s="13">
        <f t="shared" si="189"/>
        <v>11.357209395227425</v>
      </c>
      <c r="AQ355" s="13">
        <f t="shared" si="190"/>
        <v>15.916769109353753</v>
      </c>
      <c r="AR355" s="13">
        <f t="shared" si="191"/>
        <v>7.9483007061882169</v>
      </c>
      <c r="AS355" s="13">
        <f t="shared" si="192"/>
        <v>13.434168081915489</v>
      </c>
      <c r="AT355" s="13">
        <f t="shared" si="193"/>
        <v>14.373087756972264</v>
      </c>
      <c r="AU355" s="9">
        <v>0</v>
      </c>
      <c r="AV355" s="18">
        <f t="shared" si="210"/>
        <v>1</v>
      </c>
      <c r="AW355" s="18">
        <f t="shared" si="211"/>
        <v>5</v>
      </c>
      <c r="AX355" s="18">
        <f t="shared" si="212"/>
        <v>7</v>
      </c>
      <c r="AY355" s="18">
        <f t="shared" si="213"/>
        <v>6</v>
      </c>
      <c r="AZ355" s="18">
        <f t="shared" si="214"/>
        <v>2</v>
      </c>
      <c r="BA355" s="18">
        <f t="shared" si="215"/>
        <v>8</v>
      </c>
      <c r="BB355" s="18">
        <f t="shared" si="216"/>
        <v>4</v>
      </c>
      <c r="BC355" s="18">
        <f t="shared" si="217"/>
        <v>3</v>
      </c>
      <c r="BD355" s="18">
        <f t="shared" si="218"/>
        <v>9</v>
      </c>
      <c r="BE355" s="8">
        <f t="shared" si="220"/>
        <v>-8.7328684171518751E-3</v>
      </c>
    </row>
    <row r="356" spans="1:57" x14ac:dyDescent="0.25">
      <c r="A356" t="str">
        <f t="shared" si="219"/>
        <v/>
      </c>
      <c r="B356" s="1">
        <v>43256</v>
      </c>
      <c r="C356" s="9">
        <f t="shared" si="194"/>
        <v>0.25019787699155682</v>
      </c>
      <c r="D356" s="9">
        <f t="shared" si="195"/>
        <v>0.24694159613000227</v>
      </c>
      <c r="E356" s="9">
        <f t="shared" si="196"/>
        <v>0</v>
      </c>
      <c r="F356" s="9">
        <f t="shared" si="197"/>
        <v>0</v>
      </c>
      <c r="G356" s="9">
        <f t="shared" si="198"/>
        <v>0.2494581358534359</v>
      </c>
      <c r="H356" s="9">
        <f t="shared" si="199"/>
        <v>0</v>
      </c>
      <c r="I356" s="9">
        <f t="shared" si="200"/>
        <v>0</v>
      </c>
      <c r="J356" s="9">
        <f t="shared" si="201"/>
        <v>0.25340239102500511</v>
      </c>
      <c r="K356" s="9">
        <v>0</v>
      </c>
      <c r="L356" s="8">
        <f>+VLOOKUP($B356,NIFTY_50!$B$3:$I$1238,8,0)</f>
        <v>-3.3259632121184213E-3</v>
      </c>
      <c r="M356" s="8">
        <f>+VLOOKUP($B356,NIFTY_BANK!$B$3:$I$41238,8,0)</f>
        <v>-2.4945206235915673E-4</v>
      </c>
      <c r="N356" s="8">
        <f>+VLOOKUP($B356,NIFTY_IT!$B$3:$I$1238,8,0)</f>
        <v>-1.3696111098851826E-2</v>
      </c>
      <c r="O356" s="8">
        <f>+VLOOKUP($B356,NIFTY_PHARMA!$B$3:$I$1238,8,0)</f>
        <v>-1.0730215213629268E-2</v>
      </c>
      <c r="P356" s="8">
        <f>+VLOOKUP($B356,NIFTY_FMCG!$B$3:$I$1238,8,0)</f>
        <v>-1.702776564723063E-3</v>
      </c>
      <c r="Q356" s="8">
        <f>+VLOOKUP($B356,NIFTY_METAL!$B$3:$I$1238,8,0)</f>
        <v>-5.7636081306045028E-3</v>
      </c>
      <c r="R356" s="8">
        <f>+VLOOKUP($B356,NIFTY_ENERGY!$B$3:$I$1238,8,0)</f>
        <v>2.5126929851828628E-3</v>
      </c>
      <c r="S356" s="8">
        <f>+VLOOKUP($B356,NIFTY_AUTO!$B$3:$I$1238,8,0)</f>
        <v>-3.2930397115187304E-3</v>
      </c>
      <c r="T356" s="8">
        <v>0</v>
      </c>
      <c r="U356" s="8">
        <f>+VLOOKUP($B356,NIFTY_50!$B$63:$K$1238,10,0)</f>
        <v>4.322841779756148E-2</v>
      </c>
      <c r="V356" s="8">
        <f>+VLOOKUP($B356,NIFTY_BANK!$B$63:$K$1238,10,0)</f>
        <v>8.7714064332210517E-2</v>
      </c>
      <c r="W356" s="8">
        <f>+VLOOKUP($B356,NIFTY_IT!$B$63:$K$1238,10,0)</f>
        <v>5.772196432163379E-2</v>
      </c>
      <c r="X356" s="8">
        <f>+VLOOKUP($B356,NIFTY_PHARMA!$B$63:$K$1238,10,0)</f>
        <v>-5.7719094602437626E-2</v>
      </c>
      <c r="Y356" s="8">
        <f>+VLOOKUP($B356,NIFTY_FMCG!$B$63:$K$1238,10,0)</f>
        <v>8.7692000721381724E-2</v>
      </c>
      <c r="Z356" s="8">
        <f>+VLOOKUP($B356,NIFTY_METAL!$B$63:$K$1238,10,0)</f>
        <v>-5.815078386938588E-2</v>
      </c>
      <c r="AA356" s="8">
        <f>+VLOOKUP($B356,NIFTY_ENERGY!$B$63:$K$1238,10,0)</f>
        <v>1.4010121124103492E-2</v>
      </c>
      <c r="AB356" s="8">
        <f>+VLOOKUP($B356,NIFTY_AUTO!$B$63:$K$1238,10,0)</f>
        <v>1.8389867034958485E-2</v>
      </c>
      <c r="AC356" s="8"/>
      <c r="AD356" s="16">
        <f t="shared" si="202"/>
        <v>5.4384067788636803E-2</v>
      </c>
      <c r="AE356" s="8">
        <f t="shared" si="203"/>
        <v>7.4708893345147714E-2</v>
      </c>
      <c r="AF356" s="8">
        <f t="shared" si="204"/>
        <v>9.4625175494859798E-2</v>
      </c>
      <c r="AG356" s="8">
        <f t="shared" si="205"/>
        <v>8.7408532697710359E-2</v>
      </c>
      <c r="AH356" s="8">
        <f t="shared" si="206"/>
        <v>6.2703468885772634E-2</v>
      </c>
      <c r="AI356" s="8">
        <f t="shared" si="207"/>
        <v>0.1254587946422786</v>
      </c>
      <c r="AJ356" s="8">
        <f t="shared" si="208"/>
        <v>7.260442170697487E-2</v>
      </c>
      <c r="AK356" s="8">
        <f t="shared" si="209"/>
        <v>6.958766101961418E-2</v>
      </c>
      <c r="AL356" s="9">
        <v>0</v>
      </c>
      <c r="AM356" s="17">
        <f t="shared" si="186"/>
        <v>18.38773818623666</v>
      </c>
      <c r="AN356" s="13">
        <f t="shared" si="187"/>
        <v>13.385287282734851</v>
      </c>
      <c r="AO356" s="13">
        <f t="shared" si="188"/>
        <v>10.568012104287423</v>
      </c>
      <c r="AP356" s="13">
        <f t="shared" si="189"/>
        <v>11.440530679749012</v>
      </c>
      <c r="AQ356" s="13">
        <f t="shared" si="190"/>
        <v>15.948080987699537</v>
      </c>
      <c r="AR356" s="13">
        <f t="shared" si="191"/>
        <v>7.9707445209505305</v>
      </c>
      <c r="AS356" s="13">
        <f t="shared" si="192"/>
        <v>13.773265821686632</v>
      </c>
      <c r="AT356" s="13">
        <f t="shared" si="193"/>
        <v>14.370363730405266</v>
      </c>
      <c r="AU356" s="9">
        <v>0</v>
      </c>
      <c r="AV356" s="18">
        <f t="shared" si="210"/>
        <v>1</v>
      </c>
      <c r="AW356" s="18">
        <f t="shared" si="211"/>
        <v>5</v>
      </c>
      <c r="AX356" s="18">
        <f t="shared" si="212"/>
        <v>7</v>
      </c>
      <c r="AY356" s="18">
        <f t="shared" si="213"/>
        <v>6</v>
      </c>
      <c r="AZ356" s="18">
        <f t="shared" si="214"/>
        <v>2</v>
      </c>
      <c r="BA356" s="18">
        <f t="shared" si="215"/>
        <v>8</v>
      </c>
      <c r="BB356" s="18">
        <f t="shared" si="216"/>
        <v>4</v>
      </c>
      <c r="BC356" s="18">
        <f t="shared" si="217"/>
        <v>3</v>
      </c>
      <c r="BD356" s="18">
        <f t="shared" si="218"/>
        <v>9</v>
      </c>
      <c r="BE356" s="8">
        <f t="shared" si="220"/>
        <v>-2.1546061077320879E-3</v>
      </c>
    </row>
    <row r="357" spans="1:57" x14ac:dyDescent="0.25">
      <c r="A357" t="str">
        <f t="shared" si="219"/>
        <v/>
      </c>
      <c r="B357" s="1">
        <v>43257</v>
      </c>
      <c r="C357" s="9">
        <f t="shared" si="194"/>
        <v>0.25000832293428776</v>
      </c>
      <c r="D357" s="9">
        <f t="shared" si="195"/>
        <v>0.24572801298248523</v>
      </c>
      <c r="E357" s="9">
        <f t="shared" si="196"/>
        <v>0</v>
      </c>
      <c r="F357" s="9">
        <f t="shared" si="197"/>
        <v>0</v>
      </c>
      <c r="G357" s="9">
        <f t="shared" si="198"/>
        <v>0.24936245549187641</v>
      </c>
      <c r="H357" s="9">
        <f t="shared" si="199"/>
        <v>0</v>
      </c>
      <c r="I357" s="9">
        <f t="shared" si="200"/>
        <v>0</v>
      </c>
      <c r="J357" s="9">
        <f t="shared" si="201"/>
        <v>0.25490120859135051</v>
      </c>
      <c r="K357" s="9">
        <v>0</v>
      </c>
      <c r="L357" s="8">
        <f>+VLOOKUP($B357,NIFTY_50!$B$3:$I$1238,8,0)</f>
        <v>8.6376573540447588E-3</v>
      </c>
      <c r="M357" s="8">
        <f>+VLOOKUP($B357,NIFTY_BANK!$B$3:$I$41238,8,0)</f>
        <v>4.4417355529313696E-3</v>
      </c>
      <c r="N357" s="8">
        <f>+VLOOKUP($B357,NIFTY_IT!$B$3:$I$1238,8,0)</f>
        <v>8.9418222225536859E-3</v>
      </c>
      <c r="O357" s="8">
        <f>+VLOOKUP($B357,NIFTY_PHARMA!$B$3:$I$1238,8,0)</f>
        <v>1.4277355178466955E-2</v>
      </c>
      <c r="P357" s="8">
        <f>+VLOOKUP($B357,NIFTY_FMCG!$B$3:$I$1238,8,0)</f>
        <v>9.0152382397090669E-3</v>
      </c>
      <c r="Q357" s="8">
        <f>+VLOOKUP($B357,NIFTY_METAL!$B$3:$I$1238,8,0)</f>
        <v>1.858704675606071E-2</v>
      </c>
      <c r="R357" s="8">
        <f>+VLOOKUP($B357,NIFTY_ENERGY!$B$3:$I$1238,8,0)</f>
        <v>5.0681599220396834E-3</v>
      </c>
      <c r="S357" s="8">
        <f>+VLOOKUP($B357,NIFTY_AUTO!$B$3:$I$1238,8,0)</f>
        <v>1.5372783165482629E-2</v>
      </c>
      <c r="T357" s="8">
        <v>0</v>
      </c>
      <c r="U357" s="8">
        <f>+VLOOKUP($B357,NIFTY_50!$B$63:$K$1238,10,0)</f>
        <v>4.3152895002757985E-2</v>
      </c>
      <c r="V357" s="8">
        <f>+VLOOKUP($B357,NIFTY_BANK!$B$63:$K$1238,10,0)</f>
        <v>7.7211251897138622E-2</v>
      </c>
      <c r="W357" s="8">
        <f>+VLOOKUP($B357,NIFTY_IT!$B$63:$K$1238,10,0)</f>
        <v>6.6738156815744576E-2</v>
      </c>
      <c r="X357" s="8">
        <f>+VLOOKUP($B357,NIFTY_PHARMA!$B$63:$K$1238,10,0)</f>
        <v>-4.1076825426403674E-2</v>
      </c>
      <c r="Y357" s="8">
        <f>+VLOOKUP($B357,NIFTY_FMCG!$B$63:$K$1238,10,0)</f>
        <v>0.1020606322149098</v>
      </c>
      <c r="Z357" s="8">
        <f>+VLOOKUP($B357,NIFTY_METAL!$B$63:$K$1238,10,0)</f>
        <v>-3.6315228966986135E-2</v>
      </c>
      <c r="AA357" s="8">
        <f>+VLOOKUP($B357,NIFTY_ENERGY!$B$63:$K$1238,10,0)</f>
        <v>4.7640310123289176E-3</v>
      </c>
      <c r="AB357" s="8">
        <f>+VLOOKUP($B357,NIFTY_AUTO!$B$63:$K$1238,10,0)</f>
        <v>2.3965671539044164E-2</v>
      </c>
      <c r="AC357" s="8"/>
      <c r="AD357" s="16">
        <f t="shared" si="202"/>
        <v>5.4373383109449287E-2</v>
      </c>
      <c r="AE357" s="8">
        <f t="shared" si="203"/>
        <v>7.3653565416957528E-2</v>
      </c>
      <c r="AF357" s="8">
        <f t="shared" si="204"/>
        <v>9.4950394446861694E-2</v>
      </c>
      <c r="AG357" s="8">
        <f t="shared" si="205"/>
        <v>8.8656917355800419E-2</v>
      </c>
      <c r="AH357" s="8">
        <f t="shared" si="206"/>
        <v>6.289590728463966E-2</v>
      </c>
      <c r="AI357" s="8">
        <f t="shared" si="207"/>
        <v>0.1268693619479411</v>
      </c>
      <c r="AJ357" s="8">
        <f t="shared" si="208"/>
        <v>7.1384358868077327E-2</v>
      </c>
      <c r="AK357" s="8">
        <f t="shared" si="209"/>
        <v>7.0552262774604829E-2</v>
      </c>
      <c r="AL357" s="9">
        <v>0</v>
      </c>
      <c r="AM357" s="17">
        <f t="shared" si="186"/>
        <v>18.391351481423911</v>
      </c>
      <c r="AN357" s="13">
        <f t="shared" si="187"/>
        <v>13.577075248685333</v>
      </c>
      <c r="AO357" s="13">
        <f t="shared" si="188"/>
        <v>10.531815121206714</v>
      </c>
      <c r="AP357" s="13">
        <f t="shared" si="189"/>
        <v>11.279435714945649</v>
      </c>
      <c r="AQ357" s="13">
        <f t="shared" si="190"/>
        <v>15.89928571146025</v>
      </c>
      <c r="AR357" s="13">
        <f t="shared" si="191"/>
        <v>7.8821236636338936</v>
      </c>
      <c r="AS357" s="13">
        <f t="shared" si="192"/>
        <v>14.008671029014371</v>
      </c>
      <c r="AT357" s="13">
        <f t="shared" si="193"/>
        <v>14.173889832488099</v>
      </c>
      <c r="AU357" s="9">
        <v>0</v>
      </c>
      <c r="AV357" s="18">
        <f t="shared" si="210"/>
        <v>1</v>
      </c>
      <c r="AW357" s="18">
        <f t="shared" si="211"/>
        <v>5</v>
      </c>
      <c r="AX357" s="18">
        <f t="shared" si="212"/>
        <v>7</v>
      </c>
      <c r="AY357" s="18">
        <f t="shared" si="213"/>
        <v>6</v>
      </c>
      <c r="AZ357" s="18">
        <f t="shared" si="214"/>
        <v>2</v>
      </c>
      <c r="BA357" s="18">
        <f t="shared" si="215"/>
        <v>8</v>
      </c>
      <c r="BB357" s="18">
        <f t="shared" si="216"/>
        <v>4</v>
      </c>
      <c r="BC357" s="18">
        <f t="shared" si="217"/>
        <v>3</v>
      </c>
      <c r="BD357" s="18">
        <f t="shared" si="218"/>
        <v>9</v>
      </c>
      <c r="BE357" s="8">
        <f t="shared" si="220"/>
        <v>9.4023973355854377E-3</v>
      </c>
    </row>
    <row r="358" spans="1:57" x14ac:dyDescent="0.25">
      <c r="A358" t="str">
        <f t="shared" si="219"/>
        <v/>
      </c>
      <c r="B358" s="1">
        <v>43258</v>
      </c>
      <c r="C358" s="9">
        <f t="shared" si="194"/>
        <v>0.25009719037924721</v>
      </c>
      <c r="D358" s="9">
        <f t="shared" si="195"/>
        <v>0.2452940656161689</v>
      </c>
      <c r="E358" s="9">
        <f t="shared" si="196"/>
        <v>0</v>
      </c>
      <c r="F358" s="9">
        <f t="shared" si="197"/>
        <v>0</v>
      </c>
      <c r="G358" s="9">
        <f t="shared" si="198"/>
        <v>0.24978115656782029</v>
      </c>
      <c r="H358" s="9">
        <f t="shared" si="199"/>
        <v>0</v>
      </c>
      <c r="I358" s="9">
        <f t="shared" si="200"/>
        <v>0</v>
      </c>
      <c r="J358" s="9">
        <f t="shared" si="201"/>
        <v>0.25482758743676354</v>
      </c>
      <c r="K358" s="9">
        <v>0</v>
      </c>
      <c r="L358" s="8">
        <f>+VLOOKUP($B358,NIFTY_50!$B$3:$I$1238,8,0)</f>
        <v>7.833667925482013E-3</v>
      </c>
      <c r="M358" s="8">
        <f>+VLOOKUP($B358,NIFTY_BANK!$B$3:$I$41238,8,0)</f>
        <v>5.6963849572961855E-3</v>
      </c>
      <c r="N358" s="8">
        <f>+VLOOKUP($B358,NIFTY_IT!$B$3:$I$1238,8,0)</f>
        <v>1.1453343977293029E-2</v>
      </c>
      <c r="O358" s="8">
        <f>+VLOOKUP($B358,NIFTY_PHARMA!$B$3:$I$1238,8,0)</f>
        <v>2.2468771444013047E-3</v>
      </c>
      <c r="P358" s="8">
        <f>+VLOOKUP($B358,NIFTY_FMCG!$B$3:$I$1238,8,0)</f>
        <v>9.167191105517114E-3</v>
      </c>
      <c r="Q358" s="8">
        <f>+VLOOKUP($B358,NIFTY_METAL!$B$3:$I$1238,8,0)</f>
        <v>1.4849707149961366E-2</v>
      </c>
      <c r="R358" s="8">
        <f>+VLOOKUP($B358,NIFTY_ENERGY!$B$3:$I$1238,8,0)</f>
        <v>1.3155575143234843E-2</v>
      </c>
      <c r="S358" s="8">
        <f>+VLOOKUP($B358,NIFTY_AUTO!$B$3:$I$1238,8,0)</f>
        <v>7.1845713235656472E-3</v>
      </c>
      <c r="T358" s="8">
        <v>0</v>
      </c>
      <c r="U358" s="8">
        <f>+VLOOKUP($B358,NIFTY_50!$B$63:$K$1238,10,0)</f>
        <v>5.2948855219349111E-2</v>
      </c>
      <c r="V358" s="8">
        <f>+VLOOKUP($B358,NIFTY_BANK!$B$63:$K$1238,10,0)</f>
        <v>9.1426936857030405E-2</v>
      </c>
      <c r="W358" s="8">
        <f>+VLOOKUP($B358,NIFTY_IT!$B$63:$K$1238,10,0)</f>
        <v>7.3466826178195221E-2</v>
      </c>
      <c r="X358" s="8">
        <f>+VLOOKUP($B358,NIFTY_PHARMA!$B$63:$K$1238,10,0)</f>
        <v>-3.0948718249821039E-2</v>
      </c>
      <c r="Y358" s="8">
        <f>+VLOOKUP($B358,NIFTY_FMCG!$B$63:$K$1238,10,0)</f>
        <v>0.10930609280151282</v>
      </c>
      <c r="Z358" s="8">
        <f>+VLOOKUP($B358,NIFTY_METAL!$B$63:$K$1238,10,0)</f>
        <v>-4.0128519718558575E-3</v>
      </c>
      <c r="AA358" s="8">
        <f>+VLOOKUP($B358,NIFTY_ENERGY!$B$63:$K$1238,10,0)</f>
        <v>1.8907229365117573E-2</v>
      </c>
      <c r="AB358" s="8">
        <f>+VLOOKUP($B358,NIFTY_AUTO!$B$63:$K$1238,10,0)</f>
        <v>3.1928620957261566E-2</v>
      </c>
      <c r="AC358" s="8"/>
      <c r="AD358" s="16">
        <f t="shared" si="202"/>
        <v>5.4777410067468453E-2</v>
      </c>
      <c r="AE358" s="8">
        <f t="shared" si="203"/>
        <v>7.3256813542477497E-2</v>
      </c>
      <c r="AF358" s="8">
        <f t="shared" si="204"/>
        <v>9.5423188263423206E-2</v>
      </c>
      <c r="AG358" s="8">
        <f t="shared" si="205"/>
        <v>8.8366556712806493E-2</v>
      </c>
      <c r="AH358" s="8">
        <f t="shared" si="206"/>
        <v>6.3333572137196786E-2</v>
      </c>
      <c r="AI358" s="8">
        <f t="shared" si="207"/>
        <v>0.12650491880424727</v>
      </c>
      <c r="AJ358" s="8">
        <f t="shared" si="208"/>
        <v>7.2535254145481134E-2</v>
      </c>
      <c r="AK358" s="8">
        <f t="shared" si="209"/>
        <v>7.0860674297418491E-2</v>
      </c>
      <c r="AL358" s="9">
        <v>0</v>
      </c>
      <c r="AM358" s="17">
        <f t="shared" si="186"/>
        <v>18.255700639521219</v>
      </c>
      <c r="AN358" s="13">
        <f t="shared" si="187"/>
        <v>13.650607385757453</v>
      </c>
      <c r="AO358" s="13">
        <f t="shared" si="188"/>
        <v>10.479633076600013</v>
      </c>
      <c r="AP358" s="13">
        <f t="shared" si="189"/>
        <v>11.316498426548687</v>
      </c>
      <c r="AQ358" s="13">
        <f t="shared" si="190"/>
        <v>15.789414148845783</v>
      </c>
      <c r="AR358" s="13">
        <f t="shared" si="191"/>
        <v>7.904830969832819</v>
      </c>
      <c r="AS358" s="13">
        <f t="shared" si="192"/>
        <v>13.786399617410025</v>
      </c>
      <c r="AT358" s="13">
        <f t="shared" si="193"/>
        <v>14.112199889642184</v>
      </c>
      <c r="AU358" s="9">
        <v>0</v>
      </c>
      <c r="AV358" s="18">
        <f t="shared" si="210"/>
        <v>1</v>
      </c>
      <c r="AW358" s="18">
        <f t="shared" si="211"/>
        <v>5</v>
      </c>
      <c r="AX358" s="18">
        <f t="shared" si="212"/>
        <v>7</v>
      </c>
      <c r="AY358" s="18">
        <f t="shared" si="213"/>
        <v>6</v>
      </c>
      <c r="AZ358" s="18">
        <f t="shared" si="214"/>
        <v>2</v>
      </c>
      <c r="BA358" s="18">
        <f t="shared" si="215"/>
        <v>8</v>
      </c>
      <c r="BB358" s="18">
        <f t="shared" si="216"/>
        <v>4</v>
      </c>
      <c r="BC358" s="18">
        <f t="shared" si="217"/>
        <v>3</v>
      </c>
      <c r="BD358" s="18">
        <f t="shared" si="218"/>
        <v>9</v>
      </c>
      <c r="BE358" s="8">
        <f t="shared" si="220"/>
        <v>7.4755527348362698E-3</v>
      </c>
    </row>
    <row r="359" spans="1:57" x14ac:dyDescent="0.25">
      <c r="A359" t="str">
        <f t="shared" si="219"/>
        <v/>
      </c>
      <c r="B359" s="1">
        <v>43259</v>
      </c>
      <c r="C359" s="9">
        <f t="shared" si="194"/>
        <v>0.25062216795066544</v>
      </c>
      <c r="D359" s="9">
        <f t="shared" si="195"/>
        <v>0.24520893703795965</v>
      </c>
      <c r="E359" s="9">
        <f t="shared" si="196"/>
        <v>0</v>
      </c>
      <c r="F359" s="9">
        <f t="shared" si="197"/>
        <v>0</v>
      </c>
      <c r="G359" s="9">
        <f t="shared" si="198"/>
        <v>0.24901481307608778</v>
      </c>
      <c r="H359" s="9">
        <f t="shared" si="199"/>
        <v>0</v>
      </c>
      <c r="I359" s="9">
        <f t="shared" si="200"/>
        <v>0</v>
      </c>
      <c r="J359" s="9">
        <f t="shared" si="201"/>
        <v>0.25515408193528716</v>
      </c>
      <c r="K359" s="9">
        <v>0</v>
      </c>
      <c r="L359" s="8">
        <f>+VLOOKUP($B359,NIFTY_50!$B$3:$I$1238,8,0)</f>
        <v>-6.5005316506328015E-5</v>
      </c>
      <c r="M359" s="8">
        <f>+VLOOKUP($B359,NIFTY_BANK!$B$3:$I$41238,8,0)</f>
        <v>-2.5058639857001852E-3</v>
      </c>
      <c r="N359" s="8">
        <f>+VLOOKUP($B359,NIFTY_IT!$B$3:$I$1238,8,0)</f>
        <v>6.2884808623366872E-3</v>
      </c>
      <c r="O359" s="8">
        <f>+VLOOKUP($B359,NIFTY_PHARMA!$B$3:$I$1238,8,0)</f>
        <v>4.2631314263555709E-2</v>
      </c>
      <c r="P359" s="8">
        <f>+VLOOKUP($B359,NIFTY_FMCG!$B$3:$I$1238,8,0)</f>
        <v>-5.2210004088109052E-3</v>
      </c>
      <c r="Q359" s="8">
        <f>+VLOOKUP($B359,NIFTY_METAL!$B$3:$I$1238,8,0)</f>
        <v>-4.0290198320334092E-3</v>
      </c>
      <c r="R359" s="8">
        <f>+VLOOKUP($B359,NIFTY_ENERGY!$B$3:$I$1238,8,0)</f>
        <v>5.0605012651252501E-3</v>
      </c>
      <c r="S359" s="8">
        <f>+VLOOKUP($B359,NIFTY_AUTO!$B$3:$I$1238,8,0)</f>
        <v>-8.8109647561407378E-4</v>
      </c>
      <c r="T359" s="8">
        <v>0</v>
      </c>
      <c r="U359" s="8">
        <f>+VLOOKUP($B359,NIFTY_50!$B$63:$K$1238,10,0)</f>
        <v>3.322490260425659E-2</v>
      </c>
      <c r="V359" s="8">
        <f>+VLOOKUP($B359,NIFTY_BANK!$B$63:$K$1238,10,0)</f>
        <v>7.2459272954322307E-2</v>
      </c>
      <c r="W359" s="8">
        <f>+VLOOKUP($B359,NIFTY_IT!$B$63:$K$1238,10,0)</f>
        <v>6.549360075521915E-2</v>
      </c>
      <c r="X359" s="8">
        <f>+VLOOKUP($B359,NIFTY_PHARMA!$B$63:$K$1238,10,0)</f>
        <v>3.7787621937757088E-4</v>
      </c>
      <c r="Y359" s="8">
        <f>+VLOOKUP($B359,NIFTY_FMCG!$B$63:$K$1238,10,0)</f>
        <v>7.5291165786615766E-2</v>
      </c>
      <c r="Z359" s="8">
        <f>+VLOOKUP($B359,NIFTY_METAL!$B$63:$K$1238,10,0)</f>
        <v>-2.8763704903236098E-2</v>
      </c>
      <c r="AA359" s="8">
        <f>+VLOOKUP($B359,NIFTY_ENERGY!$B$63:$K$1238,10,0)</f>
        <v>1.9840337683270093E-3</v>
      </c>
      <c r="AB359" s="8">
        <f>+VLOOKUP($B359,NIFTY_AUTO!$B$63:$K$1238,10,0)</f>
        <v>1.6322946278223505E-2</v>
      </c>
      <c r="AC359" s="8"/>
      <c r="AD359" s="16">
        <f t="shared" si="202"/>
        <v>5.1632792927150839E-2</v>
      </c>
      <c r="AE359" s="8">
        <f t="shared" si="203"/>
        <v>7.2047401367021965E-2</v>
      </c>
      <c r="AF359" s="8">
        <f t="shared" si="204"/>
        <v>9.4719971429890484E-2</v>
      </c>
      <c r="AG359" s="8">
        <f t="shared" si="205"/>
        <v>9.7664939707210505E-2</v>
      </c>
      <c r="AH359" s="8">
        <f t="shared" si="206"/>
        <v>5.8672276690835093E-2</v>
      </c>
      <c r="AI359" s="8">
        <f t="shared" si="207"/>
        <v>0.12472593993683563</v>
      </c>
      <c r="AJ359" s="8">
        <f t="shared" si="208"/>
        <v>6.9343840862252745E-2</v>
      </c>
      <c r="AK359" s="8">
        <f t="shared" si="209"/>
        <v>6.947030975723395E-2</v>
      </c>
      <c r="AL359" s="9">
        <v>0</v>
      </c>
      <c r="AM359" s="17">
        <f t="shared" si="186"/>
        <v>19.367536468749787</v>
      </c>
      <c r="AN359" s="13">
        <f t="shared" si="187"/>
        <v>13.879751122539819</v>
      </c>
      <c r="AO359" s="13">
        <f t="shared" si="188"/>
        <v>10.557435616840074</v>
      </c>
      <c r="AP359" s="13">
        <f t="shared" si="189"/>
        <v>10.239088899229321</v>
      </c>
      <c r="AQ359" s="13">
        <f t="shared" si="190"/>
        <v>17.043824722694033</v>
      </c>
      <c r="AR359" s="13">
        <f t="shared" si="191"/>
        <v>8.0175783843074289</v>
      </c>
      <c r="AS359" s="13">
        <f t="shared" si="192"/>
        <v>14.420891424033437</v>
      </c>
      <c r="AT359" s="13">
        <f t="shared" si="193"/>
        <v>14.394638565662504</v>
      </c>
      <c r="AU359" s="9">
        <v>0</v>
      </c>
      <c r="AV359" s="18">
        <f t="shared" si="210"/>
        <v>1</v>
      </c>
      <c r="AW359" s="18">
        <f t="shared" si="211"/>
        <v>5</v>
      </c>
      <c r="AX359" s="18">
        <f t="shared" si="212"/>
        <v>6</v>
      </c>
      <c r="AY359" s="18">
        <f t="shared" si="213"/>
        <v>7</v>
      </c>
      <c r="AZ359" s="18">
        <f t="shared" si="214"/>
        <v>2</v>
      </c>
      <c r="BA359" s="18">
        <f t="shared" si="215"/>
        <v>8</v>
      </c>
      <c r="BB359" s="18">
        <f t="shared" si="216"/>
        <v>3</v>
      </c>
      <c r="BC359" s="18">
        <f t="shared" si="217"/>
        <v>4</v>
      </c>
      <c r="BD359" s="18">
        <f t="shared" si="218"/>
        <v>9</v>
      </c>
      <c r="BE359" s="8">
        <f t="shared" si="220"/>
        <v>-2.1595664216851021E-3</v>
      </c>
    </row>
    <row r="360" spans="1:57" x14ac:dyDescent="0.25">
      <c r="A360" t="str">
        <f t="shared" si="219"/>
        <v/>
      </c>
      <c r="B360" s="1">
        <v>43262</v>
      </c>
      <c r="C360" s="9">
        <f t="shared" si="194"/>
        <v>0.25067443689615393</v>
      </c>
      <c r="D360" s="9">
        <f t="shared" si="195"/>
        <v>0.24484162010206789</v>
      </c>
      <c r="E360" s="9">
        <f t="shared" si="196"/>
        <v>0</v>
      </c>
      <c r="F360" s="9">
        <f t="shared" si="197"/>
        <v>0</v>
      </c>
      <c r="G360" s="9">
        <f t="shared" si="198"/>
        <v>0.24942464268123141</v>
      </c>
      <c r="H360" s="9">
        <f t="shared" si="199"/>
        <v>0</v>
      </c>
      <c r="I360" s="9">
        <f t="shared" si="200"/>
        <v>0</v>
      </c>
      <c r="J360" s="9">
        <f t="shared" si="201"/>
        <v>0.25505930032054686</v>
      </c>
      <c r="K360" s="9">
        <v>0</v>
      </c>
      <c r="L360" s="8">
        <f>+VLOOKUP($B360,NIFTY_50!$B$3:$I$1238,8,0)</f>
        <v>1.7924059567315798E-3</v>
      </c>
      <c r="M360" s="8">
        <f>+VLOOKUP($B360,NIFTY_BANK!$B$3:$I$41238,8,0)</f>
        <v>8.3171558351580188E-5</v>
      </c>
      <c r="N360" s="8">
        <f>+VLOOKUP($B360,NIFTY_IT!$B$3:$I$1238,8,0)</f>
        <v>3.8490028903837015E-4</v>
      </c>
      <c r="O360" s="8">
        <f>+VLOOKUP($B360,NIFTY_PHARMA!$B$3:$I$1238,8,0)</f>
        <v>5.0209496800885933E-3</v>
      </c>
      <c r="P360" s="8">
        <f>+VLOOKUP($B360,NIFTY_FMCG!$B$3:$I$1238,8,0)</f>
        <v>3.2319292318943038E-3</v>
      </c>
      <c r="Q360" s="8">
        <f>+VLOOKUP($B360,NIFTY_METAL!$B$3:$I$1238,8,0)</f>
        <v>-3.7583195528283486E-3</v>
      </c>
      <c r="R360" s="8">
        <f>+VLOOKUP($B360,NIFTY_ENERGY!$B$3:$I$1238,8,0)</f>
        <v>-1.1974406509460689E-3</v>
      </c>
      <c r="S360" s="8">
        <f>+VLOOKUP($B360,NIFTY_AUTO!$B$3:$I$1238,8,0)</f>
        <v>1.2114625738235407E-3</v>
      </c>
      <c r="T360" s="8">
        <v>0</v>
      </c>
      <c r="U360" s="8">
        <f>+VLOOKUP($B360,NIFTY_50!$B$63:$K$1238,10,0)</f>
        <v>3.453583776500091E-2</v>
      </c>
      <c r="V360" s="8">
        <f>+VLOOKUP($B360,NIFTY_BANK!$B$63:$K$1238,10,0)</f>
        <v>6.9320678371697531E-2</v>
      </c>
      <c r="W360" s="8">
        <f>+VLOOKUP($B360,NIFTY_IT!$B$63:$K$1238,10,0)</f>
        <v>8.1740509808232886E-2</v>
      </c>
      <c r="X360" s="8">
        <f>+VLOOKUP($B360,NIFTY_PHARMA!$B$63:$K$1238,10,0)</f>
        <v>-7.455148586448801E-3</v>
      </c>
      <c r="Y360" s="8">
        <f>+VLOOKUP($B360,NIFTY_FMCG!$B$63:$K$1238,10,0)</f>
        <v>8.1122770671951061E-2</v>
      </c>
      <c r="Z360" s="8">
        <f>+VLOOKUP($B360,NIFTY_METAL!$B$63:$K$1238,10,0)</f>
        <v>-3.7524096226464909E-2</v>
      </c>
      <c r="AA360" s="8">
        <f>+VLOOKUP($B360,NIFTY_ENERGY!$B$63:$K$1238,10,0)</f>
        <v>-6.3082200628670204E-3</v>
      </c>
      <c r="AB360" s="8">
        <f>+VLOOKUP($B360,NIFTY_AUTO!$B$63:$K$1238,10,0)</f>
        <v>1.5852787794980339E-2</v>
      </c>
      <c r="AC360" s="8"/>
      <c r="AD360" s="16">
        <f t="shared" si="202"/>
        <v>5.1647283922538888E-2</v>
      </c>
      <c r="AE360" s="8">
        <f t="shared" si="203"/>
        <v>7.2031711888725758E-2</v>
      </c>
      <c r="AF360" s="8">
        <f t="shared" si="204"/>
        <v>9.3383767223703479E-2</v>
      </c>
      <c r="AG360" s="8">
        <f t="shared" si="205"/>
        <v>9.6933920628627712E-2</v>
      </c>
      <c r="AH360" s="8">
        <f t="shared" si="206"/>
        <v>5.8604259855572431E-2</v>
      </c>
      <c r="AI360" s="8">
        <f t="shared" si="207"/>
        <v>0.12463861131922216</v>
      </c>
      <c r="AJ360" s="8">
        <f t="shared" si="208"/>
        <v>6.8986370724982607E-2</v>
      </c>
      <c r="AK360" s="8">
        <f t="shared" si="209"/>
        <v>6.946269209241325E-2</v>
      </c>
      <c r="AL360" s="9">
        <v>0</v>
      </c>
      <c r="AM360" s="17">
        <f t="shared" si="186"/>
        <v>19.362102400192235</v>
      </c>
      <c r="AN360" s="13">
        <f t="shared" si="187"/>
        <v>13.882774319521868</v>
      </c>
      <c r="AO360" s="13">
        <f t="shared" si="188"/>
        <v>10.708499236323069</v>
      </c>
      <c r="AP360" s="13">
        <f t="shared" si="189"/>
        <v>10.316306134270482</v>
      </c>
      <c r="AQ360" s="13">
        <f t="shared" si="190"/>
        <v>17.063605998343039</v>
      </c>
      <c r="AR360" s="13">
        <f t="shared" si="191"/>
        <v>8.0231959375639867</v>
      </c>
      <c r="AS360" s="13">
        <f t="shared" si="192"/>
        <v>14.495616880420435</v>
      </c>
      <c r="AT360" s="13">
        <f t="shared" si="193"/>
        <v>14.396217161718967</v>
      </c>
      <c r="AU360" s="9">
        <v>0</v>
      </c>
      <c r="AV360" s="18">
        <f t="shared" si="210"/>
        <v>1</v>
      </c>
      <c r="AW360" s="18">
        <f t="shared" si="211"/>
        <v>5</v>
      </c>
      <c r="AX360" s="18">
        <f t="shared" si="212"/>
        <v>6</v>
      </c>
      <c r="AY360" s="18">
        <f t="shared" si="213"/>
        <v>7</v>
      </c>
      <c r="AZ360" s="18">
        <f t="shared" si="214"/>
        <v>2</v>
      </c>
      <c r="BA360" s="18">
        <f t="shared" si="215"/>
        <v>8</v>
      </c>
      <c r="BB360" s="18">
        <f t="shared" si="216"/>
        <v>3</v>
      </c>
      <c r="BC360" s="18">
        <f t="shared" si="217"/>
        <v>4</v>
      </c>
      <c r="BD360" s="18">
        <f t="shared" si="218"/>
        <v>9</v>
      </c>
      <c r="BE360" s="8">
        <f t="shared" si="220"/>
        <v>1.5835189505171465E-3</v>
      </c>
    </row>
    <row r="361" spans="1:57" x14ac:dyDescent="0.25">
      <c r="A361" t="str">
        <f t="shared" si="219"/>
        <v/>
      </c>
      <c r="B361" s="1">
        <v>43263</v>
      </c>
      <c r="C361" s="9">
        <f t="shared" si="194"/>
        <v>0.25071825098145567</v>
      </c>
      <c r="D361" s="9">
        <f t="shared" si="195"/>
        <v>0.24503602700674379</v>
      </c>
      <c r="E361" s="9">
        <f t="shared" si="196"/>
        <v>0</v>
      </c>
      <c r="F361" s="9">
        <f t="shared" si="197"/>
        <v>0</v>
      </c>
      <c r="G361" s="9">
        <f t="shared" si="198"/>
        <v>0.25037347711427327</v>
      </c>
      <c r="H361" s="9">
        <f t="shared" si="199"/>
        <v>0</v>
      </c>
      <c r="I361" s="9">
        <f t="shared" si="200"/>
        <v>0</v>
      </c>
      <c r="J361" s="9">
        <f t="shared" si="201"/>
        <v>0.25387224489752735</v>
      </c>
      <c r="K361" s="9">
        <v>0</v>
      </c>
      <c r="L361" s="8">
        <f>+VLOOKUP($B361,NIFTY_50!$B$3:$I$1238,8,0)</f>
        <v>5.1821877361071245E-3</v>
      </c>
      <c r="M361" s="8">
        <f>+VLOOKUP($B361,NIFTY_BANK!$B$3:$I$41238,8,0)</f>
        <v>5.8045139499234288E-3</v>
      </c>
      <c r="N361" s="8">
        <f>+VLOOKUP($B361,NIFTY_IT!$B$3:$I$1238,8,0)</f>
        <v>6.1524054271837603E-3</v>
      </c>
      <c r="O361" s="8">
        <f>+VLOOKUP($B361,NIFTY_PHARMA!$B$3:$I$1238,8,0)</f>
        <v>2.5823537234811678E-2</v>
      </c>
      <c r="P361" s="8">
        <f>+VLOOKUP($B361,NIFTY_FMCG!$B$3:$I$1238,8,0)</f>
        <v>8.8296657328432726E-3</v>
      </c>
      <c r="Q361" s="8">
        <f>+VLOOKUP($B361,NIFTY_METAL!$B$3:$I$1238,8,0)</f>
        <v>-4.3486611062336644E-3</v>
      </c>
      <c r="R361" s="8">
        <f>+VLOOKUP($B361,NIFTY_ENERGY!$B$3:$I$1238,8,0)</f>
        <v>7.2618677913955931E-3</v>
      </c>
      <c r="S361" s="8">
        <f>+VLOOKUP($B361,NIFTY_AUTO!$B$3:$I$1238,8,0)</f>
        <v>3.2919028087929902E-4</v>
      </c>
      <c r="T361" s="8">
        <v>0</v>
      </c>
      <c r="U361" s="8">
        <f>+VLOOKUP($B361,NIFTY_50!$B$63:$K$1238,10,0)</f>
        <v>4.1490168957534879E-2</v>
      </c>
      <c r="V361" s="8">
        <f>+VLOOKUP($B361,NIFTY_BANK!$B$63:$K$1238,10,0)</f>
        <v>7.0637160912856878E-2</v>
      </c>
      <c r="W361" s="8">
        <f>+VLOOKUP($B361,NIFTY_IT!$B$63:$K$1238,10,0)</f>
        <v>8.3905857143415696E-2</v>
      </c>
      <c r="X361" s="8">
        <f>+VLOOKUP($B361,NIFTY_PHARMA!$B$63:$K$1238,10,0)</f>
        <v>1.9410334940326956E-2</v>
      </c>
      <c r="Y361" s="8">
        <f>+VLOOKUP($B361,NIFTY_FMCG!$B$63:$K$1238,10,0)</f>
        <v>9.5299476295739316E-2</v>
      </c>
      <c r="Z361" s="8">
        <f>+VLOOKUP($B361,NIFTY_METAL!$B$63:$K$1238,10,0)</f>
        <v>-3.6225052119988832E-2</v>
      </c>
      <c r="AA361" s="8">
        <f>+VLOOKUP($B361,NIFTY_ENERGY!$B$63:$K$1238,10,0)</f>
        <v>7.4837917396566311E-3</v>
      </c>
      <c r="AB361" s="8">
        <f>+VLOOKUP($B361,NIFTY_AUTO!$B$63:$K$1238,10,0)</f>
        <v>1.652713234363401E-2</v>
      </c>
      <c r="AC361" s="8"/>
      <c r="AD361" s="16">
        <f t="shared" si="202"/>
        <v>5.1802040570191527E-2</v>
      </c>
      <c r="AE361" s="8">
        <f t="shared" si="203"/>
        <v>7.2100945406713635E-2</v>
      </c>
      <c r="AF361" s="8">
        <f t="shared" si="204"/>
        <v>9.3464903212697473E-2</v>
      </c>
      <c r="AG361" s="8">
        <f t="shared" si="205"/>
        <v>0.10026008367397675</v>
      </c>
      <c r="AH361" s="8">
        <f t="shared" si="206"/>
        <v>5.8801403361160992E-2</v>
      </c>
      <c r="AI361" s="8">
        <f t="shared" si="207"/>
        <v>0.12458981443886126</v>
      </c>
      <c r="AJ361" s="8">
        <f t="shared" si="208"/>
        <v>6.9050111134019126E-2</v>
      </c>
      <c r="AK361" s="8">
        <f t="shared" si="209"/>
        <v>6.9459774204789271E-2</v>
      </c>
      <c r="AL361" s="9">
        <v>0</v>
      </c>
      <c r="AM361" s="17">
        <f t="shared" si="186"/>
        <v>19.304258847583515</v>
      </c>
      <c r="AN361" s="13">
        <f t="shared" si="187"/>
        <v>13.869443657903625</v>
      </c>
      <c r="AO361" s="13">
        <f t="shared" si="188"/>
        <v>10.699203290504741</v>
      </c>
      <c r="AP361" s="13">
        <f t="shared" si="189"/>
        <v>9.9740591006464268</v>
      </c>
      <c r="AQ361" s="13">
        <f t="shared" si="190"/>
        <v>17.006396834748191</v>
      </c>
      <c r="AR361" s="13">
        <f t="shared" si="191"/>
        <v>8.0263383046510608</v>
      </c>
      <c r="AS361" s="13">
        <f t="shared" si="192"/>
        <v>14.482235923691757</v>
      </c>
      <c r="AT361" s="13">
        <f t="shared" si="193"/>
        <v>14.396821922450904</v>
      </c>
      <c r="AU361" s="9">
        <v>0</v>
      </c>
      <c r="AV361" s="18">
        <f t="shared" si="210"/>
        <v>1</v>
      </c>
      <c r="AW361" s="18">
        <f t="shared" si="211"/>
        <v>5</v>
      </c>
      <c r="AX361" s="18">
        <f t="shared" si="212"/>
        <v>6</v>
      </c>
      <c r="AY361" s="18">
        <f t="shared" si="213"/>
        <v>7</v>
      </c>
      <c r="AZ361" s="18">
        <f t="shared" si="214"/>
        <v>2</v>
      </c>
      <c r="BA361" s="18">
        <f t="shared" si="215"/>
        <v>8</v>
      </c>
      <c r="BB361" s="18">
        <f t="shared" si="216"/>
        <v>3</v>
      </c>
      <c r="BC361" s="18">
        <f t="shared" si="217"/>
        <v>4</v>
      </c>
      <c r="BD361" s="18">
        <f t="shared" si="218"/>
        <v>9</v>
      </c>
      <c r="BE361" s="8">
        <f t="shared" si="220"/>
        <v>5.006527855165659E-3</v>
      </c>
    </row>
    <row r="362" spans="1:57" x14ac:dyDescent="0.25">
      <c r="A362" t="str">
        <f t="shared" si="219"/>
        <v/>
      </c>
      <c r="B362" s="1">
        <v>43264</v>
      </c>
      <c r="C362" s="9">
        <f t="shared" si="194"/>
        <v>0.25123014155362045</v>
      </c>
      <c r="D362" s="9">
        <f t="shared" si="195"/>
        <v>0.24555211045272363</v>
      </c>
      <c r="E362" s="9">
        <f t="shared" si="196"/>
        <v>0</v>
      </c>
      <c r="F362" s="9">
        <f t="shared" si="197"/>
        <v>0</v>
      </c>
      <c r="G362" s="9">
        <f t="shared" si="198"/>
        <v>0.24931439932733612</v>
      </c>
      <c r="H362" s="9">
        <f t="shared" si="199"/>
        <v>0</v>
      </c>
      <c r="I362" s="9">
        <f t="shared" si="200"/>
        <v>0</v>
      </c>
      <c r="J362" s="9">
        <f t="shared" si="201"/>
        <v>0.25390334866631975</v>
      </c>
      <c r="K362" s="9">
        <v>0</v>
      </c>
      <c r="L362" s="8">
        <f>+VLOOKUP($B362,NIFTY_50!$B$3:$I$1238,8,0)</f>
        <v>1.2773394448877262E-3</v>
      </c>
      <c r="M362" s="8">
        <f>+VLOOKUP($B362,NIFTY_BANK!$B$3:$I$41238,8,0)</f>
        <v>1.3417471276464532E-3</v>
      </c>
      <c r="N362" s="8">
        <f>+VLOOKUP($B362,NIFTY_IT!$B$3:$I$1238,8,0)</f>
        <v>1.2575893678502981E-2</v>
      </c>
      <c r="O362" s="8">
        <f>+VLOOKUP($B362,NIFTY_PHARMA!$B$3:$I$1238,8,0)</f>
        <v>8.8496074043593609E-3</v>
      </c>
      <c r="P362" s="8">
        <f>+VLOOKUP($B362,NIFTY_FMCG!$B$3:$I$1238,8,0)</f>
        <v>-4.9895649271437525E-3</v>
      </c>
      <c r="Q362" s="8">
        <f>+VLOOKUP($B362,NIFTY_METAL!$B$3:$I$1238,8,0)</f>
        <v>-4.4365450061312206E-3</v>
      </c>
      <c r="R362" s="8">
        <f>+VLOOKUP($B362,NIFTY_ENERGY!$B$3:$I$1238,8,0)</f>
        <v>3.4380523200578939E-3</v>
      </c>
      <c r="S362" s="8">
        <f>+VLOOKUP($B362,NIFTY_AUTO!$B$3:$I$1238,8,0)</f>
        <v>-6.4037568706964976E-4</v>
      </c>
      <c r="T362" s="8">
        <v>0</v>
      </c>
      <c r="U362" s="8">
        <f>+VLOOKUP($B362,NIFTY_50!$B$63:$K$1238,10,0)</f>
        <v>4.7928842729111132E-2</v>
      </c>
      <c r="V362" s="8">
        <f>+VLOOKUP($B362,NIFTY_BANK!$B$63:$K$1238,10,0)</f>
        <v>7.4659615962503922E-2</v>
      </c>
      <c r="W362" s="8">
        <f>+VLOOKUP($B362,NIFTY_IT!$B$63:$K$1238,10,0)</f>
        <v>9.9656801673679629E-2</v>
      </c>
      <c r="X362" s="8">
        <f>+VLOOKUP($B362,NIFTY_PHARMA!$B$63:$K$1238,10,0)</f>
        <v>3.2108689760165232E-2</v>
      </c>
      <c r="Y362" s="8">
        <f>+VLOOKUP($B362,NIFTY_FMCG!$B$63:$K$1238,10,0)</f>
        <v>9.6066152918923731E-2</v>
      </c>
      <c r="Z362" s="8">
        <f>+VLOOKUP($B362,NIFTY_METAL!$B$63:$K$1238,10,0)</f>
        <v>-3.7497335890878114E-2</v>
      </c>
      <c r="AA362" s="8">
        <f>+VLOOKUP($B362,NIFTY_ENERGY!$B$63:$K$1238,10,0)</f>
        <v>2.3973542399110315E-2</v>
      </c>
      <c r="AB362" s="8">
        <f>+VLOOKUP($B362,NIFTY_AUTO!$B$63:$K$1238,10,0)</f>
        <v>1.6689664532766324E-2</v>
      </c>
      <c r="AC362" s="8"/>
      <c r="AD362" s="16">
        <f t="shared" si="202"/>
        <v>5.1499774933243751E-2</v>
      </c>
      <c r="AE362" s="8">
        <f t="shared" si="203"/>
        <v>7.2011218271260086E-2</v>
      </c>
      <c r="AF362" s="8">
        <f t="shared" si="204"/>
        <v>9.4054651549029963E-2</v>
      </c>
      <c r="AG362" s="8">
        <f t="shared" si="205"/>
        <v>0.1005252437541022</v>
      </c>
      <c r="AH362" s="8">
        <f t="shared" si="206"/>
        <v>5.8720092178362951E-2</v>
      </c>
      <c r="AI362" s="8">
        <f t="shared" si="207"/>
        <v>0.1246245625177321</v>
      </c>
      <c r="AJ362" s="8">
        <f t="shared" si="208"/>
        <v>6.7885334382594309E-2</v>
      </c>
      <c r="AK362" s="8">
        <f t="shared" si="209"/>
        <v>6.9457405511649473E-2</v>
      </c>
      <c r="AL362" s="9">
        <v>0</v>
      </c>
      <c r="AM362" s="17">
        <f t="shared" si="186"/>
        <v>19.417560587327682</v>
      </c>
      <c r="AN362" s="13">
        <f t="shared" si="187"/>
        <v>13.886725207634813</v>
      </c>
      <c r="AO362" s="13">
        <f t="shared" si="188"/>
        <v>10.632116365650536</v>
      </c>
      <c r="AP362" s="13">
        <f t="shared" si="189"/>
        <v>9.9477500641145404</v>
      </c>
      <c r="AQ362" s="13">
        <f t="shared" si="190"/>
        <v>17.029946018519325</v>
      </c>
      <c r="AR362" s="13">
        <f t="shared" si="191"/>
        <v>8.0241003843661698</v>
      </c>
      <c r="AS362" s="13">
        <f t="shared" si="192"/>
        <v>14.730722166942709</v>
      </c>
      <c r="AT362" s="13">
        <f t="shared" si="193"/>
        <v>14.397312894624013</v>
      </c>
      <c r="AU362" s="9">
        <v>0</v>
      </c>
      <c r="AV362" s="18">
        <f t="shared" si="210"/>
        <v>1</v>
      </c>
      <c r="AW362" s="18">
        <f t="shared" si="211"/>
        <v>5</v>
      </c>
      <c r="AX362" s="18">
        <f t="shared" si="212"/>
        <v>6</v>
      </c>
      <c r="AY362" s="18">
        <f t="shared" si="213"/>
        <v>7</v>
      </c>
      <c r="AZ362" s="18">
        <f t="shared" si="214"/>
        <v>2</v>
      </c>
      <c r="BA362" s="18">
        <f t="shared" si="215"/>
        <v>8</v>
      </c>
      <c r="BB362" s="18">
        <f t="shared" si="216"/>
        <v>3</v>
      </c>
      <c r="BC362" s="18">
        <f t="shared" si="217"/>
        <v>4</v>
      </c>
      <c r="BD362" s="18">
        <f t="shared" si="218"/>
        <v>9</v>
      </c>
      <c r="BE362" s="8">
        <f t="shared" si="220"/>
        <v>-7.6279963641250395E-4</v>
      </c>
    </row>
    <row r="363" spans="1:57" x14ac:dyDescent="0.25">
      <c r="A363" t="str">
        <f t="shared" si="219"/>
        <v/>
      </c>
      <c r="B363" s="1">
        <v>43265</v>
      </c>
      <c r="C363" s="9">
        <f t="shared" si="194"/>
        <v>0.25060012840574197</v>
      </c>
      <c r="D363" s="9">
        <f t="shared" si="195"/>
        <v>0.24529500497681847</v>
      </c>
      <c r="E363" s="9">
        <f t="shared" si="196"/>
        <v>0</v>
      </c>
      <c r="F363" s="9">
        <f t="shared" si="197"/>
        <v>0</v>
      </c>
      <c r="G363" s="9">
        <f t="shared" si="198"/>
        <v>0.24954424854983676</v>
      </c>
      <c r="H363" s="9">
        <f t="shared" si="199"/>
        <v>0</v>
      </c>
      <c r="I363" s="9">
        <f t="shared" si="200"/>
        <v>0</v>
      </c>
      <c r="J363" s="9">
        <f t="shared" si="201"/>
        <v>0.25456061806760288</v>
      </c>
      <c r="K363" s="9">
        <v>0</v>
      </c>
      <c r="L363" s="8">
        <f>+VLOOKUP($B363,NIFTY_50!$B$3:$I$1238,8,0)</f>
        <v>-4.4811038344986232E-3</v>
      </c>
      <c r="M363" s="8">
        <f>+VLOOKUP($B363,NIFTY_BANK!$B$3:$I$41238,8,0)</f>
        <v>-3.0233308811385973E-3</v>
      </c>
      <c r="N363" s="8">
        <f>+VLOOKUP($B363,NIFTY_IT!$B$3:$I$1238,8,0)</f>
        <v>-1.4874431297941082E-2</v>
      </c>
      <c r="O363" s="8">
        <f>+VLOOKUP($B363,NIFTY_PHARMA!$B$3:$I$1238,8,0)</f>
        <v>1.8270299867582329E-2</v>
      </c>
      <c r="P363" s="8">
        <f>+VLOOKUP($B363,NIFTY_FMCG!$B$3:$I$1238,8,0)</f>
        <v>-1.0582504629846889E-3</v>
      </c>
      <c r="Q363" s="8">
        <f>+VLOOKUP($B363,NIFTY_METAL!$B$3:$I$1238,8,0)</f>
        <v>-4.3594392238813784E-3</v>
      </c>
      <c r="R363" s="8">
        <f>+VLOOKUP($B363,NIFTY_ENERGY!$B$3:$I$1238,8,0)</f>
        <v>-1.3219195701260622E-3</v>
      </c>
      <c r="S363" s="8">
        <f>+VLOOKUP($B363,NIFTY_AUTO!$B$3:$I$1238,8,0)</f>
        <v>6.0518680692744908E-4</v>
      </c>
      <c r="T363" s="8">
        <v>0</v>
      </c>
      <c r="U363" s="8">
        <f>+VLOOKUP($B363,NIFTY_50!$B$63:$K$1238,10,0)</f>
        <v>6.0116820252767322E-2</v>
      </c>
      <c r="V363" s="8">
        <f>+VLOOKUP($B363,NIFTY_BANK!$B$63:$K$1238,10,0)</f>
        <v>8.4636099887503091E-2</v>
      </c>
      <c r="W363" s="8">
        <f>+VLOOKUP($B363,NIFTY_IT!$B$63:$K$1238,10,0)</f>
        <v>8.8751338751338782E-2</v>
      </c>
      <c r="X363" s="8">
        <f>+VLOOKUP($B363,NIFTY_PHARMA!$B$63:$K$1238,10,0)</f>
        <v>6.6182664857022733E-2</v>
      </c>
      <c r="Y363" s="8">
        <f>+VLOOKUP($B363,NIFTY_FMCG!$B$63:$K$1238,10,0)</f>
        <v>0.10873958579234344</v>
      </c>
      <c r="Z363" s="8">
        <f>+VLOOKUP($B363,NIFTY_METAL!$B$63:$K$1238,10,0)</f>
        <v>-1.8392686587529017E-2</v>
      </c>
      <c r="AA363" s="8">
        <f>+VLOOKUP($B363,NIFTY_ENERGY!$B$63:$K$1238,10,0)</f>
        <v>4.1511261806732813E-2</v>
      </c>
      <c r="AB363" s="8">
        <f>+VLOOKUP($B363,NIFTY_AUTO!$B$63:$K$1238,10,0)</f>
        <v>3.5133592354576804E-2</v>
      </c>
      <c r="AC363" s="8"/>
      <c r="AD363" s="16">
        <f t="shared" si="202"/>
        <v>4.897384183553339E-2</v>
      </c>
      <c r="AE363" s="8">
        <f t="shared" si="203"/>
        <v>7.0867881752915557E-2</v>
      </c>
      <c r="AF363" s="8">
        <f t="shared" si="204"/>
        <v>9.5252497388000609E-2</v>
      </c>
      <c r="AG363" s="8">
        <f t="shared" si="205"/>
        <v>0.1008909100537795</v>
      </c>
      <c r="AH363" s="8">
        <f t="shared" si="206"/>
        <v>5.7064483477747709E-2</v>
      </c>
      <c r="AI363" s="8">
        <f t="shared" si="207"/>
        <v>0.12247456705138814</v>
      </c>
      <c r="AJ363" s="8">
        <f t="shared" si="208"/>
        <v>6.5285470128982004E-2</v>
      </c>
      <c r="AK363" s="8">
        <f t="shared" si="209"/>
        <v>6.7169576911635109E-2</v>
      </c>
      <c r="AL363" s="9">
        <v>0</v>
      </c>
      <c r="AM363" s="17">
        <f t="shared" si="186"/>
        <v>20.419063780175836</v>
      </c>
      <c r="AN363" s="13">
        <f t="shared" si="187"/>
        <v>14.110764640695066</v>
      </c>
      <c r="AO363" s="13">
        <f t="shared" si="188"/>
        <v>10.498412403053429</v>
      </c>
      <c r="AP363" s="13">
        <f t="shared" si="189"/>
        <v>9.9116957064511961</v>
      </c>
      <c r="AQ363" s="13">
        <f t="shared" si="190"/>
        <v>17.524034899745477</v>
      </c>
      <c r="AR363" s="13">
        <f t="shared" si="191"/>
        <v>8.1649604817987882</v>
      </c>
      <c r="AS363" s="13">
        <f t="shared" si="192"/>
        <v>15.317343936167394</v>
      </c>
      <c r="AT363" s="13">
        <f t="shared" si="193"/>
        <v>14.887692404487664</v>
      </c>
      <c r="AU363" s="9">
        <v>0</v>
      </c>
      <c r="AV363" s="18">
        <f t="shared" si="210"/>
        <v>1</v>
      </c>
      <c r="AW363" s="18">
        <f t="shared" si="211"/>
        <v>5</v>
      </c>
      <c r="AX363" s="18">
        <f t="shared" si="212"/>
        <v>6</v>
      </c>
      <c r="AY363" s="18">
        <f t="shared" si="213"/>
        <v>7</v>
      </c>
      <c r="AZ363" s="18">
        <f t="shared" si="214"/>
        <v>2</v>
      </c>
      <c r="BA363" s="18">
        <f t="shared" si="215"/>
        <v>8</v>
      </c>
      <c r="BB363" s="18">
        <f t="shared" si="216"/>
        <v>3</v>
      </c>
      <c r="BC363" s="18">
        <f t="shared" si="217"/>
        <v>4</v>
      </c>
      <c r="BD363" s="18">
        <f t="shared" si="218"/>
        <v>9</v>
      </c>
      <c r="BE363" s="8">
        <f t="shared" si="220"/>
        <v>-1.9783517507873816E-3</v>
      </c>
    </row>
    <row r="364" spans="1:57" x14ac:dyDescent="0.25">
      <c r="A364" t="str">
        <f t="shared" si="219"/>
        <v/>
      </c>
      <c r="B364" s="1">
        <v>43266</v>
      </c>
      <c r="C364" s="9">
        <f t="shared" si="194"/>
        <v>0.25174332488916151</v>
      </c>
      <c r="D364" s="9">
        <f t="shared" si="195"/>
        <v>0.24485163216828609</v>
      </c>
      <c r="E364" s="9">
        <f t="shared" si="196"/>
        <v>0</v>
      </c>
      <c r="F364" s="9">
        <f t="shared" si="197"/>
        <v>0</v>
      </c>
      <c r="G364" s="9">
        <f t="shared" si="198"/>
        <v>0.24950087219006106</v>
      </c>
      <c r="H364" s="9">
        <f t="shared" si="199"/>
        <v>0</v>
      </c>
      <c r="I364" s="9">
        <f t="shared" si="200"/>
        <v>0</v>
      </c>
      <c r="J364" s="9">
        <f t="shared" si="201"/>
        <v>0.25390417075249144</v>
      </c>
      <c r="K364" s="9">
        <v>0</v>
      </c>
      <c r="L364" s="8">
        <f>+VLOOKUP($B364,NIFTY_50!$B$3:$I$1238,8,0)</f>
        <v>8.9285301233821279E-4</v>
      </c>
      <c r="M364" s="8">
        <f>+VLOOKUP($B364,NIFTY_BANK!$B$3:$I$41238,8,0)</f>
        <v>-5.4532277950850583E-3</v>
      </c>
      <c r="N364" s="8">
        <f>+VLOOKUP($B364,NIFTY_IT!$B$3:$I$1238,8,0)</f>
        <v>2.1417101856004095E-2</v>
      </c>
      <c r="O364" s="8">
        <f>+VLOOKUP($B364,NIFTY_PHARMA!$B$3:$I$1238,8,0)</f>
        <v>2.2365006118003405E-2</v>
      </c>
      <c r="P364" s="8">
        <f>+VLOOKUP($B364,NIFTY_FMCG!$B$3:$I$1238,8,0)</f>
        <v>-3.8255083512058752E-3</v>
      </c>
      <c r="Q364" s="8">
        <f>+VLOOKUP($B364,NIFTY_METAL!$B$3:$I$1238,8,0)</f>
        <v>-1.5331795057129338E-2</v>
      </c>
      <c r="R364" s="8">
        <f>+VLOOKUP($B364,NIFTY_ENERGY!$B$3:$I$1238,8,0)</f>
        <v>-2.6616486480683932E-3</v>
      </c>
      <c r="S364" s="8">
        <f>+VLOOKUP($B364,NIFTY_AUTO!$B$3:$I$1238,8,0)</f>
        <v>-6.2216490260607049E-3</v>
      </c>
      <c r="T364" s="8">
        <v>0</v>
      </c>
      <c r="U364" s="8">
        <f>+VLOOKUP($B364,NIFTY_50!$B$63:$K$1238,10,0)</f>
        <v>7.1669514822795266E-2</v>
      </c>
      <c r="V364" s="8">
        <f>+VLOOKUP($B364,NIFTY_BANK!$B$63:$K$1238,10,0)</f>
        <v>8.9597485677518574E-2</v>
      </c>
      <c r="W364" s="8">
        <f>+VLOOKUP($B364,NIFTY_IT!$B$63:$K$1238,10,0)</f>
        <v>0.13687778251873794</v>
      </c>
      <c r="X364" s="8">
        <f>+VLOOKUP($B364,NIFTY_PHARMA!$B$63:$K$1238,10,0)</f>
        <v>9.4368546558752042E-2</v>
      </c>
      <c r="Y364" s="8">
        <f>+VLOOKUP($B364,NIFTY_FMCG!$B$63:$K$1238,10,0)</f>
        <v>0.10945295691669421</v>
      </c>
      <c r="Z364" s="8">
        <f>+VLOOKUP($B364,NIFTY_METAL!$B$63:$K$1238,10,0)</f>
        <v>-6.9670292699339775E-3</v>
      </c>
      <c r="AA364" s="8">
        <f>+VLOOKUP($B364,NIFTY_ENERGY!$B$63:$K$1238,10,0)</f>
        <v>4.6164815370759449E-2</v>
      </c>
      <c r="AB364" s="8">
        <f>+VLOOKUP($B364,NIFTY_AUTO!$B$63:$K$1238,10,0)</f>
        <v>3.5788449059052541E-2</v>
      </c>
      <c r="AC364" s="8"/>
      <c r="AD364" s="16">
        <f t="shared" si="202"/>
        <v>4.7731460568153215E-2</v>
      </c>
      <c r="AE364" s="8">
        <f t="shared" si="203"/>
        <v>7.0282138206383904E-2</v>
      </c>
      <c r="AF364" s="8">
        <f t="shared" si="204"/>
        <v>9.4328604202909547E-2</v>
      </c>
      <c r="AG364" s="8">
        <f t="shared" si="205"/>
        <v>0.10291913191041825</v>
      </c>
      <c r="AH364" s="8">
        <f t="shared" si="206"/>
        <v>5.6998542012513698E-2</v>
      </c>
      <c r="AI364" s="8">
        <f t="shared" si="207"/>
        <v>0.12052498112489192</v>
      </c>
      <c r="AJ364" s="8">
        <f t="shared" si="208"/>
        <v>6.4902576095388534E-2</v>
      </c>
      <c r="AK364" s="8">
        <f t="shared" si="209"/>
        <v>6.7102718571248943E-2</v>
      </c>
      <c r="AL364" s="9">
        <v>0</v>
      </c>
      <c r="AM364" s="17">
        <f t="shared" si="186"/>
        <v>20.950542642041157</v>
      </c>
      <c r="AN364" s="13">
        <f t="shared" si="187"/>
        <v>14.228366203991891</v>
      </c>
      <c r="AO364" s="13">
        <f t="shared" si="188"/>
        <v>10.60123817637445</v>
      </c>
      <c r="AP364" s="13">
        <f t="shared" si="189"/>
        <v>9.7163664465262798</v>
      </c>
      <c r="AQ364" s="13">
        <f t="shared" si="190"/>
        <v>17.544308410212594</v>
      </c>
      <c r="AR364" s="13">
        <f t="shared" si="191"/>
        <v>8.297035109789956</v>
      </c>
      <c r="AS364" s="13">
        <f t="shared" si="192"/>
        <v>15.407708910202288</v>
      </c>
      <c r="AT364" s="13">
        <f t="shared" si="193"/>
        <v>14.90252587811641</v>
      </c>
      <c r="AU364" s="9">
        <v>0</v>
      </c>
      <c r="AV364" s="18">
        <f t="shared" si="210"/>
        <v>1</v>
      </c>
      <c r="AW364" s="18">
        <f t="shared" si="211"/>
        <v>5</v>
      </c>
      <c r="AX364" s="18">
        <f t="shared" si="212"/>
        <v>6</v>
      </c>
      <c r="AY364" s="18">
        <f t="shared" si="213"/>
        <v>7</v>
      </c>
      <c r="AZ364" s="18">
        <f t="shared" si="214"/>
        <v>2</v>
      </c>
      <c r="BA364" s="18">
        <f t="shared" si="215"/>
        <v>8</v>
      </c>
      <c r="BB364" s="18">
        <f t="shared" si="216"/>
        <v>3</v>
      </c>
      <c r="BC364" s="18">
        <f t="shared" si="217"/>
        <v>4</v>
      </c>
      <c r="BD364" s="18">
        <f t="shared" si="218"/>
        <v>9</v>
      </c>
      <c r="BE364" s="8">
        <f t="shared" si="220"/>
        <v>-3.6523208878922121E-3</v>
      </c>
    </row>
    <row r="365" spans="1:57" x14ac:dyDescent="0.25">
      <c r="A365" t="str">
        <f t="shared" si="219"/>
        <v/>
      </c>
      <c r="B365" s="1">
        <v>43269</v>
      </c>
      <c r="C365" s="9">
        <f t="shared" si="194"/>
        <v>0.25141435052397437</v>
      </c>
      <c r="D365" s="9">
        <f t="shared" si="195"/>
        <v>0.24486072460979313</v>
      </c>
      <c r="E365" s="9">
        <f t="shared" si="196"/>
        <v>0</v>
      </c>
      <c r="F365" s="9">
        <f t="shared" si="197"/>
        <v>0</v>
      </c>
      <c r="G365" s="9">
        <f t="shared" si="198"/>
        <v>0.24904237931480669</v>
      </c>
      <c r="H365" s="9">
        <f t="shared" si="199"/>
        <v>0</v>
      </c>
      <c r="I365" s="9">
        <f t="shared" si="200"/>
        <v>0</v>
      </c>
      <c r="J365" s="9">
        <f t="shared" si="201"/>
        <v>0.25468254555142578</v>
      </c>
      <c r="K365" s="9">
        <v>0</v>
      </c>
      <c r="L365" s="8">
        <f>+VLOOKUP($B365,NIFTY_50!$B$3:$I$1238,8,0)</f>
        <v>-1.6500734906681469E-3</v>
      </c>
      <c r="M365" s="8">
        <f>+VLOOKUP($B365,NIFTY_BANK!$B$3:$I$41238,8,0)</f>
        <v>-3.0661609393811684E-4</v>
      </c>
      <c r="N365" s="8">
        <f>+VLOOKUP($B365,NIFTY_IT!$B$3:$I$1238,8,0)</f>
        <v>-6.8902028821300476E-3</v>
      </c>
      <c r="O365" s="8">
        <f>+VLOOKUP($B365,NIFTY_PHARMA!$B$3:$I$1238,8,0)</f>
        <v>3.2738494565931475E-4</v>
      </c>
      <c r="P365" s="8">
        <f>+VLOOKUP($B365,NIFTY_FMCG!$B$3:$I$1238,8,0)</f>
        <v>-2.180746527747579E-3</v>
      </c>
      <c r="Q365" s="8">
        <f>+VLOOKUP($B365,NIFTY_METAL!$B$3:$I$1238,8,0)</f>
        <v>-1.7363316817007535E-2</v>
      </c>
      <c r="R365" s="8">
        <f>+VLOOKUP($B365,NIFTY_ENERGY!$B$3:$I$1238,8,0)</f>
        <v>6.5570947909119326E-3</v>
      </c>
      <c r="S365" s="8">
        <f>+VLOOKUP($B365,NIFTY_AUTO!$B$3:$I$1238,8,0)</f>
        <v>2.7208327180134884E-3</v>
      </c>
      <c r="T365" s="8">
        <v>0</v>
      </c>
      <c r="U365" s="8">
        <f>+VLOOKUP($B365,NIFTY_50!$B$63:$K$1238,10,0)</f>
        <v>6.6720332663331439E-2</v>
      </c>
      <c r="V365" s="8">
        <f>+VLOOKUP($B365,NIFTY_BANK!$B$63:$K$1238,10,0)</f>
        <v>9.2729288900290419E-2</v>
      </c>
      <c r="W365" s="8">
        <f>+VLOOKUP($B365,NIFTY_IT!$B$63:$K$1238,10,0)</f>
        <v>0.11222846991458546</v>
      </c>
      <c r="X365" s="8">
        <f>+VLOOKUP($B365,NIFTY_PHARMA!$B$63:$K$1238,10,0)</f>
        <v>8.6330096634688047E-2</v>
      </c>
      <c r="Y365" s="8">
        <f>+VLOOKUP($B365,NIFTY_FMCG!$B$63:$K$1238,10,0)</f>
        <v>0.10243434188296718</v>
      </c>
      <c r="Z365" s="8">
        <f>+VLOOKUP($B365,NIFTY_METAL!$B$63:$K$1238,10,0)</f>
        <v>-2.1094376239294554E-2</v>
      </c>
      <c r="AA365" s="8">
        <f>+VLOOKUP($B365,NIFTY_ENERGY!$B$63:$K$1238,10,0)</f>
        <v>5.9333391218340914E-2</v>
      </c>
      <c r="AB365" s="8">
        <f>+VLOOKUP($B365,NIFTY_AUTO!$B$63:$K$1238,10,0)</f>
        <v>3.2709289677930853E-2</v>
      </c>
      <c r="AC365" s="8"/>
      <c r="AD365" s="16">
        <f t="shared" si="202"/>
        <v>4.7775121357612978E-2</v>
      </c>
      <c r="AE365" s="8">
        <f t="shared" si="203"/>
        <v>7.01511263077539E-2</v>
      </c>
      <c r="AF365" s="8">
        <f t="shared" si="204"/>
        <v>9.3833271068688148E-2</v>
      </c>
      <c r="AG365" s="8">
        <f t="shared" si="205"/>
        <v>0.10273748850203226</v>
      </c>
      <c r="AH365" s="8">
        <f t="shared" si="206"/>
        <v>5.7074626105085638E-2</v>
      </c>
      <c r="AI365" s="8">
        <f t="shared" si="207"/>
        <v>0.12171464162883179</v>
      </c>
      <c r="AJ365" s="8">
        <f t="shared" si="208"/>
        <v>6.4791357670769628E-2</v>
      </c>
      <c r="AK365" s="8">
        <f t="shared" si="209"/>
        <v>6.6940934026145135E-2</v>
      </c>
      <c r="AL365" s="9">
        <v>0</v>
      </c>
      <c r="AM365" s="17">
        <f t="shared" si="186"/>
        <v>20.931396333138771</v>
      </c>
      <c r="AN365" s="13">
        <f t="shared" si="187"/>
        <v>14.254938625118962</v>
      </c>
      <c r="AO365" s="13">
        <f t="shared" si="188"/>
        <v>10.657200677443896</v>
      </c>
      <c r="AP365" s="13">
        <f t="shared" si="189"/>
        <v>9.7335453161308187</v>
      </c>
      <c r="AQ365" s="13">
        <f t="shared" si="190"/>
        <v>17.520920735578763</v>
      </c>
      <c r="AR365" s="13">
        <f t="shared" si="191"/>
        <v>8.2159384164272957</v>
      </c>
      <c r="AS365" s="13">
        <f t="shared" si="192"/>
        <v>15.434157207839251</v>
      </c>
      <c r="AT365" s="13">
        <f t="shared" si="193"/>
        <v>14.938542680169801</v>
      </c>
      <c r="AU365" s="9">
        <v>0</v>
      </c>
      <c r="AV365" s="18">
        <f t="shared" si="210"/>
        <v>1</v>
      </c>
      <c r="AW365" s="18">
        <f t="shared" si="211"/>
        <v>5</v>
      </c>
      <c r="AX365" s="18">
        <f t="shared" si="212"/>
        <v>6</v>
      </c>
      <c r="AY365" s="18">
        <f t="shared" si="213"/>
        <v>7</v>
      </c>
      <c r="AZ365" s="18">
        <f t="shared" si="214"/>
        <v>2</v>
      </c>
      <c r="BA365" s="18">
        <f t="shared" si="215"/>
        <v>8</v>
      </c>
      <c r="BB365" s="18">
        <f t="shared" si="216"/>
        <v>3</v>
      </c>
      <c r="BC365" s="18">
        <f t="shared" si="217"/>
        <v>4</v>
      </c>
      <c r="BD365" s="18">
        <f t="shared" si="218"/>
        <v>9</v>
      </c>
      <c r="BE365" s="8">
        <f t="shared" si="220"/>
        <v>-3.437378235770825E-4</v>
      </c>
    </row>
    <row r="366" spans="1:57" x14ac:dyDescent="0.25">
      <c r="A366" t="str">
        <f t="shared" si="219"/>
        <v/>
      </c>
      <c r="B366" s="1">
        <v>43270</v>
      </c>
      <c r="C366" s="9">
        <f t="shared" si="194"/>
        <v>0.25102322889300377</v>
      </c>
      <c r="D366" s="9">
        <f t="shared" si="195"/>
        <v>0.24518048534903025</v>
      </c>
      <c r="E366" s="9">
        <f t="shared" si="196"/>
        <v>0</v>
      </c>
      <c r="F366" s="9">
        <f t="shared" si="197"/>
        <v>0</v>
      </c>
      <c r="G366" s="9">
        <f t="shared" si="198"/>
        <v>0.25020476134445518</v>
      </c>
      <c r="H366" s="9">
        <f t="shared" si="199"/>
        <v>0</v>
      </c>
      <c r="I366" s="9">
        <f t="shared" si="200"/>
        <v>0</v>
      </c>
      <c r="J366" s="9">
        <f t="shared" si="201"/>
        <v>0.25359152441351085</v>
      </c>
      <c r="K366" s="9">
        <v>0</v>
      </c>
      <c r="L366" s="8">
        <f>+VLOOKUP($B366,NIFTY_50!$B$3:$I$1238,8,0)</f>
        <v>-8.2778927485103182E-3</v>
      </c>
      <c r="M366" s="8">
        <f>+VLOOKUP($B366,NIFTY_BANK!$B$3:$I$41238,8,0)</f>
        <v>-5.4355851915801612E-3</v>
      </c>
      <c r="N366" s="8">
        <f>+VLOOKUP($B366,NIFTY_IT!$B$3:$I$1238,8,0)</f>
        <v>-1.24606038134083E-2</v>
      </c>
      <c r="O366" s="8">
        <f>+VLOOKUP($B366,NIFTY_PHARMA!$B$3:$I$1238,8,0)</f>
        <v>-7.0123292521968583E-3</v>
      </c>
      <c r="P366" s="8">
        <f>+VLOOKUP($B366,NIFTY_FMCG!$B$3:$I$1238,8,0)</f>
        <v>-2.0966989182148454E-3</v>
      </c>
      <c r="Q366" s="8">
        <f>+VLOOKUP($B366,NIFTY_METAL!$B$3:$I$1238,8,0)</f>
        <v>-1.5730724475283342E-2</v>
      </c>
      <c r="R366" s="8">
        <f>+VLOOKUP($B366,NIFTY_ENERGY!$B$3:$I$1238,8,0)</f>
        <v>-1.4946010477174809E-2</v>
      </c>
      <c r="S366" s="8">
        <f>+VLOOKUP($B366,NIFTY_AUTO!$B$3:$I$1238,8,0)</f>
        <v>-1.0987686828610843E-2</v>
      </c>
      <c r="T366" s="8">
        <v>0</v>
      </c>
      <c r="U366" s="8">
        <f>+VLOOKUP($B366,NIFTY_50!$B$63:$K$1238,10,0)</f>
        <v>5.4671229167179591E-2</v>
      </c>
      <c r="V366" s="8">
        <f>+VLOOKUP($B366,NIFTY_BANK!$B$63:$K$1238,10,0)</f>
        <v>8.2873645673576579E-2</v>
      </c>
      <c r="W366" s="8">
        <f>+VLOOKUP($B366,NIFTY_IT!$B$63:$K$1238,10,0)</f>
        <v>9.8391209348988928E-2</v>
      </c>
      <c r="X366" s="8">
        <f>+VLOOKUP($B366,NIFTY_PHARMA!$B$63:$K$1238,10,0)</f>
        <v>8.5450034895518723E-2</v>
      </c>
      <c r="Y366" s="8">
        <f>+VLOOKUP($B366,NIFTY_FMCG!$B$63:$K$1238,10,0)</f>
        <v>9.8056950139884247E-2</v>
      </c>
      <c r="Z366" s="8">
        <f>+VLOOKUP($B366,NIFTY_METAL!$B$63:$K$1238,10,0)</f>
        <v>-3.2042044587607066E-2</v>
      </c>
      <c r="AA366" s="8">
        <f>+VLOOKUP($B366,NIFTY_ENERGY!$B$63:$K$1238,10,0)</f>
        <v>3.7184903904602606E-2</v>
      </c>
      <c r="AB366" s="8">
        <f>+VLOOKUP($B366,NIFTY_AUTO!$B$63:$K$1238,10,0)</f>
        <v>2.277636242800174E-2</v>
      </c>
      <c r="AC366" s="8"/>
      <c r="AD366" s="16">
        <f t="shared" si="202"/>
        <v>4.8620933491349043E-2</v>
      </c>
      <c r="AE366" s="8">
        <f t="shared" si="203"/>
        <v>7.0451191701692201E-2</v>
      </c>
      <c r="AF366" s="8">
        <f t="shared" si="204"/>
        <v>9.4882112362895815E-2</v>
      </c>
      <c r="AG366" s="8">
        <f t="shared" si="205"/>
        <v>0.10280053331330739</v>
      </c>
      <c r="AH366" s="8">
        <f t="shared" si="206"/>
        <v>5.7193107044463322E-2</v>
      </c>
      <c r="AI366" s="8">
        <f t="shared" si="207"/>
        <v>0.12261178637466279</v>
      </c>
      <c r="AJ366" s="8">
        <f t="shared" si="208"/>
        <v>6.6469474452697019E-2</v>
      </c>
      <c r="AK366" s="8">
        <f t="shared" si="209"/>
        <v>6.7891358672925978E-2</v>
      </c>
      <c r="AL366" s="9">
        <v>0</v>
      </c>
      <c r="AM366" s="17">
        <f t="shared" si="186"/>
        <v>20.567272740206164</v>
      </c>
      <c r="AN366" s="13">
        <f t="shared" si="187"/>
        <v>14.194224055630567</v>
      </c>
      <c r="AO366" s="13">
        <f t="shared" si="188"/>
        <v>10.539394361028746</v>
      </c>
      <c r="AP366" s="13">
        <f t="shared" si="189"/>
        <v>9.7275759937186166</v>
      </c>
      <c r="AQ366" s="13">
        <f t="shared" si="190"/>
        <v>17.484624488447103</v>
      </c>
      <c r="AR366" s="13">
        <f t="shared" si="191"/>
        <v>8.1558227766482148</v>
      </c>
      <c r="AS366" s="13">
        <f t="shared" si="192"/>
        <v>15.044499873572036</v>
      </c>
      <c r="AT366" s="13">
        <f t="shared" si="193"/>
        <v>14.729415047025483</v>
      </c>
      <c r="AU366" s="9">
        <v>0</v>
      </c>
      <c r="AV366" s="18">
        <f t="shared" si="210"/>
        <v>1</v>
      </c>
      <c r="AW366" s="18">
        <f t="shared" si="211"/>
        <v>5</v>
      </c>
      <c r="AX366" s="18">
        <f t="shared" si="212"/>
        <v>6</v>
      </c>
      <c r="AY366" s="18">
        <f t="shared" si="213"/>
        <v>7</v>
      </c>
      <c r="AZ366" s="18">
        <f t="shared" si="214"/>
        <v>2</v>
      </c>
      <c r="BA366" s="18">
        <f t="shared" si="215"/>
        <v>8</v>
      </c>
      <c r="BB366" s="18">
        <f t="shared" si="216"/>
        <v>3</v>
      </c>
      <c r="BC366" s="18">
        <f t="shared" si="217"/>
        <v>4</v>
      </c>
      <c r="BD366" s="18">
        <f t="shared" si="218"/>
        <v>9</v>
      </c>
      <c r="BE366" s="8">
        <f t="shared" si="220"/>
        <v>-6.7326812962939069E-3</v>
      </c>
    </row>
    <row r="367" spans="1:57" x14ac:dyDescent="0.25">
      <c r="A367" t="str">
        <f t="shared" si="219"/>
        <v/>
      </c>
      <c r="B367" s="1">
        <v>43271</v>
      </c>
      <c r="C367" s="9">
        <f t="shared" si="194"/>
        <v>0.25138079668081031</v>
      </c>
      <c r="D367" s="9">
        <f t="shared" si="195"/>
        <v>0.24683918231908236</v>
      </c>
      <c r="E367" s="9">
        <f t="shared" si="196"/>
        <v>0</v>
      </c>
      <c r="F367" s="9">
        <f t="shared" si="197"/>
        <v>0</v>
      </c>
      <c r="G367" s="9">
        <f t="shared" si="198"/>
        <v>0.24798057623041733</v>
      </c>
      <c r="H367" s="9">
        <f t="shared" si="199"/>
        <v>0</v>
      </c>
      <c r="I367" s="9">
        <f t="shared" si="200"/>
        <v>0</v>
      </c>
      <c r="J367" s="9">
        <f t="shared" si="201"/>
        <v>0.25379944476968996</v>
      </c>
      <c r="K367" s="9">
        <v>0</v>
      </c>
      <c r="L367" s="8">
        <f>+VLOOKUP($B367,NIFTY_50!$B$3:$I$1238,8,0)</f>
        <v>5.7513923317880078E-3</v>
      </c>
      <c r="M367" s="8">
        <f>+VLOOKUP($B367,NIFTY_BANK!$B$3:$I$41238,8,0)</f>
        <v>1.1115235620532404E-2</v>
      </c>
      <c r="N367" s="8">
        <f>+VLOOKUP($B367,NIFTY_IT!$B$3:$I$1238,8,0)</f>
        <v>-2.7835040380665976E-3</v>
      </c>
      <c r="O367" s="8">
        <f>+VLOOKUP($B367,NIFTY_PHARMA!$B$3:$I$1238,8,0)</f>
        <v>4.0415174060806081E-3</v>
      </c>
      <c r="P367" s="8">
        <f>+VLOOKUP($B367,NIFTY_FMCG!$B$3:$I$1238,8,0)</f>
        <v>-4.6070725544122837E-3</v>
      </c>
      <c r="Q367" s="8">
        <f>+VLOOKUP($B367,NIFTY_METAL!$B$3:$I$1238,8,0)</f>
        <v>9.9103832793299151E-3</v>
      </c>
      <c r="R367" s="8">
        <f>+VLOOKUP($B367,NIFTY_ENERGY!$B$3:$I$1238,8,0)</f>
        <v>1.0976209770780399E-2</v>
      </c>
      <c r="S367" s="8">
        <f>+VLOOKUP($B367,NIFTY_AUTO!$B$3:$I$1238,8,0)</f>
        <v>5.1442418335161388E-3</v>
      </c>
      <c r="T367" s="8">
        <v>0</v>
      </c>
      <c r="U367" s="8">
        <f>+VLOOKUP($B367,NIFTY_50!$B$63:$K$1238,10,0)</f>
        <v>6.4984305098989115E-2</v>
      </c>
      <c r="V367" s="8">
        <f>+VLOOKUP($B367,NIFTY_BANK!$B$63:$K$1238,10,0)</f>
        <v>0.10008491601598912</v>
      </c>
      <c r="W367" s="8">
        <f>+VLOOKUP($B367,NIFTY_IT!$B$63:$K$1238,10,0)</f>
        <v>0.10579201895977453</v>
      </c>
      <c r="X367" s="8">
        <f>+VLOOKUP($B367,NIFTY_PHARMA!$B$63:$K$1238,10,0)</f>
        <v>9.6453858862402653E-2</v>
      </c>
      <c r="Y367" s="8">
        <f>+VLOOKUP($B367,NIFTY_FMCG!$B$63:$K$1238,10,0)</f>
        <v>9.5384686291944076E-2</v>
      </c>
      <c r="Z367" s="8">
        <f>+VLOOKUP($B367,NIFTY_METAL!$B$63:$K$1238,10,0)</f>
        <v>-2.5560500225326743E-2</v>
      </c>
      <c r="AA367" s="8">
        <f>+VLOOKUP($B367,NIFTY_ENERGY!$B$63:$K$1238,10,0)</f>
        <v>4.4833039830403765E-2</v>
      </c>
      <c r="AB367" s="8">
        <f>+VLOOKUP($B367,NIFTY_AUTO!$B$63:$K$1238,10,0)</f>
        <v>3.727246056914546E-2</v>
      </c>
      <c r="AC367" s="8"/>
      <c r="AD367" s="16">
        <f t="shared" si="202"/>
        <v>4.8602800357801214E-2</v>
      </c>
      <c r="AE367" s="8">
        <f t="shared" si="203"/>
        <v>7.0838429835482067E-2</v>
      </c>
      <c r="AF367" s="8">
        <f t="shared" si="204"/>
        <v>9.4332697397477627E-2</v>
      </c>
      <c r="AG367" s="8">
        <f t="shared" si="205"/>
        <v>0.10255416644861418</v>
      </c>
      <c r="AH367" s="8">
        <f t="shared" si="206"/>
        <v>5.7402230776269422E-2</v>
      </c>
      <c r="AI367" s="8">
        <f t="shared" si="207"/>
        <v>0.12298963114765539</v>
      </c>
      <c r="AJ367" s="8">
        <f t="shared" si="208"/>
        <v>6.7198107120436515E-2</v>
      </c>
      <c r="AK367" s="8">
        <f t="shared" si="209"/>
        <v>6.73926588951613E-2</v>
      </c>
      <c r="AL367" s="9">
        <v>0</v>
      </c>
      <c r="AM367" s="17">
        <f t="shared" si="186"/>
        <v>20.574946147922738</v>
      </c>
      <c r="AN367" s="13">
        <f t="shared" si="187"/>
        <v>14.116631358465158</v>
      </c>
      <c r="AO367" s="13">
        <f t="shared" si="188"/>
        <v>10.60077817754355</v>
      </c>
      <c r="AP367" s="13">
        <f t="shared" si="189"/>
        <v>9.7509446434929608</v>
      </c>
      <c r="AQ367" s="13">
        <f t="shared" si="190"/>
        <v>17.420925745858096</v>
      </c>
      <c r="AR367" s="13">
        <f t="shared" si="191"/>
        <v>8.1307667212974106</v>
      </c>
      <c r="AS367" s="13">
        <f t="shared" si="192"/>
        <v>14.881371557203828</v>
      </c>
      <c r="AT367" s="13">
        <f t="shared" si="193"/>
        <v>14.838411429286976</v>
      </c>
      <c r="AU367" s="9">
        <v>0</v>
      </c>
      <c r="AV367" s="18">
        <f t="shared" si="210"/>
        <v>1</v>
      </c>
      <c r="AW367" s="18">
        <f t="shared" si="211"/>
        <v>5</v>
      </c>
      <c r="AX367" s="18">
        <f t="shared" si="212"/>
        <v>6</v>
      </c>
      <c r="AY367" s="18">
        <f t="shared" si="213"/>
        <v>7</v>
      </c>
      <c r="AZ367" s="18">
        <f t="shared" si="214"/>
        <v>2</v>
      </c>
      <c r="BA367" s="18">
        <f t="shared" si="215"/>
        <v>8</v>
      </c>
      <c r="BB367" s="18">
        <f t="shared" si="216"/>
        <v>3</v>
      </c>
      <c r="BC367" s="18">
        <f t="shared" si="217"/>
        <v>4</v>
      </c>
      <c r="BD367" s="18">
        <f t="shared" si="218"/>
        <v>9</v>
      </c>
      <c r="BE367" s="8">
        <f t="shared" si="220"/>
        <v>4.3207965775066493E-3</v>
      </c>
    </row>
    <row r="368" spans="1:57" x14ac:dyDescent="0.25">
      <c r="A368" t="str">
        <f t="shared" si="219"/>
        <v/>
      </c>
      <c r="B368" s="1">
        <v>43272</v>
      </c>
      <c r="C368" s="9">
        <f t="shared" si="194"/>
        <v>0.25199525055897798</v>
      </c>
      <c r="D368" s="9">
        <f t="shared" si="195"/>
        <v>0.24758788080451519</v>
      </c>
      <c r="E368" s="9">
        <f t="shared" si="196"/>
        <v>0</v>
      </c>
      <c r="F368" s="9">
        <f t="shared" si="197"/>
        <v>0</v>
      </c>
      <c r="G368" s="9">
        <f t="shared" si="198"/>
        <v>0.24764999989247405</v>
      </c>
      <c r="H368" s="9">
        <f t="shared" si="199"/>
        <v>0</v>
      </c>
      <c r="I368" s="9">
        <f t="shared" si="200"/>
        <v>0</v>
      </c>
      <c r="J368" s="9">
        <f t="shared" si="201"/>
        <v>0.25276686874403276</v>
      </c>
      <c r="K368" s="9">
        <v>0</v>
      </c>
      <c r="L368" s="8">
        <f>+VLOOKUP($B368,NIFTY_50!$B$3:$I$1238,8,0)</f>
        <v>-2.8731764148883787E-3</v>
      </c>
      <c r="M368" s="8">
        <f>+VLOOKUP($B368,NIFTY_BANK!$B$3:$I$41238,8,0)</f>
        <v>-2.2874721832086831E-3</v>
      </c>
      <c r="N368" s="8">
        <f>+VLOOKUP($B368,NIFTY_IT!$B$3:$I$1238,8,0)</f>
        <v>-2.8383378346088506E-3</v>
      </c>
      <c r="O368" s="8">
        <f>+VLOOKUP($B368,NIFTY_PHARMA!$B$3:$I$1238,8,0)</f>
        <v>-9.9608775904471702E-3</v>
      </c>
      <c r="P368" s="8">
        <f>+VLOOKUP($B368,NIFTY_FMCG!$B$3:$I$1238,8,0)</f>
        <v>-6.630527777388151E-3</v>
      </c>
      <c r="Q368" s="8">
        <f>+VLOOKUP($B368,NIFTY_METAL!$B$3:$I$1238,8,0)</f>
        <v>-1.075253277065602E-2</v>
      </c>
      <c r="R368" s="8">
        <f>+VLOOKUP($B368,NIFTY_ENERGY!$B$3:$I$1238,8,0)</f>
        <v>6.5772052245482993E-3</v>
      </c>
      <c r="S368" s="8">
        <f>+VLOOKUP($B368,NIFTY_AUTO!$B$3:$I$1238,8,0)</f>
        <v>-9.3514166296291279E-3</v>
      </c>
      <c r="T368" s="8">
        <v>0</v>
      </c>
      <c r="U368" s="8">
        <f>+VLOOKUP($B368,NIFTY_50!$B$63:$K$1238,10,0)</f>
        <v>7.4319492300998879E-2</v>
      </c>
      <c r="V368" s="8">
        <f>+VLOOKUP($B368,NIFTY_BANK!$B$63:$K$1238,10,0)</f>
        <v>0.11941285318372308</v>
      </c>
      <c r="W368" s="8">
        <f>+VLOOKUP($B368,NIFTY_IT!$B$63:$K$1238,10,0)</f>
        <v>9.8125363803813093E-2</v>
      </c>
      <c r="X368" s="8">
        <f>+VLOOKUP($B368,NIFTY_PHARMA!$B$63:$K$1238,10,0)</f>
        <v>0.1046425054638902</v>
      </c>
      <c r="Y368" s="8">
        <f>+VLOOKUP($B368,NIFTY_FMCG!$B$63:$K$1238,10,0)</f>
        <v>9.3417419109573352E-2</v>
      </c>
      <c r="Z368" s="8">
        <f>+VLOOKUP($B368,NIFTY_METAL!$B$63:$K$1238,10,0)</f>
        <v>-7.28053255210237E-3</v>
      </c>
      <c r="AA368" s="8">
        <f>+VLOOKUP($B368,NIFTY_ENERGY!$B$63:$K$1238,10,0)</f>
        <v>6.2330050154087768E-2</v>
      </c>
      <c r="AB368" s="8">
        <f>+VLOOKUP($B368,NIFTY_AUTO!$B$63:$K$1238,10,0)</f>
        <v>3.7179089464827841E-2</v>
      </c>
      <c r="AC368" s="8"/>
      <c r="AD368" s="16">
        <f t="shared" si="202"/>
        <v>4.7094696943710691E-2</v>
      </c>
      <c r="AE368" s="8">
        <f t="shared" si="203"/>
        <v>6.7692835385802161E-2</v>
      </c>
      <c r="AF368" s="8">
        <f t="shared" si="204"/>
        <v>9.4408135434227172E-2</v>
      </c>
      <c r="AG368" s="8">
        <f t="shared" si="205"/>
        <v>0.10145428602598724</v>
      </c>
      <c r="AH368" s="8">
        <f t="shared" si="206"/>
        <v>5.7627331193563128E-2</v>
      </c>
      <c r="AI368" s="8">
        <f t="shared" si="207"/>
        <v>0.12003499397574355</v>
      </c>
      <c r="AJ368" s="8">
        <f t="shared" si="208"/>
        <v>6.6552480457526472E-2</v>
      </c>
      <c r="AK368" s="8">
        <f t="shared" si="209"/>
        <v>6.7405815874100952E-2</v>
      </c>
      <c r="AL368" s="9">
        <v>0</v>
      </c>
      <c r="AM368" s="17">
        <f t="shared" si="186"/>
        <v>21.23381325067739</v>
      </c>
      <c r="AN368" s="13">
        <f t="shared" si="187"/>
        <v>14.772612113242033</v>
      </c>
      <c r="AO368" s="13">
        <f t="shared" si="188"/>
        <v>10.592307489185464</v>
      </c>
      <c r="AP368" s="13">
        <f t="shared" si="189"/>
        <v>9.8566560287443412</v>
      </c>
      <c r="AQ368" s="13">
        <f t="shared" si="190"/>
        <v>17.352877172831807</v>
      </c>
      <c r="AR368" s="13">
        <f t="shared" si="191"/>
        <v>8.3309039045903415</v>
      </c>
      <c r="AS368" s="13">
        <f t="shared" si="192"/>
        <v>15.025735977462118</v>
      </c>
      <c r="AT368" s="13">
        <f t="shared" si="193"/>
        <v>14.835515111452359</v>
      </c>
      <c r="AU368" s="9">
        <v>0</v>
      </c>
      <c r="AV368" s="18">
        <f t="shared" si="210"/>
        <v>1</v>
      </c>
      <c r="AW368" s="18">
        <f t="shared" si="211"/>
        <v>5</v>
      </c>
      <c r="AX368" s="18">
        <f t="shared" si="212"/>
        <v>6</v>
      </c>
      <c r="AY368" s="18">
        <f t="shared" si="213"/>
        <v>7</v>
      </c>
      <c r="AZ368" s="18">
        <f t="shared" si="214"/>
        <v>2</v>
      </c>
      <c r="BA368" s="18">
        <f t="shared" si="215"/>
        <v>8</v>
      </c>
      <c r="BB368" s="18">
        <f t="shared" si="216"/>
        <v>3</v>
      </c>
      <c r="BC368" s="18">
        <f t="shared" si="217"/>
        <v>4</v>
      </c>
      <c r="BD368" s="18">
        <f t="shared" si="218"/>
        <v>9</v>
      </c>
      <c r="BE368" s="8">
        <f t="shared" si="220"/>
        <v>-5.3045255868184524E-3</v>
      </c>
    </row>
    <row r="369" spans="1:57" x14ac:dyDescent="0.25">
      <c r="A369" t="str">
        <f t="shared" si="219"/>
        <v/>
      </c>
      <c r="B369" s="1">
        <v>43273</v>
      </c>
      <c r="C369" s="9">
        <f t="shared" si="194"/>
        <v>0.25179779240588823</v>
      </c>
      <c r="D369" s="9">
        <f t="shared" si="195"/>
        <v>0.24804905342796707</v>
      </c>
      <c r="E369" s="9">
        <f t="shared" si="196"/>
        <v>0</v>
      </c>
      <c r="F369" s="9">
        <f t="shared" si="197"/>
        <v>0</v>
      </c>
      <c r="G369" s="9">
        <f t="shared" si="198"/>
        <v>0.24821248930846865</v>
      </c>
      <c r="H369" s="9">
        <f t="shared" si="199"/>
        <v>0</v>
      </c>
      <c r="I369" s="9">
        <f t="shared" si="200"/>
        <v>0</v>
      </c>
      <c r="J369" s="9">
        <f t="shared" si="201"/>
        <v>0.25194066485767597</v>
      </c>
      <c r="K369" s="9">
        <v>0</v>
      </c>
      <c r="L369" s="8">
        <f>+VLOOKUP($B369,NIFTY_50!$B$3:$I$1238,8,0)</f>
        <v>7.5178519890886086E-3</v>
      </c>
      <c r="M369" s="8">
        <f>+VLOOKUP($B369,NIFTY_BANK!$B$3:$I$41238,8,0)</f>
        <v>1.0186078020300471E-2</v>
      </c>
      <c r="N369" s="8">
        <f>+VLOOKUP($B369,NIFTY_IT!$B$3:$I$1238,8,0)</f>
        <v>3.9210845429393792E-4</v>
      </c>
      <c r="O369" s="8">
        <f>+VLOOKUP($B369,NIFTY_PHARMA!$B$3:$I$1238,8,0)</f>
        <v>1.7621863721354991E-2</v>
      </c>
      <c r="P369" s="8">
        <f>+VLOOKUP($B369,NIFTY_FMCG!$B$3:$I$1238,8,0)</f>
        <v>1.059811863539295E-2</v>
      </c>
      <c r="Q369" s="8">
        <f>+VLOOKUP($B369,NIFTY_METAL!$B$3:$I$1238,8,0)</f>
        <v>2.6589139359232128E-3</v>
      </c>
      <c r="R369" s="8">
        <f>+VLOOKUP($B369,NIFTY_ENERGY!$B$3:$I$1238,8,0)</f>
        <v>-8.2477745229089239E-3</v>
      </c>
      <c r="S369" s="8">
        <f>+VLOOKUP($B369,NIFTY_AUTO!$B$3:$I$1238,8,0)</f>
        <v>5.0121451618749813E-3</v>
      </c>
      <c r="T369" s="8">
        <v>0</v>
      </c>
      <c r="U369" s="8">
        <f>+VLOOKUP($B369,NIFTY_50!$B$63:$K$1238,10,0)</f>
        <v>6.8228593426877815E-2</v>
      </c>
      <c r="V369" s="8">
        <f>+VLOOKUP($B369,NIFTY_BANK!$B$63:$K$1238,10,0)</f>
        <v>0.10404485993643875</v>
      </c>
      <c r="W369" s="8">
        <f>+VLOOKUP($B369,NIFTY_IT!$B$63:$K$1238,10,0)</f>
        <v>0.10549332391834643</v>
      </c>
      <c r="X369" s="8">
        <f>+VLOOKUP($B369,NIFTY_PHARMA!$B$63:$K$1238,10,0)</f>
        <v>0.11565460937965555</v>
      </c>
      <c r="Y369" s="8">
        <f>+VLOOKUP($B369,NIFTY_FMCG!$B$63:$K$1238,10,0)</f>
        <v>9.4073319716687198E-2</v>
      </c>
      <c r="Z369" s="8">
        <f>+VLOOKUP($B369,NIFTY_METAL!$B$63:$K$1238,10,0)</f>
        <v>-2.5501583199625033E-2</v>
      </c>
      <c r="AA369" s="8">
        <f>+VLOOKUP($B369,NIFTY_ENERGY!$B$63:$K$1238,10,0)</f>
        <v>5.0315507296576856E-2</v>
      </c>
      <c r="AB369" s="8">
        <f>+VLOOKUP($B369,NIFTY_AUTO!$B$63:$K$1238,10,0)</f>
        <v>2.6617905749467541E-2</v>
      </c>
      <c r="AC369" s="8"/>
      <c r="AD369" s="16">
        <f t="shared" si="202"/>
        <v>4.5953347646106583E-2</v>
      </c>
      <c r="AE369" s="8">
        <f t="shared" si="203"/>
        <v>6.4404934288317353E-2</v>
      </c>
      <c r="AF369" s="8">
        <f t="shared" si="204"/>
        <v>9.4082395028068394E-2</v>
      </c>
      <c r="AG369" s="8">
        <f t="shared" si="205"/>
        <v>0.10251802306048939</v>
      </c>
      <c r="AH369" s="8">
        <f t="shared" si="206"/>
        <v>5.7719753122561536E-2</v>
      </c>
      <c r="AI369" s="8">
        <f t="shared" si="207"/>
        <v>0.11811602596711848</v>
      </c>
      <c r="AJ369" s="8">
        <f t="shared" si="208"/>
        <v>6.7148223056851711E-2</v>
      </c>
      <c r="AK369" s="8">
        <f t="shared" si="209"/>
        <v>6.5912100588259734E-2</v>
      </c>
      <c r="AL369" s="9">
        <v>0</v>
      </c>
      <c r="AM369" s="17">
        <f t="shared" si="186"/>
        <v>21.761200243802595</v>
      </c>
      <c r="AN369" s="13">
        <f t="shared" si="187"/>
        <v>15.526760659724696</v>
      </c>
      <c r="AO369" s="13">
        <f t="shared" si="188"/>
        <v>10.628981114922315</v>
      </c>
      <c r="AP369" s="13">
        <f t="shared" si="189"/>
        <v>9.7543824017164606</v>
      </c>
      <c r="AQ369" s="13">
        <f t="shared" si="190"/>
        <v>17.325091427134314</v>
      </c>
      <c r="AR369" s="13">
        <f t="shared" si="191"/>
        <v>8.4662516522388174</v>
      </c>
      <c r="AS369" s="13">
        <f t="shared" si="192"/>
        <v>14.892426850273313</v>
      </c>
      <c r="AT369" s="13">
        <f t="shared" si="193"/>
        <v>15.171720990153363</v>
      </c>
      <c r="AU369" s="9">
        <v>0</v>
      </c>
      <c r="AV369" s="18">
        <f t="shared" si="210"/>
        <v>1</v>
      </c>
      <c r="AW369" s="18">
        <f t="shared" si="211"/>
        <v>3</v>
      </c>
      <c r="AX369" s="18">
        <f t="shared" si="212"/>
        <v>6</v>
      </c>
      <c r="AY369" s="18">
        <f t="shared" si="213"/>
        <v>7</v>
      </c>
      <c r="AZ369" s="18">
        <f t="shared" si="214"/>
        <v>2</v>
      </c>
      <c r="BA369" s="18">
        <f t="shared" si="215"/>
        <v>8</v>
      </c>
      <c r="BB369" s="18">
        <f t="shared" si="216"/>
        <v>5</v>
      </c>
      <c r="BC369" s="18">
        <f t="shared" si="217"/>
        <v>4</v>
      </c>
      <c r="BD369" s="18">
        <f t="shared" si="218"/>
        <v>9</v>
      </c>
      <c r="BE369" s="8">
        <f t="shared" si="220"/>
        <v>8.3079407835845234E-3</v>
      </c>
    </row>
    <row r="370" spans="1:57" x14ac:dyDescent="0.25">
      <c r="A370" t="str">
        <f t="shared" si="219"/>
        <v/>
      </c>
      <c r="B370" s="1">
        <v>43276</v>
      </c>
      <c r="C370" s="9">
        <f t="shared" si="194"/>
        <v>0.25244920462190451</v>
      </c>
      <c r="D370" s="9">
        <f t="shared" si="195"/>
        <v>0.24859520003643698</v>
      </c>
      <c r="E370" s="9">
        <f t="shared" si="196"/>
        <v>0</v>
      </c>
      <c r="F370" s="9">
        <f t="shared" si="197"/>
        <v>0</v>
      </c>
      <c r="G370" s="9">
        <f t="shared" si="198"/>
        <v>0.24904734995615851</v>
      </c>
      <c r="H370" s="9">
        <f t="shared" si="199"/>
        <v>0</v>
      </c>
      <c r="I370" s="9">
        <f t="shared" si="200"/>
        <v>0</v>
      </c>
      <c r="J370" s="9">
        <f t="shared" si="201"/>
        <v>0.24990824538550002</v>
      </c>
      <c r="K370" s="9">
        <v>0</v>
      </c>
      <c r="L370" s="8">
        <f>+VLOOKUP($B370,NIFTY_50!$B$3:$I$1238,8,0)</f>
        <v>-5.4888951519379559E-3</v>
      </c>
      <c r="M370" s="8">
        <f>+VLOOKUP($B370,NIFTY_BANK!$B$3:$I$41238,8,0)</f>
        <v>-5.8710681309155355E-3</v>
      </c>
      <c r="N370" s="8">
        <f>+VLOOKUP($B370,NIFTY_IT!$B$3:$I$1238,8,0)</f>
        <v>6.3946694151890693E-3</v>
      </c>
      <c r="O370" s="8">
        <f>+VLOOKUP($B370,NIFTY_PHARMA!$B$3:$I$1238,8,0)</f>
        <v>-7.9159055219050201E-3</v>
      </c>
      <c r="P370" s="8">
        <f>+VLOOKUP($B370,NIFTY_FMCG!$B$3:$I$1238,8,0)</f>
        <v>-4.7187027933253134E-3</v>
      </c>
      <c r="Q370" s="8">
        <f>+VLOOKUP($B370,NIFTY_METAL!$B$3:$I$1238,8,0)</f>
        <v>-9.9372003904941719E-3</v>
      </c>
      <c r="R370" s="8">
        <f>+VLOOKUP($B370,NIFTY_ENERGY!$B$3:$I$1238,8,0)</f>
        <v>-1.2280978463479642E-2</v>
      </c>
      <c r="S370" s="8">
        <f>+VLOOKUP($B370,NIFTY_AUTO!$B$3:$I$1238,8,0)</f>
        <v>-1.6057176353880043E-2</v>
      </c>
      <c r="T370" s="8">
        <v>0</v>
      </c>
      <c r="U370" s="8">
        <f>+VLOOKUP($B370,NIFTY_50!$B$63:$K$1238,10,0)</f>
        <v>5.6784316806017365E-2</v>
      </c>
      <c r="V370" s="8">
        <f>+VLOOKUP($B370,NIFTY_BANK!$B$63:$K$1238,10,0)</f>
        <v>8.9037269559202992E-2</v>
      </c>
      <c r="W370" s="8">
        <f>+VLOOKUP($B370,NIFTY_IT!$B$63:$K$1238,10,0)</f>
        <v>0.10760332955217211</v>
      </c>
      <c r="X370" s="8">
        <f>+VLOOKUP($B370,NIFTY_PHARMA!$B$63:$K$1238,10,0)</f>
        <v>9.8704525288376033E-2</v>
      </c>
      <c r="Y370" s="8">
        <f>+VLOOKUP($B370,NIFTY_FMCG!$B$63:$K$1238,10,0)</f>
        <v>8.34786113387187E-2</v>
      </c>
      <c r="Z370" s="8">
        <f>+VLOOKUP($B370,NIFTY_METAL!$B$63:$K$1238,10,0)</f>
        <v>-5.2500209164179967E-2</v>
      </c>
      <c r="AA370" s="8">
        <f>+VLOOKUP($B370,NIFTY_ENERGY!$B$63:$K$1238,10,0)</f>
        <v>3.1652489067273804E-2</v>
      </c>
      <c r="AB370" s="8">
        <f>+VLOOKUP($B370,NIFTY_AUTO!$B$63:$K$1238,10,0)</f>
        <v>6.1510086455331958E-3</v>
      </c>
      <c r="AC370" s="8"/>
      <c r="AD370" s="16">
        <f t="shared" si="202"/>
        <v>4.621404887327029E-2</v>
      </c>
      <c r="AE370" s="8">
        <f t="shared" si="203"/>
        <v>6.452537875413554E-2</v>
      </c>
      <c r="AF370" s="8">
        <f t="shared" si="204"/>
        <v>9.4157823452116415E-2</v>
      </c>
      <c r="AG370" s="8">
        <f t="shared" si="205"/>
        <v>0.10281903200156513</v>
      </c>
      <c r="AH370" s="8">
        <f t="shared" si="206"/>
        <v>5.7934334604286417E-2</v>
      </c>
      <c r="AI370" s="8">
        <f t="shared" si="207"/>
        <v>0.1169858820917261</v>
      </c>
      <c r="AJ370" s="8">
        <f t="shared" si="208"/>
        <v>6.8215450297778882E-2</v>
      </c>
      <c r="AK370" s="8">
        <f t="shared" si="209"/>
        <v>6.7813504643117056E-2</v>
      </c>
      <c r="AL370" s="9">
        <v>0</v>
      </c>
      <c r="AM370" s="17">
        <f t="shared" si="186"/>
        <v>21.63844165098439</v>
      </c>
      <c r="AN370" s="13">
        <f t="shared" si="187"/>
        <v>15.497778072878159</v>
      </c>
      <c r="AO370" s="13">
        <f t="shared" si="188"/>
        <v>10.620466397128922</v>
      </c>
      <c r="AP370" s="13">
        <f t="shared" si="189"/>
        <v>9.7258258566835938</v>
      </c>
      <c r="AQ370" s="13">
        <f t="shared" si="190"/>
        <v>17.260921469632493</v>
      </c>
      <c r="AR370" s="13">
        <f t="shared" si="191"/>
        <v>8.5480400038008142</v>
      </c>
      <c r="AS370" s="13">
        <f t="shared" si="192"/>
        <v>14.659435591713162</v>
      </c>
      <c r="AT370" s="13">
        <f t="shared" si="193"/>
        <v>14.74632531179021</v>
      </c>
      <c r="AU370" s="9">
        <v>0</v>
      </c>
      <c r="AV370" s="18">
        <f t="shared" si="210"/>
        <v>1</v>
      </c>
      <c r="AW370" s="18">
        <f t="shared" si="211"/>
        <v>3</v>
      </c>
      <c r="AX370" s="18">
        <f t="shared" si="212"/>
        <v>6</v>
      </c>
      <c r="AY370" s="18">
        <f t="shared" si="213"/>
        <v>7</v>
      </c>
      <c r="AZ370" s="18">
        <f t="shared" si="214"/>
        <v>2</v>
      </c>
      <c r="BA370" s="18">
        <f t="shared" si="215"/>
        <v>8</v>
      </c>
      <c r="BB370" s="18">
        <f t="shared" si="216"/>
        <v>5</v>
      </c>
      <c r="BC370" s="18">
        <f t="shared" si="217"/>
        <v>4</v>
      </c>
      <c r="BD370" s="18">
        <f t="shared" si="218"/>
        <v>9</v>
      </c>
      <c r="BE370" s="8">
        <f t="shared" si="220"/>
        <v>-8.055101227461654E-3</v>
      </c>
    </row>
    <row r="371" spans="1:57" x14ac:dyDescent="0.25">
      <c r="A371" t="str">
        <f t="shared" si="219"/>
        <v/>
      </c>
      <c r="B371" s="1">
        <v>43277</v>
      </c>
      <c r="C371" s="9">
        <f t="shared" si="194"/>
        <v>0.25226901584974859</v>
      </c>
      <c r="D371" s="9">
        <f t="shared" si="195"/>
        <v>0.24818857120356713</v>
      </c>
      <c r="E371" s="9">
        <f t="shared" si="196"/>
        <v>0</v>
      </c>
      <c r="F371" s="9">
        <f t="shared" si="197"/>
        <v>0</v>
      </c>
      <c r="G371" s="9">
        <f t="shared" si="198"/>
        <v>0.25130265683974179</v>
      </c>
      <c r="H371" s="9">
        <f t="shared" si="199"/>
        <v>0</v>
      </c>
      <c r="I371" s="9">
        <f t="shared" si="200"/>
        <v>0</v>
      </c>
      <c r="J371" s="9">
        <f t="shared" si="201"/>
        <v>0.24823975610694241</v>
      </c>
      <c r="K371" s="9">
        <v>0</v>
      </c>
      <c r="L371" s="8">
        <f>+VLOOKUP($B371,NIFTY_50!$B$3:$I$1238,8,0)</f>
        <v>6.2253483175278568E-4</v>
      </c>
      <c r="M371" s="8">
        <f>+VLOOKUP($B371,NIFTY_BANK!$B$3:$I$41238,8,0)</f>
        <v>-3.0064224700010467E-4</v>
      </c>
      <c r="N371" s="8">
        <f>+VLOOKUP($B371,NIFTY_IT!$B$3:$I$1238,8,0)</f>
        <v>5.6472319187605979E-3</v>
      </c>
      <c r="O371" s="8">
        <f>+VLOOKUP($B371,NIFTY_PHARMA!$B$3:$I$1238,8,0)</f>
        <v>-4.2048929663607293E-3</v>
      </c>
      <c r="P371" s="8">
        <f>+VLOOKUP($B371,NIFTY_FMCG!$B$3:$I$1238,8,0)</f>
        <v>1.0405096918301604E-2</v>
      </c>
      <c r="Q371" s="8">
        <f>+VLOOKUP($B371,NIFTY_METAL!$B$3:$I$1238,8,0)</f>
        <v>-3.8411161312159603E-3</v>
      </c>
      <c r="R371" s="8">
        <f>+VLOOKUP($B371,NIFTY_ENERGY!$B$3:$I$1238,8,0)</f>
        <v>-1.4230135514731068E-2</v>
      </c>
      <c r="S371" s="8">
        <f>+VLOOKUP($B371,NIFTY_AUTO!$B$3:$I$1238,8,0)</f>
        <v>-5.3480837179035179E-3</v>
      </c>
      <c r="T371" s="8">
        <v>0</v>
      </c>
      <c r="U371" s="8">
        <f>+VLOOKUP($B371,NIFTY_50!$B$63:$K$1238,10,0)</f>
        <v>6.480813154434073E-2</v>
      </c>
      <c r="V371" s="8">
        <f>+VLOOKUP($B371,NIFTY_BANK!$B$63:$K$1238,10,0)</f>
        <v>9.6373748884634791E-2</v>
      </c>
      <c r="W371" s="8">
        <f>+VLOOKUP($B371,NIFTY_IT!$B$63:$K$1238,10,0)</f>
        <v>0.11445024797087489</v>
      </c>
      <c r="X371" s="8">
        <f>+VLOOKUP($B371,NIFTY_PHARMA!$B$63:$K$1238,10,0)</f>
        <v>0.10644827441807614</v>
      </c>
      <c r="Y371" s="8">
        <f>+VLOOKUP($B371,NIFTY_FMCG!$B$63:$K$1238,10,0)</f>
        <v>0.10199063052580826</v>
      </c>
      <c r="Z371" s="8">
        <f>+VLOOKUP($B371,NIFTY_METAL!$B$63:$K$1238,10,0)</f>
        <v>-3.6483466427524203E-2</v>
      </c>
      <c r="AA371" s="8">
        <f>+VLOOKUP($B371,NIFTY_ENERGY!$B$63:$K$1238,10,0)</f>
        <v>2.7765690566551759E-2</v>
      </c>
      <c r="AB371" s="8">
        <f>+VLOOKUP($B371,NIFTY_AUTO!$B$63:$K$1238,10,0)</f>
        <v>2.8416047905297503E-3</v>
      </c>
      <c r="AC371" s="8"/>
      <c r="AD371" s="16">
        <f t="shared" si="202"/>
        <v>4.5534787128568899E-2</v>
      </c>
      <c r="AE371" s="8">
        <f t="shared" si="203"/>
        <v>6.3990956295577842E-2</v>
      </c>
      <c r="AF371" s="8">
        <f t="shared" si="204"/>
        <v>9.4207584419780679E-2</v>
      </c>
      <c r="AG371" s="8">
        <f t="shared" si="205"/>
        <v>0.10218145218965741</v>
      </c>
      <c r="AH371" s="8">
        <f t="shared" si="206"/>
        <v>5.8062096445649171E-2</v>
      </c>
      <c r="AI371" s="8">
        <f t="shared" si="207"/>
        <v>0.11534876011818981</v>
      </c>
      <c r="AJ371" s="8">
        <f t="shared" si="208"/>
        <v>6.8916005195288066E-2</v>
      </c>
      <c r="AK371" s="8">
        <f t="shared" si="209"/>
        <v>6.7998064783239623E-2</v>
      </c>
      <c r="AL371" s="9">
        <v>0</v>
      </c>
      <c r="AM371" s="17">
        <f t="shared" si="186"/>
        <v>21.961231468513702</v>
      </c>
      <c r="AN371" s="13">
        <f t="shared" si="187"/>
        <v>15.627208247692744</v>
      </c>
      <c r="AO371" s="13">
        <f t="shared" si="188"/>
        <v>10.614856607978487</v>
      </c>
      <c r="AP371" s="13">
        <f t="shared" si="189"/>
        <v>9.786511921399546</v>
      </c>
      <c r="AQ371" s="13">
        <f t="shared" si="190"/>
        <v>17.222939942171759</v>
      </c>
      <c r="AR371" s="13">
        <f t="shared" si="191"/>
        <v>8.669360632705283</v>
      </c>
      <c r="AS371" s="13">
        <f t="shared" si="192"/>
        <v>14.510417386589497</v>
      </c>
      <c r="AT371" s="13">
        <f t="shared" si="193"/>
        <v>14.70630088058746</v>
      </c>
      <c r="AU371" s="9">
        <v>0</v>
      </c>
      <c r="AV371" s="18">
        <f t="shared" si="210"/>
        <v>1</v>
      </c>
      <c r="AW371" s="18">
        <f t="shared" si="211"/>
        <v>3</v>
      </c>
      <c r="AX371" s="18">
        <f t="shared" si="212"/>
        <v>6</v>
      </c>
      <c r="AY371" s="18">
        <f t="shared" si="213"/>
        <v>7</v>
      </c>
      <c r="AZ371" s="18">
        <f t="shared" si="214"/>
        <v>2</v>
      </c>
      <c r="BA371" s="18">
        <f t="shared" si="215"/>
        <v>8</v>
      </c>
      <c r="BB371" s="18">
        <f t="shared" si="216"/>
        <v>5</v>
      </c>
      <c r="BC371" s="18">
        <f t="shared" si="217"/>
        <v>4</v>
      </c>
      <c r="BD371" s="18">
        <f t="shared" si="218"/>
        <v>9</v>
      </c>
      <c r="BE371" s="8">
        <f t="shared" si="220"/>
        <v>1.3372517990170036E-3</v>
      </c>
    </row>
    <row r="372" spans="1:57" x14ac:dyDescent="0.25">
      <c r="A372" t="str">
        <f t="shared" si="219"/>
        <v/>
      </c>
      <c r="B372" s="1">
        <v>43278</v>
      </c>
      <c r="C372" s="9">
        <f t="shared" si="194"/>
        <v>0.25212723085360389</v>
      </c>
      <c r="D372" s="9">
        <f t="shared" si="195"/>
        <v>0.24864341087143119</v>
      </c>
      <c r="E372" s="9">
        <f t="shared" si="196"/>
        <v>0</v>
      </c>
      <c r="F372" s="9">
        <f t="shared" si="197"/>
        <v>0</v>
      </c>
      <c r="G372" s="9">
        <f t="shared" si="198"/>
        <v>0.25199192438250778</v>
      </c>
      <c r="H372" s="9">
        <f t="shared" si="199"/>
        <v>0</v>
      </c>
      <c r="I372" s="9">
        <f t="shared" si="200"/>
        <v>0</v>
      </c>
      <c r="J372" s="9">
        <f t="shared" si="201"/>
        <v>0.24723743389245711</v>
      </c>
      <c r="K372" s="9">
        <v>0</v>
      </c>
      <c r="L372" s="8">
        <f>+VLOOKUP($B372,NIFTY_50!$B$3:$I$1238,8,0)</f>
        <v>-9.0768537906891211E-3</v>
      </c>
      <c r="M372" s="8">
        <f>+VLOOKUP($B372,NIFTY_BANK!$B$3:$I$41238,8,0)</f>
        <v>-6.7025791584748307E-3</v>
      </c>
      <c r="N372" s="8">
        <f>+VLOOKUP($B372,NIFTY_IT!$B$3:$I$1238,8,0)</f>
        <v>5.3716785599025041E-3</v>
      </c>
      <c r="O372" s="8">
        <f>+VLOOKUP($B372,NIFTY_PHARMA!$B$3:$I$1238,8,0)</f>
        <v>1.6977102538455746E-3</v>
      </c>
      <c r="P372" s="8">
        <f>+VLOOKUP($B372,NIFTY_FMCG!$B$3:$I$1238,8,0)</f>
        <v>-5.8001920662402728E-3</v>
      </c>
      <c r="Q372" s="8">
        <f>+VLOOKUP($B372,NIFTY_METAL!$B$3:$I$1238,8,0)</f>
        <v>-1.258716463774967E-2</v>
      </c>
      <c r="R372" s="8">
        <f>+VLOOKUP($B372,NIFTY_ENERGY!$B$3:$I$1238,8,0)</f>
        <v>-2.4585727907636024E-2</v>
      </c>
      <c r="S372" s="8">
        <f>+VLOOKUP($B372,NIFTY_AUTO!$B$3:$I$1238,8,0)</f>
        <v>-1.2522921830797729E-2</v>
      </c>
      <c r="T372" s="8">
        <v>0</v>
      </c>
      <c r="U372" s="8">
        <f>+VLOOKUP($B372,NIFTY_50!$B$63:$K$1238,10,0)</f>
        <v>4.5006756889089061E-2</v>
      </c>
      <c r="V372" s="8">
        <f>+VLOOKUP($B372,NIFTY_BANK!$B$63:$K$1238,10,0)</f>
        <v>8.6108884641469929E-2</v>
      </c>
      <c r="W372" s="8">
        <f>+VLOOKUP($B372,NIFTY_IT!$B$63:$K$1238,10,0)</f>
        <v>0.10319427721510022</v>
      </c>
      <c r="X372" s="8">
        <f>+VLOOKUP($B372,NIFTY_PHARMA!$B$63:$K$1238,10,0)</f>
        <v>7.454021355202789E-2</v>
      </c>
      <c r="Y372" s="8">
        <f>+VLOOKUP($B372,NIFTY_FMCG!$B$63:$K$1238,10,0)</f>
        <v>8.0135237883210086E-2</v>
      </c>
      <c r="Z372" s="8">
        <f>+VLOOKUP($B372,NIFTY_METAL!$B$63:$K$1238,10,0)</f>
        <v>-5.5868683872243641E-2</v>
      </c>
      <c r="AA372" s="8">
        <f>+VLOOKUP($B372,NIFTY_ENERGY!$B$63:$K$1238,10,0)</f>
        <v>-3.3179723502304581E-3</v>
      </c>
      <c r="AB372" s="8">
        <f>+VLOOKUP($B372,NIFTY_AUTO!$B$63:$K$1238,10,0)</f>
        <v>-3.0949183655937351E-2</v>
      </c>
      <c r="AC372" s="8"/>
      <c r="AD372" s="16">
        <f t="shared" si="202"/>
        <v>4.5773974150167818E-2</v>
      </c>
      <c r="AE372" s="8">
        <f t="shared" si="203"/>
        <v>6.4498692166319357E-2</v>
      </c>
      <c r="AF372" s="8">
        <f t="shared" si="204"/>
        <v>9.3251659997141398E-2</v>
      </c>
      <c r="AG372" s="8">
        <f t="shared" si="205"/>
        <v>9.7696329696595072E-2</v>
      </c>
      <c r="AH372" s="8">
        <f t="shared" si="206"/>
        <v>5.7083016035130579E-2</v>
      </c>
      <c r="AI372" s="8">
        <f t="shared" si="207"/>
        <v>0.11566184499900331</v>
      </c>
      <c r="AJ372" s="8">
        <f t="shared" si="208"/>
        <v>7.3036654627004649E-2</v>
      </c>
      <c r="AK372" s="8">
        <f t="shared" si="209"/>
        <v>6.5474186431916867E-2</v>
      </c>
      <c r="AL372" s="9">
        <v>0</v>
      </c>
      <c r="AM372" s="17">
        <f t="shared" si="186"/>
        <v>21.846475394934302</v>
      </c>
      <c r="AN372" s="13">
        <f t="shared" si="187"/>
        <v>15.504190339570808</v>
      </c>
      <c r="AO372" s="13">
        <f t="shared" si="188"/>
        <v>10.723669691570688</v>
      </c>
      <c r="AP372" s="13">
        <f t="shared" si="189"/>
        <v>10.235799063338325</v>
      </c>
      <c r="AQ372" s="13">
        <f t="shared" si="190"/>
        <v>17.518345551057962</v>
      </c>
      <c r="AR372" s="13">
        <f t="shared" si="191"/>
        <v>8.6458935529570464</v>
      </c>
      <c r="AS372" s="13">
        <f t="shared" si="192"/>
        <v>13.691755257780645</v>
      </c>
      <c r="AT372" s="13">
        <f t="shared" si="193"/>
        <v>15.273194742783813</v>
      </c>
      <c r="AU372" s="9">
        <v>0</v>
      </c>
      <c r="AV372" s="18">
        <f t="shared" si="210"/>
        <v>1</v>
      </c>
      <c r="AW372" s="18">
        <f t="shared" si="211"/>
        <v>3</v>
      </c>
      <c r="AX372" s="18">
        <f t="shared" si="212"/>
        <v>6</v>
      </c>
      <c r="AY372" s="18">
        <f t="shared" si="213"/>
        <v>7</v>
      </c>
      <c r="AZ372" s="18">
        <f t="shared" si="214"/>
        <v>2</v>
      </c>
      <c r="BA372" s="18">
        <f t="shared" si="215"/>
        <v>8</v>
      </c>
      <c r="BB372" s="18">
        <f t="shared" si="216"/>
        <v>5</v>
      </c>
      <c r="BC372" s="18">
        <f t="shared" si="217"/>
        <v>4</v>
      </c>
      <c r="BD372" s="18">
        <f t="shared" si="218"/>
        <v>9</v>
      </c>
      <c r="BE372" s="8">
        <f t="shared" si="220"/>
        <v>-8.519603254960385E-3</v>
      </c>
    </row>
    <row r="373" spans="1:57" x14ac:dyDescent="0.25">
      <c r="A373" t="str">
        <f t="shared" si="219"/>
        <v/>
      </c>
      <c r="B373" s="1">
        <v>43279</v>
      </c>
      <c r="C373" s="9">
        <f t="shared" si="194"/>
        <v>0.2518653973950421</v>
      </c>
      <c r="D373" s="9">
        <f t="shared" si="195"/>
        <v>0.24937972274871495</v>
      </c>
      <c r="E373" s="9">
        <f t="shared" si="196"/>
        <v>0</v>
      </c>
      <c r="F373" s="9">
        <f t="shared" si="197"/>
        <v>0</v>
      </c>
      <c r="G373" s="9">
        <f t="shared" si="198"/>
        <v>0.25179637095842727</v>
      </c>
      <c r="H373" s="9">
        <f t="shared" si="199"/>
        <v>0</v>
      </c>
      <c r="I373" s="9">
        <f t="shared" si="200"/>
        <v>0</v>
      </c>
      <c r="J373" s="9">
        <f t="shared" si="201"/>
        <v>0.24695850889781568</v>
      </c>
      <c r="K373" s="9">
        <v>0</v>
      </c>
      <c r="L373" s="8">
        <f>+VLOOKUP($B373,NIFTY_50!$B$3:$I$1238,8,0)</f>
        <v>-7.7122027100473556E-3</v>
      </c>
      <c r="M373" s="8">
        <f>+VLOOKUP($B373,NIFTY_BANK!$B$3:$I$41238,8,0)</f>
        <v>-3.7391100312602621E-3</v>
      </c>
      <c r="N373" s="8">
        <f>+VLOOKUP($B373,NIFTY_IT!$B$3:$I$1238,8,0)</f>
        <v>-1.0315014552302659E-2</v>
      </c>
      <c r="O373" s="8">
        <f>+VLOOKUP($B373,NIFTY_PHARMA!$B$3:$I$1238,8,0)</f>
        <v>-1.231182766679817E-2</v>
      </c>
      <c r="P373" s="8">
        <f>+VLOOKUP($B373,NIFTY_FMCG!$B$3:$I$1238,8,0)</f>
        <v>-7.4514893371738777E-3</v>
      </c>
      <c r="Q373" s="8">
        <f>+VLOOKUP($B373,NIFTY_METAL!$B$3:$I$1238,8,0)</f>
        <v>1.4064276737086878E-3</v>
      </c>
      <c r="R373" s="8">
        <f>+VLOOKUP($B373,NIFTY_ENERGY!$B$3:$I$1238,8,0)</f>
        <v>-1.8721007914910048E-2</v>
      </c>
      <c r="S373" s="8">
        <f>+VLOOKUP($B373,NIFTY_AUTO!$B$3:$I$1238,8,0)</f>
        <v>-7.8012728392528041E-3</v>
      </c>
      <c r="T373" s="8">
        <v>0</v>
      </c>
      <c r="U373" s="8">
        <f>+VLOOKUP($B373,NIFTY_50!$B$63:$K$1238,10,0)</f>
        <v>3.3587115666178669E-2</v>
      </c>
      <c r="V373" s="8">
        <f>+VLOOKUP($B373,NIFTY_BANK!$B$63:$K$1238,10,0)</f>
        <v>7.4008796194299675E-2</v>
      </c>
      <c r="W373" s="8">
        <f>+VLOOKUP($B373,NIFTY_IT!$B$63:$K$1238,10,0)</f>
        <v>9.9746739117510641E-2</v>
      </c>
      <c r="X373" s="8">
        <f>+VLOOKUP($B373,NIFTY_PHARMA!$B$63:$K$1238,10,0)</f>
        <v>5.5939617066949721E-2</v>
      </c>
      <c r="Y373" s="8">
        <f>+VLOOKUP($B373,NIFTY_FMCG!$B$63:$K$1238,10,0)</f>
        <v>7.1884390403090581E-2</v>
      </c>
      <c r="Z373" s="8">
        <f>+VLOOKUP($B373,NIFTY_METAL!$B$63:$K$1238,10,0)</f>
        <v>-5.9932300518280246E-2</v>
      </c>
      <c r="AA373" s="8">
        <f>+VLOOKUP($B373,NIFTY_ENERGY!$B$63:$K$1238,10,0)</f>
        <v>-2.9533959200433002E-2</v>
      </c>
      <c r="AB373" s="8">
        <f>+VLOOKUP($B373,NIFTY_AUTO!$B$63:$K$1238,10,0)</f>
        <v>-4.6698555155579746E-2</v>
      </c>
      <c r="AC373" s="8"/>
      <c r="AD373" s="16">
        <f t="shared" si="202"/>
        <v>4.6458587915175764E-2</v>
      </c>
      <c r="AE373" s="8">
        <f t="shared" si="203"/>
        <v>6.4398386087266543E-2</v>
      </c>
      <c r="AF373" s="8">
        <f t="shared" si="204"/>
        <v>9.3597703512746641E-2</v>
      </c>
      <c r="AG373" s="8">
        <f t="shared" si="205"/>
        <v>9.8534566670972185E-2</v>
      </c>
      <c r="AH373" s="8">
        <f t="shared" si="206"/>
        <v>5.7729817458172038E-2</v>
      </c>
      <c r="AI373" s="8">
        <f t="shared" si="207"/>
        <v>0.11549559243122483</v>
      </c>
      <c r="AJ373" s="8">
        <f t="shared" si="208"/>
        <v>7.4913993003014698E-2</v>
      </c>
      <c r="AK373" s="8">
        <f t="shared" si="209"/>
        <v>6.52210396184838E-2</v>
      </c>
      <c r="AL373" s="9">
        <v>0</v>
      </c>
      <c r="AM373" s="17">
        <f t="shared" si="186"/>
        <v>21.524545727171112</v>
      </c>
      <c r="AN373" s="13">
        <f t="shared" si="187"/>
        <v>15.528339462496708</v>
      </c>
      <c r="AO373" s="13">
        <f t="shared" si="188"/>
        <v>10.684022817545033</v>
      </c>
      <c r="AP373" s="13">
        <f t="shared" si="189"/>
        <v>10.148722765881866</v>
      </c>
      <c r="AQ373" s="13">
        <f t="shared" si="190"/>
        <v>17.322071054954346</v>
      </c>
      <c r="AR373" s="13">
        <f t="shared" si="191"/>
        <v>8.6583390668823892</v>
      </c>
      <c r="AS373" s="13">
        <f t="shared" si="192"/>
        <v>13.348641020373295</v>
      </c>
      <c r="AT373" s="13">
        <f t="shared" si="193"/>
        <v>15.332475622124207</v>
      </c>
      <c r="AU373" s="9">
        <v>0</v>
      </c>
      <c r="AV373" s="18">
        <f t="shared" si="210"/>
        <v>1</v>
      </c>
      <c r="AW373" s="18">
        <f t="shared" si="211"/>
        <v>3</v>
      </c>
      <c r="AX373" s="18">
        <f t="shared" si="212"/>
        <v>6</v>
      </c>
      <c r="AY373" s="18">
        <f t="shared" si="213"/>
        <v>7</v>
      </c>
      <c r="AZ373" s="18">
        <f t="shared" si="214"/>
        <v>2</v>
      </c>
      <c r="BA373" s="18">
        <f t="shared" si="215"/>
        <v>8</v>
      </c>
      <c r="BB373" s="18">
        <f t="shared" si="216"/>
        <v>5</v>
      </c>
      <c r="BC373" s="18">
        <f t="shared" si="217"/>
        <v>4</v>
      </c>
      <c r="BD373" s="18">
        <f t="shared" si="218"/>
        <v>9</v>
      </c>
      <c r="BE373" s="8">
        <f t="shared" si="220"/>
        <v>-6.6806432003240039E-3</v>
      </c>
    </row>
    <row r="374" spans="1:57" x14ac:dyDescent="0.25">
      <c r="A374" t="str">
        <f t="shared" si="219"/>
        <v>Y</v>
      </c>
      <c r="B374" s="1">
        <v>43280</v>
      </c>
      <c r="C374" s="9">
        <f t="shared" si="194"/>
        <v>0.25</v>
      </c>
      <c r="D374" s="9">
        <f t="shared" si="195"/>
        <v>0.25</v>
      </c>
      <c r="E374" s="9">
        <f t="shared" si="196"/>
        <v>0</v>
      </c>
      <c r="F374" s="9">
        <f t="shared" si="197"/>
        <v>0</v>
      </c>
      <c r="G374" s="9">
        <f t="shared" si="198"/>
        <v>0.25</v>
      </c>
      <c r="H374" s="9">
        <f t="shared" si="199"/>
        <v>0</v>
      </c>
      <c r="I374" s="9">
        <f t="shared" si="200"/>
        <v>0</v>
      </c>
      <c r="J374" s="9">
        <f t="shared" si="201"/>
        <v>0.25</v>
      </c>
      <c r="K374" s="9">
        <v>0</v>
      </c>
      <c r="L374" s="8">
        <f>+VLOOKUP($B374,NIFTY_50!$B$3:$I$1238,8,0)</f>
        <v>1.1823478860337522E-2</v>
      </c>
      <c r="M374" s="8">
        <f>+VLOOKUP($B374,NIFTY_BANK!$B$3:$I$41238,8,0)</f>
        <v>1.5042963615781169E-3</v>
      </c>
      <c r="N374" s="8">
        <f>+VLOOKUP($B374,NIFTY_IT!$B$3:$I$1238,8,0)</f>
        <v>8.3394599893324983E-3</v>
      </c>
      <c r="O374" s="8">
        <f>+VLOOKUP($B374,NIFTY_PHARMA!$B$3:$I$1238,8,0)</f>
        <v>2.5957986316043069E-3</v>
      </c>
      <c r="P374" s="8">
        <f>+VLOOKUP($B374,NIFTY_FMCG!$B$3:$I$1238,8,0)</f>
        <v>1.9504185753479675E-2</v>
      </c>
      <c r="Q374" s="8">
        <f>+VLOOKUP($B374,NIFTY_METAL!$B$3:$I$1238,8,0)</f>
        <v>2.7984461377558612E-2</v>
      </c>
      <c r="R374" s="8">
        <f>+VLOOKUP($B374,NIFTY_ENERGY!$B$3:$I$1238,8,0)</f>
        <v>2.5709373305177641E-2</v>
      </c>
      <c r="S374" s="8">
        <f>+VLOOKUP($B374,NIFTY_AUTO!$B$3:$I$1238,8,0)</f>
        <v>7.1901510448995065E-3</v>
      </c>
      <c r="T374" s="8">
        <v>0</v>
      </c>
      <c r="U374" s="8">
        <f>+VLOOKUP($B374,NIFTY_50!$B$63:$K$1238,10,0)</f>
        <v>5.7847241420164952E-2</v>
      </c>
      <c r="V374" s="8">
        <f>+VLOOKUP($B374,NIFTY_BANK!$B$63:$K$1238,10,0)</f>
        <v>9.2612776891357163E-2</v>
      </c>
      <c r="W374" s="8">
        <f>+VLOOKUP($B374,NIFTY_IT!$B$63:$K$1238,10,0)</f>
        <v>0.11997982523206985</v>
      </c>
      <c r="X374" s="8">
        <f>+VLOOKUP($B374,NIFTY_PHARMA!$B$63:$K$1238,10,0)</f>
        <v>7.0441682711943399E-2</v>
      </c>
      <c r="Y374" s="8">
        <f>+VLOOKUP($B374,NIFTY_FMCG!$B$63:$K$1238,10,0)</f>
        <v>9.520361614561379E-2</v>
      </c>
      <c r="Z374" s="8">
        <f>+VLOOKUP($B374,NIFTY_METAL!$B$63:$K$1238,10,0)</f>
        <v>-8.1306673201954061E-3</v>
      </c>
      <c r="AA374" s="8">
        <f>+VLOOKUP($B374,NIFTY_ENERGY!$B$63:$K$1238,10,0)</f>
        <v>5.9792818825872285E-3</v>
      </c>
      <c r="AB374" s="8">
        <f>+VLOOKUP($B374,NIFTY_AUTO!$B$63:$K$1238,10,0)</f>
        <v>-4.3668317251664313E-2</v>
      </c>
      <c r="AC374" s="8"/>
      <c r="AD374" s="16">
        <f t="shared" si="202"/>
        <v>4.6193907971557195E-2</v>
      </c>
      <c r="AE374" s="8">
        <f t="shared" si="203"/>
        <v>6.2143370498300113E-2</v>
      </c>
      <c r="AF374" s="8">
        <f t="shared" si="204"/>
        <v>9.3100278123898983E-2</v>
      </c>
      <c r="AG374" s="8">
        <f t="shared" si="205"/>
        <v>9.780417610059676E-2</v>
      </c>
      <c r="AH374" s="8">
        <f t="shared" si="206"/>
        <v>6.0414810538441763E-2</v>
      </c>
      <c r="AI374" s="8">
        <f t="shared" si="207"/>
        <v>0.11623888231678561</v>
      </c>
      <c r="AJ374" s="8">
        <f t="shared" si="208"/>
        <v>7.8572056329584167E-2</v>
      </c>
      <c r="AK374" s="8">
        <f t="shared" si="209"/>
        <v>6.5529419231983702E-2</v>
      </c>
      <c r="AL374" s="9">
        <v>0</v>
      </c>
      <c r="AM374" s="17">
        <f t="shared" si="186"/>
        <v>21.647876179164715</v>
      </c>
      <c r="AN374" s="13">
        <f t="shared" si="187"/>
        <v>16.091821090189409</v>
      </c>
      <c r="AO374" s="13">
        <f t="shared" si="188"/>
        <v>10.741106473056803</v>
      </c>
      <c r="AP374" s="13">
        <f t="shared" si="189"/>
        <v>10.224512284336889</v>
      </c>
      <c r="AQ374" s="13">
        <f t="shared" si="190"/>
        <v>16.552232657647796</v>
      </c>
      <c r="AR374" s="13">
        <f t="shared" si="191"/>
        <v>8.6029732914559673</v>
      </c>
      <c r="AS374" s="13">
        <f t="shared" si="192"/>
        <v>12.727171041640121</v>
      </c>
      <c r="AT374" s="13">
        <f t="shared" si="193"/>
        <v>15.260321420824045</v>
      </c>
      <c r="AU374" s="9">
        <v>0</v>
      </c>
      <c r="AV374" s="18">
        <f t="shared" si="210"/>
        <v>1</v>
      </c>
      <c r="AW374" s="18">
        <f t="shared" si="211"/>
        <v>3</v>
      </c>
      <c r="AX374" s="18">
        <f t="shared" si="212"/>
        <v>6</v>
      </c>
      <c r="AY374" s="18">
        <f t="shared" si="213"/>
        <v>7</v>
      </c>
      <c r="AZ374" s="18">
        <f t="shared" si="214"/>
        <v>2</v>
      </c>
      <c r="BA374" s="18">
        <f t="shared" si="215"/>
        <v>8</v>
      </c>
      <c r="BB374" s="18">
        <f t="shared" si="216"/>
        <v>5</v>
      </c>
      <c r="BC374" s="18">
        <f t="shared" si="217"/>
        <v>4</v>
      </c>
      <c r="BD374" s="18">
        <f t="shared" si="218"/>
        <v>9</v>
      </c>
      <c r="BE374" s="8">
        <f t="shared" si="220"/>
        <v>1.0039818383356736E-2</v>
      </c>
    </row>
    <row r="375" spans="1:57" x14ac:dyDescent="0.25">
      <c r="A375" t="str">
        <f t="shared" si="219"/>
        <v/>
      </c>
      <c r="B375" s="1">
        <v>43283</v>
      </c>
      <c r="C375" s="9">
        <f t="shared" si="194"/>
        <v>0.24997896159106528</v>
      </c>
      <c r="D375" s="9">
        <f t="shared" si="195"/>
        <v>0.25003956290950569</v>
      </c>
      <c r="E375" s="9">
        <f t="shared" si="196"/>
        <v>0</v>
      </c>
      <c r="F375" s="9">
        <f t="shared" si="197"/>
        <v>0</v>
      </c>
      <c r="G375" s="9">
        <f t="shared" si="198"/>
        <v>0.24968048952576519</v>
      </c>
      <c r="H375" s="9">
        <f t="shared" si="199"/>
        <v>0</v>
      </c>
      <c r="I375" s="9">
        <f t="shared" si="200"/>
        <v>0</v>
      </c>
      <c r="J375" s="9">
        <f t="shared" si="201"/>
        <v>0.25030098597366396</v>
      </c>
      <c r="K375" s="9">
        <v>0</v>
      </c>
      <c r="L375" s="8">
        <f>+VLOOKUP($B375,NIFTY_50!$B$3:$I$1238,8,0)</f>
        <v>-5.3199929066761742E-3</v>
      </c>
      <c r="M375" s="8">
        <f>+VLOOKUP($B375,NIFTY_BANK!$B$3:$I$41238,8,0)</f>
        <v>-5.0788569347828272E-3</v>
      </c>
      <c r="N375" s="8">
        <f>+VLOOKUP($B375,NIFTY_IT!$B$3:$I$1238,8,0)</f>
        <v>5.9187247578540436E-3</v>
      </c>
      <c r="O375" s="8">
        <f>+VLOOKUP($B375,NIFTY_PHARMA!$B$3:$I$1238,8,0)</f>
        <v>-4.278791908995272E-3</v>
      </c>
      <c r="P375" s="8">
        <f>+VLOOKUP($B375,NIFTY_FMCG!$B$3:$I$1238,8,0)</f>
        <v>-6.5076296347441609E-3</v>
      </c>
      <c r="Q375" s="8">
        <f>+VLOOKUP($B375,NIFTY_METAL!$B$3:$I$1238,8,0)</f>
        <v>-1.7891661700798034E-2</v>
      </c>
      <c r="R375" s="8">
        <f>+VLOOKUP($B375,NIFTY_ENERGY!$B$3:$I$1238,8,0)</f>
        <v>-1.360498299377122E-2</v>
      </c>
      <c r="S375" s="8">
        <f>+VLOOKUP($B375,NIFTY_AUTO!$B$3:$I$1238,8,0)</f>
        <v>-4.0386402155186962E-3</v>
      </c>
      <c r="T375" s="8">
        <v>0</v>
      </c>
      <c r="U375" s="8">
        <f>+VLOOKUP($B375,NIFTY_50!$B$63:$K$1238,10,0)</f>
        <v>3.21690241788255E-2</v>
      </c>
      <c r="V375" s="8">
        <f>+VLOOKUP($B375,NIFTY_BANK!$B$63:$K$1238,10,0)</f>
        <v>5.9390625126212626E-2</v>
      </c>
      <c r="W375" s="8">
        <f>+VLOOKUP($B375,NIFTY_IT!$B$63:$K$1238,10,0)</f>
        <v>0.10957969808910661</v>
      </c>
      <c r="X375" s="8">
        <f>+VLOOKUP($B375,NIFTY_PHARMA!$B$63:$K$1238,10,0)</f>
        <v>5.5252927278713893E-2</v>
      </c>
      <c r="Y375" s="8">
        <f>+VLOOKUP($B375,NIFTY_FMCG!$B$63:$K$1238,10,0)</f>
        <v>7.8760479748992029E-2</v>
      </c>
      <c r="Z375" s="8">
        <f>+VLOOKUP($B375,NIFTY_METAL!$B$63:$K$1238,10,0)</f>
        <v>-6.3905243471635398E-2</v>
      </c>
      <c r="AA375" s="8">
        <f>+VLOOKUP($B375,NIFTY_ENERGY!$B$63:$K$1238,10,0)</f>
        <v>-2.0842174227026611E-2</v>
      </c>
      <c r="AB375" s="8">
        <f>+VLOOKUP($B375,NIFTY_AUTO!$B$63:$K$1238,10,0)</f>
        <v>-6.4907966316417043E-2</v>
      </c>
      <c r="AC375" s="8"/>
      <c r="AD375" s="16">
        <f t="shared" si="202"/>
        <v>4.267667410772398E-2</v>
      </c>
      <c r="AE375" s="8">
        <f t="shared" si="203"/>
        <v>5.7288197391417189E-2</v>
      </c>
      <c r="AF375" s="8">
        <f t="shared" si="204"/>
        <v>9.2206760590170384E-2</v>
      </c>
      <c r="AG375" s="8">
        <f t="shared" si="205"/>
        <v>9.7538568647569004E-2</v>
      </c>
      <c r="AH375" s="8">
        <f t="shared" si="206"/>
        <v>6.0498355546139512E-2</v>
      </c>
      <c r="AI375" s="8">
        <f t="shared" si="207"/>
        <v>0.1101015600862839</v>
      </c>
      <c r="AJ375" s="8">
        <f t="shared" si="208"/>
        <v>7.8579638755043743E-2</v>
      </c>
      <c r="AK375" s="8">
        <f t="shared" si="209"/>
        <v>6.2651120144551348E-2</v>
      </c>
      <c r="AL375" s="9">
        <v>0</v>
      </c>
      <c r="AM375" s="17">
        <f t="shared" si="186"/>
        <v>23.432004037517338</v>
      </c>
      <c r="AN375" s="13">
        <f t="shared" si="187"/>
        <v>17.455602471964287</v>
      </c>
      <c r="AO375" s="13">
        <f t="shared" si="188"/>
        <v>10.845191758169239</v>
      </c>
      <c r="AP375" s="13">
        <f t="shared" si="189"/>
        <v>10.252354672265568</v>
      </c>
      <c r="AQ375" s="13">
        <f t="shared" si="190"/>
        <v>16.529374905692151</v>
      </c>
      <c r="AR375" s="13">
        <f t="shared" si="191"/>
        <v>9.0825234376000168</v>
      </c>
      <c r="AS375" s="13">
        <f t="shared" si="192"/>
        <v>12.725942952185099</v>
      </c>
      <c r="AT375" s="13">
        <f t="shared" si="193"/>
        <v>15.96140655893713</v>
      </c>
      <c r="AU375" s="9">
        <v>0</v>
      </c>
      <c r="AV375" s="18">
        <f t="shared" si="210"/>
        <v>1</v>
      </c>
      <c r="AW375" s="18">
        <f t="shared" si="211"/>
        <v>2</v>
      </c>
      <c r="AX375" s="18">
        <f t="shared" si="212"/>
        <v>6</v>
      </c>
      <c r="AY375" s="18">
        <f t="shared" si="213"/>
        <v>7</v>
      </c>
      <c r="AZ375" s="18">
        <f t="shared" si="214"/>
        <v>3</v>
      </c>
      <c r="BA375" s="18">
        <f t="shared" si="215"/>
        <v>8</v>
      </c>
      <c r="BB375" s="18">
        <f t="shared" si="216"/>
        <v>5</v>
      </c>
      <c r="BC375" s="18">
        <f t="shared" si="217"/>
        <v>4</v>
      </c>
      <c r="BD375" s="18">
        <f t="shared" si="218"/>
        <v>9</v>
      </c>
      <c r="BE375" s="8">
        <f t="shared" si="220"/>
        <v>-5.2362799229304646E-3</v>
      </c>
    </row>
    <row r="376" spans="1:57" x14ac:dyDescent="0.25">
      <c r="A376" t="str">
        <f t="shared" si="219"/>
        <v/>
      </c>
      <c r="B376" s="1">
        <v>43284</v>
      </c>
      <c r="C376" s="9">
        <f t="shared" si="194"/>
        <v>0.24970197918313389</v>
      </c>
      <c r="D376" s="9">
        <f t="shared" si="195"/>
        <v>0.24851964170801746</v>
      </c>
      <c r="E376" s="9">
        <f t="shared" si="196"/>
        <v>0</v>
      </c>
      <c r="F376" s="9">
        <f t="shared" si="197"/>
        <v>0</v>
      </c>
      <c r="G376" s="9">
        <f t="shared" si="198"/>
        <v>0.25010363397018165</v>
      </c>
      <c r="H376" s="9">
        <f t="shared" si="199"/>
        <v>0</v>
      </c>
      <c r="I376" s="9">
        <f t="shared" si="200"/>
        <v>0</v>
      </c>
      <c r="J376" s="9">
        <f t="shared" si="201"/>
        <v>0.25167474513866683</v>
      </c>
      <c r="K376" s="9">
        <v>0</v>
      </c>
      <c r="L376" s="8">
        <f>+VLOOKUP($B376,NIFTY_50!$B$3:$I$1238,8,0)</f>
        <v>3.9972600940201275E-3</v>
      </c>
      <c r="M376" s="8">
        <f>+VLOOKUP($B376,NIFTY_BANK!$B$3:$I$41238,8,0)</f>
        <v>-9.9884484737122747E-4</v>
      </c>
      <c r="N376" s="8">
        <f>+VLOOKUP($B376,NIFTY_IT!$B$3:$I$1238,8,0)</f>
        <v>1.0677003759158143E-2</v>
      </c>
      <c r="O376" s="8">
        <f>+VLOOKUP($B376,NIFTY_PHARMA!$B$3:$I$1238,8,0)</f>
        <v>2.0954904257765028E-2</v>
      </c>
      <c r="P376" s="8">
        <f>+VLOOKUP($B376,NIFTY_FMCG!$B$3:$I$1238,8,0)</f>
        <v>6.8143514898793001E-3</v>
      </c>
      <c r="Q376" s="8">
        <f>+VLOOKUP($B376,NIFTY_METAL!$B$3:$I$1238,8,0)</f>
        <v>-3.6849582667376479E-3</v>
      </c>
      <c r="R376" s="8">
        <f>+VLOOKUP($B376,NIFTY_ENERGY!$B$3:$I$1238,8,0)</f>
        <v>9.6145438509116499E-3</v>
      </c>
      <c r="S376" s="8">
        <f>+VLOOKUP($B376,NIFTY_AUTO!$B$3:$I$1238,8,0)</f>
        <v>1.0627425978360749E-2</v>
      </c>
      <c r="T376" s="8">
        <v>0</v>
      </c>
      <c r="U376" s="8">
        <f>+VLOOKUP($B376,NIFTY_50!$B$63:$K$1238,10,0)</f>
        <v>3.5647915134151553E-2</v>
      </c>
      <c r="V376" s="8">
        <f>+VLOOKUP($B376,NIFTY_BANK!$B$63:$K$1238,10,0)</f>
        <v>5.3509507239734244E-2</v>
      </c>
      <c r="W376" s="8">
        <f>+VLOOKUP($B376,NIFTY_IT!$B$63:$K$1238,10,0)</f>
        <v>0.12847377879690702</v>
      </c>
      <c r="X376" s="8">
        <f>+VLOOKUP($B376,NIFTY_PHARMA!$B$63:$K$1238,10,0)</f>
        <v>6.3027221740914685E-2</v>
      </c>
      <c r="Y376" s="8">
        <f>+VLOOKUP($B376,NIFTY_FMCG!$B$63:$K$1238,10,0)</f>
        <v>8.0866525652934396E-2</v>
      </c>
      <c r="Z376" s="8">
        <f>+VLOOKUP($B376,NIFTY_METAL!$B$63:$K$1238,10,0)</f>
        <v>-6.600907312606652E-2</v>
      </c>
      <c r="AA376" s="8">
        <f>+VLOOKUP($B376,NIFTY_ENERGY!$B$63:$K$1238,10,0)</f>
        <v>-1.5729470890842534E-2</v>
      </c>
      <c r="AB376" s="8">
        <f>+VLOOKUP($B376,NIFTY_AUTO!$B$63:$K$1238,10,0)</f>
        <v>-5.8108291135645751E-2</v>
      </c>
      <c r="AC376" s="8"/>
      <c r="AD376" s="16">
        <f t="shared" si="202"/>
        <v>4.2814685157766798E-2</v>
      </c>
      <c r="AE376" s="8">
        <f t="shared" si="203"/>
        <v>5.7204203632962254E-2</v>
      </c>
      <c r="AF376" s="8">
        <f t="shared" si="204"/>
        <v>9.2262214065630885E-2</v>
      </c>
      <c r="AG376" s="8">
        <f t="shared" si="205"/>
        <v>9.8770961097975354E-2</v>
      </c>
      <c r="AH376" s="8">
        <f t="shared" si="206"/>
        <v>6.0645519903648554E-2</v>
      </c>
      <c r="AI376" s="8">
        <f t="shared" si="207"/>
        <v>0.11013338700926369</v>
      </c>
      <c r="AJ376" s="8">
        <f t="shared" si="208"/>
        <v>7.9061615992221695E-2</v>
      </c>
      <c r="AK376" s="8">
        <f t="shared" si="209"/>
        <v>6.3574428777021921E-2</v>
      </c>
      <c r="AL376" s="9">
        <v>0</v>
      </c>
      <c r="AM376" s="17">
        <f t="shared" si="186"/>
        <v>23.356472115002695</v>
      </c>
      <c r="AN376" s="13">
        <f t="shared" si="187"/>
        <v>17.481232785203552</v>
      </c>
      <c r="AO376" s="13">
        <f t="shared" si="188"/>
        <v>10.838673341273257</v>
      </c>
      <c r="AP376" s="13">
        <f t="shared" si="189"/>
        <v>10.124433222919185</v>
      </c>
      <c r="AQ376" s="13">
        <f t="shared" si="190"/>
        <v>16.48926419608183</v>
      </c>
      <c r="AR376" s="13">
        <f t="shared" si="191"/>
        <v>9.0798987224090979</v>
      </c>
      <c r="AS376" s="13">
        <f t="shared" si="192"/>
        <v>12.648362766811935</v>
      </c>
      <c r="AT376" s="13">
        <f t="shared" si="193"/>
        <v>15.729594732299597</v>
      </c>
      <c r="AU376" s="9">
        <v>0</v>
      </c>
      <c r="AV376" s="18">
        <f t="shared" si="210"/>
        <v>1</v>
      </c>
      <c r="AW376" s="18">
        <f t="shared" si="211"/>
        <v>2</v>
      </c>
      <c r="AX376" s="18">
        <f t="shared" si="212"/>
        <v>6</v>
      </c>
      <c r="AY376" s="18">
        <f t="shared" si="213"/>
        <v>7</v>
      </c>
      <c r="AZ376" s="18">
        <f t="shared" si="214"/>
        <v>3</v>
      </c>
      <c r="BA376" s="18">
        <f t="shared" si="215"/>
        <v>8</v>
      </c>
      <c r="BB376" s="18">
        <f t="shared" si="216"/>
        <v>5</v>
      </c>
      <c r="BC376" s="18">
        <f t="shared" si="217"/>
        <v>4</v>
      </c>
      <c r="BD376" s="18">
        <f t="shared" si="218"/>
        <v>9</v>
      </c>
      <c r="BE376" s="8">
        <f t="shared" si="220"/>
        <v>5.1109460150009587E-3</v>
      </c>
    </row>
    <row r="377" spans="1:57" x14ac:dyDescent="0.25">
      <c r="A377" t="str">
        <f t="shared" si="219"/>
        <v/>
      </c>
      <c r="B377" s="1">
        <v>43285</v>
      </c>
      <c r="C377" s="9">
        <f t="shared" si="194"/>
        <v>0.24930827918313045</v>
      </c>
      <c r="D377" s="9">
        <f t="shared" si="195"/>
        <v>0.24867738927221397</v>
      </c>
      <c r="E377" s="9">
        <f t="shared" si="196"/>
        <v>0</v>
      </c>
      <c r="F377" s="9">
        <f t="shared" si="197"/>
        <v>0</v>
      </c>
      <c r="G377" s="9">
        <f t="shared" si="198"/>
        <v>0.2492383747303249</v>
      </c>
      <c r="H377" s="9">
        <f t="shared" si="199"/>
        <v>0</v>
      </c>
      <c r="I377" s="9">
        <f t="shared" si="200"/>
        <v>0</v>
      </c>
      <c r="J377" s="9">
        <f t="shared" si="201"/>
        <v>0.25277595681433068</v>
      </c>
      <c r="K377" s="9">
        <v>0</v>
      </c>
      <c r="L377" s="8">
        <f>+VLOOKUP($B377,NIFTY_50!$B$3:$I$1238,8,0)</f>
        <v>6.5421172160486929E-3</v>
      </c>
      <c r="M377" s="8">
        <f>+VLOOKUP($B377,NIFTY_BANK!$B$3:$I$41238,8,0)</f>
        <v>8.7715281196454331E-3</v>
      </c>
      <c r="N377" s="8">
        <f>+VLOOKUP($B377,NIFTY_IT!$B$3:$I$1238,8,0)</f>
        <v>-6.7779687890004992E-3</v>
      </c>
      <c r="O377" s="8">
        <f>+VLOOKUP($B377,NIFTY_PHARMA!$B$3:$I$1238,8,0)</f>
        <v>7.9675720888336965E-3</v>
      </c>
      <c r="P377" s="8">
        <f>+VLOOKUP($B377,NIFTY_FMCG!$B$3:$I$1238,8,0)</f>
        <v>4.6438827070161004E-3</v>
      </c>
      <c r="Q377" s="8">
        <f>+VLOOKUP($B377,NIFTY_METAL!$B$3:$I$1238,8,0)</f>
        <v>1.2774237630526208E-3</v>
      </c>
      <c r="R377" s="8">
        <f>+VLOOKUP($B377,NIFTY_ENERGY!$B$3:$I$1238,8,0)</f>
        <v>7.1017592481021907E-3</v>
      </c>
      <c r="S377" s="8">
        <f>+VLOOKUP($B377,NIFTY_AUTO!$B$3:$I$1238,8,0)</f>
        <v>1.2542732961318803E-2</v>
      </c>
      <c r="T377" s="8">
        <v>0</v>
      </c>
      <c r="U377" s="8">
        <f>+VLOOKUP($B377,NIFTY_50!$B$63:$K$1238,10,0)</f>
        <v>3.7627597103864874E-2</v>
      </c>
      <c r="V377" s="8">
        <f>+VLOOKUP($B377,NIFTY_BANK!$B$63:$K$1238,10,0)</f>
        <v>5.3405622105858974E-2</v>
      </c>
      <c r="W377" s="8">
        <f>+VLOOKUP($B377,NIFTY_IT!$B$63:$K$1238,10,0)</f>
        <v>0.12727831332992845</v>
      </c>
      <c r="X377" s="8">
        <f>+VLOOKUP($B377,NIFTY_PHARMA!$B$63:$K$1238,10,0)</f>
        <v>7.5696800810240328E-2</v>
      </c>
      <c r="Y377" s="8">
        <f>+VLOOKUP($B377,NIFTY_FMCG!$B$63:$K$1238,10,0)</f>
        <v>7.3796375199666642E-2</v>
      </c>
      <c r="Z377" s="8">
        <f>+VLOOKUP($B377,NIFTY_METAL!$B$63:$K$1238,10,0)</f>
        <v>-6.6240944162014759E-2</v>
      </c>
      <c r="AA377" s="8">
        <f>+VLOOKUP($B377,NIFTY_ENERGY!$B$63:$K$1238,10,0)</f>
        <v>-1.7536770648133082E-2</v>
      </c>
      <c r="AB377" s="8">
        <f>+VLOOKUP($B377,NIFTY_AUTO!$B$63:$K$1238,10,0)</f>
        <v>-4.8638683443235298E-2</v>
      </c>
      <c r="AC377" s="8"/>
      <c r="AD377" s="16">
        <f t="shared" si="202"/>
        <v>4.3037331175685999E-2</v>
      </c>
      <c r="AE377" s="8">
        <f t="shared" si="203"/>
        <v>5.7190392836433873E-2</v>
      </c>
      <c r="AF377" s="8">
        <f t="shared" si="204"/>
        <v>9.235686703609125E-2</v>
      </c>
      <c r="AG377" s="8">
        <f t="shared" si="205"/>
        <v>9.8873357753701346E-2</v>
      </c>
      <c r="AH377" s="8">
        <f t="shared" si="206"/>
        <v>5.9910283548804386E-2</v>
      </c>
      <c r="AI377" s="8">
        <f t="shared" si="207"/>
        <v>0.11012791587937036</v>
      </c>
      <c r="AJ377" s="8">
        <f t="shared" si="208"/>
        <v>7.8868016431791005E-2</v>
      </c>
      <c r="AK377" s="8">
        <f t="shared" si="209"/>
        <v>6.4887557030442355E-2</v>
      </c>
      <c r="AL377" s="9">
        <v>0</v>
      </c>
      <c r="AM377" s="17">
        <f t="shared" si="186"/>
        <v>23.235641539151747</v>
      </c>
      <c r="AN377" s="13">
        <f t="shared" si="187"/>
        <v>17.485454294045994</v>
      </c>
      <c r="AO377" s="13">
        <f t="shared" si="188"/>
        <v>10.827565205402861</v>
      </c>
      <c r="AP377" s="13">
        <f t="shared" si="189"/>
        <v>10.113948011061298</v>
      </c>
      <c r="AQ377" s="13">
        <f t="shared" si="190"/>
        <v>16.691625222994904</v>
      </c>
      <c r="AR377" s="13">
        <f t="shared" si="191"/>
        <v>9.0803498097190847</v>
      </c>
      <c r="AS377" s="13">
        <f t="shared" si="192"/>
        <v>12.679411062212397</v>
      </c>
      <c r="AT377" s="13">
        <f t="shared" si="193"/>
        <v>15.411275223859091</v>
      </c>
      <c r="AU377" s="9">
        <v>0</v>
      </c>
      <c r="AV377" s="18">
        <f t="shared" si="210"/>
        <v>1</v>
      </c>
      <c r="AW377" s="18">
        <f t="shared" si="211"/>
        <v>2</v>
      </c>
      <c r="AX377" s="18">
        <f t="shared" si="212"/>
        <v>6</v>
      </c>
      <c r="AY377" s="18">
        <f t="shared" si="213"/>
        <v>7</v>
      </c>
      <c r="AZ377" s="18">
        <f t="shared" si="214"/>
        <v>3</v>
      </c>
      <c r="BA377" s="18">
        <f t="shared" si="215"/>
        <v>8</v>
      </c>
      <c r="BB377" s="18">
        <f t="shared" si="216"/>
        <v>5</v>
      </c>
      <c r="BC377" s="18">
        <f t="shared" si="217"/>
        <v>4</v>
      </c>
      <c r="BD377" s="18">
        <f t="shared" si="218"/>
        <v>9</v>
      </c>
      <c r="BE377" s="8">
        <f t="shared" si="220"/>
        <v>8.1316177045597723E-3</v>
      </c>
    </row>
    <row r="378" spans="1:57" x14ac:dyDescent="0.25">
      <c r="A378" t="str">
        <f t="shared" si="219"/>
        <v/>
      </c>
      <c r="B378" s="1">
        <v>43286</v>
      </c>
      <c r="C378" s="9">
        <f t="shared" si="194"/>
        <v>0.24811196978686473</v>
      </c>
      <c r="D378" s="9">
        <f t="shared" si="195"/>
        <v>0.24859850340124409</v>
      </c>
      <c r="E378" s="9">
        <f t="shared" si="196"/>
        <v>0</v>
      </c>
      <c r="F378" s="9">
        <f t="shared" si="197"/>
        <v>0</v>
      </c>
      <c r="G378" s="9">
        <f t="shared" si="198"/>
        <v>0.25099172454729379</v>
      </c>
      <c r="H378" s="9">
        <f t="shared" si="199"/>
        <v>0</v>
      </c>
      <c r="I378" s="9">
        <f t="shared" si="200"/>
        <v>0</v>
      </c>
      <c r="J378" s="9">
        <f t="shared" si="201"/>
        <v>0.25229780226459747</v>
      </c>
      <c r="K378" s="9">
        <v>0</v>
      </c>
      <c r="L378" s="8">
        <f>+VLOOKUP($B378,NIFTY_50!$B$3:$I$1238,8,0)</f>
        <v>-1.8709551620720299E-3</v>
      </c>
      <c r="M378" s="8">
        <f>+VLOOKUP($B378,NIFTY_BANK!$B$3:$I$41238,8,0)</f>
        <v>2.6235201322541979E-3</v>
      </c>
      <c r="N378" s="8">
        <f>+VLOOKUP($B378,NIFTY_IT!$B$3:$I$1238,8,0)</f>
        <v>-1.101857193927569E-2</v>
      </c>
      <c r="O378" s="8">
        <f>+VLOOKUP($B378,NIFTY_PHARMA!$B$3:$I$1238,8,0)</f>
        <v>-1.3335673858462127E-2</v>
      </c>
      <c r="P378" s="8">
        <f>+VLOOKUP($B378,NIFTY_FMCG!$B$3:$I$1238,8,0)</f>
        <v>9.9972000968799879E-3</v>
      </c>
      <c r="Q378" s="8">
        <f>+VLOOKUP($B378,NIFTY_METAL!$B$3:$I$1238,8,0)</f>
        <v>-1.4241421768606544E-2</v>
      </c>
      <c r="R378" s="8">
        <f>+VLOOKUP($B378,NIFTY_ENERGY!$B$3:$I$1238,8,0)</f>
        <v>-1.507922857762467E-2</v>
      </c>
      <c r="S378" s="8">
        <f>+VLOOKUP($B378,NIFTY_AUTO!$B$3:$I$1238,8,0)</f>
        <v>1.0444964656621814E-3</v>
      </c>
      <c r="T378" s="8">
        <v>0</v>
      </c>
      <c r="U378" s="8">
        <f>+VLOOKUP($B378,NIFTY_50!$B$63:$K$1238,10,0)</f>
        <v>3.3406234228171794E-2</v>
      </c>
      <c r="V378" s="8">
        <f>+VLOOKUP($B378,NIFTY_BANK!$B$63:$K$1238,10,0)</f>
        <v>5.0600948197948137E-2</v>
      </c>
      <c r="W378" s="8">
        <f>+VLOOKUP($B378,NIFTY_IT!$B$63:$K$1238,10,0)</f>
        <v>0.110837232786416</v>
      </c>
      <c r="X378" s="8">
        <f>+VLOOKUP($B378,NIFTY_PHARMA!$B$63:$K$1238,10,0)</f>
        <v>6.3609569246295683E-2</v>
      </c>
      <c r="Y378" s="8">
        <f>+VLOOKUP($B378,NIFTY_FMCG!$B$63:$K$1238,10,0)</f>
        <v>8.4701394102964844E-2</v>
      </c>
      <c r="Z378" s="8">
        <f>+VLOOKUP($B378,NIFTY_METAL!$B$63:$K$1238,10,0)</f>
        <v>-9.7981457097479185E-2</v>
      </c>
      <c r="AA378" s="8">
        <f>+VLOOKUP($B378,NIFTY_ENERGY!$B$63:$K$1238,10,0)</f>
        <v>-3.4150365739637478E-2</v>
      </c>
      <c r="AB378" s="8">
        <f>+VLOOKUP($B378,NIFTY_AUTO!$B$63:$K$1238,10,0)</f>
        <v>-4.047722552287103E-2</v>
      </c>
      <c r="AC378" s="8"/>
      <c r="AD378" s="16">
        <f t="shared" si="202"/>
        <v>4.3077082149582391E-2</v>
      </c>
      <c r="AE378" s="8">
        <f t="shared" si="203"/>
        <v>5.7044949022922502E-2</v>
      </c>
      <c r="AF378" s="8">
        <f t="shared" si="204"/>
        <v>9.3242551926741718E-2</v>
      </c>
      <c r="AG378" s="8">
        <f t="shared" si="205"/>
        <v>9.9879135826689627E-2</v>
      </c>
      <c r="AH378" s="8">
        <f t="shared" si="206"/>
        <v>6.0524031262079434E-2</v>
      </c>
      <c r="AI378" s="8">
        <f t="shared" si="207"/>
        <v>0.10872996937191808</v>
      </c>
      <c r="AJ378" s="8">
        <f t="shared" si="208"/>
        <v>8.0195241900822084E-2</v>
      </c>
      <c r="AK378" s="8">
        <f t="shared" si="209"/>
        <v>6.4558660106812757E-2</v>
      </c>
      <c r="AL378" s="9">
        <v>0</v>
      </c>
      <c r="AM378" s="17">
        <f t="shared" si="186"/>
        <v>23.214199989859214</v>
      </c>
      <c r="AN378" s="13">
        <f t="shared" si="187"/>
        <v>17.530035824875007</v>
      </c>
      <c r="AO378" s="13">
        <f t="shared" si="188"/>
        <v>10.724717195488969</v>
      </c>
      <c r="AP378" s="13">
        <f t="shared" si="189"/>
        <v>10.012101043156811</v>
      </c>
      <c r="AQ378" s="13">
        <f t="shared" si="190"/>
        <v>16.522362756535969</v>
      </c>
      <c r="AR378" s="13">
        <f t="shared" si="191"/>
        <v>9.1970963091089786</v>
      </c>
      <c r="AS378" s="13">
        <f t="shared" si="192"/>
        <v>12.469567723689963</v>
      </c>
      <c r="AT378" s="13">
        <f t="shared" si="193"/>
        <v>15.489788640989342</v>
      </c>
      <c r="AU378" s="9">
        <v>0</v>
      </c>
      <c r="AV378" s="18">
        <f t="shared" si="210"/>
        <v>1</v>
      </c>
      <c r="AW378" s="18">
        <f t="shared" si="211"/>
        <v>2</v>
      </c>
      <c r="AX378" s="18">
        <f t="shared" si="212"/>
        <v>6</v>
      </c>
      <c r="AY378" s="18">
        <f t="shared" si="213"/>
        <v>7</v>
      </c>
      <c r="AZ378" s="18">
        <f t="shared" si="214"/>
        <v>3</v>
      </c>
      <c r="BA378" s="18">
        <f t="shared" si="215"/>
        <v>8</v>
      </c>
      <c r="BB378" s="18">
        <f t="shared" si="216"/>
        <v>5</v>
      </c>
      <c r="BC378" s="18">
        <f t="shared" si="217"/>
        <v>4</v>
      </c>
      <c r="BD378" s="18">
        <f t="shared" si="218"/>
        <v>9</v>
      </c>
      <c r="BE378" s="8">
        <f t="shared" si="220"/>
        <v>2.9416750228042545E-3</v>
      </c>
    </row>
    <row r="379" spans="1:57" x14ac:dyDescent="0.25">
      <c r="A379" t="str">
        <f t="shared" si="219"/>
        <v/>
      </c>
      <c r="B379" s="1">
        <v>43287</v>
      </c>
      <c r="C379" s="9">
        <f t="shared" si="194"/>
        <v>0.24783357233201508</v>
      </c>
      <c r="D379" s="9">
        <f t="shared" si="195"/>
        <v>0.24770334136419156</v>
      </c>
      <c r="E379" s="9">
        <f t="shared" si="196"/>
        <v>0</v>
      </c>
      <c r="F379" s="9">
        <f t="shared" si="197"/>
        <v>0</v>
      </c>
      <c r="G379" s="9">
        <f t="shared" si="198"/>
        <v>0.24971337075485192</v>
      </c>
      <c r="H379" s="9">
        <f t="shared" si="199"/>
        <v>0</v>
      </c>
      <c r="I379" s="9">
        <f t="shared" si="200"/>
        <v>0</v>
      </c>
      <c r="J379" s="9">
        <f t="shared" si="201"/>
        <v>0.25474971554894155</v>
      </c>
      <c r="K379" s="9">
        <v>0</v>
      </c>
      <c r="L379" s="8">
        <f>+VLOOKUP($B379,NIFTY_50!$B$3:$I$1238,8,0)</f>
        <v>2.130282099583658E-3</v>
      </c>
      <c r="M379" s="8">
        <f>+VLOOKUP($B379,NIFTY_BANK!$B$3:$I$41238,8,0)</f>
        <v>-3.5655937185186115E-4</v>
      </c>
      <c r="N379" s="8">
        <f>+VLOOKUP($B379,NIFTY_IT!$B$3:$I$1238,8,0)</f>
        <v>3.2532837049497054E-3</v>
      </c>
      <c r="O379" s="8">
        <f>+VLOOKUP($B379,NIFTY_PHARMA!$B$3:$I$1238,8,0)</f>
        <v>-9.0950750734560826E-3</v>
      </c>
      <c r="P379" s="8">
        <f>+VLOOKUP($B379,NIFTY_FMCG!$B$3:$I$1238,8,0)</f>
        <v>-1.8537950927152158E-3</v>
      </c>
      <c r="Q379" s="8">
        <f>+VLOOKUP($B379,NIFTY_METAL!$B$3:$I$1238,8,0)</f>
        <v>-1.2039308341726951E-4</v>
      </c>
      <c r="R379" s="8">
        <f>+VLOOKUP($B379,NIFTY_ENERGY!$B$3:$I$1238,8,0)</f>
        <v>8.5604412708173427E-3</v>
      </c>
      <c r="S379" s="8">
        <f>+VLOOKUP($B379,NIFTY_AUTO!$B$3:$I$1238,8,0)</f>
        <v>1.3005972130059718E-2</v>
      </c>
      <c r="T379" s="8">
        <v>0</v>
      </c>
      <c r="U379" s="8">
        <f>+VLOOKUP($B379,NIFTY_50!$B$63:$K$1238,10,0)</f>
        <v>3.412641653427273E-2</v>
      </c>
      <c r="V379" s="8">
        <f>+VLOOKUP($B379,NIFTY_BANK!$B$63:$K$1238,10,0)</f>
        <v>5.5605470500931231E-2</v>
      </c>
      <c r="W379" s="8">
        <f>+VLOOKUP($B379,NIFTY_IT!$B$63:$K$1238,10,0)</f>
        <v>9.8506164227884385E-2</v>
      </c>
      <c r="X379" s="8">
        <f>+VLOOKUP($B379,NIFTY_PHARMA!$B$63:$K$1238,10,0)</f>
        <v>4.8859823323974538E-2</v>
      </c>
      <c r="Y379" s="8">
        <f>+VLOOKUP($B379,NIFTY_FMCG!$B$63:$K$1238,10,0)</f>
        <v>8.0460172168751898E-2</v>
      </c>
      <c r="Z379" s="8">
        <f>+VLOOKUP($B379,NIFTY_METAL!$B$63:$K$1238,10,0)</f>
        <v>-0.11222608230892561</v>
      </c>
      <c r="AA379" s="8">
        <f>+VLOOKUP($B379,NIFTY_ENERGY!$B$63:$K$1238,10,0)</f>
        <v>-2.1930325107774151E-2</v>
      </c>
      <c r="AB379" s="8">
        <f>+VLOOKUP($B379,NIFTY_AUTO!$B$63:$K$1238,10,0)</f>
        <v>-3.3679367185862952E-2</v>
      </c>
      <c r="AC379" s="8"/>
      <c r="AD379" s="16">
        <f t="shared" si="202"/>
        <v>4.3096868550928369E-2</v>
      </c>
      <c r="AE379" s="8">
        <f t="shared" si="203"/>
        <v>5.6744980864835252E-2</v>
      </c>
      <c r="AF379" s="8">
        <f t="shared" si="204"/>
        <v>9.2371137150732543E-2</v>
      </c>
      <c r="AG379" s="8">
        <f t="shared" si="205"/>
        <v>0.1003115730438353</v>
      </c>
      <c r="AH379" s="8">
        <f t="shared" si="206"/>
        <v>6.0603365226781648E-2</v>
      </c>
      <c r="AI379" s="8">
        <f t="shared" si="207"/>
        <v>0.10730035962564648</v>
      </c>
      <c r="AJ379" s="8">
        <f t="shared" si="208"/>
        <v>8.0614207047527239E-2</v>
      </c>
      <c r="AK379" s="8">
        <f t="shared" si="209"/>
        <v>6.565619763617582E-2</v>
      </c>
      <c r="AL379" s="9">
        <v>0</v>
      </c>
      <c r="AM379" s="17">
        <f t="shared" si="186"/>
        <v>23.203542011835069</v>
      </c>
      <c r="AN379" s="13">
        <f t="shared" si="187"/>
        <v>17.622703977678103</v>
      </c>
      <c r="AO379" s="13">
        <f t="shared" si="188"/>
        <v>10.825892490293647</v>
      </c>
      <c r="AP379" s="13">
        <f t="shared" si="189"/>
        <v>9.9689394718494597</v>
      </c>
      <c r="AQ379" s="13">
        <f t="shared" si="190"/>
        <v>16.500733849645748</v>
      </c>
      <c r="AR379" s="13">
        <f t="shared" si="191"/>
        <v>9.3196332564852309</v>
      </c>
      <c r="AS379" s="13">
        <f t="shared" si="192"/>
        <v>12.404761351934354</v>
      </c>
      <c r="AT379" s="13">
        <f t="shared" si="193"/>
        <v>15.230854603267664</v>
      </c>
      <c r="AU379" s="9">
        <v>0</v>
      </c>
      <c r="AV379" s="18">
        <f t="shared" si="210"/>
        <v>1</v>
      </c>
      <c r="AW379" s="18">
        <f t="shared" si="211"/>
        <v>2</v>
      </c>
      <c r="AX379" s="18">
        <f t="shared" si="212"/>
        <v>6</v>
      </c>
      <c r="AY379" s="18">
        <f t="shared" si="213"/>
        <v>7</v>
      </c>
      <c r="AZ379" s="18">
        <f t="shared" si="214"/>
        <v>3</v>
      </c>
      <c r="BA379" s="18">
        <f t="shared" si="215"/>
        <v>8</v>
      </c>
      <c r="BB379" s="18">
        <f t="shared" si="216"/>
        <v>5</v>
      </c>
      <c r="BC379" s="18">
        <f t="shared" si="217"/>
        <v>4</v>
      </c>
      <c r="BD379" s="18">
        <f t="shared" si="218"/>
        <v>9</v>
      </c>
      <c r="BE379" s="8">
        <f t="shared" si="220"/>
        <v>3.2559993191641086E-3</v>
      </c>
    </row>
    <row r="380" spans="1:57" x14ac:dyDescent="0.25">
      <c r="A380" t="str">
        <f t="shared" si="219"/>
        <v/>
      </c>
      <c r="B380" s="1">
        <v>43290</v>
      </c>
      <c r="C380" s="9">
        <f t="shared" si="194"/>
        <v>0.24772290331768909</v>
      </c>
      <c r="D380" s="9">
        <f t="shared" si="195"/>
        <v>0.24816865352010911</v>
      </c>
      <c r="E380" s="9">
        <f t="shared" si="196"/>
        <v>0</v>
      </c>
      <c r="F380" s="9">
        <f t="shared" si="197"/>
        <v>0</v>
      </c>
      <c r="G380" s="9">
        <f t="shared" si="198"/>
        <v>0.249807021293561</v>
      </c>
      <c r="H380" s="9">
        <f t="shared" si="199"/>
        <v>0</v>
      </c>
      <c r="I380" s="9">
        <f t="shared" si="200"/>
        <v>0</v>
      </c>
      <c r="J380" s="9">
        <f t="shared" si="201"/>
        <v>0.2543014218686408</v>
      </c>
      <c r="K380" s="9">
        <v>0</v>
      </c>
      <c r="L380" s="8">
        <f>+VLOOKUP($B380,NIFTY_50!$B$3:$I$1238,8,0)</f>
        <v>7.4494205232695787E-3</v>
      </c>
      <c r="M380" s="8">
        <f>+VLOOKUP($B380,NIFTY_BANK!$B$3:$I$41238,8,0)</f>
        <v>9.7928387154000429E-3</v>
      </c>
      <c r="N380" s="8">
        <f>+VLOOKUP($B380,NIFTY_IT!$B$3:$I$1238,8,0)</f>
        <v>6.6281629143938314E-3</v>
      </c>
      <c r="O380" s="8">
        <f>+VLOOKUP($B380,NIFTY_PHARMA!$B$3:$I$1238,8,0)</f>
        <v>1.2807538710976285E-2</v>
      </c>
      <c r="P380" s="8">
        <f>+VLOOKUP($B380,NIFTY_FMCG!$B$3:$I$1238,8,0)</f>
        <v>8.2774884007816851E-3</v>
      </c>
      <c r="Q380" s="8">
        <f>+VLOOKUP($B380,NIFTY_METAL!$B$3:$I$1238,8,0)</f>
        <v>1.3335139447028022E-2</v>
      </c>
      <c r="R380" s="8">
        <f>+VLOOKUP($B380,NIFTY_ENERGY!$B$3:$I$1238,8,0)</f>
        <v>1.6155015884009138E-2</v>
      </c>
      <c r="S380" s="8">
        <f>+VLOOKUP($B380,NIFTY_AUTO!$B$3:$I$1238,8,0)</f>
        <v>6.1258510008719291E-3</v>
      </c>
      <c r="T380" s="8">
        <v>0</v>
      </c>
      <c r="U380" s="8">
        <f>+VLOOKUP($B380,NIFTY_50!$B$63:$K$1238,10,0)</f>
        <v>3.76960697604376E-2</v>
      </c>
      <c r="V380" s="8">
        <f>+VLOOKUP($B380,NIFTY_BANK!$B$63:$K$1238,10,0)</f>
        <v>6.1845358819770491E-2</v>
      </c>
      <c r="W380" s="8">
        <f>+VLOOKUP($B380,NIFTY_IT!$B$63:$K$1238,10,0)</f>
        <v>7.1433453319360352E-2</v>
      </c>
      <c r="X380" s="8">
        <f>+VLOOKUP($B380,NIFTY_PHARMA!$B$63:$K$1238,10,0)</f>
        <v>7.1680646628401901E-2</v>
      </c>
      <c r="Y380" s="8">
        <f>+VLOOKUP($B380,NIFTY_FMCG!$B$63:$K$1238,10,0)</f>
        <v>9.4155453942003753E-2</v>
      </c>
      <c r="Z380" s="8">
        <f>+VLOOKUP($B380,NIFTY_METAL!$B$63:$K$1238,10,0)</f>
        <v>-8.7821268409001618E-2</v>
      </c>
      <c r="AA380" s="8">
        <f>+VLOOKUP($B380,NIFTY_ENERGY!$B$63:$K$1238,10,0)</f>
        <v>-5.6280755517575942E-3</v>
      </c>
      <c r="AB380" s="8">
        <f>+VLOOKUP($B380,NIFTY_AUTO!$B$63:$K$1238,10,0)</f>
        <v>-2.826463517328337E-2</v>
      </c>
      <c r="AC380" s="8"/>
      <c r="AD380" s="16">
        <f t="shared" si="202"/>
        <v>4.3506859438011754E-2</v>
      </c>
      <c r="AE380" s="8">
        <f t="shared" si="203"/>
        <v>5.7354853075291562E-2</v>
      </c>
      <c r="AF380" s="8">
        <f t="shared" si="204"/>
        <v>8.7290491480134833E-2</v>
      </c>
      <c r="AG380" s="8">
        <f t="shared" si="205"/>
        <v>0.10052266356426943</v>
      </c>
      <c r="AH380" s="8">
        <f t="shared" si="206"/>
        <v>6.0720789309444537E-2</v>
      </c>
      <c r="AI380" s="8">
        <f t="shared" si="207"/>
        <v>0.10765669214542138</v>
      </c>
      <c r="AJ380" s="8">
        <f t="shared" si="208"/>
        <v>8.2250612885657715E-2</v>
      </c>
      <c r="AK380" s="8">
        <f t="shared" si="209"/>
        <v>6.5980122099499286E-2</v>
      </c>
      <c r="AL380" s="9">
        <v>0</v>
      </c>
      <c r="AM380" s="17">
        <f t="shared" si="186"/>
        <v>22.984881301873617</v>
      </c>
      <c r="AN380" s="13">
        <f t="shared" si="187"/>
        <v>17.435316217919134</v>
      </c>
      <c r="AO380" s="13">
        <f t="shared" si="188"/>
        <v>11.456001484738751</v>
      </c>
      <c r="AP380" s="13">
        <f t="shared" si="189"/>
        <v>9.9480054004005503</v>
      </c>
      <c r="AQ380" s="13">
        <f t="shared" si="190"/>
        <v>16.468824127166929</v>
      </c>
      <c r="AR380" s="13">
        <f t="shared" si="191"/>
        <v>9.288786234015177</v>
      </c>
      <c r="AS380" s="13">
        <f t="shared" si="192"/>
        <v>12.157964116208706</v>
      </c>
      <c r="AT380" s="13">
        <f t="shared" si="193"/>
        <v>15.156079864356432</v>
      </c>
      <c r="AU380" s="9">
        <v>0</v>
      </c>
      <c r="AV380" s="18">
        <f t="shared" si="210"/>
        <v>1</v>
      </c>
      <c r="AW380" s="18">
        <f t="shared" si="211"/>
        <v>2</v>
      </c>
      <c r="AX380" s="18">
        <f t="shared" si="212"/>
        <v>6</v>
      </c>
      <c r="AY380" s="18">
        <f t="shared" si="213"/>
        <v>7</v>
      </c>
      <c r="AZ380" s="18">
        <f t="shared" si="214"/>
        <v>3</v>
      </c>
      <c r="BA380" s="18">
        <f t="shared" si="215"/>
        <v>8</v>
      </c>
      <c r="BB380" s="18">
        <f t="shared" si="216"/>
        <v>5</v>
      </c>
      <c r="BC380" s="18">
        <f t="shared" si="217"/>
        <v>4</v>
      </c>
      <c r="BD380" s="18">
        <f t="shared" si="218"/>
        <v>9</v>
      </c>
      <c r="BE380" s="8">
        <f t="shared" si="220"/>
        <v>7.8994937012412426E-3</v>
      </c>
    </row>
    <row r="381" spans="1:57" x14ac:dyDescent="0.25">
      <c r="A381" t="str">
        <f t="shared" si="219"/>
        <v/>
      </c>
      <c r="B381" s="1">
        <v>43291</v>
      </c>
      <c r="C381" s="9">
        <f t="shared" si="194"/>
        <v>0.2481621797182765</v>
      </c>
      <c r="D381" s="9">
        <f t="shared" si="195"/>
        <v>0.24776733293141467</v>
      </c>
      <c r="E381" s="9">
        <f t="shared" si="196"/>
        <v>0</v>
      </c>
      <c r="F381" s="9">
        <f t="shared" si="197"/>
        <v>0</v>
      </c>
      <c r="G381" s="9">
        <f t="shared" si="198"/>
        <v>0.24916521714921416</v>
      </c>
      <c r="H381" s="9">
        <f t="shared" si="199"/>
        <v>0</v>
      </c>
      <c r="I381" s="9">
        <f t="shared" si="200"/>
        <v>0</v>
      </c>
      <c r="J381" s="9">
        <f t="shared" si="201"/>
        <v>0.25490527020109466</v>
      </c>
      <c r="K381" s="9">
        <v>0</v>
      </c>
      <c r="L381" s="8">
        <f>+VLOOKUP($B381,NIFTY_50!$B$3:$I$1238,8,0)</f>
        <v>8.6935289185379183E-3</v>
      </c>
      <c r="M381" s="8">
        <f>+VLOOKUP($B381,NIFTY_BANK!$B$3:$I$41238,8,0)</f>
        <v>5.2797225015230875E-3</v>
      </c>
      <c r="N381" s="8">
        <f>+VLOOKUP($B381,NIFTY_IT!$B$3:$I$1238,8,0)</f>
        <v>8.0729471218419224E-3</v>
      </c>
      <c r="O381" s="8">
        <f>+VLOOKUP($B381,NIFTY_PHARMA!$B$3:$I$1238,8,0)</f>
        <v>-3.3843310842751606E-3</v>
      </c>
      <c r="P381" s="8">
        <f>+VLOOKUP($B381,NIFTY_FMCG!$B$3:$I$1238,8,0)</f>
        <v>4.321074235616118E-3</v>
      </c>
      <c r="Q381" s="8">
        <f>+VLOOKUP($B381,NIFTY_METAL!$B$3:$I$1238,8,0)</f>
        <v>1.6635228066006258E-2</v>
      </c>
      <c r="R381" s="8">
        <f>+VLOOKUP($B381,NIFTY_ENERGY!$B$3:$I$1238,8,0)</f>
        <v>1.8635541990161819E-2</v>
      </c>
      <c r="S381" s="8">
        <f>+VLOOKUP($B381,NIFTY_AUTO!$B$3:$I$1238,8,0)</f>
        <v>9.298963239685154E-3</v>
      </c>
      <c r="T381" s="8">
        <v>0</v>
      </c>
      <c r="U381" s="8">
        <f>+VLOOKUP($B381,NIFTY_50!$B$63:$K$1238,10,0)</f>
        <v>4.4525122607484313E-2</v>
      </c>
      <c r="V381" s="8">
        <f>+VLOOKUP($B381,NIFTY_BANK!$B$63:$K$1238,10,0)</f>
        <v>6.7218637651484503E-2</v>
      </c>
      <c r="W381" s="8">
        <f>+VLOOKUP($B381,NIFTY_IT!$B$63:$K$1238,10,0)</f>
        <v>7.2569181287211126E-2</v>
      </c>
      <c r="X381" s="8">
        <f>+VLOOKUP($B381,NIFTY_PHARMA!$B$63:$K$1238,10,0)</f>
        <v>6.248138730442343E-2</v>
      </c>
      <c r="Y381" s="8">
        <f>+VLOOKUP($B381,NIFTY_FMCG!$B$63:$K$1238,10,0)</f>
        <v>0.10126784000237188</v>
      </c>
      <c r="Z381" s="8">
        <f>+VLOOKUP($B381,NIFTY_METAL!$B$63:$K$1238,10,0)</f>
        <v>-8.1359298876645725E-2</v>
      </c>
      <c r="AA381" s="8">
        <f>+VLOOKUP($B381,NIFTY_ENERGY!$B$63:$K$1238,10,0)</f>
        <v>8.5192682891050975E-3</v>
      </c>
      <c r="AB381" s="8">
        <f>+VLOOKUP($B381,NIFTY_AUTO!$B$63:$K$1238,10,0)</f>
        <v>-1.9720373649184775E-2</v>
      </c>
      <c r="AC381" s="8"/>
      <c r="AD381" s="16">
        <f t="shared" si="202"/>
        <v>4.4216499324299698E-2</v>
      </c>
      <c r="AE381" s="8">
        <f t="shared" si="203"/>
        <v>5.7504361300588273E-2</v>
      </c>
      <c r="AF381" s="8">
        <f t="shared" si="204"/>
        <v>8.7367946217004305E-2</v>
      </c>
      <c r="AG381" s="8">
        <f t="shared" si="205"/>
        <v>0.10054129052615948</v>
      </c>
      <c r="AH381" s="8">
        <f t="shared" si="206"/>
        <v>6.0669327065282455E-2</v>
      </c>
      <c r="AI381" s="8">
        <f t="shared" si="207"/>
        <v>0.10860980494334692</v>
      </c>
      <c r="AJ381" s="8">
        <f t="shared" si="208"/>
        <v>8.4209660191158678E-2</v>
      </c>
      <c r="AK381" s="8">
        <f t="shared" si="209"/>
        <v>6.6678081658861063E-2</v>
      </c>
      <c r="AL381" s="9">
        <v>0</v>
      </c>
      <c r="AM381" s="17">
        <f t="shared" si="186"/>
        <v>22.615992113388277</v>
      </c>
      <c r="AN381" s="13">
        <f t="shared" si="187"/>
        <v>17.389985339942729</v>
      </c>
      <c r="AO381" s="13">
        <f t="shared" si="188"/>
        <v>11.445845339161369</v>
      </c>
      <c r="AP381" s="13">
        <f t="shared" si="189"/>
        <v>9.9461623653996512</v>
      </c>
      <c r="AQ381" s="13">
        <f t="shared" si="190"/>
        <v>16.482793668107821</v>
      </c>
      <c r="AR381" s="13">
        <f t="shared" si="191"/>
        <v>9.2072718528646682</v>
      </c>
      <c r="AS381" s="13">
        <f t="shared" si="192"/>
        <v>11.875122138362361</v>
      </c>
      <c r="AT381" s="13">
        <f t="shared" si="193"/>
        <v>14.997432066450383</v>
      </c>
      <c r="AU381" s="9">
        <v>0</v>
      </c>
      <c r="AV381" s="18">
        <f t="shared" si="210"/>
        <v>1</v>
      </c>
      <c r="AW381" s="18">
        <f t="shared" si="211"/>
        <v>2</v>
      </c>
      <c r="AX381" s="18">
        <f t="shared" si="212"/>
        <v>6</v>
      </c>
      <c r="AY381" s="18">
        <f t="shared" si="213"/>
        <v>7</v>
      </c>
      <c r="AZ381" s="18">
        <f t="shared" si="214"/>
        <v>3</v>
      </c>
      <c r="BA381" s="18">
        <f t="shared" si="215"/>
        <v>8</v>
      </c>
      <c r="BB381" s="18">
        <f t="shared" si="216"/>
        <v>5</v>
      </c>
      <c r="BC381" s="18">
        <f t="shared" si="217"/>
        <v>4</v>
      </c>
      <c r="BD381" s="18">
        <f t="shared" si="218"/>
        <v>9</v>
      </c>
      <c r="BE381" s="8">
        <f t="shared" si="220"/>
        <v>6.9080221052830806E-3</v>
      </c>
    </row>
    <row r="382" spans="1:57" x14ac:dyDescent="0.25">
      <c r="A382" t="str">
        <f t="shared" si="219"/>
        <v/>
      </c>
      <c r="B382" s="1">
        <v>43292</v>
      </c>
      <c r="C382" s="9">
        <f t="shared" si="194"/>
        <v>0.24880861324717052</v>
      </c>
      <c r="D382" s="9">
        <f t="shared" si="195"/>
        <v>0.24766529988820082</v>
      </c>
      <c r="E382" s="9">
        <f t="shared" si="196"/>
        <v>0</v>
      </c>
      <c r="F382" s="9">
        <f t="shared" si="197"/>
        <v>0</v>
      </c>
      <c r="G382" s="9">
        <f t="shared" si="198"/>
        <v>0.25052331594558885</v>
      </c>
      <c r="H382" s="9">
        <f t="shared" si="199"/>
        <v>0</v>
      </c>
      <c r="I382" s="9">
        <f t="shared" si="200"/>
        <v>0</v>
      </c>
      <c r="J382" s="9">
        <f t="shared" si="201"/>
        <v>0.25300277091903989</v>
      </c>
      <c r="K382" s="9">
        <v>0</v>
      </c>
      <c r="L382" s="8">
        <f>+VLOOKUP($B382,NIFTY_50!$B$3:$I$1238,8,0)</f>
        <v>9.591449907508931E-5</v>
      </c>
      <c r="M382" s="8">
        <f>+VLOOKUP($B382,NIFTY_BANK!$B$3:$I$41238,8,0)</f>
        <v>-2.9132296320257822E-3</v>
      </c>
      <c r="N382" s="8">
        <f>+VLOOKUP($B382,NIFTY_IT!$B$3:$I$1238,8,0)</f>
        <v>2.2056212757729732E-2</v>
      </c>
      <c r="O382" s="8">
        <f>+VLOOKUP($B382,NIFTY_PHARMA!$B$3:$I$1238,8,0)</f>
        <v>-5.1099061027801707E-3</v>
      </c>
      <c r="P382" s="8">
        <f>+VLOOKUP($B382,NIFTY_FMCG!$B$3:$I$1238,8,0)</f>
        <v>2.9345053406650834E-3</v>
      </c>
      <c r="Q382" s="8">
        <f>+VLOOKUP($B382,NIFTY_METAL!$B$3:$I$1238,8,0)</f>
        <v>-3.0739112013674741E-2</v>
      </c>
      <c r="R382" s="8">
        <f>+VLOOKUP($B382,NIFTY_ENERGY!$B$3:$I$1238,8,0)</f>
        <v>3.3236484496306229E-3</v>
      </c>
      <c r="S382" s="8">
        <f>+VLOOKUP($B382,NIFTY_AUTO!$B$3:$I$1238,8,0)</f>
        <v>-9.9473272119012801E-3</v>
      </c>
      <c r="T382" s="8">
        <v>0</v>
      </c>
      <c r="U382" s="8">
        <f>+VLOOKUP($B382,NIFTY_50!$B$63:$K$1238,10,0)</f>
        <v>3.988754173256015E-2</v>
      </c>
      <c r="V382" s="8">
        <f>+VLOOKUP($B382,NIFTY_BANK!$B$63:$K$1238,10,0)</f>
        <v>5.9056074341896192E-2</v>
      </c>
      <c r="W382" s="8">
        <f>+VLOOKUP($B382,NIFTY_IT!$B$63:$K$1238,10,0)</f>
        <v>0.10098764684051464</v>
      </c>
      <c r="X382" s="8">
        <f>+VLOOKUP($B382,NIFTY_PHARMA!$B$63:$K$1238,10,0)</f>
        <v>4.0768224467701231E-2</v>
      </c>
      <c r="Y382" s="8">
        <f>+VLOOKUP($B382,NIFTY_FMCG!$B$63:$K$1238,10,0)</f>
        <v>9.2983511324961743E-2</v>
      </c>
      <c r="Z382" s="8">
        <f>+VLOOKUP($B382,NIFTY_METAL!$B$63:$K$1238,10,0)</f>
        <v>-0.11104113627227652</v>
      </c>
      <c r="AA382" s="8">
        <f>+VLOOKUP($B382,NIFTY_ENERGY!$B$63:$K$1238,10,0)</f>
        <v>1.1533653264507837E-2</v>
      </c>
      <c r="AB382" s="8">
        <f>+VLOOKUP($B382,NIFTY_AUTO!$B$63:$K$1238,10,0)</f>
        <v>-3.2816309501562446E-2</v>
      </c>
      <c r="AC382" s="8"/>
      <c r="AD382" s="16">
        <f t="shared" si="202"/>
        <v>4.405155848470927E-2</v>
      </c>
      <c r="AE382" s="8">
        <f t="shared" si="203"/>
        <v>5.7517973039884325E-2</v>
      </c>
      <c r="AF382" s="8">
        <f t="shared" si="204"/>
        <v>8.9585788525726087E-2</v>
      </c>
      <c r="AG382" s="8">
        <f t="shared" si="205"/>
        <v>9.9636760269530167E-2</v>
      </c>
      <c r="AH382" s="8">
        <f t="shared" si="206"/>
        <v>6.0016129717949639E-2</v>
      </c>
      <c r="AI382" s="8">
        <f t="shared" si="207"/>
        <v>0.11241638549448645</v>
      </c>
      <c r="AJ382" s="8">
        <f t="shared" si="208"/>
        <v>8.426669627613749E-2</v>
      </c>
      <c r="AK382" s="8">
        <f t="shared" si="209"/>
        <v>6.7247564737880475E-2</v>
      </c>
      <c r="AL382" s="9">
        <v>0</v>
      </c>
      <c r="AM382" s="17">
        <f t="shared" si="186"/>
        <v>22.700672448333691</v>
      </c>
      <c r="AN382" s="13">
        <f t="shared" si="187"/>
        <v>17.385869966359493</v>
      </c>
      <c r="AO382" s="13">
        <f t="shared" si="188"/>
        <v>11.162484769700196</v>
      </c>
      <c r="AP382" s="13">
        <f t="shared" si="189"/>
        <v>10.036456397165788</v>
      </c>
      <c r="AQ382" s="13">
        <f t="shared" si="190"/>
        <v>16.662187393615284</v>
      </c>
      <c r="AR382" s="13">
        <f t="shared" si="191"/>
        <v>8.8955003810280466</v>
      </c>
      <c r="AS382" s="13">
        <f t="shared" si="192"/>
        <v>11.867084437760003</v>
      </c>
      <c r="AT382" s="13">
        <f t="shared" si="193"/>
        <v>14.87042696486972</v>
      </c>
      <c r="AU382" s="9">
        <v>0</v>
      </c>
      <c r="AV382" s="18">
        <f t="shared" si="210"/>
        <v>1</v>
      </c>
      <c r="AW382" s="18">
        <f t="shared" si="211"/>
        <v>2</v>
      </c>
      <c r="AX382" s="18">
        <f t="shared" si="212"/>
        <v>6</v>
      </c>
      <c r="AY382" s="18">
        <f t="shared" si="213"/>
        <v>7</v>
      </c>
      <c r="AZ382" s="18">
        <f t="shared" si="214"/>
        <v>3</v>
      </c>
      <c r="BA382" s="18">
        <f t="shared" si="215"/>
        <v>8</v>
      </c>
      <c r="BB382" s="18">
        <f t="shared" si="216"/>
        <v>5</v>
      </c>
      <c r="BC382" s="18">
        <f t="shared" si="217"/>
        <v>4</v>
      </c>
      <c r="BD382" s="18">
        <f t="shared" si="218"/>
        <v>9</v>
      </c>
      <c r="BE382" s="8">
        <f t="shared" si="220"/>
        <v>-2.5024502552827869E-3</v>
      </c>
    </row>
    <row r="383" spans="1:57" x14ac:dyDescent="0.25">
      <c r="A383" t="str">
        <f t="shared" si="219"/>
        <v/>
      </c>
      <c r="B383" s="1">
        <v>43293</v>
      </c>
      <c r="C383" s="9">
        <f t="shared" si="194"/>
        <v>0.24983486732562626</v>
      </c>
      <c r="D383" s="9">
        <f t="shared" si="195"/>
        <v>0.24893455011070484</v>
      </c>
      <c r="E383" s="9">
        <f t="shared" si="196"/>
        <v>0</v>
      </c>
      <c r="F383" s="9">
        <f t="shared" si="197"/>
        <v>0</v>
      </c>
      <c r="G383" s="9">
        <f t="shared" si="198"/>
        <v>0.25093763786160084</v>
      </c>
      <c r="H383" s="9">
        <f t="shared" si="199"/>
        <v>0</v>
      </c>
      <c r="I383" s="9">
        <f t="shared" si="200"/>
        <v>0</v>
      </c>
      <c r="J383" s="9">
        <f t="shared" si="201"/>
        <v>0.2502929447020682</v>
      </c>
      <c r="K383" s="9">
        <v>0</v>
      </c>
      <c r="L383" s="8">
        <f>+VLOOKUP($B383,NIFTY_50!$B$3:$I$1238,8,0)</f>
        <v>6.8412447594605741E-3</v>
      </c>
      <c r="M383" s="8">
        <f>+VLOOKUP($B383,NIFTY_BANK!$B$3:$I$41238,8,0)</f>
        <v>7.8441389906100945E-3</v>
      </c>
      <c r="N383" s="8">
        <f>+VLOOKUP($B383,NIFTY_IT!$B$3:$I$1238,8,0)</f>
        <v>-1.430885807745419E-3</v>
      </c>
      <c r="O383" s="8">
        <f>+VLOOKUP($B383,NIFTY_PHARMA!$B$3:$I$1238,8,0)</f>
        <v>1.6687074019092751E-3</v>
      </c>
      <c r="P383" s="8">
        <f>+VLOOKUP($B383,NIFTY_FMCG!$B$3:$I$1238,8,0)</f>
        <v>4.3637132330738293E-3</v>
      </c>
      <c r="Q383" s="8">
        <f>+VLOOKUP($B383,NIFTY_METAL!$B$3:$I$1238,8,0)</f>
        <v>-5.0645885775439936E-3</v>
      </c>
      <c r="R383" s="8">
        <f>+VLOOKUP($B383,NIFTY_ENERGY!$B$3:$I$1238,8,0)</f>
        <v>2.683817000286326E-2</v>
      </c>
      <c r="S383" s="8">
        <f>+VLOOKUP($B383,NIFTY_AUTO!$B$3:$I$1238,8,0)</f>
        <v>-8.0342218307960511E-3</v>
      </c>
      <c r="T383" s="8">
        <v>0</v>
      </c>
      <c r="U383" s="8">
        <f>+VLOOKUP($B383,NIFTY_50!$B$63:$K$1238,10,0)</f>
        <v>4.498184610425926E-2</v>
      </c>
      <c r="V383" s="8">
        <f>+VLOOKUP($B383,NIFTY_BANK!$B$63:$K$1238,10,0)</f>
        <v>6.6790476998711101E-2</v>
      </c>
      <c r="W383" s="8">
        <f>+VLOOKUP($B383,NIFTY_IT!$B$63:$K$1238,10,0)</f>
        <v>0.10282017580514058</v>
      </c>
      <c r="X383" s="8">
        <f>+VLOOKUP($B383,NIFTY_PHARMA!$B$63:$K$1238,10,0)</f>
        <v>4.7163773328424696E-2</v>
      </c>
      <c r="Y383" s="8">
        <f>+VLOOKUP($B383,NIFTY_FMCG!$B$63:$K$1238,10,0)</f>
        <v>8.7009336630750944E-2</v>
      </c>
      <c r="Z383" s="8">
        <f>+VLOOKUP($B383,NIFTY_METAL!$B$63:$K$1238,10,0)</f>
        <v>-0.11650225535731018</v>
      </c>
      <c r="AA383" s="8">
        <f>+VLOOKUP($B383,NIFTY_ENERGY!$B$63:$K$1238,10,0)</f>
        <v>3.0206064484693318E-2</v>
      </c>
      <c r="AB383" s="8">
        <f>+VLOOKUP($B383,NIFTY_AUTO!$B$63:$K$1238,10,0)</f>
        <v>-3.7860595257292573E-2</v>
      </c>
      <c r="AC383" s="8"/>
      <c r="AD383" s="16">
        <f t="shared" si="202"/>
        <v>4.4460758701127624E-2</v>
      </c>
      <c r="AE383" s="8">
        <f t="shared" si="203"/>
        <v>5.791835523123956E-2</v>
      </c>
      <c r="AF383" s="8">
        <f t="shared" si="204"/>
        <v>8.951319330024915E-2</v>
      </c>
      <c r="AG383" s="8">
        <f t="shared" si="205"/>
        <v>9.950303609590827E-2</v>
      </c>
      <c r="AH383" s="8">
        <f t="shared" si="206"/>
        <v>5.9491337577908927E-2</v>
      </c>
      <c r="AI383" s="8">
        <f t="shared" si="207"/>
        <v>0.11242267848063932</v>
      </c>
      <c r="AJ383" s="8">
        <f t="shared" si="208"/>
        <v>8.7969531078087762E-2</v>
      </c>
      <c r="AK383" s="8">
        <f t="shared" si="209"/>
        <v>6.762402662520102E-2</v>
      </c>
      <c r="AL383" s="9">
        <v>0</v>
      </c>
      <c r="AM383" s="17">
        <f t="shared" si="186"/>
        <v>22.491743938113178</v>
      </c>
      <c r="AN383" s="13">
        <f t="shared" si="187"/>
        <v>17.265683668113343</v>
      </c>
      <c r="AO383" s="13">
        <f t="shared" si="188"/>
        <v>11.171537548054568</v>
      </c>
      <c r="AP383" s="13">
        <f t="shared" si="189"/>
        <v>10.049944597028448</v>
      </c>
      <c r="AQ383" s="13">
        <f t="shared" si="190"/>
        <v>16.809169884446042</v>
      </c>
      <c r="AR383" s="13">
        <f t="shared" si="191"/>
        <v>8.8950024453670462</v>
      </c>
      <c r="AS383" s="13">
        <f t="shared" si="192"/>
        <v>11.367572246262535</v>
      </c>
      <c r="AT383" s="13">
        <f t="shared" si="193"/>
        <v>14.787643533006305</v>
      </c>
      <c r="AU383" s="9">
        <v>0</v>
      </c>
      <c r="AV383" s="18">
        <f t="shared" si="210"/>
        <v>1</v>
      </c>
      <c r="AW383" s="18">
        <f t="shared" si="211"/>
        <v>2</v>
      </c>
      <c r="AX383" s="18">
        <f t="shared" si="212"/>
        <v>6</v>
      </c>
      <c r="AY383" s="18">
        <f t="shared" si="213"/>
        <v>7</v>
      </c>
      <c r="AZ383" s="18">
        <f t="shared" si="214"/>
        <v>3</v>
      </c>
      <c r="BA383" s="18">
        <f t="shared" si="215"/>
        <v>8</v>
      </c>
      <c r="BB383" s="18">
        <f t="shared" si="216"/>
        <v>5</v>
      </c>
      <c r="BC383" s="18">
        <f t="shared" si="217"/>
        <v>4</v>
      </c>
      <c r="BD383" s="18">
        <f t="shared" si="218"/>
        <v>9</v>
      </c>
      <c r="BE383" s="8">
        <f t="shared" si="220"/>
        <v>2.7054131805756953E-3</v>
      </c>
    </row>
    <row r="384" spans="1:57" x14ac:dyDescent="0.25">
      <c r="A384" t="str">
        <f t="shared" si="219"/>
        <v/>
      </c>
      <c r="B384" s="1">
        <v>43294</v>
      </c>
      <c r="C384" s="9">
        <f t="shared" si="194"/>
        <v>0.25080722149574902</v>
      </c>
      <c r="D384" s="9">
        <f t="shared" si="195"/>
        <v>0.24916285432476257</v>
      </c>
      <c r="E384" s="9">
        <f t="shared" si="196"/>
        <v>0</v>
      </c>
      <c r="F384" s="9">
        <f t="shared" si="197"/>
        <v>0</v>
      </c>
      <c r="G384" s="9">
        <f t="shared" si="198"/>
        <v>0.24946069446102556</v>
      </c>
      <c r="H384" s="9">
        <f t="shared" si="199"/>
        <v>0</v>
      </c>
      <c r="I384" s="9">
        <f t="shared" si="200"/>
        <v>0</v>
      </c>
      <c r="J384" s="9">
        <f t="shared" si="201"/>
        <v>0.25056922971846285</v>
      </c>
      <c r="K384" s="9">
        <v>0</v>
      </c>
      <c r="L384" s="8">
        <f>+VLOOKUP($B384,NIFTY_50!$B$3:$I$1238,8,0)</f>
        <v>-3.9008636330661872E-4</v>
      </c>
      <c r="M384" s="8">
        <f>+VLOOKUP($B384,NIFTY_BANK!$B$3:$I$41238,8,0)</f>
        <v>-3.3522591673742497E-3</v>
      </c>
      <c r="N384" s="8">
        <f>+VLOOKUP($B384,NIFTY_IT!$B$3:$I$1238,8,0)</f>
        <v>1.3261548742220519E-3</v>
      </c>
      <c r="O384" s="8">
        <f>+VLOOKUP($B384,NIFTY_PHARMA!$B$3:$I$1238,8,0)</f>
        <v>-8.6649863155959794E-3</v>
      </c>
      <c r="P384" s="8">
        <f>+VLOOKUP($B384,NIFTY_FMCG!$B$3:$I$1238,8,0)</f>
        <v>-1.0126066352294294E-2</v>
      </c>
      <c r="Q384" s="8">
        <f>+VLOOKUP($B384,NIFTY_METAL!$B$3:$I$1238,8,0)</f>
        <v>-4.1662247943400343E-3</v>
      </c>
      <c r="R384" s="8">
        <f>+VLOOKUP($B384,NIFTY_ENERGY!$B$3:$I$1238,8,0)</f>
        <v>8.6687044240041367E-3</v>
      </c>
      <c r="S384" s="8">
        <f>+VLOOKUP($B384,NIFTY_AUTO!$B$3:$I$1238,8,0)</f>
        <v>-3.1663344808843252E-3</v>
      </c>
      <c r="T384" s="8">
        <v>0</v>
      </c>
      <c r="U384" s="8">
        <f>+VLOOKUP($B384,NIFTY_50!$B$63:$K$1238,10,0)</f>
        <v>4.6807014877163544E-2</v>
      </c>
      <c r="V384" s="8">
        <f>+VLOOKUP($B384,NIFTY_BANK!$B$63:$K$1238,10,0)</f>
        <v>7.3047091302390621E-2</v>
      </c>
      <c r="W384" s="8">
        <f>+VLOOKUP($B384,NIFTY_IT!$B$63:$K$1238,10,0)</f>
        <v>0.10750533373971338</v>
      </c>
      <c r="X384" s="8">
        <f>+VLOOKUP($B384,NIFTY_PHARMA!$B$63:$K$1238,10,0)</f>
        <v>4.2548350398179835E-2</v>
      </c>
      <c r="Y384" s="8">
        <f>+VLOOKUP($B384,NIFTY_FMCG!$B$63:$K$1238,10,0)</f>
        <v>5.7561788709294515E-2</v>
      </c>
      <c r="Z384" s="8">
        <f>+VLOOKUP($B384,NIFTY_METAL!$B$63:$K$1238,10,0)</f>
        <v>-0.12369017464338095</v>
      </c>
      <c r="AA384" s="8">
        <f>+VLOOKUP($B384,NIFTY_ENERGY!$B$63:$K$1238,10,0)</f>
        <v>4.3267791561101276E-2</v>
      </c>
      <c r="AB384" s="8">
        <f>+VLOOKUP($B384,NIFTY_AUTO!$B$63:$K$1238,10,0)</f>
        <v>-3.5818188191170552E-2</v>
      </c>
      <c r="AC384" s="8"/>
      <c r="AD384" s="16">
        <f t="shared" si="202"/>
        <v>4.4381756126097779E-2</v>
      </c>
      <c r="AE384" s="8">
        <f t="shared" si="203"/>
        <v>5.7171740106299405E-2</v>
      </c>
      <c r="AF384" s="8">
        <f t="shared" si="204"/>
        <v>8.9394929108532376E-2</v>
      </c>
      <c r="AG384" s="8">
        <f t="shared" si="205"/>
        <v>9.9823222789701085E-2</v>
      </c>
      <c r="AH384" s="8">
        <f t="shared" si="206"/>
        <v>5.8329268406008113E-2</v>
      </c>
      <c r="AI384" s="8">
        <f t="shared" si="207"/>
        <v>0.11228382647986598</v>
      </c>
      <c r="AJ384" s="8">
        <f t="shared" si="208"/>
        <v>8.8213175029833626E-2</v>
      </c>
      <c r="AK384" s="8">
        <f t="shared" si="209"/>
        <v>6.7510133448529977E-2</v>
      </c>
      <c r="AL384" s="9">
        <v>0</v>
      </c>
      <c r="AM384" s="17">
        <f t="shared" ref="AM384:AM447" si="221">1/AD384</f>
        <v>22.531780787555871</v>
      </c>
      <c r="AN384" s="13">
        <f t="shared" ref="AN384:AN447" si="222">1/AE384</f>
        <v>17.491159061114814</v>
      </c>
      <c r="AO384" s="13">
        <f t="shared" ref="AO384:AO447" si="223">1/AF384</f>
        <v>11.186316829961601</v>
      </c>
      <c r="AP384" s="13">
        <f t="shared" ref="AP384:AP447" si="224">1/AG384</f>
        <v>10.017709026553003</v>
      </c>
      <c r="AQ384" s="13">
        <f t="shared" ref="AQ384:AQ447" si="225">1/AH384</f>
        <v>17.144051816994786</v>
      </c>
      <c r="AR384" s="13">
        <f t="shared" ref="AR384:AR447" si="226">1/AI384</f>
        <v>8.9060021496445305</v>
      </c>
      <c r="AS384" s="13">
        <f t="shared" ref="AS384:AS447" si="227">1/AJ384</f>
        <v>11.336175119666658</v>
      </c>
      <c r="AT384" s="13">
        <f t="shared" ref="AT384:AT447" si="228">1/AK384</f>
        <v>14.812591072159625</v>
      </c>
      <c r="AU384" s="9">
        <v>0</v>
      </c>
      <c r="AV384" s="18">
        <f t="shared" si="210"/>
        <v>1</v>
      </c>
      <c r="AW384" s="18">
        <f t="shared" si="211"/>
        <v>2</v>
      </c>
      <c r="AX384" s="18">
        <f t="shared" si="212"/>
        <v>6</v>
      </c>
      <c r="AY384" s="18">
        <f t="shared" si="213"/>
        <v>7</v>
      </c>
      <c r="AZ384" s="18">
        <f t="shared" si="214"/>
        <v>3</v>
      </c>
      <c r="BA384" s="18">
        <f t="shared" si="215"/>
        <v>8</v>
      </c>
      <c r="BB384" s="18">
        <f t="shared" si="216"/>
        <v>5</v>
      </c>
      <c r="BC384" s="18">
        <f t="shared" si="217"/>
        <v>4</v>
      </c>
      <c r="BD384" s="18">
        <f t="shared" si="218"/>
        <v>9</v>
      </c>
      <c r="BE384" s="8">
        <f t="shared" si="220"/>
        <v>-4.2654726549138395E-3</v>
      </c>
    </row>
    <row r="385" spans="1:57" x14ac:dyDescent="0.25">
      <c r="A385" t="str">
        <f t="shared" si="219"/>
        <v/>
      </c>
      <c r="B385" s="1">
        <v>43297</v>
      </c>
      <c r="C385" s="9">
        <f t="shared" ref="C385:C448" si="229">+IF($A385="Y",IF(AV385&lt;=4,0.25,0),C384*(1+L385)/SUMPRODUCT($C384:$J384,1+$L385:$S385))</f>
        <v>0.2510865685066464</v>
      </c>
      <c r="D385" s="9">
        <f t="shared" ref="D385:D448" si="230">+IF($A385="Y",IF(AW385&lt;=4,0.25,0),D384*(1+M385)/SUMPRODUCT($C384:$J384,1+$L385:$S385))</f>
        <v>0.24892183862642053</v>
      </c>
      <c r="E385" s="9">
        <f t="shared" ref="E385:E448" si="231">+IF($A385="Y",IF(AX385&lt;=4,0.25,0),E384*(1+N385)/SUMPRODUCT($C384:$J384,1+$L385:$S385))</f>
        <v>0</v>
      </c>
      <c r="F385" s="9">
        <f t="shared" ref="F385:F448" si="232">+IF($A385="Y",IF(AY385&lt;=4,0.25,0),F384*(1+O385)/SUMPRODUCT($C384:$J384,1+$L385:$S385))</f>
        <v>0</v>
      </c>
      <c r="G385" s="9">
        <f t="shared" ref="G385:G448" si="233">+IF($A385="Y",IF(AZ385&lt;=4,0.25,0),G384*(1+P385)/SUMPRODUCT($C384:$J384,1+$L385:$S385))</f>
        <v>0.25111788981600885</v>
      </c>
      <c r="H385" s="9">
        <f t="shared" ref="H385:H448" si="234">+IF($A385="Y",IF(BA385&lt;=4,0.25,0),H384*(1+Q385)/SUMPRODUCT($C384:$J384,1+$L385:$S385))</f>
        <v>0</v>
      </c>
      <c r="I385" s="9">
        <f t="shared" ref="I385:I448" si="235">+IF($A385="Y",IF(BB385&lt;=4,0.25,0),I384*(1+R385)/SUMPRODUCT($C384:$J384,1+$L385:$S385))</f>
        <v>0</v>
      </c>
      <c r="J385" s="9">
        <f t="shared" ref="J385:J448" si="236">+IF($A385="Y",IF(BC385&lt;=4,0.25,0),J384*(1+S385)/SUMPRODUCT($C384:$J384,1+$L385:$S385))</f>
        <v>0.24887370305092424</v>
      </c>
      <c r="K385" s="9">
        <v>0</v>
      </c>
      <c r="L385" s="8">
        <f>+VLOOKUP($B385,NIFTY_50!$B$3:$I$1238,8,0)</f>
        <v>-7.4462968172865907E-3</v>
      </c>
      <c r="M385" s="8">
        <f>+VLOOKUP($B385,NIFTY_BANK!$B$3:$I$41238,8,0)</f>
        <v>-9.5095959117833528E-3</v>
      </c>
      <c r="N385" s="8">
        <f>+VLOOKUP($B385,NIFTY_IT!$B$3:$I$1238,8,0)</f>
        <v>5.651913669856734E-3</v>
      </c>
      <c r="O385" s="8">
        <f>+VLOOKUP($B385,NIFTY_PHARMA!$B$3:$I$1238,8,0)</f>
        <v>-4.12047140986469E-2</v>
      </c>
      <c r="P385" s="8">
        <f>+VLOOKUP($B385,NIFTY_FMCG!$B$3:$I$1238,8,0)</f>
        <v>-1.9642552789360668E-3</v>
      </c>
      <c r="Q385" s="8">
        <f>+VLOOKUP($B385,NIFTY_METAL!$B$3:$I$1238,8,0)</f>
        <v>-3.605549808312547E-2</v>
      </c>
      <c r="R385" s="8">
        <f>+VLOOKUP($B385,NIFTY_ENERGY!$B$3:$I$1238,8,0)</f>
        <v>-1.4256020491717258E-2</v>
      </c>
      <c r="S385" s="8">
        <f>+VLOOKUP($B385,NIFTY_AUTO!$B$3:$I$1238,8,0)</f>
        <v>-1.525940534669934E-2</v>
      </c>
      <c r="T385" s="8">
        <v>0</v>
      </c>
      <c r="U385" s="8">
        <f>+VLOOKUP($B385,NIFTY_50!$B$63:$K$1238,10,0)</f>
        <v>3.516700898223446E-2</v>
      </c>
      <c r="V385" s="8">
        <f>+VLOOKUP($B385,NIFTY_BANK!$B$63:$K$1238,10,0)</f>
        <v>6.1833985708116712E-2</v>
      </c>
      <c r="W385" s="8">
        <f>+VLOOKUP($B385,NIFTY_IT!$B$63:$K$1238,10,0)</f>
        <v>0.10122462509746888</v>
      </c>
      <c r="X385" s="8">
        <f>+VLOOKUP($B385,NIFTY_PHARMA!$B$63:$K$1238,10,0)</f>
        <v>-4.9095387751635355E-3</v>
      </c>
      <c r="Y385" s="8">
        <f>+VLOOKUP($B385,NIFTY_FMCG!$B$63:$K$1238,10,0)</f>
        <v>4.9626950435165185E-2</v>
      </c>
      <c r="Z385" s="8">
        <f>+VLOOKUP($B385,NIFTY_METAL!$B$63:$K$1238,10,0)</f>
        <v>-0.19184214889736362</v>
      </c>
      <c r="AA385" s="8">
        <f>+VLOOKUP($B385,NIFTY_ENERGY!$B$63:$K$1238,10,0)</f>
        <v>3.2348381847965957E-2</v>
      </c>
      <c r="AB385" s="8">
        <f>+VLOOKUP($B385,NIFTY_AUTO!$B$63:$K$1238,10,0)</f>
        <v>-5.2179694094903195E-2</v>
      </c>
      <c r="AC385" s="8"/>
      <c r="AD385" s="16">
        <f t="shared" ref="AD385:AD448" si="237">+_xlfn.STDEV.S(L325:L385)*SQRT(60)</f>
        <v>4.5016145755719765E-2</v>
      </c>
      <c r="AE385" s="8">
        <f t="shared" ref="AE385:AE448" si="238">+_xlfn.STDEV.S(M325:M385)*SQRT(60)</f>
        <v>5.8147185647733156E-2</v>
      </c>
      <c r="AF385" s="8">
        <f t="shared" ref="AF385:AF448" si="239">+_xlfn.STDEV.S(N325:N385)*SQRT(60)</f>
        <v>8.8955866697794414E-2</v>
      </c>
      <c r="AG385" s="8">
        <f t="shared" ref="AG385:AG448" si="240">+_xlfn.STDEV.S(O325:O385)*SQRT(60)</f>
        <v>0.10806338299652531</v>
      </c>
      <c r="AH385" s="8">
        <f t="shared" ref="AH385:AH448" si="241">+_xlfn.STDEV.S(P325:P385)*SQRT(60)</f>
        <v>5.8209588737743914E-2</v>
      </c>
      <c r="AI385" s="8">
        <f t="shared" ref="AI385:AI448" si="242">+_xlfn.STDEV.S(Q325:Q385)*SQRT(60)</f>
        <v>0.10685730490755629</v>
      </c>
      <c r="AJ385" s="8">
        <f t="shared" ref="AJ385:AJ448" si="243">+_xlfn.STDEV.S(R325:R385)*SQRT(60)</f>
        <v>8.9354156668680518E-2</v>
      </c>
      <c r="AK385" s="8">
        <f t="shared" ref="AK385:AK448" si="244">+_xlfn.STDEV.S(S325:S385)*SQRT(60)</f>
        <v>6.9019217543708752E-2</v>
      </c>
      <c r="AL385" s="9">
        <v>0</v>
      </c>
      <c r="AM385" s="17">
        <f t="shared" si="221"/>
        <v>22.214251869240488</v>
      </c>
      <c r="AN385" s="13">
        <f t="shared" si="222"/>
        <v>17.197736895783617</v>
      </c>
      <c r="AO385" s="13">
        <f t="shared" si="223"/>
        <v>11.241529503582411</v>
      </c>
      <c r="AP385" s="13">
        <f t="shared" si="224"/>
        <v>9.2538283761869113</v>
      </c>
      <c r="AQ385" s="13">
        <f t="shared" si="225"/>
        <v>17.179300209547538</v>
      </c>
      <c r="AR385" s="13">
        <f t="shared" si="226"/>
        <v>9.3582745780937824</v>
      </c>
      <c r="AS385" s="13">
        <f t="shared" si="227"/>
        <v>11.191421163627965</v>
      </c>
      <c r="AT385" s="13">
        <f t="shared" si="228"/>
        <v>14.488718295983524</v>
      </c>
      <c r="AU385" s="9">
        <v>0</v>
      </c>
      <c r="AV385" s="18">
        <f t="shared" ref="AV385:AV448" si="245">+RANK(AM385,$AM385:$AU385)</f>
        <v>1</v>
      </c>
      <c r="AW385" s="18">
        <f t="shared" ref="AW385:AW448" si="246">+RANK(AN385,$AM385:$AU385)</f>
        <v>2</v>
      </c>
      <c r="AX385" s="18">
        <f t="shared" ref="AX385:AX448" si="247">+RANK(AO385,$AM385:$AU385)</f>
        <v>5</v>
      </c>
      <c r="AY385" s="18">
        <f t="shared" ref="AY385:AY448" si="248">+RANK(AP385,$AM385:$AU385)</f>
        <v>8</v>
      </c>
      <c r="AZ385" s="18">
        <f t="shared" ref="AZ385:AZ448" si="249">+RANK(AQ385,$AM385:$AU385)</f>
        <v>3</v>
      </c>
      <c r="BA385" s="18">
        <f t="shared" ref="BA385:BA448" si="250">+RANK(AR385,$AM385:$AU385)</f>
        <v>7</v>
      </c>
      <c r="BB385" s="18">
        <f t="shared" ref="BB385:BB448" si="251">+RANK(AS385,$AM385:$AU385)</f>
        <v>6</v>
      </c>
      <c r="BC385" s="18">
        <f t="shared" ref="BC385:BC448" si="252">+RANK(AT385,$AM385:$AU385)</f>
        <v>4</v>
      </c>
      <c r="BD385" s="18">
        <f t="shared" ref="BD385:BD448" si="253">+RANK(AU385,$AM385:$AU385)</f>
        <v>9</v>
      </c>
      <c r="BE385" s="8">
        <f t="shared" si="220"/>
        <v>-8.5505650056976953E-3</v>
      </c>
    </row>
    <row r="386" spans="1:57" x14ac:dyDescent="0.25">
      <c r="A386" t="str">
        <f t="shared" si="219"/>
        <v/>
      </c>
      <c r="B386" s="1">
        <v>43298</v>
      </c>
      <c r="C386" s="9">
        <f t="shared" si="229"/>
        <v>0.2514233316996683</v>
      </c>
      <c r="D386" s="9">
        <f t="shared" si="230"/>
        <v>0.25069081451917424</v>
      </c>
      <c r="E386" s="9">
        <f t="shared" si="231"/>
        <v>0</v>
      </c>
      <c r="F386" s="9">
        <f t="shared" si="232"/>
        <v>0</v>
      </c>
      <c r="G386" s="9">
        <f t="shared" si="233"/>
        <v>0.24730815312930859</v>
      </c>
      <c r="H386" s="9">
        <f t="shared" si="234"/>
        <v>0</v>
      </c>
      <c r="I386" s="9">
        <f t="shared" si="235"/>
        <v>0</v>
      </c>
      <c r="J386" s="9">
        <f t="shared" si="236"/>
        <v>0.25057770065184903</v>
      </c>
      <c r="K386" s="9">
        <v>0</v>
      </c>
      <c r="L386" s="8">
        <f>+VLOOKUP($B386,NIFTY_50!$B$3:$I$1238,8,0)</f>
        <v>6.5101011717265678E-3</v>
      </c>
      <c r="M386" s="8">
        <f>+VLOOKUP($B386,NIFTY_BANK!$B$3:$I$41238,8,0)</f>
        <v>1.2305189694075569E-2</v>
      </c>
      <c r="N386" s="8">
        <f>+VLOOKUP($B386,NIFTY_IT!$B$3:$I$1238,8,0)</f>
        <v>8.209590854524329E-5</v>
      </c>
      <c r="O386" s="8">
        <f>+VLOOKUP($B386,NIFTY_PHARMA!$B$3:$I$1238,8,0)</f>
        <v>1.5899572065920076E-2</v>
      </c>
      <c r="P386" s="8">
        <f>+VLOOKUP($B386,NIFTY_FMCG!$B$3:$I$1238,8,0)</f>
        <v>-1.0087466415973578E-2</v>
      </c>
      <c r="Q386" s="8">
        <f>+VLOOKUP($B386,NIFTY_METAL!$B$3:$I$1238,8,0)</f>
        <v>1.7218522142609105E-2</v>
      </c>
      <c r="R386" s="8">
        <f>+VLOOKUP($B386,NIFTY_ENERGY!$B$3:$I$1238,8,0)</f>
        <v>1.6606318778842777E-2</v>
      </c>
      <c r="S386" s="8">
        <f>+VLOOKUP($B386,NIFTY_AUTO!$B$3:$I$1238,8,0)</f>
        <v>1.2044134137506157E-2</v>
      </c>
      <c r="T386" s="8">
        <v>0</v>
      </c>
      <c r="U386" s="8">
        <f>+VLOOKUP($B386,NIFTY_50!$B$63:$K$1238,10,0)</f>
        <v>4.2029335340139529E-2</v>
      </c>
      <c r="V386" s="8">
        <f>+VLOOKUP($B386,NIFTY_BANK!$B$63:$K$1238,10,0)</f>
        <v>8.2755869683308614E-2</v>
      </c>
      <c r="W386" s="8">
        <f>+VLOOKUP($B386,NIFTY_IT!$B$63:$K$1238,10,0)</f>
        <v>5.0890164517787051E-2</v>
      </c>
      <c r="X386" s="8">
        <f>+VLOOKUP($B386,NIFTY_PHARMA!$B$63:$K$1238,10,0)</f>
        <v>1.2052427492686979E-2</v>
      </c>
      <c r="Y386" s="8">
        <f>+VLOOKUP($B386,NIFTY_FMCG!$B$63:$K$1238,10,0)</f>
        <v>4.1339762619192921E-2</v>
      </c>
      <c r="Z386" s="8">
        <f>+VLOOKUP($B386,NIFTY_METAL!$B$63:$K$1238,10,0)</f>
        <v>-0.17186395816469435</v>
      </c>
      <c r="AA386" s="8">
        <f>+VLOOKUP($B386,NIFTY_ENERGY!$B$63:$K$1238,10,0)</f>
        <v>6.2512753729654147E-2</v>
      </c>
      <c r="AB386" s="8">
        <f>+VLOOKUP($B386,NIFTY_AUTO!$B$63:$K$1238,10,0)</f>
        <v>-4.1472539575703071E-2</v>
      </c>
      <c r="AC386" s="8"/>
      <c r="AD386" s="16">
        <f t="shared" si="237"/>
        <v>4.5391266280894071E-2</v>
      </c>
      <c r="AE386" s="8">
        <f t="shared" si="238"/>
        <v>5.8600521208333506E-2</v>
      </c>
      <c r="AF386" s="8">
        <f t="shared" si="239"/>
        <v>7.5702644786566076E-2</v>
      </c>
      <c r="AG386" s="8">
        <f t="shared" si="240"/>
        <v>0.10919689286963553</v>
      </c>
      <c r="AH386" s="8">
        <f t="shared" si="241"/>
        <v>5.9136835093723181E-2</v>
      </c>
      <c r="AI386" s="8">
        <f t="shared" si="242"/>
        <v>0.10871036323565536</v>
      </c>
      <c r="AJ386" s="8">
        <f t="shared" si="243"/>
        <v>8.9789702248962405E-2</v>
      </c>
      <c r="AK386" s="8">
        <f t="shared" si="244"/>
        <v>7.0178654152564274E-2</v>
      </c>
      <c r="AL386" s="9">
        <v>0</v>
      </c>
      <c r="AM386" s="17">
        <f t="shared" si="221"/>
        <v>22.030669816781835</v>
      </c>
      <c r="AN386" s="13">
        <f t="shared" si="222"/>
        <v>17.064694637183386</v>
      </c>
      <c r="AO386" s="13">
        <f t="shared" si="223"/>
        <v>13.209578117374527</v>
      </c>
      <c r="AP386" s="13">
        <f t="shared" si="224"/>
        <v>9.1577697287948272</v>
      </c>
      <c r="AQ386" s="13">
        <f t="shared" si="225"/>
        <v>16.90993436519129</v>
      </c>
      <c r="AR386" s="13">
        <f t="shared" si="226"/>
        <v>9.1987550242313514</v>
      </c>
      <c r="AS386" s="13">
        <f t="shared" si="227"/>
        <v>11.137134604002497</v>
      </c>
      <c r="AT386" s="13">
        <f t="shared" si="228"/>
        <v>14.249347071063214</v>
      </c>
      <c r="AU386" s="9">
        <v>0</v>
      </c>
      <c r="AV386" s="18">
        <f t="shared" si="245"/>
        <v>1</v>
      </c>
      <c r="AW386" s="18">
        <f t="shared" si="246"/>
        <v>2</v>
      </c>
      <c r="AX386" s="18">
        <f t="shared" si="247"/>
        <v>5</v>
      </c>
      <c r="AY386" s="18">
        <f t="shared" si="248"/>
        <v>8</v>
      </c>
      <c r="AZ386" s="18">
        <f t="shared" si="249"/>
        <v>3</v>
      </c>
      <c r="BA386" s="18">
        <f t="shared" si="250"/>
        <v>7</v>
      </c>
      <c r="BB386" s="18">
        <f t="shared" si="251"/>
        <v>6</v>
      </c>
      <c r="BC386" s="18">
        <f t="shared" si="252"/>
        <v>4</v>
      </c>
      <c r="BD386" s="18">
        <f t="shared" si="253"/>
        <v>9</v>
      </c>
      <c r="BE386" s="8">
        <f t="shared" si="220"/>
        <v>5.1619543900101577E-3</v>
      </c>
    </row>
    <row r="387" spans="1:57" x14ac:dyDescent="0.25">
      <c r="A387" t="str">
        <f t="shared" si="219"/>
        <v/>
      </c>
      <c r="B387" s="1">
        <v>43299</v>
      </c>
      <c r="C387" s="9">
        <f t="shared" si="229"/>
        <v>0.25275547371102047</v>
      </c>
      <c r="D387" s="9">
        <f t="shared" si="230"/>
        <v>0.25146262275679887</v>
      </c>
      <c r="E387" s="9">
        <f t="shared" si="231"/>
        <v>0</v>
      </c>
      <c r="F387" s="9">
        <f t="shared" si="232"/>
        <v>0</v>
      </c>
      <c r="G387" s="9">
        <f t="shared" si="233"/>
        <v>0.24686021865556787</v>
      </c>
      <c r="H387" s="9">
        <f t="shared" si="234"/>
        <v>0</v>
      </c>
      <c r="I387" s="9">
        <f t="shared" si="235"/>
        <v>0</v>
      </c>
      <c r="J387" s="9">
        <f t="shared" si="236"/>
        <v>0.2489216848766129</v>
      </c>
      <c r="K387" s="9">
        <v>0</v>
      </c>
      <c r="L387" s="8">
        <f>+VLOOKUP($B387,NIFTY_50!$B$3:$I$1238,8,0)</f>
        <v>-2.5072560535243094E-3</v>
      </c>
      <c r="M387" s="8">
        <f>+VLOOKUP($B387,NIFTY_BANK!$B$3:$I$41238,8,0)</f>
        <v>-4.7096982016504585E-3</v>
      </c>
      <c r="N387" s="8">
        <f>+VLOOKUP($B387,NIFTY_IT!$B$3:$I$1238,8,0)</f>
        <v>9.2008277324584498E-4</v>
      </c>
      <c r="O387" s="8">
        <f>+VLOOKUP($B387,NIFTY_PHARMA!$B$3:$I$1238,8,0)</f>
        <v>-4.5316543619274841E-3</v>
      </c>
      <c r="P387" s="8">
        <f>+VLOOKUP($B387,NIFTY_FMCG!$B$3:$I$1238,8,0)</f>
        <v>-9.5616958260241747E-3</v>
      </c>
      <c r="Q387" s="8">
        <f>+VLOOKUP($B387,NIFTY_METAL!$B$3:$I$1238,8,0)</f>
        <v>-3.1511333840162692E-2</v>
      </c>
      <c r="R387" s="8">
        <f>+VLOOKUP($B387,NIFTY_ENERGY!$B$3:$I$1238,8,0)</f>
        <v>3.107780625606793E-3</v>
      </c>
      <c r="S387" s="8">
        <f>+VLOOKUP($B387,NIFTY_AUTO!$B$3:$I$1238,8,0)</f>
        <v>-1.4321996416081006E-2</v>
      </c>
      <c r="T387" s="8">
        <v>0</v>
      </c>
      <c r="U387" s="8">
        <f>+VLOOKUP($B387,NIFTY_50!$B$63:$K$1238,10,0)</f>
        <v>3.7388872618024038E-2</v>
      </c>
      <c r="V387" s="8">
        <f>+VLOOKUP($B387,NIFTY_BANK!$B$63:$K$1238,10,0)</f>
        <v>7.6931089534927999E-2</v>
      </c>
      <c r="W387" s="8">
        <f>+VLOOKUP($B387,NIFTY_IT!$B$63:$K$1238,10,0)</f>
        <v>4.4081076356059512E-2</v>
      </c>
      <c r="X387" s="8">
        <f>+VLOOKUP($B387,NIFTY_PHARMA!$B$63:$K$1238,10,0)</f>
        <v>-7.1788511603481098E-3</v>
      </c>
      <c r="Y387" s="8">
        <f>+VLOOKUP($B387,NIFTY_FMCG!$B$63:$K$1238,10,0)</f>
        <v>3.4654852161066119E-2</v>
      </c>
      <c r="Z387" s="8">
        <f>+VLOOKUP($B387,NIFTY_METAL!$B$63:$K$1238,10,0)</f>
        <v>-0.19174942704354481</v>
      </c>
      <c r="AA387" s="8">
        <f>+VLOOKUP($B387,NIFTY_ENERGY!$B$63:$K$1238,10,0)</f>
        <v>5.9353254195661176E-2</v>
      </c>
      <c r="AB387" s="8">
        <f>+VLOOKUP($B387,NIFTY_AUTO!$B$63:$K$1238,10,0)</f>
        <v>-5.9892843474933066E-2</v>
      </c>
      <c r="AC387" s="8"/>
      <c r="AD387" s="16">
        <f t="shared" si="237"/>
        <v>4.5482761339322227E-2</v>
      </c>
      <c r="AE387" s="8">
        <f t="shared" si="238"/>
        <v>5.8903467012452332E-2</v>
      </c>
      <c r="AF387" s="8">
        <f t="shared" si="239"/>
        <v>7.5410952209556611E-2</v>
      </c>
      <c r="AG387" s="8">
        <f t="shared" si="240"/>
        <v>0.10831505846049169</v>
      </c>
      <c r="AH387" s="8">
        <f t="shared" si="241"/>
        <v>5.9889785798974603E-2</v>
      </c>
      <c r="AI387" s="8">
        <f t="shared" si="242"/>
        <v>0.11225021110904881</v>
      </c>
      <c r="AJ387" s="8">
        <f t="shared" si="243"/>
        <v>8.9670753373971179E-2</v>
      </c>
      <c r="AK387" s="8">
        <f t="shared" si="244"/>
        <v>7.1231201850496126E-2</v>
      </c>
      <c r="AL387" s="9">
        <v>0</v>
      </c>
      <c r="AM387" s="17">
        <f t="shared" si="221"/>
        <v>21.98635198376682</v>
      </c>
      <c r="AN387" s="13">
        <f t="shared" si="222"/>
        <v>16.976929384964684</v>
      </c>
      <c r="AO387" s="13">
        <f t="shared" si="223"/>
        <v>13.260673293464565</v>
      </c>
      <c r="AP387" s="13">
        <f t="shared" si="224"/>
        <v>9.2323266424192862</v>
      </c>
      <c r="AQ387" s="13">
        <f t="shared" si="225"/>
        <v>16.697338062897554</v>
      </c>
      <c r="AR387" s="13">
        <f t="shared" si="226"/>
        <v>8.9086692142478032</v>
      </c>
      <c r="AS387" s="13">
        <f t="shared" si="227"/>
        <v>11.151908090138463</v>
      </c>
      <c r="AT387" s="13">
        <f t="shared" si="228"/>
        <v>14.038791625316863</v>
      </c>
      <c r="AU387" s="9">
        <v>0</v>
      </c>
      <c r="AV387" s="18">
        <f t="shared" si="245"/>
        <v>1</v>
      </c>
      <c r="AW387" s="18">
        <f t="shared" si="246"/>
        <v>2</v>
      </c>
      <c r="AX387" s="18">
        <f t="shared" si="247"/>
        <v>5</v>
      </c>
      <c r="AY387" s="18">
        <f t="shared" si="248"/>
        <v>7</v>
      </c>
      <c r="AZ387" s="18">
        <f t="shared" si="249"/>
        <v>3</v>
      </c>
      <c r="BA387" s="18">
        <f t="shared" si="250"/>
        <v>8</v>
      </c>
      <c r="BB387" s="18">
        <f t="shared" si="251"/>
        <v>6</v>
      </c>
      <c r="BC387" s="18">
        <f t="shared" si="252"/>
        <v>4</v>
      </c>
      <c r="BD387" s="18">
        <f t="shared" si="253"/>
        <v>9</v>
      </c>
      <c r="BE387" s="8">
        <f t="shared" si="220"/>
        <v>-7.764519014916346E-3</v>
      </c>
    </row>
    <row r="388" spans="1:57" x14ac:dyDescent="0.25">
      <c r="A388" t="str">
        <f t="shared" ref="A388:A451" si="254">+IF(MONTH(B388)&lt;&gt;MONTH(B389),"Y","")</f>
        <v/>
      </c>
      <c r="B388" s="1">
        <v>43300</v>
      </c>
      <c r="C388" s="9">
        <f t="shared" si="229"/>
        <v>0.25215357463679344</v>
      </c>
      <c r="D388" s="9">
        <f t="shared" si="230"/>
        <v>0.25054500486492409</v>
      </c>
      <c r="E388" s="9">
        <f t="shared" si="231"/>
        <v>0</v>
      </c>
      <c r="F388" s="9">
        <f t="shared" si="232"/>
        <v>0</v>
      </c>
      <c r="G388" s="9">
        <f t="shared" si="233"/>
        <v>0.24866433787623363</v>
      </c>
      <c r="H388" s="9">
        <f t="shared" si="234"/>
        <v>0</v>
      </c>
      <c r="I388" s="9">
        <f t="shared" si="235"/>
        <v>0</v>
      </c>
      <c r="J388" s="9">
        <f t="shared" si="236"/>
        <v>0.2486370826220487</v>
      </c>
      <c r="K388" s="9">
        <v>0</v>
      </c>
      <c r="L388" s="8">
        <f>+VLOOKUP($B388,NIFTY_50!$B$3:$I$1238,8,0)</f>
        <v>-2.1265066550095746E-3</v>
      </c>
      <c r="M388" s="8">
        <f>+VLOOKUP($B388,NIFTY_BANK!$B$3:$I$41238,8,0)</f>
        <v>-3.3946036033020155E-3</v>
      </c>
      <c r="N388" s="8">
        <f>+VLOOKUP($B388,NIFTY_IT!$B$3:$I$1238,8,0)</f>
        <v>-9.6947039646794186E-3</v>
      </c>
      <c r="O388" s="8">
        <f>+VLOOKUP($B388,NIFTY_PHARMA!$B$3:$I$1238,8,0)</f>
        <v>-1.5277441717825968E-2</v>
      </c>
      <c r="P388" s="8">
        <f>+VLOOKUP($B388,NIFTY_FMCG!$B$3:$I$1238,8,0)</f>
        <v>7.5655801456551153E-3</v>
      </c>
      <c r="Q388" s="8">
        <f>+VLOOKUP($B388,NIFTY_METAL!$B$3:$I$1238,8,0)</f>
        <v>-5.2865976738970533E-3</v>
      </c>
      <c r="R388" s="8">
        <f>+VLOOKUP($B388,NIFTY_ENERGY!$B$3:$I$1238,8,0)</f>
        <v>4.7272929807704589E-3</v>
      </c>
      <c r="S388" s="8">
        <f>+VLOOKUP($B388,NIFTY_AUTO!$B$3:$I$1238,8,0)</f>
        <v>-8.8818163314396958E-4</v>
      </c>
      <c r="T388" s="8">
        <v>0</v>
      </c>
      <c r="U388" s="8">
        <f>+VLOOKUP($B388,NIFTY_50!$B$63:$K$1238,10,0)</f>
        <v>3.2291190699383465E-2</v>
      </c>
      <c r="V388" s="8">
        <f>+VLOOKUP($B388,NIFTY_BANK!$B$63:$K$1238,10,0)</f>
        <v>6.9784482930744796E-2</v>
      </c>
      <c r="W388" s="8">
        <f>+VLOOKUP($B388,NIFTY_IT!$B$63:$K$1238,10,0)</f>
        <v>5.4973497975944419E-2</v>
      </c>
      <c r="X388" s="8">
        <f>+VLOOKUP($B388,NIFTY_PHARMA!$B$63:$K$1238,10,0)</f>
        <v>-2.6073696454311235E-2</v>
      </c>
      <c r="Y388" s="8">
        <f>+VLOOKUP($B388,NIFTY_FMCG!$B$63:$K$1238,10,0)</f>
        <v>4.037936229241379E-2</v>
      </c>
      <c r="Z388" s="8">
        <f>+VLOOKUP($B388,NIFTY_METAL!$B$63:$K$1238,10,0)</f>
        <v>-0.1803252719400148</v>
      </c>
      <c r="AA388" s="8">
        <f>+VLOOKUP($B388,NIFTY_ENERGY!$B$63:$K$1238,10,0)</f>
        <v>4.2588391683162641E-2</v>
      </c>
      <c r="AB388" s="8">
        <f>+VLOOKUP($B388,NIFTY_AUTO!$B$63:$K$1238,10,0)</f>
        <v>-6.2798326766528412E-2</v>
      </c>
      <c r="AC388" s="8"/>
      <c r="AD388" s="16">
        <f t="shared" si="237"/>
        <v>4.550887840627367E-2</v>
      </c>
      <c r="AE388" s="8">
        <f t="shared" si="238"/>
        <v>5.9045177669271816E-2</v>
      </c>
      <c r="AF388" s="8">
        <f t="shared" si="239"/>
        <v>7.3259000623497952E-2</v>
      </c>
      <c r="AG388" s="8">
        <f t="shared" si="240"/>
        <v>0.10928897599999718</v>
      </c>
      <c r="AH388" s="8">
        <f t="shared" si="241"/>
        <v>6.0273661911365378E-2</v>
      </c>
      <c r="AI388" s="8">
        <f t="shared" si="242"/>
        <v>0.11113903963993599</v>
      </c>
      <c r="AJ388" s="8">
        <f t="shared" si="243"/>
        <v>8.749561949914135E-2</v>
      </c>
      <c r="AK388" s="8">
        <f t="shared" si="244"/>
        <v>7.1159144064611574E-2</v>
      </c>
      <c r="AL388" s="9">
        <v>0</v>
      </c>
      <c r="AM388" s="17">
        <f t="shared" si="221"/>
        <v>21.973734247472557</v>
      </c>
      <c r="AN388" s="13">
        <f t="shared" si="222"/>
        <v>16.936184113142541</v>
      </c>
      <c r="AO388" s="13">
        <f t="shared" si="223"/>
        <v>13.65019985925454</v>
      </c>
      <c r="AP388" s="13">
        <f t="shared" si="224"/>
        <v>9.1500537071554753</v>
      </c>
      <c r="AQ388" s="13">
        <f t="shared" si="225"/>
        <v>16.590994611718408</v>
      </c>
      <c r="AR388" s="13">
        <f t="shared" si="226"/>
        <v>8.9977383576442787</v>
      </c>
      <c r="AS388" s="13">
        <f t="shared" si="227"/>
        <v>11.429143604267111</v>
      </c>
      <c r="AT388" s="13">
        <f t="shared" si="228"/>
        <v>14.053007707512798</v>
      </c>
      <c r="AU388" s="9">
        <v>0</v>
      </c>
      <c r="AV388" s="18">
        <f t="shared" si="245"/>
        <v>1</v>
      </c>
      <c r="AW388" s="18">
        <f t="shared" si="246"/>
        <v>2</v>
      </c>
      <c r="AX388" s="18">
        <f t="shared" si="247"/>
        <v>5</v>
      </c>
      <c r="AY388" s="18">
        <f t="shared" si="248"/>
        <v>7</v>
      </c>
      <c r="AZ388" s="18">
        <f t="shared" si="249"/>
        <v>3</v>
      </c>
      <c r="BA388" s="18">
        <f t="shared" si="250"/>
        <v>8</v>
      </c>
      <c r="BB388" s="18">
        <f t="shared" si="251"/>
        <v>6</v>
      </c>
      <c r="BC388" s="18">
        <f t="shared" si="252"/>
        <v>4</v>
      </c>
      <c r="BD388" s="18">
        <f t="shared" si="253"/>
        <v>9</v>
      </c>
      <c r="BE388" s="8">
        <f t="shared" ref="BE388:BE451" si="255">+SUMPRODUCT(C387:J387,L388:S388)</f>
        <v>2.554509781713987E-4</v>
      </c>
    </row>
    <row r="389" spans="1:57" x14ac:dyDescent="0.25">
      <c r="A389" t="str">
        <f t="shared" si="254"/>
        <v/>
      </c>
      <c r="B389" s="1">
        <v>43301</v>
      </c>
      <c r="C389" s="9">
        <f t="shared" si="229"/>
        <v>0.25299089706594058</v>
      </c>
      <c r="D389" s="9">
        <f t="shared" si="230"/>
        <v>0.25094484356725222</v>
      </c>
      <c r="E389" s="9">
        <f t="shared" si="231"/>
        <v>0</v>
      </c>
      <c r="F389" s="9">
        <f t="shared" si="232"/>
        <v>0</v>
      </c>
      <c r="G389" s="9">
        <f t="shared" si="233"/>
        <v>0.24886903722444359</v>
      </c>
      <c r="H389" s="9">
        <f t="shared" si="234"/>
        <v>0</v>
      </c>
      <c r="I389" s="9">
        <f t="shared" si="235"/>
        <v>0</v>
      </c>
      <c r="J389" s="9">
        <f t="shared" si="236"/>
        <v>0.24719522214236356</v>
      </c>
      <c r="K389" s="9">
        <v>0</v>
      </c>
      <c r="L389" s="8">
        <f>+VLOOKUP($B389,NIFTY_50!$B$3:$I$1238,8,0)</f>
        <v>4.8461728011974792E-3</v>
      </c>
      <c r="M389" s="8">
        <f>+VLOOKUP($B389,NIFTY_BANK!$B$3:$I$41238,8,0)</f>
        <v>3.1187417528784067E-3</v>
      </c>
      <c r="N389" s="8">
        <f>+VLOOKUP($B389,NIFTY_IT!$B$3:$I$1238,8,0)</f>
        <v>1.459987508497318E-2</v>
      </c>
      <c r="O389" s="8">
        <f>+VLOOKUP($B389,NIFTY_PHARMA!$B$3:$I$1238,8,0)</f>
        <v>1.6611618418496343E-2</v>
      </c>
      <c r="P389" s="8">
        <f>+VLOOKUP($B389,NIFTY_FMCG!$B$3:$I$1238,8,0)</f>
        <v>2.3448866067607987E-3</v>
      </c>
      <c r="Q389" s="8">
        <f>+VLOOKUP($B389,NIFTY_METAL!$B$3:$I$1238,8,0)</f>
        <v>-3.9940733105714443E-3</v>
      </c>
      <c r="R389" s="8">
        <f>+VLOOKUP($B389,NIFTY_ENERGY!$B$3:$I$1238,8,0)</f>
        <v>7.6916147540415647E-3</v>
      </c>
      <c r="S389" s="8">
        <f>+VLOOKUP($B389,NIFTY_AUTO!$B$3:$I$1238,8,0)</f>
        <v>-4.2874340216686457E-3</v>
      </c>
      <c r="T389" s="8">
        <v>0</v>
      </c>
      <c r="U389" s="8">
        <f>+VLOOKUP($B389,NIFTY_50!$B$63:$K$1238,10,0)</f>
        <v>4.1591970143464829E-2</v>
      </c>
      <c r="V389" s="8">
        <f>+VLOOKUP($B389,NIFTY_BANK!$B$63:$K$1238,10,0)</f>
        <v>8.2967954091172746E-2</v>
      </c>
      <c r="W389" s="8">
        <f>+VLOOKUP($B389,NIFTY_IT!$B$63:$K$1238,10,0)</f>
        <v>5.8233278627163099E-2</v>
      </c>
      <c r="X389" s="8">
        <f>+VLOOKUP($B389,NIFTY_PHARMA!$B$63:$K$1238,10,0)</f>
        <v>-6.6283570100489353E-4</v>
      </c>
      <c r="Y389" s="8">
        <f>+VLOOKUP($B389,NIFTY_FMCG!$B$63:$K$1238,10,0)</f>
        <v>4.5260967190350332E-2</v>
      </c>
      <c r="Z389" s="8">
        <f>+VLOOKUP($B389,NIFTY_METAL!$B$63:$K$1238,10,0)</f>
        <v>-0.17236764627161283</v>
      </c>
      <c r="AA389" s="8">
        <f>+VLOOKUP($B389,NIFTY_ENERGY!$B$63:$K$1238,10,0)</f>
        <v>5.4948004512199944E-2</v>
      </c>
      <c r="AB389" s="8">
        <f>+VLOOKUP($B389,NIFTY_AUTO!$B$63:$K$1238,10,0)</f>
        <v>-6.5267092623983891E-2</v>
      </c>
      <c r="AC389" s="8"/>
      <c r="AD389" s="16">
        <f t="shared" si="237"/>
        <v>4.5459206492487428E-2</v>
      </c>
      <c r="AE389" s="8">
        <f t="shared" si="238"/>
        <v>5.8165443525167768E-2</v>
      </c>
      <c r="AF389" s="8">
        <f t="shared" si="239"/>
        <v>7.3772976403958385E-2</v>
      </c>
      <c r="AG389" s="8">
        <f t="shared" si="240"/>
        <v>0.11018645720165703</v>
      </c>
      <c r="AH389" s="8">
        <f t="shared" si="241"/>
        <v>6.0218267091301111E-2</v>
      </c>
      <c r="AI389" s="8">
        <f t="shared" si="242"/>
        <v>0.11064608206498919</v>
      </c>
      <c r="AJ389" s="8">
        <f t="shared" si="243"/>
        <v>8.7623059878578338E-2</v>
      </c>
      <c r="AK389" s="8">
        <f t="shared" si="244"/>
        <v>7.1230428946487054E-2</v>
      </c>
      <c r="AL389" s="9">
        <v>0</v>
      </c>
      <c r="AM389" s="17">
        <f t="shared" si="221"/>
        <v>21.997744288943093</v>
      </c>
      <c r="AN389" s="13">
        <f t="shared" si="222"/>
        <v>17.192338601652839</v>
      </c>
      <c r="AO389" s="13">
        <f t="shared" si="223"/>
        <v>13.555099017888395</v>
      </c>
      <c r="AP389" s="13">
        <f t="shared" si="224"/>
        <v>9.0755254810476078</v>
      </c>
      <c r="AQ389" s="13">
        <f t="shared" si="225"/>
        <v>16.606256677626249</v>
      </c>
      <c r="AR389" s="13">
        <f t="shared" si="226"/>
        <v>9.0378256630238294</v>
      </c>
      <c r="AS389" s="13">
        <f t="shared" si="227"/>
        <v>11.412520875049642</v>
      </c>
      <c r="AT389" s="13">
        <f t="shared" si="228"/>
        <v>14.038943956820269</v>
      </c>
      <c r="AU389" s="9">
        <v>0</v>
      </c>
      <c r="AV389" s="18">
        <f t="shared" si="245"/>
        <v>1</v>
      </c>
      <c r="AW389" s="18">
        <f t="shared" si="246"/>
        <v>2</v>
      </c>
      <c r="AX389" s="18">
        <f t="shared" si="247"/>
        <v>5</v>
      </c>
      <c r="AY389" s="18">
        <f t="shared" si="248"/>
        <v>7</v>
      </c>
      <c r="AZ389" s="18">
        <f t="shared" si="249"/>
        <v>3</v>
      </c>
      <c r="BA389" s="18">
        <f t="shared" si="250"/>
        <v>8</v>
      </c>
      <c r="BB389" s="18">
        <f t="shared" si="251"/>
        <v>6</v>
      </c>
      <c r="BC389" s="18">
        <f t="shared" si="252"/>
        <v>4</v>
      </c>
      <c r="BD389" s="18">
        <f t="shared" si="253"/>
        <v>9</v>
      </c>
      <c r="BE389" s="8">
        <f t="shared" si="255"/>
        <v>1.5204395511597218E-3</v>
      </c>
    </row>
    <row r="390" spans="1:57" x14ac:dyDescent="0.25">
      <c r="A390" t="str">
        <f t="shared" si="254"/>
        <v/>
      </c>
      <c r="B390" s="1">
        <v>43304</v>
      </c>
      <c r="C390" s="9">
        <f t="shared" si="229"/>
        <v>0.2523061422461928</v>
      </c>
      <c r="D390" s="9">
        <f t="shared" si="230"/>
        <v>0.2498307906750078</v>
      </c>
      <c r="E390" s="9">
        <f t="shared" si="231"/>
        <v>0</v>
      </c>
      <c r="F390" s="9">
        <f t="shared" si="232"/>
        <v>0</v>
      </c>
      <c r="G390" s="9">
        <f t="shared" si="233"/>
        <v>0.25258728223286026</v>
      </c>
      <c r="H390" s="9">
        <f t="shared" si="234"/>
        <v>0</v>
      </c>
      <c r="I390" s="9">
        <f t="shared" si="235"/>
        <v>0</v>
      </c>
      <c r="J390" s="9">
        <f t="shared" si="236"/>
        <v>0.24527578484593918</v>
      </c>
      <c r="K390" s="9">
        <v>0</v>
      </c>
      <c r="L390" s="8">
        <f>+VLOOKUP($B390,NIFTY_50!$B$3:$I$1238,8,0)</f>
        <v>6.770994169043254E-3</v>
      </c>
      <c r="M390" s="8">
        <f>+VLOOKUP($B390,NIFTY_BANK!$B$3:$I$41238,8,0)</f>
        <v>5.0217316880758478E-3</v>
      </c>
      <c r="N390" s="8">
        <f>+VLOOKUP($B390,NIFTY_IT!$B$3:$I$1238,8,0)</f>
        <v>-1.2379773354918022E-3</v>
      </c>
      <c r="O390" s="8">
        <f>+VLOOKUP($B390,NIFTY_PHARMA!$B$3:$I$1238,8,0)</f>
        <v>4.7384840223714253E-3</v>
      </c>
      <c r="P390" s="8">
        <f>+VLOOKUP($B390,NIFTY_FMCG!$B$3:$I$1238,8,0)</f>
        <v>2.4585908951197055E-2</v>
      </c>
      <c r="Q390" s="8">
        <f>+VLOOKUP($B390,NIFTY_METAL!$B$3:$I$1238,8,0)</f>
        <v>1.5248043464200167E-2</v>
      </c>
      <c r="R390" s="8">
        <f>+VLOOKUP($B390,NIFTY_ENERGY!$B$3:$I$1238,8,0)</f>
        <v>-2.3345688096104711E-3</v>
      </c>
      <c r="S390" s="8">
        <f>+VLOOKUP($B390,NIFTY_AUTO!$B$3:$I$1238,8,0)</f>
        <v>1.6646981688319684E-3</v>
      </c>
      <c r="T390" s="8">
        <v>0</v>
      </c>
      <c r="U390" s="8">
        <f>+VLOOKUP($B390,NIFTY_50!$B$63:$K$1238,10,0)</f>
        <v>4.3978036881463289E-2</v>
      </c>
      <c r="V390" s="8">
        <f>+VLOOKUP($B390,NIFTY_BANK!$B$63:$K$1238,10,0)</f>
        <v>7.9855183140150832E-2</v>
      </c>
      <c r="W390" s="8">
        <f>+VLOOKUP($B390,NIFTY_IT!$B$63:$K$1238,10,0)</f>
        <v>4.6807327480189675E-2</v>
      </c>
      <c r="X390" s="8">
        <f>+VLOOKUP($B390,NIFTY_PHARMA!$B$63:$K$1238,10,0)</f>
        <v>4.5860216262392228E-3</v>
      </c>
      <c r="Y390" s="8">
        <f>+VLOOKUP($B390,NIFTY_FMCG!$B$63:$K$1238,10,0)</f>
        <v>5.8518436191776768E-2</v>
      </c>
      <c r="Z390" s="8">
        <f>+VLOOKUP($B390,NIFTY_METAL!$B$63:$K$1238,10,0)</f>
        <v>-0.16004013377926429</v>
      </c>
      <c r="AA390" s="8">
        <f>+VLOOKUP($B390,NIFTY_ENERGY!$B$63:$K$1238,10,0)</f>
        <v>4.9439957757227093E-2</v>
      </c>
      <c r="AB390" s="8">
        <f>+VLOOKUP($B390,NIFTY_AUTO!$B$63:$K$1238,10,0)</f>
        <v>-6.6251690536463514E-2</v>
      </c>
      <c r="AC390" s="8"/>
      <c r="AD390" s="16">
        <f t="shared" si="237"/>
        <v>4.5707386333452296E-2</v>
      </c>
      <c r="AE390" s="8">
        <f t="shared" si="238"/>
        <v>5.7907925615067954E-2</v>
      </c>
      <c r="AF390" s="8">
        <f t="shared" si="239"/>
        <v>7.3279358698453298E-2</v>
      </c>
      <c r="AG390" s="8">
        <f t="shared" si="240"/>
        <v>0.11028085184747873</v>
      </c>
      <c r="AH390" s="8">
        <f t="shared" si="241"/>
        <v>6.3800248870433701E-2</v>
      </c>
      <c r="AI390" s="8">
        <f t="shared" si="242"/>
        <v>0.11207393295487983</v>
      </c>
      <c r="AJ390" s="8">
        <f t="shared" si="243"/>
        <v>8.7659728527426234E-2</v>
      </c>
      <c r="AK390" s="8">
        <f t="shared" si="244"/>
        <v>7.1181988157114989E-2</v>
      </c>
      <c r="AL390" s="9">
        <v>0</v>
      </c>
      <c r="AM390" s="17">
        <f t="shared" si="221"/>
        <v>21.878301959876463</v>
      </c>
      <c r="AN390" s="13">
        <f t="shared" si="222"/>
        <v>17.268793336637749</v>
      </c>
      <c r="AO390" s="13">
        <f t="shared" si="223"/>
        <v>13.646407634584103</v>
      </c>
      <c r="AP390" s="13">
        <f t="shared" si="224"/>
        <v>9.0677573055295753</v>
      </c>
      <c r="AQ390" s="13">
        <f t="shared" si="225"/>
        <v>15.673920050544188</v>
      </c>
      <c r="AR390" s="13">
        <f t="shared" si="226"/>
        <v>8.92268142675597</v>
      </c>
      <c r="AS390" s="13">
        <f t="shared" si="227"/>
        <v>11.407746941483266</v>
      </c>
      <c r="AT390" s="13">
        <f t="shared" si="228"/>
        <v>14.048497743456819</v>
      </c>
      <c r="AU390" s="9">
        <v>0</v>
      </c>
      <c r="AV390" s="18">
        <f t="shared" si="245"/>
        <v>1</v>
      </c>
      <c r="AW390" s="18">
        <f t="shared" si="246"/>
        <v>2</v>
      </c>
      <c r="AX390" s="18">
        <f t="shared" si="247"/>
        <v>5</v>
      </c>
      <c r="AY390" s="18">
        <f t="shared" si="248"/>
        <v>7</v>
      </c>
      <c r="AZ390" s="18">
        <f t="shared" si="249"/>
        <v>3</v>
      </c>
      <c r="BA390" s="18">
        <f t="shared" si="250"/>
        <v>8</v>
      </c>
      <c r="BB390" s="18">
        <f t="shared" si="251"/>
        <v>6</v>
      </c>
      <c r="BC390" s="18">
        <f t="shared" si="252"/>
        <v>4</v>
      </c>
      <c r="BD390" s="18">
        <f t="shared" si="253"/>
        <v>9</v>
      </c>
      <c r="BE390" s="8">
        <f t="shared" si="255"/>
        <v>9.5033544853720571E-3</v>
      </c>
    </row>
    <row r="391" spans="1:57" x14ac:dyDescent="0.25">
      <c r="A391" t="str">
        <f t="shared" si="254"/>
        <v/>
      </c>
      <c r="B391" s="1">
        <v>43305</v>
      </c>
      <c r="C391" s="9">
        <f t="shared" si="229"/>
        <v>0.25265234323931862</v>
      </c>
      <c r="D391" s="9">
        <f t="shared" si="230"/>
        <v>0.24874903809517493</v>
      </c>
      <c r="E391" s="9">
        <f t="shared" si="231"/>
        <v>0</v>
      </c>
      <c r="F391" s="9">
        <f t="shared" si="232"/>
        <v>0</v>
      </c>
      <c r="G391" s="9">
        <f t="shared" si="233"/>
        <v>0.25202019180986324</v>
      </c>
      <c r="H391" s="9">
        <f t="shared" si="234"/>
        <v>0</v>
      </c>
      <c r="I391" s="9">
        <f t="shared" si="235"/>
        <v>0</v>
      </c>
      <c r="J391" s="9">
        <f t="shared" si="236"/>
        <v>0.24657842685564321</v>
      </c>
      <c r="K391" s="9">
        <v>0</v>
      </c>
      <c r="L391" s="8">
        <f>+VLOOKUP($B391,NIFTY_50!$B$3:$I$1238,8,0)</f>
        <v>4.4701053248832334E-3</v>
      </c>
      <c r="M391" s="8">
        <f>+VLOOKUP($B391,NIFTY_BANK!$B$3:$I$41238,8,0)</f>
        <v>-1.2496227990439479E-3</v>
      </c>
      <c r="N391" s="8">
        <f>+VLOOKUP($B391,NIFTY_IT!$B$3:$I$1238,8,0)</f>
        <v>-1.3144273727798694E-3</v>
      </c>
      <c r="O391" s="8">
        <f>+VLOOKUP($B391,NIFTY_PHARMA!$B$3:$I$1238,8,0)</f>
        <v>1.2492447467943757E-2</v>
      </c>
      <c r="P391" s="8">
        <f>+VLOOKUP($B391,NIFTY_FMCG!$B$3:$I$1238,8,0)</f>
        <v>8.4164141742415488E-4</v>
      </c>
      <c r="Q391" s="8">
        <f>+VLOOKUP($B391,NIFTY_METAL!$B$3:$I$1238,8,0)</f>
        <v>2.992657715769198E-2</v>
      </c>
      <c r="R391" s="8">
        <f>+VLOOKUP($B391,NIFTY_ENERGY!$B$3:$I$1238,8,0)</f>
        <v>-1.4026405483739124E-3</v>
      </c>
      <c r="S391" s="8">
        <f>+VLOOKUP($B391,NIFTY_AUTO!$B$3:$I$1238,8,0)</f>
        <v>8.4210721779658382E-3</v>
      </c>
      <c r="T391" s="8">
        <v>0</v>
      </c>
      <c r="U391" s="8">
        <f>+VLOOKUP($B391,NIFTY_50!$B$63:$K$1238,10,0)</f>
        <v>4.1338159236085747E-2</v>
      </c>
      <c r="V391" s="8">
        <f>+VLOOKUP($B391,NIFTY_BANK!$B$63:$K$1238,10,0)</f>
        <v>6.22100761579234E-2</v>
      </c>
      <c r="W391" s="8">
        <f>+VLOOKUP($B391,NIFTY_IT!$B$63:$K$1238,10,0)</f>
        <v>6.2994294993077071E-2</v>
      </c>
      <c r="X391" s="8">
        <f>+VLOOKUP($B391,NIFTY_PHARMA!$B$63:$K$1238,10,0)</f>
        <v>6.8596034448227261E-3</v>
      </c>
      <c r="Y391" s="8">
        <f>+VLOOKUP($B391,NIFTY_FMCG!$B$63:$K$1238,10,0)</f>
        <v>5.6013153498514212E-2</v>
      </c>
      <c r="Z391" s="8">
        <f>+VLOOKUP($B391,NIFTY_METAL!$B$63:$K$1238,10,0)</f>
        <v>-0.14095938998631719</v>
      </c>
      <c r="AA391" s="8">
        <f>+VLOOKUP($B391,NIFTY_ENERGY!$B$63:$K$1238,10,0)</f>
        <v>3.2611213467850231E-2</v>
      </c>
      <c r="AB391" s="8">
        <f>+VLOOKUP($B391,NIFTY_AUTO!$B$63:$K$1238,10,0)</f>
        <v>-6.2209673798546028E-2</v>
      </c>
      <c r="AC391" s="8"/>
      <c r="AD391" s="16">
        <f t="shared" si="237"/>
        <v>4.5425662339346307E-2</v>
      </c>
      <c r="AE391" s="8">
        <f t="shared" si="238"/>
        <v>5.6193845013832247E-2</v>
      </c>
      <c r="AF391" s="8">
        <f t="shared" si="239"/>
        <v>7.1208599114313154E-2</v>
      </c>
      <c r="AG391" s="8">
        <f t="shared" si="240"/>
        <v>0.11051189171854055</v>
      </c>
      <c r="AH391" s="8">
        <f t="shared" si="241"/>
        <v>6.37599556514023E-2</v>
      </c>
      <c r="AI391" s="8">
        <f t="shared" si="242"/>
        <v>0.11629171402417891</v>
      </c>
      <c r="AJ391" s="8">
        <f t="shared" si="243"/>
        <v>8.6536082136221201E-2</v>
      </c>
      <c r="AK391" s="8">
        <f t="shared" si="244"/>
        <v>7.1625969633778833E-2</v>
      </c>
      <c r="AL391" s="9">
        <v>0</v>
      </c>
      <c r="AM391" s="17">
        <f t="shared" si="221"/>
        <v>22.013988316331734</v>
      </c>
      <c r="AN391" s="13">
        <f t="shared" si="222"/>
        <v>17.795543261968419</v>
      </c>
      <c r="AO391" s="13">
        <f t="shared" si="223"/>
        <v>14.043247759932365</v>
      </c>
      <c r="AP391" s="13">
        <f t="shared" si="224"/>
        <v>9.0487999476732366</v>
      </c>
      <c r="AQ391" s="13">
        <f t="shared" si="225"/>
        <v>15.683825212604372</v>
      </c>
      <c r="AR391" s="13">
        <f t="shared" si="226"/>
        <v>8.599064932451542</v>
      </c>
      <c r="AS391" s="13">
        <f t="shared" si="227"/>
        <v>11.555873287929133</v>
      </c>
      <c r="AT391" s="13">
        <f t="shared" si="228"/>
        <v>13.96141657994951</v>
      </c>
      <c r="AU391" s="9">
        <v>0</v>
      </c>
      <c r="AV391" s="18">
        <f t="shared" si="245"/>
        <v>1</v>
      </c>
      <c r="AW391" s="18">
        <f t="shared" si="246"/>
        <v>2</v>
      </c>
      <c r="AX391" s="18">
        <f t="shared" si="247"/>
        <v>4</v>
      </c>
      <c r="AY391" s="18">
        <f t="shared" si="248"/>
        <v>7</v>
      </c>
      <c r="AZ391" s="18">
        <f t="shared" si="249"/>
        <v>3</v>
      </c>
      <c r="BA391" s="18">
        <f t="shared" si="250"/>
        <v>8</v>
      </c>
      <c r="BB391" s="18">
        <f t="shared" si="251"/>
        <v>6</v>
      </c>
      <c r="BC391" s="18">
        <f t="shared" si="252"/>
        <v>5</v>
      </c>
      <c r="BD391" s="18">
        <f t="shared" si="253"/>
        <v>9</v>
      </c>
      <c r="BE391" s="8">
        <f t="shared" si="255"/>
        <v>3.0937137839614397E-3</v>
      </c>
    </row>
    <row r="392" spans="1:57" x14ac:dyDescent="0.25">
      <c r="A392" t="str">
        <f t="shared" si="254"/>
        <v/>
      </c>
      <c r="B392" s="1">
        <v>43306</v>
      </c>
      <c r="C392" s="9">
        <f t="shared" si="229"/>
        <v>0.25290475280623526</v>
      </c>
      <c r="D392" s="9">
        <f t="shared" si="230"/>
        <v>0.24957433968223927</v>
      </c>
      <c r="E392" s="9">
        <f t="shared" si="231"/>
        <v>0</v>
      </c>
      <c r="F392" s="9">
        <f t="shared" si="232"/>
        <v>0</v>
      </c>
      <c r="G392" s="9">
        <f t="shared" si="233"/>
        <v>0.25181232032799267</v>
      </c>
      <c r="H392" s="9">
        <f t="shared" si="234"/>
        <v>0</v>
      </c>
      <c r="I392" s="9">
        <f t="shared" si="235"/>
        <v>0</v>
      </c>
      <c r="J392" s="9">
        <f t="shared" si="236"/>
        <v>0.24570858718353281</v>
      </c>
      <c r="K392" s="9">
        <v>0</v>
      </c>
      <c r="L392" s="8">
        <f>+VLOOKUP($B392,NIFTY_50!$B$3:$I$1238,8,0)</f>
        <v>-2.0656889072501183E-4</v>
      </c>
      <c r="M392" s="8">
        <f>+VLOOKUP($B392,NIFTY_BANK!$B$3:$I$41238,8,0)</f>
        <v>2.1094074381635686E-3</v>
      </c>
      <c r="N392" s="8">
        <f>+VLOOKUP($B392,NIFTY_IT!$B$3:$I$1238,8,0)</f>
        <v>-6.0386391069223722E-3</v>
      </c>
      <c r="O392" s="8">
        <f>+VLOOKUP($B392,NIFTY_PHARMA!$B$3:$I$1238,8,0)</f>
        <v>-8.8186052679561922E-3</v>
      </c>
      <c r="P392" s="8">
        <f>+VLOOKUP($B392,NIFTY_FMCG!$B$3:$I$1238,8,0)</f>
        <v>-2.0282320577230672E-3</v>
      </c>
      <c r="Q392" s="8">
        <f>+VLOOKUP($B392,NIFTY_METAL!$B$3:$I$1238,8,0)</f>
        <v>8.8918442458170155E-3</v>
      </c>
      <c r="R392" s="8">
        <f>+VLOOKUP($B392,NIFTY_ENERGY!$B$3:$I$1238,8,0)</f>
        <v>-2.1397018221976927E-3</v>
      </c>
      <c r="S392" s="8">
        <f>+VLOOKUP($B392,NIFTY_AUTO!$B$3:$I$1238,8,0)</f>
        <v>-4.7277950153294945E-3</v>
      </c>
      <c r="T392" s="8">
        <v>0</v>
      </c>
      <c r="U392" s="8">
        <f>+VLOOKUP($B392,NIFTY_50!$B$63:$K$1238,10,0)</f>
        <v>3.6561803088641209E-2</v>
      </c>
      <c r="V392" s="8">
        <f>+VLOOKUP($B392,NIFTY_BANK!$B$63:$K$1238,10,0)</f>
        <v>5.8738974447351655E-2</v>
      </c>
      <c r="W392" s="8">
        <f>+VLOOKUP($B392,NIFTY_IT!$B$63:$K$1238,10,0)</f>
        <v>4.2119939226025638E-2</v>
      </c>
      <c r="X392" s="8">
        <f>+VLOOKUP($B392,NIFTY_PHARMA!$B$63:$K$1238,10,0)</f>
        <v>-1.0093039169159157E-2</v>
      </c>
      <c r="Y392" s="8">
        <f>+VLOOKUP($B392,NIFTY_FMCG!$B$63:$K$1238,10,0)</f>
        <v>4.1445464892997608E-2</v>
      </c>
      <c r="Z392" s="8">
        <f>+VLOOKUP($B392,NIFTY_METAL!$B$63:$K$1238,10,0)</f>
        <v>-0.13584645747513135</v>
      </c>
      <c r="AA392" s="8">
        <f>+VLOOKUP($B392,NIFTY_ENERGY!$B$63:$K$1238,10,0)</f>
        <v>4.9879630940839359E-2</v>
      </c>
      <c r="AB392" s="8">
        <f>+VLOOKUP($B392,NIFTY_AUTO!$B$63:$K$1238,10,0)</f>
        <v>-7.0171816872029669E-2</v>
      </c>
      <c r="AC392" s="8"/>
      <c r="AD392" s="16">
        <f t="shared" si="237"/>
        <v>4.5278013130414317E-2</v>
      </c>
      <c r="AE392" s="8">
        <f t="shared" si="238"/>
        <v>5.6032047987428293E-2</v>
      </c>
      <c r="AF392" s="8">
        <f t="shared" si="239"/>
        <v>7.0354647840236845E-2</v>
      </c>
      <c r="AG392" s="8">
        <f t="shared" si="240"/>
        <v>0.11057397101040072</v>
      </c>
      <c r="AH392" s="8">
        <f t="shared" si="241"/>
        <v>6.2847243584752938E-2</v>
      </c>
      <c r="AI392" s="8">
        <f t="shared" si="242"/>
        <v>0.11671363186484293</v>
      </c>
      <c r="AJ392" s="8">
        <f t="shared" si="243"/>
        <v>8.4410733372537572E-2</v>
      </c>
      <c r="AK392" s="8">
        <f t="shared" si="244"/>
        <v>7.1552917037694105E-2</v>
      </c>
      <c r="AL392" s="9">
        <v>0</v>
      </c>
      <c r="AM392" s="17">
        <f t="shared" si="221"/>
        <v>22.085774769305772</v>
      </c>
      <c r="AN392" s="13">
        <f t="shared" si="222"/>
        <v>17.846929318456581</v>
      </c>
      <c r="AO392" s="13">
        <f t="shared" si="223"/>
        <v>14.213702018249396</v>
      </c>
      <c r="AP392" s="13">
        <f t="shared" si="224"/>
        <v>9.0437197005969772</v>
      </c>
      <c r="AQ392" s="13">
        <f t="shared" si="225"/>
        <v>15.911596801400613</v>
      </c>
      <c r="AR392" s="13">
        <f t="shared" si="226"/>
        <v>8.5679794555448581</v>
      </c>
      <c r="AS392" s="13">
        <f t="shared" si="227"/>
        <v>11.846834638749186</v>
      </c>
      <c r="AT392" s="13">
        <f t="shared" si="228"/>
        <v>13.975670614144208</v>
      </c>
      <c r="AU392" s="9">
        <v>0</v>
      </c>
      <c r="AV392" s="18">
        <f t="shared" si="245"/>
        <v>1</v>
      </c>
      <c r="AW392" s="18">
        <f t="shared" si="246"/>
        <v>2</v>
      </c>
      <c r="AX392" s="18">
        <f t="shared" si="247"/>
        <v>4</v>
      </c>
      <c r="AY392" s="18">
        <f t="shared" si="248"/>
        <v>7</v>
      </c>
      <c r="AZ392" s="18">
        <f t="shared" si="249"/>
        <v>3</v>
      </c>
      <c r="BA392" s="18">
        <f t="shared" si="250"/>
        <v>8</v>
      </c>
      <c r="BB392" s="18">
        <f t="shared" si="251"/>
        <v>6</v>
      </c>
      <c r="BC392" s="18">
        <f t="shared" si="252"/>
        <v>5</v>
      </c>
      <c r="BD392" s="18">
        <f t="shared" si="253"/>
        <v>9</v>
      </c>
      <c r="BE392" s="8">
        <f t="shared" si="255"/>
        <v>-1.2044047326862056E-3</v>
      </c>
    </row>
    <row r="393" spans="1:57" x14ac:dyDescent="0.25">
      <c r="A393" t="str">
        <f t="shared" si="254"/>
        <v/>
      </c>
      <c r="B393" s="1">
        <v>43307</v>
      </c>
      <c r="C393" s="9">
        <f t="shared" si="229"/>
        <v>0.25270757339839428</v>
      </c>
      <c r="D393" s="9">
        <f t="shared" si="230"/>
        <v>0.25204104474028222</v>
      </c>
      <c r="E393" s="9">
        <f t="shared" si="231"/>
        <v>0</v>
      </c>
      <c r="F393" s="9">
        <f t="shared" si="232"/>
        <v>0</v>
      </c>
      <c r="G393" s="9">
        <f t="shared" si="233"/>
        <v>0.25141492800148568</v>
      </c>
      <c r="H393" s="9">
        <f t="shared" si="234"/>
        <v>0</v>
      </c>
      <c r="I393" s="9">
        <f t="shared" si="235"/>
        <v>0</v>
      </c>
      <c r="J393" s="9">
        <f t="shared" si="236"/>
        <v>0.24383645385983785</v>
      </c>
      <c r="K393" s="9">
        <v>0</v>
      </c>
      <c r="L393" s="8">
        <f>+VLOOKUP($B393,NIFTY_50!$B$3:$I$1238,8,0)</f>
        <v>3.1710384477181552E-3</v>
      </c>
      <c r="M393" s="8">
        <f>+VLOOKUP($B393,NIFTY_BANK!$B$3:$I$41238,8,0)</f>
        <v>1.3876506124381738E-2</v>
      </c>
      <c r="N393" s="8">
        <f>+VLOOKUP($B393,NIFTY_IT!$B$3:$I$1238,8,0)</f>
        <v>-7.3583138655332059E-3</v>
      </c>
      <c r="O393" s="8">
        <f>+VLOOKUP($B393,NIFTY_PHARMA!$B$3:$I$1238,8,0)</f>
        <v>2.8318978732893019E-3</v>
      </c>
      <c r="P393" s="8">
        <f>+VLOOKUP($B393,NIFTY_FMCG!$B$3:$I$1238,8,0)</f>
        <v>2.3694112346801521E-3</v>
      </c>
      <c r="Q393" s="8">
        <f>+VLOOKUP($B393,NIFTY_METAL!$B$3:$I$1238,8,0)</f>
        <v>-8.1850370166001163E-3</v>
      </c>
      <c r="R393" s="8">
        <f>+VLOOKUP($B393,NIFTY_ENERGY!$B$3:$I$1238,8,0)</f>
        <v>1.1828180120356802E-3</v>
      </c>
      <c r="S393" s="8">
        <f>+VLOOKUP($B393,NIFTY_AUTO!$B$3:$I$1238,8,0)</f>
        <v>-3.6956692676655134E-3</v>
      </c>
      <c r="T393" s="8">
        <v>0</v>
      </c>
      <c r="U393" s="8">
        <f>+VLOOKUP($B393,NIFTY_50!$B$63:$K$1238,10,0)</f>
        <v>4.1915273767149763E-2</v>
      </c>
      <c r="V393" s="8">
        <f>+VLOOKUP($B393,NIFTY_BANK!$B$63:$K$1238,10,0)</f>
        <v>7.1889801042697599E-2</v>
      </c>
      <c r="W393" s="8">
        <f>+VLOOKUP($B393,NIFTY_IT!$B$63:$K$1238,10,0)</f>
        <v>5.1896497822499166E-2</v>
      </c>
      <c r="X393" s="8">
        <f>+VLOOKUP($B393,NIFTY_PHARMA!$B$63:$K$1238,10,0)</f>
        <v>3.7495605983675073E-3</v>
      </c>
      <c r="Y393" s="8">
        <f>+VLOOKUP($B393,NIFTY_FMCG!$B$63:$K$1238,10,0)</f>
        <v>4.2266692576219178E-2</v>
      </c>
      <c r="Z393" s="8">
        <f>+VLOOKUP($B393,NIFTY_METAL!$B$63:$K$1238,10,0)</f>
        <v>-0.11244770591866127</v>
      </c>
      <c r="AA393" s="8">
        <f>+VLOOKUP($B393,NIFTY_ENERGY!$B$63:$K$1238,10,0)</f>
        <v>5.1003144128902056E-2</v>
      </c>
      <c r="AB393" s="8">
        <f>+VLOOKUP($B393,NIFTY_AUTO!$B$63:$K$1238,10,0)</f>
        <v>-6.4145565770494128E-2</v>
      </c>
      <c r="AC393" s="8"/>
      <c r="AD393" s="16">
        <f t="shared" si="237"/>
        <v>4.5271859946183754E-2</v>
      </c>
      <c r="AE393" s="8">
        <f t="shared" si="238"/>
        <v>5.7477097258487791E-2</v>
      </c>
      <c r="AF393" s="8">
        <f t="shared" si="239"/>
        <v>6.866047002876309E-2</v>
      </c>
      <c r="AG393" s="8">
        <f t="shared" si="240"/>
        <v>0.11005617648637525</v>
      </c>
      <c r="AH393" s="8">
        <f t="shared" si="241"/>
        <v>6.28631996047221E-2</v>
      </c>
      <c r="AI393" s="8">
        <f t="shared" si="242"/>
        <v>0.11233115865413935</v>
      </c>
      <c r="AJ393" s="8">
        <f t="shared" si="243"/>
        <v>8.4407972481705479E-2</v>
      </c>
      <c r="AK393" s="8">
        <f t="shared" si="244"/>
        <v>7.1030439030416337E-2</v>
      </c>
      <c r="AL393" s="9">
        <v>0</v>
      </c>
      <c r="AM393" s="17">
        <f t="shared" si="221"/>
        <v>22.088776586354857</v>
      </c>
      <c r="AN393" s="13">
        <f t="shared" si="222"/>
        <v>17.398234213233991</v>
      </c>
      <c r="AO393" s="13">
        <f t="shared" si="223"/>
        <v>14.564421122970499</v>
      </c>
      <c r="AP393" s="13">
        <f t="shared" si="224"/>
        <v>9.086268775871913</v>
      </c>
      <c r="AQ393" s="13">
        <f t="shared" si="225"/>
        <v>15.907558098981696</v>
      </c>
      <c r="AR393" s="13">
        <f t="shared" si="226"/>
        <v>8.9022494914250618</v>
      </c>
      <c r="AS393" s="13">
        <f t="shared" si="227"/>
        <v>11.847222135524452</v>
      </c>
      <c r="AT393" s="13">
        <f t="shared" si="228"/>
        <v>14.078471337784981</v>
      </c>
      <c r="AU393" s="9">
        <v>0</v>
      </c>
      <c r="AV393" s="18">
        <f t="shared" si="245"/>
        <v>1</v>
      </c>
      <c r="AW393" s="18">
        <f t="shared" si="246"/>
        <v>2</v>
      </c>
      <c r="AX393" s="18">
        <f t="shared" si="247"/>
        <v>4</v>
      </c>
      <c r="AY393" s="18">
        <f t="shared" si="248"/>
        <v>7</v>
      </c>
      <c r="AZ393" s="18">
        <f t="shared" si="249"/>
        <v>3</v>
      </c>
      <c r="BA393" s="18">
        <f t="shared" si="250"/>
        <v>8</v>
      </c>
      <c r="BB393" s="18">
        <f t="shared" si="251"/>
        <v>6</v>
      </c>
      <c r="BC393" s="18">
        <f t="shared" si="252"/>
        <v>5</v>
      </c>
      <c r="BD393" s="18">
        <f t="shared" si="253"/>
        <v>9</v>
      </c>
      <c r="BE393" s="8">
        <f t="shared" si="255"/>
        <v>3.9537798142086781E-3</v>
      </c>
    </row>
    <row r="394" spans="1:57" x14ac:dyDescent="0.25">
      <c r="A394" t="str">
        <f t="shared" si="254"/>
        <v/>
      </c>
      <c r="B394" s="1">
        <v>43308</v>
      </c>
      <c r="C394" s="9">
        <f t="shared" si="229"/>
        <v>0.25195735273329178</v>
      </c>
      <c r="D394" s="9">
        <f t="shared" si="230"/>
        <v>0.25088847589036301</v>
      </c>
      <c r="E394" s="9">
        <f t="shared" si="231"/>
        <v>0</v>
      </c>
      <c r="F394" s="9">
        <f t="shared" si="232"/>
        <v>0</v>
      </c>
      <c r="G394" s="9">
        <f t="shared" si="233"/>
        <v>0.25409299053368745</v>
      </c>
      <c r="H394" s="9">
        <f t="shared" si="234"/>
        <v>0</v>
      </c>
      <c r="I394" s="9">
        <f t="shared" si="235"/>
        <v>0</v>
      </c>
      <c r="J394" s="9">
        <f t="shared" si="236"/>
        <v>0.24306118084265779</v>
      </c>
      <c r="K394" s="9">
        <v>0</v>
      </c>
      <c r="L394" s="8">
        <f>+VLOOKUP($B394,NIFTY_50!$B$3:$I$1238,8,0)</f>
        <v>9.9442121193127342E-3</v>
      </c>
      <c r="M394" s="8">
        <f>+VLOOKUP($B394,NIFTY_BANK!$B$3:$I$41238,8,0)</f>
        <v>8.3192247066379288E-3</v>
      </c>
      <c r="N394" s="8">
        <f>+VLOOKUP($B394,NIFTY_IT!$B$3:$I$1238,8,0)</f>
        <v>3.4420552802372217E-3</v>
      </c>
      <c r="O394" s="8">
        <f>+VLOOKUP($B394,NIFTY_PHARMA!$B$3:$I$1238,8,0)</f>
        <v>4.930708810237272E-3</v>
      </c>
      <c r="P394" s="8">
        <f>+VLOOKUP($B394,NIFTY_FMCG!$B$3:$I$1238,8,0)</f>
        <v>2.3741312580631613E-2</v>
      </c>
      <c r="Q394" s="8">
        <f>+VLOOKUP($B394,NIFTY_METAL!$B$3:$I$1238,8,0)</f>
        <v>1.9271485310708325E-2</v>
      </c>
      <c r="R394" s="8">
        <f>+VLOOKUP($B394,NIFTY_ENERGY!$B$3:$I$1238,8,0)</f>
        <v>1.5178836680691532E-2</v>
      </c>
      <c r="S394" s="8">
        <f>+VLOOKUP($B394,NIFTY_AUTO!$B$3:$I$1238,8,0)</f>
        <v>9.7307335190341959E-3</v>
      </c>
      <c r="T394" s="8">
        <v>0</v>
      </c>
      <c r="U394" s="8">
        <f>+VLOOKUP($B394,NIFTY_50!$B$63:$K$1238,10,0)</f>
        <v>5.6059889603123692E-2</v>
      </c>
      <c r="V394" s="8">
        <f>+VLOOKUP($B394,NIFTY_BANK!$B$63:$K$1238,10,0)</f>
        <v>7.9247419962703125E-2</v>
      </c>
      <c r="W394" s="8">
        <f>+VLOOKUP($B394,NIFTY_IT!$B$63:$K$1238,10,0)</f>
        <v>7.7479135665487808E-2</v>
      </c>
      <c r="X394" s="8">
        <f>+VLOOKUP($B394,NIFTY_PHARMA!$B$63:$K$1238,10,0)</f>
        <v>8.1081382510066469E-3</v>
      </c>
      <c r="Y394" s="8">
        <f>+VLOOKUP($B394,NIFTY_FMCG!$B$63:$K$1238,10,0)</f>
        <v>7.944345176453238E-2</v>
      </c>
      <c r="Z394" s="8">
        <f>+VLOOKUP($B394,NIFTY_METAL!$B$63:$K$1238,10,0)</f>
        <v>-0.1021902778344973</v>
      </c>
      <c r="AA394" s="8">
        <f>+VLOOKUP($B394,NIFTY_ENERGY!$B$63:$K$1238,10,0)</f>
        <v>7.179692913672997E-2</v>
      </c>
      <c r="AB394" s="8">
        <f>+VLOOKUP($B394,NIFTY_AUTO!$B$63:$K$1238,10,0)</f>
        <v>-5.0372653722389416E-2</v>
      </c>
      <c r="AC394" s="8"/>
      <c r="AD394" s="16">
        <f t="shared" si="237"/>
        <v>4.5977408507900053E-2</v>
      </c>
      <c r="AE394" s="8">
        <f t="shared" si="238"/>
        <v>5.7913179300652706E-2</v>
      </c>
      <c r="AF394" s="8">
        <f t="shared" si="239"/>
        <v>6.5268451881624751E-2</v>
      </c>
      <c r="AG394" s="8">
        <f t="shared" si="240"/>
        <v>0.11015728084717827</v>
      </c>
      <c r="AH394" s="8">
        <f t="shared" si="241"/>
        <v>6.5667826082638978E-2</v>
      </c>
      <c r="AI394" s="8">
        <f t="shared" si="242"/>
        <v>0.11389634233869018</v>
      </c>
      <c r="AJ394" s="8">
        <f t="shared" si="243"/>
        <v>8.5404386306239463E-2</v>
      </c>
      <c r="AK394" s="8">
        <f t="shared" si="244"/>
        <v>7.1714372600223106E-2</v>
      </c>
      <c r="AL394" s="9">
        <v>0</v>
      </c>
      <c r="AM394" s="17">
        <f t="shared" si="221"/>
        <v>21.749812189353285</v>
      </c>
      <c r="AN394" s="13">
        <f t="shared" si="222"/>
        <v>17.267226770759063</v>
      </c>
      <c r="AO394" s="13">
        <f t="shared" si="223"/>
        <v>15.321337815912459</v>
      </c>
      <c r="AP394" s="13">
        <f t="shared" si="224"/>
        <v>9.0779292327241166</v>
      </c>
      <c r="AQ394" s="13">
        <f t="shared" si="225"/>
        <v>15.228157526359418</v>
      </c>
      <c r="AR394" s="13">
        <f t="shared" si="226"/>
        <v>8.7799132041161574</v>
      </c>
      <c r="AS394" s="13">
        <f t="shared" si="227"/>
        <v>11.709000477027514</v>
      </c>
      <c r="AT394" s="13">
        <f t="shared" si="228"/>
        <v>13.944206213370526</v>
      </c>
      <c r="AU394" s="9">
        <v>0</v>
      </c>
      <c r="AV394" s="18">
        <f t="shared" si="245"/>
        <v>1</v>
      </c>
      <c r="AW394" s="18">
        <f t="shared" si="246"/>
        <v>2</v>
      </c>
      <c r="AX394" s="18">
        <f t="shared" si="247"/>
        <v>3</v>
      </c>
      <c r="AY394" s="18">
        <f t="shared" si="248"/>
        <v>7</v>
      </c>
      <c r="AZ394" s="18">
        <f t="shared" si="249"/>
        <v>4</v>
      </c>
      <c r="BA394" s="18">
        <f t="shared" si="250"/>
        <v>8</v>
      </c>
      <c r="BB394" s="18">
        <f t="shared" si="251"/>
        <v>6</v>
      </c>
      <c r="BC394" s="18">
        <f t="shared" si="252"/>
        <v>5</v>
      </c>
      <c r="BD394" s="18">
        <f t="shared" si="253"/>
        <v>9</v>
      </c>
      <c r="BE394" s="8">
        <f t="shared" si="255"/>
        <v>1.2951391748377238E-2</v>
      </c>
    </row>
    <row r="395" spans="1:57" x14ac:dyDescent="0.25">
      <c r="A395" t="str">
        <f t="shared" si="254"/>
        <v/>
      </c>
      <c r="B395" s="1">
        <v>43311</v>
      </c>
      <c r="C395" s="9">
        <f t="shared" si="229"/>
        <v>0.25170613317776119</v>
      </c>
      <c r="D395" s="9">
        <f t="shared" si="230"/>
        <v>0.25160752676643516</v>
      </c>
      <c r="E395" s="9">
        <f t="shared" si="231"/>
        <v>0</v>
      </c>
      <c r="F395" s="9">
        <f t="shared" si="232"/>
        <v>0</v>
      </c>
      <c r="G395" s="9">
        <f t="shared" si="233"/>
        <v>0.25363337407440489</v>
      </c>
      <c r="H395" s="9">
        <f t="shared" si="234"/>
        <v>0</v>
      </c>
      <c r="I395" s="9">
        <f t="shared" si="235"/>
        <v>0</v>
      </c>
      <c r="J395" s="9">
        <f t="shared" si="236"/>
        <v>0.24305296598139894</v>
      </c>
      <c r="K395" s="9">
        <v>0</v>
      </c>
      <c r="L395" s="8">
        <f>+VLOOKUP($B395,NIFTY_50!$B$3:$I$1238,8,0)</f>
        <v>3.6530166203387893E-3</v>
      </c>
      <c r="M395" s="8">
        <f>+VLOOKUP($B395,NIFTY_BANK!$B$3:$I$41238,8,0)</f>
        <v>7.5340879483540846E-3</v>
      </c>
      <c r="N395" s="8">
        <f>+VLOOKUP($B395,NIFTY_IT!$B$3:$I$1238,8,0)</f>
        <v>-6.705515260471584E-3</v>
      </c>
      <c r="O395" s="8">
        <f>+VLOOKUP($B395,NIFTY_PHARMA!$B$3:$I$1238,8,0)</f>
        <v>8.4688571744662156E-3</v>
      </c>
      <c r="P395" s="8">
        <f>+VLOOKUP($B395,NIFTY_FMCG!$B$3:$I$1238,8,0)</f>
        <v>2.8374583527781549E-3</v>
      </c>
      <c r="Q395" s="8">
        <f>+VLOOKUP($B395,NIFTY_METAL!$B$3:$I$1238,8,0)</f>
        <v>6.8532613639811224E-3</v>
      </c>
      <c r="R395" s="8">
        <f>+VLOOKUP($B395,NIFTY_ENERGY!$B$3:$I$1238,8,0)</f>
        <v>1.4815772638800073E-2</v>
      </c>
      <c r="S395" s="8">
        <f>+VLOOKUP($B395,NIFTY_AUTO!$B$3:$I$1238,8,0)</f>
        <v>4.6207746349358203E-3</v>
      </c>
      <c r="T395" s="8">
        <v>0</v>
      </c>
      <c r="U395" s="8">
        <f>+VLOOKUP($B395,NIFTY_50!$B$63:$K$1238,10,0)</f>
        <v>6.6046664940079491E-2</v>
      </c>
      <c r="V395" s="8">
        <f>+VLOOKUP($B395,NIFTY_BANK!$B$63:$K$1238,10,0)</f>
        <v>8.5676183643070392E-2</v>
      </c>
      <c r="W395" s="8">
        <f>+VLOOKUP($B395,NIFTY_IT!$B$63:$K$1238,10,0)</f>
        <v>7.189685801996526E-2</v>
      </c>
      <c r="X395" s="8">
        <f>+VLOOKUP($B395,NIFTY_PHARMA!$B$63:$K$1238,10,0)</f>
        <v>3.3807960351348587E-2</v>
      </c>
      <c r="Y395" s="8">
        <f>+VLOOKUP($B395,NIFTY_FMCG!$B$63:$K$1238,10,0)</f>
        <v>9.4352144141074845E-2</v>
      </c>
      <c r="Z395" s="8">
        <f>+VLOOKUP($B395,NIFTY_METAL!$B$63:$K$1238,10,0)</f>
        <v>-8.6223029502421777E-2</v>
      </c>
      <c r="AA395" s="8">
        <f>+VLOOKUP($B395,NIFTY_ENERGY!$B$63:$K$1238,10,0)</f>
        <v>9.2958056181628335E-2</v>
      </c>
      <c r="AB395" s="8">
        <f>+VLOOKUP($B395,NIFTY_AUTO!$B$63:$K$1238,10,0)</f>
        <v>-3.5204924185557873E-2</v>
      </c>
      <c r="AC395" s="8"/>
      <c r="AD395" s="16">
        <f t="shared" si="237"/>
        <v>4.5558927092064654E-2</v>
      </c>
      <c r="AE395" s="8">
        <f t="shared" si="238"/>
        <v>5.8244332011553247E-2</v>
      </c>
      <c r="AF395" s="8">
        <f t="shared" si="239"/>
        <v>6.5689968038436755E-2</v>
      </c>
      <c r="AG395" s="8">
        <f t="shared" si="240"/>
        <v>0.10912759268774869</v>
      </c>
      <c r="AH395" s="8">
        <f t="shared" si="241"/>
        <v>6.4535730315669282E-2</v>
      </c>
      <c r="AI395" s="8">
        <f t="shared" si="242"/>
        <v>0.11383007145767386</v>
      </c>
      <c r="AJ395" s="8">
        <f t="shared" si="243"/>
        <v>8.6236270182286828E-2</v>
      </c>
      <c r="AK395" s="8">
        <f t="shared" si="244"/>
        <v>7.1139280238188718E-2</v>
      </c>
      <c r="AL395" s="9">
        <v>0</v>
      </c>
      <c r="AM395" s="17">
        <f t="shared" si="221"/>
        <v>21.94959503719695</v>
      </c>
      <c r="AN395" s="13">
        <f t="shared" si="222"/>
        <v>17.169052600717297</v>
      </c>
      <c r="AO395" s="13">
        <f t="shared" si="223"/>
        <v>15.223024608793786</v>
      </c>
      <c r="AP395" s="13">
        <f t="shared" si="224"/>
        <v>9.1635852617159941</v>
      </c>
      <c r="AQ395" s="13">
        <f t="shared" si="225"/>
        <v>15.495292221977069</v>
      </c>
      <c r="AR395" s="13">
        <f t="shared" si="226"/>
        <v>8.7850247934864569</v>
      </c>
      <c r="AS395" s="13">
        <f t="shared" si="227"/>
        <v>11.596048830569702</v>
      </c>
      <c r="AT395" s="13">
        <f t="shared" si="228"/>
        <v>14.056931650865703</v>
      </c>
      <c r="AU395" s="9">
        <v>0</v>
      </c>
      <c r="AV395" s="18">
        <f t="shared" si="245"/>
        <v>1</v>
      </c>
      <c r="AW395" s="18">
        <f t="shared" si="246"/>
        <v>2</v>
      </c>
      <c r="AX395" s="18">
        <f t="shared" si="247"/>
        <v>4</v>
      </c>
      <c r="AY395" s="18">
        <f t="shared" si="248"/>
        <v>7</v>
      </c>
      <c r="AZ395" s="18">
        <f t="shared" si="249"/>
        <v>3</v>
      </c>
      <c r="BA395" s="18">
        <f t="shared" si="250"/>
        <v>8</v>
      </c>
      <c r="BB395" s="18">
        <f t="shared" si="251"/>
        <v>6</v>
      </c>
      <c r="BC395" s="18">
        <f t="shared" si="252"/>
        <v>5</v>
      </c>
      <c r="BD395" s="18">
        <f t="shared" si="253"/>
        <v>9</v>
      </c>
      <c r="BE395" s="8">
        <f t="shared" si="255"/>
        <v>4.6547294572852798E-3</v>
      </c>
    </row>
    <row r="396" spans="1:57" x14ac:dyDescent="0.25">
      <c r="A396" t="str">
        <f t="shared" si="254"/>
        <v>Y</v>
      </c>
      <c r="B396" s="1">
        <v>43312</v>
      </c>
      <c r="C396" s="9">
        <f t="shared" si="229"/>
        <v>0.25</v>
      </c>
      <c r="D396" s="9">
        <f t="shared" si="230"/>
        <v>0.25</v>
      </c>
      <c r="E396" s="9">
        <f t="shared" si="231"/>
        <v>0.25</v>
      </c>
      <c r="F396" s="9">
        <f t="shared" si="232"/>
        <v>0</v>
      </c>
      <c r="G396" s="9">
        <f t="shared" si="233"/>
        <v>0.25</v>
      </c>
      <c r="H396" s="9">
        <f t="shared" si="234"/>
        <v>0</v>
      </c>
      <c r="I396" s="9">
        <f t="shared" si="235"/>
        <v>0</v>
      </c>
      <c r="J396" s="9">
        <f t="shared" si="236"/>
        <v>0</v>
      </c>
      <c r="K396" s="9">
        <v>0</v>
      </c>
      <c r="L396" s="8">
        <f>+VLOOKUP($B396,NIFTY_50!$B$3:$I$1238,8,0)</f>
        <v>3.2642640387647859E-3</v>
      </c>
      <c r="M396" s="8">
        <f>+VLOOKUP($B396,NIFTY_BANK!$B$3:$I$41238,8,0)</f>
        <v>-2.8176247907880647E-3</v>
      </c>
      <c r="N396" s="8">
        <f>+VLOOKUP($B396,NIFTY_IT!$B$3:$I$1238,8,0)</f>
        <v>1.1598031975202039E-2</v>
      </c>
      <c r="O396" s="8">
        <f>+VLOOKUP($B396,NIFTY_PHARMA!$B$3:$I$1238,8,0)</f>
        <v>7.0045142640873248E-3</v>
      </c>
      <c r="P396" s="8">
        <f>+VLOOKUP($B396,NIFTY_FMCG!$B$3:$I$1238,8,0)</f>
        <v>5.534008288851533E-3</v>
      </c>
      <c r="Q396" s="8">
        <f>+VLOOKUP($B396,NIFTY_METAL!$B$3:$I$1238,8,0)</f>
        <v>4.4574285456133733E-3</v>
      </c>
      <c r="R396" s="8">
        <f>+VLOOKUP($B396,NIFTY_ENERGY!$B$3:$I$1238,8,0)</f>
        <v>1.6007779230795105E-2</v>
      </c>
      <c r="S396" s="8">
        <f>+VLOOKUP($B396,NIFTY_AUTO!$B$3:$I$1238,8,0)</f>
        <v>4.4576455027667272E-3</v>
      </c>
      <c r="T396" s="8">
        <v>0</v>
      </c>
      <c r="U396" s="8">
        <f>+VLOOKUP($B396,NIFTY_50!$B$63:$K$1238,10,0)</f>
        <v>5.9819887079464396E-2</v>
      </c>
      <c r="V396" s="8">
        <f>+VLOOKUP($B396,NIFTY_BANK!$B$63:$K$1238,10,0)</f>
        <v>7.3963186671850201E-2</v>
      </c>
      <c r="W396" s="8">
        <f>+VLOOKUP($B396,NIFTY_IT!$B$63:$K$1238,10,0)</f>
        <v>8.6622619162898706E-2</v>
      </c>
      <c r="X396" s="8">
        <f>+VLOOKUP($B396,NIFTY_PHARMA!$B$63:$K$1238,10,0)</f>
        <v>4.615700218818386E-2</v>
      </c>
      <c r="Y396" s="8">
        <f>+VLOOKUP($B396,NIFTY_FMCG!$B$63:$K$1238,10,0)</f>
        <v>8.4681580466303918E-2</v>
      </c>
      <c r="Z396" s="8">
        <f>+VLOOKUP($B396,NIFTY_METAL!$B$63:$K$1238,10,0)</f>
        <v>-9.763389656245347E-2</v>
      </c>
      <c r="AA396" s="8">
        <f>+VLOOKUP($B396,NIFTY_ENERGY!$B$63:$K$1238,10,0)</f>
        <v>9.2843591981591533E-2</v>
      </c>
      <c r="AB396" s="8">
        <f>+VLOOKUP($B396,NIFTY_AUTO!$B$63:$K$1238,10,0)</f>
        <v>-4.4897124355939289E-2</v>
      </c>
      <c r="AC396" s="8"/>
      <c r="AD396" s="16">
        <f t="shared" si="237"/>
        <v>4.4881913378545829E-2</v>
      </c>
      <c r="AE396" s="8">
        <f t="shared" si="238"/>
        <v>5.7994879189868058E-2</v>
      </c>
      <c r="AF396" s="8">
        <f t="shared" si="239"/>
        <v>6.6407505403185449E-2</v>
      </c>
      <c r="AG396" s="8">
        <f t="shared" si="240"/>
        <v>0.10916254585849115</v>
      </c>
      <c r="AH396" s="8">
        <f t="shared" si="241"/>
        <v>6.3333080916311735E-2</v>
      </c>
      <c r="AI396" s="8">
        <f t="shared" si="242"/>
        <v>0.11245111324765164</v>
      </c>
      <c r="AJ396" s="8">
        <f t="shared" si="243"/>
        <v>8.6218322507177605E-2</v>
      </c>
      <c r="AK396" s="8">
        <f t="shared" si="244"/>
        <v>6.9664868663439294E-2</v>
      </c>
      <c r="AL396" s="9">
        <v>0</v>
      </c>
      <c r="AM396" s="17">
        <f t="shared" si="221"/>
        <v>22.280690031321477</v>
      </c>
      <c r="AN396" s="13">
        <f t="shared" si="222"/>
        <v>17.242901683200749</v>
      </c>
      <c r="AO396" s="13">
        <f t="shared" si="223"/>
        <v>15.058538849315545</v>
      </c>
      <c r="AP396" s="13">
        <f t="shared" si="224"/>
        <v>9.1606511384986682</v>
      </c>
      <c r="AQ396" s="13">
        <f t="shared" si="225"/>
        <v>15.789536613912702</v>
      </c>
      <c r="AR396" s="13">
        <f t="shared" si="226"/>
        <v>8.8927532251076524</v>
      </c>
      <c r="AS396" s="13">
        <f t="shared" si="227"/>
        <v>11.598462727185986</v>
      </c>
      <c r="AT396" s="13">
        <f t="shared" si="228"/>
        <v>14.354437454423973</v>
      </c>
      <c r="AU396" s="9">
        <v>0</v>
      </c>
      <c r="AV396" s="18">
        <f t="shared" si="245"/>
        <v>1</v>
      </c>
      <c r="AW396" s="18">
        <f t="shared" si="246"/>
        <v>2</v>
      </c>
      <c r="AX396" s="18">
        <f t="shared" si="247"/>
        <v>4</v>
      </c>
      <c r="AY396" s="18">
        <f t="shared" si="248"/>
        <v>7</v>
      </c>
      <c r="AZ396" s="18">
        <f t="shared" si="249"/>
        <v>3</v>
      </c>
      <c r="BA396" s="18">
        <f t="shared" si="250"/>
        <v>8</v>
      </c>
      <c r="BB396" s="18">
        <f t="shared" si="251"/>
        <v>6</v>
      </c>
      <c r="BC396" s="18">
        <f t="shared" si="252"/>
        <v>5</v>
      </c>
      <c r="BD396" s="18">
        <f t="shared" si="253"/>
        <v>9</v>
      </c>
      <c r="BE396" s="8">
        <f t="shared" si="255"/>
        <v>2.5997528291009618E-3</v>
      </c>
    </row>
    <row r="397" spans="1:57" x14ac:dyDescent="0.25">
      <c r="A397" t="str">
        <f t="shared" si="254"/>
        <v/>
      </c>
      <c r="B397" s="1">
        <v>43313</v>
      </c>
      <c r="C397" s="9">
        <f t="shared" si="229"/>
        <v>0.24947717111393949</v>
      </c>
      <c r="D397" s="9">
        <f t="shared" si="230"/>
        <v>0.24819674299271408</v>
      </c>
      <c r="E397" s="9">
        <f t="shared" si="231"/>
        <v>0.25127073288389823</v>
      </c>
      <c r="F397" s="9">
        <f t="shared" si="232"/>
        <v>0</v>
      </c>
      <c r="G397" s="9">
        <f t="shared" si="233"/>
        <v>0.2510553530094482</v>
      </c>
      <c r="H397" s="9">
        <f t="shared" si="234"/>
        <v>0</v>
      </c>
      <c r="I397" s="9">
        <f t="shared" si="235"/>
        <v>0</v>
      </c>
      <c r="J397" s="9">
        <f t="shared" si="236"/>
        <v>0</v>
      </c>
      <c r="K397" s="9">
        <v>0</v>
      </c>
      <c r="L397" s="8">
        <f>+VLOOKUP($B397,NIFTY_50!$B$3:$I$1238,8,0)</f>
        <v>-9.0696957689417879E-4</v>
      </c>
      <c r="M397" s="8">
        <f>+VLOOKUP($B397,NIFTY_BANK!$B$3:$I$41238,8,0)</f>
        <v>-6.0347606535767762E-3</v>
      </c>
      <c r="N397" s="8">
        <f>+VLOOKUP($B397,NIFTY_IT!$B$3:$I$1238,8,0)</f>
        <v>6.2757921002483119E-3</v>
      </c>
      <c r="O397" s="8">
        <f>+VLOOKUP($B397,NIFTY_PHARMA!$B$3:$I$1238,8,0)</f>
        <v>1.3323310891779627E-2</v>
      </c>
      <c r="P397" s="8">
        <f>+VLOOKUP($B397,NIFTY_FMCG!$B$3:$I$1238,8,0)</f>
        <v>5.4132501269863464E-3</v>
      </c>
      <c r="Q397" s="8">
        <f>+VLOOKUP($B397,NIFTY_METAL!$B$3:$I$1238,8,0)</f>
        <v>-4.5276003718028868E-3</v>
      </c>
      <c r="R397" s="8">
        <f>+VLOOKUP($B397,NIFTY_ENERGY!$B$3:$I$1238,8,0)</f>
        <v>6.2771448561733667E-3</v>
      </c>
      <c r="S397" s="8">
        <f>+VLOOKUP($B397,NIFTY_AUTO!$B$3:$I$1238,8,0)</f>
        <v>-7.622736074723746E-3</v>
      </c>
      <c r="T397" s="8">
        <v>0</v>
      </c>
      <c r="U397" s="8">
        <f>+VLOOKUP($B397,NIFTY_50!$B$63:$K$1238,10,0)</f>
        <v>5.8631435555804412E-2</v>
      </c>
      <c r="V397" s="8">
        <f>+VLOOKUP($B397,NIFTY_BANK!$B$63:$K$1238,10,0)</f>
        <v>5.7725992219390232E-2</v>
      </c>
      <c r="W397" s="8">
        <f>+VLOOKUP($B397,NIFTY_IT!$B$63:$K$1238,10,0)</f>
        <v>9.7140059717556237E-2</v>
      </c>
      <c r="X397" s="8">
        <f>+VLOOKUP($B397,NIFTY_PHARMA!$B$63:$K$1238,10,0)</f>
        <v>6.2656727501213982E-2</v>
      </c>
      <c r="Y397" s="8">
        <f>+VLOOKUP($B397,NIFTY_FMCG!$B$63:$K$1238,10,0)</f>
        <v>9.1750524861539784E-2</v>
      </c>
      <c r="Z397" s="8">
        <f>+VLOOKUP($B397,NIFTY_METAL!$B$63:$K$1238,10,0)</f>
        <v>-0.10005150307663113</v>
      </c>
      <c r="AA397" s="8">
        <f>+VLOOKUP($B397,NIFTY_ENERGY!$B$63:$K$1238,10,0)</f>
        <v>9.8317075630736328E-2</v>
      </c>
      <c r="AB397" s="8">
        <f>+VLOOKUP($B397,NIFTY_AUTO!$B$63:$K$1238,10,0)</f>
        <v>-4.783513447347254E-2</v>
      </c>
      <c r="AC397" s="8"/>
      <c r="AD397" s="16">
        <f t="shared" si="237"/>
        <v>4.4914547930036353E-2</v>
      </c>
      <c r="AE397" s="8">
        <f t="shared" si="238"/>
        <v>5.7857493835023012E-2</v>
      </c>
      <c r="AF397" s="8">
        <f t="shared" si="239"/>
        <v>6.6403825162357891E-2</v>
      </c>
      <c r="AG397" s="8">
        <f t="shared" si="240"/>
        <v>0.10980777530296068</v>
      </c>
      <c r="AH397" s="8">
        <f t="shared" si="241"/>
        <v>6.3408974336366872E-2</v>
      </c>
      <c r="AI397" s="8">
        <f t="shared" si="242"/>
        <v>0.11248891616051995</v>
      </c>
      <c r="AJ397" s="8">
        <f t="shared" si="243"/>
        <v>8.6346838818959173E-2</v>
      </c>
      <c r="AK397" s="8">
        <f t="shared" si="244"/>
        <v>6.9899789240283713E-2</v>
      </c>
      <c r="AL397" s="9">
        <v>0</v>
      </c>
      <c r="AM397" s="17">
        <f t="shared" si="221"/>
        <v>22.264501060050872</v>
      </c>
      <c r="AN397" s="13">
        <f t="shared" si="222"/>
        <v>17.283845768560884</v>
      </c>
      <c r="AO397" s="13">
        <f t="shared" si="223"/>
        <v>15.059373425476497</v>
      </c>
      <c r="AP397" s="13">
        <f t="shared" si="224"/>
        <v>9.1068232394381052</v>
      </c>
      <c r="AQ397" s="13">
        <f t="shared" si="225"/>
        <v>15.770638312098848</v>
      </c>
      <c r="AR397" s="13">
        <f t="shared" si="226"/>
        <v>8.8897647353363727</v>
      </c>
      <c r="AS397" s="13">
        <f t="shared" si="227"/>
        <v>11.581199887313419</v>
      </c>
      <c r="AT397" s="13">
        <f t="shared" si="228"/>
        <v>14.306194780680302</v>
      </c>
      <c r="AU397" s="9">
        <v>0</v>
      </c>
      <c r="AV397" s="18">
        <f t="shared" si="245"/>
        <v>1</v>
      </c>
      <c r="AW397" s="18">
        <f t="shared" si="246"/>
        <v>2</v>
      </c>
      <c r="AX397" s="18">
        <f t="shared" si="247"/>
        <v>4</v>
      </c>
      <c r="AY397" s="18">
        <f t="shared" si="248"/>
        <v>7</v>
      </c>
      <c r="AZ397" s="18">
        <f t="shared" si="249"/>
        <v>3</v>
      </c>
      <c r="BA397" s="18">
        <f t="shared" si="250"/>
        <v>8</v>
      </c>
      <c r="BB397" s="18">
        <f t="shared" si="251"/>
        <v>6</v>
      </c>
      <c r="BC397" s="18">
        <f t="shared" si="252"/>
        <v>5</v>
      </c>
      <c r="BD397" s="18">
        <f t="shared" si="253"/>
        <v>9</v>
      </c>
      <c r="BE397" s="8">
        <f t="shared" si="255"/>
        <v>1.1868279991909259E-3</v>
      </c>
    </row>
    <row r="398" spans="1:57" x14ac:dyDescent="0.25">
      <c r="A398" t="str">
        <f t="shared" si="254"/>
        <v/>
      </c>
      <c r="B398" s="1">
        <v>43314</v>
      </c>
      <c r="C398" s="9">
        <f t="shared" si="229"/>
        <v>0.24908109825104213</v>
      </c>
      <c r="D398" s="9">
        <f t="shared" si="230"/>
        <v>0.24785907415162492</v>
      </c>
      <c r="E398" s="9">
        <f t="shared" si="231"/>
        <v>0.25095057534850906</v>
      </c>
      <c r="F398" s="9">
        <f t="shared" si="232"/>
        <v>0</v>
      </c>
      <c r="G398" s="9">
        <f t="shared" si="233"/>
        <v>0.25210925224882391</v>
      </c>
      <c r="H398" s="9">
        <f t="shared" si="234"/>
        <v>0</v>
      </c>
      <c r="I398" s="9">
        <f t="shared" si="235"/>
        <v>0</v>
      </c>
      <c r="J398" s="9">
        <f t="shared" si="236"/>
        <v>0</v>
      </c>
      <c r="K398" s="9">
        <v>0</v>
      </c>
      <c r="L398" s="8">
        <f>+VLOOKUP($B398,NIFTY_50!$B$3:$I$1238,8,0)</f>
        <v>-8.9457263224691497E-3</v>
      </c>
      <c r="M398" s="8">
        <f>+VLOOKUP($B398,NIFTY_BANK!$B$3:$I$41238,8,0)</f>
        <v>-8.720277135589094E-3</v>
      </c>
      <c r="N398" s="8">
        <f>+VLOOKUP($B398,NIFTY_IT!$B$3:$I$1238,8,0)</f>
        <v>-8.6345785065414793E-3</v>
      </c>
      <c r="O398" s="8">
        <f>+VLOOKUP($B398,NIFTY_PHARMA!$B$3:$I$1238,8,0)</f>
        <v>1.3218013911435511E-2</v>
      </c>
      <c r="P398" s="8">
        <f>+VLOOKUP($B398,NIFTY_FMCG!$B$3:$I$1238,8,0)</f>
        <v>-3.2028766547661514E-3</v>
      </c>
      <c r="Q398" s="8">
        <f>+VLOOKUP($B398,NIFTY_METAL!$B$3:$I$1238,8,0)</f>
        <v>2.3343373493975861E-3</v>
      </c>
      <c r="R398" s="8">
        <f>+VLOOKUP($B398,NIFTY_ENERGY!$B$3:$I$1238,8,0)</f>
        <v>-9.3340242566560816E-3</v>
      </c>
      <c r="S398" s="8">
        <f>+VLOOKUP($B398,NIFTY_AUTO!$B$3:$I$1238,8,0)</f>
        <v>-1.4366259263000392E-2</v>
      </c>
      <c r="T398" s="8">
        <v>0</v>
      </c>
      <c r="U398" s="8">
        <f>+VLOOKUP($B398,NIFTY_50!$B$63:$K$1238,10,0)</f>
        <v>4.6826852360427162E-2</v>
      </c>
      <c r="V398" s="8">
        <f>+VLOOKUP($B398,NIFTY_BANK!$B$63:$K$1238,10,0)</f>
        <v>4.5938645240102494E-2</v>
      </c>
      <c r="W398" s="8">
        <f>+VLOOKUP($B398,NIFTY_IT!$B$63:$K$1238,10,0)</f>
        <v>8.1704253199934573E-2</v>
      </c>
      <c r="X398" s="8">
        <f>+VLOOKUP($B398,NIFTY_PHARMA!$B$63:$K$1238,10,0)</f>
        <v>8.2782826484070648E-2</v>
      </c>
      <c r="Y398" s="8">
        <f>+VLOOKUP($B398,NIFTY_FMCG!$B$63:$K$1238,10,0)</f>
        <v>9.2817529953333588E-2</v>
      </c>
      <c r="Z398" s="8">
        <f>+VLOOKUP($B398,NIFTY_METAL!$B$63:$K$1238,10,0)</f>
        <v>-9.8573808459631929E-2</v>
      </c>
      <c r="AA398" s="8">
        <f>+VLOOKUP($B398,NIFTY_ENERGY!$B$63:$K$1238,10,0)</f>
        <v>8.4896003562924038E-2</v>
      </c>
      <c r="AB398" s="8">
        <f>+VLOOKUP($B398,NIFTY_AUTO!$B$63:$K$1238,10,0)</f>
        <v>-6.0080124345979535E-2</v>
      </c>
      <c r="AC398" s="8"/>
      <c r="AD398" s="16">
        <f t="shared" si="237"/>
        <v>4.5951918602141303E-2</v>
      </c>
      <c r="AE398" s="8">
        <f t="shared" si="238"/>
        <v>5.8622996688220921E-2</v>
      </c>
      <c r="AF398" s="8">
        <f t="shared" si="239"/>
        <v>6.7040380312610809E-2</v>
      </c>
      <c r="AG398" s="8">
        <f t="shared" si="240"/>
        <v>0.1102445318633009</v>
      </c>
      <c r="AH398" s="8">
        <f t="shared" si="241"/>
        <v>6.3329565968931814E-2</v>
      </c>
      <c r="AI398" s="8">
        <f t="shared" si="242"/>
        <v>0.11253450727972299</v>
      </c>
      <c r="AJ398" s="8">
        <f t="shared" si="243"/>
        <v>8.7012141463102238E-2</v>
      </c>
      <c r="AK398" s="8">
        <f t="shared" si="244"/>
        <v>7.1188064085439512E-2</v>
      </c>
      <c r="AL398" s="9">
        <v>0</v>
      </c>
      <c r="AM398" s="17">
        <f t="shared" si="221"/>
        <v>21.761876988383271</v>
      </c>
      <c r="AN398" s="13">
        <f t="shared" si="222"/>
        <v>17.058152201232136</v>
      </c>
      <c r="AO398" s="13">
        <f t="shared" si="223"/>
        <v>14.916383160969216</v>
      </c>
      <c r="AP398" s="13">
        <f t="shared" si="224"/>
        <v>9.0707446718533191</v>
      </c>
      <c r="AQ398" s="13">
        <f t="shared" si="225"/>
        <v>15.790412972206054</v>
      </c>
      <c r="AR398" s="13">
        <f t="shared" si="226"/>
        <v>8.8861632238219688</v>
      </c>
      <c r="AS398" s="13">
        <f t="shared" si="227"/>
        <v>11.492648993405743</v>
      </c>
      <c r="AT398" s="13">
        <f t="shared" si="228"/>
        <v>14.047298698835322</v>
      </c>
      <c r="AU398" s="9">
        <v>0</v>
      </c>
      <c r="AV398" s="18">
        <f t="shared" si="245"/>
        <v>1</v>
      </c>
      <c r="AW398" s="18">
        <f t="shared" si="246"/>
        <v>2</v>
      </c>
      <c r="AX398" s="18">
        <f t="shared" si="247"/>
        <v>4</v>
      </c>
      <c r="AY398" s="18">
        <f t="shared" si="248"/>
        <v>7</v>
      </c>
      <c r="AZ398" s="18">
        <f t="shared" si="249"/>
        <v>3</v>
      </c>
      <c r="BA398" s="18">
        <f t="shared" si="250"/>
        <v>8</v>
      </c>
      <c r="BB398" s="18">
        <f t="shared" si="251"/>
        <v>6</v>
      </c>
      <c r="BC398" s="18">
        <f t="shared" si="252"/>
        <v>5</v>
      </c>
      <c r="BD398" s="18">
        <f t="shared" si="253"/>
        <v>9</v>
      </c>
      <c r="BE398" s="8">
        <f t="shared" si="255"/>
        <v>-7.3698150782264254E-3</v>
      </c>
    </row>
    <row r="399" spans="1:57" x14ac:dyDescent="0.25">
      <c r="A399" t="str">
        <f t="shared" si="254"/>
        <v/>
      </c>
      <c r="B399" s="1">
        <v>43315</v>
      </c>
      <c r="C399" s="9">
        <f t="shared" si="229"/>
        <v>0.24912436927355966</v>
      </c>
      <c r="D399" s="9">
        <f t="shared" si="230"/>
        <v>0.24841432205499267</v>
      </c>
      <c r="E399" s="9">
        <f t="shared" si="231"/>
        <v>0.25007653670239055</v>
      </c>
      <c r="F399" s="9">
        <f t="shared" si="232"/>
        <v>0</v>
      </c>
      <c r="G399" s="9">
        <f t="shared" si="233"/>
        <v>0.25238477196905718</v>
      </c>
      <c r="H399" s="9">
        <f t="shared" si="234"/>
        <v>0</v>
      </c>
      <c r="I399" s="9">
        <f t="shared" si="235"/>
        <v>0</v>
      </c>
      <c r="J399" s="9">
        <f t="shared" si="236"/>
        <v>0</v>
      </c>
      <c r="K399" s="9">
        <v>0</v>
      </c>
      <c r="L399" s="8">
        <f>+VLOOKUP($B399,NIFTY_50!$B$3:$I$1238,8,0)</f>
        <v>1.0324864158225422E-2</v>
      </c>
      <c r="M399" s="8">
        <f>+VLOOKUP($B399,NIFTY_BANK!$B$3:$I$41238,8,0)</f>
        <v>1.2412290562016537E-2</v>
      </c>
      <c r="N399" s="8">
        <f>+VLOOKUP($B399,NIFTY_IT!$B$3:$I$1238,8,0)</f>
        <v>6.6311174635460546E-3</v>
      </c>
      <c r="O399" s="8">
        <f>+VLOOKUP($B399,NIFTY_PHARMA!$B$3:$I$1238,8,0)</f>
        <v>8.0745704084501657E-3</v>
      </c>
      <c r="P399" s="8">
        <f>+VLOOKUP($B399,NIFTY_FMCG!$B$3:$I$1238,8,0)</f>
        <v>1.1253328613607394E-2</v>
      </c>
      <c r="Q399" s="8">
        <f>+VLOOKUP($B399,NIFTY_METAL!$B$3:$I$1238,8,0)</f>
        <v>1.5956727518593672E-2</v>
      </c>
      <c r="R399" s="8">
        <f>+VLOOKUP($B399,NIFTY_ENERGY!$B$3:$I$1238,8,0)</f>
        <v>6.8165265179103152E-3</v>
      </c>
      <c r="S399" s="8">
        <f>+VLOOKUP($B399,NIFTY_AUTO!$B$3:$I$1238,8,0)</f>
        <v>3.8803203011090748E-3</v>
      </c>
      <c r="T399" s="8">
        <v>0</v>
      </c>
      <c r="U399" s="8">
        <f>+VLOOKUP($B399,NIFTY_50!$B$63:$K$1238,10,0)</f>
        <v>6.0117295211612021E-2</v>
      </c>
      <c r="V399" s="8">
        <f>+VLOOKUP($B399,NIFTY_BANK!$B$63:$K$1238,10,0)</f>
        <v>5.9871417090811674E-2</v>
      </c>
      <c r="W399" s="8">
        <f>+VLOOKUP($B399,NIFTY_IT!$B$63:$K$1238,10,0)</f>
        <v>9.0993721745995293E-2</v>
      </c>
      <c r="X399" s="8">
        <f>+VLOOKUP($B399,NIFTY_PHARMA!$B$63:$K$1238,10,0)</f>
        <v>0.11185554040690682</v>
      </c>
      <c r="Y399" s="8">
        <f>+VLOOKUP($B399,NIFTY_FMCG!$B$63:$K$1238,10,0)</f>
        <v>0.11312246846148</v>
      </c>
      <c r="Z399" s="8">
        <f>+VLOOKUP($B399,NIFTY_METAL!$B$63:$K$1238,10,0)</f>
        <v>-7.5183959296441172E-2</v>
      </c>
      <c r="AA399" s="8">
        <f>+VLOOKUP($B399,NIFTY_ENERGY!$B$63:$K$1238,10,0)</f>
        <v>8.9247531348383591E-2</v>
      </c>
      <c r="AB399" s="8">
        <f>+VLOOKUP($B399,NIFTY_AUTO!$B$63:$K$1238,10,0)</f>
        <v>-5.0333145314813588E-2</v>
      </c>
      <c r="AC399" s="8"/>
      <c r="AD399" s="16">
        <f t="shared" si="237"/>
        <v>4.680405430105275E-2</v>
      </c>
      <c r="AE399" s="8">
        <f t="shared" si="238"/>
        <v>5.9721514154260719E-2</v>
      </c>
      <c r="AF399" s="8">
        <f t="shared" si="239"/>
        <v>6.7161754364910231E-2</v>
      </c>
      <c r="AG399" s="8">
        <f t="shared" si="240"/>
        <v>0.10862464771031435</v>
      </c>
      <c r="AH399" s="8">
        <f t="shared" si="241"/>
        <v>6.3443051781830309E-2</v>
      </c>
      <c r="AI399" s="8">
        <f t="shared" si="242"/>
        <v>0.11355603847542058</v>
      </c>
      <c r="AJ399" s="8">
        <f t="shared" si="243"/>
        <v>8.7167954631356681E-2</v>
      </c>
      <c r="AK399" s="8">
        <f t="shared" si="244"/>
        <v>7.1132728147022442E-2</v>
      </c>
      <c r="AL399" s="9">
        <v>0</v>
      </c>
      <c r="AM399" s="17">
        <f t="shared" si="221"/>
        <v>21.365670451705022</v>
      </c>
      <c r="AN399" s="13">
        <f t="shared" si="222"/>
        <v>16.744384568298106</v>
      </c>
      <c r="AO399" s="13">
        <f t="shared" si="223"/>
        <v>14.889426422167235</v>
      </c>
      <c r="AP399" s="13">
        <f t="shared" si="224"/>
        <v>9.2060137462249827</v>
      </c>
      <c r="AQ399" s="13">
        <f t="shared" si="225"/>
        <v>15.762167359773725</v>
      </c>
      <c r="AR399" s="13">
        <f t="shared" si="226"/>
        <v>8.8062247805206049</v>
      </c>
      <c r="AS399" s="13">
        <f t="shared" si="227"/>
        <v>11.472105824085412</v>
      </c>
      <c r="AT399" s="13">
        <f t="shared" si="228"/>
        <v>14.058226445822873</v>
      </c>
      <c r="AU399" s="9">
        <v>0</v>
      </c>
      <c r="AV399" s="18">
        <f t="shared" si="245"/>
        <v>1</v>
      </c>
      <c r="AW399" s="18">
        <f t="shared" si="246"/>
        <v>2</v>
      </c>
      <c r="AX399" s="18">
        <f t="shared" si="247"/>
        <v>4</v>
      </c>
      <c r="AY399" s="18">
        <f t="shared" si="248"/>
        <v>7</v>
      </c>
      <c r="AZ399" s="18">
        <f t="shared" si="249"/>
        <v>3</v>
      </c>
      <c r="BA399" s="18">
        <f t="shared" si="250"/>
        <v>8</v>
      </c>
      <c r="BB399" s="18">
        <f t="shared" si="251"/>
        <v>6</v>
      </c>
      <c r="BC399" s="18">
        <f t="shared" si="252"/>
        <v>5</v>
      </c>
      <c r="BD399" s="18">
        <f t="shared" si="253"/>
        <v>9</v>
      </c>
      <c r="BE399" s="8">
        <f t="shared" si="255"/>
        <v>1.0149378355393262E-2</v>
      </c>
    </row>
    <row r="400" spans="1:57" x14ac:dyDescent="0.25">
      <c r="A400" t="str">
        <f t="shared" si="254"/>
        <v/>
      </c>
      <c r="B400" s="1">
        <v>43318</v>
      </c>
      <c r="C400" s="9">
        <f t="shared" si="229"/>
        <v>0.24969506582933823</v>
      </c>
      <c r="D400" s="9">
        <f t="shared" si="230"/>
        <v>0.25022909343524857</v>
      </c>
      <c r="E400" s="9">
        <f t="shared" si="231"/>
        <v>0.24932707748814173</v>
      </c>
      <c r="F400" s="9">
        <f t="shared" si="232"/>
        <v>0</v>
      </c>
      <c r="G400" s="9">
        <f t="shared" si="233"/>
        <v>0.25074876324727141</v>
      </c>
      <c r="H400" s="9">
        <f t="shared" si="234"/>
        <v>0</v>
      </c>
      <c r="I400" s="9">
        <f t="shared" si="235"/>
        <v>0</v>
      </c>
      <c r="J400" s="9">
        <f t="shared" si="236"/>
        <v>0</v>
      </c>
      <c r="K400" s="9">
        <v>0</v>
      </c>
      <c r="L400" s="8">
        <f>+VLOOKUP($B400,NIFTY_50!$B$3:$I$1238,8,0)</f>
        <v>2.3149778184636816E-3</v>
      </c>
      <c r="M400" s="8">
        <f>+VLOOKUP($B400,NIFTY_BANK!$B$3:$I$41238,8,0)</f>
        <v>7.329710602805406E-3</v>
      </c>
      <c r="N400" s="8">
        <f>+VLOOKUP($B400,NIFTY_IT!$B$3:$I$1238,8,0)</f>
        <v>-2.9728788799312511E-3</v>
      </c>
      <c r="O400" s="8">
        <f>+VLOOKUP($B400,NIFTY_PHARMA!$B$3:$I$1238,8,0)</f>
        <v>-9.6992342709785184E-3</v>
      </c>
      <c r="P400" s="8">
        <f>+VLOOKUP($B400,NIFTY_FMCG!$B$3:$I$1238,8,0)</f>
        <v>-6.4582441658618261E-3</v>
      </c>
      <c r="Q400" s="8">
        <f>+VLOOKUP($B400,NIFTY_METAL!$B$3:$I$1238,8,0)</f>
        <v>7.3502225771624463E-3</v>
      </c>
      <c r="R400" s="8">
        <f>+VLOOKUP($B400,NIFTY_ENERGY!$B$3:$I$1238,8,0)</f>
        <v>7.4510306820685379E-3</v>
      </c>
      <c r="S400" s="8">
        <f>+VLOOKUP($B400,NIFTY_AUTO!$B$3:$I$1238,8,0)</f>
        <v>4.4082299332732777E-3</v>
      </c>
      <c r="T400" s="8">
        <v>0</v>
      </c>
      <c r="U400" s="8">
        <f>+VLOOKUP($B400,NIFTY_50!$B$63:$K$1238,10,0)</f>
        <v>5.372692361078979E-2</v>
      </c>
      <c r="V400" s="8">
        <f>+VLOOKUP($B400,NIFTY_BANK!$B$63:$K$1238,10,0)</f>
        <v>5.6235246458676835E-2</v>
      </c>
      <c r="W400" s="8">
        <f>+VLOOKUP($B400,NIFTY_IT!$B$63:$K$1238,10,0)</f>
        <v>8.3610315611413633E-2</v>
      </c>
      <c r="X400" s="8">
        <f>+VLOOKUP($B400,NIFTY_PHARMA!$B$63:$K$1238,10,0)</f>
        <v>0.11401067999100123</v>
      </c>
      <c r="Y400" s="8">
        <f>+VLOOKUP($B400,NIFTY_FMCG!$B$63:$K$1238,10,0)</f>
        <v>9.6432083157746984E-2</v>
      </c>
      <c r="Z400" s="8">
        <f>+VLOOKUP($B400,NIFTY_METAL!$B$63:$K$1238,10,0)</f>
        <v>-8.2713854772678341E-2</v>
      </c>
      <c r="AA400" s="8">
        <f>+VLOOKUP($B400,NIFTY_ENERGY!$B$63:$K$1238,10,0)</f>
        <v>9.0466140151690411E-2</v>
      </c>
      <c r="AB400" s="8">
        <f>+VLOOKUP($B400,NIFTY_AUTO!$B$63:$K$1238,10,0)</f>
        <v>-4.8394471213027201E-2</v>
      </c>
      <c r="AC400" s="8"/>
      <c r="AD400" s="16">
        <f t="shared" si="237"/>
        <v>4.6225314129450232E-2</v>
      </c>
      <c r="AE400" s="8">
        <f t="shared" si="238"/>
        <v>5.9248772110591173E-2</v>
      </c>
      <c r="AF400" s="8">
        <f t="shared" si="239"/>
        <v>6.7261421437923866E-2</v>
      </c>
      <c r="AG400" s="8">
        <f t="shared" si="240"/>
        <v>0.1084037984387979</v>
      </c>
      <c r="AH400" s="8">
        <f t="shared" si="241"/>
        <v>6.3577224879820565E-2</v>
      </c>
      <c r="AI400" s="8">
        <f t="shared" si="242"/>
        <v>0.11262543893764003</v>
      </c>
      <c r="AJ400" s="8">
        <f t="shared" si="243"/>
        <v>8.7237855016105301E-2</v>
      </c>
      <c r="AK400" s="8">
        <f t="shared" si="244"/>
        <v>7.1252672478922974E-2</v>
      </c>
      <c r="AL400" s="9">
        <v>0</v>
      </c>
      <c r="AM400" s="17">
        <f t="shared" si="221"/>
        <v>21.6331682938829</v>
      </c>
      <c r="AN400" s="13">
        <f t="shared" si="222"/>
        <v>16.877986908039944</v>
      </c>
      <c r="AO400" s="13">
        <f t="shared" si="223"/>
        <v>14.867363469606548</v>
      </c>
      <c r="AP400" s="13">
        <f t="shared" si="224"/>
        <v>9.2247690062684953</v>
      </c>
      <c r="AQ400" s="13">
        <f t="shared" si="225"/>
        <v>15.728902950550149</v>
      </c>
      <c r="AR400" s="13">
        <f t="shared" si="226"/>
        <v>8.8789887030202248</v>
      </c>
      <c r="AS400" s="13">
        <f t="shared" si="227"/>
        <v>11.462913660765574</v>
      </c>
      <c r="AT400" s="13">
        <f t="shared" si="228"/>
        <v>14.034561304290822</v>
      </c>
      <c r="AU400" s="9">
        <v>0</v>
      </c>
      <c r="AV400" s="18">
        <f t="shared" si="245"/>
        <v>1</v>
      </c>
      <c r="AW400" s="18">
        <f t="shared" si="246"/>
        <v>2</v>
      </c>
      <c r="AX400" s="18">
        <f t="shared" si="247"/>
        <v>4</v>
      </c>
      <c r="AY400" s="18">
        <f t="shared" si="248"/>
        <v>7</v>
      </c>
      <c r="AZ400" s="18">
        <f t="shared" si="249"/>
        <v>3</v>
      </c>
      <c r="BA400" s="18">
        <f t="shared" si="250"/>
        <v>8</v>
      </c>
      <c r="BB400" s="18">
        <f t="shared" si="251"/>
        <v>6</v>
      </c>
      <c r="BC400" s="18">
        <f t="shared" si="252"/>
        <v>5</v>
      </c>
      <c r="BD400" s="18">
        <f t="shared" si="253"/>
        <v>9</v>
      </c>
      <c r="BE400" s="8">
        <f t="shared" si="255"/>
        <v>2.411274371182234E-5</v>
      </c>
    </row>
    <row r="401" spans="1:57" x14ac:dyDescent="0.25">
      <c r="A401" t="str">
        <f t="shared" si="254"/>
        <v/>
      </c>
      <c r="B401" s="1">
        <v>43319</v>
      </c>
      <c r="C401" s="9">
        <f t="shared" si="229"/>
        <v>0.24991327327820842</v>
      </c>
      <c r="D401" s="9">
        <f t="shared" si="230"/>
        <v>0.25019325164064421</v>
      </c>
      <c r="E401" s="9">
        <f t="shared" si="231"/>
        <v>0.24963354764234155</v>
      </c>
      <c r="F401" s="9">
        <f t="shared" si="232"/>
        <v>0</v>
      </c>
      <c r="G401" s="9">
        <f t="shared" si="233"/>
        <v>0.25025992743880582</v>
      </c>
      <c r="H401" s="9">
        <f t="shared" si="234"/>
        <v>0</v>
      </c>
      <c r="I401" s="9">
        <f t="shared" si="235"/>
        <v>0</v>
      </c>
      <c r="J401" s="9">
        <f t="shared" si="236"/>
        <v>0</v>
      </c>
      <c r="K401" s="9">
        <v>0</v>
      </c>
      <c r="L401" s="8">
        <f>+VLOOKUP($B401,NIFTY_50!$B$3:$I$1238,8,0)</f>
        <v>2.0637387921418338E-4</v>
      </c>
      <c r="M401" s="8">
        <f>+VLOOKUP($B401,NIFTY_BANK!$B$3:$I$41238,8,0)</f>
        <v>-8.1007939494948111E-4</v>
      </c>
      <c r="N401" s="8">
        <f>+VLOOKUP($B401,NIFTY_IT!$B$3:$I$1238,8,0)</f>
        <v>5.6143041515044345E-4</v>
      </c>
      <c r="O401" s="8">
        <f>+VLOOKUP($B401,NIFTY_PHARMA!$B$3:$I$1238,8,0)</f>
        <v>-3.9910294836640325E-3</v>
      </c>
      <c r="P401" s="8">
        <f>+VLOOKUP($B401,NIFTY_FMCG!$B$3:$I$1238,8,0)</f>
        <v>-2.6151431682788218E-3</v>
      </c>
      <c r="Q401" s="8">
        <f>+VLOOKUP($B401,NIFTY_METAL!$B$3:$I$1238,8,0)</f>
        <v>1.1612884282232727E-2</v>
      </c>
      <c r="R401" s="8">
        <f>+VLOOKUP($B401,NIFTY_ENERGY!$B$3:$I$1238,8,0)</f>
        <v>-6.4983599066533726E-3</v>
      </c>
      <c r="S401" s="8">
        <f>+VLOOKUP($B401,NIFTY_AUTO!$B$3:$I$1238,8,0)</f>
        <v>3.0352588978823647E-3</v>
      </c>
      <c r="T401" s="8">
        <v>0</v>
      </c>
      <c r="U401" s="8">
        <f>+VLOOKUP($B401,NIFTY_50!$B$63:$K$1238,10,0)</f>
        <v>5.3934632539374139E-2</v>
      </c>
      <c r="V401" s="8">
        <f>+VLOOKUP($B401,NIFTY_BANK!$B$63:$K$1238,10,0)</f>
        <v>5.2908104392231925E-2</v>
      </c>
      <c r="W401" s="8">
        <f>+VLOOKUP($B401,NIFTY_IT!$B$63:$K$1238,10,0)</f>
        <v>8.6835265113062166E-2</v>
      </c>
      <c r="X401" s="8">
        <f>+VLOOKUP($B401,NIFTY_PHARMA!$B$63:$K$1238,10,0)</f>
        <v>0.10742077865292687</v>
      </c>
      <c r="Y401" s="8">
        <f>+VLOOKUP($B401,NIFTY_FMCG!$B$63:$K$1238,10,0)</f>
        <v>9.5060677776566571E-2</v>
      </c>
      <c r="Z401" s="8">
        <f>+VLOOKUP($B401,NIFTY_METAL!$B$63:$K$1238,10,0)</f>
        <v>-6.9366972353155698E-2</v>
      </c>
      <c r="AA401" s="8">
        <f>+VLOOKUP($B401,NIFTY_ENERGY!$B$63:$K$1238,10,0)</f>
        <v>8.1609085126871372E-2</v>
      </c>
      <c r="AB401" s="8">
        <f>+VLOOKUP($B401,NIFTY_AUTO!$B$63:$K$1238,10,0)</f>
        <v>-3.7086151458033068E-2</v>
      </c>
      <c r="AC401" s="8"/>
      <c r="AD401" s="16">
        <f t="shared" si="237"/>
        <v>4.6222032201567162E-2</v>
      </c>
      <c r="AE401" s="8">
        <f t="shared" si="238"/>
        <v>5.9255779496340096E-2</v>
      </c>
      <c r="AF401" s="8">
        <f t="shared" si="239"/>
        <v>6.7159750519618602E-2</v>
      </c>
      <c r="AG401" s="8">
        <f t="shared" si="240"/>
        <v>0.10855933133209844</v>
      </c>
      <c r="AH401" s="8">
        <f t="shared" si="241"/>
        <v>6.3646415210221019E-2</v>
      </c>
      <c r="AI401" s="8">
        <f t="shared" si="242"/>
        <v>0.11333809658955615</v>
      </c>
      <c r="AJ401" s="8">
        <f t="shared" si="243"/>
        <v>8.7595883907633496E-2</v>
      </c>
      <c r="AK401" s="8">
        <f t="shared" si="244"/>
        <v>7.0891385214444561E-2</v>
      </c>
      <c r="AL401" s="9">
        <v>0</v>
      </c>
      <c r="AM401" s="17">
        <f t="shared" si="221"/>
        <v>21.6347043253995</v>
      </c>
      <c r="AN401" s="13">
        <f t="shared" si="222"/>
        <v>16.875990975053572</v>
      </c>
      <c r="AO401" s="13">
        <f t="shared" si="223"/>
        <v>14.889870677942461</v>
      </c>
      <c r="AP401" s="13">
        <f t="shared" si="224"/>
        <v>9.2115526848710747</v>
      </c>
      <c r="AQ401" s="13">
        <f t="shared" si="225"/>
        <v>15.711803982943085</v>
      </c>
      <c r="AR401" s="13">
        <f t="shared" si="226"/>
        <v>8.8231585856026076</v>
      </c>
      <c r="AS401" s="13">
        <f t="shared" si="227"/>
        <v>11.416061524699742</v>
      </c>
      <c r="AT401" s="13">
        <f t="shared" si="228"/>
        <v>14.106086331576488</v>
      </c>
      <c r="AU401" s="9">
        <v>0</v>
      </c>
      <c r="AV401" s="18">
        <f t="shared" si="245"/>
        <v>1</v>
      </c>
      <c r="AW401" s="18">
        <f t="shared" si="246"/>
        <v>2</v>
      </c>
      <c r="AX401" s="18">
        <f t="shared" si="247"/>
        <v>4</v>
      </c>
      <c r="AY401" s="18">
        <f t="shared" si="248"/>
        <v>7</v>
      </c>
      <c r="AZ401" s="18">
        <f t="shared" si="249"/>
        <v>3</v>
      </c>
      <c r="BA401" s="18">
        <f t="shared" si="250"/>
        <v>8</v>
      </c>
      <c r="BB401" s="18">
        <f t="shared" si="251"/>
        <v>6</v>
      </c>
      <c r="BC401" s="18">
        <f t="shared" si="252"/>
        <v>5</v>
      </c>
      <c r="BD401" s="18">
        <f t="shared" si="253"/>
        <v>9</v>
      </c>
      <c r="BE401" s="8">
        <f t="shared" si="255"/>
        <v>-6.669390037909932E-4</v>
      </c>
    </row>
    <row r="402" spans="1:57" x14ac:dyDescent="0.25">
      <c r="A402" t="str">
        <f t="shared" si="254"/>
        <v/>
      </c>
      <c r="B402" s="1">
        <v>43320</v>
      </c>
      <c r="C402" s="9">
        <f t="shared" si="229"/>
        <v>0.25018828299527407</v>
      </c>
      <c r="D402" s="9">
        <f t="shared" si="230"/>
        <v>0.25081135108196934</v>
      </c>
      <c r="E402" s="9">
        <f t="shared" si="231"/>
        <v>0.24849227425691167</v>
      </c>
      <c r="F402" s="9">
        <f t="shared" si="232"/>
        <v>0</v>
      </c>
      <c r="G402" s="9">
        <f t="shared" si="233"/>
        <v>0.25050809166584492</v>
      </c>
      <c r="H402" s="9">
        <f t="shared" si="234"/>
        <v>0</v>
      </c>
      <c r="I402" s="9">
        <f t="shared" si="235"/>
        <v>0</v>
      </c>
      <c r="J402" s="9">
        <f t="shared" si="236"/>
        <v>0</v>
      </c>
      <c r="K402" s="9">
        <v>0</v>
      </c>
      <c r="L402" s="8">
        <f>+VLOOKUP($B402,NIFTY_50!$B$3:$I$1238,8,0)</f>
        <v>5.3163234396744752E-3</v>
      </c>
      <c r="M402" s="8">
        <f>+VLOOKUP($B402,NIFTY_BANK!$B$3:$I$41238,8,0)</f>
        <v>6.6921606118546251E-3</v>
      </c>
      <c r="N402" s="8">
        <f>+VLOOKUP($B402,NIFTY_IT!$B$3:$I$1238,8,0)</f>
        <v>-3.7977931742361193E-4</v>
      </c>
      <c r="O402" s="8">
        <f>+VLOOKUP($B402,NIFTY_PHARMA!$B$3:$I$1238,8,0)</f>
        <v>-6.8082018557151791E-3</v>
      </c>
      <c r="P402" s="8">
        <f>+VLOOKUP($B402,NIFTY_FMCG!$B$3:$I$1238,8,0)</f>
        <v>5.2070705692133235E-3</v>
      </c>
      <c r="Q402" s="8">
        <f>+VLOOKUP($B402,NIFTY_METAL!$B$3:$I$1238,8,0)</f>
        <v>2.4236267324577732E-3</v>
      </c>
      <c r="R402" s="8">
        <f>+VLOOKUP($B402,NIFTY_ENERGY!$B$3:$I$1238,8,0)</f>
        <v>1.7352510233447305E-2</v>
      </c>
      <c r="S402" s="8">
        <f>+VLOOKUP($B402,NIFTY_AUTO!$B$3:$I$1238,8,0)</f>
        <v>-3.1734626669061017E-3</v>
      </c>
      <c r="T402" s="8">
        <v>0</v>
      </c>
      <c r="U402" s="8">
        <f>+VLOOKUP($B402,NIFTY_50!$B$63:$K$1238,10,0)</f>
        <v>6.000361049264713E-2</v>
      </c>
      <c r="V402" s="8">
        <f>+VLOOKUP($B402,NIFTY_BANK!$B$63:$K$1238,10,0)</f>
        <v>6.0000377729092724E-2</v>
      </c>
      <c r="W402" s="8">
        <f>+VLOOKUP($B402,NIFTY_IT!$B$63:$K$1238,10,0)</f>
        <v>8.169226839047905E-2</v>
      </c>
      <c r="X402" s="8">
        <f>+VLOOKUP($B402,NIFTY_PHARMA!$B$63:$K$1238,10,0)</f>
        <v>0.10785428185427004</v>
      </c>
      <c r="Y402" s="8">
        <f>+VLOOKUP($B402,NIFTY_FMCG!$B$63:$K$1238,10,0)</f>
        <v>0.10404142117227133</v>
      </c>
      <c r="Z402" s="8">
        <f>+VLOOKUP($B402,NIFTY_METAL!$B$63:$K$1238,10,0)</f>
        <v>-6.9499265805391341E-2</v>
      </c>
      <c r="AA402" s="8">
        <f>+VLOOKUP($B402,NIFTY_ENERGY!$B$63:$K$1238,10,0)</f>
        <v>0.1040142602495544</v>
      </c>
      <c r="AB402" s="8">
        <f>+VLOOKUP($B402,NIFTY_AUTO!$B$63:$K$1238,10,0)</f>
        <v>-3.2681374477062097E-2</v>
      </c>
      <c r="AC402" s="8"/>
      <c r="AD402" s="16">
        <f t="shared" si="237"/>
        <v>4.6409957288401756E-2</v>
      </c>
      <c r="AE402" s="8">
        <f t="shared" si="238"/>
        <v>5.9527386419093185E-2</v>
      </c>
      <c r="AF402" s="8">
        <f t="shared" si="239"/>
        <v>6.7114962805645953E-2</v>
      </c>
      <c r="AG402" s="8">
        <f t="shared" si="240"/>
        <v>0.10852790815356445</v>
      </c>
      <c r="AH402" s="8">
        <f t="shared" si="241"/>
        <v>6.3585856489964815E-2</v>
      </c>
      <c r="AI402" s="8">
        <f t="shared" si="242"/>
        <v>0.11333360967980294</v>
      </c>
      <c r="AJ402" s="8">
        <f t="shared" si="243"/>
        <v>8.8885176590917145E-2</v>
      </c>
      <c r="AK402" s="8">
        <f t="shared" si="244"/>
        <v>7.0576805218062075E-2</v>
      </c>
      <c r="AL402" s="9">
        <v>0</v>
      </c>
      <c r="AM402" s="17">
        <f t="shared" si="221"/>
        <v>21.54710020062674</v>
      </c>
      <c r="AN402" s="13">
        <f t="shared" si="222"/>
        <v>16.798990517736787</v>
      </c>
      <c r="AO402" s="13">
        <f t="shared" si="223"/>
        <v>14.899807110015658</v>
      </c>
      <c r="AP402" s="13">
        <f t="shared" si="224"/>
        <v>9.2142197985150833</v>
      </c>
      <c r="AQ402" s="13">
        <f t="shared" si="225"/>
        <v>15.726767793995526</v>
      </c>
      <c r="AR402" s="13">
        <f t="shared" si="226"/>
        <v>8.8235078969536165</v>
      </c>
      <c r="AS402" s="13">
        <f t="shared" si="227"/>
        <v>11.250469857334867</v>
      </c>
      <c r="AT402" s="13">
        <f t="shared" si="228"/>
        <v>14.168960990941528</v>
      </c>
      <c r="AU402" s="9">
        <v>0</v>
      </c>
      <c r="AV402" s="18">
        <f t="shared" si="245"/>
        <v>1</v>
      </c>
      <c r="AW402" s="18">
        <f t="shared" si="246"/>
        <v>2</v>
      </c>
      <c r="AX402" s="18">
        <f t="shared" si="247"/>
        <v>4</v>
      </c>
      <c r="AY402" s="18">
        <f t="shared" si="248"/>
        <v>7</v>
      </c>
      <c r="AZ402" s="18">
        <f t="shared" si="249"/>
        <v>3</v>
      </c>
      <c r="BA402" s="18">
        <f t="shared" si="250"/>
        <v>8</v>
      </c>
      <c r="BB402" s="18">
        <f t="shared" si="251"/>
        <v>6</v>
      </c>
      <c r="BC402" s="18">
        <f t="shared" si="252"/>
        <v>5</v>
      </c>
      <c r="BD402" s="18">
        <f t="shared" si="253"/>
        <v>9</v>
      </c>
      <c r="BE402" s="8">
        <f t="shared" si="255"/>
        <v>4.2112686610864883E-3</v>
      </c>
    </row>
    <row r="403" spans="1:57" x14ac:dyDescent="0.25">
      <c r="A403" t="str">
        <f t="shared" si="254"/>
        <v/>
      </c>
      <c r="B403" s="1">
        <v>43321</v>
      </c>
      <c r="C403" s="9">
        <f t="shared" si="229"/>
        <v>0.24982109998294666</v>
      </c>
      <c r="D403" s="9">
        <f t="shared" si="230"/>
        <v>0.2522856606457588</v>
      </c>
      <c r="E403" s="9">
        <f t="shared" si="231"/>
        <v>0.24759757885381636</v>
      </c>
      <c r="F403" s="9">
        <f t="shared" si="232"/>
        <v>0</v>
      </c>
      <c r="G403" s="9">
        <f t="shared" si="233"/>
        <v>0.2502956605174782</v>
      </c>
      <c r="H403" s="9">
        <f t="shared" si="234"/>
        <v>0</v>
      </c>
      <c r="I403" s="9">
        <f t="shared" si="235"/>
        <v>0</v>
      </c>
      <c r="J403" s="9">
        <f t="shared" si="236"/>
        <v>0</v>
      </c>
      <c r="K403" s="9">
        <v>0</v>
      </c>
      <c r="L403" s="8">
        <f>+VLOOKUP($B403,NIFTY_50!$B$3:$I$1238,8,0)</f>
        <v>1.8078602620088535E-3</v>
      </c>
      <c r="M403" s="8">
        <f>+VLOOKUP($B403,NIFTY_BANK!$B$3:$I$41238,8,0)</f>
        <v>9.1777446374068372E-3</v>
      </c>
      <c r="N403" s="8">
        <f>+VLOOKUP($B403,NIFTY_IT!$B$3:$I$1238,8,0)</f>
        <v>-3.3200531208499307E-4</v>
      </c>
      <c r="O403" s="8">
        <f>+VLOOKUP($B403,NIFTY_PHARMA!$B$3:$I$1238,8,0)</f>
        <v>-6.1564909076257113E-3</v>
      </c>
      <c r="P403" s="8">
        <f>+VLOOKUP($B403,NIFTY_FMCG!$B$3:$I$1238,8,0)</f>
        <v>2.429518409072795E-3</v>
      </c>
      <c r="Q403" s="8">
        <f>+VLOOKUP($B403,NIFTY_METAL!$B$3:$I$1238,8,0)</f>
        <v>1.3941973592772827E-2</v>
      </c>
      <c r="R403" s="8">
        <f>+VLOOKUP($B403,NIFTY_ENERGY!$B$3:$I$1238,8,0)</f>
        <v>4.9083558299645169E-4</v>
      </c>
      <c r="S403" s="8">
        <f>+VLOOKUP($B403,NIFTY_AUTO!$B$3:$I$1238,8,0)</f>
        <v>-6.838428270433683E-4</v>
      </c>
      <c r="T403" s="8">
        <v>0</v>
      </c>
      <c r="U403" s="8">
        <f>+VLOOKUP($B403,NIFTY_50!$B$63:$K$1238,10,0)</f>
        <v>6.7926003854353878E-2</v>
      </c>
      <c r="V403" s="8">
        <f>+VLOOKUP($B403,NIFTY_BANK!$B$63:$K$1238,10,0)</f>
        <v>8.1652958217717009E-2</v>
      </c>
      <c r="W403" s="8">
        <f>+VLOOKUP($B403,NIFTY_IT!$B$63:$K$1238,10,0)</f>
        <v>7.9682232211510051E-2</v>
      </c>
      <c r="X403" s="8">
        <f>+VLOOKUP($B403,NIFTY_PHARMA!$B$63:$K$1238,10,0)</f>
        <v>0.1013025205081497</v>
      </c>
      <c r="Y403" s="8">
        <f>+VLOOKUP($B403,NIFTY_FMCG!$B$63:$K$1238,10,0)</f>
        <v>8.7041848541536737E-2</v>
      </c>
      <c r="Z403" s="8">
        <f>+VLOOKUP($B403,NIFTY_METAL!$B$63:$K$1238,10,0)</f>
        <v>-5.259526804918635E-2</v>
      </c>
      <c r="AA403" s="8">
        <f>+VLOOKUP($B403,NIFTY_ENERGY!$B$63:$K$1238,10,0)</f>
        <v>0.12370113266671745</v>
      </c>
      <c r="AB403" s="8">
        <f>+VLOOKUP($B403,NIFTY_AUTO!$B$63:$K$1238,10,0)</f>
        <v>-3.1429415926984339E-2</v>
      </c>
      <c r="AC403" s="8"/>
      <c r="AD403" s="16">
        <f t="shared" si="237"/>
        <v>4.5936358989689174E-2</v>
      </c>
      <c r="AE403" s="8">
        <f t="shared" si="238"/>
        <v>5.8819533842637377E-2</v>
      </c>
      <c r="AF403" s="8">
        <f t="shared" si="239"/>
        <v>6.7134681193181334E-2</v>
      </c>
      <c r="AG403" s="8">
        <f t="shared" si="240"/>
        <v>0.1087960899556541</v>
      </c>
      <c r="AH403" s="8">
        <f t="shared" si="241"/>
        <v>6.1393474226169351E-2</v>
      </c>
      <c r="AI403" s="8">
        <f t="shared" si="242"/>
        <v>0.11425926406583795</v>
      </c>
      <c r="AJ403" s="8">
        <f t="shared" si="243"/>
        <v>8.6869563389972371E-2</v>
      </c>
      <c r="AK403" s="8">
        <f t="shared" si="244"/>
        <v>7.056149216910873E-2</v>
      </c>
      <c r="AL403" s="9">
        <v>0</v>
      </c>
      <c r="AM403" s="17">
        <f t="shared" si="221"/>
        <v>21.769248194539294</v>
      </c>
      <c r="AN403" s="13">
        <f t="shared" si="222"/>
        <v>17.001154797917071</v>
      </c>
      <c r="AO403" s="13">
        <f t="shared" si="223"/>
        <v>14.89543082989373</v>
      </c>
      <c r="AP403" s="13">
        <f t="shared" si="224"/>
        <v>9.1915067941100244</v>
      </c>
      <c r="AQ403" s="13">
        <f t="shared" si="225"/>
        <v>16.28837612799153</v>
      </c>
      <c r="AR403" s="13">
        <f t="shared" si="226"/>
        <v>8.7520255637545912</v>
      </c>
      <c r="AS403" s="13">
        <f t="shared" si="227"/>
        <v>11.51151175367175</v>
      </c>
      <c r="AT403" s="13">
        <f t="shared" si="228"/>
        <v>14.172035897474858</v>
      </c>
      <c r="AU403" s="9">
        <v>0</v>
      </c>
      <c r="AV403" s="18">
        <f t="shared" si="245"/>
        <v>1</v>
      </c>
      <c r="AW403" s="18">
        <f t="shared" si="246"/>
        <v>2</v>
      </c>
      <c r="AX403" s="18">
        <f t="shared" si="247"/>
        <v>4</v>
      </c>
      <c r="AY403" s="18">
        <f t="shared" si="248"/>
        <v>7</v>
      </c>
      <c r="AZ403" s="18">
        <f t="shared" si="249"/>
        <v>3</v>
      </c>
      <c r="BA403" s="18">
        <f t="shared" si="250"/>
        <v>8</v>
      </c>
      <c r="BB403" s="18">
        <f t="shared" si="251"/>
        <v>6</v>
      </c>
      <c r="BC403" s="18">
        <f t="shared" si="252"/>
        <v>5</v>
      </c>
      <c r="BD403" s="18">
        <f t="shared" si="253"/>
        <v>9</v>
      </c>
      <c r="BE403" s="8">
        <f t="shared" si="255"/>
        <v>3.2803012524991789E-3</v>
      </c>
    </row>
    <row r="404" spans="1:57" x14ac:dyDescent="0.25">
      <c r="A404" t="str">
        <f t="shared" si="254"/>
        <v/>
      </c>
      <c r="B404" s="1">
        <v>43322</v>
      </c>
      <c r="C404" s="9">
        <f t="shared" si="229"/>
        <v>0.24906946945363165</v>
      </c>
      <c r="D404" s="9">
        <f t="shared" si="230"/>
        <v>0.25068845664634359</v>
      </c>
      <c r="E404" s="9">
        <f t="shared" si="231"/>
        <v>0.24903094389796174</v>
      </c>
      <c r="F404" s="9">
        <f t="shared" si="232"/>
        <v>0</v>
      </c>
      <c r="G404" s="9">
        <f t="shared" si="233"/>
        <v>0.25121113000206302</v>
      </c>
      <c r="H404" s="9">
        <f t="shared" si="234"/>
        <v>0</v>
      </c>
      <c r="I404" s="9">
        <f t="shared" si="235"/>
        <v>0</v>
      </c>
      <c r="J404" s="9">
        <f t="shared" si="236"/>
        <v>0</v>
      </c>
      <c r="K404" s="9">
        <v>0</v>
      </c>
      <c r="L404" s="8">
        <f>+VLOOKUP($B404,NIFTY_50!$B$3:$I$1238,8,0)</f>
        <v>-3.5917598751602497E-3</v>
      </c>
      <c r="M404" s="8">
        <f>+VLOOKUP($B404,NIFTY_BANK!$B$3:$I$41238,8,0)</f>
        <v>-6.9120762711863959E-3</v>
      </c>
      <c r="N404" s="8">
        <f>+VLOOKUP($B404,NIFTY_IT!$B$3:$I$1238,8,0)</f>
        <v>5.2008614461749314E-3</v>
      </c>
      <c r="O404" s="8">
        <f>+VLOOKUP($B404,NIFTY_PHARMA!$B$3:$I$1238,8,0)</f>
        <v>-1.2075740949951119E-2</v>
      </c>
      <c r="P404" s="8">
        <f>+VLOOKUP($B404,NIFTY_FMCG!$B$3:$I$1238,8,0)</f>
        <v>3.0705689077412668E-3</v>
      </c>
      <c r="Q404" s="8">
        <f>+VLOOKUP($B404,NIFTY_METAL!$B$3:$I$1238,8,0)</f>
        <v>-1.9133290497608368E-2</v>
      </c>
      <c r="R404" s="8">
        <f>+VLOOKUP($B404,NIFTY_ENERGY!$B$3:$I$1238,8,0)</f>
        <v>-7.4751152252217068E-3</v>
      </c>
      <c r="S404" s="8">
        <f>+VLOOKUP($B404,NIFTY_AUTO!$B$3:$I$1238,8,0)</f>
        <v>2.3719691505299512E-3</v>
      </c>
      <c r="T404" s="8">
        <v>0</v>
      </c>
      <c r="U404" s="8">
        <f>+VLOOKUP($B404,NIFTY_50!$B$63:$K$1238,10,0)</f>
        <v>6.9907420408698018E-2</v>
      </c>
      <c r="V404" s="8">
        <f>+VLOOKUP($B404,NIFTY_BANK!$B$63:$K$1238,10,0)</f>
        <v>7.8640244229839951E-2</v>
      </c>
      <c r="W404" s="8">
        <f>+VLOOKUP($B404,NIFTY_IT!$B$63:$K$1238,10,0)</f>
        <v>8.6973102056683738E-2</v>
      </c>
      <c r="X404" s="8">
        <f>+VLOOKUP($B404,NIFTY_PHARMA!$B$63:$K$1238,10,0)</f>
        <v>8.7498512436034792E-2</v>
      </c>
      <c r="Y404" s="8">
        <f>+VLOOKUP($B404,NIFTY_FMCG!$B$63:$K$1238,10,0)</f>
        <v>0.10453747894441334</v>
      </c>
      <c r="Z404" s="8">
        <f>+VLOOKUP($B404,NIFTY_METAL!$B$63:$K$1238,10,0)</f>
        <v>-6.647913354260937E-2</v>
      </c>
      <c r="AA404" s="8">
        <f>+VLOOKUP($B404,NIFTY_ENERGY!$B$63:$K$1238,10,0)</f>
        <v>0.12372558047753723</v>
      </c>
      <c r="AB404" s="8">
        <f>+VLOOKUP($B404,NIFTY_AUTO!$B$63:$K$1238,10,0)</f>
        <v>-2.8270341019112744E-2</v>
      </c>
      <c r="AC404" s="8"/>
      <c r="AD404" s="16">
        <f t="shared" si="237"/>
        <v>4.5709849799008204E-2</v>
      </c>
      <c r="AE404" s="8">
        <f t="shared" si="238"/>
        <v>5.9140191110806352E-2</v>
      </c>
      <c r="AF404" s="8">
        <f t="shared" si="239"/>
        <v>6.7182863509124113E-2</v>
      </c>
      <c r="AG404" s="8">
        <f t="shared" si="240"/>
        <v>0.10964376368436891</v>
      </c>
      <c r="AH404" s="8">
        <f t="shared" si="241"/>
        <v>5.9713216137173133E-2</v>
      </c>
      <c r="AI404" s="8">
        <f t="shared" si="242"/>
        <v>0.11564782597054683</v>
      </c>
      <c r="AJ404" s="8">
        <f t="shared" si="243"/>
        <v>8.686721144462288E-2</v>
      </c>
      <c r="AK404" s="8">
        <f t="shared" si="244"/>
        <v>7.0616816414744404E-2</v>
      </c>
      <c r="AL404" s="9">
        <v>0</v>
      </c>
      <c r="AM404" s="17">
        <f t="shared" si="221"/>
        <v>21.877122860764633</v>
      </c>
      <c r="AN404" s="13">
        <f t="shared" si="222"/>
        <v>16.908974780388824</v>
      </c>
      <c r="AO404" s="13">
        <f t="shared" si="223"/>
        <v>14.884748100446625</v>
      </c>
      <c r="AP404" s="13">
        <f t="shared" si="224"/>
        <v>9.1204457635976102</v>
      </c>
      <c r="AQ404" s="13">
        <f t="shared" si="225"/>
        <v>16.746711443289222</v>
      </c>
      <c r="AR404" s="13">
        <f t="shared" si="226"/>
        <v>8.64694162305031</v>
      </c>
      <c r="AS404" s="13">
        <f t="shared" si="227"/>
        <v>11.511823429919719</v>
      </c>
      <c r="AT404" s="13">
        <f t="shared" si="228"/>
        <v>14.160932916131935</v>
      </c>
      <c r="AU404" s="9">
        <v>0</v>
      </c>
      <c r="AV404" s="18">
        <f t="shared" si="245"/>
        <v>1</v>
      </c>
      <c r="AW404" s="18">
        <f t="shared" si="246"/>
        <v>2</v>
      </c>
      <c r="AX404" s="18">
        <f t="shared" si="247"/>
        <v>4</v>
      </c>
      <c r="AY404" s="18">
        <f t="shared" si="248"/>
        <v>7</v>
      </c>
      <c r="AZ404" s="18">
        <f t="shared" si="249"/>
        <v>3</v>
      </c>
      <c r="BA404" s="18">
        <f t="shared" si="250"/>
        <v>8</v>
      </c>
      <c r="BB404" s="18">
        <f t="shared" si="251"/>
        <v>6</v>
      </c>
      <c r="BC404" s="18">
        <f t="shared" si="252"/>
        <v>5</v>
      </c>
      <c r="BD404" s="18">
        <f t="shared" si="253"/>
        <v>9</v>
      </c>
      <c r="BE404" s="8">
        <f t="shared" si="255"/>
        <v>-5.8484435644267491E-4</v>
      </c>
    </row>
    <row r="405" spans="1:57" x14ac:dyDescent="0.25">
      <c r="A405" t="str">
        <f t="shared" si="254"/>
        <v/>
      </c>
      <c r="B405" s="1">
        <v>43325</v>
      </c>
      <c r="C405" s="9">
        <f t="shared" si="229"/>
        <v>0.24773471254035714</v>
      </c>
      <c r="D405" s="9">
        <f t="shared" si="230"/>
        <v>0.24802100773581404</v>
      </c>
      <c r="E405" s="9">
        <f t="shared" si="231"/>
        <v>0.25271788238389659</v>
      </c>
      <c r="F405" s="9">
        <f t="shared" si="232"/>
        <v>0</v>
      </c>
      <c r="G405" s="9">
        <f t="shared" si="233"/>
        <v>0.25152639733993221</v>
      </c>
      <c r="H405" s="9">
        <f t="shared" si="234"/>
        <v>0</v>
      </c>
      <c r="I405" s="9">
        <f t="shared" si="235"/>
        <v>0</v>
      </c>
      <c r="J405" s="9">
        <f t="shared" si="236"/>
        <v>0</v>
      </c>
      <c r="K405" s="9">
        <v>0</v>
      </c>
      <c r="L405" s="8">
        <f>+VLOOKUP($B405,NIFTY_50!$B$3:$I$1238,8,0)</f>
        <v>-6.4526007261910268E-3</v>
      </c>
      <c r="M405" s="8">
        <f>+VLOOKUP($B405,NIFTY_BANK!$B$3:$I$41238,8,0)</f>
        <v>-1.1728312755006742E-2</v>
      </c>
      <c r="N405" s="8">
        <f>+VLOOKUP($B405,NIFTY_IT!$B$3:$I$1238,8,0)</f>
        <v>1.3689344859768582E-2</v>
      </c>
      <c r="O405" s="8">
        <f>+VLOOKUP($B405,NIFTY_PHARMA!$B$3:$I$1238,8,0)</f>
        <v>5.2909473914590777E-3</v>
      </c>
      <c r="P405" s="8">
        <f>+VLOOKUP($B405,NIFTY_FMCG!$B$3:$I$1238,8,0)</f>
        <v>1.5409103762031862E-4</v>
      </c>
      <c r="Q405" s="8">
        <f>+VLOOKUP($B405,NIFTY_METAL!$B$3:$I$1238,8,0)</f>
        <v>-8.4285610306426006E-3</v>
      </c>
      <c r="R405" s="8">
        <f>+VLOOKUP($B405,NIFTY_ENERGY!$B$3:$I$1238,8,0)</f>
        <v>-1.5238429719815927E-2</v>
      </c>
      <c r="S405" s="8">
        <f>+VLOOKUP($B405,NIFTY_AUTO!$B$3:$I$1238,8,0)</f>
        <v>-7.6341511792572536E-3</v>
      </c>
      <c r="T405" s="8">
        <v>0</v>
      </c>
      <c r="U405" s="8">
        <f>+VLOOKUP($B405,NIFTY_50!$B$63:$K$1238,10,0)</f>
        <v>7.1661130195160627E-2</v>
      </c>
      <c r="V405" s="8">
        <f>+VLOOKUP($B405,NIFTY_BANK!$B$63:$K$1238,10,0)</f>
        <v>7.415480220748516E-2</v>
      </c>
      <c r="W405" s="8">
        <f>+VLOOKUP($B405,NIFTY_IT!$B$63:$K$1238,10,0)</f>
        <v>0.10558616257341669</v>
      </c>
      <c r="X405" s="8">
        <f>+VLOOKUP($B405,NIFTY_PHARMA!$B$63:$K$1238,10,0)</f>
        <v>0.11870041464469039</v>
      </c>
      <c r="Y405" s="8">
        <f>+VLOOKUP($B405,NIFTY_FMCG!$B$63:$K$1238,10,0)</f>
        <v>9.105040429491873E-2</v>
      </c>
      <c r="Z405" s="8">
        <f>+VLOOKUP($B405,NIFTY_METAL!$B$63:$K$1238,10,0)</f>
        <v>-5.1480929636695261E-2</v>
      </c>
      <c r="AA405" s="8">
        <f>+VLOOKUP($B405,NIFTY_ENERGY!$B$63:$K$1238,10,0)</f>
        <v>0.11962465476890305</v>
      </c>
      <c r="AB405" s="8">
        <f>+VLOOKUP($B405,NIFTY_AUTO!$B$63:$K$1238,10,0)</f>
        <v>-1.8795466465987065E-2</v>
      </c>
      <c r="AC405" s="8"/>
      <c r="AD405" s="16">
        <f t="shared" si="237"/>
        <v>4.5409926894958631E-2</v>
      </c>
      <c r="AE405" s="8">
        <f t="shared" si="238"/>
        <v>5.9896065301819283E-2</v>
      </c>
      <c r="AF405" s="8">
        <f t="shared" si="239"/>
        <v>6.809408145656673E-2</v>
      </c>
      <c r="AG405" s="8">
        <f t="shared" si="240"/>
        <v>0.10694256733939025</v>
      </c>
      <c r="AH405" s="8">
        <f t="shared" si="241"/>
        <v>5.871585806291614E-2</v>
      </c>
      <c r="AI405" s="8">
        <f t="shared" si="242"/>
        <v>0.11354359764758047</v>
      </c>
      <c r="AJ405" s="8">
        <f t="shared" si="243"/>
        <v>8.7503553458855202E-2</v>
      </c>
      <c r="AK405" s="8">
        <f t="shared" si="244"/>
        <v>6.8958791794863999E-2</v>
      </c>
      <c r="AL405" s="9">
        <v>0</v>
      </c>
      <c r="AM405" s="17">
        <f t="shared" si="221"/>
        <v>22.021616601876076</v>
      </c>
      <c r="AN405" s="13">
        <f t="shared" si="222"/>
        <v>16.695587514153889</v>
      </c>
      <c r="AO405" s="13">
        <f t="shared" si="223"/>
        <v>14.685564128474837</v>
      </c>
      <c r="AP405" s="13">
        <f t="shared" si="224"/>
        <v>9.3508134775409406</v>
      </c>
      <c r="AQ405" s="13">
        <f t="shared" si="225"/>
        <v>17.031174081258666</v>
      </c>
      <c r="AR405" s="13">
        <f t="shared" si="226"/>
        <v>8.8071896673894869</v>
      </c>
      <c r="AS405" s="13">
        <f t="shared" si="227"/>
        <v>11.428107322181003</v>
      </c>
      <c r="AT405" s="13">
        <f t="shared" si="228"/>
        <v>14.501414163037573</v>
      </c>
      <c r="AU405" s="9">
        <v>0</v>
      </c>
      <c r="AV405" s="18">
        <f t="shared" si="245"/>
        <v>1</v>
      </c>
      <c r="AW405" s="18">
        <f t="shared" si="246"/>
        <v>3</v>
      </c>
      <c r="AX405" s="18">
        <f t="shared" si="247"/>
        <v>4</v>
      </c>
      <c r="AY405" s="18">
        <f t="shared" si="248"/>
        <v>7</v>
      </c>
      <c r="AZ405" s="18">
        <f t="shared" si="249"/>
        <v>2</v>
      </c>
      <c r="BA405" s="18">
        <f t="shared" si="250"/>
        <v>8</v>
      </c>
      <c r="BB405" s="18">
        <f t="shared" si="251"/>
        <v>6</v>
      </c>
      <c r="BC405" s="18">
        <f t="shared" si="252"/>
        <v>5</v>
      </c>
      <c r="BD405" s="18">
        <f t="shared" si="253"/>
        <v>9</v>
      </c>
      <c r="BE405" s="8">
        <f t="shared" si="255"/>
        <v>-1.0995186076301121E-3</v>
      </c>
    </row>
    <row r="406" spans="1:57" x14ac:dyDescent="0.25">
      <c r="A406" t="str">
        <f t="shared" si="254"/>
        <v/>
      </c>
      <c r="B406" s="1">
        <v>43326</v>
      </c>
      <c r="C406" s="9">
        <f t="shared" si="229"/>
        <v>0.24750756305111471</v>
      </c>
      <c r="D406" s="9">
        <f t="shared" si="230"/>
        <v>0.24808648715830553</v>
      </c>
      <c r="E406" s="9">
        <f t="shared" si="231"/>
        <v>0.25290778820434479</v>
      </c>
      <c r="F406" s="9">
        <f t="shared" si="232"/>
        <v>0</v>
      </c>
      <c r="G406" s="9">
        <f t="shared" si="233"/>
        <v>0.25149816158623495</v>
      </c>
      <c r="H406" s="9">
        <f t="shared" si="234"/>
        <v>0</v>
      </c>
      <c r="I406" s="9">
        <f t="shared" si="235"/>
        <v>0</v>
      </c>
      <c r="J406" s="9">
        <f t="shared" si="236"/>
        <v>0</v>
      </c>
      <c r="K406" s="9">
        <v>0</v>
      </c>
      <c r="L406" s="8">
        <f>+VLOOKUP($B406,NIFTY_50!$B$3:$I$1238,8,0)</f>
        <v>6.9876494287035573E-3</v>
      </c>
      <c r="M406" s="8">
        <f>+VLOOKUP($B406,NIFTY_BANK!$B$3:$I$41238,8,0)</f>
        <v>8.1779063408455865E-3</v>
      </c>
      <c r="N406" s="8">
        <f>+VLOOKUP($B406,NIFTY_IT!$B$3:$I$1238,8,0)</f>
        <v>8.6692091866735765E-3</v>
      </c>
      <c r="O406" s="8">
        <f>+VLOOKUP($B406,NIFTY_PHARMA!$B$3:$I$1238,8,0)</f>
        <v>3.2063004811355489E-2</v>
      </c>
      <c r="P406" s="8">
        <f>+VLOOKUP($B406,NIFTY_FMCG!$B$3:$I$1238,8,0)</f>
        <v>7.7986642206497869E-3</v>
      </c>
      <c r="Q406" s="8">
        <f>+VLOOKUP($B406,NIFTY_METAL!$B$3:$I$1238,8,0)</f>
        <v>2.5838275882317241E-3</v>
      </c>
      <c r="R406" s="8">
        <f>+VLOOKUP($B406,NIFTY_ENERGY!$B$3:$I$1238,8,0)</f>
        <v>1.1131805062973621E-2</v>
      </c>
      <c r="S406" s="8">
        <f>+VLOOKUP($B406,NIFTY_AUTO!$B$3:$I$1238,8,0)</f>
        <v>4.3182388650793158E-3</v>
      </c>
      <c r="T406" s="8">
        <v>0</v>
      </c>
      <c r="U406" s="8">
        <f>+VLOOKUP($B406,NIFTY_50!$B$63:$K$1238,10,0)</f>
        <v>8.7327773921477281E-2</v>
      </c>
      <c r="V406" s="8">
        <f>+VLOOKUP($B406,NIFTY_BANK!$B$63:$K$1238,10,0)</f>
        <v>8.8187551454712132E-2</v>
      </c>
      <c r="W406" s="8">
        <f>+VLOOKUP($B406,NIFTY_IT!$B$63:$K$1238,10,0)</f>
        <v>0.11312792711280539</v>
      </c>
      <c r="X406" s="8">
        <f>+VLOOKUP($B406,NIFTY_PHARMA!$B$63:$K$1238,10,0)</f>
        <v>0.18763778935765107</v>
      </c>
      <c r="Y406" s="8">
        <f>+VLOOKUP($B406,NIFTY_FMCG!$B$63:$K$1238,10,0)</f>
        <v>0.10642330776983777</v>
      </c>
      <c r="Z406" s="8">
        <f>+VLOOKUP($B406,NIFTY_METAL!$B$63:$K$1238,10,0)</f>
        <v>-3.2787117424617929E-2</v>
      </c>
      <c r="AA406" s="8">
        <f>+VLOOKUP($B406,NIFTY_ENERGY!$B$63:$K$1238,10,0)</f>
        <v>0.13288392450819719</v>
      </c>
      <c r="AB406" s="8">
        <f>+VLOOKUP($B406,NIFTY_AUTO!$B$63:$K$1238,10,0)</f>
        <v>6.5452953069533581E-3</v>
      </c>
      <c r="AC406" s="8"/>
      <c r="AD406" s="16">
        <f t="shared" si="237"/>
        <v>4.4915848267135287E-2</v>
      </c>
      <c r="AE406" s="8">
        <f t="shared" si="238"/>
        <v>5.9975919683328417E-2</v>
      </c>
      <c r="AF406" s="8">
        <f t="shared" si="239"/>
        <v>6.844558406028084E-2</v>
      </c>
      <c r="AG406" s="8">
        <f t="shared" si="240"/>
        <v>0.10676562175255055</v>
      </c>
      <c r="AH406" s="8">
        <f t="shared" si="241"/>
        <v>5.8530730189938117E-2</v>
      </c>
      <c r="AI406" s="8">
        <f t="shared" si="242"/>
        <v>0.11242818072764039</v>
      </c>
      <c r="AJ406" s="8">
        <f t="shared" si="243"/>
        <v>8.7935382593528677E-2</v>
      </c>
      <c r="AK406" s="8">
        <f t="shared" si="244"/>
        <v>6.5860793023002517E-2</v>
      </c>
      <c r="AL406" s="9">
        <v>0</v>
      </c>
      <c r="AM406" s="17">
        <f t="shared" si="221"/>
        <v>22.263856491199682</v>
      </c>
      <c r="AN406" s="13">
        <f t="shared" si="222"/>
        <v>16.67335832914241</v>
      </c>
      <c r="AO406" s="13">
        <f t="shared" si="223"/>
        <v>14.61014634807248</v>
      </c>
      <c r="AP406" s="13">
        <f t="shared" si="224"/>
        <v>9.3663108366257486</v>
      </c>
      <c r="AQ406" s="13">
        <f t="shared" si="225"/>
        <v>17.085042280437971</v>
      </c>
      <c r="AR406" s="13">
        <f t="shared" si="226"/>
        <v>8.8945671230109191</v>
      </c>
      <c r="AS406" s="13">
        <f t="shared" si="227"/>
        <v>11.371986685068359</v>
      </c>
      <c r="AT406" s="13">
        <f t="shared" si="228"/>
        <v>15.183540223251493</v>
      </c>
      <c r="AU406" s="9">
        <v>0</v>
      </c>
      <c r="AV406" s="18">
        <f t="shared" si="245"/>
        <v>1</v>
      </c>
      <c r="AW406" s="18">
        <f t="shared" si="246"/>
        <v>3</v>
      </c>
      <c r="AX406" s="18">
        <f t="shared" si="247"/>
        <v>5</v>
      </c>
      <c r="AY406" s="18">
        <f t="shared" si="248"/>
        <v>7</v>
      </c>
      <c r="AZ406" s="18">
        <f t="shared" si="249"/>
        <v>2</v>
      </c>
      <c r="BA406" s="18">
        <f t="shared" si="250"/>
        <v>8</v>
      </c>
      <c r="BB406" s="18">
        <f t="shared" si="251"/>
        <v>6</v>
      </c>
      <c r="BC406" s="18">
        <f t="shared" si="252"/>
        <v>4</v>
      </c>
      <c r="BD406" s="18">
        <f t="shared" si="253"/>
        <v>9</v>
      </c>
      <c r="BE406" s="8">
        <f t="shared" si="255"/>
        <v>7.9118099974613328E-3</v>
      </c>
    </row>
    <row r="407" spans="1:57" x14ac:dyDescent="0.25">
      <c r="A407" t="str">
        <f t="shared" si="254"/>
        <v/>
      </c>
      <c r="B407" s="1">
        <v>43328</v>
      </c>
      <c r="C407" s="9">
        <f t="shared" si="229"/>
        <v>0.24696066214605106</v>
      </c>
      <c r="D407" s="9">
        <f t="shared" si="230"/>
        <v>0.24689501804651451</v>
      </c>
      <c r="E407" s="9">
        <f t="shared" si="231"/>
        <v>0.25405103698096576</v>
      </c>
      <c r="F407" s="9">
        <f t="shared" si="232"/>
        <v>0</v>
      </c>
      <c r="G407" s="9">
        <f t="shared" si="233"/>
        <v>0.25209328282646876</v>
      </c>
      <c r="H407" s="9">
        <f t="shared" si="234"/>
        <v>0</v>
      </c>
      <c r="I407" s="9">
        <f t="shared" si="235"/>
        <v>0</v>
      </c>
      <c r="J407" s="9">
        <f t="shared" si="236"/>
        <v>0</v>
      </c>
      <c r="K407" s="9">
        <v>0</v>
      </c>
      <c r="L407" s="8">
        <f>+VLOOKUP($B407,NIFTY_50!$B$3:$I$1238,8,0)</f>
        <v>-4.3768747103217764E-3</v>
      </c>
      <c r="M407" s="8">
        <f>+VLOOKUP($B407,NIFTY_BANK!$B$3:$I$41238,8,0)</f>
        <v>-6.9642455668286196E-3</v>
      </c>
      <c r="N407" s="8">
        <f>+VLOOKUP($B407,NIFTY_IT!$B$3:$I$1238,8,0)</f>
        <v>2.3385578893015957E-3</v>
      </c>
      <c r="O407" s="8">
        <f>+VLOOKUP($B407,NIFTY_PHARMA!$B$3:$I$1238,8,0)</f>
        <v>1.2044952352826543E-2</v>
      </c>
      <c r="P407" s="8">
        <f>+VLOOKUP($B407,NIFTY_FMCG!$B$3:$I$1238,8,0)</f>
        <v>1.8912380517099869E-4</v>
      </c>
      <c r="Q407" s="8">
        <f>+VLOOKUP($B407,NIFTY_METAL!$B$3:$I$1238,8,0)</f>
        <v>-2.2711298541556735E-2</v>
      </c>
      <c r="R407" s="8">
        <f>+VLOOKUP($B407,NIFTY_ENERGY!$B$3:$I$1238,8,0)</f>
        <v>-4.6538666283471031E-3</v>
      </c>
      <c r="S407" s="8">
        <f>+VLOOKUP($B407,NIFTY_AUTO!$B$3:$I$1238,8,0)</f>
        <v>2.5733235213805106E-3</v>
      </c>
      <c r="T407" s="8">
        <v>0</v>
      </c>
      <c r="U407" s="8">
        <f>+VLOOKUP($B407,NIFTY_50!$B$63:$K$1238,10,0)</f>
        <v>8.0513823113498306E-2</v>
      </c>
      <c r="V407" s="8">
        <f>+VLOOKUP($B407,NIFTY_BANK!$B$63:$K$1238,10,0)</f>
        <v>7.9481489814839934E-2</v>
      </c>
      <c r="W407" s="8">
        <f>+VLOOKUP($B407,NIFTY_IT!$B$63:$K$1238,10,0)</f>
        <v>0.11567312220281734</v>
      </c>
      <c r="X407" s="8">
        <f>+VLOOKUP($B407,NIFTY_PHARMA!$B$63:$K$1238,10,0)</f>
        <v>0.18185345305398526</v>
      </c>
      <c r="Y407" s="8">
        <f>+VLOOKUP($B407,NIFTY_FMCG!$B$63:$K$1238,10,0)</f>
        <v>0.10974230022015607</v>
      </c>
      <c r="Z407" s="8">
        <f>+VLOOKUP($B407,NIFTY_METAL!$B$63:$K$1238,10,0)</f>
        <v>-7.1209886164379732E-2</v>
      </c>
      <c r="AA407" s="8">
        <f>+VLOOKUP($B407,NIFTY_ENERGY!$B$63:$K$1238,10,0)</f>
        <v>0.13245517882025082</v>
      </c>
      <c r="AB407" s="8">
        <f>+VLOOKUP($B407,NIFTY_AUTO!$B$63:$K$1238,10,0)</f>
        <v>-7.5594793580398001E-3</v>
      </c>
      <c r="AC407" s="8"/>
      <c r="AD407" s="16">
        <f t="shared" si="237"/>
        <v>4.5274516525560332E-2</v>
      </c>
      <c r="AE407" s="8">
        <f t="shared" si="238"/>
        <v>6.0548720141522044E-2</v>
      </c>
      <c r="AF407" s="8">
        <f t="shared" si="239"/>
        <v>6.8424857272994716E-2</v>
      </c>
      <c r="AG407" s="8">
        <f t="shared" si="240"/>
        <v>0.10622394876378033</v>
      </c>
      <c r="AH407" s="8">
        <f t="shared" si="241"/>
        <v>5.8376271040577958E-2</v>
      </c>
      <c r="AI407" s="8">
        <f t="shared" si="242"/>
        <v>0.11304609792551408</v>
      </c>
      <c r="AJ407" s="8">
        <f t="shared" si="243"/>
        <v>8.7963546609277452E-2</v>
      </c>
      <c r="AK407" s="8">
        <f t="shared" si="244"/>
        <v>6.3733943111926233E-2</v>
      </c>
      <c r="AL407" s="9">
        <v>0</v>
      </c>
      <c r="AM407" s="17">
        <f t="shared" si="221"/>
        <v>22.087480480005492</v>
      </c>
      <c r="AN407" s="13">
        <f t="shared" si="222"/>
        <v>16.515625725245304</v>
      </c>
      <c r="AO407" s="13">
        <f t="shared" si="223"/>
        <v>14.614571953147072</v>
      </c>
      <c r="AP407" s="13">
        <f t="shared" si="224"/>
        <v>9.4140729245886838</v>
      </c>
      <c r="AQ407" s="13">
        <f t="shared" si="225"/>
        <v>17.130247995883284</v>
      </c>
      <c r="AR407" s="13">
        <f t="shared" si="226"/>
        <v>8.8459488505202426</v>
      </c>
      <c r="AS407" s="13">
        <f t="shared" si="227"/>
        <v>11.368345622100357</v>
      </c>
      <c r="AT407" s="13">
        <f t="shared" si="228"/>
        <v>15.690226450352398</v>
      </c>
      <c r="AU407" s="9">
        <v>0</v>
      </c>
      <c r="AV407" s="18">
        <f t="shared" si="245"/>
        <v>1</v>
      </c>
      <c r="AW407" s="18">
        <f t="shared" si="246"/>
        <v>3</v>
      </c>
      <c r="AX407" s="18">
        <f t="shared" si="247"/>
        <v>5</v>
      </c>
      <c r="AY407" s="18">
        <f t="shared" si="248"/>
        <v>7</v>
      </c>
      <c r="AZ407" s="18">
        <f t="shared" si="249"/>
        <v>2</v>
      </c>
      <c r="BA407" s="18">
        <f t="shared" si="250"/>
        <v>8</v>
      </c>
      <c r="BB407" s="18">
        <f t="shared" si="251"/>
        <v>6</v>
      </c>
      <c r="BC407" s="18">
        <f t="shared" si="252"/>
        <v>4</v>
      </c>
      <c r="BD407" s="18">
        <f t="shared" si="253"/>
        <v>9</v>
      </c>
      <c r="BE407" s="8">
        <f t="shared" si="255"/>
        <v>-2.1720410190303242E-3</v>
      </c>
    </row>
    <row r="408" spans="1:57" x14ac:dyDescent="0.25">
      <c r="A408" t="str">
        <f t="shared" si="254"/>
        <v/>
      </c>
      <c r="B408" s="1">
        <v>43329</v>
      </c>
      <c r="C408" s="9">
        <f t="shared" si="229"/>
        <v>0.24617065154146001</v>
      </c>
      <c r="D408" s="9">
        <f t="shared" si="230"/>
        <v>0.24691753285027207</v>
      </c>
      <c r="E408" s="9">
        <f t="shared" si="231"/>
        <v>0.25271716786097781</v>
      </c>
      <c r="F408" s="9">
        <f t="shared" si="232"/>
        <v>0</v>
      </c>
      <c r="G408" s="9">
        <f t="shared" si="233"/>
        <v>0.25419464774729006</v>
      </c>
      <c r="H408" s="9">
        <f t="shared" si="234"/>
        <v>0</v>
      </c>
      <c r="I408" s="9">
        <f t="shared" si="235"/>
        <v>0</v>
      </c>
      <c r="J408" s="9">
        <f t="shared" si="236"/>
        <v>0</v>
      </c>
      <c r="K408" s="9">
        <v>0</v>
      </c>
      <c r="L408" s="8">
        <f>+VLOOKUP($B408,NIFTY_50!$B$3:$I$1238,8,0)</f>
        <v>7.5274153385360698E-3</v>
      </c>
      <c r="M408" s="8">
        <f>+VLOOKUP($B408,NIFTY_BANK!$B$3:$I$41238,8,0)</f>
        <v>1.0852944400222109E-2</v>
      </c>
      <c r="N408" s="8">
        <f>+VLOOKUP($B408,NIFTY_IT!$B$3:$I$1238,8,0)</f>
        <v>5.4538747104393437E-3</v>
      </c>
      <c r="O408" s="8">
        <f>+VLOOKUP($B408,NIFTY_PHARMA!$B$3:$I$1238,8,0)</f>
        <v>1.0265388964446398E-2</v>
      </c>
      <c r="P408" s="8">
        <f>+VLOOKUP($B408,NIFTY_FMCG!$B$3:$I$1238,8,0)</f>
        <v>1.9186133543431128E-2</v>
      </c>
      <c r="Q408" s="8">
        <f>+VLOOKUP($B408,NIFTY_METAL!$B$3:$I$1238,8,0)</f>
        <v>1.7095938029097368E-2</v>
      </c>
      <c r="R408" s="8">
        <f>+VLOOKUP($B408,NIFTY_ENERGY!$B$3:$I$1238,8,0)</f>
        <v>7.5138136049246462E-4</v>
      </c>
      <c r="S408" s="8">
        <f>+VLOOKUP($B408,NIFTY_AUTO!$B$3:$I$1238,8,0)</f>
        <v>4.4086622133792108E-3</v>
      </c>
      <c r="T408" s="8">
        <v>0</v>
      </c>
      <c r="U408" s="8">
        <f>+VLOOKUP($B408,NIFTY_50!$B$63:$K$1238,10,0)</f>
        <v>9.9747371852334732E-2</v>
      </c>
      <c r="V408" s="8">
        <f>+VLOOKUP($B408,NIFTY_BANK!$B$63:$K$1238,10,0)</f>
        <v>9.5137424834387474E-2</v>
      </c>
      <c r="W408" s="8">
        <f>+VLOOKUP($B408,NIFTY_IT!$B$63:$K$1238,10,0)</f>
        <v>0.12344078993787289</v>
      </c>
      <c r="X408" s="8">
        <f>+VLOOKUP($B408,NIFTY_PHARMA!$B$63:$K$1238,10,0)</f>
        <v>0.20126522671226943</v>
      </c>
      <c r="Y408" s="8">
        <f>+VLOOKUP($B408,NIFTY_FMCG!$B$63:$K$1238,10,0)</f>
        <v>0.13811700697509099</v>
      </c>
      <c r="Z408" s="8">
        <f>+VLOOKUP($B408,NIFTY_METAL!$B$63:$K$1238,10,0)</f>
        <v>-1.8578223719403764E-2</v>
      </c>
      <c r="AA408" s="8">
        <f>+VLOOKUP($B408,NIFTY_ENERGY!$B$63:$K$1238,10,0)</f>
        <v>0.15774070489096381</v>
      </c>
      <c r="AB408" s="8">
        <f>+VLOOKUP($B408,NIFTY_AUTO!$B$63:$K$1238,10,0)</f>
        <v>1.6665745907225027E-3</v>
      </c>
      <c r="AC408" s="8"/>
      <c r="AD408" s="16">
        <f t="shared" si="237"/>
        <v>4.4205450868547151E-2</v>
      </c>
      <c r="AE408" s="8">
        <f t="shared" si="238"/>
        <v>6.1077313544040016E-2</v>
      </c>
      <c r="AF408" s="8">
        <f t="shared" si="239"/>
        <v>6.8433660676526703E-2</v>
      </c>
      <c r="AG408" s="8">
        <f t="shared" si="240"/>
        <v>0.10609075830272406</v>
      </c>
      <c r="AH408" s="8">
        <f t="shared" si="241"/>
        <v>6.0318706356771855E-2</v>
      </c>
      <c r="AI408" s="8">
        <f t="shared" si="242"/>
        <v>0.10835614059452454</v>
      </c>
      <c r="AJ408" s="8">
        <f t="shared" si="243"/>
        <v>8.4810837178763851E-2</v>
      </c>
      <c r="AK408" s="8">
        <f t="shared" si="244"/>
        <v>6.3704652306965578E-2</v>
      </c>
      <c r="AL408" s="9">
        <v>0</v>
      </c>
      <c r="AM408" s="17">
        <f t="shared" si="221"/>
        <v>22.621644624181748</v>
      </c>
      <c r="AN408" s="13">
        <f t="shared" si="222"/>
        <v>16.372691298528487</v>
      </c>
      <c r="AO408" s="13">
        <f t="shared" si="223"/>
        <v>14.612691913805628</v>
      </c>
      <c r="AP408" s="13">
        <f t="shared" si="224"/>
        <v>9.4258917176042409</v>
      </c>
      <c r="AQ408" s="13">
        <f t="shared" si="225"/>
        <v>16.578604887266984</v>
      </c>
      <c r="AR408" s="13">
        <f t="shared" si="226"/>
        <v>9.2288262992132815</v>
      </c>
      <c r="AS408" s="13">
        <f t="shared" si="227"/>
        <v>11.790945983615337</v>
      </c>
      <c r="AT408" s="13">
        <f t="shared" si="228"/>
        <v>15.697440670132316</v>
      </c>
      <c r="AU408" s="9">
        <v>0</v>
      </c>
      <c r="AV408" s="18">
        <f t="shared" si="245"/>
        <v>1</v>
      </c>
      <c r="AW408" s="18">
        <f t="shared" si="246"/>
        <v>3</v>
      </c>
      <c r="AX408" s="18">
        <f t="shared" si="247"/>
        <v>5</v>
      </c>
      <c r="AY408" s="18">
        <f t="shared" si="248"/>
        <v>7</v>
      </c>
      <c r="AZ408" s="18">
        <f t="shared" si="249"/>
        <v>2</v>
      </c>
      <c r="BA408" s="18">
        <f t="shared" si="250"/>
        <v>8</v>
      </c>
      <c r="BB408" s="18">
        <f t="shared" si="251"/>
        <v>6</v>
      </c>
      <c r="BC408" s="18">
        <f t="shared" si="252"/>
        <v>4</v>
      </c>
      <c r="BD408" s="18">
        <f t="shared" si="253"/>
        <v>9</v>
      </c>
      <c r="BE408" s="8">
        <f t="shared" si="255"/>
        <v>1.0760771295265828E-2</v>
      </c>
    </row>
    <row r="409" spans="1:57" x14ac:dyDescent="0.25">
      <c r="A409" t="str">
        <f t="shared" si="254"/>
        <v/>
      </c>
      <c r="B409" s="1">
        <v>43332</v>
      </c>
      <c r="C409" s="9">
        <f t="shared" si="229"/>
        <v>0.24762428487903054</v>
      </c>
      <c r="D409" s="9">
        <f t="shared" si="230"/>
        <v>0.24791149810428381</v>
      </c>
      <c r="E409" s="9">
        <f t="shared" si="231"/>
        <v>0.25025253500275402</v>
      </c>
      <c r="F409" s="9">
        <f t="shared" si="232"/>
        <v>0</v>
      </c>
      <c r="G409" s="9">
        <f t="shared" si="233"/>
        <v>0.25421168201393179</v>
      </c>
      <c r="H409" s="9">
        <f t="shared" si="234"/>
        <v>0</v>
      </c>
      <c r="I409" s="9">
        <f t="shared" si="235"/>
        <v>0</v>
      </c>
      <c r="J409" s="9">
        <f t="shared" si="236"/>
        <v>0</v>
      </c>
      <c r="K409" s="9">
        <v>0</v>
      </c>
      <c r="L409" s="8">
        <f>+VLOOKUP($B409,NIFTY_50!$B$3:$I$1238,8,0)</f>
        <v>7.061438877143944E-3</v>
      </c>
      <c r="M409" s="8">
        <f>+VLOOKUP($B409,NIFTY_BANK!$B$3:$I$41238,8,0)</f>
        <v>5.179790639759263E-3</v>
      </c>
      <c r="N409" s="8">
        <f>+VLOOKUP($B409,NIFTY_IT!$B$3:$I$1238,8,0)</f>
        <v>-8.6140786968478267E-3</v>
      </c>
      <c r="O409" s="8">
        <f>+VLOOKUP($B409,NIFTY_PHARMA!$B$3:$I$1238,8,0)</f>
        <v>1.0862557188320299E-2</v>
      </c>
      <c r="P409" s="8">
        <f>+VLOOKUP($B409,NIFTY_FMCG!$B$3:$I$1238,8,0)</f>
        <v>1.2167575498491789E-3</v>
      </c>
      <c r="Q409" s="8">
        <f>+VLOOKUP($B409,NIFTY_METAL!$B$3:$I$1238,8,0)</f>
        <v>2.4984531981968816E-2</v>
      </c>
      <c r="R409" s="8">
        <f>+VLOOKUP($B409,NIFTY_ENERGY!$B$3:$I$1238,8,0)</f>
        <v>1.7717974695165006E-2</v>
      </c>
      <c r="S409" s="8">
        <f>+VLOOKUP($B409,NIFTY_AUTO!$B$3:$I$1238,8,0)</f>
        <v>1.0957191576199232E-2</v>
      </c>
      <c r="T409" s="8">
        <v>0</v>
      </c>
      <c r="U409" s="8">
        <f>+VLOOKUP($B409,NIFTY_50!$B$63:$K$1238,10,0)</f>
        <v>9.8717406088159931E-2</v>
      </c>
      <c r="V409" s="8">
        <f>+VLOOKUP($B409,NIFTY_BANK!$B$63:$K$1238,10,0)</f>
        <v>8.676893391962115E-2</v>
      </c>
      <c r="W409" s="8">
        <f>+VLOOKUP($B409,NIFTY_IT!$B$63:$K$1238,10,0)</f>
        <v>8.8590779415927967E-2</v>
      </c>
      <c r="X409" s="8">
        <f>+VLOOKUP($B409,NIFTY_PHARMA!$B$63:$K$1238,10,0)</f>
        <v>0.19399902522237111</v>
      </c>
      <c r="Y409" s="8">
        <f>+VLOOKUP($B409,NIFTY_FMCG!$B$63:$K$1238,10,0)</f>
        <v>0.13610933237427747</v>
      </c>
      <c r="Z409" s="8">
        <f>+VLOOKUP($B409,NIFTY_METAL!$B$63:$K$1238,10,0)</f>
        <v>-3.6515687425715537E-3</v>
      </c>
      <c r="AA409" s="8">
        <f>+VLOOKUP($B409,NIFTY_ENERGY!$B$63:$K$1238,10,0)</f>
        <v>0.18349162533027807</v>
      </c>
      <c r="AB409" s="8">
        <f>+VLOOKUP($B409,NIFTY_AUTO!$B$63:$K$1238,10,0)</f>
        <v>2.961166866387055E-2</v>
      </c>
      <c r="AC409" s="8"/>
      <c r="AD409" s="16">
        <f t="shared" si="237"/>
        <v>4.4077872966125711E-2</v>
      </c>
      <c r="AE409" s="8">
        <f t="shared" si="238"/>
        <v>6.0107505542030336E-2</v>
      </c>
      <c r="AF409" s="8">
        <f t="shared" si="239"/>
        <v>6.5801235351671178E-2</v>
      </c>
      <c r="AG409" s="8">
        <f t="shared" si="240"/>
        <v>0.10545762903630961</v>
      </c>
      <c r="AH409" s="8">
        <f t="shared" si="241"/>
        <v>6.0319788173268274E-2</v>
      </c>
      <c r="AI409" s="8">
        <f t="shared" si="242"/>
        <v>0.11079339405130237</v>
      </c>
      <c r="AJ409" s="8">
        <f t="shared" si="243"/>
        <v>8.5849277303229721E-2</v>
      </c>
      <c r="AK409" s="8">
        <f t="shared" si="244"/>
        <v>6.2378144444260944E-2</v>
      </c>
      <c r="AL409" s="9">
        <v>0</v>
      </c>
      <c r="AM409" s="17">
        <f t="shared" si="221"/>
        <v>22.687120151385482</v>
      </c>
      <c r="AN409" s="13">
        <f t="shared" si="222"/>
        <v>16.636857427077011</v>
      </c>
      <c r="AO409" s="13">
        <f t="shared" si="223"/>
        <v>15.197283070075411</v>
      </c>
      <c r="AP409" s="13">
        <f t="shared" si="224"/>
        <v>9.4824813447654392</v>
      </c>
      <c r="AQ409" s="13">
        <f t="shared" si="225"/>
        <v>16.578307555184136</v>
      </c>
      <c r="AR409" s="13">
        <f t="shared" si="226"/>
        <v>9.0258088811410051</v>
      </c>
      <c r="AS409" s="13">
        <f t="shared" si="227"/>
        <v>11.648321703022411</v>
      </c>
      <c r="AT409" s="13">
        <f t="shared" si="228"/>
        <v>16.031255961670471</v>
      </c>
      <c r="AU409" s="9">
        <v>0</v>
      </c>
      <c r="AV409" s="18">
        <f t="shared" si="245"/>
        <v>1</v>
      </c>
      <c r="AW409" s="18">
        <f t="shared" si="246"/>
        <v>2</v>
      </c>
      <c r="AX409" s="18">
        <f t="shared" si="247"/>
        <v>5</v>
      </c>
      <c r="AY409" s="18">
        <f t="shared" si="248"/>
        <v>7</v>
      </c>
      <c r="AZ409" s="18">
        <f t="shared" si="249"/>
        <v>3</v>
      </c>
      <c r="BA409" s="18">
        <f t="shared" si="250"/>
        <v>8</v>
      </c>
      <c r="BB409" s="18">
        <f t="shared" si="251"/>
        <v>6</v>
      </c>
      <c r="BC409" s="18">
        <f t="shared" si="252"/>
        <v>4</v>
      </c>
      <c r="BD409" s="18">
        <f t="shared" si="253"/>
        <v>9</v>
      </c>
      <c r="BE409" s="8">
        <f t="shared" si="255"/>
        <v>1.1496678194358127E-3</v>
      </c>
    </row>
    <row r="410" spans="1:57" x14ac:dyDescent="0.25">
      <c r="A410" t="str">
        <f t="shared" si="254"/>
        <v/>
      </c>
      <c r="B410" s="1">
        <v>43333</v>
      </c>
      <c r="C410" s="9">
        <f t="shared" si="229"/>
        <v>0.24753819514521641</v>
      </c>
      <c r="D410" s="9">
        <f t="shared" si="230"/>
        <v>0.24727208275011253</v>
      </c>
      <c r="E410" s="9">
        <f t="shared" si="231"/>
        <v>0.25205897543503236</v>
      </c>
      <c r="F410" s="9">
        <f t="shared" si="232"/>
        <v>0</v>
      </c>
      <c r="G410" s="9">
        <f t="shared" si="233"/>
        <v>0.25313074666963875</v>
      </c>
      <c r="H410" s="9">
        <f t="shared" si="234"/>
        <v>0</v>
      </c>
      <c r="I410" s="9">
        <f t="shared" si="235"/>
        <v>0</v>
      </c>
      <c r="J410" s="9">
        <f t="shared" si="236"/>
        <v>0</v>
      </c>
      <c r="K410" s="9">
        <v>0</v>
      </c>
      <c r="L410" s="8">
        <f>+VLOOKUP($B410,NIFTY_50!$B$3:$I$1238,8,0)</f>
        <v>1.657757482632416E-3</v>
      </c>
      <c r="M410" s="8">
        <f>+VLOOKUP($B410,NIFTY_BANK!$B$3:$I$41238,8,0)</f>
        <v>-5.7826467545551985E-4</v>
      </c>
      <c r="N410" s="8">
        <f>+VLOOKUP($B410,NIFTY_IT!$B$3:$I$1238,8,0)</f>
        <v>9.2390688245609365E-3</v>
      </c>
      <c r="O410" s="8">
        <f>+VLOOKUP($B410,NIFTY_PHARMA!$B$3:$I$1238,8,0)</f>
        <v>1.544521718720504E-2</v>
      </c>
      <c r="P410" s="8">
        <f>+VLOOKUP($B410,NIFTY_FMCG!$B$3:$I$1238,8,0)</f>
        <v>-2.2545198490397933E-3</v>
      </c>
      <c r="Q410" s="8">
        <f>+VLOOKUP($B410,NIFTY_METAL!$B$3:$I$1238,8,0)</f>
        <v>-3.4349938198856567E-3</v>
      </c>
      <c r="R410" s="8">
        <f>+VLOOKUP($B410,NIFTY_ENERGY!$B$3:$I$1238,8,0)</f>
        <v>6.5817238768706154E-3</v>
      </c>
      <c r="S410" s="8">
        <f>+VLOOKUP($B410,NIFTY_AUTO!$B$3:$I$1238,8,0)</f>
        <v>-1.6957782849452707E-3</v>
      </c>
      <c r="T410" s="8">
        <v>0</v>
      </c>
      <c r="U410" s="8">
        <f>+VLOOKUP($B410,NIFTY_50!$B$63:$K$1238,10,0)</f>
        <v>9.106424708750005E-2</v>
      </c>
      <c r="V410" s="8">
        <f>+VLOOKUP($B410,NIFTY_BANK!$B$63:$K$1238,10,0)</f>
        <v>7.5526527629498297E-2</v>
      </c>
      <c r="W410" s="8">
        <f>+VLOOKUP($B410,NIFTY_IT!$B$63:$K$1238,10,0)</f>
        <v>9.971407499445939E-2</v>
      </c>
      <c r="X410" s="8">
        <f>+VLOOKUP($B410,NIFTY_PHARMA!$B$63:$K$1238,10,0)</f>
        <v>0.19925276447015583</v>
      </c>
      <c r="Y410" s="8">
        <f>+VLOOKUP($B410,NIFTY_FMCG!$B$63:$K$1238,10,0)</f>
        <v>0.12976031445177272</v>
      </c>
      <c r="Z410" s="8">
        <f>+VLOOKUP($B410,NIFTY_METAL!$B$63:$K$1238,10,0)</f>
        <v>-2.8157761955485916E-2</v>
      </c>
      <c r="AA410" s="8">
        <f>+VLOOKUP($B410,NIFTY_ENERGY!$B$63:$K$1238,10,0)</f>
        <v>0.17322278796617563</v>
      </c>
      <c r="AB410" s="8">
        <f>+VLOOKUP($B410,NIFTY_AUTO!$B$63:$K$1238,10,0)</f>
        <v>8.8440687310484822E-3</v>
      </c>
      <c r="AC410" s="8"/>
      <c r="AD410" s="16">
        <f t="shared" si="237"/>
        <v>4.3489274619450236E-2</v>
      </c>
      <c r="AE410" s="8">
        <f t="shared" si="238"/>
        <v>5.952483032269331E-2</v>
      </c>
      <c r="AF410" s="8">
        <f t="shared" si="239"/>
        <v>6.6206961335406489E-2</v>
      </c>
      <c r="AG410" s="8">
        <f t="shared" si="240"/>
        <v>0.10588629431679168</v>
      </c>
      <c r="AH410" s="8">
        <f t="shared" si="241"/>
        <v>6.0461731812801754E-2</v>
      </c>
      <c r="AI410" s="8">
        <f t="shared" si="242"/>
        <v>0.10866471028579691</v>
      </c>
      <c r="AJ410" s="8">
        <f t="shared" si="243"/>
        <v>8.5000153727416233E-2</v>
      </c>
      <c r="AK410" s="8">
        <f t="shared" si="244"/>
        <v>5.9602496711968433E-2</v>
      </c>
      <c r="AL410" s="9">
        <v>0</v>
      </c>
      <c r="AM410" s="17">
        <f t="shared" si="221"/>
        <v>22.994175201826842</v>
      </c>
      <c r="AN410" s="13">
        <f t="shared" si="222"/>
        <v>16.799711894663879</v>
      </c>
      <c r="AO410" s="13">
        <f t="shared" si="223"/>
        <v>15.104151887200644</v>
      </c>
      <c r="AP410" s="13">
        <f t="shared" si="224"/>
        <v>9.4440928965574145</v>
      </c>
      <c r="AQ410" s="13">
        <f t="shared" si="225"/>
        <v>16.539387311897453</v>
      </c>
      <c r="AR410" s="13">
        <f t="shared" si="226"/>
        <v>9.2026196671386664</v>
      </c>
      <c r="AS410" s="13">
        <f t="shared" si="227"/>
        <v>11.764684605240387</v>
      </c>
      <c r="AT410" s="13">
        <f t="shared" si="228"/>
        <v>16.777820647892352</v>
      </c>
      <c r="AU410" s="9">
        <v>0</v>
      </c>
      <c r="AV410" s="18">
        <f t="shared" si="245"/>
        <v>1</v>
      </c>
      <c r="AW410" s="18">
        <f t="shared" si="246"/>
        <v>2</v>
      </c>
      <c r="AX410" s="18">
        <f t="shared" si="247"/>
        <v>5</v>
      </c>
      <c r="AY410" s="18">
        <f t="shared" si="248"/>
        <v>7</v>
      </c>
      <c r="AZ410" s="18">
        <f t="shared" si="249"/>
        <v>4</v>
      </c>
      <c r="BA410" s="18">
        <f t="shared" si="250"/>
        <v>8</v>
      </c>
      <c r="BB410" s="18">
        <f t="shared" si="251"/>
        <v>6</v>
      </c>
      <c r="BC410" s="18">
        <f t="shared" si="252"/>
        <v>3</v>
      </c>
      <c r="BD410" s="18">
        <f t="shared" si="253"/>
        <v>9</v>
      </c>
      <c r="BE410" s="8">
        <f t="shared" si="255"/>
        <v>2.0061176605998365E-3</v>
      </c>
    </row>
    <row r="411" spans="1:57" x14ac:dyDescent="0.25">
      <c r="A411" t="str">
        <f t="shared" si="254"/>
        <v/>
      </c>
      <c r="B411" s="1">
        <v>43335</v>
      </c>
      <c r="C411" s="9">
        <f t="shared" si="229"/>
        <v>0.24688743827506582</v>
      </c>
      <c r="D411" s="9">
        <f t="shared" si="230"/>
        <v>0.24436443196249236</v>
      </c>
      <c r="E411" s="9">
        <f t="shared" si="231"/>
        <v>0.25424712827891632</v>
      </c>
      <c r="F411" s="9">
        <f t="shared" si="232"/>
        <v>0</v>
      </c>
      <c r="G411" s="9">
        <f t="shared" si="233"/>
        <v>0.25450100148352556</v>
      </c>
      <c r="H411" s="9">
        <f t="shared" si="234"/>
        <v>0</v>
      </c>
      <c r="I411" s="9">
        <f t="shared" si="235"/>
        <v>0</v>
      </c>
      <c r="J411" s="9">
        <f t="shared" si="236"/>
        <v>0</v>
      </c>
      <c r="K411" s="9">
        <v>0</v>
      </c>
      <c r="L411" s="8">
        <f>+VLOOKUP($B411,NIFTY_50!$B$3:$I$1238,8,0)</f>
        <v>1.024120854903332E-3</v>
      </c>
      <c r="M411" s="8">
        <f>+VLOOKUP($B411,NIFTY_BANK!$B$3:$I$41238,8,0)</f>
        <v>-8.1393167928260901E-3</v>
      </c>
      <c r="N411" s="8">
        <f>+VLOOKUP($B411,NIFTY_IT!$B$3:$I$1238,8,0)</f>
        <v>1.2375575252814075E-2</v>
      </c>
      <c r="O411" s="8">
        <f>+VLOOKUP($B411,NIFTY_PHARMA!$B$3:$I$1238,8,0)</f>
        <v>1.2692829506054881E-2</v>
      </c>
      <c r="P411" s="8">
        <f>+VLOOKUP($B411,NIFTY_FMCG!$B$3:$I$1238,8,0)</f>
        <v>9.0957209716959753E-3</v>
      </c>
      <c r="Q411" s="8">
        <f>+VLOOKUP($B411,NIFTY_METAL!$B$3:$I$1238,8,0)</f>
        <v>-1.4465163904873068E-2</v>
      </c>
      <c r="R411" s="8">
        <f>+VLOOKUP($B411,NIFTY_ENERGY!$B$3:$I$1238,8,0)</f>
        <v>1.1272275706677659E-2</v>
      </c>
      <c r="S411" s="8">
        <f>+VLOOKUP($B411,NIFTY_AUTO!$B$3:$I$1238,8,0)</f>
        <v>-1.7897397363207945E-3</v>
      </c>
      <c r="T411" s="8">
        <v>0</v>
      </c>
      <c r="U411" s="8">
        <f>+VLOOKUP($B411,NIFTY_50!$B$63:$K$1238,10,0)</f>
        <v>8.3649478652589426E-2</v>
      </c>
      <c r="V411" s="8">
        <f>+VLOOKUP($B411,NIFTY_BANK!$B$63:$K$1238,10,0)</f>
        <v>5.3116281691199418E-2</v>
      </c>
      <c r="W411" s="8">
        <f>+VLOOKUP($B411,NIFTY_IT!$B$63:$K$1238,10,0)</f>
        <v>0.13515265563762724</v>
      </c>
      <c r="X411" s="8">
        <f>+VLOOKUP($B411,NIFTY_PHARMA!$B$63:$K$1238,10,0)</f>
        <v>0.18575698383187</v>
      </c>
      <c r="Y411" s="8">
        <f>+VLOOKUP($B411,NIFTY_FMCG!$B$63:$K$1238,10,0)</f>
        <v>0.13227354268655889</v>
      </c>
      <c r="Z411" s="8">
        <f>+VLOOKUP($B411,NIFTY_METAL!$B$63:$K$1238,10,0)</f>
        <v>-5.212639054567636E-2</v>
      </c>
      <c r="AA411" s="8">
        <f>+VLOOKUP($B411,NIFTY_ENERGY!$B$63:$K$1238,10,0)</f>
        <v>0.1749503573526896</v>
      </c>
      <c r="AB411" s="8">
        <f>+VLOOKUP($B411,NIFTY_AUTO!$B$63:$K$1238,10,0)</f>
        <v>-4.3199193251658441E-3</v>
      </c>
      <c r="AC411" s="8"/>
      <c r="AD411" s="16">
        <f t="shared" si="237"/>
        <v>4.3004680115418852E-2</v>
      </c>
      <c r="AE411" s="8">
        <f t="shared" si="238"/>
        <v>5.9039281094436735E-2</v>
      </c>
      <c r="AF411" s="8">
        <f t="shared" si="239"/>
        <v>6.3635733916050014E-2</v>
      </c>
      <c r="AG411" s="8">
        <f t="shared" si="240"/>
        <v>0.10418810974094105</v>
      </c>
      <c r="AH411" s="8">
        <f t="shared" si="241"/>
        <v>6.0680849491988827E-2</v>
      </c>
      <c r="AI411" s="8">
        <f t="shared" si="242"/>
        <v>0.108992009064712</v>
      </c>
      <c r="AJ411" s="8">
        <f t="shared" si="243"/>
        <v>8.5137102963485672E-2</v>
      </c>
      <c r="AK411" s="8">
        <f t="shared" si="244"/>
        <v>5.8542714482540927E-2</v>
      </c>
      <c r="AL411" s="9">
        <v>0</v>
      </c>
      <c r="AM411" s="17">
        <f t="shared" si="221"/>
        <v>23.253283068636549</v>
      </c>
      <c r="AN411" s="13">
        <f t="shared" si="222"/>
        <v>16.937875622171656</v>
      </c>
      <c r="AO411" s="13">
        <f t="shared" si="223"/>
        <v>15.71444121818768</v>
      </c>
      <c r="AP411" s="13">
        <f t="shared" si="224"/>
        <v>9.5980242129975686</v>
      </c>
      <c r="AQ411" s="13">
        <f t="shared" si="225"/>
        <v>16.479663820988886</v>
      </c>
      <c r="AR411" s="13">
        <f t="shared" si="226"/>
        <v>9.1749845569528716</v>
      </c>
      <c r="AS411" s="13">
        <f t="shared" si="227"/>
        <v>11.745760252482265</v>
      </c>
      <c r="AT411" s="13">
        <f t="shared" si="228"/>
        <v>17.081544797486764</v>
      </c>
      <c r="AU411" s="9">
        <v>0</v>
      </c>
      <c r="AV411" s="18">
        <f t="shared" si="245"/>
        <v>1</v>
      </c>
      <c r="AW411" s="18">
        <f t="shared" si="246"/>
        <v>3</v>
      </c>
      <c r="AX411" s="18">
        <f t="shared" si="247"/>
        <v>5</v>
      </c>
      <c r="AY411" s="18">
        <f t="shared" si="248"/>
        <v>7</v>
      </c>
      <c r="AZ411" s="18">
        <f t="shared" si="249"/>
        <v>4</v>
      </c>
      <c r="BA411" s="18">
        <f t="shared" si="250"/>
        <v>8</v>
      </c>
      <c r="BB411" s="18">
        <f t="shared" si="251"/>
        <v>6</v>
      </c>
      <c r="BC411" s="18">
        <f t="shared" si="252"/>
        <v>2</v>
      </c>
      <c r="BD411" s="18">
        <f t="shared" si="253"/>
        <v>9</v>
      </c>
      <c r="BE411" s="8">
        <f t="shared" si="255"/>
        <v>3.6626646722158255E-3</v>
      </c>
    </row>
    <row r="412" spans="1:57" x14ac:dyDescent="0.25">
      <c r="A412" t="str">
        <f t="shared" si="254"/>
        <v/>
      </c>
      <c r="B412" s="1">
        <v>43336</v>
      </c>
      <c r="C412" s="9">
        <f t="shared" si="229"/>
        <v>0.24756228186478499</v>
      </c>
      <c r="D412" s="9">
        <f t="shared" si="230"/>
        <v>0.24388341857681986</v>
      </c>
      <c r="E412" s="9">
        <f t="shared" si="231"/>
        <v>0.25447567050621139</v>
      </c>
      <c r="F412" s="9">
        <f t="shared" si="232"/>
        <v>0</v>
      </c>
      <c r="G412" s="9">
        <f t="shared" si="233"/>
        <v>0.2540786290521837</v>
      </c>
      <c r="H412" s="9">
        <f t="shared" si="234"/>
        <v>0</v>
      </c>
      <c r="I412" s="9">
        <f t="shared" si="235"/>
        <v>0</v>
      </c>
      <c r="J412" s="9">
        <f t="shared" si="236"/>
        <v>0</v>
      </c>
      <c r="K412" s="9">
        <v>0</v>
      </c>
      <c r="L412" s="8">
        <f>+VLOOKUP($B412,NIFTY_50!$B$3:$I$1238,8,0)</f>
        <v>-2.214500010791931E-3</v>
      </c>
      <c r="M412" s="8">
        <f>+VLOOKUP($B412,NIFTY_BANK!$B$3:$I$41238,8,0)</f>
        <v>-6.8931314868398985E-3</v>
      </c>
      <c r="N412" s="8">
        <f>+VLOOKUP($B412,NIFTY_IT!$B$3:$I$1238,8,0)</f>
        <v>-4.0399557497577954E-3</v>
      </c>
      <c r="O412" s="8">
        <f>+VLOOKUP($B412,NIFTY_PHARMA!$B$3:$I$1238,8,0)</f>
        <v>-1.5580342966019511E-3</v>
      </c>
      <c r="P412" s="8">
        <f>+VLOOKUP($B412,NIFTY_FMCG!$B$3:$I$1238,8,0)</f>
        <v>-6.5858390656513555E-3</v>
      </c>
      <c r="Q412" s="8">
        <f>+VLOOKUP($B412,NIFTY_METAL!$B$3:$I$1238,8,0)</f>
        <v>1.8848044954343113E-2</v>
      </c>
      <c r="R412" s="8">
        <f>+VLOOKUP($B412,NIFTY_ENERGY!$B$3:$I$1238,8,0)</f>
        <v>4.842231857454804E-3</v>
      </c>
      <c r="S412" s="8">
        <f>+VLOOKUP($B412,NIFTY_AUTO!$B$3:$I$1238,8,0)</f>
        <v>-5.164422059199314E-3</v>
      </c>
      <c r="T412" s="8">
        <v>0</v>
      </c>
      <c r="U412" s="8">
        <f>+VLOOKUP($B412,NIFTY_50!$B$63:$K$1238,10,0)</f>
        <v>8.687801529158401E-2</v>
      </c>
      <c r="V412" s="8">
        <f>+VLOOKUP($B412,NIFTY_BANK!$B$63:$K$1238,10,0)</f>
        <v>6.017566311683975E-2</v>
      </c>
      <c r="W412" s="8">
        <f>+VLOOKUP($B412,NIFTY_IT!$B$63:$K$1238,10,0)</f>
        <v>0.12528528395662586</v>
      </c>
      <c r="X412" s="8">
        <f>+VLOOKUP($B412,NIFTY_PHARMA!$B$63:$K$1238,10,0)</f>
        <v>0.19626179336420746</v>
      </c>
      <c r="Y412" s="8">
        <f>+VLOOKUP($B412,NIFTY_FMCG!$B$63:$K$1238,10,0)</f>
        <v>0.12817658964470979</v>
      </c>
      <c r="Z412" s="8">
        <f>+VLOOKUP($B412,NIFTY_METAL!$B$63:$K$1238,10,0)</f>
        <v>-3.4863250114362532E-2</v>
      </c>
      <c r="AA412" s="8">
        <f>+VLOOKUP($B412,NIFTY_ENERGY!$B$63:$K$1238,10,0)</f>
        <v>0.18060022831135125</v>
      </c>
      <c r="AB412" s="8">
        <f>+VLOOKUP($B412,NIFTY_AUTO!$B$63:$K$1238,10,0)</f>
        <v>-1.3405844640603015E-2</v>
      </c>
      <c r="AC412" s="8"/>
      <c r="AD412" s="16">
        <f t="shared" si="237"/>
        <v>4.2654955587590297E-2</v>
      </c>
      <c r="AE412" s="8">
        <f t="shared" si="238"/>
        <v>5.7779083476696753E-2</v>
      </c>
      <c r="AF412" s="8">
        <f t="shared" si="239"/>
        <v>6.3870684322271415E-2</v>
      </c>
      <c r="AG412" s="8">
        <f t="shared" si="240"/>
        <v>0.10343648436356211</v>
      </c>
      <c r="AH412" s="8">
        <f t="shared" si="241"/>
        <v>6.1085026113381118E-2</v>
      </c>
      <c r="AI412" s="8">
        <f t="shared" si="242"/>
        <v>0.11071174132731147</v>
      </c>
      <c r="AJ412" s="8">
        <f t="shared" si="243"/>
        <v>8.5119734562077609E-2</v>
      </c>
      <c r="AK412" s="8">
        <f t="shared" si="244"/>
        <v>5.8615528924282713E-2</v>
      </c>
      <c r="AL412" s="9">
        <v>0</v>
      </c>
      <c r="AM412" s="17">
        <f t="shared" si="221"/>
        <v>23.4439348541001</v>
      </c>
      <c r="AN412" s="13">
        <f t="shared" si="222"/>
        <v>17.307301186307608</v>
      </c>
      <c r="AO412" s="13">
        <f t="shared" si="223"/>
        <v>15.656635130983004</v>
      </c>
      <c r="AP412" s="13">
        <f t="shared" si="224"/>
        <v>9.6677686423019331</v>
      </c>
      <c r="AQ412" s="13">
        <f t="shared" si="225"/>
        <v>16.370624089508947</v>
      </c>
      <c r="AR412" s="13">
        <f t="shared" si="226"/>
        <v>9.032465644665189</v>
      </c>
      <c r="AS412" s="13">
        <f t="shared" si="227"/>
        <v>11.748156936165049</v>
      </c>
      <c r="AT412" s="13">
        <f t="shared" si="228"/>
        <v>17.060325452181136</v>
      </c>
      <c r="AU412" s="9">
        <v>0</v>
      </c>
      <c r="AV412" s="18">
        <f t="shared" si="245"/>
        <v>1</v>
      </c>
      <c r="AW412" s="18">
        <f t="shared" si="246"/>
        <v>2</v>
      </c>
      <c r="AX412" s="18">
        <f t="shared" si="247"/>
        <v>5</v>
      </c>
      <c r="AY412" s="18">
        <f t="shared" si="248"/>
        <v>7</v>
      </c>
      <c r="AZ412" s="18">
        <f t="shared" si="249"/>
        <v>4</v>
      </c>
      <c r="BA412" s="18">
        <f t="shared" si="250"/>
        <v>8</v>
      </c>
      <c r="BB412" s="18">
        <f t="shared" si="251"/>
        <v>6</v>
      </c>
      <c r="BC412" s="18">
        <f t="shared" si="252"/>
        <v>3</v>
      </c>
      <c r="BD412" s="18">
        <f t="shared" si="253"/>
        <v>9</v>
      </c>
      <c r="BE412" s="8">
        <f t="shared" si="255"/>
        <v>-4.9344181805163392E-3</v>
      </c>
    </row>
    <row r="413" spans="1:57" x14ac:dyDescent="0.25">
      <c r="A413" t="str">
        <f t="shared" si="254"/>
        <v/>
      </c>
      <c r="B413" s="1">
        <v>43339</v>
      </c>
      <c r="C413" s="9">
        <f t="shared" si="229"/>
        <v>0.24733027932823756</v>
      </c>
      <c r="D413" s="9">
        <f t="shared" si="230"/>
        <v>0.24456097617721623</v>
      </c>
      <c r="E413" s="9">
        <f t="shared" si="231"/>
        <v>0.25550265867557603</v>
      </c>
      <c r="F413" s="9">
        <f t="shared" si="232"/>
        <v>0</v>
      </c>
      <c r="G413" s="9">
        <f t="shared" si="233"/>
        <v>0.25260608581897009</v>
      </c>
      <c r="H413" s="9">
        <f t="shared" si="234"/>
        <v>0</v>
      </c>
      <c r="I413" s="9">
        <f t="shared" si="235"/>
        <v>0</v>
      </c>
      <c r="J413" s="9">
        <f t="shared" si="236"/>
        <v>0</v>
      </c>
      <c r="K413" s="9">
        <v>0</v>
      </c>
      <c r="L413" s="8">
        <f>+VLOOKUP($B413,NIFTY_50!$B$3:$I$1238,8,0)</f>
        <v>1.1668152045063218E-2</v>
      </c>
      <c r="M413" s="8">
        <f>+VLOOKUP($B413,NIFTY_BANK!$B$3:$I$41238,8,0)</f>
        <v>1.5430380065170501E-2</v>
      </c>
      <c r="N413" s="8">
        <f>+VLOOKUP($B413,NIFTY_IT!$B$3:$I$1238,8,0)</f>
        <v>1.6703746055878099E-2</v>
      </c>
      <c r="O413" s="8">
        <f>+VLOOKUP($B413,NIFTY_PHARMA!$B$3:$I$1238,8,0)</f>
        <v>3.2898987188278994E-3</v>
      </c>
      <c r="P413" s="8">
        <f>+VLOOKUP($B413,NIFTY_FMCG!$B$3:$I$1238,8,0)</f>
        <v>6.7483800645657954E-3</v>
      </c>
      <c r="Q413" s="8">
        <f>+VLOOKUP($B413,NIFTY_METAL!$B$3:$I$1238,8,0)</f>
        <v>1.4836837871998299E-2</v>
      </c>
      <c r="R413" s="8">
        <f>+VLOOKUP($B413,NIFTY_ENERGY!$B$3:$I$1238,8,0)</f>
        <v>1.3083464566929104E-2</v>
      </c>
      <c r="S413" s="8">
        <f>+VLOOKUP($B413,NIFTY_AUTO!$B$3:$I$1238,8,0)</f>
        <v>8.3050536549573728E-3</v>
      </c>
      <c r="T413" s="8">
        <v>0</v>
      </c>
      <c r="U413" s="8">
        <f>+VLOOKUP($B413,NIFTY_50!$B$63:$K$1238,10,0)</f>
        <v>0.10152293828637649</v>
      </c>
      <c r="V413" s="8">
        <f>+VLOOKUP($B413,NIFTY_BANK!$B$63:$K$1238,10,0)</f>
        <v>7.3549631947978922E-2</v>
      </c>
      <c r="W413" s="8">
        <f>+VLOOKUP($B413,NIFTY_IT!$B$63:$K$1238,10,0)</f>
        <v>0.14436445709818035</v>
      </c>
      <c r="X413" s="8">
        <f>+VLOOKUP($B413,NIFTY_PHARMA!$B$63:$K$1238,10,0)</f>
        <v>0.21308480849887634</v>
      </c>
      <c r="Y413" s="8">
        <f>+VLOOKUP($B413,NIFTY_FMCG!$B$63:$K$1238,10,0)</f>
        <v>0.13769429532016297</v>
      </c>
      <c r="Z413" s="8">
        <f>+VLOOKUP($B413,NIFTY_METAL!$B$63:$K$1238,10,0)</f>
        <v>-2.1411852693101419E-2</v>
      </c>
      <c r="AA413" s="8">
        <f>+VLOOKUP($B413,NIFTY_ENERGY!$B$63:$K$1238,10,0)</f>
        <v>0.20006715666156771</v>
      </c>
      <c r="AB413" s="8">
        <f>+VLOOKUP($B413,NIFTY_AUTO!$B$63:$K$1238,10,0)</f>
        <v>-2.7757242054943232E-3</v>
      </c>
      <c r="AC413" s="8"/>
      <c r="AD413" s="16">
        <f t="shared" si="237"/>
        <v>4.372967579675844E-2</v>
      </c>
      <c r="AE413" s="8">
        <f t="shared" si="238"/>
        <v>5.9508209164280824E-2</v>
      </c>
      <c r="AF413" s="8">
        <f t="shared" si="239"/>
        <v>6.547452224954374E-2</v>
      </c>
      <c r="AG413" s="8">
        <f t="shared" si="240"/>
        <v>0.10251629778978139</v>
      </c>
      <c r="AH413" s="8">
        <f t="shared" si="241"/>
        <v>6.1148248900227992E-2</v>
      </c>
      <c r="AI413" s="8">
        <f t="shared" si="242"/>
        <v>0.11174373056781015</v>
      </c>
      <c r="AJ413" s="8">
        <f t="shared" si="243"/>
        <v>8.5494836325199192E-2</v>
      </c>
      <c r="AK413" s="8">
        <f t="shared" si="244"/>
        <v>5.9169594539620042E-2</v>
      </c>
      <c r="AL413" s="9">
        <v>0</v>
      </c>
      <c r="AM413" s="17">
        <f t="shared" si="221"/>
        <v>22.867766151472985</v>
      </c>
      <c r="AN413" s="13">
        <f t="shared" si="222"/>
        <v>16.804404199752653</v>
      </c>
      <c r="AO413" s="13">
        <f t="shared" si="223"/>
        <v>15.273116406847375</v>
      </c>
      <c r="AP413" s="13">
        <f t="shared" si="224"/>
        <v>9.7545465604950667</v>
      </c>
      <c r="AQ413" s="13">
        <f t="shared" si="225"/>
        <v>16.353698069615064</v>
      </c>
      <c r="AR413" s="13">
        <f t="shared" si="226"/>
        <v>8.949047923482059</v>
      </c>
      <c r="AS413" s="13">
        <f t="shared" si="227"/>
        <v>11.696612836315294</v>
      </c>
      <c r="AT413" s="13">
        <f t="shared" si="228"/>
        <v>16.900572122906784</v>
      </c>
      <c r="AU413" s="9">
        <v>0</v>
      </c>
      <c r="AV413" s="18">
        <f t="shared" si="245"/>
        <v>1</v>
      </c>
      <c r="AW413" s="18">
        <f t="shared" si="246"/>
        <v>3</v>
      </c>
      <c r="AX413" s="18">
        <f t="shared" si="247"/>
        <v>5</v>
      </c>
      <c r="AY413" s="18">
        <f t="shared" si="248"/>
        <v>7</v>
      </c>
      <c r="AZ413" s="18">
        <f t="shared" si="249"/>
        <v>4</v>
      </c>
      <c r="BA413" s="18">
        <f t="shared" si="250"/>
        <v>8</v>
      </c>
      <c r="BB413" s="18">
        <f t="shared" si="251"/>
        <v>6</v>
      </c>
      <c r="BC413" s="18">
        <f t="shared" si="252"/>
        <v>2</v>
      </c>
      <c r="BD413" s="18">
        <f t="shared" si="253"/>
        <v>9</v>
      </c>
      <c r="BE413" s="8">
        <f t="shared" si="255"/>
        <v>1.2617124318317531E-2</v>
      </c>
    </row>
    <row r="414" spans="1:57" x14ac:dyDescent="0.25">
      <c r="A414" t="str">
        <f t="shared" si="254"/>
        <v/>
      </c>
      <c r="B414" s="1">
        <v>43340</v>
      </c>
      <c r="C414" s="9">
        <f t="shared" si="229"/>
        <v>0.24799184864523574</v>
      </c>
      <c r="D414" s="9">
        <f t="shared" si="230"/>
        <v>0.24428981270011266</v>
      </c>
      <c r="E414" s="9">
        <f t="shared" si="231"/>
        <v>0.25629018269954384</v>
      </c>
      <c r="F414" s="9">
        <f t="shared" si="232"/>
        <v>0</v>
      </c>
      <c r="G414" s="9">
        <f t="shared" si="233"/>
        <v>0.25142815595510776</v>
      </c>
      <c r="H414" s="9">
        <f t="shared" si="234"/>
        <v>0</v>
      </c>
      <c r="I414" s="9">
        <f t="shared" si="235"/>
        <v>0</v>
      </c>
      <c r="J414" s="9">
        <f t="shared" si="236"/>
        <v>0</v>
      </c>
      <c r="K414" s="9">
        <v>0</v>
      </c>
      <c r="L414" s="8">
        <f>+VLOOKUP($B414,NIFTY_50!$B$3:$I$1238,8,0)</f>
        <v>3.9813717985450747E-3</v>
      </c>
      <c r="M414" s="8">
        <f>+VLOOKUP($B414,NIFTY_BANK!$B$3:$I$41238,8,0)</f>
        <v>1.9282343034654481E-4</v>
      </c>
      <c r="N414" s="8">
        <f>+VLOOKUP($B414,NIFTY_IT!$B$3:$I$1238,8,0)</f>
        <v>4.3893148221552103E-3</v>
      </c>
      <c r="O414" s="8">
        <f>+VLOOKUP($B414,NIFTY_PHARMA!$B$3:$I$1238,8,0)</f>
        <v>-4.3688454756196649E-3</v>
      </c>
      <c r="P414" s="8">
        <f>+VLOOKUP($B414,NIFTY_FMCG!$B$3:$I$1238,8,0)</f>
        <v>-3.3661410681479209E-3</v>
      </c>
      <c r="Q414" s="8">
        <f>+VLOOKUP($B414,NIFTY_METAL!$B$3:$I$1238,8,0)</f>
        <v>1.8214755792065773E-2</v>
      </c>
      <c r="R414" s="8">
        <f>+VLOOKUP($B414,NIFTY_ENERGY!$B$3:$I$1238,8,0)</f>
        <v>9.8832907409824866E-3</v>
      </c>
      <c r="S414" s="8">
        <f>+VLOOKUP($B414,NIFTY_AUTO!$B$3:$I$1238,8,0)</f>
        <v>4.6026988552378967E-3</v>
      </c>
      <c r="T414" s="8">
        <v>0</v>
      </c>
      <c r="U414" s="8">
        <f>+VLOOKUP($B414,NIFTY_50!$B$63:$K$1238,10,0)</f>
        <v>9.3362145648114181E-2</v>
      </c>
      <c r="V414" s="8">
        <f>+VLOOKUP($B414,NIFTY_BANK!$B$63:$K$1238,10,0)</f>
        <v>4.8725339625021347E-2</v>
      </c>
      <c r="W414" s="8">
        <f>+VLOOKUP($B414,NIFTY_IT!$B$63:$K$1238,10,0)</f>
        <v>0.14027879408751631</v>
      </c>
      <c r="X414" s="8">
        <f>+VLOOKUP($B414,NIFTY_PHARMA!$B$63:$K$1238,10,0)</f>
        <v>0.22260271889541072</v>
      </c>
      <c r="Y414" s="8">
        <f>+VLOOKUP($B414,NIFTY_FMCG!$B$63:$K$1238,10,0)</f>
        <v>0.12771609929791805</v>
      </c>
      <c r="Z414" s="8">
        <f>+VLOOKUP($B414,NIFTY_METAL!$B$63:$K$1238,10,0)</f>
        <v>9.8785357505581928E-4</v>
      </c>
      <c r="AA414" s="8">
        <f>+VLOOKUP($B414,NIFTY_ENERGY!$B$63:$K$1238,10,0)</f>
        <v>0.20100344587899488</v>
      </c>
      <c r="AB414" s="8">
        <f>+VLOOKUP($B414,NIFTY_AUTO!$B$63:$K$1238,10,0)</f>
        <v>4.5204625970374224E-3</v>
      </c>
      <c r="AC414" s="8"/>
      <c r="AD414" s="16">
        <f t="shared" si="237"/>
        <v>4.2656177152148873E-2</v>
      </c>
      <c r="AE414" s="8">
        <f t="shared" si="238"/>
        <v>5.4944264754673441E-2</v>
      </c>
      <c r="AF414" s="8">
        <f t="shared" si="239"/>
        <v>6.5255946172540449E-2</v>
      </c>
      <c r="AG414" s="8">
        <f t="shared" si="240"/>
        <v>0.10163810922600676</v>
      </c>
      <c r="AH414" s="8">
        <f t="shared" si="241"/>
        <v>6.1296923531566128E-2</v>
      </c>
      <c r="AI414" s="8">
        <f t="shared" si="242"/>
        <v>0.11313943954600758</v>
      </c>
      <c r="AJ414" s="8">
        <f t="shared" si="243"/>
        <v>8.5554018865615658E-2</v>
      </c>
      <c r="AK414" s="8">
        <f t="shared" si="244"/>
        <v>5.9281874370472123E-2</v>
      </c>
      <c r="AL414" s="9">
        <v>0</v>
      </c>
      <c r="AM414" s="17">
        <f t="shared" si="221"/>
        <v>23.443263479358073</v>
      </c>
      <c r="AN414" s="13">
        <f t="shared" si="222"/>
        <v>18.200261746426268</v>
      </c>
      <c r="AO414" s="13">
        <f t="shared" si="223"/>
        <v>15.324274011075449</v>
      </c>
      <c r="AP414" s="13">
        <f t="shared" si="224"/>
        <v>9.8388292306418066</v>
      </c>
      <c r="AQ414" s="13">
        <f t="shared" si="225"/>
        <v>16.314032456865949</v>
      </c>
      <c r="AR414" s="13">
        <f t="shared" si="226"/>
        <v>8.8386508189600406</v>
      </c>
      <c r="AS414" s="13">
        <f t="shared" si="227"/>
        <v>11.68852162948364</v>
      </c>
      <c r="AT414" s="13">
        <f t="shared" si="228"/>
        <v>16.868562450483058</v>
      </c>
      <c r="AU414" s="9">
        <v>0</v>
      </c>
      <c r="AV414" s="18">
        <f t="shared" si="245"/>
        <v>1</v>
      </c>
      <c r="AW414" s="18">
        <f t="shared" si="246"/>
        <v>2</v>
      </c>
      <c r="AX414" s="18">
        <f t="shared" si="247"/>
        <v>5</v>
      </c>
      <c r="AY414" s="18">
        <f t="shared" si="248"/>
        <v>7</v>
      </c>
      <c r="AZ414" s="18">
        <f t="shared" si="249"/>
        <v>4</v>
      </c>
      <c r="BA414" s="18">
        <f t="shared" si="250"/>
        <v>8</v>
      </c>
      <c r="BB414" s="18">
        <f t="shared" si="251"/>
        <v>6</v>
      </c>
      <c r="BC414" s="18">
        <f t="shared" si="252"/>
        <v>3</v>
      </c>
      <c r="BD414" s="18">
        <f t="shared" si="253"/>
        <v>9</v>
      </c>
      <c r="BE414" s="8">
        <f t="shared" si="255"/>
        <v>1.3030447726845472E-3</v>
      </c>
    </row>
    <row r="415" spans="1:57" x14ac:dyDescent="0.25">
      <c r="A415" t="str">
        <f t="shared" si="254"/>
        <v/>
      </c>
      <c r="B415" s="1">
        <v>43341</v>
      </c>
      <c r="C415" s="9">
        <f t="shared" si="229"/>
        <v>0.24770953462405187</v>
      </c>
      <c r="D415" s="9">
        <f t="shared" si="230"/>
        <v>0.24458952663883882</v>
      </c>
      <c r="E415" s="9">
        <f t="shared" si="231"/>
        <v>0.25606047460430731</v>
      </c>
      <c r="F415" s="9">
        <f t="shared" si="232"/>
        <v>0</v>
      </c>
      <c r="G415" s="9">
        <f t="shared" si="233"/>
        <v>0.251640464132802</v>
      </c>
      <c r="H415" s="9">
        <f t="shared" si="234"/>
        <v>0</v>
      </c>
      <c r="I415" s="9">
        <f t="shared" si="235"/>
        <v>0</v>
      </c>
      <c r="J415" s="9">
        <f t="shared" si="236"/>
        <v>0</v>
      </c>
      <c r="K415" s="9">
        <v>0</v>
      </c>
      <c r="L415" s="8">
        <f>+VLOOKUP($B415,NIFTY_50!$B$3:$I$1238,8,0)</f>
        <v>-3.9698428248924333E-3</v>
      </c>
      <c r="M415" s="8">
        <f>+VLOOKUP($B415,NIFTY_BANK!$B$3:$I$41238,8,0)</f>
        <v>-1.6112686220028927E-3</v>
      </c>
      <c r="N415" s="8">
        <f>+VLOOKUP($B415,NIFTY_IT!$B$3:$I$1238,8,0)</f>
        <v>-3.728410035262586E-3</v>
      </c>
      <c r="O415" s="8">
        <f>+VLOOKUP($B415,NIFTY_PHARMA!$B$3:$I$1238,8,0)</f>
        <v>-4.0994616968985653E-3</v>
      </c>
      <c r="P415" s="8">
        <f>+VLOOKUP($B415,NIFTY_FMCG!$B$3:$I$1238,8,0)</f>
        <v>-1.9926541075602211E-3</v>
      </c>
      <c r="Q415" s="8">
        <f>+VLOOKUP($B415,NIFTY_METAL!$B$3:$I$1238,8,0)</f>
        <v>1.0313577226731985E-2</v>
      </c>
      <c r="R415" s="8">
        <f>+VLOOKUP($B415,NIFTY_ENERGY!$B$3:$I$1238,8,0)</f>
        <v>-1.1187287005938407E-2</v>
      </c>
      <c r="S415" s="8">
        <f>+VLOOKUP($B415,NIFTY_AUTO!$B$3:$I$1238,8,0)</f>
        <v>1.1770937555175554E-3</v>
      </c>
      <c r="T415" s="8">
        <v>0</v>
      </c>
      <c r="U415" s="8">
        <f>+VLOOKUP($B415,NIFTY_50!$B$63:$K$1238,10,0)</f>
        <v>9.3089134458966605E-2</v>
      </c>
      <c r="V415" s="8">
        <f>+VLOOKUP($B415,NIFTY_BANK!$B$63:$K$1238,10,0)</f>
        <v>5.7367529820775642E-2</v>
      </c>
      <c r="W415" s="8">
        <f>+VLOOKUP($B415,NIFTY_IT!$B$63:$K$1238,10,0)</f>
        <v>0.14503025766029576</v>
      </c>
      <c r="X415" s="8">
        <f>+VLOOKUP($B415,NIFTY_PHARMA!$B$63:$K$1238,10,0)</f>
        <v>0.21863585447815703</v>
      </c>
      <c r="Y415" s="8">
        <f>+VLOOKUP($B415,NIFTY_FMCG!$B$63:$K$1238,10,0)</f>
        <v>0.13345030302606653</v>
      </c>
      <c r="Z415" s="8">
        <f>+VLOOKUP($B415,NIFTY_METAL!$B$63:$K$1238,10,0)</f>
        <v>1.8467660576168665E-2</v>
      </c>
      <c r="AA415" s="8">
        <f>+VLOOKUP($B415,NIFTY_ENERGY!$B$63:$K$1238,10,0)</f>
        <v>0.1897801566869779</v>
      </c>
      <c r="AB415" s="8">
        <f>+VLOOKUP($B415,NIFTY_AUTO!$B$63:$K$1238,10,0)</f>
        <v>-1.7514478786264664E-3</v>
      </c>
      <c r="AC415" s="8"/>
      <c r="AD415" s="16">
        <f t="shared" si="237"/>
        <v>4.2687207274200216E-2</v>
      </c>
      <c r="AE415" s="8">
        <f t="shared" si="238"/>
        <v>5.3960721023525005E-2</v>
      </c>
      <c r="AF415" s="8">
        <f t="shared" si="239"/>
        <v>6.4745954217783244E-2</v>
      </c>
      <c r="AG415" s="8">
        <f t="shared" si="240"/>
        <v>0.10182410246991361</v>
      </c>
      <c r="AH415" s="8">
        <f t="shared" si="241"/>
        <v>6.075405437708193E-2</v>
      </c>
      <c r="AI415" s="8">
        <f t="shared" si="242"/>
        <v>0.11335077527651488</v>
      </c>
      <c r="AJ415" s="8">
        <f t="shared" si="243"/>
        <v>8.658508341493866E-2</v>
      </c>
      <c r="AK415" s="8">
        <f t="shared" si="244"/>
        <v>5.8826935880663976E-2</v>
      </c>
      <c r="AL415" s="9">
        <v>0</v>
      </c>
      <c r="AM415" s="17">
        <f t="shared" si="221"/>
        <v>23.426222136681954</v>
      </c>
      <c r="AN415" s="13">
        <f t="shared" si="222"/>
        <v>18.531998480228509</v>
      </c>
      <c r="AO415" s="13">
        <f t="shared" si="223"/>
        <v>15.44498049463202</v>
      </c>
      <c r="AP415" s="13">
        <f t="shared" si="224"/>
        <v>9.8208574958514774</v>
      </c>
      <c r="AQ415" s="13">
        <f t="shared" si="225"/>
        <v>16.45980684339689</v>
      </c>
      <c r="AR415" s="13">
        <f t="shared" si="226"/>
        <v>8.8221716839654452</v>
      </c>
      <c r="AS415" s="13">
        <f t="shared" si="227"/>
        <v>11.549333448207644</v>
      </c>
      <c r="AT415" s="13">
        <f t="shared" si="228"/>
        <v>16.999015587495411</v>
      </c>
      <c r="AU415" s="9">
        <v>0</v>
      </c>
      <c r="AV415" s="18">
        <f t="shared" si="245"/>
        <v>1</v>
      </c>
      <c r="AW415" s="18">
        <f t="shared" si="246"/>
        <v>2</v>
      </c>
      <c r="AX415" s="18">
        <f t="shared" si="247"/>
        <v>5</v>
      </c>
      <c r="AY415" s="18">
        <f t="shared" si="248"/>
        <v>7</v>
      </c>
      <c r="AZ415" s="18">
        <f t="shared" si="249"/>
        <v>4</v>
      </c>
      <c r="BA415" s="18">
        <f t="shared" si="250"/>
        <v>8</v>
      </c>
      <c r="BB415" s="18">
        <f t="shared" si="251"/>
        <v>6</v>
      </c>
      <c r="BC415" s="18">
        <f t="shared" si="252"/>
        <v>3</v>
      </c>
      <c r="BD415" s="18">
        <f t="shared" si="253"/>
        <v>9</v>
      </c>
      <c r="BE415" s="8">
        <f t="shared" si="255"/>
        <v>-2.8346694076912529E-3</v>
      </c>
    </row>
    <row r="416" spans="1:57" x14ac:dyDescent="0.25">
      <c r="A416" t="str">
        <f t="shared" si="254"/>
        <v/>
      </c>
      <c r="B416" s="1">
        <v>43342</v>
      </c>
      <c r="C416" s="9">
        <f t="shared" si="229"/>
        <v>0.24691327599779206</v>
      </c>
      <c r="D416" s="9">
        <f t="shared" si="230"/>
        <v>0.24307330718295872</v>
      </c>
      <c r="E416" s="9">
        <f t="shared" si="231"/>
        <v>0.2556480978515136</v>
      </c>
      <c r="F416" s="9">
        <f t="shared" si="232"/>
        <v>0</v>
      </c>
      <c r="G416" s="9">
        <f t="shared" si="233"/>
        <v>0.25436531896773562</v>
      </c>
      <c r="H416" s="9">
        <f t="shared" si="234"/>
        <v>0</v>
      </c>
      <c r="I416" s="9">
        <f t="shared" si="235"/>
        <v>0</v>
      </c>
      <c r="J416" s="9">
        <f t="shared" si="236"/>
        <v>0</v>
      </c>
      <c r="K416" s="9">
        <v>0</v>
      </c>
      <c r="L416" s="8">
        <f>+VLOOKUP($B416,NIFTY_50!$B$3:$I$1238,8,0)</f>
        <v>-1.2914924007219053E-3</v>
      </c>
      <c r="M416" s="8">
        <f>+VLOOKUP($B416,NIFTY_BANK!$B$3:$I$41238,8,0)</f>
        <v>-4.2818017226412541E-3</v>
      </c>
      <c r="N416" s="8">
        <f>+VLOOKUP($B416,NIFTY_IT!$B$3:$I$1238,8,0)</f>
        <v>3.1562098428650209E-4</v>
      </c>
      <c r="O416" s="8">
        <f>+VLOOKUP($B416,NIFTY_PHARMA!$B$3:$I$1238,8,0)</f>
        <v>1.1155071985932574E-2</v>
      </c>
      <c r="P416" s="8">
        <f>+VLOOKUP($B416,NIFTY_FMCG!$B$3:$I$1238,8,0)</f>
        <v>1.2778449317907059E-2</v>
      </c>
      <c r="Q416" s="8">
        <f>+VLOOKUP($B416,NIFTY_METAL!$B$3:$I$1238,8,0)</f>
        <v>8.5298406845883967E-3</v>
      </c>
      <c r="R416" s="8">
        <f>+VLOOKUP($B416,NIFTY_ENERGY!$B$3:$I$1238,8,0)</f>
        <v>-6.186196096500951E-3</v>
      </c>
      <c r="S416" s="8">
        <f>+VLOOKUP($B416,NIFTY_AUTO!$B$3:$I$1238,8,0)</f>
        <v>-4.4812632549978693E-3</v>
      </c>
      <c r="T416" s="8">
        <v>0</v>
      </c>
      <c r="U416" s="8">
        <f>+VLOOKUP($B416,NIFTY_50!$B$63:$K$1238,10,0)</f>
        <v>9.8631039187091263E-2</v>
      </c>
      <c r="V416" s="8">
        <f>+VLOOKUP($B416,NIFTY_BANK!$B$63:$K$1238,10,0)</f>
        <v>7.029216358723489E-2</v>
      </c>
      <c r="W416" s="8">
        <f>+VLOOKUP($B416,NIFTY_IT!$B$63:$K$1238,10,0)</f>
        <v>0.14231230369765568</v>
      </c>
      <c r="X416" s="8">
        <f>+VLOOKUP($B416,NIFTY_PHARMA!$B$63:$K$1238,10,0)</f>
        <v>0.23334105145141248</v>
      </c>
      <c r="Y416" s="8">
        <f>+VLOOKUP($B416,NIFTY_FMCG!$B$63:$K$1238,10,0)</f>
        <v>0.15669066167044665</v>
      </c>
      <c r="Z416" s="8">
        <f>+VLOOKUP($B416,NIFTY_METAL!$B$63:$K$1238,10,0)</f>
        <v>2.5502567043912627E-2</v>
      </c>
      <c r="AA416" s="8">
        <f>+VLOOKUP($B416,NIFTY_ENERGY!$B$63:$K$1238,10,0)</f>
        <v>0.18126915049513759</v>
      </c>
      <c r="AB416" s="8">
        <f>+VLOOKUP($B416,NIFTY_AUTO!$B$63:$K$1238,10,0)</f>
        <v>-1.4197264871974591E-3</v>
      </c>
      <c r="AC416" s="8"/>
      <c r="AD416" s="16">
        <f t="shared" si="237"/>
        <v>4.2053845091626116E-2</v>
      </c>
      <c r="AE416" s="8">
        <f t="shared" si="238"/>
        <v>5.1373789993129873E-2</v>
      </c>
      <c r="AF416" s="8">
        <f t="shared" si="239"/>
        <v>6.4772848010669723E-2</v>
      </c>
      <c r="AG416" s="8">
        <f t="shared" si="240"/>
        <v>0.10202479799623955</v>
      </c>
      <c r="AH416" s="8">
        <f t="shared" si="241"/>
        <v>6.0871673208189286E-2</v>
      </c>
      <c r="AI416" s="8">
        <f t="shared" si="242"/>
        <v>0.11363170119295414</v>
      </c>
      <c r="AJ416" s="8">
        <f t="shared" si="243"/>
        <v>8.7035560845110688E-2</v>
      </c>
      <c r="AK416" s="8">
        <f t="shared" si="244"/>
        <v>5.8800795127562193E-2</v>
      </c>
      <c r="AL416" s="9">
        <v>0</v>
      </c>
      <c r="AM416" s="17">
        <f t="shared" si="221"/>
        <v>23.779038464169425</v>
      </c>
      <c r="AN416" s="13">
        <f t="shared" si="222"/>
        <v>19.465178647199831</v>
      </c>
      <c r="AO416" s="13">
        <f t="shared" si="223"/>
        <v>15.438567713361543</v>
      </c>
      <c r="AP416" s="13">
        <f t="shared" si="224"/>
        <v>9.8015386419766131</v>
      </c>
      <c r="AQ416" s="13">
        <f t="shared" si="225"/>
        <v>16.428002505859595</v>
      </c>
      <c r="AR416" s="13">
        <f t="shared" si="226"/>
        <v>8.8003610744323364</v>
      </c>
      <c r="AS416" s="13">
        <f t="shared" si="227"/>
        <v>11.489556570786158</v>
      </c>
      <c r="AT416" s="13">
        <f t="shared" si="228"/>
        <v>17.006572748388933</v>
      </c>
      <c r="AU416" s="9">
        <v>0</v>
      </c>
      <c r="AV416" s="18">
        <f t="shared" si="245"/>
        <v>1</v>
      </c>
      <c r="AW416" s="18">
        <f t="shared" si="246"/>
        <v>2</v>
      </c>
      <c r="AX416" s="18">
        <f t="shared" si="247"/>
        <v>5</v>
      </c>
      <c r="AY416" s="18">
        <f t="shared" si="248"/>
        <v>7</v>
      </c>
      <c r="AZ416" s="18">
        <f t="shared" si="249"/>
        <v>4</v>
      </c>
      <c r="BA416" s="18">
        <f t="shared" si="250"/>
        <v>8</v>
      </c>
      <c r="BB416" s="18">
        <f t="shared" si="251"/>
        <v>6</v>
      </c>
      <c r="BC416" s="18">
        <f t="shared" si="252"/>
        <v>3</v>
      </c>
      <c r="BD416" s="18">
        <f t="shared" si="253"/>
        <v>9</v>
      </c>
      <c r="BE416" s="8">
        <f t="shared" si="255"/>
        <v>1.9291941382315882E-3</v>
      </c>
    </row>
    <row r="417" spans="1:57" x14ac:dyDescent="0.25">
      <c r="A417" t="str">
        <f t="shared" si="254"/>
        <v>Y</v>
      </c>
      <c r="B417" s="1">
        <v>43343</v>
      </c>
      <c r="C417" s="9">
        <f t="shared" si="229"/>
        <v>0.25</v>
      </c>
      <c r="D417" s="9">
        <f t="shared" si="230"/>
        <v>0.25</v>
      </c>
      <c r="E417" s="9">
        <f t="shared" si="231"/>
        <v>0</v>
      </c>
      <c r="F417" s="9">
        <f t="shared" si="232"/>
        <v>0</v>
      </c>
      <c r="G417" s="9">
        <f t="shared" si="233"/>
        <v>0.25</v>
      </c>
      <c r="H417" s="9">
        <f t="shared" si="234"/>
        <v>0</v>
      </c>
      <c r="I417" s="9">
        <f t="shared" si="235"/>
        <v>0</v>
      </c>
      <c r="J417" s="9">
        <f t="shared" si="236"/>
        <v>0.25</v>
      </c>
      <c r="K417" s="9">
        <v>0</v>
      </c>
      <c r="L417" s="8">
        <f>+VLOOKUP($B417,NIFTY_50!$B$3:$I$1238,8,0)</f>
        <v>3.1686763496852066E-4</v>
      </c>
      <c r="M417" s="8">
        <f>+VLOOKUP($B417,NIFTY_BANK!$B$3:$I$41238,8,0)</f>
        <v>-1.476697534982585E-3</v>
      </c>
      <c r="N417" s="8">
        <f>+VLOOKUP($B417,NIFTY_IT!$B$3:$I$1238,8,0)</f>
        <v>1.8129602024488323E-2</v>
      </c>
      <c r="O417" s="8">
        <f>+VLOOKUP($B417,NIFTY_PHARMA!$B$3:$I$1238,8,0)</f>
        <v>2.671791552830638E-2</v>
      </c>
      <c r="P417" s="8">
        <f>+VLOOKUP($B417,NIFTY_FMCG!$B$3:$I$1238,8,0)</f>
        <v>2.0566922421143552E-3</v>
      </c>
      <c r="Q417" s="8">
        <f>+VLOOKUP($B417,NIFTY_METAL!$B$3:$I$1238,8,0)</f>
        <v>-5.9613128529725223E-3</v>
      </c>
      <c r="R417" s="8">
        <f>+VLOOKUP($B417,NIFTY_ENERGY!$B$3:$I$1238,8,0)</f>
        <v>-1.2380486949112202E-2</v>
      </c>
      <c r="S417" s="8">
        <f>+VLOOKUP($B417,NIFTY_AUTO!$B$3:$I$1238,8,0)</f>
        <v>1.4989643519025542E-4</v>
      </c>
      <c r="T417" s="8">
        <v>0</v>
      </c>
      <c r="U417" s="8">
        <f>+VLOOKUP($B417,NIFTY_50!$B$63:$K$1238,10,0)</f>
        <v>0.10264652157290333</v>
      </c>
      <c r="V417" s="8">
        <f>+VLOOKUP($B417,NIFTY_BANK!$B$63:$K$1238,10,0)</f>
        <v>6.8978324635251997E-2</v>
      </c>
      <c r="W417" s="8">
        <f>+VLOOKUP($B417,NIFTY_IT!$B$63:$K$1238,10,0)</f>
        <v>0.17917204244941787</v>
      </c>
      <c r="X417" s="8">
        <f>+VLOOKUP($B417,NIFTY_PHARMA!$B$63:$K$1238,10,0)</f>
        <v>0.28002833297403851</v>
      </c>
      <c r="Y417" s="8">
        <f>+VLOOKUP($B417,NIFTY_FMCG!$B$63:$K$1238,10,0)</f>
        <v>0.16104662135823022</v>
      </c>
      <c r="Z417" s="8">
        <f>+VLOOKUP($B417,NIFTY_METAL!$B$63:$K$1238,10,0)</f>
        <v>2.5298645016954779E-2</v>
      </c>
      <c r="AA417" s="8">
        <f>+VLOOKUP($B417,NIFTY_ENERGY!$B$63:$K$1238,10,0)</f>
        <v>0.1637203911305356</v>
      </c>
      <c r="AB417" s="8">
        <f>+VLOOKUP($B417,NIFTY_AUTO!$B$63:$K$1238,10,0)</f>
        <v>2.0296806666089129E-3</v>
      </c>
      <c r="AC417" s="8"/>
      <c r="AD417" s="16">
        <f t="shared" si="237"/>
        <v>4.1785137494539444E-2</v>
      </c>
      <c r="AE417" s="8">
        <f t="shared" si="238"/>
        <v>5.142127889505331E-2</v>
      </c>
      <c r="AF417" s="8">
        <f t="shared" si="239"/>
        <v>6.4643974593156739E-2</v>
      </c>
      <c r="AG417" s="8">
        <f t="shared" si="240"/>
        <v>0.10353965402437111</v>
      </c>
      <c r="AH417" s="8">
        <f t="shared" si="241"/>
        <v>6.0731118927924314E-2</v>
      </c>
      <c r="AI417" s="8">
        <f t="shared" si="242"/>
        <v>0.11364280072665513</v>
      </c>
      <c r="AJ417" s="8">
        <f t="shared" si="243"/>
        <v>8.8327915074166138E-2</v>
      </c>
      <c r="AK417" s="8">
        <f t="shared" si="244"/>
        <v>5.8706750706209794E-2</v>
      </c>
      <c r="AL417" s="9">
        <v>0</v>
      </c>
      <c r="AM417" s="17">
        <f t="shared" si="221"/>
        <v>23.931954277539035</v>
      </c>
      <c r="AN417" s="13">
        <f t="shared" si="222"/>
        <v>19.447202043358732</v>
      </c>
      <c r="AO417" s="13">
        <f t="shared" si="223"/>
        <v>15.469345848450674</v>
      </c>
      <c r="AP417" s="13">
        <f t="shared" si="224"/>
        <v>9.6581354208950749</v>
      </c>
      <c r="AQ417" s="13">
        <f t="shared" si="225"/>
        <v>16.466022982168333</v>
      </c>
      <c r="AR417" s="13">
        <f t="shared" si="226"/>
        <v>8.7995015399637904</v>
      </c>
      <c r="AS417" s="13">
        <f t="shared" si="227"/>
        <v>11.321449160894739</v>
      </c>
      <c r="AT417" s="13">
        <f t="shared" si="228"/>
        <v>17.033816179068882</v>
      </c>
      <c r="AU417" s="9">
        <v>0</v>
      </c>
      <c r="AV417" s="18">
        <f t="shared" si="245"/>
        <v>1</v>
      </c>
      <c r="AW417" s="18">
        <f t="shared" si="246"/>
        <v>2</v>
      </c>
      <c r="AX417" s="18">
        <f t="shared" si="247"/>
        <v>5</v>
      </c>
      <c r="AY417" s="18">
        <f t="shared" si="248"/>
        <v>7</v>
      </c>
      <c r="AZ417" s="18">
        <f t="shared" si="249"/>
        <v>4</v>
      </c>
      <c r="BA417" s="18">
        <f t="shared" si="250"/>
        <v>8</v>
      </c>
      <c r="BB417" s="18">
        <f t="shared" si="251"/>
        <v>6</v>
      </c>
      <c r="BC417" s="18">
        <f t="shared" si="252"/>
        <v>3</v>
      </c>
      <c r="BD417" s="18">
        <f t="shared" si="253"/>
        <v>9</v>
      </c>
      <c r="BE417" s="8">
        <f t="shared" si="255"/>
        <v>4.877242522819885E-3</v>
      </c>
    </row>
    <row r="418" spans="1:57" x14ac:dyDescent="0.25">
      <c r="A418" t="str">
        <f t="shared" si="254"/>
        <v/>
      </c>
      <c r="B418" s="1">
        <v>43346</v>
      </c>
      <c r="C418" s="9">
        <f t="shared" si="229"/>
        <v>0.25091586700161456</v>
      </c>
      <c r="D418" s="9">
        <f t="shared" si="230"/>
        <v>0.25085770432354532</v>
      </c>
      <c r="E418" s="9">
        <f t="shared" si="231"/>
        <v>0</v>
      </c>
      <c r="F418" s="9">
        <f t="shared" si="232"/>
        <v>0</v>
      </c>
      <c r="G418" s="9">
        <f t="shared" si="233"/>
        <v>0.24687593486645584</v>
      </c>
      <c r="H418" s="9">
        <f t="shared" si="234"/>
        <v>0</v>
      </c>
      <c r="I418" s="9">
        <f t="shared" si="235"/>
        <v>0</v>
      </c>
      <c r="J418" s="9">
        <f t="shared" si="236"/>
        <v>0.25135049380838426</v>
      </c>
      <c r="K418" s="9">
        <v>0</v>
      </c>
      <c r="L418" s="8">
        <f>+VLOOKUP($B418,NIFTY_50!$B$3:$I$1238,8,0)</f>
        <v>-8.4028937117417435E-3</v>
      </c>
      <c r="M418" s="8">
        <f>+VLOOKUP($B418,NIFTY_BANK!$B$3:$I$41238,8,0)</f>
        <v>-8.6327474230937229E-3</v>
      </c>
      <c r="N418" s="8">
        <f>+VLOOKUP($B418,NIFTY_IT!$B$3:$I$1238,8,0)</f>
        <v>-5.4833854054668896E-3</v>
      </c>
      <c r="O418" s="8">
        <f>+VLOOKUP($B418,NIFTY_PHARMA!$B$3:$I$1238,8,0)</f>
        <v>-2.988177211900811E-3</v>
      </c>
      <c r="P418" s="8">
        <f>+VLOOKUP($B418,NIFTY_FMCG!$B$3:$I$1238,8,0)</f>
        <v>-2.4368344851579571E-2</v>
      </c>
      <c r="Q418" s="8">
        <f>+VLOOKUP($B418,NIFTY_METAL!$B$3:$I$1238,8,0)</f>
        <v>3.6366630528756883E-3</v>
      </c>
      <c r="R418" s="8">
        <f>+VLOOKUP($B418,NIFTY_ENERGY!$B$3:$I$1238,8,0)</f>
        <v>-1.0429486772822405E-2</v>
      </c>
      <c r="S418" s="8">
        <f>+VLOOKUP($B418,NIFTY_AUTO!$B$3:$I$1238,8,0)</f>
        <v>-6.6852873719827066E-3</v>
      </c>
      <c r="T418" s="8">
        <v>0</v>
      </c>
      <c r="U418" s="8">
        <f>+VLOOKUP($B418,NIFTY_50!$B$63:$K$1238,10,0)</f>
        <v>8.4017726364457479E-2</v>
      </c>
      <c r="V418" s="8">
        <f>+VLOOKUP($B418,NIFTY_BANK!$B$63:$K$1238,10,0)</f>
        <v>5.5063790409441982E-2</v>
      </c>
      <c r="W418" s="8">
        <f>+VLOOKUP($B418,NIFTY_IT!$B$63:$K$1238,10,0)</f>
        <v>0.16231299154396561</v>
      </c>
      <c r="X418" s="8">
        <f>+VLOOKUP($B418,NIFTY_PHARMA!$B$63:$K$1238,10,0)</f>
        <v>0.2582390555828824</v>
      </c>
      <c r="Y418" s="8">
        <f>+VLOOKUP($B418,NIFTY_FMCG!$B$63:$K$1238,10,0)</f>
        <v>0.12263303265505909</v>
      </c>
      <c r="Z418" s="8">
        <f>+VLOOKUP($B418,NIFTY_METAL!$B$63:$K$1238,10,0)</f>
        <v>1.0249751353740733E-2</v>
      </c>
      <c r="AA418" s="8">
        <f>+VLOOKUP($B418,NIFTY_ENERGY!$B$63:$K$1238,10,0)</f>
        <v>0.1457764066402234</v>
      </c>
      <c r="AB418" s="8">
        <f>+VLOOKUP($B418,NIFTY_AUTO!$B$63:$K$1238,10,0)</f>
        <v>-1.9738522837793648E-2</v>
      </c>
      <c r="AC418" s="8"/>
      <c r="AD418" s="16">
        <f t="shared" si="237"/>
        <v>4.2336283179610031E-2</v>
      </c>
      <c r="AE418" s="8">
        <f t="shared" si="238"/>
        <v>5.2204557607293367E-2</v>
      </c>
      <c r="AF418" s="8">
        <f t="shared" si="239"/>
        <v>6.4842757852991331E-2</v>
      </c>
      <c r="AG418" s="8">
        <f t="shared" si="240"/>
        <v>0.10326530462308803</v>
      </c>
      <c r="AH418" s="8">
        <f t="shared" si="241"/>
        <v>6.5940775658315298E-2</v>
      </c>
      <c r="AI418" s="8">
        <f t="shared" si="242"/>
        <v>0.11222383877298084</v>
      </c>
      <c r="AJ418" s="8">
        <f t="shared" si="243"/>
        <v>8.9219335626020441E-2</v>
      </c>
      <c r="AK418" s="8">
        <f t="shared" si="244"/>
        <v>5.7005182202440156E-2</v>
      </c>
      <c r="AL418" s="9">
        <v>0</v>
      </c>
      <c r="AM418" s="17">
        <f t="shared" si="221"/>
        <v>23.620401341268881</v>
      </c>
      <c r="AN418" s="13">
        <f t="shared" si="222"/>
        <v>19.15541565398291</v>
      </c>
      <c r="AO418" s="13">
        <f t="shared" si="223"/>
        <v>15.421922711355929</v>
      </c>
      <c r="AP418" s="13">
        <f t="shared" si="224"/>
        <v>9.6837946070070497</v>
      </c>
      <c r="AQ418" s="13">
        <f t="shared" si="225"/>
        <v>15.16512340075723</v>
      </c>
      <c r="AR418" s="13">
        <f t="shared" si="226"/>
        <v>8.9107627303937971</v>
      </c>
      <c r="AS418" s="13">
        <f t="shared" si="227"/>
        <v>11.208332733967975</v>
      </c>
      <c r="AT418" s="13">
        <f t="shared" si="228"/>
        <v>17.542264779520242</v>
      </c>
      <c r="AU418" s="9">
        <v>0</v>
      </c>
      <c r="AV418" s="18">
        <f t="shared" si="245"/>
        <v>1</v>
      </c>
      <c r="AW418" s="18">
        <f t="shared" si="246"/>
        <v>2</v>
      </c>
      <c r="AX418" s="18">
        <f t="shared" si="247"/>
        <v>4</v>
      </c>
      <c r="AY418" s="18">
        <f t="shared" si="248"/>
        <v>7</v>
      </c>
      <c r="AZ418" s="18">
        <f t="shared" si="249"/>
        <v>5</v>
      </c>
      <c r="BA418" s="18">
        <f t="shared" si="250"/>
        <v>8</v>
      </c>
      <c r="BB418" s="18">
        <f t="shared" si="251"/>
        <v>6</v>
      </c>
      <c r="BC418" s="18">
        <f t="shared" si="252"/>
        <v>3</v>
      </c>
      <c r="BD418" s="18">
        <f t="shared" si="253"/>
        <v>9</v>
      </c>
      <c r="BE418" s="8">
        <f t="shared" si="255"/>
        <v>-1.2022318339599436E-2</v>
      </c>
    </row>
    <row r="419" spans="1:57" x14ac:dyDescent="0.25">
      <c r="A419" t="str">
        <f t="shared" si="254"/>
        <v/>
      </c>
      <c r="B419" s="1">
        <v>43347</v>
      </c>
      <c r="C419" s="9">
        <f t="shared" si="229"/>
        <v>0.25315377647053344</v>
      </c>
      <c r="D419" s="9">
        <f t="shared" si="230"/>
        <v>0.25090249866797437</v>
      </c>
      <c r="E419" s="9">
        <f t="shared" si="231"/>
        <v>0</v>
      </c>
      <c r="F419" s="9">
        <f t="shared" si="232"/>
        <v>0</v>
      </c>
      <c r="G419" s="9">
        <f t="shared" si="233"/>
        <v>0.24521829059515712</v>
      </c>
      <c r="H419" s="9">
        <f t="shared" si="234"/>
        <v>0</v>
      </c>
      <c r="I419" s="9">
        <f t="shared" si="235"/>
        <v>0</v>
      </c>
      <c r="J419" s="9">
        <f t="shared" si="236"/>
        <v>0.25072543426633515</v>
      </c>
      <c r="K419" s="9">
        <v>0</v>
      </c>
      <c r="L419" s="8">
        <f>+VLOOKUP($B419,NIFTY_50!$B$3:$I$1238,8,0)</f>
        <v>-5.3572893238419406E-3</v>
      </c>
      <c r="M419" s="8">
        <f>+VLOOKUP($B419,NIFTY_BANK!$B$3:$I$41238,8,0)</f>
        <v>-1.3974011035424838E-2</v>
      </c>
      <c r="N419" s="8">
        <f>+VLOOKUP($B419,NIFTY_IT!$B$3:$I$1238,8,0)</f>
        <v>2.0604526636438303E-2</v>
      </c>
      <c r="O419" s="8">
        <f>+VLOOKUP($B419,NIFTY_PHARMA!$B$3:$I$1238,8,0)</f>
        <v>-1.4898792459386745E-2</v>
      </c>
      <c r="P419" s="8">
        <f>+VLOOKUP($B419,NIFTY_FMCG!$B$3:$I$1238,8,0)</f>
        <v>-2.0769521840075522E-2</v>
      </c>
      <c r="Q419" s="8">
        <f>+VLOOKUP($B419,NIFTY_METAL!$B$3:$I$1238,8,0)</f>
        <v>-1.9443760767905438E-2</v>
      </c>
      <c r="R419" s="8">
        <f>+VLOOKUP($B419,NIFTY_ENERGY!$B$3:$I$1238,8,0)</f>
        <v>-6.827535804495577E-4</v>
      </c>
      <c r="S419" s="8">
        <f>+VLOOKUP($B419,NIFTY_AUTO!$B$3:$I$1238,8,0)</f>
        <v>-1.6601665195941639E-2</v>
      </c>
      <c r="T419" s="8">
        <v>0</v>
      </c>
      <c r="U419" s="8">
        <f>+VLOOKUP($B419,NIFTY_50!$B$63:$K$1238,10,0)</f>
        <v>6.9829639638384622E-2</v>
      </c>
      <c r="V419" s="8">
        <f>+VLOOKUP($B419,NIFTY_BANK!$B$63:$K$1238,10,0)</f>
        <v>3.4427818295635459E-2</v>
      </c>
      <c r="W419" s="8">
        <f>+VLOOKUP($B419,NIFTY_IT!$B$63:$K$1238,10,0)</f>
        <v>0.17282908559422672</v>
      </c>
      <c r="X419" s="8">
        <f>+VLOOKUP($B419,NIFTY_PHARMA!$B$63:$K$1238,10,0)</f>
        <v>0.23671406845488741</v>
      </c>
      <c r="Y419" s="8">
        <f>+VLOOKUP($B419,NIFTY_FMCG!$B$63:$K$1238,10,0)</f>
        <v>8.9330381579950213E-2</v>
      </c>
      <c r="Z419" s="8">
        <f>+VLOOKUP($B419,NIFTY_METAL!$B$63:$K$1238,10,0)</f>
        <v>-2.3888276368981942E-2</v>
      </c>
      <c r="AA419" s="8">
        <f>+VLOOKUP($B419,NIFTY_ENERGY!$B$63:$K$1238,10,0)</f>
        <v>0.13012665753166441</v>
      </c>
      <c r="AB419" s="8">
        <f>+VLOOKUP($B419,NIFTY_AUTO!$B$63:$K$1238,10,0)</f>
        <v>-4.2888928444286156E-2</v>
      </c>
      <c r="AC419" s="8"/>
      <c r="AD419" s="16">
        <f t="shared" si="237"/>
        <v>4.2333719015082601E-2</v>
      </c>
      <c r="AE419" s="8">
        <f t="shared" si="238"/>
        <v>5.4011648447468308E-2</v>
      </c>
      <c r="AF419" s="8">
        <f t="shared" si="239"/>
        <v>6.6714047025012671E-2</v>
      </c>
      <c r="AG419" s="8">
        <f t="shared" si="240"/>
        <v>0.10491994138688802</v>
      </c>
      <c r="AH419" s="8">
        <f t="shared" si="241"/>
        <v>6.9257525997758293E-2</v>
      </c>
      <c r="AI419" s="8">
        <f t="shared" si="242"/>
        <v>0.11292041326143284</v>
      </c>
      <c r="AJ419" s="8">
        <f t="shared" si="243"/>
        <v>8.8588732220874364E-2</v>
      </c>
      <c r="AK419" s="8">
        <f t="shared" si="244"/>
        <v>5.873701469550216E-2</v>
      </c>
      <c r="AL419" s="9">
        <v>0</v>
      </c>
      <c r="AM419" s="17">
        <f t="shared" si="221"/>
        <v>23.621832035208655</v>
      </c>
      <c r="AN419" s="13">
        <f t="shared" si="222"/>
        <v>18.514524713545807</v>
      </c>
      <c r="AO419" s="13">
        <f t="shared" si="223"/>
        <v>14.989346990523247</v>
      </c>
      <c r="AP419" s="13">
        <f t="shared" si="224"/>
        <v>9.5310766169087024</v>
      </c>
      <c r="AQ419" s="13">
        <f t="shared" si="225"/>
        <v>14.438864016487793</v>
      </c>
      <c r="AR419" s="13">
        <f t="shared" si="226"/>
        <v>8.855794724066449</v>
      </c>
      <c r="AS419" s="13">
        <f t="shared" si="227"/>
        <v>11.288117291336151</v>
      </c>
      <c r="AT419" s="13">
        <f t="shared" si="228"/>
        <v>17.025039579966531</v>
      </c>
      <c r="AU419" s="9">
        <v>0</v>
      </c>
      <c r="AV419" s="18">
        <f t="shared" si="245"/>
        <v>1</v>
      </c>
      <c r="AW419" s="18">
        <f t="shared" si="246"/>
        <v>2</v>
      </c>
      <c r="AX419" s="18">
        <f t="shared" si="247"/>
        <v>4</v>
      </c>
      <c r="AY419" s="18">
        <f t="shared" si="248"/>
        <v>7</v>
      </c>
      <c r="AZ419" s="18">
        <f t="shared" si="249"/>
        <v>5</v>
      </c>
      <c r="BA419" s="18">
        <f t="shared" si="250"/>
        <v>8</v>
      </c>
      <c r="BB419" s="18">
        <f t="shared" si="251"/>
        <v>6</v>
      </c>
      <c r="BC419" s="18">
        <f t="shared" si="252"/>
        <v>3</v>
      </c>
      <c r="BD419" s="18">
        <f t="shared" si="253"/>
        <v>9</v>
      </c>
      <c r="BE419" s="8">
        <f t="shared" si="255"/>
        <v>-1.4150049090048172E-2</v>
      </c>
    </row>
    <row r="420" spans="1:57" x14ac:dyDescent="0.25">
      <c r="A420" t="str">
        <f t="shared" si="254"/>
        <v/>
      </c>
      <c r="B420" s="1">
        <v>43348</v>
      </c>
      <c r="C420" s="9">
        <f t="shared" si="229"/>
        <v>0.25290642878075331</v>
      </c>
      <c r="D420" s="9">
        <f t="shared" si="230"/>
        <v>0.25110239060104855</v>
      </c>
      <c r="E420" s="9">
        <f t="shared" si="231"/>
        <v>0</v>
      </c>
      <c r="F420" s="9">
        <f t="shared" si="232"/>
        <v>0</v>
      </c>
      <c r="G420" s="9">
        <f t="shared" si="233"/>
        <v>0.24376270237072536</v>
      </c>
      <c r="H420" s="9">
        <f t="shared" si="234"/>
        <v>0</v>
      </c>
      <c r="I420" s="9">
        <f t="shared" si="235"/>
        <v>0</v>
      </c>
      <c r="J420" s="9">
        <f t="shared" si="236"/>
        <v>0.2522284782474728</v>
      </c>
      <c r="K420" s="9">
        <v>0</v>
      </c>
      <c r="L420" s="8">
        <f>+VLOOKUP($B420,NIFTY_50!$B$3:$I$1238,8,0)</f>
        <v>-3.7629228405509085E-3</v>
      </c>
      <c r="M420" s="8">
        <f>+VLOOKUP($B420,NIFTY_BANK!$B$3:$I$41238,8,0)</f>
        <v>-1.9941124467979243E-3</v>
      </c>
      <c r="N420" s="8">
        <f>+VLOOKUP($B420,NIFTY_IT!$B$3:$I$1238,8,0)</f>
        <v>-5.4833101746565305E-4</v>
      </c>
      <c r="O420" s="8">
        <f>+VLOOKUP($B420,NIFTY_PHARMA!$B$3:$I$1238,8,0)</f>
        <v>9.5879202982691591E-3</v>
      </c>
      <c r="P420" s="8">
        <f>+VLOOKUP($B420,NIFTY_FMCG!$B$3:$I$1238,8,0)</f>
        <v>-8.7079174306238238E-3</v>
      </c>
      <c r="Q420" s="8">
        <f>+VLOOKUP($B420,NIFTY_METAL!$B$3:$I$1238,8,0)</f>
        <v>1.0486390004462276E-2</v>
      </c>
      <c r="R420" s="8">
        <f>+VLOOKUP($B420,NIFTY_ENERGY!$B$3:$I$1238,8,0)</f>
        <v>-6.5050247146033469E-3</v>
      </c>
      <c r="S420" s="8">
        <f>+VLOOKUP($B420,NIFTY_AUTO!$B$3:$I$1238,8,0)</f>
        <v>3.1894812211155088E-3</v>
      </c>
      <c r="T420" s="8">
        <v>0</v>
      </c>
      <c r="U420" s="8">
        <f>+VLOOKUP($B420,NIFTY_50!$B$63:$K$1238,10,0)</f>
        <v>6.5873240679257039E-2</v>
      </c>
      <c r="V420" s="8">
        <f>+VLOOKUP($B420,NIFTY_BANK!$B$63:$K$1238,10,0)</f>
        <v>3.4958518185272291E-2</v>
      </c>
      <c r="W420" s="8">
        <f>+VLOOKUP($B420,NIFTY_IT!$B$63:$K$1238,10,0)</f>
        <v>0.16486078229168188</v>
      </c>
      <c r="X420" s="8">
        <f>+VLOOKUP($B420,NIFTY_PHARMA!$B$63:$K$1238,10,0)</f>
        <v>0.19751974383858562</v>
      </c>
      <c r="Y420" s="8">
        <f>+VLOOKUP($B420,NIFTY_FMCG!$B$63:$K$1238,10,0)</f>
        <v>8.551204137426649E-2</v>
      </c>
      <c r="Z420" s="8">
        <f>+VLOOKUP($B420,NIFTY_METAL!$B$63:$K$1238,10,0)</f>
        <v>-9.6622979049078017E-3</v>
      </c>
      <c r="AA420" s="8">
        <f>+VLOOKUP($B420,NIFTY_ENERGY!$B$63:$K$1238,10,0)</f>
        <v>0.11712195860894914</v>
      </c>
      <c r="AB420" s="8">
        <f>+VLOOKUP($B420,NIFTY_AUTO!$B$63:$K$1238,10,0)</f>
        <v>-3.8989497688422525E-2</v>
      </c>
      <c r="AC420" s="8"/>
      <c r="AD420" s="16">
        <f t="shared" si="237"/>
        <v>4.259544433476363E-2</v>
      </c>
      <c r="AE420" s="8">
        <f t="shared" si="238"/>
        <v>5.3984798597877012E-2</v>
      </c>
      <c r="AF420" s="8">
        <f t="shared" si="239"/>
        <v>6.6686070970360264E-2</v>
      </c>
      <c r="AG420" s="8">
        <f t="shared" si="240"/>
        <v>9.747468197149535E-2</v>
      </c>
      <c r="AH420" s="8">
        <f t="shared" si="241"/>
        <v>6.9678096430831005E-2</v>
      </c>
      <c r="AI420" s="8">
        <f t="shared" si="242"/>
        <v>0.11335678465466789</v>
      </c>
      <c r="AJ420" s="8">
        <f t="shared" si="243"/>
        <v>8.8940415891056251E-2</v>
      </c>
      <c r="AK420" s="8">
        <f t="shared" si="244"/>
        <v>5.8862376258236586E-2</v>
      </c>
      <c r="AL420" s="9">
        <v>0</v>
      </c>
      <c r="AM420" s="17">
        <f t="shared" si="221"/>
        <v>23.476689012582153</v>
      </c>
      <c r="AN420" s="13">
        <f t="shared" si="222"/>
        <v>18.523733087323691</v>
      </c>
      <c r="AO420" s="13">
        <f t="shared" si="223"/>
        <v>14.995635302077801</v>
      </c>
      <c r="AP420" s="13">
        <f t="shared" si="224"/>
        <v>10.259074251634196</v>
      </c>
      <c r="AQ420" s="13">
        <f t="shared" si="225"/>
        <v>14.351712392038344</v>
      </c>
      <c r="AR420" s="13">
        <f t="shared" si="226"/>
        <v>8.8217039945726903</v>
      </c>
      <c r="AS420" s="13">
        <f t="shared" si="227"/>
        <v>11.243482391907264</v>
      </c>
      <c r="AT420" s="13">
        <f t="shared" si="228"/>
        <v>16.988780670574279</v>
      </c>
      <c r="AU420" s="9">
        <v>0</v>
      </c>
      <c r="AV420" s="18">
        <f t="shared" si="245"/>
        <v>1</v>
      </c>
      <c r="AW420" s="18">
        <f t="shared" si="246"/>
        <v>2</v>
      </c>
      <c r="AX420" s="18">
        <f t="shared" si="247"/>
        <v>4</v>
      </c>
      <c r="AY420" s="18">
        <f t="shared" si="248"/>
        <v>7</v>
      </c>
      <c r="AZ420" s="18">
        <f t="shared" si="249"/>
        <v>5</v>
      </c>
      <c r="BA420" s="18">
        <f t="shared" si="250"/>
        <v>8</v>
      </c>
      <c r="BB420" s="18">
        <f t="shared" si="251"/>
        <v>6</v>
      </c>
      <c r="BC420" s="18">
        <f t="shared" si="252"/>
        <v>3</v>
      </c>
      <c r="BD420" s="18">
        <f t="shared" si="253"/>
        <v>9</v>
      </c>
      <c r="BE420" s="8">
        <f t="shared" si="255"/>
        <v>-2.7885824859120367E-3</v>
      </c>
    </row>
    <row r="421" spans="1:57" x14ac:dyDescent="0.25">
      <c r="A421" t="str">
        <f t="shared" si="254"/>
        <v/>
      </c>
      <c r="B421" s="1">
        <v>43349</v>
      </c>
      <c r="C421" s="9">
        <f t="shared" si="229"/>
        <v>0.25363968905652423</v>
      </c>
      <c r="D421" s="9">
        <f t="shared" si="230"/>
        <v>0.25136966862403182</v>
      </c>
      <c r="E421" s="9">
        <f t="shared" si="231"/>
        <v>0</v>
      </c>
      <c r="F421" s="9">
        <f t="shared" si="232"/>
        <v>0</v>
      </c>
      <c r="G421" s="9">
        <f t="shared" si="233"/>
        <v>0.24310858768053473</v>
      </c>
      <c r="H421" s="9">
        <f t="shared" si="234"/>
        <v>0</v>
      </c>
      <c r="I421" s="9">
        <f t="shared" si="235"/>
        <v>0</v>
      </c>
      <c r="J421" s="9">
        <f t="shared" si="236"/>
        <v>0.25188205463890917</v>
      </c>
      <c r="K421" s="9">
        <v>0</v>
      </c>
      <c r="L421" s="8">
        <f>+VLOOKUP($B421,NIFTY_50!$B$3:$I$1238,8,0)</f>
        <v>5.2235132156190911E-3</v>
      </c>
      <c r="M421" s="8">
        <f>+VLOOKUP($B421,NIFTY_BANK!$B$3:$I$41238,8,0)</f>
        <v>3.3843450753487936E-3</v>
      </c>
      <c r="N421" s="8">
        <f>+VLOOKUP($B421,NIFTY_IT!$B$3:$I$1238,8,0)</f>
        <v>2.6028840578806722E-3</v>
      </c>
      <c r="O421" s="8">
        <f>+VLOOKUP($B421,NIFTY_PHARMA!$B$3:$I$1238,8,0)</f>
        <v>2.7151231632276618E-2</v>
      </c>
      <c r="P421" s="8">
        <f>+VLOOKUP($B421,NIFTY_FMCG!$B$3:$I$1238,8,0)</f>
        <v>-3.7216644181603531E-4</v>
      </c>
      <c r="Q421" s="8">
        <f>+VLOOKUP($B421,NIFTY_METAL!$B$3:$I$1238,8,0)</f>
        <v>2.4839920512254032E-3</v>
      </c>
      <c r="R421" s="8">
        <f>+VLOOKUP($B421,NIFTY_ENERGY!$B$3:$I$1238,8,0)</f>
        <v>2.0462917822239302E-2</v>
      </c>
      <c r="S421" s="8">
        <f>+VLOOKUP($B421,NIFTY_AUTO!$B$3:$I$1238,8,0)</f>
        <v>9.4082533091088827E-4</v>
      </c>
      <c r="T421" s="8">
        <v>0</v>
      </c>
      <c r="U421" s="8">
        <f>+VLOOKUP($B421,NIFTY_50!$B$63:$K$1238,10,0)</f>
        <v>6.9523822767325161E-2</v>
      </c>
      <c r="V421" s="8">
        <f>+VLOOKUP($B421,NIFTY_BANK!$B$63:$K$1238,10,0)</f>
        <v>3.8374811698240974E-2</v>
      </c>
      <c r="W421" s="8">
        <f>+VLOOKUP($B421,NIFTY_IT!$B$63:$K$1238,10,0)</f>
        <v>0.16744343053770927</v>
      </c>
      <c r="X421" s="8">
        <f>+VLOOKUP($B421,NIFTY_PHARMA!$B$63:$K$1238,10,0)</f>
        <v>0.22388879573038523</v>
      </c>
      <c r="Y421" s="8">
        <f>+VLOOKUP($B421,NIFTY_FMCG!$B$63:$K$1238,10,0)</f>
        <v>8.1612355630539257E-2</v>
      </c>
      <c r="Z421" s="8">
        <f>+VLOOKUP($B421,NIFTY_METAL!$B$63:$K$1238,10,0)</f>
        <v>-3.456979806848226E-3</v>
      </c>
      <c r="AA421" s="8">
        <f>+VLOOKUP($B421,NIFTY_ENERGY!$B$63:$K$1238,10,0)</f>
        <v>0.1413482302131257</v>
      </c>
      <c r="AB421" s="8">
        <f>+VLOOKUP($B421,NIFTY_AUTO!$B$63:$K$1238,10,0)</f>
        <v>-3.9249268218902733E-2</v>
      </c>
      <c r="AC421" s="8"/>
      <c r="AD421" s="16">
        <f t="shared" si="237"/>
        <v>4.2789823180918521E-2</v>
      </c>
      <c r="AE421" s="8">
        <f t="shared" si="238"/>
        <v>5.4053206098110103E-2</v>
      </c>
      <c r="AF421" s="8">
        <f t="shared" si="239"/>
        <v>6.6650626644943881E-2</v>
      </c>
      <c r="AG421" s="8">
        <f t="shared" si="240"/>
        <v>0.10035354923959532</v>
      </c>
      <c r="AH421" s="8">
        <f t="shared" si="241"/>
        <v>6.9674285011548515E-2</v>
      </c>
      <c r="AI421" s="8">
        <f t="shared" si="242"/>
        <v>0.11332182494683331</v>
      </c>
      <c r="AJ421" s="8">
        <f t="shared" si="243"/>
        <v>9.0766018388863223E-2</v>
      </c>
      <c r="AK421" s="8">
        <f t="shared" si="244"/>
        <v>5.8854551858352741E-2</v>
      </c>
      <c r="AL421" s="9">
        <v>0</v>
      </c>
      <c r="AM421" s="17">
        <f t="shared" si="221"/>
        <v>23.37004282003986</v>
      </c>
      <c r="AN421" s="13">
        <f t="shared" si="222"/>
        <v>18.500290217474511</v>
      </c>
      <c r="AO421" s="13">
        <f t="shared" si="223"/>
        <v>15.003609873424349</v>
      </c>
      <c r="AP421" s="13">
        <f t="shared" si="224"/>
        <v>9.9647696327360364</v>
      </c>
      <c r="AQ421" s="13">
        <f t="shared" si="225"/>
        <v>14.352497479295984</v>
      </c>
      <c r="AR421" s="13">
        <f t="shared" si="226"/>
        <v>8.8244254844039585</v>
      </c>
      <c r="AS421" s="13">
        <f t="shared" si="227"/>
        <v>11.017339063125608</v>
      </c>
      <c r="AT421" s="13">
        <f t="shared" si="228"/>
        <v>16.991039238676631</v>
      </c>
      <c r="AU421" s="9">
        <v>0</v>
      </c>
      <c r="AV421" s="18">
        <f t="shared" si="245"/>
        <v>1</v>
      </c>
      <c r="AW421" s="18">
        <f t="shared" si="246"/>
        <v>2</v>
      </c>
      <c r="AX421" s="18">
        <f t="shared" si="247"/>
        <v>4</v>
      </c>
      <c r="AY421" s="18">
        <f t="shared" si="248"/>
        <v>7</v>
      </c>
      <c r="AZ421" s="18">
        <f t="shared" si="249"/>
        <v>5</v>
      </c>
      <c r="BA421" s="18">
        <f t="shared" si="250"/>
        <v>8</v>
      </c>
      <c r="BB421" s="18">
        <f t="shared" si="251"/>
        <v>6</v>
      </c>
      <c r="BC421" s="18">
        <f t="shared" si="252"/>
        <v>3</v>
      </c>
      <c r="BD421" s="18">
        <f t="shared" si="253"/>
        <v>9</v>
      </c>
      <c r="BE421" s="8">
        <f t="shared" si="255"/>
        <v>2.3174598560138154E-3</v>
      </c>
    </row>
    <row r="422" spans="1:57" x14ac:dyDescent="0.25">
      <c r="A422" t="str">
        <f t="shared" si="254"/>
        <v/>
      </c>
      <c r="B422" s="1">
        <v>43350</v>
      </c>
      <c r="C422" s="9">
        <f t="shared" si="229"/>
        <v>0.25267604553434708</v>
      </c>
      <c r="D422" s="9">
        <f t="shared" si="230"/>
        <v>0.24940243380838326</v>
      </c>
      <c r="E422" s="9">
        <f t="shared" si="231"/>
        <v>0</v>
      </c>
      <c r="F422" s="9">
        <f t="shared" si="232"/>
        <v>0</v>
      </c>
      <c r="G422" s="9">
        <f t="shared" si="233"/>
        <v>0.24261886569411462</v>
      </c>
      <c r="H422" s="9">
        <f t="shared" si="234"/>
        <v>0</v>
      </c>
      <c r="I422" s="9">
        <f t="shared" si="235"/>
        <v>0</v>
      </c>
      <c r="J422" s="9">
        <f t="shared" si="236"/>
        <v>0.25530265496315502</v>
      </c>
      <c r="K422" s="9">
        <v>0</v>
      </c>
      <c r="L422" s="8">
        <f>+VLOOKUP($B422,NIFTY_50!$B$3:$I$1238,8,0)</f>
        <v>4.5246123308688713E-3</v>
      </c>
      <c r="M422" s="8">
        <f>+VLOOKUP($B422,NIFTY_BANK!$B$3:$I$41238,8,0)</f>
        <v>4.6416466742149609E-4</v>
      </c>
      <c r="N422" s="8">
        <f>+VLOOKUP($B422,NIFTY_IT!$B$3:$I$1238,8,0)</f>
        <v>1.4395289040614045E-3</v>
      </c>
      <c r="O422" s="8">
        <f>+VLOOKUP($B422,NIFTY_PHARMA!$B$3:$I$1238,8,0)</f>
        <v>7.3796553956053668E-3</v>
      </c>
      <c r="P422" s="8">
        <f>+VLOOKUP($B422,NIFTY_FMCG!$B$3:$I$1238,8,0)</f>
        <v>6.3243707323334952E-3</v>
      </c>
      <c r="Q422" s="8">
        <f>+VLOOKUP($B422,NIFTY_METAL!$B$3:$I$1238,8,0)</f>
        <v>1.859754418809545E-2</v>
      </c>
      <c r="R422" s="8">
        <f>+VLOOKUP($B422,NIFTY_ENERGY!$B$3:$I$1238,8,0)</f>
        <v>8.4759973296968383E-3</v>
      </c>
      <c r="S422" s="8">
        <f>+VLOOKUP($B422,NIFTY_AUTO!$B$3:$I$1238,8,0)</f>
        <v>2.2049256613156487E-2</v>
      </c>
      <c r="T422" s="8">
        <v>0</v>
      </c>
      <c r="U422" s="8">
        <f>+VLOOKUP($B422,NIFTY_50!$B$63:$K$1238,10,0)</f>
        <v>6.8824156010642845E-2</v>
      </c>
      <c r="V422" s="8">
        <f>+VLOOKUP($B422,NIFTY_BANK!$B$63:$K$1238,10,0)</f>
        <v>3.286152944138987E-2</v>
      </c>
      <c r="W422" s="8">
        <f>+VLOOKUP($B422,NIFTY_IT!$B$63:$K$1238,10,0)</f>
        <v>0.16197505745011664</v>
      </c>
      <c r="X422" s="8">
        <f>+VLOOKUP($B422,NIFTY_PHARMA!$B$63:$K$1238,10,0)</f>
        <v>0.2018837826716795</v>
      </c>
      <c r="Y422" s="8">
        <f>+VLOOKUP($B422,NIFTY_FMCG!$B$63:$K$1238,10,0)</f>
        <v>7.892631444926379E-2</v>
      </c>
      <c r="Z422" s="8">
        <f>+VLOOKUP($B422,NIFTY_METAL!$B$63:$K$1238,10,0)</f>
        <v>1.9509775554912734E-2</v>
      </c>
      <c r="AA422" s="8">
        <f>+VLOOKUP($B422,NIFTY_ENERGY!$B$63:$K$1238,10,0)</f>
        <v>0.14272398426884925</v>
      </c>
      <c r="AB422" s="8">
        <f>+VLOOKUP($B422,NIFTY_AUTO!$B$63:$K$1238,10,0)</f>
        <v>-1.8388565736343065E-2</v>
      </c>
      <c r="AC422" s="8"/>
      <c r="AD422" s="16">
        <f t="shared" si="237"/>
        <v>4.2732289420000562E-2</v>
      </c>
      <c r="AE422" s="8">
        <f t="shared" si="238"/>
        <v>5.3802002768595612E-2</v>
      </c>
      <c r="AF422" s="8">
        <f t="shared" si="239"/>
        <v>6.6561674976398241E-2</v>
      </c>
      <c r="AG422" s="8">
        <f t="shared" si="240"/>
        <v>9.7868695875477571E-2</v>
      </c>
      <c r="AH422" s="8">
        <f t="shared" si="241"/>
        <v>6.9448434774491474E-2</v>
      </c>
      <c r="AI422" s="8">
        <f t="shared" si="242"/>
        <v>0.11470799797969833</v>
      </c>
      <c r="AJ422" s="8">
        <f t="shared" si="243"/>
        <v>9.0841187237272789E-2</v>
      </c>
      <c r="AK422" s="8">
        <f t="shared" si="244"/>
        <v>6.3003608093923122E-2</v>
      </c>
      <c r="AL422" s="9">
        <v>0</v>
      </c>
      <c r="AM422" s="17">
        <f t="shared" si="221"/>
        <v>23.401507702322093</v>
      </c>
      <c r="AN422" s="13">
        <f t="shared" si="222"/>
        <v>18.586668684082944</v>
      </c>
      <c r="AO422" s="13">
        <f t="shared" si="223"/>
        <v>15.023660392479378</v>
      </c>
      <c r="AP422" s="13">
        <f t="shared" si="224"/>
        <v>10.217771791629284</v>
      </c>
      <c r="AQ422" s="13">
        <f t="shared" si="225"/>
        <v>14.399172612703744</v>
      </c>
      <c r="AR422" s="13">
        <f t="shared" si="226"/>
        <v>8.7177879277169996</v>
      </c>
      <c r="AS422" s="13">
        <f t="shared" si="227"/>
        <v>11.008222485996891</v>
      </c>
      <c r="AT422" s="13">
        <f t="shared" si="228"/>
        <v>15.872106856312771</v>
      </c>
      <c r="AU422" s="9">
        <v>0</v>
      </c>
      <c r="AV422" s="18">
        <f t="shared" si="245"/>
        <v>1</v>
      </c>
      <c r="AW422" s="18">
        <f t="shared" si="246"/>
        <v>2</v>
      </c>
      <c r="AX422" s="18">
        <f t="shared" si="247"/>
        <v>4</v>
      </c>
      <c r="AY422" s="18">
        <f t="shared" si="248"/>
        <v>7</v>
      </c>
      <c r="AZ422" s="18">
        <f t="shared" si="249"/>
        <v>5</v>
      </c>
      <c r="BA422" s="18">
        <f t="shared" si="250"/>
        <v>8</v>
      </c>
      <c r="BB422" s="18">
        <f t="shared" si="251"/>
        <v>6</v>
      </c>
      <c r="BC422" s="18">
        <f t="shared" si="252"/>
        <v>3</v>
      </c>
      <c r="BD422" s="18">
        <f t="shared" si="253"/>
        <v>9</v>
      </c>
      <c r="BE422" s="8">
        <f t="shared" si="255"/>
        <v>8.3556190790277374E-3</v>
      </c>
    </row>
    <row r="423" spans="1:57" x14ac:dyDescent="0.25">
      <c r="A423" t="str">
        <f t="shared" si="254"/>
        <v/>
      </c>
      <c r="B423" s="1">
        <v>43353</v>
      </c>
      <c r="C423" s="9">
        <f t="shared" si="229"/>
        <v>0.25305018620383157</v>
      </c>
      <c r="D423" s="9">
        <f t="shared" si="230"/>
        <v>0.25049340688020238</v>
      </c>
      <c r="E423" s="9">
        <f t="shared" si="231"/>
        <v>0</v>
      </c>
      <c r="F423" s="9">
        <f t="shared" si="232"/>
        <v>0</v>
      </c>
      <c r="G423" s="9">
        <f t="shared" si="233"/>
        <v>0.24192464960831608</v>
      </c>
      <c r="H423" s="9">
        <f t="shared" si="234"/>
        <v>0</v>
      </c>
      <c r="I423" s="9">
        <f t="shared" si="235"/>
        <v>0</v>
      </c>
      <c r="J423" s="9">
        <f t="shared" si="236"/>
        <v>0.25453175730764999</v>
      </c>
      <c r="K423" s="9">
        <v>0</v>
      </c>
      <c r="L423" s="8">
        <f>+VLOOKUP($B423,NIFTY_50!$B$3:$I$1238,8,0)</f>
        <v>-1.3029484601910446E-2</v>
      </c>
      <c r="M423" s="8">
        <f>+VLOOKUP($B423,NIFTY_BANK!$B$3:$I$41238,8,0)</f>
        <v>-1.0177774462410083E-2</v>
      </c>
      <c r="N423" s="8">
        <f>+VLOOKUP($B423,NIFTY_IT!$B$3:$I$1238,8,0)</f>
        <v>3.1046644478616159E-5</v>
      </c>
      <c r="O423" s="8">
        <f>+VLOOKUP($B423,NIFTY_PHARMA!$B$3:$I$1238,8,0)</f>
        <v>-2.0143041388204996E-2</v>
      </c>
      <c r="P423" s="8">
        <f>+VLOOKUP($B423,NIFTY_FMCG!$B$3:$I$1238,8,0)</f>
        <v>-1.7308630714128581E-2</v>
      </c>
      <c r="Q423" s="8">
        <f>+VLOOKUP($B423,NIFTY_METAL!$B$3:$I$1238,8,0)</f>
        <v>-1.7001148726265347E-2</v>
      </c>
      <c r="R423" s="8">
        <f>+VLOOKUP($B423,NIFTY_ENERGY!$B$3:$I$1238,8,0)</f>
        <v>-1.6414220638247157E-2</v>
      </c>
      <c r="S423" s="8">
        <f>+VLOOKUP($B423,NIFTY_AUTO!$B$3:$I$1238,8,0)</f>
        <v>-1.7464538605464486E-2</v>
      </c>
      <c r="T423" s="8">
        <v>0</v>
      </c>
      <c r="U423" s="8">
        <f>+VLOOKUP($B423,NIFTY_50!$B$63:$K$1238,10,0)</f>
        <v>5.3552184365414979E-2</v>
      </c>
      <c r="V423" s="8">
        <f>+VLOOKUP($B423,NIFTY_BANK!$B$63:$K$1238,10,0)</f>
        <v>2.0979401564400257E-2</v>
      </c>
      <c r="W423" s="8">
        <f>+VLOOKUP($B423,NIFTY_IT!$B$63:$K$1238,10,0)</f>
        <v>0.14757929764182376</v>
      </c>
      <c r="X423" s="8">
        <f>+VLOOKUP($B423,NIFTY_PHARMA!$B$63:$K$1238,10,0)</f>
        <v>0.16734365484218805</v>
      </c>
      <c r="Y423" s="8">
        <f>+VLOOKUP($B423,NIFTY_FMCG!$B$63:$K$1238,10,0)</f>
        <v>6.556829951946419E-2</v>
      </c>
      <c r="Z423" s="8">
        <f>+VLOOKUP($B423,NIFTY_METAL!$B$63:$K$1238,10,0)</f>
        <v>6.6429550078193067E-3</v>
      </c>
      <c r="AA423" s="8">
        <f>+VLOOKUP($B423,NIFTY_ENERGY!$B$63:$K$1238,10,0)</f>
        <v>0.12011604310172341</v>
      </c>
      <c r="AB423" s="8">
        <f>+VLOOKUP($B423,NIFTY_AUTO!$B$63:$K$1238,10,0)</f>
        <v>-3.4913938876132589E-2</v>
      </c>
      <c r="AC423" s="8"/>
      <c r="AD423" s="16">
        <f t="shared" si="237"/>
        <v>4.497216012799668E-2</v>
      </c>
      <c r="AE423" s="8">
        <f t="shared" si="238"/>
        <v>5.4836372551239479E-2</v>
      </c>
      <c r="AF423" s="8">
        <f t="shared" si="239"/>
        <v>6.5821378140790421E-2</v>
      </c>
      <c r="AG423" s="8">
        <f t="shared" si="240"/>
        <v>0.10035709861789974</v>
      </c>
      <c r="AH423" s="8">
        <f t="shared" si="241"/>
        <v>7.1602825250842939E-2</v>
      </c>
      <c r="AI423" s="8">
        <f t="shared" si="242"/>
        <v>0.11591104700048072</v>
      </c>
      <c r="AJ423" s="8">
        <f t="shared" si="243"/>
        <v>9.2697805227603014E-2</v>
      </c>
      <c r="AK423" s="8">
        <f t="shared" si="244"/>
        <v>6.5270769440431628E-2</v>
      </c>
      <c r="AL423" s="9">
        <v>0</v>
      </c>
      <c r="AM423" s="17">
        <f t="shared" si="221"/>
        <v>22.23597881787018</v>
      </c>
      <c r="AN423" s="13">
        <f t="shared" si="222"/>
        <v>18.23607130587628</v>
      </c>
      <c r="AO423" s="13">
        <f t="shared" si="223"/>
        <v>15.192632367268624</v>
      </c>
      <c r="AP423" s="13">
        <f t="shared" si="224"/>
        <v>9.9644172038831691</v>
      </c>
      <c r="AQ423" s="13">
        <f t="shared" si="225"/>
        <v>13.965929367964815</v>
      </c>
      <c r="AR423" s="13">
        <f t="shared" si="226"/>
        <v>8.6273053852740436</v>
      </c>
      <c r="AS423" s="13">
        <f t="shared" si="227"/>
        <v>10.787741927057253</v>
      </c>
      <c r="AT423" s="13">
        <f t="shared" si="228"/>
        <v>15.32079380361273</v>
      </c>
      <c r="AU423" s="9">
        <v>0</v>
      </c>
      <c r="AV423" s="18">
        <f t="shared" si="245"/>
        <v>1</v>
      </c>
      <c r="AW423" s="18">
        <f t="shared" si="246"/>
        <v>2</v>
      </c>
      <c r="AX423" s="18">
        <f t="shared" si="247"/>
        <v>4</v>
      </c>
      <c r="AY423" s="18">
        <f t="shared" si="248"/>
        <v>7</v>
      </c>
      <c r="AZ423" s="18">
        <f t="shared" si="249"/>
        <v>5</v>
      </c>
      <c r="BA423" s="18">
        <f t="shared" si="250"/>
        <v>8</v>
      </c>
      <c r="BB423" s="18">
        <f t="shared" si="251"/>
        <v>6</v>
      </c>
      <c r="BC423" s="18">
        <f t="shared" si="252"/>
        <v>3</v>
      </c>
      <c r="BD423" s="18">
        <f t="shared" si="253"/>
        <v>9</v>
      </c>
      <c r="BE423" s="8">
        <f t="shared" si="255"/>
        <v>-1.4488743790501073E-2</v>
      </c>
    </row>
    <row r="424" spans="1:57" x14ac:dyDescent="0.25">
      <c r="A424" t="str">
        <f t="shared" si="254"/>
        <v/>
      </c>
      <c r="B424" s="1">
        <v>43354</v>
      </c>
      <c r="C424" s="9">
        <f t="shared" si="229"/>
        <v>0.25393851641271209</v>
      </c>
      <c r="D424" s="9">
        <f t="shared" si="230"/>
        <v>0.25103473156657002</v>
      </c>
      <c r="E424" s="9">
        <f t="shared" si="231"/>
        <v>0</v>
      </c>
      <c r="F424" s="9">
        <f t="shared" si="232"/>
        <v>0</v>
      </c>
      <c r="G424" s="9">
        <f t="shared" si="233"/>
        <v>0.24007224513579858</v>
      </c>
      <c r="H424" s="9">
        <f t="shared" si="234"/>
        <v>0</v>
      </c>
      <c r="I424" s="9">
        <f t="shared" si="235"/>
        <v>0</v>
      </c>
      <c r="J424" s="9">
        <f t="shared" si="236"/>
        <v>0.25495450688491933</v>
      </c>
      <c r="K424" s="9">
        <v>0</v>
      </c>
      <c r="L424" s="8">
        <f>+VLOOKUP($B424,NIFTY_50!$B$3:$I$1238,8,0)</f>
        <v>-1.3166522411939052E-2</v>
      </c>
      <c r="M424" s="8">
        <f>+VLOOKUP($B424,NIFTY_BANK!$B$3:$I$41238,8,0)</f>
        <v>-1.4493552804507037E-2</v>
      </c>
      <c r="N424" s="8">
        <f>+VLOOKUP($B424,NIFTY_IT!$B$3:$I$1238,8,0)</f>
        <v>-6.9604415937609687E-3</v>
      </c>
      <c r="O424" s="8">
        <f>+VLOOKUP($B424,NIFTY_PHARMA!$B$3:$I$1238,8,0)</f>
        <v>-1.6029292107404447E-2</v>
      </c>
      <c r="P424" s="8">
        <f>+VLOOKUP($B424,NIFTY_FMCG!$B$3:$I$1238,8,0)</f>
        <v>-2.414837269080472E-2</v>
      </c>
      <c r="Q424" s="8">
        <f>+VLOOKUP($B424,NIFTY_METAL!$B$3:$I$1238,8,0)</f>
        <v>-1.6099096745810226E-2</v>
      </c>
      <c r="R424" s="8">
        <f>+VLOOKUP($B424,NIFTY_ENERGY!$B$3:$I$1238,8,0)</f>
        <v>-1.26532617155104E-2</v>
      </c>
      <c r="S424" s="8">
        <f>+VLOOKUP($B424,NIFTY_AUTO!$B$3:$I$1238,8,0)</f>
        <v>-1.4985383487490678E-2</v>
      </c>
      <c r="T424" s="8">
        <v>0</v>
      </c>
      <c r="U424" s="8">
        <f>+VLOOKUP($B424,NIFTY_50!$B$63:$K$1238,10,0)</f>
        <v>4.4360453550825518E-2</v>
      </c>
      <c r="V424" s="8">
        <f>+VLOOKUP($B424,NIFTY_BANK!$B$63:$K$1238,10,0)</f>
        <v>9.2330280755583694E-3</v>
      </c>
      <c r="W424" s="8">
        <f>+VLOOKUP($B424,NIFTY_IT!$B$63:$K$1238,10,0)</f>
        <v>0.15679835664790898</v>
      </c>
      <c r="X424" s="8">
        <f>+VLOOKUP($B424,NIFTY_PHARMA!$B$63:$K$1238,10,0)</f>
        <v>0.12802265033004279</v>
      </c>
      <c r="Y424" s="8">
        <f>+VLOOKUP($B424,NIFTY_FMCG!$B$63:$K$1238,10,0)</f>
        <v>4.0938132355665013E-2</v>
      </c>
      <c r="Z424" s="8">
        <f>+VLOOKUP($B424,NIFTY_METAL!$B$63:$K$1238,10,0)</f>
        <v>-5.2264324038808763E-3</v>
      </c>
      <c r="AA424" s="8">
        <f>+VLOOKUP($B424,NIFTY_ENERGY!$B$63:$K$1238,10,0)</f>
        <v>0.10740682440989402</v>
      </c>
      <c r="AB424" s="8">
        <f>+VLOOKUP($B424,NIFTY_AUTO!$B$63:$K$1238,10,0)</f>
        <v>-4.995108067241838E-2</v>
      </c>
      <c r="AC424" s="8"/>
      <c r="AD424" s="16">
        <f t="shared" si="237"/>
        <v>4.6794074815911059E-2</v>
      </c>
      <c r="AE424" s="8">
        <f t="shared" si="238"/>
        <v>5.6693628668099946E-2</v>
      </c>
      <c r="AF424" s="8">
        <f t="shared" si="239"/>
        <v>6.4205202821170176E-2</v>
      </c>
      <c r="AG424" s="8">
        <f t="shared" si="240"/>
        <v>0.10077344918017224</v>
      </c>
      <c r="AH424" s="8">
        <f t="shared" si="241"/>
        <v>7.5830671941083685E-2</v>
      </c>
      <c r="AI424" s="8">
        <f t="shared" si="242"/>
        <v>0.11695481316190663</v>
      </c>
      <c r="AJ424" s="8">
        <f t="shared" si="243"/>
        <v>9.3770526662902018E-2</v>
      </c>
      <c r="AK424" s="8">
        <f t="shared" si="244"/>
        <v>6.6808781741291859E-2</v>
      </c>
      <c r="AL424" s="9">
        <v>0</v>
      </c>
      <c r="AM424" s="17">
        <f t="shared" si="221"/>
        <v>21.370226977112434</v>
      </c>
      <c r="AN424" s="13">
        <f t="shared" si="222"/>
        <v>17.638666345636022</v>
      </c>
      <c r="AO424" s="13">
        <f t="shared" si="223"/>
        <v>15.575061771633765</v>
      </c>
      <c r="AP424" s="13">
        <f t="shared" si="224"/>
        <v>9.92324871417377</v>
      </c>
      <c r="AQ424" s="13">
        <f t="shared" si="225"/>
        <v>13.187275997988593</v>
      </c>
      <c r="AR424" s="13">
        <f t="shared" si="226"/>
        <v>8.5503107821278626</v>
      </c>
      <c r="AS424" s="13">
        <f t="shared" si="227"/>
        <v>10.664331699819973</v>
      </c>
      <c r="AT424" s="13">
        <f t="shared" si="228"/>
        <v>14.968092127055501</v>
      </c>
      <c r="AU424" s="9">
        <v>0</v>
      </c>
      <c r="AV424" s="18">
        <f t="shared" si="245"/>
        <v>1</v>
      </c>
      <c r="AW424" s="18">
        <f t="shared" si="246"/>
        <v>2</v>
      </c>
      <c r="AX424" s="18">
        <f t="shared" si="247"/>
        <v>3</v>
      </c>
      <c r="AY424" s="18">
        <f t="shared" si="248"/>
        <v>7</v>
      </c>
      <c r="AZ424" s="18">
        <f t="shared" si="249"/>
        <v>5</v>
      </c>
      <c r="BA424" s="18">
        <f t="shared" si="250"/>
        <v>8</v>
      </c>
      <c r="BB424" s="18">
        <f t="shared" si="251"/>
        <v>6</v>
      </c>
      <c r="BC424" s="18">
        <f t="shared" si="252"/>
        <v>4</v>
      </c>
      <c r="BD424" s="18">
        <f t="shared" si="253"/>
        <v>9</v>
      </c>
      <c r="BE424" s="8">
        <f t="shared" si="255"/>
        <v>-1.6618672962631181E-2</v>
      </c>
    </row>
    <row r="425" spans="1:57" x14ac:dyDescent="0.25">
      <c r="A425" t="str">
        <f t="shared" si="254"/>
        <v/>
      </c>
      <c r="B425" s="1">
        <v>43355</v>
      </c>
      <c r="C425" s="9">
        <f t="shared" si="229"/>
        <v>0.25368478095270236</v>
      </c>
      <c r="D425" s="9">
        <f t="shared" si="230"/>
        <v>0.24907507532092296</v>
      </c>
      <c r="E425" s="9">
        <f t="shared" si="231"/>
        <v>0</v>
      </c>
      <c r="F425" s="9">
        <f t="shared" si="232"/>
        <v>0</v>
      </c>
      <c r="G425" s="9">
        <f t="shared" si="233"/>
        <v>0.24411756768169882</v>
      </c>
      <c r="H425" s="9">
        <f t="shared" si="234"/>
        <v>0</v>
      </c>
      <c r="I425" s="9">
        <f t="shared" si="235"/>
        <v>0</v>
      </c>
      <c r="J425" s="9">
        <f t="shared" si="236"/>
        <v>0.25312257604467575</v>
      </c>
      <c r="K425" s="9">
        <v>0</v>
      </c>
      <c r="L425" s="8">
        <f>+VLOOKUP($B425,NIFTY_50!$B$3:$I$1238,8,0)</f>
        <v>7.300110741971233E-3</v>
      </c>
      <c r="M425" s="8">
        <f>+VLOOKUP($B425,NIFTY_BANK!$B$3:$I$41238,8,0)</f>
        <v>4.3644502471318347E-4</v>
      </c>
      <c r="N425" s="8">
        <f>+VLOOKUP($B425,NIFTY_IT!$B$3:$I$1238,8,0)</f>
        <v>3.8047420153564104E-3</v>
      </c>
      <c r="O425" s="8">
        <f>+VLOOKUP($B425,NIFTY_PHARMA!$B$3:$I$1238,8,0)</f>
        <v>1.0949455445785405E-2</v>
      </c>
      <c r="P425" s="8">
        <f>+VLOOKUP($B425,NIFTY_FMCG!$B$3:$I$1238,8,0)</f>
        <v>2.5298037252785788E-2</v>
      </c>
      <c r="Q425" s="8">
        <f>+VLOOKUP($B425,NIFTY_METAL!$B$3:$I$1238,8,0)</f>
        <v>1.4839448900315855E-2</v>
      </c>
      <c r="R425" s="8">
        <f>+VLOOKUP($B425,NIFTY_ENERGY!$B$3:$I$1238,8,0)</f>
        <v>7.9858116162545567E-3</v>
      </c>
      <c r="S425" s="8">
        <f>+VLOOKUP($B425,NIFTY_AUTO!$B$3:$I$1238,8,0)</f>
        <v>1.0625947909450595E-3</v>
      </c>
      <c r="T425" s="8">
        <v>0</v>
      </c>
      <c r="U425" s="8">
        <f>+VLOOKUP($B425,NIFTY_50!$B$63:$K$1238,10,0)</f>
        <v>5.1045970955008846E-2</v>
      </c>
      <c r="V425" s="8">
        <f>+VLOOKUP($B425,NIFTY_BANK!$B$63:$K$1238,10,0)</f>
        <v>1.5209672412879405E-2</v>
      </c>
      <c r="W425" s="8">
        <f>+VLOOKUP($B425,NIFTY_IT!$B$63:$K$1238,10,0)</f>
        <v>0.13685160924830919</v>
      </c>
      <c r="X425" s="8">
        <f>+VLOOKUP($B425,NIFTY_PHARMA!$B$63:$K$1238,10,0)</f>
        <v>0.11542734469341198</v>
      </c>
      <c r="Y425" s="8">
        <f>+VLOOKUP($B425,NIFTY_FMCG!$B$63:$K$1238,10,0)</f>
        <v>7.1370360266276966E-2</v>
      </c>
      <c r="Z425" s="8">
        <f>+VLOOKUP($B425,NIFTY_METAL!$B$63:$K$1238,10,0)</f>
        <v>2.525445023221673E-2</v>
      </c>
      <c r="AA425" s="8">
        <f>+VLOOKUP($B425,NIFTY_ENERGY!$B$63:$K$1238,10,0)</f>
        <v>0.11922936201045964</v>
      </c>
      <c r="AB425" s="8">
        <f>+VLOOKUP($B425,NIFTY_AUTO!$B$63:$K$1238,10,0)</f>
        <v>-4.2987366923087134E-2</v>
      </c>
      <c r="AC425" s="8"/>
      <c r="AD425" s="16">
        <f t="shared" si="237"/>
        <v>4.7245691128046448E-2</v>
      </c>
      <c r="AE425" s="8">
        <f t="shared" si="238"/>
        <v>5.6408924305247354E-2</v>
      </c>
      <c r="AF425" s="8">
        <f t="shared" si="239"/>
        <v>6.1305802921013897E-2</v>
      </c>
      <c r="AG425" s="8">
        <f t="shared" si="240"/>
        <v>9.9095322066758446E-2</v>
      </c>
      <c r="AH425" s="8">
        <f t="shared" si="241"/>
        <v>7.950265389881063E-2</v>
      </c>
      <c r="AI425" s="8">
        <f t="shared" si="242"/>
        <v>0.11682059813978167</v>
      </c>
      <c r="AJ425" s="8">
        <f t="shared" si="243"/>
        <v>9.3864603631282448E-2</v>
      </c>
      <c r="AK425" s="8">
        <f t="shared" si="244"/>
        <v>6.6608280042240495E-2</v>
      </c>
      <c r="AL425" s="9">
        <v>0</v>
      </c>
      <c r="AM425" s="17">
        <f t="shared" si="221"/>
        <v>21.165951351833865</v>
      </c>
      <c r="AN425" s="13">
        <f t="shared" si="222"/>
        <v>17.727691359414496</v>
      </c>
      <c r="AO425" s="13">
        <f t="shared" si="223"/>
        <v>16.311669570471089</v>
      </c>
      <c r="AP425" s="13">
        <f t="shared" si="224"/>
        <v>10.09129370734898</v>
      </c>
      <c r="AQ425" s="13">
        <f t="shared" si="225"/>
        <v>12.578196462130432</v>
      </c>
      <c r="AR425" s="13">
        <f t="shared" si="226"/>
        <v>8.5601342222494878</v>
      </c>
      <c r="AS425" s="13">
        <f t="shared" si="227"/>
        <v>10.653643240514659</v>
      </c>
      <c r="AT425" s="13">
        <f t="shared" si="228"/>
        <v>15.013148505949069</v>
      </c>
      <c r="AU425" s="9">
        <v>0</v>
      </c>
      <c r="AV425" s="18">
        <f t="shared" si="245"/>
        <v>1</v>
      </c>
      <c r="AW425" s="18">
        <f t="shared" si="246"/>
        <v>2</v>
      </c>
      <c r="AX425" s="18">
        <f t="shared" si="247"/>
        <v>3</v>
      </c>
      <c r="AY425" s="18">
        <f t="shared" si="248"/>
        <v>7</v>
      </c>
      <c r="AZ425" s="18">
        <f t="shared" si="249"/>
        <v>5</v>
      </c>
      <c r="BA425" s="18">
        <f t="shared" si="250"/>
        <v>8</v>
      </c>
      <c r="BB425" s="18">
        <f t="shared" si="251"/>
        <v>6</v>
      </c>
      <c r="BC425" s="18">
        <f t="shared" si="252"/>
        <v>4</v>
      </c>
      <c r="BD425" s="18">
        <f t="shared" si="253"/>
        <v>9</v>
      </c>
      <c r="BE425" s="8">
        <f t="shared" si="255"/>
        <v>8.3076120828363513E-3</v>
      </c>
    </row>
    <row r="426" spans="1:57" x14ac:dyDescent="0.25">
      <c r="A426" t="str">
        <f t="shared" si="254"/>
        <v/>
      </c>
      <c r="B426" s="1">
        <v>43357</v>
      </c>
      <c r="C426" s="9">
        <f t="shared" si="229"/>
        <v>0.25416246278680438</v>
      </c>
      <c r="D426" s="9">
        <f t="shared" si="230"/>
        <v>0.24956169742428624</v>
      </c>
      <c r="E426" s="9">
        <f t="shared" si="231"/>
        <v>0</v>
      </c>
      <c r="F426" s="9">
        <f t="shared" si="232"/>
        <v>0</v>
      </c>
      <c r="G426" s="9">
        <f t="shared" si="233"/>
        <v>0.24273978530774362</v>
      </c>
      <c r="H426" s="9">
        <f t="shared" si="234"/>
        <v>0</v>
      </c>
      <c r="I426" s="9">
        <f t="shared" si="235"/>
        <v>0</v>
      </c>
      <c r="J426" s="9">
        <f t="shared" si="236"/>
        <v>0.25353605448116584</v>
      </c>
      <c r="K426" s="9">
        <v>0</v>
      </c>
      <c r="L426" s="8">
        <f>+VLOOKUP($B426,NIFTY_50!$B$3:$I$1238,8,0)</f>
        <v>1.2779356018962407E-2</v>
      </c>
      <c r="M426" s="8">
        <f>+VLOOKUP($B426,NIFTY_BANK!$B$3:$I$41238,8,0)</f>
        <v>1.2850868034840701E-2</v>
      </c>
      <c r="N426" s="8">
        <f>+VLOOKUP($B426,NIFTY_IT!$B$3:$I$1238,8,0)</f>
        <v>1.1492427144552675E-3</v>
      </c>
      <c r="O426" s="8">
        <f>+VLOOKUP($B426,NIFTY_PHARMA!$B$3:$I$1238,8,0)</f>
        <v>2.5140498094614827E-2</v>
      </c>
      <c r="P426" s="8">
        <f>+VLOOKUP($B426,NIFTY_FMCG!$B$3:$I$1238,8,0)</f>
        <v>5.1705905631855842E-3</v>
      </c>
      <c r="Q426" s="8">
        <f>+VLOOKUP($B426,NIFTY_METAL!$B$3:$I$1238,8,0)</f>
        <v>2.2663435589579617E-2</v>
      </c>
      <c r="R426" s="8">
        <f>+VLOOKUP($B426,NIFTY_ENERGY!$B$3:$I$1238,8,0)</f>
        <v>1.2233150973812723E-2</v>
      </c>
      <c r="S426" s="8">
        <f>+VLOOKUP($B426,NIFTY_AUTO!$B$3:$I$1238,8,0)</f>
        <v>1.2527179631058427E-2</v>
      </c>
      <c r="T426" s="8">
        <v>0</v>
      </c>
      <c r="U426" s="8">
        <f>+VLOOKUP($B426,NIFTY_50!$B$63:$K$1238,10,0)</f>
        <v>6.6237031069876107E-2</v>
      </c>
      <c r="V426" s="8">
        <f>+VLOOKUP($B426,NIFTY_BANK!$B$63:$K$1238,10,0)</f>
        <v>2.8571374477930123E-2</v>
      </c>
      <c r="W426" s="8">
        <f>+VLOOKUP($B426,NIFTY_IT!$B$63:$K$1238,10,0)</f>
        <v>0.14605467691561724</v>
      </c>
      <c r="X426" s="8">
        <f>+VLOOKUP($B426,NIFTY_PHARMA!$B$63:$K$1238,10,0)</f>
        <v>0.14309551146545352</v>
      </c>
      <c r="Y426" s="8">
        <f>+VLOOKUP($B426,NIFTY_FMCG!$B$63:$K$1238,10,0)</f>
        <v>7.9263578041084193E-2</v>
      </c>
      <c r="Z426" s="8">
        <f>+VLOOKUP($B426,NIFTY_METAL!$B$63:$K$1238,10,0)</f>
        <v>6.7017196052234551E-2</v>
      </c>
      <c r="AA426" s="8">
        <f>+VLOOKUP($B426,NIFTY_ENERGY!$B$63:$K$1238,10,0)</f>
        <v>0.12554078614447084</v>
      </c>
      <c r="AB426" s="8">
        <f>+VLOOKUP($B426,NIFTY_AUTO!$B$63:$K$1238,10,0)</f>
        <v>-3.3628034221601433E-2</v>
      </c>
      <c r="AC426" s="8"/>
      <c r="AD426" s="16">
        <f t="shared" si="237"/>
        <v>4.8633732582806413E-2</v>
      </c>
      <c r="AE426" s="8">
        <f t="shared" si="238"/>
        <v>5.7766608457628953E-2</v>
      </c>
      <c r="AF426" s="8">
        <f t="shared" si="239"/>
        <v>6.0637038029879776E-2</v>
      </c>
      <c r="AG426" s="8">
        <f t="shared" si="240"/>
        <v>0.10172895264601076</v>
      </c>
      <c r="AH426" s="8">
        <f t="shared" si="241"/>
        <v>7.9525963477981548E-2</v>
      </c>
      <c r="AI426" s="8">
        <f t="shared" si="242"/>
        <v>0.1174360173749595</v>
      </c>
      <c r="AJ426" s="8">
        <f t="shared" si="243"/>
        <v>9.431272096972744E-2</v>
      </c>
      <c r="AK426" s="8">
        <f t="shared" si="244"/>
        <v>6.7808715170276535E-2</v>
      </c>
      <c r="AL426" s="9">
        <v>0</v>
      </c>
      <c r="AM426" s="17">
        <f t="shared" si="221"/>
        <v>20.561859986735463</v>
      </c>
      <c r="AN426" s="13">
        <f t="shared" si="222"/>
        <v>17.311038793864572</v>
      </c>
      <c r="AO426" s="13">
        <f t="shared" si="223"/>
        <v>16.49157070480975</v>
      </c>
      <c r="AP426" s="13">
        <f t="shared" si="224"/>
        <v>9.8300432078538105</v>
      </c>
      <c r="AQ426" s="13">
        <f t="shared" si="225"/>
        <v>12.574509710616347</v>
      </c>
      <c r="AR426" s="13">
        <f t="shared" si="226"/>
        <v>8.5152751460151848</v>
      </c>
      <c r="AS426" s="13">
        <f t="shared" si="227"/>
        <v>10.603023534025496</v>
      </c>
      <c r="AT426" s="13">
        <f t="shared" si="228"/>
        <v>14.747366875907757</v>
      </c>
      <c r="AU426" s="9">
        <v>0</v>
      </c>
      <c r="AV426" s="18">
        <f t="shared" si="245"/>
        <v>1</v>
      </c>
      <c r="AW426" s="18">
        <f t="shared" si="246"/>
        <v>2</v>
      </c>
      <c r="AX426" s="18">
        <f t="shared" si="247"/>
        <v>3</v>
      </c>
      <c r="AY426" s="18">
        <f t="shared" si="248"/>
        <v>7</v>
      </c>
      <c r="AZ426" s="18">
        <f t="shared" si="249"/>
        <v>5</v>
      </c>
      <c r="BA426" s="18">
        <f t="shared" si="250"/>
        <v>8</v>
      </c>
      <c r="BB426" s="18">
        <f t="shared" si="251"/>
        <v>6</v>
      </c>
      <c r="BC426" s="18">
        <f t="shared" si="252"/>
        <v>4</v>
      </c>
      <c r="BD426" s="18">
        <f t="shared" si="253"/>
        <v>9</v>
      </c>
      <c r="BE426" s="8">
        <f t="shared" si="255"/>
        <v>1.0875903026654976E-2</v>
      </c>
    </row>
    <row r="427" spans="1:57" x14ac:dyDescent="0.25">
      <c r="A427" t="str">
        <f t="shared" si="254"/>
        <v/>
      </c>
      <c r="B427" s="1">
        <v>43360</v>
      </c>
      <c r="C427" s="9">
        <f t="shared" si="229"/>
        <v>0.25412413313366344</v>
      </c>
      <c r="D427" s="9">
        <f t="shared" si="230"/>
        <v>0.24934452533116083</v>
      </c>
      <c r="E427" s="9">
        <f t="shared" si="231"/>
        <v>0</v>
      </c>
      <c r="F427" s="9">
        <f t="shared" si="232"/>
        <v>0</v>
      </c>
      <c r="G427" s="9">
        <f t="shared" si="233"/>
        <v>0.24224365906277751</v>
      </c>
      <c r="H427" s="9">
        <f t="shared" si="234"/>
        <v>0</v>
      </c>
      <c r="I427" s="9">
        <f t="shared" si="235"/>
        <v>0</v>
      </c>
      <c r="J427" s="9">
        <f t="shared" si="236"/>
        <v>0.25428768247239819</v>
      </c>
      <c r="K427" s="9">
        <v>0</v>
      </c>
      <c r="L427" s="8">
        <f>+VLOOKUP($B427,NIFTY_50!$B$3:$I$1238,8,0)</f>
        <v>-1.1936397109907015E-2</v>
      </c>
      <c r="M427" s="8">
        <f>+VLOOKUP($B427,NIFTY_BANK!$B$3:$I$41238,8,0)</f>
        <v>-1.2647323556859602E-2</v>
      </c>
      <c r="N427" s="8">
        <f>+VLOOKUP($B427,NIFTY_IT!$B$3:$I$1238,8,0)</f>
        <v>2.9429149167832236E-3</v>
      </c>
      <c r="O427" s="8">
        <f>+VLOOKUP($B427,NIFTY_PHARMA!$B$3:$I$1238,8,0)</f>
        <v>-1.3958705886218281E-2</v>
      </c>
      <c r="P427" s="8">
        <f>+VLOOKUP($B427,NIFTY_FMCG!$B$3:$I$1238,8,0)</f>
        <v>-1.3807135757528788E-2</v>
      </c>
      <c r="Q427" s="8">
        <f>+VLOOKUP($B427,NIFTY_METAL!$B$3:$I$1238,8,0)</f>
        <v>-2.221504160271448E-3</v>
      </c>
      <c r="R427" s="8">
        <f>+VLOOKUP($B427,NIFTY_ENERGY!$B$3:$I$1238,8,0)</f>
        <v>-1.1578720736580173E-2</v>
      </c>
      <c r="S427" s="8">
        <f>+VLOOKUP($B427,NIFTY_AUTO!$B$3:$I$1238,8,0)</f>
        <v>-8.8577313493494181E-3</v>
      </c>
      <c r="T427" s="8">
        <v>0</v>
      </c>
      <c r="U427" s="8">
        <f>+VLOOKUP($B427,NIFTY_50!$B$63:$K$1238,10,0)</f>
        <v>6.2303638035750009E-2</v>
      </c>
      <c r="V427" s="8">
        <f>+VLOOKUP($B427,NIFTY_BANK!$B$63:$K$1238,10,0)</f>
        <v>2.1113046457839513E-2</v>
      </c>
      <c r="W427" s="8">
        <f>+VLOOKUP($B427,NIFTY_IT!$B$63:$K$1238,10,0)</f>
        <v>0.16393069760893031</v>
      </c>
      <c r="X427" s="8">
        <f>+VLOOKUP($B427,NIFTY_PHARMA!$B$63:$K$1238,10,0)</f>
        <v>0.13509906580433206</v>
      </c>
      <c r="Y427" s="8">
        <f>+VLOOKUP($B427,NIFTY_FMCG!$B$63:$K$1238,10,0)</f>
        <v>6.659837495986265E-2</v>
      </c>
      <c r="Z427" s="8">
        <f>+VLOOKUP($B427,NIFTY_METAL!$B$63:$K$1238,10,0)</f>
        <v>8.1662142043961827E-2</v>
      </c>
      <c r="AA427" s="8">
        <f>+VLOOKUP($B427,NIFTY_ENERGY!$B$63:$K$1238,10,0)</f>
        <v>0.12938831326695999</v>
      </c>
      <c r="AB427" s="8">
        <f>+VLOOKUP($B427,NIFTY_AUTO!$B$63:$K$1238,10,0)</f>
        <v>-3.1546837419395679E-2</v>
      </c>
      <c r="AC427" s="8"/>
      <c r="AD427" s="16">
        <f t="shared" si="237"/>
        <v>4.9465277147388617E-2</v>
      </c>
      <c r="AE427" s="8">
        <f t="shared" si="238"/>
        <v>5.8937206297942621E-2</v>
      </c>
      <c r="AF427" s="8">
        <f t="shared" si="239"/>
        <v>5.8792044004771483E-2</v>
      </c>
      <c r="AG427" s="8">
        <f t="shared" si="240"/>
        <v>0.10259304584454869</v>
      </c>
      <c r="AH427" s="8">
        <f t="shared" si="241"/>
        <v>8.0863405255190007E-2</v>
      </c>
      <c r="AI427" s="8">
        <f t="shared" si="242"/>
        <v>0.11624929074688985</v>
      </c>
      <c r="AJ427" s="8">
        <f t="shared" si="243"/>
        <v>9.3764743560817862E-2</v>
      </c>
      <c r="AK427" s="8">
        <f t="shared" si="244"/>
        <v>6.7512258537601066E-2</v>
      </c>
      <c r="AL427" s="9">
        <v>0</v>
      </c>
      <c r="AM427" s="17">
        <f t="shared" si="221"/>
        <v>20.216201296524876</v>
      </c>
      <c r="AN427" s="13">
        <f t="shared" si="222"/>
        <v>16.967210745360831</v>
      </c>
      <c r="AO427" s="13">
        <f t="shared" si="223"/>
        <v>17.009104155637818</v>
      </c>
      <c r="AP427" s="13">
        <f t="shared" si="224"/>
        <v>9.7472493556261384</v>
      </c>
      <c r="AQ427" s="13">
        <f t="shared" si="225"/>
        <v>12.366533376181527</v>
      </c>
      <c r="AR427" s="13">
        <f t="shared" si="226"/>
        <v>8.6022030205526576</v>
      </c>
      <c r="AS427" s="13">
        <f t="shared" si="227"/>
        <v>10.664989440848608</v>
      </c>
      <c r="AT427" s="13">
        <f t="shared" si="228"/>
        <v>14.812124814977835</v>
      </c>
      <c r="AU427" s="9">
        <v>0</v>
      </c>
      <c r="AV427" s="18">
        <f t="shared" si="245"/>
        <v>1</v>
      </c>
      <c r="AW427" s="18">
        <f t="shared" si="246"/>
        <v>3</v>
      </c>
      <c r="AX427" s="18">
        <f t="shared" si="247"/>
        <v>2</v>
      </c>
      <c r="AY427" s="18">
        <f t="shared" si="248"/>
        <v>7</v>
      </c>
      <c r="AZ427" s="18">
        <f t="shared" si="249"/>
        <v>5</v>
      </c>
      <c r="BA427" s="18">
        <f t="shared" si="250"/>
        <v>8</v>
      </c>
      <c r="BB427" s="18">
        <f t="shared" si="251"/>
        <v>6</v>
      </c>
      <c r="BC427" s="18">
        <f t="shared" si="252"/>
        <v>4</v>
      </c>
      <c r="BD427" s="18">
        <f t="shared" si="253"/>
        <v>9</v>
      </c>
      <c r="BE427" s="8">
        <f t="shared" si="255"/>
        <v>-1.1787367048444897E-2</v>
      </c>
    </row>
    <row r="428" spans="1:57" x14ac:dyDescent="0.25">
      <c r="A428" t="str">
        <f t="shared" si="254"/>
        <v/>
      </c>
      <c r="B428" s="1">
        <v>43361</v>
      </c>
      <c r="C428" s="9">
        <f t="shared" si="229"/>
        <v>0.25369211699033384</v>
      </c>
      <c r="D428" s="9">
        <f t="shared" si="230"/>
        <v>0.24755527009987169</v>
      </c>
      <c r="E428" s="9">
        <f t="shared" si="231"/>
        <v>0</v>
      </c>
      <c r="F428" s="9">
        <f t="shared" si="232"/>
        <v>0</v>
      </c>
      <c r="G428" s="9">
        <f t="shared" si="233"/>
        <v>0.24661354309806546</v>
      </c>
      <c r="H428" s="9">
        <f t="shared" si="234"/>
        <v>0</v>
      </c>
      <c r="I428" s="9">
        <f t="shared" si="235"/>
        <v>0</v>
      </c>
      <c r="J428" s="9">
        <f t="shared" si="236"/>
        <v>0.25213906981172907</v>
      </c>
      <c r="K428" s="9">
        <v>0</v>
      </c>
      <c r="L428" s="8">
        <f>+VLOOKUP($B428,NIFTY_50!$B$3:$I$1238,8,0)</f>
        <v>-8.6880094922107132E-3</v>
      </c>
      <c r="M428" s="8">
        <f>+VLOOKUP($B428,NIFTY_BANK!$B$3:$I$41238,8,0)</f>
        <v>-1.4125494494841573E-2</v>
      </c>
      <c r="N428" s="8">
        <f>+VLOOKUP($B428,NIFTY_IT!$B$3:$I$1238,8,0)</f>
        <v>-5.5087532103375025E-3</v>
      </c>
      <c r="O428" s="8">
        <f>+VLOOKUP($B428,NIFTY_PHARMA!$B$3:$I$1238,8,0)</f>
        <v>-3.6890181499692476E-3</v>
      </c>
      <c r="P428" s="8">
        <f>+VLOOKUP($B428,NIFTY_FMCG!$B$3:$I$1238,8,0)</f>
        <v>1.0913047390767261E-2</v>
      </c>
      <c r="Q428" s="8">
        <f>+VLOOKUP($B428,NIFTY_METAL!$B$3:$I$1238,8,0)</f>
        <v>-1.5477202499021736E-2</v>
      </c>
      <c r="R428" s="8">
        <f>+VLOOKUP($B428,NIFTY_ENERGY!$B$3:$I$1238,8,0)</f>
        <v>-9.5361344860832586E-3</v>
      </c>
      <c r="S428" s="8">
        <f>+VLOOKUP($B428,NIFTY_AUTO!$B$3:$I$1238,8,0)</f>
        <v>-1.5390278450814421E-2</v>
      </c>
      <c r="T428" s="8">
        <v>0</v>
      </c>
      <c r="U428" s="8">
        <f>+VLOOKUP($B428,NIFTY_50!$B$63:$K$1238,10,0)</f>
        <v>4.7052325230573677E-2</v>
      </c>
      <c r="V428" s="8">
        <f>+VLOOKUP($B428,NIFTY_BANK!$B$63:$K$1238,10,0)</f>
        <v>-4.3772615851522811E-3</v>
      </c>
      <c r="W428" s="8">
        <f>+VLOOKUP($B428,NIFTY_IT!$B$63:$K$1238,10,0)</f>
        <v>0.16074984251569413</v>
      </c>
      <c r="X428" s="8">
        <f>+VLOOKUP($B428,NIFTY_PHARMA!$B$63:$K$1238,10,0)</f>
        <v>0.12635946337184567</v>
      </c>
      <c r="Y428" s="8">
        <f>+VLOOKUP($B428,NIFTY_FMCG!$B$63:$K$1238,10,0)</f>
        <v>8.3228726910616002E-2</v>
      </c>
      <c r="Z428" s="8">
        <f>+VLOOKUP($B428,NIFTY_METAL!$B$63:$K$1238,10,0)</f>
        <v>5.4470827973927882E-2</v>
      </c>
      <c r="AA428" s="8">
        <f>+VLOOKUP($B428,NIFTY_ENERGY!$B$63:$K$1238,10,0)</f>
        <v>0.10647342995169096</v>
      </c>
      <c r="AB428" s="8">
        <f>+VLOOKUP($B428,NIFTY_AUTO!$B$63:$K$1238,10,0)</f>
        <v>-5.1331780001526495E-2</v>
      </c>
      <c r="AC428" s="8"/>
      <c r="AD428" s="16">
        <f t="shared" si="237"/>
        <v>5.0149833991562878E-2</v>
      </c>
      <c r="AE428" s="8">
        <f t="shared" si="238"/>
        <v>5.9647807542670343E-2</v>
      </c>
      <c r="AF428" s="8">
        <f t="shared" si="239"/>
        <v>5.909920212488156E-2</v>
      </c>
      <c r="AG428" s="8">
        <f t="shared" si="240"/>
        <v>0.10273808742732997</v>
      </c>
      <c r="AH428" s="8">
        <f t="shared" si="241"/>
        <v>8.1230061056576416E-2</v>
      </c>
      <c r="AI428" s="8">
        <f t="shared" si="242"/>
        <v>0.11711396529633594</v>
      </c>
      <c r="AJ428" s="8">
        <f t="shared" si="243"/>
        <v>9.4022639471901662E-2</v>
      </c>
      <c r="AK428" s="8">
        <f t="shared" si="244"/>
        <v>6.885745933362096E-2</v>
      </c>
      <c r="AL428" s="9">
        <v>0</v>
      </c>
      <c r="AM428" s="17">
        <f t="shared" si="221"/>
        <v>19.940245468573998</v>
      </c>
      <c r="AN428" s="13">
        <f t="shared" si="222"/>
        <v>16.765075552603143</v>
      </c>
      <c r="AO428" s="13">
        <f t="shared" si="223"/>
        <v>16.920702209937055</v>
      </c>
      <c r="AP428" s="13">
        <f t="shared" si="224"/>
        <v>9.7334885731383007</v>
      </c>
      <c r="AQ428" s="13">
        <f t="shared" si="225"/>
        <v>12.310713386064107</v>
      </c>
      <c r="AR428" s="13">
        <f t="shared" si="226"/>
        <v>8.5386913291653883</v>
      </c>
      <c r="AS428" s="13">
        <f t="shared" si="227"/>
        <v>10.635736303689352</v>
      </c>
      <c r="AT428" s="13">
        <f t="shared" si="228"/>
        <v>14.522754828273646</v>
      </c>
      <c r="AU428" s="9">
        <v>0</v>
      </c>
      <c r="AV428" s="18">
        <f t="shared" si="245"/>
        <v>1</v>
      </c>
      <c r="AW428" s="18">
        <f t="shared" si="246"/>
        <v>3</v>
      </c>
      <c r="AX428" s="18">
        <f t="shared" si="247"/>
        <v>2</v>
      </c>
      <c r="AY428" s="18">
        <f t="shared" si="248"/>
        <v>7</v>
      </c>
      <c r="AZ428" s="18">
        <f t="shared" si="249"/>
        <v>5</v>
      </c>
      <c r="BA428" s="18">
        <f t="shared" si="250"/>
        <v>8</v>
      </c>
      <c r="BB428" s="18">
        <f t="shared" si="251"/>
        <v>6</v>
      </c>
      <c r="BC428" s="18">
        <f t="shared" si="252"/>
        <v>4</v>
      </c>
      <c r="BD428" s="18">
        <f t="shared" si="253"/>
        <v>9</v>
      </c>
      <c r="BE428" s="8">
        <f t="shared" si="255"/>
        <v>-6.9998893091468162E-3</v>
      </c>
    </row>
    <row r="429" spans="1:57" x14ac:dyDescent="0.25">
      <c r="A429" t="str">
        <f t="shared" si="254"/>
        <v/>
      </c>
      <c r="B429" s="1">
        <v>43362</v>
      </c>
      <c r="C429" s="9">
        <f t="shared" si="229"/>
        <v>0.25438854459129162</v>
      </c>
      <c r="D429" s="9">
        <f t="shared" si="230"/>
        <v>0.24767253476277906</v>
      </c>
      <c r="E429" s="9">
        <f t="shared" si="231"/>
        <v>0</v>
      </c>
      <c r="F429" s="9">
        <f t="shared" si="232"/>
        <v>0</v>
      </c>
      <c r="G429" s="9">
        <f t="shared" si="233"/>
        <v>0.24501200285274516</v>
      </c>
      <c r="H429" s="9">
        <f t="shared" si="234"/>
        <v>0</v>
      </c>
      <c r="I429" s="9">
        <f t="shared" si="235"/>
        <v>0</v>
      </c>
      <c r="J429" s="9">
        <f t="shared" si="236"/>
        <v>0.25292691779318416</v>
      </c>
      <c r="K429" s="9">
        <v>0</v>
      </c>
      <c r="L429" s="8">
        <f>+VLOOKUP($B429,NIFTY_50!$B$3:$I$1238,8,0)</f>
        <v>-3.9498532658326369E-3</v>
      </c>
      <c r="M429" s="8">
        <f>+VLOOKUP($B429,NIFTY_BANK!$B$3:$I$41238,8,0)</f>
        <v>-6.2061649417866072E-3</v>
      </c>
      <c r="N429" s="8">
        <f>+VLOOKUP($B429,NIFTY_IT!$B$3:$I$1238,8,0)</f>
        <v>2.0553926766888608E-3</v>
      </c>
      <c r="O429" s="8">
        <f>+VLOOKUP($B429,NIFTY_PHARMA!$B$3:$I$1238,8,0)</f>
        <v>-8.0742255432175725E-4</v>
      </c>
      <c r="P429" s="8">
        <f>+VLOOKUP($B429,NIFTY_FMCG!$B$3:$I$1238,8,0)</f>
        <v>-1.3127463118966065E-2</v>
      </c>
      <c r="Q429" s="8">
        <f>+VLOOKUP($B429,NIFTY_METAL!$B$3:$I$1238,8,0)</f>
        <v>1.1978838299388839E-2</v>
      </c>
      <c r="R429" s="8">
        <f>+VLOOKUP($B429,NIFTY_ENERGY!$B$3:$I$1238,8,0)</f>
        <v>-1.1319387847508189E-4</v>
      </c>
      <c r="S429" s="8">
        <f>+VLOOKUP($B429,NIFTY_AUTO!$B$3:$I$1238,8,0)</f>
        <v>-3.5728989697746405E-3</v>
      </c>
      <c r="T429" s="8">
        <v>0</v>
      </c>
      <c r="U429" s="8">
        <f>+VLOOKUP($B429,NIFTY_50!$B$63:$K$1238,10,0)</f>
        <v>4.5921739859046129E-2</v>
      </c>
      <c r="V429" s="8">
        <f>+VLOOKUP($B429,NIFTY_BANK!$B$63:$K$1238,10,0)</f>
        <v>-8.2877463255205397E-3</v>
      </c>
      <c r="W429" s="8">
        <f>+VLOOKUP($B429,NIFTY_IT!$B$63:$K$1238,10,0)</f>
        <v>0.16644640821394607</v>
      </c>
      <c r="X429" s="8">
        <f>+VLOOKUP($B429,NIFTY_PHARMA!$B$63:$K$1238,10,0)</f>
        <v>0.13677327477497081</v>
      </c>
      <c r="Y429" s="8">
        <f>+VLOOKUP($B429,NIFTY_FMCG!$B$63:$K$1238,10,0)</f>
        <v>7.6144084996734973E-2</v>
      </c>
      <c r="Z429" s="8">
        <f>+VLOOKUP($B429,NIFTY_METAL!$B$63:$K$1238,10,0)</f>
        <v>7.8700930619877596E-2</v>
      </c>
      <c r="AA429" s="8">
        <f>+VLOOKUP($B429,NIFTY_ENERGY!$B$63:$K$1238,10,0)</f>
        <v>9.9119052359148085E-2</v>
      </c>
      <c r="AB429" s="8">
        <f>+VLOOKUP($B429,NIFTY_AUTO!$B$63:$K$1238,10,0)</f>
        <v>-4.5798136533372058E-2</v>
      </c>
      <c r="AC429" s="8"/>
      <c r="AD429" s="16">
        <f t="shared" si="237"/>
        <v>5.0239438287899417E-2</v>
      </c>
      <c r="AE429" s="8">
        <f t="shared" si="238"/>
        <v>5.9921265200170597E-2</v>
      </c>
      <c r="AF429" s="8">
        <f t="shared" si="239"/>
        <v>5.8858013212255388E-2</v>
      </c>
      <c r="AG429" s="8">
        <f t="shared" si="240"/>
        <v>0.10206784050008652</v>
      </c>
      <c r="AH429" s="8">
        <f t="shared" si="241"/>
        <v>8.212028061421596E-2</v>
      </c>
      <c r="AI429" s="8">
        <f t="shared" si="242"/>
        <v>0.11700605260248211</v>
      </c>
      <c r="AJ429" s="8">
        <f t="shared" si="243"/>
        <v>9.3911964372101087E-2</v>
      </c>
      <c r="AK429" s="8">
        <f t="shared" si="244"/>
        <v>6.8378716025483885E-2</v>
      </c>
      <c r="AL429" s="9">
        <v>0</v>
      </c>
      <c r="AM429" s="17">
        <f t="shared" si="221"/>
        <v>19.904681144511486</v>
      </c>
      <c r="AN429" s="13">
        <f t="shared" si="222"/>
        <v>16.688566181962944</v>
      </c>
      <c r="AO429" s="13">
        <f t="shared" si="223"/>
        <v>16.990040020443306</v>
      </c>
      <c r="AP429" s="13">
        <f t="shared" si="224"/>
        <v>9.7974052855478249</v>
      </c>
      <c r="AQ429" s="13">
        <f t="shared" si="225"/>
        <v>12.17725989877936</v>
      </c>
      <c r="AR429" s="13">
        <f t="shared" si="226"/>
        <v>8.5465664190673376</v>
      </c>
      <c r="AS429" s="13">
        <f t="shared" si="227"/>
        <v>10.648270501911417</v>
      </c>
      <c r="AT429" s="13">
        <f t="shared" si="228"/>
        <v>14.62443371453937</v>
      </c>
      <c r="AU429" s="9">
        <v>0</v>
      </c>
      <c r="AV429" s="18">
        <f t="shared" si="245"/>
        <v>1</v>
      </c>
      <c r="AW429" s="18">
        <f t="shared" si="246"/>
        <v>3</v>
      </c>
      <c r="AX429" s="18">
        <f t="shared" si="247"/>
        <v>2</v>
      </c>
      <c r="AY429" s="18">
        <f t="shared" si="248"/>
        <v>7</v>
      </c>
      <c r="AZ429" s="18">
        <f t="shared" si="249"/>
        <v>5</v>
      </c>
      <c r="BA429" s="18">
        <f t="shared" si="250"/>
        <v>8</v>
      </c>
      <c r="BB429" s="18">
        <f t="shared" si="251"/>
        <v>6</v>
      </c>
      <c r="BC429" s="18">
        <f t="shared" si="252"/>
        <v>4</v>
      </c>
      <c r="BD429" s="18">
        <f t="shared" si="253"/>
        <v>9</v>
      </c>
      <c r="BE429" s="8">
        <f t="shared" si="255"/>
        <v>-6.6766930896862697E-3</v>
      </c>
    </row>
    <row r="430" spans="1:57" x14ac:dyDescent="0.25">
      <c r="A430" t="str">
        <f t="shared" si="254"/>
        <v/>
      </c>
      <c r="B430" s="1">
        <v>43364</v>
      </c>
      <c r="C430" s="9">
        <f t="shared" si="229"/>
        <v>0.25539314305524852</v>
      </c>
      <c r="D430" s="9">
        <f t="shared" si="230"/>
        <v>0.24419527659409407</v>
      </c>
      <c r="E430" s="9">
        <f t="shared" si="231"/>
        <v>0</v>
      </c>
      <c r="F430" s="9">
        <f t="shared" si="232"/>
        <v>0</v>
      </c>
      <c r="G430" s="9">
        <f t="shared" si="233"/>
        <v>0.24733663517059018</v>
      </c>
      <c r="H430" s="9">
        <f t="shared" si="234"/>
        <v>0</v>
      </c>
      <c r="I430" s="9">
        <f t="shared" si="235"/>
        <v>0</v>
      </c>
      <c r="J430" s="9">
        <f t="shared" si="236"/>
        <v>0.25307494518006723</v>
      </c>
      <c r="K430" s="9">
        <v>0</v>
      </c>
      <c r="L430" s="8">
        <f>+VLOOKUP($B430,NIFTY_50!$B$3:$I$1238,8,0)</f>
        <v>-8.1224102863094449E-3</v>
      </c>
      <c r="M430" s="8">
        <f>+VLOOKUP($B430,NIFTY_BANK!$B$3:$I$41238,8,0)</f>
        <v>-2.5894924716533319E-2</v>
      </c>
      <c r="N430" s="8">
        <f>+VLOOKUP($B430,NIFTY_IT!$B$3:$I$1238,8,0)</f>
        <v>-1.4345786683848005E-2</v>
      </c>
      <c r="O430" s="8">
        <f>+VLOOKUP($B430,NIFTY_PHARMA!$B$3:$I$1238,8,0)</f>
        <v>-1.9565934617646663E-2</v>
      </c>
      <c r="P430" s="8">
        <f>+VLOOKUP($B430,NIFTY_FMCG!$B$3:$I$1238,8,0)</f>
        <v>-2.650249116856962E-3</v>
      </c>
      <c r="Q430" s="8">
        <f>+VLOOKUP($B430,NIFTY_METAL!$B$3:$I$1238,8,0)</f>
        <v>-5.0246492226014849E-3</v>
      </c>
      <c r="R430" s="8">
        <f>+VLOOKUP($B430,NIFTY_ENERGY!$B$3:$I$1238,8,0)</f>
        <v>7.5589726007456726E-3</v>
      </c>
      <c r="S430" s="8">
        <f>+VLOOKUP($B430,NIFTY_AUTO!$B$3:$I$1238,8,0)</f>
        <v>-1.144577741049968E-2</v>
      </c>
      <c r="T430" s="8">
        <v>0</v>
      </c>
      <c r="U430" s="8">
        <f>+VLOOKUP($B430,NIFTY_50!$B$63:$K$1238,10,0)</f>
        <v>2.9685312585186363E-2</v>
      </c>
      <c r="V430" s="8">
        <f>+VLOOKUP($B430,NIFTY_BANK!$B$63:$K$1238,10,0)</f>
        <v>-4.3708916065954617E-2</v>
      </c>
      <c r="W430" s="8">
        <f>+VLOOKUP($B430,NIFTY_IT!$B$63:$K$1238,10,0)</f>
        <v>0.14926218144602266</v>
      </c>
      <c r="X430" s="8">
        <f>+VLOOKUP($B430,NIFTY_PHARMA!$B$63:$K$1238,10,0)</f>
        <v>9.5231227766561011E-2</v>
      </c>
      <c r="Y430" s="8">
        <f>+VLOOKUP($B430,NIFTY_FMCG!$B$63:$K$1238,10,0)</f>
        <v>6.2036446827274938E-2</v>
      </c>
      <c r="Z430" s="8">
        <f>+VLOOKUP($B430,NIFTY_METAL!$B$63:$K$1238,10,0)</f>
        <v>7.0434643237021088E-2</v>
      </c>
      <c r="AA430" s="8">
        <f>+VLOOKUP($B430,NIFTY_ENERGY!$B$63:$K$1238,10,0)</f>
        <v>0.11663703363826672</v>
      </c>
      <c r="AB430" s="8">
        <f>+VLOOKUP($B430,NIFTY_AUTO!$B$63:$K$1238,10,0)</f>
        <v>-6.142399783559549E-2</v>
      </c>
      <c r="AC430" s="8"/>
      <c r="AD430" s="16">
        <f t="shared" si="237"/>
        <v>5.0528468421802711E-2</v>
      </c>
      <c r="AE430" s="8">
        <f t="shared" si="238"/>
        <v>6.4251738229795269E-2</v>
      </c>
      <c r="AF430" s="8">
        <f t="shared" si="239"/>
        <v>6.1169238767844906E-2</v>
      </c>
      <c r="AG430" s="8">
        <f t="shared" si="240"/>
        <v>0.10310329552169945</v>
      </c>
      <c r="AH430" s="8">
        <f t="shared" si="241"/>
        <v>8.1663494102549833E-2</v>
      </c>
      <c r="AI430" s="8">
        <f t="shared" si="242"/>
        <v>0.11716847378433805</v>
      </c>
      <c r="AJ430" s="8">
        <f t="shared" si="243"/>
        <v>9.3558395710257647E-2</v>
      </c>
      <c r="AK430" s="8">
        <f t="shared" si="244"/>
        <v>6.8942501323648944E-2</v>
      </c>
      <c r="AL430" s="9">
        <v>0</v>
      </c>
      <c r="AM430" s="17">
        <f t="shared" si="221"/>
        <v>19.790823494830221</v>
      </c>
      <c r="AN430" s="13">
        <f t="shared" si="222"/>
        <v>15.563781269597978</v>
      </c>
      <c r="AO430" s="13">
        <f t="shared" si="223"/>
        <v>16.3480863934778</v>
      </c>
      <c r="AP430" s="13">
        <f t="shared" si="224"/>
        <v>9.6990110252056567</v>
      </c>
      <c r="AQ430" s="13">
        <f t="shared" si="225"/>
        <v>12.245373664078578</v>
      </c>
      <c r="AR430" s="13">
        <f t="shared" si="226"/>
        <v>8.534719005050917</v>
      </c>
      <c r="AS430" s="13">
        <f t="shared" si="227"/>
        <v>10.688511623231703</v>
      </c>
      <c r="AT430" s="13">
        <f t="shared" si="228"/>
        <v>14.504840712197598</v>
      </c>
      <c r="AU430" s="9">
        <v>0</v>
      </c>
      <c r="AV430" s="18">
        <f t="shared" si="245"/>
        <v>1</v>
      </c>
      <c r="AW430" s="18">
        <f t="shared" si="246"/>
        <v>3</v>
      </c>
      <c r="AX430" s="18">
        <f t="shared" si="247"/>
        <v>2</v>
      </c>
      <c r="AY430" s="18">
        <f t="shared" si="248"/>
        <v>7</v>
      </c>
      <c r="AZ430" s="18">
        <f t="shared" si="249"/>
        <v>5</v>
      </c>
      <c r="BA430" s="18">
        <f t="shared" si="250"/>
        <v>8</v>
      </c>
      <c r="BB430" s="18">
        <f t="shared" si="251"/>
        <v>6</v>
      </c>
      <c r="BC430" s="18">
        <f t="shared" si="252"/>
        <v>4</v>
      </c>
      <c r="BD430" s="18">
        <f t="shared" si="253"/>
        <v>9</v>
      </c>
      <c r="BE430" s="8">
        <f t="shared" si="255"/>
        <v>-1.202399781970712E-2</v>
      </c>
    </row>
    <row r="431" spans="1:57" x14ac:dyDescent="0.25">
      <c r="A431" t="str">
        <f t="shared" si="254"/>
        <v/>
      </c>
      <c r="B431" s="1">
        <v>43367</v>
      </c>
      <c r="C431" s="9">
        <f t="shared" si="229"/>
        <v>0.25787403937182668</v>
      </c>
      <c r="D431" s="9">
        <f t="shared" si="230"/>
        <v>0.24438539738423121</v>
      </c>
      <c r="E431" s="9">
        <f t="shared" si="231"/>
        <v>0</v>
      </c>
      <c r="F431" s="9">
        <f t="shared" si="232"/>
        <v>0</v>
      </c>
      <c r="G431" s="9">
        <f t="shared" si="233"/>
        <v>0.24825175580523454</v>
      </c>
      <c r="H431" s="9">
        <f t="shared" si="234"/>
        <v>0</v>
      </c>
      <c r="I431" s="9">
        <f t="shared" si="235"/>
        <v>0</v>
      </c>
      <c r="J431" s="9">
        <f t="shared" si="236"/>
        <v>0.24948880743870752</v>
      </c>
      <c r="K431" s="9">
        <v>0</v>
      </c>
      <c r="L431" s="8">
        <f>+VLOOKUP($B431,NIFTY_50!$B$3:$I$1238,8,0)</f>
        <v>-1.5767605065017842E-2</v>
      </c>
      <c r="M431" s="8">
        <f>+VLOOKUP($B431,NIFTY_BANK!$B$3:$I$41238,8,0)</f>
        <v>-2.4477573456160862E-2</v>
      </c>
      <c r="N431" s="8">
        <f>+VLOOKUP($B431,NIFTY_IT!$B$3:$I$1238,8,0)</f>
        <v>2.1587141187987546E-2</v>
      </c>
      <c r="O431" s="8">
        <f>+VLOOKUP($B431,NIFTY_PHARMA!$B$3:$I$1238,8,0)</f>
        <v>-2.5125946734163462E-2</v>
      </c>
      <c r="P431" s="8">
        <f>+VLOOKUP($B431,NIFTY_FMCG!$B$3:$I$1238,8,0)</f>
        <v>-2.1629958989571429E-2</v>
      </c>
      <c r="Q431" s="8">
        <f>+VLOOKUP($B431,NIFTY_METAL!$B$3:$I$1238,8,0)</f>
        <v>-1.1311508881780452E-2</v>
      </c>
      <c r="R431" s="8">
        <f>+VLOOKUP($B431,NIFTY_ENERGY!$B$3:$I$1238,8,0)</f>
        <v>8.5070592540748002E-4</v>
      </c>
      <c r="S431" s="8">
        <f>+VLOOKUP($B431,NIFTY_AUTO!$B$3:$I$1238,8,0)</f>
        <v>-3.9049138113265491E-2</v>
      </c>
      <c r="T431" s="8">
        <v>0</v>
      </c>
      <c r="U431" s="8">
        <f>+VLOOKUP($B431,NIFTY_50!$B$63:$K$1238,10,0)</f>
        <v>1.9043061756384372E-2</v>
      </c>
      <c r="V431" s="8">
        <f>+VLOOKUP($B431,NIFTY_BANK!$B$63:$K$1238,10,0)</f>
        <v>-6.1607233452462884E-2</v>
      </c>
      <c r="W431" s="8">
        <f>+VLOOKUP($B431,NIFTY_IT!$B$63:$K$1238,10,0)</f>
        <v>0.16661137235669154</v>
      </c>
      <c r="X431" s="8">
        <f>+VLOOKUP($B431,NIFTY_PHARMA!$B$63:$K$1238,10,0)</f>
        <v>7.6231855967610063E-2</v>
      </c>
      <c r="Y431" s="8">
        <f>+VLOOKUP($B431,NIFTY_FMCG!$B$63:$K$1238,10,0)</f>
        <v>4.3990924930647379E-2</v>
      </c>
      <c r="Z431" s="8">
        <f>+VLOOKUP($B431,NIFTY_METAL!$B$63:$K$1238,10,0)</f>
        <v>6.8948770401330517E-2</v>
      </c>
      <c r="AA431" s="8">
        <f>+VLOOKUP($B431,NIFTY_ENERGY!$B$63:$K$1238,10,0)</f>
        <v>0.13148267777689049</v>
      </c>
      <c r="AB431" s="8">
        <f>+VLOOKUP($B431,NIFTY_AUTO!$B$63:$K$1238,10,0)</f>
        <v>-8.3355865248454508E-2</v>
      </c>
      <c r="AC431" s="8"/>
      <c r="AD431" s="16">
        <f t="shared" si="237"/>
        <v>5.2727362903209063E-2</v>
      </c>
      <c r="AE431" s="8">
        <f t="shared" si="238"/>
        <v>6.8273710345665317E-2</v>
      </c>
      <c r="AF431" s="8">
        <f t="shared" si="239"/>
        <v>6.39742118341039E-2</v>
      </c>
      <c r="AG431" s="8">
        <f t="shared" si="240"/>
        <v>0.10605872598964013</v>
      </c>
      <c r="AH431" s="8">
        <f t="shared" si="241"/>
        <v>8.4528478586747099E-2</v>
      </c>
      <c r="AI431" s="8">
        <f t="shared" si="242"/>
        <v>0.11730729416027554</v>
      </c>
      <c r="AJ431" s="8">
        <f t="shared" si="243"/>
        <v>9.247066577724275E-2</v>
      </c>
      <c r="AK431" s="8">
        <f t="shared" si="244"/>
        <v>7.7236235241279302E-2</v>
      </c>
      <c r="AL431" s="9">
        <v>0</v>
      </c>
      <c r="AM431" s="17">
        <f t="shared" si="221"/>
        <v>18.965484805976111</v>
      </c>
      <c r="AN431" s="13">
        <f t="shared" si="222"/>
        <v>14.646926246384817</v>
      </c>
      <c r="AO431" s="13">
        <f t="shared" si="223"/>
        <v>15.631298476848318</v>
      </c>
      <c r="AP431" s="13">
        <f t="shared" si="224"/>
        <v>9.428738566006162</v>
      </c>
      <c r="AQ431" s="13">
        <f t="shared" si="225"/>
        <v>11.830332412451419</v>
      </c>
      <c r="AR431" s="13">
        <f t="shared" si="226"/>
        <v>8.5246190968629119</v>
      </c>
      <c r="AS431" s="13">
        <f t="shared" si="227"/>
        <v>10.81424029550031</v>
      </c>
      <c r="AT431" s="13">
        <f t="shared" si="228"/>
        <v>12.947290826334125</v>
      </c>
      <c r="AU431" s="9">
        <v>0</v>
      </c>
      <c r="AV431" s="18">
        <f t="shared" si="245"/>
        <v>1</v>
      </c>
      <c r="AW431" s="18">
        <f t="shared" si="246"/>
        <v>3</v>
      </c>
      <c r="AX431" s="18">
        <f t="shared" si="247"/>
        <v>2</v>
      </c>
      <c r="AY431" s="18">
        <f t="shared" si="248"/>
        <v>7</v>
      </c>
      <c r="AZ431" s="18">
        <f t="shared" si="249"/>
        <v>5</v>
      </c>
      <c r="BA431" s="18">
        <f t="shared" si="250"/>
        <v>8</v>
      </c>
      <c r="BB431" s="18">
        <f t="shared" si="251"/>
        <v>6</v>
      </c>
      <c r="BC431" s="18">
        <f t="shared" si="252"/>
        <v>4</v>
      </c>
      <c r="BD431" s="18">
        <f t="shared" si="253"/>
        <v>9</v>
      </c>
      <c r="BE431" s="8">
        <f t="shared" si="255"/>
        <v>-2.5236485799190213E-2</v>
      </c>
    </row>
    <row r="432" spans="1:57" x14ac:dyDescent="0.25">
      <c r="A432" t="str">
        <f t="shared" si="254"/>
        <v/>
      </c>
      <c r="B432" s="1">
        <v>43368</v>
      </c>
      <c r="C432" s="9">
        <f t="shared" si="229"/>
        <v>0.25727115227976893</v>
      </c>
      <c r="D432" s="9">
        <f t="shared" si="230"/>
        <v>0.24509327569158226</v>
      </c>
      <c r="E432" s="9">
        <f t="shared" si="231"/>
        <v>0</v>
      </c>
      <c r="F432" s="9">
        <f t="shared" si="232"/>
        <v>0</v>
      </c>
      <c r="G432" s="9">
        <f t="shared" si="233"/>
        <v>0.24852741654068236</v>
      </c>
      <c r="H432" s="9">
        <f t="shared" si="234"/>
        <v>0</v>
      </c>
      <c r="I432" s="9">
        <f t="shared" si="235"/>
        <v>0</v>
      </c>
      <c r="J432" s="9">
        <f t="shared" si="236"/>
        <v>0.24910815548796639</v>
      </c>
      <c r="K432" s="9">
        <v>0</v>
      </c>
      <c r="L432" s="8">
        <f>+VLOOKUP($B432,NIFTY_50!$B$3:$I$1238,8,0)</f>
        <v>9.1224902894031512E-3</v>
      </c>
      <c r="M432" s="8">
        <f>+VLOOKUP($B432,NIFTY_BANK!$B$3:$I$41238,8,0)</f>
        <v>1.4417098679033291E-2</v>
      </c>
      <c r="N432" s="8">
        <f>+VLOOKUP($B432,NIFTY_IT!$B$3:$I$1238,8,0)</f>
        <v>3.6846302696085242E-3</v>
      </c>
      <c r="O432" s="8">
        <f>+VLOOKUP($B432,NIFTY_PHARMA!$B$3:$I$1238,8,0)</f>
        <v>2.5053152905275322E-2</v>
      </c>
      <c r="P432" s="8">
        <f>+VLOOKUP($B432,NIFTY_FMCG!$B$3:$I$1238,8,0)</f>
        <v>1.2610423137428883E-2</v>
      </c>
      <c r="Q432" s="8">
        <f>+VLOOKUP($B432,NIFTY_METAL!$B$3:$I$1238,8,0)</f>
        <v>2.753531404042775E-5</v>
      </c>
      <c r="R432" s="8">
        <f>+VLOOKUP($B432,NIFTY_ENERGY!$B$3:$I$1238,8,0)</f>
        <v>-3.0759756359635126E-3</v>
      </c>
      <c r="S432" s="8">
        <f>+VLOOKUP($B432,NIFTY_AUTO!$B$3:$I$1238,8,0)</f>
        <v>9.9440055994401977E-3</v>
      </c>
      <c r="T432" s="8">
        <v>0</v>
      </c>
      <c r="U432" s="8">
        <f>+VLOOKUP($B432,NIFTY_50!$B$63:$K$1238,10,0)</f>
        <v>2.7699493460486835E-2</v>
      </c>
      <c r="V432" s="8">
        <f>+VLOOKUP($B432,NIFTY_BANK!$B$63:$K$1238,10,0)</f>
        <v>-4.7792058402282622E-2</v>
      </c>
      <c r="W432" s="8">
        <f>+VLOOKUP($B432,NIFTY_IT!$B$63:$K$1238,10,0)</f>
        <v>0.16433463621042055</v>
      </c>
      <c r="X432" s="8">
        <f>+VLOOKUP($B432,NIFTY_PHARMA!$B$63:$K$1238,10,0)</f>
        <v>0.10785326160417386</v>
      </c>
      <c r="Y432" s="8">
        <f>+VLOOKUP($B432,NIFTY_FMCG!$B$63:$K$1238,10,0)</f>
        <v>4.6269556111648402E-2</v>
      </c>
      <c r="Z432" s="8">
        <f>+VLOOKUP($B432,NIFTY_METAL!$B$63:$K$1238,10,0)</f>
        <v>7.3100106370405316E-2</v>
      </c>
      <c r="AA432" s="8">
        <f>+VLOOKUP($B432,NIFTY_ENERGY!$B$63:$K$1238,10,0)</f>
        <v>0.1442856038377005</v>
      </c>
      <c r="AB432" s="8">
        <f>+VLOOKUP($B432,NIFTY_AUTO!$B$63:$K$1238,10,0)</f>
        <v>-6.92630919361229E-2</v>
      </c>
      <c r="AC432" s="8"/>
      <c r="AD432" s="16">
        <f t="shared" si="237"/>
        <v>5.344321154992978E-2</v>
      </c>
      <c r="AE432" s="8">
        <f t="shared" si="238"/>
        <v>6.9964633277862912E-2</v>
      </c>
      <c r="AF432" s="8">
        <f t="shared" si="239"/>
        <v>6.3909167509174705E-2</v>
      </c>
      <c r="AG432" s="8">
        <f t="shared" si="240"/>
        <v>0.10848262763332568</v>
      </c>
      <c r="AH432" s="8">
        <f t="shared" si="241"/>
        <v>8.4807832113465972E-2</v>
      </c>
      <c r="AI432" s="8">
        <f t="shared" si="242"/>
        <v>0.11720352321472105</v>
      </c>
      <c r="AJ432" s="8">
        <f t="shared" si="243"/>
        <v>9.1153529731829164E-2</v>
      </c>
      <c r="AK432" s="8">
        <f t="shared" si="244"/>
        <v>7.7935777687452162E-2</v>
      </c>
      <c r="AL432" s="9">
        <v>0</v>
      </c>
      <c r="AM432" s="17">
        <f t="shared" si="221"/>
        <v>18.711450360084395</v>
      </c>
      <c r="AN432" s="13">
        <f t="shared" si="222"/>
        <v>14.292935632614885</v>
      </c>
      <c r="AO432" s="13">
        <f t="shared" si="223"/>
        <v>15.647207419130307</v>
      </c>
      <c r="AP432" s="13">
        <f t="shared" si="224"/>
        <v>9.2180658029415365</v>
      </c>
      <c r="AQ432" s="13">
        <f t="shared" si="225"/>
        <v>11.79136378185073</v>
      </c>
      <c r="AR432" s="13">
        <f t="shared" si="226"/>
        <v>8.532166717957482</v>
      </c>
      <c r="AS432" s="13">
        <f t="shared" si="227"/>
        <v>10.970502216885826</v>
      </c>
      <c r="AT432" s="13">
        <f t="shared" si="228"/>
        <v>12.831077454700273</v>
      </c>
      <c r="AU432" s="9">
        <v>0</v>
      </c>
      <c r="AV432" s="18">
        <f t="shared" si="245"/>
        <v>1</v>
      </c>
      <c r="AW432" s="18">
        <f t="shared" si="246"/>
        <v>3</v>
      </c>
      <c r="AX432" s="18">
        <f t="shared" si="247"/>
        <v>2</v>
      </c>
      <c r="AY432" s="18">
        <f t="shared" si="248"/>
        <v>7</v>
      </c>
      <c r="AZ432" s="18">
        <f t="shared" si="249"/>
        <v>5</v>
      </c>
      <c r="BA432" s="18">
        <f t="shared" si="250"/>
        <v>8</v>
      </c>
      <c r="BB432" s="18">
        <f t="shared" si="251"/>
        <v>6</v>
      </c>
      <c r="BC432" s="18">
        <f t="shared" si="252"/>
        <v>4</v>
      </c>
      <c r="BD432" s="18">
        <f t="shared" si="253"/>
        <v>9</v>
      </c>
      <c r="BE432" s="8">
        <f t="shared" si="255"/>
        <v>1.1487259593343719E-2</v>
      </c>
    </row>
    <row r="433" spans="1:57" x14ac:dyDescent="0.25">
      <c r="A433" t="str">
        <f t="shared" si="254"/>
        <v/>
      </c>
      <c r="B433" s="1">
        <v>43369</v>
      </c>
      <c r="C433" s="9">
        <f t="shared" si="229"/>
        <v>0.25848924617706082</v>
      </c>
      <c r="D433" s="9">
        <f t="shared" si="230"/>
        <v>0.24700506566026248</v>
      </c>
      <c r="E433" s="9">
        <f t="shared" si="231"/>
        <v>0</v>
      </c>
      <c r="F433" s="9">
        <f t="shared" si="232"/>
        <v>0</v>
      </c>
      <c r="G433" s="9">
        <f t="shared" si="233"/>
        <v>0.24634664171058401</v>
      </c>
      <c r="H433" s="9">
        <f t="shared" si="234"/>
        <v>0</v>
      </c>
      <c r="I433" s="9">
        <f t="shared" si="235"/>
        <v>0</v>
      </c>
      <c r="J433" s="9">
        <f t="shared" si="236"/>
        <v>0.24815904645209269</v>
      </c>
      <c r="K433" s="9">
        <v>0</v>
      </c>
      <c r="L433" s="8">
        <f>+VLOOKUP($B433,NIFTY_50!$B$3:$I$1238,8,0)</f>
        <v>-1.233346434815763E-3</v>
      </c>
      <c r="M433" s="8">
        <f>+VLOOKUP($B433,NIFTY_BANK!$B$3:$I$41238,8,0)</f>
        <v>1.8140294153061731E-3</v>
      </c>
      <c r="N433" s="8">
        <f>+VLOOKUP($B433,NIFTY_IT!$B$3:$I$1238,8,0)</f>
        <v>-1.8629618907415435E-2</v>
      </c>
      <c r="O433" s="8">
        <f>+VLOOKUP($B433,NIFTY_PHARMA!$B$3:$I$1238,8,0)</f>
        <v>4.3093561343658937E-3</v>
      </c>
      <c r="P433" s="8">
        <f>+VLOOKUP($B433,NIFTY_FMCG!$B$3:$I$1238,8,0)</f>
        <v>-1.4662557034425538E-2</v>
      </c>
      <c r="Q433" s="8">
        <f>+VLOOKUP($B433,NIFTY_METAL!$B$3:$I$1238,8,0)</f>
        <v>1.7112726471721906E-2</v>
      </c>
      <c r="R433" s="8">
        <f>+VLOOKUP($B433,NIFTY_ENERGY!$B$3:$I$1238,8,0)</f>
        <v>1.0507959795632127E-2</v>
      </c>
      <c r="S433" s="8">
        <f>+VLOOKUP($B433,NIFTY_AUTO!$B$3:$I$1238,8,0)</f>
        <v>-9.7272893781960024E-3</v>
      </c>
      <c r="T433" s="8">
        <v>0</v>
      </c>
      <c r="U433" s="8">
        <f>+VLOOKUP($B433,NIFTY_50!$B$63:$K$1238,10,0)</f>
        <v>3.5834098618737986E-2</v>
      </c>
      <c r="V433" s="8">
        <f>+VLOOKUP($B433,NIFTY_BANK!$B$63:$K$1238,10,0)</f>
        <v>-3.9627754187576247E-2</v>
      </c>
      <c r="W433" s="8">
        <f>+VLOOKUP($B433,NIFTY_IT!$B$63:$K$1238,10,0)</f>
        <v>0.1365384066655253</v>
      </c>
      <c r="X433" s="8">
        <f>+VLOOKUP($B433,NIFTY_PHARMA!$B$63:$K$1238,10,0)</f>
        <v>0.11074167831639392</v>
      </c>
      <c r="Y433" s="8">
        <f>+VLOOKUP($B433,NIFTY_FMCG!$B$63:$K$1238,10,0)</f>
        <v>3.6943037853076843E-2</v>
      </c>
      <c r="Z433" s="8">
        <f>+VLOOKUP($B433,NIFTY_METAL!$B$63:$K$1238,10,0)</f>
        <v>0.10537734155245659</v>
      </c>
      <c r="AA433" s="8">
        <f>+VLOOKUP($B433,NIFTY_ENERGY!$B$63:$K$1238,10,0)</f>
        <v>0.18545498465707722</v>
      </c>
      <c r="AB433" s="8">
        <f>+VLOOKUP($B433,NIFTY_AUTO!$B$63:$K$1238,10,0)</f>
        <v>-6.6628095780220553E-2</v>
      </c>
      <c r="AC433" s="8"/>
      <c r="AD433" s="16">
        <f t="shared" si="237"/>
        <v>5.2601373845020241E-2</v>
      </c>
      <c r="AE433" s="8">
        <f t="shared" si="238"/>
        <v>6.9751060599634512E-2</v>
      </c>
      <c r="AF433" s="8">
        <f t="shared" si="239"/>
        <v>6.7190965059339483E-2</v>
      </c>
      <c r="AG433" s="8">
        <f t="shared" si="240"/>
        <v>0.10851163534959377</v>
      </c>
      <c r="AH433" s="8">
        <f t="shared" si="241"/>
        <v>8.5945459344007075E-2</v>
      </c>
      <c r="AI433" s="8">
        <f t="shared" si="242"/>
        <v>0.11739322373976106</v>
      </c>
      <c r="AJ433" s="8">
        <f t="shared" si="243"/>
        <v>8.7376826384090694E-2</v>
      </c>
      <c r="AK433" s="8">
        <f t="shared" si="244"/>
        <v>7.7575441262318814E-2</v>
      </c>
      <c r="AL433" s="9">
        <v>0</v>
      </c>
      <c r="AM433" s="17">
        <f t="shared" si="221"/>
        <v>19.010910303337443</v>
      </c>
      <c r="AN433" s="13">
        <f t="shared" si="222"/>
        <v>14.336699562748153</v>
      </c>
      <c r="AO433" s="13">
        <f t="shared" si="223"/>
        <v>14.882953372032285</v>
      </c>
      <c r="AP433" s="13">
        <f t="shared" si="224"/>
        <v>9.2156015968083338</v>
      </c>
      <c r="AQ433" s="13">
        <f t="shared" si="225"/>
        <v>11.635286001525447</v>
      </c>
      <c r="AR433" s="13">
        <f t="shared" si="226"/>
        <v>8.5183792398172322</v>
      </c>
      <c r="AS433" s="13">
        <f t="shared" si="227"/>
        <v>11.444682090010961</v>
      </c>
      <c r="AT433" s="13">
        <f t="shared" si="228"/>
        <v>12.890677561453151</v>
      </c>
      <c r="AU433" s="9">
        <v>0</v>
      </c>
      <c r="AV433" s="18">
        <f t="shared" si="245"/>
        <v>1</v>
      </c>
      <c r="AW433" s="18">
        <f t="shared" si="246"/>
        <v>3</v>
      </c>
      <c r="AX433" s="18">
        <f t="shared" si="247"/>
        <v>2</v>
      </c>
      <c r="AY433" s="18">
        <f t="shared" si="248"/>
        <v>7</v>
      </c>
      <c r="AZ433" s="18">
        <f t="shared" si="249"/>
        <v>5</v>
      </c>
      <c r="BA433" s="18">
        <f t="shared" si="250"/>
        <v>8</v>
      </c>
      <c r="BB433" s="18">
        <f t="shared" si="251"/>
        <v>6</v>
      </c>
      <c r="BC433" s="18">
        <f t="shared" si="252"/>
        <v>4</v>
      </c>
      <c r="BD433" s="18">
        <f t="shared" si="253"/>
        <v>9</v>
      </c>
      <c r="BE433" s="8">
        <f t="shared" si="255"/>
        <v>-5.9398925813932031E-3</v>
      </c>
    </row>
    <row r="434" spans="1:57" x14ac:dyDescent="0.25">
      <c r="A434" t="str">
        <f t="shared" si="254"/>
        <v/>
      </c>
      <c r="B434" s="1">
        <v>43370</v>
      </c>
      <c r="C434" s="9">
        <f t="shared" si="229"/>
        <v>0.25926147079143858</v>
      </c>
      <c r="D434" s="9">
        <f t="shared" si="230"/>
        <v>0.2461789141213632</v>
      </c>
      <c r="E434" s="9">
        <f t="shared" si="231"/>
        <v>0</v>
      </c>
      <c r="F434" s="9">
        <f t="shared" si="232"/>
        <v>0</v>
      </c>
      <c r="G434" s="9">
        <f t="shared" si="233"/>
        <v>0.24861106919778764</v>
      </c>
      <c r="H434" s="9">
        <f t="shared" si="234"/>
        <v>0</v>
      </c>
      <c r="I434" s="9">
        <f t="shared" si="235"/>
        <v>0</v>
      </c>
      <c r="J434" s="9">
        <f t="shared" si="236"/>
        <v>0.24594854588941062</v>
      </c>
      <c r="K434" s="9">
        <v>0</v>
      </c>
      <c r="L434" s="8">
        <f>+VLOOKUP($B434,NIFTY_50!$B$3:$I$1238,8,0)</f>
        <v>-6.8980802981779554E-3</v>
      </c>
      <c r="M434" s="8">
        <f>+VLOOKUP($B434,NIFTY_BANK!$B$3:$I$41238,8,0)</f>
        <v>-1.3167798299988487E-2</v>
      </c>
      <c r="N434" s="8">
        <f>+VLOOKUP($B434,NIFTY_IT!$B$3:$I$1238,8,0)</f>
        <v>5.3695445458796787E-3</v>
      </c>
      <c r="O434" s="8">
        <f>+VLOOKUP($B434,NIFTY_PHARMA!$B$3:$I$1238,8,0)</f>
        <v>-1.9131524982263004E-2</v>
      </c>
      <c r="P434" s="8">
        <f>+VLOOKUP($B434,NIFTY_FMCG!$B$3:$I$1238,8,0)</f>
        <v>-7.5464960170334994E-4</v>
      </c>
      <c r="Q434" s="8">
        <f>+VLOOKUP($B434,NIFTY_METAL!$B$3:$I$1238,8,0)</f>
        <v>-6.5647883701728249E-3</v>
      </c>
      <c r="R434" s="8">
        <f>+VLOOKUP($B434,NIFTY_ENERGY!$B$3:$I$1238,8,0)</f>
        <v>-5.699221212563943E-4</v>
      </c>
      <c r="S434" s="8">
        <f>+VLOOKUP($B434,NIFTY_AUTO!$B$3:$I$1238,8,0)</f>
        <v>-1.8675891303913228E-2</v>
      </c>
      <c r="T434" s="8">
        <v>0</v>
      </c>
      <c r="U434" s="8">
        <f>+VLOOKUP($B434,NIFTY_50!$B$63:$K$1238,10,0)</f>
        <v>3.6683948588642989E-2</v>
      </c>
      <c r="V434" s="8">
        <f>+VLOOKUP($B434,NIFTY_BANK!$B$63:$K$1238,10,0)</f>
        <v>-4.8716789618835521E-2</v>
      </c>
      <c r="W434" s="8">
        <f>+VLOOKUP($B434,NIFTY_IT!$B$63:$K$1238,10,0)</f>
        <v>0.1545503034496678</v>
      </c>
      <c r="X434" s="8">
        <f>+VLOOKUP($B434,NIFTY_PHARMA!$B$63:$K$1238,10,0)</f>
        <v>0.10307233261197468</v>
      </c>
      <c r="Y434" s="8">
        <f>+VLOOKUP($B434,NIFTY_FMCG!$B$63:$K$1238,10,0)</f>
        <v>4.3939412604247829E-2</v>
      </c>
      <c r="Z434" s="8">
        <f>+VLOOKUP($B434,NIFTY_METAL!$B$63:$K$1238,10,0)</f>
        <v>9.6578514866278109E-2</v>
      </c>
      <c r="AA434" s="8">
        <f>+VLOOKUP($B434,NIFTY_ENERGY!$B$63:$K$1238,10,0)</f>
        <v>0.2073827904132195</v>
      </c>
      <c r="AB434" s="8">
        <f>+VLOOKUP($B434,NIFTY_AUTO!$B$63:$K$1238,10,0)</f>
        <v>-7.6857965126121641E-2</v>
      </c>
      <c r="AC434" s="8"/>
      <c r="AD434" s="16">
        <f t="shared" si="237"/>
        <v>5.247877765992294E-2</v>
      </c>
      <c r="AE434" s="8">
        <f t="shared" si="238"/>
        <v>7.0791397224870212E-2</v>
      </c>
      <c r="AF434" s="8">
        <f t="shared" si="239"/>
        <v>6.6075580299117143E-2</v>
      </c>
      <c r="AG434" s="8">
        <f t="shared" si="240"/>
        <v>0.10960505669037485</v>
      </c>
      <c r="AH434" s="8">
        <f t="shared" si="241"/>
        <v>8.5569578047783146E-2</v>
      </c>
      <c r="AI434" s="8">
        <f t="shared" si="242"/>
        <v>0.11768286511034125</v>
      </c>
      <c r="AJ434" s="8">
        <f t="shared" si="243"/>
        <v>8.4708348892943819E-2</v>
      </c>
      <c r="AK434" s="8">
        <f t="shared" si="244"/>
        <v>7.9249283288218786E-2</v>
      </c>
      <c r="AL434" s="9">
        <v>0</v>
      </c>
      <c r="AM434" s="17">
        <f t="shared" si="221"/>
        <v>19.055321876593197</v>
      </c>
      <c r="AN434" s="13">
        <f t="shared" si="222"/>
        <v>14.126010210301134</v>
      </c>
      <c r="AO434" s="13">
        <f t="shared" si="223"/>
        <v>15.13418414901702</v>
      </c>
      <c r="AP434" s="13">
        <f t="shared" si="224"/>
        <v>9.1236666463748719</v>
      </c>
      <c r="AQ434" s="13">
        <f t="shared" si="225"/>
        <v>11.68639629660891</v>
      </c>
      <c r="AR434" s="13">
        <f t="shared" si="226"/>
        <v>8.4974137829019103</v>
      </c>
      <c r="AS434" s="13">
        <f t="shared" si="227"/>
        <v>11.805211801068403</v>
      </c>
      <c r="AT434" s="13">
        <f t="shared" si="228"/>
        <v>12.618410646858937</v>
      </c>
      <c r="AU434" s="9">
        <v>0</v>
      </c>
      <c r="AV434" s="18">
        <f t="shared" si="245"/>
        <v>1</v>
      </c>
      <c r="AW434" s="18">
        <f t="shared" si="246"/>
        <v>3</v>
      </c>
      <c r="AX434" s="18">
        <f t="shared" si="247"/>
        <v>2</v>
      </c>
      <c r="AY434" s="18">
        <f t="shared" si="248"/>
        <v>7</v>
      </c>
      <c r="AZ434" s="18">
        <f t="shared" si="249"/>
        <v>6</v>
      </c>
      <c r="BA434" s="18">
        <f t="shared" si="250"/>
        <v>8</v>
      </c>
      <c r="BB434" s="18">
        <f t="shared" si="251"/>
        <v>5</v>
      </c>
      <c r="BC434" s="18">
        <f t="shared" si="252"/>
        <v>4</v>
      </c>
      <c r="BD434" s="18">
        <f t="shared" si="253"/>
        <v>9</v>
      </c>
      <c r="BE434" s="8">
        <f t="shared" si="255"/>
        <v>-9.8560892327044895E-3</v>
      </c>
    </row>
    <row r="435" spans="1:57" x14ac:dyDescent="0.25">
      <c r="A435" t="str">
        <f t="shared" si="254"/>
        <v>Y</v>
      </c>
      <c r="B435" s="1">
        <v>43371</v>
      </c>
      <c r="C435" s="9">
        <f t="shared" si="229"/>
        <v>0.25</v>
      </c>
      <c r="D435" s="9">
        <f t="shared" si="230"/>
        <v>0.25</v>
      </c>
      <c r="E435" s="9">
        <f t="shared" si="231"/>
        <v>0.25</v>
      </c>
      <c r="F435" s="9">
        <f t="shared" si="232"/>
        <v>0</v>
      </c>
      <c r="G435" s="9">
        <f t="shared" si="233"/>
        <v>0</v>
      </c>
      <c r="H435" s="9">
        <f t="shared" si="234"/>
        <v>0</v>
      </c>
      <c r="I435" s="9">
        <f t="shared" si="235"/>
        <v>0</v>
      </c>
      <c r="J435" s="9">
        <f t="shared" si="236"/>
        <v>0.25</v>
      </c>
      <c r="K435" s="9">
        <v>0</v>
      </c>
      <c r="L435" s="8">
        <f>+VLOOKUP($B435,NIFTY_50!$B$3:$I$1238,8,0)</f>
        <v>-4.2905748550449152E-3</v>
      </c>
      <c r="M435" s="8">
        <f>+VLOOKUP($B435,NIFTY_BANK!$B$3:$I$41238,8,0)</f>
        <v>3.1027687319178376E-3</v>
      </c>
      <c r="N435" s="8">
        <f>+VLOOKUP($B435,NIFTY_IT!$B$3:$I$1238,8,0)</f>
        <v>-1.1234236483955606E-2</v>
      </c>
      <c r="O435" s="8">
        <f>+VLOOKUP($B435,NIFTY_PHARMA!$B$3:$I$1238,8,0)</f>
        <v>-1.1890076245113956E-2</v>
      </c>
      <c r="P435" s="8">
        <f>+VLOOKUP($B435,NIFTY_FMCG!$B$3:$I$1238,8,0)</f>
        <v>3.2855420975885785E-3</v>
      </c>
      <c r="Q435" s="8">
        <f>+VLOOKUP($B435,NIFTY_METAL!$B$3:$I$1238,8,0)</f>
        <v>-5.0235714091070083E-2</v>
      </c>
      <c r="R435" s="8">
        <f>+VLOOKUP($B435,NIFTY_ENERGY!$B$3:$I$1238,8,0)</f>
        <v>1.4335821394784176E-4</v>
      </c>
      <c r="S435" s="8">
        <f>+VLOOKUP($B435,NIFTY_AUTO!$B$3:$I$1238,8,0)</f>
        <v>-2.2938443670150965E-2</v>
      </c>
      <c r="T435" s="8">
        <v>0</v>
      </c>
      <c r="U435" s="8">
        <f>+VLOOKUP($B435,NIFTY_50!$B$63:$K$1238,10,0)</f>
        <v>2.0173973101369258E-2</v>
      </c>
      <c r="V435" s="8">
        <f>+VLOOKUP($B435,NIFTY_BANK!$B$63:$K$1238,10,0)</f>
        <v>-4.7198473687803943E-2</v>
      </c>
      <c r="W435" s="8">
        <f>+VLOOKUP($B435,NIFTY_IT!$B$63:$K$1238,10,0)</f>
        <v>0.13213838950641543</v>
      </c>
      <c r="X435" s="8">
        <f>+VLOOKUP($B435,NIFTY_PHARMA!$B$63:$K$1238,10,0)</f>
        <v>8.7134735614265768E-2</v>
      </c>
      <c r="Y435" s="8">
        <f>+VLOOKUP($B435,NIFTY_FMCG!$B$63:$K$1238,10,0)</f>
        <v>2.733204446592552E-2</v>
      </c>
      <c r="Z435" s="8">
        <f>+VLOOKUP($B435,NIFTY_METAL!$B$63:$K$1238,10,0)</f>
        <v>1.3138961963867768E-2</v>
      </c>
      <c r="AA435" s="8">
        <f>+VLOOKUP($B435,NIFTY_ENERGY!$B$63:$K$1238,10,0)</f>
        <v>0.17728852838933951</v>
      </c>
      <c r="AB435" s="8">
        <f>+VLOOKUP($B435,NIFTY_AUTO!$B$63:$K$1238,10,0)</f>
        <v>-0.10447238550571702</v>
      </c>
      <c r="AC435" s="8"/>
      <c r="AD435" s="16">
        <f t="shared" si="237"/>
        <v>5.1460157272544396E-2</v>
      </c>
      <c r="AE435" s="8">
        <f t="shared" si="238"/>
        <v>7.0860630490774526E-2</v>
      </c>
      <c r="AF435" s="8">
        <f t="shared" si="239"/>
        <v>6.7157246560881956E-2</v>
      </c>
      <c r="AG435" s="8">
        <f t="shared" si="240"/>
        <v>0.11042621787372298</v>
      </c>
      <c r="AH435" s="8">
        <f t="shared" si="241"/>
        <v>8.3504755184302837E-2</v>
      </c>
      <c r="AI435" s="8">
        <f t="shared" si="242"/>
        <v>0.12547460388895806</v>
      </c>
      <c r="AJ435" s="8">
        <f t="shared" si="243"/>
        <v>8.1639753140319501E-2</v>
      </c>
      <c r="AK435" s="8">
        <f t="shared" si="244"/>
        <v>8.1634662179391193E-2</v>
      </c>
      <c r="AL435" s="9">
        <v>0</v>
      </c>
      <c r="AM435" s="17">
        <f t="shared" si="221"/>
        <v>19.43250959579813</v>
      </c>
      <c r="AN435" s="13">
        <f t="shared" si="222"/>
        <v>14.112208613924086</v>
      </c>
      <c r="AO435" s="13">
        <f t="shared" si="223"/>
        <v>14.890425846947757</v>
      </c>
      <c r="AP435" s="13">
        <f t="shared" si="224"/>
        <v>9.0558204315531476</v>
      </c>
      <c r="AQ435" s="13">
        <f t="shared" si="225"/>
        <v>11.975365927280501</v>
      </c>
      <c r="AR435" s="13">
        <f t="shared" si="226"/>
        <v>7.9697402422961652</v>
      </c>
      <c r="AS435" s="13">
        <f t="shared" si="227"/>
        <v>12.24893463704178</v>
      </c>
      <c r="AT435" s="13">
        <f t="shared" si="228"/>
        <v>12.249698514125189</v>
      </c>
      <c r="AU435" s="9">
        <v>0</v>
      </c>
      <c r="AV435" s="18">
        <f t="shared" si="245"/>
        <v>1</v>
      </c>
      <c r="AW435" s="18">
        <f t="shared" si="246"/>
        <v>3</v>
      </c>
      <c r="AX435" s="18">
        <f t="shared" si="247"/>
        <v>2</v>
      </c>
      <c r="AY435" s="18">
        <f t="shared" si="248"/>
        <v>7</v>
      </c>
      <c r="AZ435" s="18">
        <f t="shared" si="249"/>
        <v>6</v>
      </c>
      <c r="BA435" s="18">
        <f t="shared" si="250"/>
        <v>8</v>
      </c>
      <c r="BB435" s="18">
        <f t="shared" si="251"/>
        <v>5</v>
      </c>
      <c r="BC435" s="18">
        <f t="shared" si="252"/>
        <v>4</v>
      </c>
      <c r="BD435" s="18">
        <f t="shared" si="253"/>
        <v>9</v>
      </c>
      <c r="BE435" s="8">
        <f t="shared" si="255"/>
        <v>-5.1733992421304029E-3</v>
      </c>
    </row>
    <row r="436" spans="1:57" x14ac:dyDescent="0.25">
      <c r="A436" t="str">
        <f t="shared" si="254"/>
        <v/>
      </c>
      <c r="B436" s="1">
        <v>43374</v>
      </c>
      <c r="C436" s="9">
        <f t="shared" si="229"/>
        <v>0.24880123679802793</v>
      </c>
      <c r="D436" s="9">
        <f t="shared" si="230"/>
        <v>0.24947233245582504</v>
      </c>
      <c r="E436" s="9">
        <f t="shared" si="231"/>
        <v>0.2528995549996908</v>
      </c>
      <c r="F436" s="9">
        <f t="shared" si="232"/>
        <v>0</v>
      </c>
      <c r="G436" s="9">
        <f t="shared" si="233"/>
        <v>0</v>
      </c>
      <c r="H436" s="9">
        <f t="shared" si="234"/>
        <v>0</v>
      </c>
      <c r="I436" s="9">
        <f t="shared" si="235"/>
        <v>0</v>
      </c>
      <c r="J436" s="9">
        <f t="shared" si="236"/>
        <v>0.24882687574645634</v>
      </c>
      <c r="K436" s="9">
        <v>0</v>
      </c>
      <c r="L436" s="8">
        <f>+VLOOKUP($B436,NIFTY_50!$B$3:$I$1238,8,0)</f>
        <v>7.1223051201001475E-3</v>
      </c>
      <c r="M436" s="8">
        <f>+VLOOKUP($B436,NIFTY_BANK!$B$3:$I$41238,8,0)</f>
        <v>9.8388326363414436E-3</v>
      </c>
      <c r="N436" s="8">
        <f>+VLOOKUP($B436,NIFTY_IT!$B$3:$I$1238,8,0)</f>
        <v>2.3711883723059435E-2</v>
      </c>
      <c r="O436" s="8">
        <f>+VLOOKUP($B436,NIFTY_PHARMA!$B$3:$I$1238,8,0)</f>
        <v>6.2121143751032726E-3</v>
      </c>
      <c r="P436" s="8">
        <f>+VLOOKUP($B436,NIFTY_FMCG!$B$3:$I$1238,8,0)</f>
        <v>5.5767078772890333E-3</v>
      </c>
      <c r="Q436" s="8">
        <f>+VLOOKUP($B436,NIFTY_METAL!$B$3:$I$1238,8,0)</f>
        <v>1.2251280359217853E-2</v>
      </c>
      <c r="R436" s="8">
        <f>+VLOOKUP($B436,NIFTY_ENERGY!$B$3:$I$1238,8,0)</f>
        <v>-1.0030451290676035E-2</v>
      </c>
      <c r="S436" s="8">
        <f>+VLOOKUP($B436,NIFTY_AUTO!$B$3:$I$1238,8,0)</f>
        <v>7.2260889966371256E-3</v>
      </c>
      <c r="T436" s="8">
        <v>0</v>
      </c>
      <c r="U436" s="8">
        <f>+VLOOKUP($B436,NIFTY_50!$B$63:$K$1238,10,0)</f>
        <v>3.2935171197207458E-2</v>
      </c>
      <c r="V436" s="8">
        <f>+VLOOKUP($B436,NIFTY_BANK!$B$63:$K$1238,10,0)</f>
        <v>-3.2912318959371412E-2</v>
      </c>
      <c r="W436" s="8">
        <f>+VLOOKUP($B436,NIFTY_IT!$B$63:$K$1238,10,0)</f>
        <v>0.15216418069540882</v>
      </c>
      <c r="X436" s="8">
        <f>+VLOOKUP($B436,NIFTY_PHARMA!$B$63:$K$1238,10,0)</f>
        <v>9.8588773689223697E-2</v>
      </c>
      <c r="Y436" s="8">
        <f>+VLOOKUP($B436,NIFTY_FMCG!$B$63:$K$1238,10,0)</f>
        <v>3.9827990617670173E-2</v>
      </c>
      <c r="Z436" s="8">
        <f>+VLOOKUP($B436,NIFTY_METAL!$B$63:$K$1238,10,0)</f>
        <v>4.4234298230036107E-2</v>
      </c>
      <c r="AA436" s="8">
        <f>+VLOOKUP($B436,NIFTY_ENERGY!$B$63:$K$1238,10,0)</f>
        <v>0.18155482647059928</v>
      </c>
      <c r="AB436" s="8">
        <f>+VLOOKUP($B436,NIFTY_AUTO!$B$63:$K$1238,10,0)</f>
        <v>-9.4343602917737024E-2</v>
      </c>
      <c r="AC436" s="8"/>
      <c r="AD436" s="16">
        <f t="shared" si="237"/>
        <v>5.1568834955164011E-2</v>
      </c>
      <c r="AE436" s="8">
        <f t="shared" si="238"/>
        <v>7.1491221572464639E-2</v>
      </c>
      <c r="AF436" s="8">
        <f t="shared" si="239"/>
        <v>7.0415484261607181E-2</v>
      </c>
      <c r="AG436" s="8">
        <f t="shared" si="240"/>
        <v>0.11037015961916594</v>
      </c>
      <c r="AH436" s="8">
        <f t="shared" si="241"/>
        <v>8.3350656036596207E-2</v>
      </c>
      <c r="AI436" s="8">
        <f t="shared" si="242"/>
        <v>0.12465240881443053</v>
      </c>
      <c r="AJ436" s="8">
        <f t="shared" si="243"/>
        <v>8.0998830941273817E-2</v>
      </c>
      <c r="AK436" s="8">
        <f t="shared" si="244"/>
        <v>8.2082402568804114E-2</v>
      </c>
      <c r="AL436" s="9">
        <v>0</v>
      </c>
      <c r="AM436" s="17">
        <f t="shared" si="221"/>
        <v>19.391556952361629</v>
      </c>
      <c r="AN436" s="13">
        <f t="shared" si="222"/>
        <v>13.987731332669762</v>
      </c>
      <c r="AO436" s="13">
        <f t="shared" si="223"/>
        <v>14.201421895854697</v>
      </c>
      <c r="AP436" s="13">
        <f t="shared" si="224"/>
        <v>9.0604199853521692</v>
      </c>
      <c r="AQ436" s="13">
        <f t="shared" si="225"/>
        <v>11.997506049153792</v>
      </c>
      <c r="AR436" s="13">
        <f t="shared" si="226"/>
        <v>8.0223078680227946</v>
      </c>
      <c r="AS436" s="13">
        <f t="shared" si="227"/>
        <v>12.34585719792703</v>
      </c>
      <c r="AT436" s="13">
        <f t="shared" si="228"/>
        <v>12.182879261626971</v>
      </c>
      <c r="AU436" s="9">
        <v>0</v>
      </c>
      <c r="AV436" s="18">
        <f t="shared" si="245"/>
        <v>1</v>
      </c>
      <c r="AW436" s="18">
        <f t="shared" si="246"/>
        <v>3</v>
      </c>
      <c r="AX436" s="18">
        <f t="shared" si="247"/>
        <v>2</v>
      </c>
      <c r="AY436" s="18">
        <f t="shared" si="248"/>
        <v>7</v>
      </c>
      <c r="AZ436" s="18">
        <f t="shared" si="249"/>
        <v>6</v>
      </c>
      <c r="BA436" s="18">
        <f t="shared" si="250"/>
        <v>8</v>
      </c>
      <c r="BB436" s="18">
        <f t="shared" si="251"/>
        <v>4</v>
      </c>
      <c r="BC436" s="18">
        <f t="shared" si="252"/>
        <v>5</v>
      </c>
      <c r="BD436" s="18">
        <f t="shared" si="253"/>
        <v>9</v>
      </c>
      <c r="BE436" s="8">
        <f t="shared" si="255"/>
        <v>1.1974777619034538E-2</v>
      </c>
    </row>
    <row r="437" spans="1:57" x14ac:dyDescent="0.25">
      <c r="A437" t="str">
        <f t="shared" si="254"/>
        <v/>
      </c>
      <c r="B437" s="1">
        <v>43376</v>
      </c>
      <c r="C437" s="9">
        <f t="shared" si="229"/>
        <v>0.25000348714109411</v>
      </c>
      <c r="D437" s="9">
        <f t="shared" si="230"/>
        <v>0.25116541152233252</v>
      </c>
      <c r="E437" s="9">
        <f t="shared" si="231"/>
        <v>0.25280594480927998</v>
      </c>
      <c r="F437" s="9">
        <f t="shared" si="232"/>
        <v>0</v>
      </c>
      <c r="G437" s="9">
        <f t="shared" si="233"/>
        <v>0</v>
      </c>
      <c r="H437" s="9">
        <f t="shared" si="234"/>
        <v>0</v>
      </c>
      <c r="I437" s="9">
        <f t="shared" si="235"/>
        <v>0</v>
      </c>
      <c r="J437" s="9">
        <f t="shared" si="236"/>
        <v>0.24602515652729329</v>
      </c>
      <c r="K437" s="9">
        <v>0</v>
      </c>
      <c r="L437" s="8">
        <f>+VLOOKUP($B437,NIFTY_50!$B$3:$I$1238,8,0)</f>
        <v>-1.3630624165402394E-2</v>
      </c>
      <c r="M437" s="8">
        <f>+VLOOKUP($B437,NIFTY_BANK!$B$3:$I$41238,8,0)</f>
        <v>-1.171206685851689E-2</v>
      </c>
      <c r="N437" s="8">
        <f>+VLOOKUP($B437,NIFTY_IT!$B$3:$I$1238,8,0)</f>
        <v>-1.8737356293482055E-2</v>
      </c>
      <c r="O437" s="8">
        <f>+VLOOKUP($B437,NIFTY_PHARMA!$B$3:$I$1238,8,0)</f>
        <v>-8.3213744718169114E-3</v>
      </c>
      <c r="P437" s="8">
        <f>+VLOOKUP($B437,NIFTY_FMCG!$B$3:$I$1238,8,0)</f>
        <v>-1.4222863855178125E-2</v>
      </c>
      <c r="Q437" s="8">
        <f>+VLOOKUP($B437,NIFTY_METAL!$B$3:$I$1238,8,0)</f>
        <v>1.8126160343532538E-2</v>
      </c>
      <c r="R437" s="8">
        <f>+VLOOKUP($B437,NIFTY_ENERGY!$B$3:$I$1238,8,0)</f>
        <v>-1.0856030502421232E-2</v>
      </c>
      <c r="S437" s="8">
        <f>+VLOOKUP($B437,NIFTY_AUTO!$B$3:$I$1238,8,0)</f>
        <v>-2.942683665388135E-2</v>
      </c>
      <c r="T437" s="8">
        <v>0</v>
      </c>
      <c r="U437" s="8">
        <f>+VLOOKUP($B437,NIFTY_50!$B$63:$K$1238,10,0)</f>
        <v>1.4799203730875954E-2</v>
      </c>
      <c r="V437" s="8">
        <f>+VLOOKUP($B437,NIFTY_BANK!$B$63:$K$1238,10,0)</f>
        <v>-4.3283302994569395E-2</v>
      </c>
      <c r="W437" s="8">
        <f>+VLOOKUP($B437,NIFTY_IT!$B$63:$K$1238,10,0)</f>
        <v>0.11863203152739832</v>
      </c>
      <c r="X437" s="8">
        <f>+VLOOKUP($B437,NIFTY_PHARMA!$B$63:$K$1238,10,0)</f>
        <v>6.70863135770432E-2</v>
      </c>
      <c r="Y437" s="8">
        <f>+VLOOKUP($B437,NIFTY_FMCG!$B$63:$K$1238,10,0)</f>
        <v>1.8100960874727345E-2</v>
      </c>
      <c r="Z437" s="8">
        <f>+VLOOKUP($B437,NIFTY_METAL!$B$63:$K$1238,10,0)</f>
        <v>6.7094455089642402E-2</v>
      </c>
      <c r="AA437" s="8">
        <f>+VLOOKUP($B437,NIFTY_ENERGY!$B$63:$K$1238,10,0)</f>
        <v>0.15759805398240756</v>
      </c>
      <c r="AB437" s="8">
        <f>+VLOOKUP($B437,NIFTY_AUTO!$B$63:$K$1238,10,0)</f>
        <v>-0.13023754192120907</v>
      </c>
      <c r="AC437" s="8"/>
      <c r="AD437" s="16">
        <f t="shared" si="237"/>
        <v>5.3325129746398928E-2</v>
      </c>
      <c r="AE437" s="8">
        <f t="shared" si="238"/>
        <v>7.2349408135427326E-2</v>
      </c>
      <c r="AF437" s="8">
        <f t="shared" si="239"/>
        <v>7.2940980153311227E-2</v>
      </c>
      <c r="AG437" s="8">
        <f t="shared" si="240"/>
        <v>0.10905886029023275</v>
      </c>
      <c r="AH437" s="8">
        <f t="shared" si="241"/>
        <v>8.4411352107625723E-2</v>
      </c>
      <c r="AI437" s="8">
        <f t="shared" si="242"/>
        <v>0.12573320823280279</v>
      </c>
      <c r="AJ437" s="8">
        <f t="shared" si="243"/>
        <v>8.1814889314862818E-2</v>
      </c>
      <c r="AK437" s="8">
        <f t="shared" si="244"/>
        <v>8.5665862378960969E-2</v>
      </c>
      <c r="AL437" s="9">
        <v>0</v>
      </c>
      <c r="AM437" s="17">
        <f t="shared" si="221"/>
        <v>18.752884517220149</v>
      </c>
      <c r="AN437" s="13">
        <f t="shared" si="222"/>
        <v>13.821813139482064</v>
      </c>
      <c r="AO437" s="13">
        <f t="shared" si="223"/>
        <v>13.709714318317999</v>
      </c>
      <c r="AP437" s="13">
        <f t="shared" si="224"/>
        <v>9.1693604475487032</v>
      </c>
      <c r="AQ437" s="13">
        <f t="shared" si="225"/>
        <v>11.846747801468519</v>
      </c>
      <c r="AR437" s="13">
        <f t="shared" si="226"/>
        <v>7.9533483162891887</v>
      </c>
      <c r="AS437" s="13">
        <f t="shared" si="227"/>
        <v>12.222714085104018</v>
      </c>
      <c r="AT437" s="13">
        <f t="shared" si="228"/>
        <v>11.673261346232524</v>
      </c>
      <c r="AU437" s="9">
        <v>0</v>
      </c>
      <c r="AV437" s="18">
        <f t="shared" si="245"/>
        <v>1</v>
      </c>
      <c r="AW437" s="18">
        <f t="shared" si="246"/>
        <v>2</v>
      </c>
      <c r="AX437" s="18">
        <f t="shared" si="247"/>
        <v>3</v>
      </c>
      <c r="AY437" s="18">
        <f t="shared" si="248"/>
        <v>7</v>
      </c>
      <c r="AZ437" s="18">
        <f t="shared" si="249"/>
        <v>5</v>
      </c>
      <c r="BA437" s="18">
        <f t="shared" si="250"/>
        <v>8</v>
      </c>
      <c r="BB437" s="18">
        <f t="shared" si="251"/>
        <v>4</v>
      </c>
      <c r="BC437" s="18">
        <f t="shared" si="252"/>
        <v>6</v>
      </c>
      <c r="BD437" s="18">
        <f t="shared" si="253"/>
        <v>9</v>
      </c>
      <c r="BE437" s="8">
        <f t="shared" si="255"/>
        <v>-1.8374009683932848E-2</v>
      </c>
    </row>
    <row r="438" spans="1:57" x14ac:dyDescent="0.25">
      <c r="A438" t="str">
        <f t="shared" si="254"/>
        <v/>
      </c>
      <c r="B438" s="1">
        <v>43377</v>
      </c>
      <c r="C438" s="9">
        <f t="shared" si="229"/>
        <v>0.24910654397169621</v>
      </c>
      <c r="D438" s="9">
        <f t="shared" si="230"/>
        <v>0.25381689646169903</v>
      </c>
      <c r="E438" s="9">
        <f t="shared" si="231"/>
        <v>0.25045203715518988</v>
      </c>
      <c r="F438" s="9">
        <f t="shared" si="232"/>
        <v>0</v>
      </c>
      <c r="G438" s="9">
        <f t="shared" si="233"/>
        <v>0</v>
      </c>
      <c r="H438" s="9">
        <f t="shared" si="234"/>
        <v>0</v>
      </c>
      <c r="I438" s="9">
        <f t="shared" si="235"/>
        <v>0</v>
      </c>
      <c r="J438" s="9">
        <f t="shared" si="236"/>
        <v>0.24662452241141489</v>
      </c>
      <c r="K438" s="9">
        <v>0</v>
      </c>
      <c r="L438" s="8">
        <f>+VLOOKUP($B438,NIFTY_50!$B$3:$I$1238,8,0)</f>
        <v>-2.3852830796859514E-2</v>
      </c>
      <c r="M438" s="8">
        <f>+VLOOKUP($B438,NIFTY_BANK!$B$3:$I$41238,8,0)</f>
        <v>-9.996051041288645E-3</v>
      </c>
      <c r="N438" s="8">
        <f>+VLOOKUP($B438,NIFTY_IT!$B$3:$I$1238,8,0)</f>
        <v>-2.9459829790443592E-2</v>
      </c>
      <c r="O438" s="8">
        <f>+VLOOKUP($B438,NIFTY_PHARMA!$B$3:$I$1238,8,0)</f>
        <v>-3.217296927916069E-2</v>
      </c>
      <c r="P438" s="8">
        <f>+VLOOKUP($B438,NIFTY_FMCG!$B$3:$I$1238,8,0)</f>
        <v>-2.9423978873179824E-2</v>
      </c>
      <c r="Q438" s="8">
        <f>+VLOOKUP($B438,NIFTY_METAL!$B$3:$I$1238,8,0)</f>
        <v>-5.4704899777283655E-3</v>
      </c>
      <c r="R438" s="8">
        <f>+VLOOKUP($B438,NIFTY_ENERGY!$B$3:$I$1238,8,0)</f>
        <v>-6.1365358905214662E-2</v>
      </c>
      <c r="S438" s="8">
        <f>+VLOOKUP($B438,NIFTY_AUTO!$B$3:$I$1238,8,0)</f>
        <v>-1.7951425554382228E-2</v>
      </c>
      <c r="T438" s="8">
        <v>0</v>
      </c>
      <c r="U438" s="8">
        <f>+VLOOKUP($B438,NIFTY_50!$B$63:$K$1238,10,0)</f>
        <v>-1.584508676960783E-2</v>
      </c>
      <c r="V438" s="8">
        <f>+VLOOKUP($B438,NIFTY_BANK!$B$63:$K$1238,10,0)</f>
        <v>-6.1082433764155564E-2</v>
      </c>
      <c r="W438" s="8">
        <f>+VLOOKUP($B438,NIFTY_IT!$B$63:$K$1238,10,0)</f>
        <v>9.3086226608099176E-2</v>
      </c>
      <c r="X438" s="8">
        <f>+VLOOKUP($B438,NIFTY_PHARMA!$B$63:$K$1238,10,0)</f>
        <v>2.4591471977530865E-2</v>
      </c>
      <c r="Y438" s="8">
        <f>+VLOOKUP($B438,NIFTY_FMCG!$B$63:$K$1238,10,0)</f>
        <v>-1.6423235416885062E-2</v>
      </c>
      <c r="Z438" s="8">
        <f>+VLOOKUP($B438,NIFTY_METAL!$B$63:$K$1238,10,0)</f>
        <v>5.9902980314201493E-2</v>
      </c>
      <c r="AA438" s="8">
        <f>+VLOOKUP($B438,NIFTY_ENERGY!$B$63:$K$1238,10,0)</f>
        <v>7.8899549081337339E-2</v>
      </c>
      <c r="AB438" s="8">
        <f>+VLOOKUP($B438,NIFTY_AUTO!$B$63:$K$1238,10,0)</f>
        <v>-0.15643167023230886</v>
      </c>
      <c r="AC438" s="8"/>
      <c r="AD438" s="16">
        <f t="shared" si="237"/>
        <v>5.8057244039865341E-2</v>
      </c>
      <c r="AE438" s="8">
        <f t="shared" si="238"/>
        <v>7.229137292607396E-2</v>
      </c>
      <c r="AF438" s="8">
        <f t="shared" si="239"/>
        <v>7.886261265244833E-2</v>
      </c>
      <c r="AG438" s="8">
        <f t="shared" si="240"/>
        <v>0.11372060306706144</v>
      </c>
      <c r="AH438" s="8">
        <f t="shared" si="241"/>
        <v>8.9299935308530407E-2</v>
      </c>
      <c r="AI438" s="8">
        <f t="shared" si="242"/>
        <v>0.1259068113940586</v>
      </c>
      <c r="AJ438" s="8">
        <f t="shared" si="243"/>
        <v>0.10328849231052106</v>
      </c>
      <c r="AK438" s="8">
        <f t="shared" si="244"/>
        <v>8.5747761460364461E-2</v>
      </c>
      <c r="AL438" s="9">
        <v>0</v>
      </c>
      <c r="AM438" s="17">
        <f t="shared" si="221"/>
        <v>17.224379429952691</v>
      </c>
      <c r="AN438" s="13">
        <f t="shared" si="222"/>
        <v>13.832909232787877</v>
      </c>
      <c r="AO438" s="13">
        <f t="shared" si="223"/>
        <v>12.680279873646242</v>
      </c>
      <c r="AP438" s="13">
        <f t="shared" si="224"/>
        <v>8.7934813308217894</v>
      </c>
      <c r="AQ438" s="13">
        <f t="shared" si="225"/>
        <v>11.19821639898181</v>
      </c>
      <c r="AR438" s="13">
        <f t="shared" si="226"/>
        <v>7.9423820596189669</v>
      </c>
      <c r="AS438" s="13">
        <f t="shared" si="227"/>
        <v>9.6816206494103216</v>
      </c>
      <c r="AT438" s="13">
        <f t="shared" si="228"/>
        <v>11.662112024489806</v>
      </c>
      <c r="AU438" s="9">
        <v>0</v>
      </c>
      <c r="AV438" s="18">
        <f t="shared" si="245"/>
        <v>1</v>
      </c>
      <c r="AW438" s="18">
        <f t="shared" si="246"/>
        <v>2</v>
      </c>
      <c r="AX438" s="18">
        <f t="shared" si="247"/>
        <v>3</v>
      </c>
      <c r="AY438" s="18">
        <f t="shared" si="248"/>
        <v>7</v>
      </c>
      <c r="AZ438" s="18">
        <f t="shared" si="249"/>
        <v>5</v>
      </c>
      <c r="BA438" s="18">
        <f t="shared" si="250"/>
        <v>8</v>
      </c>
      <c r="BB438" s="18">
        <f t="shared" si="251"/>
        <v>6</v>
      </c>
      <c r="BC438" s="18">
        <f t="shared" si="252"/>
        <v>4</v>
      </c>
      <c r="BD438" s="18">
        <f t="shared" si="253"/>
        <v>9</v>
      </c>
      <c r="BE438" s="8">
        <f t="shared" si="255"/>
        <v>-2.0338075536783469E-2</v>
      </c>
    </row>
    <row r="439" spans="1:57" x14ac:dyDescent="0.25">
      <c r="A439" t="str">
        <f t="shared" si="254"/>
        <v/>
      </c>
      <c r="B439" s="1">
        <v>43378</v>
      </c>
      <c r="C439" s="9">
        <f t="shared" si="229"/>
        <v>0.24636929802850188</v>
      </c>
      <c r="D439" s="9">
        <f t="shared" si="230"/>
        <v>0.25400356482595338</v>
      </c>
      <c r="E439" s="9">
        <f t="shared" si="231"/>
        <v>0.25697135700430485</v>
      </c>
      <c r="F439" s="9">
        <f t="shared" si="232"/>
        <v>0</v>
      </c>
      <c r="G439" s="9">
        <f t="shared" si="233"/>
        <v>0</v>
      </c>
      <c r="H439" s="9">
        <f t="shared" si="234"/>
        <v>0</v>
      </c>
      <c r="I439" s="9">
        <f t="shared" si="235"/>
        <v>0</v>
      </c>
      <c r="J439" s="9">
        <f t="shared" si="236"/>
        <v>0.2426557801412399</v>
      </c>
      <c r="K439" s="9">
        <v>0</v>
      </c>
      <c r="L439" s="8">
        <f>+VLOOKUP($B439,NIFTY_50!$B$3:$I$1238,8,0)</f>
        <v>-2.6681133099039966E-2</v>
      </c>
      <c r="M439" s="8">
        <f>+VLOOKUP($B439,NIFTY_BANK!$B$3:$I$41238,8,0)</f>
        <v>-1.5143456906520303E-2</v>
      </c>
      <c r="N439" s="8">
        <f>+VLOOKUP($B439,NIFTY_IT!$B$3:$I$1238,8,0)</f>
        <v>9.7499530473865725E-3</v>
      </c>
      <c r="O439" s="8">
        <f>+VLOOKUP($B439,NIFTY_PHARMA!$B$3:$I$1238,8,0)</f>
        <v>-8.6597617008020711E-3</v>
      </c>
      <c r="P439" s="8">
        <f>+VLOOKUP($B439,NIFTY_FMCG!$B$3:$I$1238,8,0)</f>
        <v>-2.6416254221955149E-2</v>
      </c>
      <c r="Q439" s="8">
        <f>+VLOOKUP($B439,NIFTY_METAL!$B$3:$I$1238,8,0)</f>
        <v>-3.5746777331448487E-2</v>
      </c>
      <c r="R439" s="8">
        <f>+VLOOKUP($B439,NIFTY_ENERGY!$B$3:$I$1238,8,0)</f>
        <v>-7.9693369744520903E-2</v>
      </c>
      <c r="S439" s="8">
        <f>+VLOOKUP($B439,NIFTY_AUTO!$B$3:$I$1238,8,0)</f>
        <v>-3.1704138155751016E-2</v>
      </c>
      <c r="T439" s="8">
        <v>0</v>
      </c>
      <c r="U439" s="8">
        <f>+VLOOKUP($B439,NIFTY_50!$B$63:$K$1238,10,0)</f>
        <v>-4.0307914137537981E-2</v>
      </c>
      <c r="V439" s="8">
        <f>+VLOOKUP($B439,NIFTY_BANK!$B$63:$K$1238,10,0)</f>
        <v>-7.7720510276078736E-2</v>
      </c>
      <c r="W439" s="8">
        <f>+VLOOKUP($B439,NIFTY_IT!$B$63:$K$1238,10,0)</f>
        <v>0.11604094341648463</v>
      </c>
      <c r="X439" s="8">
        <f>+VLOOKUP($B439,NIFTY_PHARMA!$B$63:$K$1238,10,0)</f>
        <v>2.9447125104455907E-2</v>
      </c>
      <c r="Y439" s="8">
        <f>+VLOOKUP($B439,NIFTY_FMCG!$B$63:$K$1238,10,0)</f>
        <v>-5.1884153113270326E-2</v>
      </c>
      <c r="Z439" s="8">
        <f>+VLOOKUP($B439,NIFTY_METAL!$B$63:$K$1238,10,0)</f>
        <v>3.6780086984002924E-2</v>
      </c>
      <c r="AA439" s="8">
        <f>+VLOOKUP($B439,NIFTY_ENERGY!$B$63:$K$1238,10,0)</f>
        <v>8.1200815424737893E-3</v>
      </c>
      <c r="AB439" s="8">
        <f>+VLOOKUP($B439,NIFTY_AUTO!$B$63:$K$1238,10,0)</f>
        <v>-0.18402855639200966</v>
      </c>
      <c r="AC439" s="8"/>
      <c r="AD439" s="16">
        <f t="shared" si="237"/>
        <v>6.3697098149104237E-2</v>
      </c>
      <c r="AE439" s="8">
        <f t="shared" si="238"/>
        <v>7.3540057920042659E-2</v>
      </c>
      <c r="AF439" s="8">
        <f t="shared" si="239"/>
        <v>7.8250402075889375E-2</v>
      </c>
      <c r="AG439" s="8">
        <f t="shared" si="240"/>
        <v>0.11324508649416684</v>
      </c>
      <c r="AH439" s="8">
        <f t="shared" si="241"/>
        <v>9.2388424220180523E-2</v>
      </c>
      <c r="AI439" s="8">
        <f t="shared" si="242"/>
        <v>0.13025601436921916</v>
      </c>
      <c r="AJ439" s="8">
        <f t="shared" si="243"/>
        <v>0.12998520648762996</v>
      </c>
      <c r="AK439" s="8">
        <f t="shared" si="244"/>
        <v>9.0336794870567644E-2</v>
      </c>
      <c r="AL439" s="9">
        <v>0</v>
      </c>
      <c r="AM439" s="17">
        <f t="shared" si="221"/>
        <v>15.699302308233376</v>
      </c>
      <c r="AN439" s="13">
        <f t="shared" si="222"/>
        <v>13.598031172170987</v>
      </c>
      <c r="AO439" s="13">
        <f t="shared" si="223"/>
        <v>12.779487050177362</v>
      </c>
      <c r="AP439" s="13">
        <f t="shared" si="224"/>
        <v>8.8304051942378017</v>
      </c>
      <c r="AQ439" s="13">
        <f t="shared" si="225"/>
        <v>10.823866825748595</v>
      </c>
      <c r="AR439" s="13">
        <f t="shared" si="226"/>
        <v>7.6771886875444757</v>
      </c>
      <c r="AS439" s="13">
        <f t="shared" si="227"/>
        <v>7.6931831476927721</v>
      </c>
      <c r="AT439" s="13">
        <f t="shared" si="228"/>
        <v>11.06968651514342</v>
      </c>
      <c r="AU439" s="9">
        <v>0</v>
      </c>
      <c r="AV439" s="18">
        <f t="shared" si="245"/>
        <v>1</v>
      </c>
      <c r="AW439" s="18">
        <f t="shared" si="246"/>
        <v>2</v>
      </c>
      <c r="AX439" s="18">
        <f t="shared" si="247"/>
        <v>3</v>
      </c>
      <c r="AY439" s="18">
        <f t="shared" si="248"/>
        <v>6</v>
      </c>
      <c r="AZ439" s="18">
        <f t="shared" si="249"/>
        <v>5</v>
      </c>
      <c r="BA439" s="18">
        <f t="shared" si="250"/>
        <v>8</v>
      </c>
      <c r="BB439" s="18">
        <f t="shared" si="251"/>
        <v>7</v>
      </c>
      <c r="BC439" s="18">
        <f t="shared" si="252"/>
        <v>4</v>
      </c>
      <c r="BD439" s="18">
        <f t="shared" si="253"/>
        <v>9</v>
      </c>
      <c r="BE439" s="8">
        <f t="shared" si="255"/>
        <v>-1.5867232417507336E-2</v>
      </c>
    </row>
    <row r="440" spans="1:57" x14ac:dyDescent="0.25">
      <c r="A440" t="str">
        <f t="shared" si="254"/>
        <v/>
      </c>
      <c r="B440" s="1">
        <v>43381</v>
      </c>
      <c r="C440" s="9">
        <f t="shared" si="229"/>
        <v>0.24729189641257232</v>
      </c>
      <c r="D440" s="9">
        <f t="shared" si="230"/>
        <v>0.25599489723153446</v>
      </c>
      <c r="E440" s="9">
        <f t="shared" si="231"/>
        <v>0.25242171201130947</v>
      </c>
      <c r="F440" s="9">
        <f t="shared" si="232"/>
        <v>0</v>
      </c>
      <c r="G440" s="9">
        <f t="shared" si="233"/>
        <v>0</v>
      </c>
      <c r="H440" s="9">
        <f t="shared" si="234"/>
        <v>0</v>
      </c>
      <c r="I440" s="9">
        <f t="shared" si="235"/>
        <v>0</v>
      </c>
      <c r="J440" s="9">
        <f t="shared" si="236"/>
        <v>0.2442914943445838</v>
      </c>
      <c r="K440" s="9">
        <v>0</v>
      </c>
      <c r="L440" s="8">
        <f>+VLOOKUP($B440,NIFTY_50!$B$3:$I$1238,8,0)</f>
        <v>3.0630691759276907E-3</v>
      </c>
      <c r="M440" s="8">
        <f>+VLOOKUP($B440,NIFTY_BANK!$B$3:$I$41238,8,0)</f>
        <v>7.1552910902510369E-3</v>
      </c>
      <c r="N440" s="8">
        <f>+VLOOKUP($B440,NIFTY_IT!$B$3:$I$1238,8,0)</f>
        <v>-1.8372013225027461E-2</v>
      </c>
      <c r="O440" s="8">
        <f>+VLOOKUP($B440,NIFTY_PHARMA!$B$3:$I$1238,8,0)</f>
        <v>-4.3519929613977659E-3</v>
      </c>
      <c r="P440" s="8">
        <f>+VLOOKUP($B440,NIFTY_FMCG!$B$3:$I$1238,8,0)</f>
        <v>-6.0271652950082411E-3</v>
      </c>
      <c r="Q440" s="8">
        <f>+VLOOKUP($B440,NIFTY_METAL!$B$3:$I$1238,8,0)</f>
        <v>-3.05401129287447E-2</v>
      </c>
      <c r="R440" s="8">
        <f>+VLOOKUP($B440,NIFTY_ENERGY!$B$3:$I$1238,8,0)</f>
        <v>4.1433197770748498E-2</v>
      </c>
      <c r="S440" s="8">
        <f>+VLOOKUP($B440,NIFTY_AUTO!$B$3:$I$1238,8,0)</f>
        <v>6.0571390113404178E-3</v>
      </c>
      <c r="T440" s="8">
        <v>0</v>
      </c>
      <c r="U440" s="8">
        <f>+VLOOKUP($B440,NIFTY_50!$B$63:$K$1238,10,0)</f>
        <v>-3.9414628712526656E-2</v>
      </c>
      <c r="V440" s="8">
        <f>+VLOOKUP($B440,NIFTY_BANK!$B$63:$K$1238,10,0)</f>
        <v>-7.0790013531442209E-2</v>
      </c>
      <c r="W440" s="8">
        <f>+VLOOKUP($B440,NIFTY_IT!$B$63:$K$1238,10,0)</f>
        <v>9.1984489099918409E-2</v>
      </c>
      <c r="X440" s="8">
        <f>+VLOOKUP($B440,NIFTY_PHARMA!$B$63:$K$1238,10,0)</f>
        <v>3.4374693957496705E-2</v>
      </c>
      <c r="Y440" s="8">
        <f>+VLOOKUP($B440,NIFTY_FMCG!$B$63:$K$1238,10,0)</f>
        <v>-5.5848340327794066E-2</v>
      </c>
      <c r="Z440" s="8">
        <f>+VLOOKUP($B440,NIFTY_METAL!$B$63:$K$1238,10,0)</f>
        <v>5.2377297150854041E-3</v>
      </c>
      <c r="AA440" s="8">
        <f>+VLOOKUP($B440,NIFTY_ENERGY!$B$63:$K$1238,10,0)</f>
        <v>4.0978485072042714E-2</v>
      </c>
      <c r="AB440" s="8">
        <f>+VLOOKUP($B440,NIFTY_AUTO!$B$63:$K$1238,10,0)</f>
        <v>-0.18962580808377416</v>
      </c>
      <c r="AC440" s="8"/>
      <c r="AD440" s="16">
        <f t="shared" si="237"/>
        <v>6.3744378525915801E-2</v>
      </c>
      <c r="AE440" s="8">
        <f t="shared" si="238"/>
        <v>7.4010346480493427E-2</v>
      </c>
      <c r="AF440" s="8">
        <f t="shared" si="239"/>
        <v>8.0761926058520048E-2</v>
      </c>
      <c r="AG440" s="8">
        <f t="shared" si="240"/>
        <v>0.11293709103741688</v>
      </c>
      <c r="AH440" s="8">
        <f t="shared" si="241"/>
        <v>9.2528506054135026E-2</v>
      </c>
      <c r="AI440" s="8">
        <f t="shared" si="242"/>
        <v>0.13389814332257666</v>
      </c>
      <c r="AJ440" s="8">
        <f t="shared" si="243"/>
        <v>0.13602860711188444</v>
      </c>
      <c r="AK440" s="8">
        <f t="shared" si="244"/>
        <v>8.9342926951581761E-2</v>
      </c>
      <c r="AL440" s="9">
        <v>0</v>
      </c>
      <c r="AM440" s="17">
        <f t="shared" si="221"/>
        <v>15.687657847247531</v>
      </c>
      <c r="AN440" s="13">
        <f t="shared" si="222"/>
        <v>13.511624354624059</v>
      </c>
      <c r="AO440" s="13">
        <f t="shared" si="223"/>
        <v>12.382072206591515</v>
      </c>
      <c r="AP440" s="13">
        <f t="shared" si="224"/>
        <v>8.8544869609638948</v>
      </c>
      <c r="AQ440" s="13">
        <f t="shared" si="225"/>
        <v>10.807480231172615</v>
      </c>
      <c r="AR440" s="13">
        <f t="shared" si="226"/>
        <v>7.4683634528888145</v>
      </c>
      <c r="AS440" s="13">
        <f t="shared" si="227"/>
        <v>7.3513948369514166</v>
      </c>
      <c r="AT440" s="13">
        <f t="shared" si="228"/>
        <v>11.192827838984243</v>
      </c>
      <c r="AU440" s="9">
        <v>0</v>
      </c>
      <c r="AV440" s="18">
        <f t="shared" si="245"/>
        <v>1</v>
      </c>
      <c r="AW440" s="18">
        <f t="shared" si="246"/>
        <v>2</v>
      </c>
      <c r="AX440" s="18">
        <f t="shared" si="247"/>
        <v>3</v>
      </c>
      <c r="AY440" s="18">
        <f t="shared" si="248"/>
        <v>6</v>
      </c>
      <c r="AZ440" s="18">
        <f t="shared" si="249"/>
        <v>5</v>
      </c>
      <c r="BA440" s="18">
        <f t="shared" si="250"/>
        <v>7</v>
      </c>
      <c r="BB440" s="18">
        <f t="shared" si="251"/>
        <v>8</v>
      </c>
      <c r="BC440" s="18">
        <f t="shared" si="252"/>
        <v>4</v>
      </c>
      <c r="BD440" s="18">
        <f t="shared" si="253"/>
        <v>9</v>
      </c>
      <c r="BE440" s="8">
        <f t="shared" si="255"/>
        <v>-6.7916573013840137E-4</v>
      </c>
    </row>
    <row r="441" spans="1:57" x14ac:dyDescent="0.25">
      <c r="A441" t="str">
        <f t="shared" si="254"/>
        <v/>
      </c>
      <c r="B441" s="1">
        <v>43382</v>
      </c>
      <c r="C441" s="9">
        <f t="shared" si="229"/>
        <v>0.24801251403318697</v>
      </c>
      <c r="D441" s="9">
        <f t="shared" si="230"/>
        <v>0.2569620806042075</v>
      </c>
      <c r="E441" s="9">
        <f t="shared" si="231"/>
        <v>0.25538574246402229</v>
      </c>
      <c r="F441" s="9">
        <f t="shared" si="232"/>
        <v>0</v>
      </c>
      <c r="G441" s="9">
        <f t="shared" si="233"/>
        <v>0</v>
      </c>
      <c r="H441" s="9">
        <f t="shared" si="234"/>
        <v>0</v>
      </c>
      <c r="I441" s="9">
        <f t="shared" si="235"/>
        <v>0</v>
      </c>
      <c r="J441" s="9">
        <f t="shared" si="236"/>
        <v>0.23963966289858327</v>
      </c>
      <c r="K441" s="9">
        <v>0</v>
      </c>
      <c r="L441" s="8">
        <f>+VLOOKUP($B441,NIFTY_50!$B$3:$I$1238,8,0)</f>
        <v>-4.5419185257126182E-3</v>
      </c>
      <c r="M441" s="8">
        <f>+VLOOKUP($B441,NIFTY_BANK!$B$3:$I$41238,8,0)</f>
        <v>-3.6842436637709586E-3</v>
      </c>
      <c r="N441" s="8">
        <f>+VLOOKUP($B441,NIFTY_IT!$B$3:$I$1238,8,0)</f>
        <v>4.2207877061390953E-3</v>
      </c>
      <c r="O441" s="8">
        <f>+VLOOKUP($B441,NIFTY_PHARMA!$B$3:$I$1238,8,0)</f>
        <v>1.3986197900229369E-2</v>
      </c>
      <c r="P441" s="8">
        <f>+VLOOKUP($B441,NIFTY_FMCG!$B$3:$I$1238,8,0)</f>
        <v>-2.0073414230955211E-2</v>
      </c>
      <c r="Q441" s="8">
        <f>+VLOOKUP($B441,NIFTY_METAL!$B$3:$I$1238,8,0)</f>
        <v>1.0271152435281206E-2</v>
      </c>
      <c r="R441" s="8">
        <f>+VLOOKUP($B441,NIFTY_ENERGY!$B$3:$I$1238,8,0)</f>
        <v>-1.7124488814483474E-2</v>
      </c>
      <c r="S441" s="8">
        <f>+VLOOKUP($B441,NIFTY_AUTO!$B$3:$I$1238,8,0)</f>
        <v>-2.6334860799857363E-2</v>
      </c>
      <c r="T441" s="8">
        <v>0</v>
      </c>
      <c r="U441" s="8">
        <f>+VLOOKUP($B441,NIFTY_50!$B$63:$K$1238,10,0)</f>
        <v>-5.0848160399524556E-2</v>
      </c>
      <c r="V441" s="8">
        <f>+VLOOKUP($B441,NIFTY_BANK!$B$63:$K$1238,10,0)</f>
        <v>-8.3191606269133023E-2</v>
      </c>
      <c r="W441" s="8">
        <f>+VLOOKUP($B441,NIFTY_IT!$B$63:$K$1238,10,0)</f>
        <v>8.9372982206203933E-2</v>
      </c>
      <c r="X441" s="8">
        <f>+VLOOKUP($B441,NIFTY_PHARMA!$B$63:$K$1238,10,0)</f>
        <v>3.5578452017705819E-2</v>
      </c>
      <c r="Y441" s="8">
        <f>+VLOOKUP($B441,NIFTY_FMCG!$B$63:$K$1238,10,0)</f>
        <v>-8.2396142972297359E-2</v>
      </c>
      <c r="Z441" s="8">
        <f>+VLOOKUP($B441,NIFTY_METAL!$B$63:$K$1238,10,0)</f>
        <v>2.1982265658651023E-3</v>
      </c>
      <c r="AA441" s="8">
        <f>+VLOOKUP($B441,NIFTY_ENERGY!$B$63:$K$1238,10,0)</f>
        <v>6.8860013038583023E-3</v>
      </c>
      <c r="AB441" s="8">
        <f>+VLOOKUP($B441,NIFTY_AUTO!$B$63:$K$1238,10,0)</f>
        <v>-0.21577096981316768</v>
      </c>
      <c r="AC441" s="8"/>
      <c r="AD441" s="16">
        <f t="shared" si="237"/>
        <v>6.3333422556921454E-2</v>
      </c>
      <c r="AE441" s="8">
        <f t="shared" si="238"/>
        <v>7.3218979431131939E-2</v>
      </c>
      <c r="AF441" s="8">
        <f t="shared" si="239"/>
        <v>8.0644183228084546E-2</v>
      </c>
      <c r="AG441" s="8">
        <f t="shared" si="240"/>
        <v>0.11306985000536104</v>
      </c>
      <c r="AH441" s="8">
        <f t="shared" si="241"/>
        <v>9.3986014392429346E-2</v>
      </c>
      <c r="AI441" s="8">
        <f t="shared" si="242"/>
        <v>0.13363256630576945</v>
      </c>
      <c r="AJ441" s="8">
        <f t="shared" si="243"/>
        <v>0.13627937215896252</v>
      </c>
      <c r="AK441" s="8">
        <f t="shared" si="244"/>
        <v>9.1661229333941052E-2</v>
      </c>
      <c r="AL441" s="9">
        <v>0</v>
      </c>
      <c r="AM441" s="17">
        <f t="shared" si="221"/>
        <v>15.789451440134021</v>
      </c>
      <c r="AN441" s="13">
        <f t="shared" si="222"/>
        <v>13.657661002234764</v>
      </c>
      <c r="AO441" s="13">
        <f t="shared" si="223"/>
        <v>12.40015038867363</v>
      </c>
      <c r="AP441" s="13">
        <f t="shared" si="224"/>
        <v>8.8440906214396353</v>
      </c>
      <c r="AQ441" s="13">
        <f t="shared" si="225"/>
        <v>10.639880906371863</v>
      </c>
      <c r="AR441" s="13">
        <f t="shared" si="226"/>
        <v>7.4832058355585591</v>
      </c>
      <c r="AS441" s="13">
        <f t="shared" si="227"/>
        <v>7.3378676769478659</v>
      </c>
      <c r="AT441" s="13">
        <f t="shared" si="228"/>
        <v>10.909738035007043</v>
      </c>
      <c r="AU441" s="9">
        <v>0</v>
      </c>
      <c r="AV441" s="18">
        <f t="shared" si="245"/>
        <v>1</v>
      </c>
      <c r="AW441" s="18">
        <f t="shared" si="246"/>
        <v>2</v>
      </c>
      <c r="AX441" s="18">
        <f t="shared" si="247"/>
        <v>3</v>
      </c>
      <c r="AY441" s="18">
        <f t="shared" si="248"/>
        <v>6</v>
      </c>
      <c r="AZ441" s="18">
        <f t="shared" si="249"/>
        <v>5</v>
      </c>
      <c r="BA441" s="18">
        <f t="shared" si="250"/>
        <v>7</v>
      </c>
      <c r="BB441" s="18">
        <f t="shared" si="251"/>
        <v>8</v>
      </c>
      <c r="BC441" s="18">
        <f t="shared" si="252"/>
        <v>4</v>
      </c>
      <c r="BD441" s="18">
        <f t="shared" si="253"/>
        <v>9</v>
      </c>
      <c r="BE441" s="8">
        <f t="shared" si="255"/>
        <v>-7.4342912629916848E-3</v>
      </c>
    </row>
    <row r="442" spans="1:57" x14ac:dyDescent="0.25">
      <c r="A442" t="str">
        <f t="shared" si="254"/>
        <v/>
      </c>
      <c r="B442" s="1">
        <v>43383</v>
      </c>
      <c r="C442" s="9">
        <f t="shared" si="229"/>
        <v>0.24820117505271835</v>
      </c>
      <c r="D442" s="9">
        <f t="shared" si="230"/>
        <v>0.26144591236840264</v>
      </c>
      <c r="E442" s="9">
        <f t="shared" si="231"/>
        <v>0.24798304433944293</v>
      </c>
      <c r="F442" s="9">
        <f t="shared" si="232"/>
        <v>0</v>
      </c>
      <c r="G442" s="9">
        <f t="shared" si="233"/>
        <v>0</v>
      </c>
      <c r="H442" s="9">
        <f t="shared" si="234"/>
        <v>0</v>
      </c>
      <c r="I442" s="9">
        <f t="shared" si="235"/>
        <v>0</v>
      </c>
      <c r="J442" s="9">
        <f t="shared" si="236"/>
        <v>0.24236986823943601</v>
      </c>
      <c r="K442" s="9">
        <v>0</v>
      </c>
      <c r="L442" s="8">
        <f>+VLOOKUP($B442,NIFTY_50!$B$3:$I$1238,8,0)</f>
        <v>1.544017357453864E-2</v>
      </c>
      <c r="M442" s="8">
        <f>+VLOOKUP($B442,NIFTY_BANK!$B$3:$I$41238,8,0)</f>
        <v>3.2373668084794138E-2</v>
      </c>
      <c r="N442" s="8">
        <f>+VLOOKUP($B442,NIFTY_IT!$B$3:$I$1238,8,0)</f>
        <v>-1.4743197699384369E-2</v>
      </c>
      <c r="O442" s="8">
        <f>+VLOOKUP($B442,NIFTY_PHARMA!$B$3:$I$1238,8,0)</f>
        <v>1.3756970561535464E-2</v>
      </c>
      <c r="P442" s="8">
        <f>+VLOOKUP($B442,NIFTY_FMCG!$B$3:$I$1238,8,0)</f>
        <v>1.6458775711657436E-2</v>
      </c>
      <c r="Q442" s="8">
        <f>+VLOOKUP($B442,NIFTY_METAL!$B$3:$I$1238,8,0)</f>
        <v>1.9236754353464169E-2</v>
      </c>
      <c r="R442" s="8">
        <f>+VLOOKUP($B442,NIFTY_ENERGY!$B$3:$I$1238,8,0)</f>
        <v>1.3832327178683546E-2</v>
      </c>
      <c r="S442" s="8">
        <f>+VLOOKUP($B442,NIFTY_AUTO!$B$3:$I$1238,8,0)</f>
        <v>2.622840064583376E-2</v>
      </c>
      <c r="T442" s="8">
        <v>0</v>
      </c>
      <c r="U442" s="8">
        <f>+VLOOKUP($B442,NIFTY_50!$B$63:$K$1238,10,0)</f>
        <v>-4.4499760213752237E-2</v>
      </c>
      <c r="V442" s="8">
        <f>+VLOOKUP($B442,NIFTY_BANK!$B$63:$K$1238,10,0)</f>
        <v>-5.8482108828740387E-2</v>
      </c>
      <c r="W442" s="8">
        <f>+VLOOKUP($B442,NIFTY_IT!$B$63:$K$1238,10,0)</f>
        <v>6.4716739027262715E-2</v>
      </c>
      <c r="X442" s="8">
        <f>+VLOOKUP($B442,NIFTY_PHARMA!$B$63:$K$1238,10,0)</f>
        <v>5.3389894459956233E-2</v>
      </c>
      <c r="Y442" s="8">
        <f>+VLOOKUP($B442,NIFTY_FMCG!$B$63:$K$1238,10,0)</f>
        <v>-7.1306460623111301E-2</v>
      </c>
      <c r="Z442" s="8">
        <f>+VLOOKUP($B442,NIFTY_METAL!$B$63:$K$1238,10,0)</f>
        <v>4.7628091808260553E-3</v>
      </c>
      <c r="AA442" s="8">
        <f>+VLOOKUP($B442,NIFTY_ENERGY!$B$63:$K$1238,10,0)</f>
        <v>2.1381895934167172E-3</v>
      </c>
      <c r="AB442" s="8">
        <f>+VLOOKUP($B442,NIFTY_AUTO!$B$63:$K$1238,10,0)</f>
        <v>-0.20261673428713789</v>
      </c>
      <c r="AC442" s="8"/>
      <c r="AD442" s="16">
        <f t="shared" si="237"/>
        <v>6.4686090992874812E-2</v>
      </c>
      <c r="AE442" s="8">
        <f t="shared" si="238"/>
        <v>8.0273763625625327E-2</v>
      </c>
      <c r="AF442" s="8">
        <f t="shared" si="239"/>
        <v>8.1936891424955305E-2</v>
      </c>
      <c r="AG442" s="8">
        <f t="shared" si="240"/>
        <v>0.11373003229740834</v>
      </c>
      <c r="AH442" s="8">
        <f t="shared" si="241"/>
        <v>9.5475693403539744E-2</v>
      </c>
      <c r="AI442" s="8">
        <f t="shared" si="242"/>
        <v>0.13397730457681445</v>
      </c>
      <c r="AJ442" s="8">
        <f t="shared" si="243"/>
        <v>0.13571410187168634</v>
      </c>
      <c r="AK442" s="8">
        <f t="shared" si="244"/>
        <v>9.5555369107974075E-2</v>
      </c>
      <c r="AL442" s="9">
        <v>0</v>
      </c>
      <c r="AM442" s="17">
        <f t="shared" si="221"/>
        <v>15.459273928148638</v>
      </c>
      <c r="AN442" s="13">
        <f t="shared" si="222"/>
        <v>12.457370314212797</v>
      </c>
      <c r="AO442" s="13">
        <f t="shared" si="223"/>
        <v>12.204514750426968</v>
      </c>
      <c r="AP442" s="13">
        <f t="shared" si="224"/>
        <v>8.792752273075612</v>
      </c>
      <c r="AQ442" s="13">
        <f t="shared" si="225"/>
        <v>10.473869990903101</v>
      </c>
      <c r="AR442" s="13">
        <f t="shared" si="226"/>
        <v>7.4639507277641997</v>
      </c>
      <c r="AS442" s="13">
        <f t="shared" si="227"/>
        <v>7.3684310341269503</v>
      </c>
      <c r="AT442" s="13">
        <f t="shared" si="228"/>
        <v>10.465136698598657</v>
      </c>
      <c r="AU442" s="9">
        <v>0</v>
      </c>
      <c r="AV442" s="18">
        <f t="shared" si="245"/>
        <v>1</v>
      </c>
      <c r="AW442" s="18">
        <f t="shared" si="246"/>
        <v>2</v>
      </c>
      <c r="AX442" s="18">
        <f t="shared" si="247"/>
        <v>3</v>
      </c>
      <c r="AY442" s="18">
        <f t="shared" si="248"/>
        <v>6</v>
      </c>
      <c r="AZ442" s="18">
        <f t="shared" si="249"/>
        <v>4</v>
      </c>
      <c r="BA442" s="18">
        <f t="shared" si="250"/>
        <v>7</v>
      </c>
      <c r="BB442" s="18">
        <f t="shared" si="251"/>
        <v>8</v>
      </c>
      <c r="BC442" s="18">
        <f t="shared" si="252"/>
        <v>5</v>
      </c>
      <c r="BD442" s="18">
        <f t="shared" si="253"/>
        <v>9</v>
      </c>
      <c r="BE442" s="8">
        <f t="shared" si="255"/>
        <v>1.4668323971574282E-2</v>
      </c>
    </row>
    <row r="443" spans="1:57" x14ac:dyDescent="0.25">
      <c r="A443" t="str">
        <f t="shared" si="254"/>
        <v/>
      </c>
      <c r="B443" s="1">
        <v>43384</v>
      </c>
      <c r="C443" s="9">
        <f t="shared" si="229"/>
        <v>0.24893917175558736</v>
      </c>
      <c r="D443" s="9">
        <f t="shared" si="230"/>
        <v>0.26230814084115833</v>
      </c>
      <c r="E443" s="9">
        <f t="shared" si="231"/>
        <v>0.24647414905666185</v>
      </c>
      <c r="F443" s="9">
        <f t="shared" si="232"/>
        <v>0</v>
      </c>
      <c r="G443" s="9">
        <f t="shared" si="233"/>
        <v>0</v>
      </c>
      <c r="H443" s="9">
        <f t="shared" si="234"/>
        <v>0</v>
      </c>
      <c r="I443" s="9">
        <f t="shared" si="235"/>
        <v>0</v>
      </c>
      <c r="J443" s="9">
        <f t="shared" si="236"/>
        <v>0.24227853834659238</v>
      </c>
      <c r="K443" s="9">
        <v>0</v>
      </c>
      <c r="L443" s="8">
        <f>+VLOOKUP($B443,NIFTY_50!$B$3:$I$1238,8,0)</f>
        <v>-2.1553331230103057E-2</v>
      </c>
      <c r="M443" s="8">
        <f>+VLOOKUP($B443,NIFTY_BANK!$B$3:$I$41238,8,0)</f>
        <v>-2.1236725812248003E-2</v>
      </c>
      <c r="N443" s="8">
        <f>+VLOOKUP($B443,NIFTY_IT!$B$3:$I$1238,8,0)</f>
        <v>-3.0389877965027234E-2</v>
      </c>
      <c r="O443" s="8">
        <f>+VLOOKUP($B443,NIFTY_PHARMA!$B$3:$I$1238,8,0)</f>
        <v>-2.8931519186192411E-2</v>
      </c>
      <c r="P443" s="8">
        <f>+VLOOKUP($B443,NIFTY_FMCG!$B$3:$I$1238,8,0)</f>
        <v>-8.0263801569039339E-3</v>
      </c>
      <c r="Q443" s="8">
        <f>+VLOOKUP($B443,NIFTY_METAL!$B$3:$I$1238,8,0)</f>
        <v>-3.8430779521033021E-2</v>
      </c>
      <c r="R443" s="8">
        <f>+VLOOKUP($B443,NIFTY_ENERGY!$B$3:$I$1238,8,0)</f>
        <v>1.248244655952524E-3</v>
      </c>
      <c r="S443" s="8">
        <f>+VLOOKUP($B443,NIFTY_AUTO!$B$3:$I$1238,8,0)</f>
        <v>-2.4821606904747329E-2</v>
      </c>
      <c r="T443" s="8">
        <v>0</v>
      </c>
      <c r="U443" s="8">
        <f>+VLOOKUP($B443,NIFTY_50!$B$63:$K$1238,10,0)</f>
        <v>-6.5183635815606045E-2</v>
      </c>
      <c r="V443" s="8">
        <f>+VLOOKUP($B443,NIFTY_BANK!$B$63:$K$1238,10,0)</f>
        <v>-7.5784413899060987E-2</v>
      </c>
      <c r="W443" s="8">
        <f>+VLOOKUP($B443,NIFTY_IT!$B$63:$K$1238,10,0)</f>
        <v>1.0081553611782645E-2</v>
      </c>
      <c r="X443" s="8">
        <f>+VLOOKUP($B443,NIFTY_PHARMA!$B$63:$K$1238,10,0)</f>
        <v>2.8167564228981146E-2</v>
      </c>
      <c r="Y443" s="8">
        <f>+VLOOKUP($B443,NIFTY_FMCG!$B$63:$K$1238,10,0)</f>
        <v>-8.1455980350707557E-2</v>
      </c>
      <c r="Z443" s="8">
        <f>+VLOOKUP($B443,NIFTY_METAL!$B$63:$K$1238,10,0)</f>
        <v>-3.2105874018359959E-3</v>
      </c>
      <c r="AA443" s="8">
        <f>+VLOOKUP($B443,NIFTY_ENERGY!$B$63:$K$1238,10,0)</f>
        <v>6.5237955442443152E-5</v>
      </c>
      <c r="AB443" s="8">
        <f>+VLOOKUP($B443,NIFTY_AUTO!$B$63:$K$1238,10,0)</f>
        <v>-0.21459640167514427</v>
      </c>
      <c r="AC443" s="8"/>
      <c r="AD443" s="16">
        <f t="shared" si="237"/>
        <v>6.7899467166090424E-2</v>
      </c>
      <c r="AE443" s="8">
        <f t="shared" si="238"/>
        <v>8.2744387079176154E-2</v>
      </c>
      <c r="AF443" s="8">
        <f t="shared" si="239"/>
        <v>8.4966406340912404E-2</v>
      </c>
      <c r="AG443" s="8">
        <f t="shared" si="240"/>
        <v>0.11739610020820328</v>
      </c>
      <c r="AH443" s="8">
        <f t="shared" si="241"/>
        <v>9.5627003469062402E-2</v>
      </c>
      <c r="AI443" s="8">
        <f t="shared" si="242"/>
        <v>0.13595757224704899</v>
      </c>
      <c r="AJ443" s="8">
        <f t="shared" si="243"/>
        <v>0.13568178072218087</v>
      </c>
      <c r="AK443" s="8">
        <f t="shared" si="244"/>
        <v>9.7654452015531024E-2</v>
      </c>
      <c r="AL443" s="9">
        <v>0</v>
      </c>
      <c r="AM443" s="17">
        <f t="shared" si="221"/>
        <v>14.727656073557652</v>
      </c>
      <c r="AN443" s="13">
        <f t="shared" si="222"/>
        <v>12.085411896798796</v>
      </c>
      <c r="AO443" s="13">
        <f t="shared" si="223"/>
        <v>11.769357362104737</v>
      </c>
      <c r="AP443" s="13">
        <f t="shared" si="224"/>
        <v>8.5181705203706848</v>
      </c>
      <c r="AQ443" s="13">
        <f t="shared" si="225"/>
        <v>10.457297245788149</v>
      </c>
      <c r="AR443" s="13">
        <f t="shared" si="226"/>
        <v>7.355235780342535</v>
      </c>
      <c r="AS443" s="13">
        <f t="shared" si="227"/>
        <v>7.3701862894000394</v>
      </c>
      <c r="AT443" s="13">
        <f t="shared" si="228"/>
        <v>10.240188535807455</v>
      </c>
      <c r="AU443" s="9">
        <v>0</v>
      </c>
      <c r="AV443" s="18">
        <f t="shared" si="245"/>
        <v>1</v>
      </c>
      <c r="AW443" s="18">
        <f t="shared" si="246"/>
        <v>2</v>
      </c>
      <c r="AX443" s="18">
        <f t="shared" si="247"/>
        <v>3</v>
      </c>
      <c r="AY443" s="18">
        <f t="shared" si="248"/>
        <v>6</v>
      </c>
      <c r="AZ443" s="18">
        <f t="shared" si="249"/>
        <v>4</v>
      </c>
      <c r="BA443" s="18">
        <f t="shared" si="250"/>
        <v>8</v>
      </c>
      <c r="BB443" s="18">
        <f t="shared" si="251"/>
        <v>7</v>
      </c>
      <c r="BC443" s="18">
        <f t="shared" si="252"/>
        <v>5</v>
      </c>
      <c r="BD443" s="18">
        <f t="shared" si="253"/>
        <v>9</v>
      </c>
      <c r="BE443" s="8">
        <f t="shared" si="255"/>
        <v>-2.445400134317911E-2</v>
      </c>
    </row>
    <row r="444" spans="1:57" x14ac:dyDescent="0.25">
      <c r="A444" t="str">
        <f t="shared" si="254"/>
        <v/>
      </c>
      <c r="B444" s="1">
        <v>43385</v>
      </c>
      <c r="C444" s="9">
        <f t="shared" si="229"/>
        <v>0.24987427964704251</v>
      </c>
      <c r="D444" s="9">
        <f t="shared" si="230"/>
        <v>0.26366649108013746</v>
      </c>
      <c r="E444" s="9">
        <f t="shared" si="231"/>
        <v>0.23941316560034362</v>
      </c>
      <c r="F444" s="9">
        <f t="shared" si="232"/>
        <v>0</v>
      </c>
      <c r="G444" s="9">
        <f t="shared" si="233"/>
        <v>0</v>
      </c>
      <c r="H444" s="9">
        <f t="shared" si="234"/>
        <v>0</v>
      </c>
      <c r="I444" s="9">
        <f t="shared" si="235"/>
        <v>0</v>
      </c>
      <c r="J444" s="9">
        <f t="shared" si="236"/>
        <v>0.24704606367247647</v>
      </c>
      <c r="K444" s="9">
        <v>0</v>
      </c>
      <c r="L444" s="8">
        <f>+VLOOKUP($B444,NIFTY_50!$B$3:$I$1238,8,0)</f>
        <v>2.323968088796402E-2</v>
      </c>
      <c r="M444" s="8">
        <f>+VLOOKUP($B444,NIFTY_BANK!$B$3:$I$41238,8,0)</f>
        <v>2.4689365496621818E-2</v>
      </c>
      <c r="N444" s="8">
        <f>+VLOOKUP($B444,NIFTY_IT!$B$3:$I$1238,8,0)</f>
        <v>-9.7936389021316961E-3</v>
      </c>
      <c r="O444" s="8">
        <f>+VLOOKUP($B444,NIFTY_PHARMA!$B$3:$I$1238,8,0)</f>
        <v>3.8941261401781446E-3</v>
      </c>
      <c r="P444" s="8">
        <f>+VLOOKUP($B444,NIFTY_FMCG!$B$3:$I$1238,8,0)</f>
        <v>2.8440182648401757E-2</v>
      </c>
      <c r="Q444" s="8">
        <f>+VLOOKUP($B444,NIFTY_METAL!$B$3:$I$1238,8,0)</f>
        <v>3.9800393164977965E-2</v>
      </c>
      <c r="R444" s="8">
        <f>+VLOOKUP($B444,NIFTY_ENERGY!$B$3:$I$1238,8,0)</f>
        <v>3.2363163254581773E-2</v>
      </c>
      <c r="S444" s="8">
        <f>+VLOOKUP($B444,NIFTY_AUTO!$B$3:$I$1238,8,0)</f>
        <v>3.947022140854739E-2</v>
      </c>
      <c r="T444" s="8">
        <v>0</v>
      </c>
      <c r="U444" s="8">
        <f>+VLOOKUP($B444,NIFTY_50!$B$63:$K$1238,10,0)</f>
        <v>-4.9958269830902124E-2</v>
      </c>
      <c r="V444" s="8">
        <f>+VLOOKUP($B444,NIFTY_BANK!$B$63:$K$1238,10,0)</f>
        <v>-6.0336964947431349E-2</v>
      </c>
      <c r="W444" s="8">
        <f>+VLOOKUP($B444,NIFTY_IT!$B$63:$K$1238,10,0)</f>
        <v>1.6223868721001455E-3</v>
      </c>
      <c r="X444" s="8">
        <f>+VLOOKUP($B444,NIFTY_PHARMA!$B$63:$K$1238,10,0)</f>
        <v>3.0451855778280246E-2</v>
      </c>
      <c r="Y444" s="8">
        <f>+VLOOKUP($B444,NIFTY_FMCG!$B$63:$K$1238,10,0)</f>
        <v>-5.9436768879467805E-2</v>
      </c>
      <c r="Z444" s="8">
        <f>+VLOOKUP($B444,NIFTY_METAL!$B$63:$K$1238,10,0)</f>
        <v>4.1737997485115308E-2</v>
      </c>
      <c r="AA444" s="8">
        <f>+VLOOKUP($B444,NIFTY_ENERGY!$B$63:$K$1238,10,0)</f>
        <v>5.4461770872304971E-3</v>
      </c>
      <c r="AB444" s="8">
        <f>+VLOOKUP($B444,NIFTY_AUTO!$B$63:$K$1238,10,0)</f>
        <v>-0.17698405508244242</v>
      </c>
      <c r="AC444" s="8"/>
      <c r="AD444" s="16">
        <f t="shared" si="237"/>
        <v>7.1653218197847979E-2</v>
      </c>
      <c r="AE444" s="8">
        <f t="shared" si="238"/>
        <v>8.620686705526194E-2</v>
      </c>
      <c r="AF444" s="8">
        <f t="shared" si="239"/>
        <v>8.5532187087557637E-2</v>
      </c>
      <c r="AG444" s="8">
        <f t="shared" si="240"/>
        <v>0.11743769043741854</v>
      </c>
      <c r="AH444" s="8">
        <f t="shared" si="241"/>
        <v>9.9941121075126899E-2</v>
      </c>
      <c r="AI444" s="8">
        <f t="shared" si="242"/>
        <v>0.14142451204627102</v>
      </c>
      <c r="AJ444" s="8">
        <f t="shared" si="243"/>
        <v>0.13687370895680906</v>
      </c>
      <c r="AK444" s="8">
        <f t="shared" si="244"/>
        <v>0.10658681451279357</v>
      </c>
      <c r="AL444" s="9">
        <v>0</v>
      </c>
      <c r="AM444" s="17">
        <f t="shared" si="221"/>
        <v>13.956107278235743</v>
      </c>
      <c r="AN444" s="13">
        <f t="shared" si="222"/>
        <v>11.600003969045311</v>
      </c>
      <c r="AO444" s="13">
        <f t="shared" si="223"/>
        <v>11.691505081897642</v>
      </c>
      <c r="AP444" s="13">
        <f t="shared" si="224"/>
        <v>8.5151538341337769</v>
      </c>
      <c r="AQ444" s="13">
        <f t="shared" si="225"/>
        <v>10.005891361257479</v>
      </c>
      <c r="AR444" s="13">
        <f t="shared" si="226"/>
        <v>7.0709100249384056</v>
      </c>
      <c r="AS444" s="13">
        <f t="shared" si="227"/>
        <v>7.3060049853369078</v>
      </c>
      <c r="AT444" s="13">
        <f t="shared" si="228"/>
        <v>9.3820235136117187</v>
      </c>
      <c r="AU444" s="9">
        <v>0</v>
      </c>
      <c r="AV444" s="18">
        <f t="shared" si="245"/>
        <v>1</v>
      </c>
      <c r="AW444" s="18">
        <f t="shared" si="246"/>
        <v>3</v>
      </c>
      <c r="AX444" s="18">
        <f t="shared" si="247"/>
        <v>2</v>
      </c>
      <c r="AY444" s="18">
        <f t="shared" si="248"/>
        <v>6</v>
      </c>
      <c r="AZ444" s="18">
        <f t="shared" si="249"/>
        <v>4</v>
      </c>
      <c r="BA444" s="18">
        <f t="shared" si="250"/>
        <v>8</v>
      </c>
      <c r="BB444" s="18">
        <f t="shared" si="251"/>
        <v>7</v>
      </c>
      <c r="BC444" s="18">
        <f t="shared" si="252"/>
        <v>5</v>
      </c>
      <c r="BD444" s="18">
        <f t="shared" si="253"/>
        <v>9</v>
      </c>
      <c r="BE444" s="8">
        <f t="shared" si="255"/>
        <v>1.9410397210588737E-2</v>
      </c>
    </row>
    <row r="445" spans="1:57" x14ac:dyDescent="0.25">
      <c r="A445" t="str">
        <f t="shared" si="254"/>
        <v/>
      </c>
      <c r="B445" s="1">
        <v>43388</v>
      </c>
      <c r="C445" s="9">
        <f t="shared" si="229"/>
        <v>0.24988755539375945</v>
      </c>
      <c r="D445" s="9">
        <f t="shared" si="230"/>
        <v>0.26259651903702613</v>
      </c>
      <c r="E445" s="9">
        <f t="shared" si="231"/>
        <v>0.24274734897829908</v>
      </c>
      <c r="F445" s="9">
        <f t="shared" si="232"/>
        <v>0</v>
      </c>
      <c r="G445" s="9">
        <f t="shared" si="233"/>
        <v>0</v>
      </c>
      <c r="H445" s="9">
        <f t="shared" si="234"/>
        <v>0</v>
      </c>
      <c r="I445" s="9">
        <f t="shared" si="235"/>
        <v>0</v>
      </c>
      <c r="J445" s="9">
        <f t="shared" si="236"/>
        <v>0.24476857659091536</v>
      </c>
      <c r="K445" s="9">
        <v>0</v>
      </c>
      <c r="L445" s="8">
        <f>+VLOOKUP($B445,NIFTY_50!$B$3:$I$1238,8,0)</f>
        <v>3.8195273334924451E-3</v>
      </c>
      <c r="M445" s="8">
        <f>+VLOOKUP($B445,NIFTY_BANK!$B$3:$I$41238,8,0)</f>
        <v>-3.0713679597249577E-4</v>
      </c>
      <c r="N445" s="8">
        <f>+VLOOKUP($B445,NIFTY_IT!$B$3:$I$1238,8,0)</f>
        <v>1.7745130406074505E-2</v>
      </c>
      <c r="O445" s="8">
        <f>+VLOOKUP($B445,NIFTY_PHARMA!$B$3:$I$1238,8,0)</f>
        <v>2.6087595532039876E-2</v>
      </c>
      <c r="P445" s="8">
        <f>+VLOOKUP($B445,NIFTY_FMCG!$B$3:$I$1238,8,0)</f>
        <v>6.2922793040309788E-3</v>
      </c>
      <c r="Q445" s="8">
        <f>+VLOOKUP($B445,NIFTY_METAL!$B$3:$I$1238,8,0)</f>
        <v>-4.2465315144992744E-3</v>
      </c>
      <c r="R445" s="8">
        <f>+VLOOKUP($B445,NIFTY_ENERGY!$B$3:$I$1238,8,0)</f>
        <v>8.4321827136744076E-3</v>
      </c>
      <c r="S445" s="8">
        <f>+VLOOKUP($B445,NIFTY_AUTO!$B$3:$I$1238,8,0)</f>
        <v>-5.4873987968452331E-3</v>
      </c>
      <c r="T445" s="8">
        <v>0</v>
      </c>
      <c r="U445" s="8">
        <f>+VLOOKUP($B445,NIFTY_50!$B$63:$K$1238,10,0)</f>
        <v>-4.5957400466471232E-2</v>
      </c>
      <c r="V445" s="8">
        <f>+VLOOKUP($B445,NIFTY_BANK!$B$63:$K$1238,10,0)</f>
        <v>-5.7465951637124424E-2</v>
      </c>
      <c r="W445" s="8">
        <f>+VLOOKUP($B445,NIFTY_IT!$B$63:$K$1238,10,0)</f>
        <v>1.8046219788233842E-2</v>
      </c>
      <c r="X445" s="8">
        <f>+VLOOKUP($B445,NIFTY_PHARMA!$B$63:$K$1238,10,0)</f>
        <v>6.6575731121780946E-2</v>
      </c>
      <c r="Y445" s="8">
        <f>+VLOOKUP($B445,NIFTY_FMCG!$B$63:$K$1238,10,0)</f>
        <v>-4.3836305310070434E-2</v>
      </c>
      <c r="Z445" s="8">
        <f>+VLOOKUP($B445,NIFTY_METAL!$B$63:$K$1238,10,0)</f>
        <v>4.1653988924724716E-2</v>
      </c>
      <c r="AA445" s="8">
        <f>+VLOOKUP($B445,NIFTY_ENERGY!$B$63:$K$1238,10,0)</f>
        <v>5.2104110240958068E-3</v>
      </c>
      <c r="AB445" s="8">
        <f>+VLOOKUP($B445,NIFTY_AUTO!$B$63:$K$1238,10,0)</f>
        <v>-0.17890039579934647</v>
      </c>
      <c r="AC445" s="8"/>
      <c r="AD445" s="16">
        <f t="shared" si="237"/>
        <v>7.179863964679957E-2</v>
      </c>
      <c r="AE445" s="8">
        <f t="shared" si="238"/>
        <v>8.6175218401872186E-2</v>
      </c>
      <c r="AF445" s="8">
        <f t="shared" si="239"/>
        <v>8.7301884027793389E-2</v>
      </c>
      <c r="AG445" s="8">
        <f t="shared" si="240"/>
        <v>0.11972978832826106</v>
      </c>
      <c r="AH445" s="8">
        <f t="shared" si="241"/>
        <v>9.9755405760433583E-2</v>
      </c>
      <c r="AI445" s="8">
        <f t="shared" si="242"/>
        <v>0.14142737474877884</v>
      </c>
      <c r="AJ445" s="8">
        <f t="shared" si="243"/>
        <v>0.13685935492818671</v>
      </c>
      <c r="AK445" s="8">
        <f t="shared" si="244"/>
        <v>0.10661323152803957</v>
      </c>
      <c r="AL445" s="9">
        <v>0</v>
      </c>
      <c r="AM445" s="17">
        <f t="shared" si="221"/>
        <v>13.927840484434235</v>
      </c>
      <c r="AN445" s="13">
        <f t="shared" si="222"/>
        <v>11.604264178787096</v>
      </c>
      <c r="AO445" s="13">
        <f t="shared" si="223"/>
        <v>11.454506522237715</v>
      </c>
      <c r="AP445" s="13">
        <f t="shared" si="224"/>
        <v>8.3521403817930224</v>
      </c>
      <c r="AQ445" s="13">
        <f t="shared" si="225"/>
        <v>10.024519396989254</v>
      </c>
      <c r="AR445" s="13">
        <f t="shared" si="226"/>
        <v>7.0707668990980439</v>
      </c>
      <c r="AS445" s="13">
        <f t="shared" si="227"/>
        <v>7.3067712508562037</v>
      </c>
      <c r="AT445" s="13">
        <f t="shared" si="228"/>
        <v>9.3796988016163567</v>
      </c>
      <c r="AU445" s="9">
        <v>0</v>
      </c>
      <c r="AV445" s="18">
        <f t="shared" si="245"/>
        <v>1</v>
      </c>
      <c r="AW445" s="18">
        <f t="shared" si="246"/>
        <v>2</v>
      </c>
      <c r="AX445" s="18">
        <f t="shared" si="247"/>
        <v>3</v>
      </c>
      <c r="AY445" s="18">
        <f t="shared" si="248"/>
        <v>6</v>
      </c>
      <c r="AZ445" s="18">
        <f t="shared" si="249"/>
        <v>4</v>
      </c>
      <c r="BA445" s="18">
        <f t="shared" si="250"/>
        <v>8</v>
      </c>
      <c r="BB445" s="18">
        <f t="shared" si="251"/>
        <v>7</v>
      </c>
      <c r="BC445" s="18">
        <f t="shared" si="252"/>
        <v>5</v>
      </c>
      <c r="BD445" s="18">
        <f t="shared" si="253"/>
        <v>9</v>
      </c>
      <c r="BE445" s="8">
        <f t="shared" si="255"/>
        <v>3.76619753172046E-3</v>
      </c>
    </row>
    <row r="446" spans="1:57" x14ac:dyDescent="0.25">
      <c r="A446" t="str">
        <f t="shared" si="254"/>
        <v/>
      </c>
      <c r="B446" s="1">
        <v>43389</v>
      </c>
      <c r="C446" s="9">
        <f t="shared" si="229"/>
        <v>0.24982324938665207</v>
      </c>
      <c r="D446" s="9">
        <f t="shared" si="230"/>
        <v>0.2628074026073039</v>
      </c>
      <c r="E446" s="9">
        <f t="shared" si="231"/>
        <v>0.24249678150151618</v>
      </c>
      <c r="F446" s="9">
        <f t="shared" si="232"/>
        <v>0</v>
      </c>
      <c r="G446" s="9">
        <f t="shared" si="233"/>
        <v>0</v>
      </c>
      <c r="H446" s="9">
        <f t="shared" si="234"/>
        <v>0</v>
      </c>
      <c r="I446" s="9">
        <f t="shared" si="235"/>
        <v>0</v>
      </c>
      <c r="J446" s="9">
        <f t="shared" si="236"/>
        <v>0.24487256650452777</v>
      </c>
      <c r="K446" s="9">
        <v>0</v>
      </c>
      <c r="L446" s="8">
        <f>+VLOOKUP($B446,NIFTY_50!$B$3:$I$1238,8,0)</f>
        <v>6.8727705112960891E-3</v>
      </c>
      <c r="M446" s="8">
        <f>+VLOOKUP($B446,NIFTY_BANK!$B$3:$I$41238,8,0)</f>
        <v>7.9407437751226606E-3</v>
      </c>
      <c r="N446" s="8">
        <f>+VLOOKUP($B446,NIFTY_IT!$B$3:$I$1238,8,0)</f>
        <v>6.0923688265346332E-3</v>
      </c>
      <c r="O446" s="8">
        <f>+VLOOKUP($B446,NIFTY_PHARMA!$B$3:$I$1238,8,0)</f>
        <v>6.4097973214924941E-3</v>
      </c>
      <c r="P446" s="8">
        <f>+VLOOKUP($B446,NIFTY_FMCG!$B$3:$I$1238,8,0)</f>
        <v>5.914079073231493E-3</v>
      </c>
      <c r="Q446" s="8">
        <f>+VLOOKUP($B446,NIFTY_METAL!$B$3:$I$1238,8,0)</f>
        <v>2.3659997079013007E-3</v>
      </c>
      <c r="R446" s="8">
        <f>+VLOOKUP($B446,NIFTY_ENERGY!$B$3:$I$1238,8,0)</f>
        <v>1.6277766367405633E-2</v>
      </c>
      <c r="S446" s="8">
        <f>+VLOOKUP($B446,NIFTY_AUTO!$B$3:$I$1238,8,0)</f>
        <v>7.5598255595155095E-3</v>
      </c>
      <c r="T446" s="8">
        <v>0</v>
      </c>
      <c r="U446" s="8">
        <f>+VLOOKUP($B446,NIFTY_50!$B$63:$K$1238,10,0)</f>
        <v>-3.2193913238272476E-2</v>
      </c>
      <c r="V446" s="8">
        <f>+VLOOKUP($B446,NIFTY_BANK!$B$63:$K$1238,10,0)</f>
        <v>-4.0860501203157318E-2</v>
      </c>
      <c r="W446" s="8">
        <f>+VLOOKUP($B446,NIFTY_IT!$B$63:$K$1238,10,0)</f>
        <v>1.84921033997969E-2</v>
      </c>
      <c r="X446" s="8">
        <f>+VLOOKUP($B446,NIFTY_PHARMA!$B$63:$K$1238,10,0)</f>
        <v>0.11954270235818987</v>
      </c>
      <c r="Y446" s="8">
        <f>+VLOOKUP($B446,NIFTY_FMCG!$B$63:$K$1238,10,0)</f>
        <v>-3.6288502215827134E-2</v>
      </c>
      <c r="Z446" s="8">
        <f>+VLOOKUP($B446,NIFTY_METAL!$B$63:$K$1238,10,0)</f>
        <v>8.3172879643950592E-2</v>
      </c>
      <c r="AA446" s="8">
        <f>+VLOOKUP($B446,NIFTY_ENERGY!$B$63:$K$1238,10,0)</f>
        <v>3.6347177848775392E-2</v>
      </c>
      <c r="AB446" s="8">
        <f>+VLOOKUP($B446,NIFTY_AUTO!$B$63:$K$1238,10,0)</f>
        <v>-0.15987319049574766</v>
      </c>
      <c r="AC446" s="8"/>
      <c r="AD446" s="16">
        <f t="shared" si="237"/>
        <v>7.1863310797428234E-2</v>
      </c>
      <c r="AE446" s="8">
        <f t="shared" si="238"/>
        <v>8.6171466653304871E-2</v>
      </c>
      <c r="AF446" s="8">
        <f t="shared" si="239"/>
        <v>8.7329691997076103E-2</v>
      </c>
      <c r="AG446" s="8">
        <f t="shared" si="240"/>
        <v>0.11193488649722709</v>
      </c>
      <c r="AH446" s="8">
        <f t="shared" si="241"/>
        <v>9.9957635240007933E-2</v>
      </c>
      <c r="AI446" s="8">
        <f t="shared" si="242"/>
        <v>0.13645139845927737</v>
      </c>
      <c r="AJ446" s="8">
        <f t="shared" si="243"/>
        <v>0.13697492872309808</v>
      </c>
      <c r="AK446" s="8">
        <f t="shared" si="244"/>
        <v>0.10641952261954242</v>
      </c>
      <c r="AL446" s="9">
        <v>0</v>
      </c>
      <c r="AM446" s="17">
        <f t="shared" si="221"/>
        <v>13.915306557734979</v>
      </c>
      <c r="AN446" s="13">
        <f t="shared" si="222"/>
        <v>11.604769407294842</v>
      </c>
      <c r="AO446" s="13">
        <f t="shared" si="223"/>
        <v>11.450859119410167</v>
      </c>
      <c r="AP446" s="13">
        <f t="shared" si="224"/>
        <v>8.9337652566858363</v>
      </c>
      <c r="AQ446" s="13">
        <f t="shared" si="225"/>
        <v>10.004238271532769</v>
      </c>
      <c r="AR446" s="13">
        <f t="shared" si="226"/>
        <v>7.3286167184167086</v>
      </c>
      <c r="AS446" s="13">
        <f t="shared" si="227"/>
        <v>7.3006060986646091</v>
      </c>
      <c r="AT446" s="13">
        <f t="shared" si="228"/>
        <v>9.3967720901650083</v>
      </c>
      <c r="AU446" s="9">
        <v>0</v>
      </c>
      <c r="AV446" s="18">
        <f t="shared" si="245"/>
        <v>1</v>
      </c>
      <c r="AW446" s="18">
        <f t="shared" si="246"/>
        <v>2</v>
      </c>
      <c r="AX446" s="18">
        <f t="shared" si="247"/>
        <v>3</v>
      </c>
      <c r="AY446" s="18">
        <f t="shared" si="248"/>
        <v>6</v>
      </c>
      <c r="AZ446" s="18">
        <f t="shared" si="249"/>
        <v>4</v>
      </c>
      <c r="BA446" s="18">
        <f t="shared" si="250"/>
        <v>7</v>
      </c>
      <c r="BB446" s="18">
        <f t="shared" si="251"/>
        <v>8</v>
      </c>
      <c r="BC446" s="18">
        <f t="shared" si="252"/>
        <v>5</v>
      </c>
      <c r="BD446" s="18">
        <f t="shared" si="253"/>
        <v>9</v>
      </c>
      <c r="BE446" s="8">
        <f t="shared" si="255"/>
        <v>7.1319456188797866E-3</v>
      </c>
    </row>
    <row r="447" spans="1:57" x14ac:dyDescent="0.25">
      <c r="A447" t="str">
        <f t="shared" si="254"/>
        <v/>
      </c>
      <c r="B447" s="1">
        <v>43390</v>
      </c>
      <c r="C447" s="9">
        <f t="shared" si="229"/>
        <v>0.25007280795749381</v>
      </c>
      <c r="D447" s="9">
        <f t="shared" si="230"/>
        <v>0.26220953048846446</v>
      </c>
      <c r="E447" s="9">
        <f t="shared" si="231"/>
        <v>0.24682511483489439</v>
      </c>
      <c r="F447" s="9">
        <f t="shared" si="232"/>
        <v>0</v>
      </c>
      <c r="G447" s="9">
        <f t="shared" si="233"/>
        <v>0</v>
      </c>
      <c r="H447" s="9">
        <f t="shared" si="234"/>
        <v>0</v>
      </c>
      <c r="I447" s="9">
        <f t="shared" si="235"/>
        <v>0</v>
      </c>
      <c r="J447" s="9">
        <f t="shared" si="236"/>
        <v>0.24089254671914742</v>
      </c>
      <c r="K447" s="9">
        <v>0</v>
      </c>
      <c r="L447" s="8">
        <f>+VLOOKUP($B447,NIFTY_50!$B$3:$I$1238,8,0)</f>
        <v>-1.2442428966201402E-2</v>
      </c>
      <c r="M447" s="8">
        <f>+VLOOKUP($B447,NIFTY_BANK!$B$3:$I$41238,8,0)</f>
        <v>-1.5672351907900395E-2</v>
      </c>
      <c r="N447" s="8">
        <f>+VLOOKUP($B447,NIFTY_IT!$B$3:$I$1238,8,0)</f>
        <v>4.1814023315096538E-3</v>
      </c>
      <c r="O447" s="8">
        <f>+VLOOKUP($B447,NIFTY_PHARMA!$B$3:$I$1238,8,0)</f>
        <v>-1.5284519785498274E-2</v>
      </c>
      <c r="P447" s="8">
        <f>+VLOOKUP($B447,NIFTY_FMCG!$B$3:$I$1238,8,0)</f>
        <v>4.3897432298474204E-3</v>
      </c>
      <c r="Q447" s="8">
        <f>+VLOOKUP($B447,NIFTY_METAL!$B$3:$I$1238,8,0)</f>
        <v>-2.0005245366592872E-2</v>
      </c>
      <c r="R447" s="8">
        <f>+VLOOKUP($B447,NIFTY_ENERGY!$B$3:$I$1238,8,0)</f>
        <v>-1.3115753633464622E-2</v>
      </c>
      <c r="S447" s="8">
        <f>+VLOOKUP($B447,NIFTY_AUTO!$B$3:$I$1238,8,0)</f>
        <v>-2.9463138120818466E-2</v>
      </c>
      <c r="T447" s="8">
        <v>0</v>
      </c>
      <c r="U447" s="8">
        <f>+VLOOKUP($B447,NIFTY_50!$B$63:$K$1238,10,0)</f>
        <v>-5.0417648902394196E-2</v>
      </c>
      <c r="V447" s="8">
        <f>+VLOOKUP($B447,NIFTY_BANK!$B$63:$K$1238,10,0)</f>
        <v>-6.7368678285403272E-2</v>
      </c>
      <c r="W447" s="8">
        <f>+VLOOKUP($B447,NIFTY_IT!$B$63:$K$1238,10,0)</f>
        <v>2.2666871889590157E-2</v>
      </c>
      <c r="X447" s="8">
        <f>+VLOOKUP($B447,NIFTY_PHARMA!$B$63:$K$1238,10,0)</f>
        <v>8.5177177042605301E-2</v>
      </c>
      <c r="Y447" s="8">
        <f>+VLOOKUP($B447,NIFTY_FMCG!$B$63:$K$1238,10,0)</f>
        <v>-2.2194475806245006E-2</v>
      </c>
      <c r="Z447" s="8">
        <f>+VLOOKUP($B447,NIFTY_METAL!$B$63:$K$1238,10,0)</f>
        <v>4.3535599584193063E-2</v>
      </c>
      <c r="AA447" s="8">
        <f>+VLOOKUP($B447,NIFTY_ENERGY!$B$63:$K$1238,10,0)</f>
        <v>6.0479506107313785E-3</v>
      </c>
      <c r="AB447" s="8">
        <f>+VLOOKUP($B447,NIFTY_AUTO!$B$63:$K$1238,10,0)</f>
        <v>-0.19432956550683256</v>
      </c>
      <c r="AC447" s="8"/>
      <c r="AD447" s="16">
        <f t="shared" si="237"/>
        <v>7.2471798113789315E-2</v>
      </c>
      <c r="AE447" s="8">
        <f t="shared" si="238"/>
        <v>8.6440976116711019E-2</v>
      </c>
      <c r="AF447" s="8">
        <f t="shared" si="239"/>
        <v>8.7411098115173932E-2</v>
      </c>
      <c r="AG447" s="8">
        <f t="shared" si="240"/>
        <v>0.11232213646215183</v>
      </c>
      <c r="AH447" s="8">
        <f t="shared" si="241"/>
        <v>9.960306351527419E-2</v>
      </c>
      <c r="AI447" s="8">
        <f t="shared" si="242"/>
        <v>0.13714594931367216</v>
      </c>
      <c r="AJ447" s="8">
        <f t="shared" si="243"/>
        <v>0.13670429225448844</v>
      </c>
      <c r="AK447" s="8">
        <f t="shared" si="244"/>
        <v>0.10858585170634895</v>
      </c>
      <c r="AL447" s="9">
        <v>0</v>
      </c>
      <c r="AM447" s="17">
        <f t="shared" si="221"/>
        <v>13.798470936651544</v>
      </c>
      <c r="AN447" s="13">
        <f t="shared" si="222"/>
        <v>11.568587548685457</v>
      </c>
      <c r="AO447" s="13">
        <f t="shared" si="223"/>
        <v>11.440194913034816</v>
      </c>
      <c r="AP447" s="13">
        <f t="shared" si="224"/>
        <v>8.9029645579877386</v>
      </c>
      <c r="AQ447" s="13">
        <f t="shared" si="225"/>
        <v>10.039851834945312</v>
      </c>
      <c r="AR447" s="13">
        <f t="shared" si="226"/>
        <v>7.2915022645901031</v>
      </c>
      <c r="AS447" s="13">
        <f t="shared" si="227"/>
        <v>7.3150592677690183</v>
      </c>
      <c r="AT447" s="13">
        <f t="shared" si="228"/>
        <v>9.2093029090412397</v>
      </c>
      <c r="AU447" s="9">
        <v>0</v>
      </c>
      <c r="AV447" s="18">
        <f t="shared" si="245"/>
        <v>1</v>
      </c>
      <c r="AW447" s="18">
        <f t="shared" si="246"/>
        <v>2</v>
      </c>
      <c r="AX447" s="18">
        <f t="shared" si="247"/>
        <v>3</v>
      </c>
      <c r="AY447" s="18">
        <f t="shared" si="248"/>
        <v>6</v>
      </c>
      <c r="AZ447" s="18">
        <f t="shared" si="249"/>
        <v>4</v>
      </c>
      <c r="BA447" s="18">
        <f t="shared" si="250"/>
        <v>8</v>
      </c>
      <c r="BB447" s="18">
        <f t="shared" si="251"/>
        <v>7</v>
      </c>
      <c r="BC447" s="18">
        <f t="shared" si="252"/>
        <v>5</v>
      </c>
      <c r="BD447" s="18">
        <f t="shared" si="253"/>
        <v>9</v>
      </c>
      <c r="BE447" s="8">
        <f t="shared" si="255"/>
        <v>-1.3427955773630143E-2</v>
      </c>
    </row>
    <row r="448" spans="1:57" x14ac:dyDescent="0.25">
      <c r="A448" t="str">
        <f t="shared" si="254"/>
        <v/>
      </c>
      <c r="B448" s="1">
        <v>43392</v>
      </c>
      <c r="C448" s="9">
        <f t="shared" si="229"/>
        <v>0.25060382266073356</v>
      </c>
      <c r="D448" s="9">
        <f t="shared" si="230"/>
        <v>0.26549097602879318</v>
      </c>
      <c r="E448" s="9">
        <f t="shared" si="231"/>
        <v>0.24300276499802775</v>
      </c>
      <c r="F448" s="9">
        <f t="shared" si="232"/>
        <v>0</v>
      </c>
      <c r="G448" s="9">
        <f t="shared" si="233"/>
        <v>0</v>
      </c>
      <c r="H448" s="9">
        <f t="shared" si="234"/>
        <v>0</v>
      </c>
      <c r="I448" s="9">
        <f t="shared" si="235"/>
        <v>0</v>
      </c>
      <c r="J448" s="9">
        <f t="shared" si="236"/>
        <v>0.24090243631244534</v>
      </c>
      <c r="K448" s="9">
        <v>0</v>
      </c>
      <c r="L448" s="8">
        <f>+VLOOKUP($B448,NIFTY_50!$B$3:$I$1238,8,0)</f>
        <v>-1.4302045814379549E-2</v>
      </c>
      <c r="M448" s="8">
        <f>+VLOOKUP($B448,NIFTY_BANK!$B$3:$I$41238,8,0)</f>
        <v>-4.0812113416386353E-3</v>
      </c>
      <c r="N448" s="8">
        <f>+VLOOKUP($B448,NIFTY_IT!$B$3:$I$1238,8,0)</f>
        <v>-3.1622919676780659E-2</v>
      </c>
      <c r="O448" s="8">
        <f>+VLOOKUP($B448,NIFTY_PHARMA!$B$3:$I$1238,8,0)</f>
        <v>-3.7268747935249591E-3</v>
      </c>
      <c r="P448" s="8">
        <f>+VLOOKUP($B448,NIFTY_FMCG!$B$3:$I$1238,8,0)</f>
        <v>7.7524119294212213E-3</v>
      </c>
      <c r="Q448" s="8">
        <f>+VLOOKUP($B448,NIFTY_METAL!$B$3:$I$1238,8,0)</f>
        <v>6.0958384751486072E-4</v>
      </c>
      <c r="R448" s="8">
        <f>+VLOOKUP($B448,NIFTY_ENERGY!$B$3:$I$1238,8,0)</f>
        <v>-2.7173648953524698E-2</v>
      </c>
      <c r="S448" s="8">
        <f>+VLOOKUP($B448,NIFTY_AUTO!$B$3:$I$1238,8,0)</f>
        <v>-1.6350300519542338E-2</v>
      </c>
      <c r="T448" s="8">
        <v>0</v>
      </c>
      <c r="U448" s="8">
        <f>+VLOOKUP($B448,NIFTY_50!$B$63:$K$1238,10,0)</f>
        <v>-6.1645925258072443E-2</v>
      </c>
      <c r="V448" s="8">
        <f>+VLOOKUP($B448,NIFTY_BANK!$B$63:$K$1238,10,0)</f>
        <v>-6.6779758118217791E-2</v>
      </c>
      <c r="W448" s="8">
        <f>+VLOOKUP($B448,NIFTY_IT!$B$63:$K$1238,10,0)</f>
        <v>-1.0583185822563346E-2</v>
      </c>
      <c r="X448" s="8">
        <f>+VLOOKUP($B448,NIFTY_PHARMA!$B$63:$K$1238,10,0)</f>
        <v>8.6054481101551339E-2</v>
      </c>
      <c r="Y448" s="8">
        <f>+VLOOKUP($B448,NIFTY_FMCG!$B$63:$K$1238,10,0)</f>
        <v>-5.1012049397876069E-3</v>
      </c>
      <c r="Z448" s="8">
        <f>+VLOOKUP($B448,NIFTY_METAL!$B$63:$K$1238,10,0)</f>
        <v>7.8145525615968658E-2</v>
      </c>
      <c r="AA448" s="8">
        <f>+VLOOKUP($B448,NIFTY_ENERGY!$B$63:$K$1238,10,0)</f>
        <v>-2.4322235682359361E-2</v>
      </c>
      <c r="AB448" s="8">
        <f>+VLOOKUP($B448,NIFTY_AUTO!$B$63:$K$1238,10,0)</f>
        <v>-0.19598745443443188</v>
      </c>
      <c r="AC448" s="8"/>
      <c r="AD448" s="16">
        <f t="shared" si="237"/>
        <v>7.3682867889477574E-2</v>
      </c>
      <c r="AE448" s="8">
        <f t="shared" si="238"/>
        <v>8.6416840589488259E-2</v>
      </c>
      <c r="AF448" s="8">
        <f t="shared" si="239"/>
        <v>9.3008106742467025E-2</v>
      </c>
      <c r="AG448" s="8">
        <f t="shared" si="240"/>
        <v>0.11228214754127448</v>
      </c>
      <c r="AH448" s="8">
        <f t="shared" si="241"/>
        <v>9.9470836833461224E-2</v>
      </c>
      <c r="AI448" s="8">
        <f t="shared" si="242"/>
        <v>0.13320901148482969</v>
      </c>
      <c r="AJ448" s="8">
        <f t="shared" si="243"/>
        <v>0.13934584123720611</v>
      </c>
      <c r="AK448" s="8">
        <f t="shared" si="244"/>
        <v>0.10880754498620759</v>
      </c>
      <c r="AL448" s="9">
        <v>0</v>
      </c>
      <c r="AM448" s="17">
        <f t="shared" ref="AM448:AM511" si="256">1/AD448</f>
        <v>13.571675867719678</v>
      </c>
      <c r="AN448" s="13">
        <f t="shared" ref="AN448:AN511" si="257">1/AE448</f>
        <v>11.571818561967191</v>
      </c>
      <c r="AO448" s="13">
        <f t="shared" ref="AO448:AO511" si="258">1/AF448</f>
        <v>10.751750949720225</v>
      </c>
      <c r="AP448" s="13">
        <f t="shared" ref="AP448:AP511" si="259">1/AG448</f>
        <v>8.9061353197969773</v>
      </c>
      <c r="AQ448" s="13">
        <f t="shared" ref="AQ448:AQ511" si="260">1/AH448</f>
        <v>10.053197819922309</v>
      </c>
      <c r="AR448" s="13">
        <f t="shared" ref="AR448:AR511" si="261">1/AI448</f>
        <v>7.5069996305308777</v>
      </c>
      <c r="AS448" s="13">
        <f t="shared" ref="AS448:AS511" si="262">1/AJ448</f>
        <v>7.1763892709055925</v>
      </c>
      <c r="AT448" s="13">
        <f t="shared" ref="AT448:AT511" si="263">1/AK448</f>
        <v>9.1905391315166582</v>
      </c>
      <c r="AU448" s="9">
        <v>0</v>
      </c>
      <c r="AV448" s="18">
        <f t="shared" si="245"/>
        <v>1</v>
      </c>
      <c r="AW448" s="18">
        <f t="shared" si="246"/>
        <v>2</v>
      </c>
      <c r="AX448" s="18">
        <f t="shared" si="247"/>
        <v>3</v>
      </c>
      <c r="AY448" s="18">
        <f t="shared" si="248"/>
        <v>6</v>
      </c>
      <c r="AZ448" s="18">
        <f t="shared" si="249"/>
        <v>4</v>
      </c>
      <c r="BA448" s="18">
        <f t="shared" si="250"/>
        <v>7</v>
      </c>
      <c r="BB448" s="18">
        <f t="shared" si="251"/>
        <v>8</v>
      </c>
      <c r="BC448" s="18">
        <f t="shared" si="252"/>
        <v>5</v>
      </c>
      <c r="BD448" s="18">
        <f t="shared" si="253"/>
        <v>9</v>
      </c>
      <c r="BE448" s="8">
        <f t="shared" si="255"/>
        <v>-1.6390681578465859E-2</v>
      </c>
    </row>
    <row r="449" spans="1:57" x14ac:dyDescent="0.25">
      <c r="A449" t="str">
        <f t="shared" si="254"/>
        <v/>
      </c>
      <c r="B449" s="1">
        <v>43395</v>
      </c>
      <c r="C449" s="9">
        <f t="shared" ref="C449:C512" si="264">+IF($A449="Y",IF(AV449&lt;=4,0.25,0),C448*(1+L449)/SUMPRODUCT($C448:$J448,1+$L449:$S449))</f>
        <v>0.24972058327137861</v>
      </c>
      <c r="D449" s="9">
        <f t="shared" ref="D449:D512" si="265">+IF($A449="Y",IF(AW449&lt;=4,0.25,0),D448*(1+M449)/SUMPRODUCT($C448:$J448,1+$L449:$S449))</f>
        <v>0.26598434066594878</v>
      </c>
      <c r="E449" s="9">
        <f t="shared" ref="E449:E512" si="266">+IF($A449="Y",IF(AX449&lt;=4,0.25,0),E448*(1+N449)/SUMPRODUCT($C448:$J448,1+$L449:$S449))</f>
        <v>0.24259231627870503</v>
      </c>
      <c r="F449" s="9">
        <f t="shared" ref="F449:F512" si="267">+IF($A449="Y",IF(AY449&lt;=4,0.25,0),F448*(1+O449)/SUMPRODUCT($C448:$J448,1+$L449:$S449))</f>
        <v>0</v>
      </c>
      <c r="G449" s="9">
        <f t="shared" ref="G449:G512" si="268">+IF($A449="Y",IF(AZ449&lt;=4,0.25,0),G448*(1+P449)/SUMPRODUCT($C448:$J448,1+$L449:$S449))</f>
        <v>0</v>
      </c>
      <c r="H449" s="9">
        <f t="shared" ref="H449:H512" si="269">+IF($A449="Y",IF(BA449&lt;=4,0.25,0),H448*(1+Q449)/SUMPRODUCT($C448:$J448,1+$L449:$S449))</f>
        <v>0</v>
      </c>
      <c r="I449" s="9">
        <f t="shared" ref="I449:I512" si="270">+IF($A449="Y",IF(BB449&lt;=4,0.25,0),I448*(1+R449)/SUMPRODUCT($C448:$J448,1+$L449:$S449))</f>
        <v>0</v>
      </c>
      <c r="J449" s="9">
        <f t="shared" ref="J449:J512" si="271">+IF($A449="Y",IF(BC449&lt;=4,0.25,0),J448*(1+S449)/SUMPRODUCT($C448:$J448,1+$L449:$S449))</f>
        <v>0.24170275978396757</v>
      </c>
      <c r="K449" s="9">
        <v>0</v>
      </c>
      <c r="L449" s="8">
        <f>+VLOOKUP($B449,NIFTY_50!$B$3:$I$1238,8,0)</f>
        <v>-5.6582440032802994E-3</v>
      </c>
      <c r="M449" s="8">
        <f>+VLOOKUP($B449,NIFTY_BANK!$B$3:$I$41238,8,0)</f>
        <v>-2.8701496464134113E-4</v>
      </c>
      <c r="N449" s="8">
        <f>+VLOOKUP($B449,NIFTY_IT!$B$3:$I$1238,8,0)</f>
        <v>-3.8267993382538057E-3</v>
      </c>
      <c r="O449" s="8">
        <f>+VLOOKUP($B449,NIFTY_PHARMA!$B$3:$I$1238,8,0)</f>
        <v>-3.7822658362951511E-4</v>
      </c>
      <c r="P449" s="8">
        <f>+VLOOKUP($B449,NIFTY_FMCG!$B$3:$I$1238,8,0)</f>
        <v>-1.6536518144235623E-3</v>
      </c>
      <c r="Q449" s="8">
        <f>+VLOOKUP($B449,NIFTY_METAL!$B$3:$I$1238,8,0)</f>
        <v>-7.5334323922733315E-3</v>
      </c>
      <c r="R449" s="8">
        <f>+VLOOKUP($B449,NIFTY_ENERGY!$B$3:$I$1238,8,0)</f>
        <v>-2.5153328266989239E-2</v>
      </c>
      <c r="S449" s="8">
        <f>+VLOOKUP($B449,NIFTY_AUTO!$B$3:$I$1238,8,0)</f>
        <v>1.173729179252625E-3</v>
      </c>
      <c r="T449" s="8">
        <v>0</v>
      </c>
      <c r="U449" s="8">
        <f>+VLOOKUP($B449,NIFTY_50!$B$63:$K$1238,10,0)</f>
        <v>-6.496700769364161E-2</v>
      </c>
      <c r="V449" s="8">
        <f>+VLOOKUP($B449,NIFTY_BANK!$B$63:$K$1238,10,0)</f>
        <v>-6.3869815395124707E-2</v>
      </c>
      <c r="W449" s="8">
        <f>+VLOOKUP($B449,NIFTY_IT!$B$63:$K$1238,10,0)</f>
        <v>-4.7205457613432866E-3</v>
      </c>
      <c r="X449" s="8">
        <f>+VLOOKUP($B449,NIFTY_PHARMA!$B$63:$K$1238,10,0)</f>
        <v>0.10248688556440655</v>
      </c>
      <c r="Y449" s="8">
        <f>+VLOOKUP($B449,NIFTY_FMCG!$B$63:$K$1238,10,0)</f>
        <v>-1.4204535729567813E-2</v>
      </c>
      <c r="Z449" s="8">
        <f>+VLOOKUP($B449,NIFTY_METAL!$B$63:$K$1238,10,0)</f>
        <v>7.5710236423371935E-2</v>
      </c>
      <c r="AA449" s="8">
        <f>+VLOOKUP($B449,NIFTY_ENERGY!$B$63:$K$1238,10,0)</f>
        <v>-5.3338923035346819E-2</v>
      </c>
      <c r="AB449" s="8">
        <f>+VLOOKUP($B449,NIFTY_AUTO!$B$63:$K$1238,10,0)</f>
        <v>-0.19432817853504947</v>
      </c>
      <c r="AC449" s="8"/>
      <c r="AD449" s="16">
        <f t="shared" ref="AD449:AD512" si="272">+_xlfn.STDEV.S(L389:L449)*SQRT(60)</f>
        <v>7.3820090898750107E-2</v>
      </c>
      <c r="AE449" s="8">
        <f t="shared" ref="AE449:AE512" si="273">+_xlfn.STDEV.S(M389:M449)*SQRT(60)</f>
        <v>8.6388244689439647E-2</v>
      </c>
      <c r="AF449" s="8">
        <f t="shared" ref="AF449:AF512" si="274">+_xlfn.STDEV.S(N389:N449)*SQRT(60)</f>
        <v>9.2584078304457709E-2</v>
      </c>
      <c r="AG449" s="8">
        <f t="shared" ref="AG449:AG512" si="275">+_xlfn.STDEV.S(O389:O449)*SQRT(60)</f>
        <v>0.11102680670455138</v>
      </c>
      <c r="AH449" s="8">
        <f t="shared" ref="AH449:AH512" si="276">+_xlfn.STDEV.S(P389:P449)*SQRT(60)</f>
        <v>9.9189229658940128E-2</v>
      </c>
      <c r="AI449" s="8">
        <f t="shared" ref="AI449:AI512" si="277">+_xlfn.STDEV.S(Q389:Q449)*SQRT(60)</f>
        <v>0.13334004056582233</v>
      </c>
      <c r="AJ449" s="8">
        <f t="shared" ref="AJ449:AJ512" si="278">+_xlfn.STDEV.S(R389:R449)*SQRT(60)</f>
        <v>0.14141633930063385</v>
      </c>
      <c r="AK449" s="8">
        <f t="shared" ref="AK449:AK512" si="279">+_xlfn.STDEV.S(S389:S449)*SQRT(60)</f>
        <v>0.10887570820926704</v>
      </c>
      <c r="AL449" s="9">
        <v>0</v>
      </c>
      <c r="AM449" s="17">
        <f t="shared" si="256"/>
        <v>13.546447692289846</v>
      </c>
      <c r="AN449" s="13">
        <f t="shared" si="257"/>
        <v>11.575649020245031</v>
      </c>
      <c r="AO449" s="13">
        <f t="shared" si="258"/>
        <v>10.800993197896881</v>
      </c>
      <c r="AP449" s="13">
        <f t="shared" si="259"/>
        <v>9.0068338420383167</v>
      </c>
      <c r="AQ449" s="13">
        <f t="shared" si="260"/>
        <v>10.081739755802891</v>
      </c>
      <c r="AR449" s="13">
        <f t="shared" si="261"/>
        <v>7.4996227371504167</v>
      </c>
      <c r="AS449" s="13">
        <f t="shared" si="262"/>
        <v>7.0713186675983897</v>
      </c>
      <c r="AT449" s="13">
        <f t="shared" si="263"/>
        <v>9.1847852606196341</v>
      </c>
      <c r="AU449" s="9">
        <v>0</v>
      </c>
      <c r="AV449" s="18">
        <f t="shared" ref="AV449:AV512" si="280">+RANK(AM449,$AM449:$AU449)</f>
        <v>1</v>
      </c>
      <c r="AW449" s="18">
        <f t="shared" ref="AW449:AW512" si="281">+RANK(AN449,$AM449:$AU449)</f>
        <v>2</v>
      </c>
      <c r="AX449" s="18">
        <f t="shared" ref="AX449:AX512" si="282">+RANK(AO449,$AM449:$AU449)</f>
        <v>3</v>
      </c>
      <c r="AY449" s="18">
        <f t="shared" ref="AY449:AY512" si="283">+RANK(AP449,$AM449:$AU449)</f>
        <v>6</v>
      </c>
      <c r="AZ449" s="18">
        <f t="shared" ref="AZ449:AZ512" si="284">+RANK(AQ449,$AM449:$AU449)</f>
        <v>4</v>
      </c>
      <c r="BA449" s="18">
        <f t="shared" ref="BA449:BA512" si="285">+RANK(AR449,$AM449:$AU449)</f>
        <v>7</v>
      </c>
      <c r="BB449" s="18">
        <f t="shared" ref="BB449:BB512" si="286">+RANK(AS449,$AM449:$AU449)</f>
        <v>8</v>
      </c>
      <c r="BC449" s="18">
        <f t="shared" ref="BC449:BC512" si="287">+RANK(AT449,$AM449:$AU449)</f>
        <v>5</v>
      </c>
      <c r="BD449" s="18">
        <f t="shared" ref="BD449:BD512" si="288">+RANK(AU449,$AM449:$AU449)</f>
        <v>9</v>
      </c>
      <c r="BE449" s="8">
        <f t="shared" si="255"/>
        <v>-2.1413460613020482E-3</v>
      </c>
    </row>
    <row r="450" spans="1:57" x14ac:dyDescent="0.25">
      <c r="A450" t="str">
        <f t="shared" si="254"/>
        <v/>
      </c>
      <c r="B450" s="1">
        <v>43396</v>
      </c>
      <c r="C450" s="9">
        <f t="shared" si="264"/>
        <v>0.25027235111937196</v>
      </c>
      <c r="D450" s="9">
        <f t="shared" si="265"/>
        <v>0.26801921184507538</v>
      </c>
      <c r="E450" s="9">
        <f t="shared" si="266"/>
        <v>0.23856345245155505</v>
      </c>
      <c r="F450" s="9">
        <f t="shared" si="267"/>
        <v>0</v>
      </c>
      <c r="G450" s="9">
        <f t="shared" si="268"/>
        <v>0</v>
      </c>
      <c r="H450" s="9">
        <f t="shared" si="269"/>
        <v>0</v>
      </c>
      <c r="I450" s="9">
        <f t="shared" si="270"/>
        <v>0</v>
      </c>
      <c r="J450" s="9">
        <f t="shared" si="271"/>
        <v>0.24314498458399775</v>
      </c>
      <c r="K450" s="9">
        <v>0</v>
      </c>
      <c r="L450" s="8">
        <f>+VLOOKUP($B450,NIFTY_50!$B$3:$I$1238,8,0)</f>
        <v>-9.609331153461409E-3</v>
      </c>
      <c r="M450" s="8">
        <f>+VLOOKUP($B450,NIFTY_BANK!$B$3:$I$41238,8,0)</f>
        <v>-4.2326924150469791E-3</v>
      </c>
      <c r="N450" s="8">
        <f>+VLOOKUP($B450,NIFTY_IT!$B$3:$I$1238,8,0)</f>
        <v>-2.8204514802603109E-2</v>
      </c>
      <c r="O450" s="8">
        <f>+VLOOKUP($B450,NIFTY_PHARMA!$B$3:$I$1238,8,0)</f>
        <v>-2.8859759605666224E-2</v>
      </c>
      <c r="P450" s="8">
        <f>+VLOOKUP($B450,NIFTY_FMCG!$B$3:$I$1238,8,0)</f>
        <v>-1.1006144619941649E-2</v>
      </c>
      <c r="Q450" s="8">
        <f>+VLOOKUP($B450,NIFTY_METAL!$B$3:$I$1238,8,0)</f>
        <v>-8.0547362747593887E-3</v>
      </c>
      <c r="R450" s="8">
        <f>+VLOOKUP($B450,NIFTY_ENERGY!$B$3:$I$1238,8,0)</f>
        <v>-3.6379473778597182E-3</v>
      </c>
      <c r="S450" s="8">
        <f>+VLOOKUP($B450,NIFTY_AUTO!$B$3:$I$1238,8,0)</f>
        <v>-5.8962467458580914E-3</v>
      </c>
      <c r="T450" s="8">
        <v>0</v>
      </c>
      <c r="U450" s="8">
        <f>+VLOOKUP($B450,NIFTY_50!$B$63:$K$1238,10,0)</f>
        <v>-7.8418194038255562E-2</v>
      </c>
      <c r="V450" s="8">
        <f>+VLOOKUP($B450,NIFTY_BANK!$B$63:$K$1238,10,0)</f>
        <v>-7.0730318681809345E-2</v>
      </c>
      <c r="W450" s="8">
        <f>+VLOOKUP($B450,NIFTY_IT!$B$63:$K$1238,10,0)</f>
        <v>-4.6709837158365852E-2</v>
      </c>
      <c r="X450" s="8">
        <f>+VLOOKUP($B450,NIFTY_PHARMA!$B$63:$K$1238,10,0)</f>
        <v>5.3174447036339556E-2</v>
      </c>
      <c r="Y450" s="8">
        <f>+VLOOKUP($B450,NIFTY_FMCG!$B$63:$K$1238,10,0)</f>
        <v>-2.7335131996858109E-2</v>
      </c>
      <c r="Z450" s="8">
        <f>+VLOOKUP($B450,NIFTY_METAL!$B$63:$K$1238,10,0)</f>
        <v>7.132462324558575E-2</v>
      </c>
      <c r="AA450" s="8">
        <f>+VLOOKUP($B450,NIFTY_ENERGY!$B$63:$K$1238,10,0)</f>
        <v>-6.3982313664275869E-2</v>
      </c>
      <c r="AB450" s="8">
        <f>+VLOOKUP($B450,NIFTY_AUTO!$B$63:$K$1238,10,0)</f>
        <v>-0.1956299348070718</v>
      </c>
      <c r="AC450" s="8"/>
      <c r="AD450" s="16">
        <f t="shared" si="272"/>
        <v>7.405613296599628E-2</v>
      </c>
      <c r="AE450" s="8">
        <f t="shared" si="273"/>
        <v>8.6343680589995364E-2</v>
      </c>
      <c r="AF450" s="8">
        <f t="shared" si="274"/>
        <v>9.5517092232452042E-2</v>
      </c>
      <c r="AG450" s="8">
        <f t="shared" si="275"/>
        <v>0.11403842205873761</v>
      </c>
      <c r="AH450" s="8">
        <f t="shared" si="276"/>
        <v>9.9735218164114639E-2</v>
      </c>
      <c r="AI450" s="8">
        <f t="shared" si="277"/>
        <v>0.13356322624641578</v>
      </c>
      <c r="AJ450" s="8">
        <f t="shared" si="278"/>
        <v>0.14118780253281452</v>
      </c>
      <c r="AK450" s="8">
        <f t="shared" si="279"/>
        <v>0.10889994225616238</v>
      </c>
      <c r="AL450" s="9">
        <v>0</v>
      </c>
      <c r="AM450" s="17">
        <f t="shared" si="256"/>
        <v>13.50327055909281</v>
      </c>
      <c r="AN450" s="13">
        <f t="shared" si="257"/>
        <v>11.581623497711654</v>
      </c>
      <c r="AO450" s="13">
        <f t="shared" si="258"/>
        <v>10.469330426918596</v>
      </c>
      <c r="AP450" s="13">
        <f t="shared" si="259"/>
        <v>8.7689743679979308</v>
      </c>
      <c r="AQ450" s="13">
        <f t="shared" si="260"/>
        <v>10.026548479139</v>
      </c>
      <c r="AR450" s="13">
        <f t="shared" si="261"/>
        <v>7.4870907816726637</v>
      </c>
      <c r="AS450" s="13">
        <f t="shared" si="262"/>
        <v>7.0827648143867279</v>
      </c>
      <c r="AT450" s="13">
        <f t="shared" si="263"/>
        <v>9.1827413245796503</v>
      </c>
      <c r="AU450" s="9">
        <v>0</v>
      </c>
      <c r="AV450" s="18">
        <f t="shared" si="280"/>
        <v>1</v>
      </c>
      <c r="AW450" s="18">
        <f t="shared" si="281"/>
        <v>2</v>
      </c>
      <c r="AX450" s="18">
        <f t="shared" si="282"/>
        <v>3</v>
      </c>
      <c r="AY450" s="18">
        <f t="shared" si="283"/>
        <v>6</v>
      </c>
      <c r="AZ450" s="18">
        <f t="shared" si="284"/>
        <v>4</v>
      </c>
      <c r="BA450" s="18">
        <f t="shared" si="285"/>
        <v>7</v>
      </c>
      <c r="BB450" s="18">
        <f t="shared" si="286"/>
        <v>8</v>
      </c>
      <c r="BC450" s="18">
        <f t="shared" si="287"/>
        <v>5</v>
      </c>
      <c r="BD450" s="18">
        <f t="shared" si="288"/>
        <v>9</v>
      </c>
      <c r="BE450" s="8">
        <f t="shared" si="255"/>
        <v>-1.1792815368069896E-2</v>
      </c>
    </row>
    <row r="451" spans="1:57" x14ac:dyDescent="0.25">
      <c r="A451" t="str">
        <f t="shared" si="254"/>
        <v/>
      </c>
      <c r="B451" s="1">
        <v>43397</v>
      </c>
      <c r="C451" s="9">
        <f t="shared" si="264"/>
        <v>0.25121314883781021</v>
      </c>
      <c r="D451" s="9">
        <f t="shared" si="265"/>
        <v>0.2679566358655468</v>
      </c>
      <c r="E451" s="9">
        <f t="shared" si="266"/>
        <v>0.23821880998209585</v>
      </c>
      <c r="F451" s="9">
        <f t="shared" si="267"/>
        <v>0</v>
      </c>
      <c r="G451" s="9">
        <f t="shared" si="268"/>
        <v>0</v>
      </c>
      <c r="H451" s="9">
        <f t="shared" si="269"/>
        <v>0</v>
      </c>
      <c r="I451" s="9">
        <f t="shared" si="270"/>
        <v>0</v>
      </c>
      <c r="J451" s="9">
        <f t="shared" si="271"/>
        <v>0.2426114053145472</v>
      </c>
      <c r="K451" s="9">
        <v>0</v>
      </c>
      <c r="L451" s="8">
        <f>+VLOOKUP($B451,NIFTY_50!$B$3:$I$1238,8,0)</f>
        <v>7.682224937911597E-3</v>
      </c>
      <c r="M451" s="8">
        <f>+VLOOKUP($B451,NIFTY_BANK!$B$3:$I$41238,8,0)</f>
        <v>3.6740488017794615E-3</v>
      </c>
      <c r="N451" s="8">
        <f>+VLOOKUP($B451,NIFTY_IT!$B$3:$I$1238,8,0)</f>
        <v>2.4581332458060157E-3</v>
      </c>
      <c r="O451" s="8">
        <f>+VLOOKUP($B451,NIFTY_PHARMA!$B$3:$I$1238,8,0)</f>
        <v>-3.6132682197849153E-3</v>
      </c>
      <c r="P451" s="8">
        <f>+VLOOKUP($B451,NIFTY_FMCG!$B$3:$I$1238,8,0)</f>
        <v>5.280787623856309E-3</v>
      </c>
      <c r="Q451" s="8">
        <f>+VLOOKUP($B451,NIFTY_METAL!$B$3:$I$1238,8,0)</f>
        <v>1.0595426760244386E-2</v>
      </c>
      <c r="R451" s="8">
        <f>+VLOOKUP($B451,NIFTY_ENERGY!$B$3:$I$1238,8,0)</f>
        <v>1.5280803123747244E-3</v>
      </c>
      <c r="S451" s="8">
        <f>+VLOOKUP($B451,NIFTY_AUTO!$B$3:$I$1238,8,0)</f>
        <v>1.7053698918390037E-3</v>
      </c>
      <c r="T451" s="8">
        <v>0</v>
      </c>
      <c r="U451" s="8">
        <f>+VLOOKUP($B451,NIFTY_50!$B$63:$K$1238,10,0)</f>
        <v>-7.7584068201808742E-2</v>
      </c>
      <c r="V451" s="8">
        <f>+VLOOKUP($B451,NIFTY_BANK!$B$63:$K$1238,10,0)</f>
        <v>-7.1976421931898349E-2</v>
      </c>
      <c r="W451" s="8">
        <f>+VLOOKUP($B451,NIFTY_IT!$B$63:$K$1238,10,0)</f>
        <v>-4.3182003922850654E-2</v>
      </c>
      <c r="X451" s="8">
        <f>+VLOOKUP($B451,NIFTY_PHARMA!$B$63:$K$1238,10,0)</f>
        <v>4.4420077427439697E-2</v>
      </c>
      <c r="Y451" s="8">
        <f>+VLOOKUP($B451,NIFTY_FMCG!$B$63:$K$1238,10,0)</f>
        <v>-4.566196347442919E-2</v>
      </c>
      <c r="Z451" s="8">
        <f>+VLOOKUP($B451,NIFTY_METAL!$B$63:$K$1238,10,0)</f>
        <v>6.6415022217975128E-2</v>
      </c>
      <c r="AA451" s="8">
        <f>+VLOOKUP($B451,NIFTY_ENERGY!$B$63:$K$1238,10,0)</f>
        <v>-6.0358345366633759E-2</v>
      </c>
      <c r="AB451" s="8">
        <f>+VLOOKUP($B451,NIFTY_AUTO!$B$63:$K$1238,10,0)</f>
        <v>-0.19559727406086946</v>
      </c>
      <c r="AC451" s="8"/>
      <c r="AD451" s="16">
        <f t="shared" si="272"/>
        <v>7.416079426757273E-2</v>
      </c>
      <c r="AE451" s="8">
        <f t="shared" si="273"/>
        <v>8.6257796339527473E-2</v>
      </c>
      <c r="AF451" s="8">
        <f t="shared" si="274"/>
        <v>9.5566938220648642E-2</v>
      </c>
      <c r="AG451" s="8">
        <f t="shared" si="275"/>
        <v>0.11406224313213512</v>
      </c>
      <c r="AH451" s="8">
        <f t="shared" si="276"/>
        <v>9.6695599052372211E-2</v>
      </c>
      <c r="AI451" s="8">
        <f t="shared" si="277"/>
        <v>0.13315564344171965</v>
      </c>
      <c r="AJ451" s="8">
        <f t="shared" si="278"/>
        <v>0.14120097305494833</v>
      </c>
      <c r="AK451" s="8">
        <f t="shared" si="279"/>
        <v>0.10890186546996776</v>
      </c>
      <c r="AL451" s="9">
        <v>0</v>
      </c>
      <c r="AM451" s="17">
        <f t="shared" si="256"/>
        <v>13.484213726082707</v>
      </c>
      <c r="AN451" s="13">
        <f t="shared" si="257"/>
        <v>11.59315496611814</v>
      </c>
      <c r="AO451" s="13">
        <f t="shared" si="258"/>
        <v>10.463869813336085</v>
      </c>
      <c r="AP451" s="13">
        <f t="shared" si="259"/>
        <v>8.7671430312093062</v>
      </c>
      <c r="AQ451" s="13">
        <f t="shared" si="260"/>
        <v>10.341732300126509</v>
      </c>
      <c r="AR451" s="13">
        <f t="shared" si="261"/>
        <v>7.5100083943320506</v>
      </c>
      <c r="AS451" s="13">
        <f t="shared" si="262"/>
        <v>7.0821041694298392</v>
      </c>
      <c r="AT451" s="13">
        <f t="shared" si="263"/>
        <v>9.1825791567893145</v>
      </c>
      <c r="AU451" s="9">
        <v>0</v>
      </c>
      <c r="AV451" s="18">
        <f t="shared" si="280"/>
        <v>1</v>
      </c>
      <c r="AW451" s="18">
        <f t="shared" si="281"/>
        <v>2</v>
      </c>
      <c r="AX451" s="18">
        <f t="shared" si="282"/>
        <v>3</v>
      </c>
      <c r="AY451" s="18">
        <f t="shared" si="283"/>
        <v>6</v>
      </c>
      <c r="AZ451" s="18">
        <f t="shared" si="284"/>
        <v>4</v>
      </c>
      <c r="BA451" s="18">
        <f t="shared" si="285"/>
        <v>7</v>
      </c>
      <c r="BB451" s="18">
        <f t="shared" si="286"/>
        <v>8</v>
      </c>
      <c r="BC451" s="18">
        <f t="shared" si="287"/>
        <v>5</v>
      </c>
      <c r="BD451" s="18">
        <f t="shared" si="288"/>
        <v>9</v>
      </c>
      <c r="BE451" s="8">
        <f t="shared" si="255"/>
        <v>3.9084370509389205E-3</v>
      </c>
    </row>
    <row r="452" spans="1:57" x14ac:dyDescent="0.25">
      <c r="A452" t="str">
        <f t="shared" ref="A452:A515" si="289">+IF(MONTH(B452)&lt;&gt;MONTH(B453),"Y","")</f>
        <v/>
      </c>
      <c r="B452" s="1">
        <v>43398</v>
      </c>
      <c r="C452" s="9">
        <f t="shared" si="264"/>
        <v>0.25052534833497342</v>
      </c>
      <c r="D452" s="9">
        <f t="shared" si="265"/>
        <v>0.26720162064179137</v>
      </c>
      <c r="E452" s="9">
        <f t="shared" si="266"/>
        <v>0.24027913204708029</v>
      </c>
      <c r="F452" s="9">
        <f t="shared" si="267"/>
        <v>0</v>
      </c>
      <c r="G452" s="9">
        <f t="shared" si="268"/>
        <v>0</v>
      </c>
      <c r="H452" s="9">
        <f t="shared" si="269"/>
        <v>0</v>
      </c>
      <c r="I452" s="9">
        <f t="shared" si="270"/>
        <v>0</v>
      </c>
      <c r="J452" s="9">
        <f t="shared" si="271"/>
        <v>0.24199389897615498</v>
      </c>
      <c r="K452" s="9">
        <v>0</v>
      </c>
      <c r="L452" s="8">
        <f>+VLOOKUP($B452,NIFTY_50!$B$3:$I$1238,8,0)</f>
        <v>-9.76551993936281E-3</v>
      </c>
      <c r="M452" s="8">
        <f>+VLOOKUP($B452,NIFTY_BANK!$B$3:$I$41238,8,0)</f>
        <v>-9.8447187622185961E-3</v>
      </c>
      <c r="N452" s="8">
        <f>+VLOOKUP($B452,NIFTY_IT!$B$3:$I$1238,8,0)</f>
        <v>1.5410184957809214E-3</v>
      </c>
      <c r="O452" s="8">
        <f>+VLOOKUP($B452,NIFTY_PHARMA!$B$3:$I$1238,8,0)</f>
        <v>-2.0536938635584367E-2</v>
      </c>
      <c r="P452" s="8">
        <f>+VLOOKUP($B452,NIFTY_FMCG!$B$3:$I$1238,8,0)</f>
        <v>-7.5931682442108572E-3</v>
      </c>
      <c r="Q452" s="8">
        <f>+VLOOKUP($B452,NIFTY_METAL!$B$3:$I$1238,8,0)</f>
        <v>-1.2261600728825872E-2</v>
      </c>
      <c r="R452" s="8">
        <f>+VLOOKUP($B452,NIFTY_ENERGY!$B$3:$I$1238,8,0)</f>
        <v>-1.0364822686711683E-2</v>
      </c>
      <c r="S452" s="8">
        <f>+VLOOKUP($B452,NIFTY_AUTO!$B$3:$I$1238,8,0)</f>
        <v>-9.5742102286497932E-3</v>
      </c>
      <c r="T452" s="8">
        <v>0</v>
      </c>
      <c r="U452" s="8">
        <f>+VLOOKUP($B452,NIFTY_50!$B$63:$K$1238,10,0)</f>
        <v>-9.065679925994452E-2</v>
      </c>
      <c r="V452" s="8">
        <f>+VLOOKUP($B452,NIFTY_BANK!$B$63:$K$1238,10,0)</f>
        <v>-7.9962853668663625E-2</v>
      </c>
      <c r="W452" s="8">
        <f>+VLOOKUP($B452,NIFTY_IT!$B$63:$K$1238,10,0)</f>
        <v>-4.0446266000177311E-2</v>
      </c>
      <c r="X452" s="8">
        <f>+VLOOKUP($B452,NIFTY_PHARMA!$B$63:$K$1238,10,0)</f>
        <v>1.0349152673485129E-2</v>
      </c>
      <c r="Y452" s="8">
        <f>+VLOOKUP($B452,NIFTY_FMCG!$B$63:$K$1238,10,0)</f>
        <v>-5.370485393565283E-2</v>
      </c>
      <c r="Z452" s="8">
        <f>+VLOOKUP($B452,NIFTY_METAL!$B$63:$K$1238,10,0)</f>
        <v>2.2732193115392985E-2</v>
      </c>
      <c r="AA452" s="8">
        <f>+VLOOKUP($B452,NIFTY_ENERGY!$B$63:$K$1238,10,0)</f>
        <v>-6.879141358365537E-2</v>
      </c>
      <c r="AB452" s="8">
        <f>+VLOOKUP($B452,NIFTY_AUTO!$B$63:$K$1238,10,0)</f>
        <v>-0.20995184738475126</v>
      </c>
      <c r="AC452" s="8"/>
      <c r="AD452" s="16">
        <f t="shared" si="272"/>
        <v>7.4400968547859048E-2</v>
      </c>
      <c r="AE452" s="8">
        <f t="shared" si="273"/>
        <v>8.6686580682047432E-2</v>
      </c>
      <c r="AF452" s="8">
        <f t="shared" si="274"/>
        <v>9.5588986454269192E-2</v>
      </c>
      <c r="AG452" s="8">
        <f t="shared" si="275"/>
        <v>0.11537827949563691</v>
      </c>
      <c r="AH452" s="8">
        <f t="shared" si="276"/>
        <v>9.6923662843305503E-2</v>
      </c>
      <c r="AI452" s="8">
        <f t="shared" si="277"/>
        <v>0.13060369055309456</v>
      </c>
      <c r="AJ452" s="8">
        <f t="shared" si="278"/>
        <v>0.14151526577826506</v>
      </c>
      <c r="AK452" s="8">
        <f t="shared" si="279"/>
        <v>0.10839917878863752</v>
      </c>
      <c r="AL452" s="9">
        <v>0</v>
      </c>
      <c r="AM452" s="17">
        <f t="shared" si="256"/>
        <v>13.44068524264898</v>
      </c>
      <c r="AN452" s="13">
        <f t="shared" si="257"/>
        <v>11.535810873286612</v>
      </c>
      <c r="AO452" s="13">
        <f t="shared" si="258"/>
        <v>10.461456252372869</v>
      </c>
      <c r="AP452" s="13">
        <f t="shared" si="259"/>
        <v>8.6671425884610755</v>
      </c>
      <c r="AQ452" s="13">
        <f t="shared" si="260"/>
        <v>10.317397946636412</v>
      </c>
      <c r="AR452" s="13">
        <f t="shared" si="261"/>
        <v>7.6567514728342854</v>
      </c>
      <c r="AS452" s="13">
        <f t="shared" si="262"/>
        <v>7.0663754507366177</v>
      </c>
      <c r="AT452" s="13">
        <f t="shared" si="263"/>
        <v>9.2251621384498979</v>
      </c>
      <c r="AU452" s="9">
        <v>0</v>
      </c>
      <c r="AV452" s="18">
        <f t="shared" si="280"/>
        <v>1</v>
      </c>
      <c r="AW452" s="18">
        <f t="shared" si="281"/>
        <v>2</v>
      </c>
      <c r="AX452" s="18">
        <f t="shared" si="282"/>
        <v>3</v>
      </c>
      <c r="AY452" s="18">
        <f t="shared" si="283"/>
        <v>6</v>
      </c>
      <c r="AZ452" s="18">
        <f t="shared" si="284"/>
        <v>4</v>
      </c>
      <c r="BA452" s="18">
        <f t="shared" si="285"/>
        <v>7</v>
      </c>
      <c r="BB452" s="18">
        <f t="shared" si="286"/>
        <v>8</v>
      </c>
      <c r="BC452" s="18">
        <f t="shared" si="287"/>
        <v>5</v>
      </c>
      <c r="BD452" s="18">
        <f t="shared" si="288"/>
        <v>9</v>
      </c>
      <c r="BE452" s="8">
        <f t="shared" ref="BE452:BE515" si="290">+SUMPRODUCT(C451:J451,L452:S452)</f>
        <v>-7.0468977406965864E-3</v>
      </c>
    </row>
    <row r="453" spans="1:57" x14ac:dyDescent="0.25">
      <c r="A453" t="str">
        <f t="shared" si="289"/>
        <v/>
      </c>
      <c r="B453" s="1">
        <v>43399</v>
      </c>
      <c r="C453" s="9">
        <f t="shared" si="264"/>
        <v>0.25102533988504377</v>
      </c>
      <c r="D453" s="9">
        <f t="shared" si="265"/>
        <v>0.26595120584064991</v>
      </c>
      <c r="E453" s="9">
        <f t="shared" si="266"/>
        <v>0.23833509013706933</v>
      </c>
      <c r="F453" s="9">
        <f t="shared" si="267"/>
        <v>0</v>
      </c>
      <c r="G453" s="9">
        <f t="shared" si="268"/>
        <v>0</v>
      </c>
      <c r="H453" s="9">
        <f t="shared" si="269"/>
        <v>0</v>
      </c>
      <c r="I453" s="9">
        <f t="shared" si="270"/>
        <v>0</v>
      </c>
      <c r="J453" s="9">
        <f t="shared" si="271"/>
        <v>0.24468836413723696</v>
      </c>
      <c r="K453" s="9">
        <v>0</v>
      </c>
      <c r="L453" s="8">
        <f>+VLOOKUP($B453,NIFTY_50!$B$3:$I$1238,8,0)</f>
        <v>-9.3729320783414449E-3</v>
      </c>
      <c r="M453" s="8">
        <f>+VLOOKUP($B453,NIFTY_BANK!$B$3:$I$41238,8,0)</f>
        <v>-1.597263216003264E-2</v>
      </c>
      <c r="N453" s="8">
        <f>+VLOOKUP($B453,NIFTY_IT!$B$3:$I$1238,8,0)</f>
        <v>-1.9345026579867475E-2</v>
      </c>
      <c r="O453" s="8">
        <f>+VLOOKUP($B453,NIFTY_PHARMA!$B$3:$I$1238,8,0)</f>
        <v>-3.0188018856573962E-3</v>
      </c>
      <c r="P453" s="8">
        <f>+VLOOKUP($B453,NIFTY_FMCG!$B$3:$I$1238,8,0)</f>
        <v>-1.4079525297744699E-2</v>
      </c>
      <c r="Q453" s="8">
        <f>+VLOOKUP($B453,NIFTY_METAL!$B$3:$I$1238,8,0)</f>
        <v>-6.9251239869360104E-3</v>
      </c>
      <c r="R453" s="8">
        <f>+VLOOKUP($B453,NIFTY_ENERGY!$B$3:$I$1238,8,0)</f>
        <v>2.3978326853872911E-3</v>
      </c>
      <c r="S453" s="8">
        <f>+VLOOKUP($B453,NIFTY_AUTO!$B$3:$I$1238,8,0)</f>
        <v>-3.3795791841251255E-4</v>
      </c>
      <c r="T453" s="8">
        <v>0</v>
      </c>
      <c r="U453" s="8">
        <f>+VLOOKUP($B453,NIFTY_50!$B$63:$K$1238,10,0)</f>
        <v>-9.8993891484010055E-2</v>
      </c>
      <c r="V453" s="8">
        <f>+VLOOKUP($B453,NIFTY_BANK!$B$63:$K$1238,10,0)</f>
        <v>-9.6563983234250639E-2</v>
      </c>
      <c r="W453" s="8">
        <f>+VLOOKUP($B453,NIFTY_IT!$B$63:$K$1238,10,0)</f>
        <v>-5.32920307231044E-2</v>
      </c>
      <c r="X453" s="8">
        <f>+VLOOKUP($B453,NIFTY_PHARMA!$B$63:$K$1238,10,0)</f>
        <v>1.6261114362962292E-2</v>
      </c>
      <c r="Y453" s="8">
        <f>+VLOOKUP($B453,NIFTY_FMCG!$B$63:$K$1238,10,0)</f>
        <v>-6.5132111362328104E-2</v>
      </c>
      <c r="Z453" s="8">
        <f>+VLOOKUP($B453,NIFTY_METAL!$B$63:$K$1238,10,0)</f>
        <v>6.6982419030976459E-3</v>
      </c>
      <c r="AA453" s="8">
        <f>+VLOOKUP($B453,NIFTY_ENERGY!$B$63:$K$1238,10,0)</f>
        <v>-6.4556962025316356E-2</v>
      </c>
      <c r="AB453" s="8">
        <f>+VLOOKUP($B453,NIFTY_AUTO!$B$63:$K$1238,10,0)</f>
        <v>-0.20646718994999991</v>
      </c>
      <c r="AC453" s="8"/>
      <c r="AD453" s="16">
        <f t="shared" si="272"/>
        <v>7.4794598461462997E-2</v>
      </c>
      <c r="AE453" s="8">
        <f t="shared" si="273"/>
        <v>8.7822142847436238E-2</v>
      </c>
      <c r="AF453" s="8">
        <f t="shared" si="274"/>
        <v>9.7242553976444865E-2</v>
      </c>
      <c r="AG453" s="8">
        <f t="shared" si="275"/>
        <v>0.11506396836921552</v>
      </c>
      <c r="AH453" s="8">
        <f t="shared" si="276"/>
        <v>9.7805900718499886E-2</v>
      </c>
      <c r="AI453" s="8">
        <f t="shared" si="277"/>
        <v>0.13053055878297984</v>
      </c>
      <c r="AJ453" s="8">
        <f t="shared" si="278"/>
        <v>0.14155026912749896</v>
      </c>
      <c r="AK453" s="8">
        <f t="shared" si="279"/>
        <v>0.10844737141598226</v>
      </c>
      <c r="AL453" s="9">
        <v>0</v>
      </c>
      <c r="AM453" s="17">
        <f t="shared" si="256"/>
        <v>13.369949442475285</v>
      </c>
      <c r="AN453" s="13">
        <f t="shared" si="257"/>
        <v>11.386649967505235</v>
      </c>
      <c r="AO453" s="13">
        <f t="shared" si="258"/>
        <v>10.283563718845052</v>
      </c>
      <c r="AP453" s="13">
        <f t="shared" si="259"/>
        <v>8.6908179352133512</v>
      </c>
      <c r="AQ453" s="13">
        <f t="shared" si="260"/>
        <v>10.224331994836902</v>
      </c>
      <c r="AR453" s="13">
        <f t="shared" si="261"/>
        <v>7.6610412866047746</v>
      </c>
      <c r="AS453" s="13">
        <f t="shared" si="262"/>
        <v>7.0646280375438018</v>
      </c>
      <c r="AT453" s="13">
        <f t="shared" si="263"/>
        <v>9.2210625941702311</v>
      </c>
      <c r="AU453" s="9">
        <v>0</v>
      </c>
      <c r="AV453" s="18">
        <f t="shared" si="280"/>
        <v>1</v>
      </c>
      <c r="AW453" s="18">
        <f t="shared" si="281"/>
        <v>2</v>
      </c>
      <c r="AX453" s="18">
        <f t="shared" si="282"/>
        <v>3</v>
      </c>
      <c r="AY453" s="18">
        <f t="shared" si="283"/>
        <v>6</v>
      </c>
      <c r="AZ453" s="18">
        <f t="shared" si="284"/>
        <v>4</v>
      </c>
      <c r="BA453" s="18">
        <f t="shared" si="285"/>
        <v>7</v>
      </c>
      <c r="BB453" s="18">
        <f t="shared" si="286"/>
        <v>8</v>
      </c>
      <c r="BC453" s="18">
        <f t="shared" si="287"/>
        <v>5</v>
      </c>
      <c r="BD453" s="18">
        <f t="shared" si="288"/>
        <v>9</v>
      </c>
      <c r="BE453" s="8">
        <f t="shared" si="290"/>
        <v>-1.1346060223327219E-2</v>
      </c>
    </row>
    <row r="454" spans="1:57" x14ac:dyDescent="0.25">
      <c r="A454" t="str">
        <f t="shared" si="289"/>
        <v/>
      </c>
      <c r="B454" s="1">
        <v>43402</v>
      </c>
      <c r="C454" s="9">
        <f t="shared" si="264"/>
        <v>0.25119625557453995</v>
      </c>
      <c r="D454" s="9">
        <f t="shared" si="265"/>
        <v>0.26614213967384448</v>
      </c>
      <c r="E454" s="9">
        <f t="shared" si="266"/>
        <v>0.23900842978626091</v>
      </c>
      <c r="F454" s="9">
        <f t="shared" si="267"/>
        <v>0</v>
      </c>
      <c r="G454" s="9">
        <f t="shared" si="268"/>
        <v>0</v>
      </c>
      <c r="H454" s="9">
        <f t="shared" si="269"/>
        <v>0</v>
      </c>
      <c r="I454" s="9">
        <f t="shared" si="270"/>
        <v>0</v>
      </c>
      <c r="J454" s="9">
        <f t="shared" si="271"/>
        <v>0.2436531749653548</v>
      </c>
      <c r="K454" s="9">
        <v>0</v>
      </c>
      <c r="L454" s="8">
        <f>+VLOOKUP($B454,NIFTY_50!$B$3:$I$1238,8,0)</f>
        <v>2.201894317048847E-2</v>
      </c>
      <c r="M454" s="8">
        <f>+VLOOKUP($B454,NIFTY_BANK!$B$3:$I$41238,8,0)</f>
        <v>2.2056791169912993E-2</v>
      </c>
      <c r="N454" s="8">
        <f>+VLOOKUP($B454,NIFTY_IT!$B$3:$I$1238,8,0)</f>
        <v>2.4208977722377512E-2</v>
      </c>
      <c r="O454" s="8">
        <f>+VLOOKUP($B454,NIFTY_PHARMA!$B$3:$I$1238,8,0)</f>
        <v>5.214424416627339E-2</v>
      </c>
      <c r="P454" s="8">
        <f>+VLOOKUP($B454,NIFTY_FMCG!$B$3:$I$1238,8,0)</f>
        <v>8.7082858116875883E-3</v>
      </c>
      <c r="Q454" s="8">
        <f>+VLOOKUP($B454,NIFTY_METAL!$B$3:$I$1238,8,0)</f>
        <v>2.6066567191449064E-2</v>
      </c>
      <c r="R454" s="8">
        <f>+VLOOKUP($B454,NIFTY_ENERGY!$B$3:$I$1238,8,0)</f>
        <v>3.2646391150350951E-2</v>
      </c>
      <c r="S454" s="8">
        <f>+VLOOKUP($B454,NIFTY_AUTO!$B$3:$I$1238,8,0)</f>
        <v>1.7002698748550094E-2</v>
      </c>
      <c r="T454" s="8">
        <v>0</v>
      </c>
      <c r="U454" s="8">
        <f>+VLOOKUP($B454,NIFTY_50!$B$63:$K$1238,10,0)</f>
        <v>-8.2065494792832538E-2</v>
      </c>
      <c r="V454" s="8">
        <f>+VLOOKUP($B454,NIFTY_BANK!$B$63:$K$1238,10,0)</f>
        <v>-8.9274767937416066E-2</v>
      </c>
      <c r="W454" s="8">
        <f>+VLOOKUP($B454,NIFTY_IT!$B$63:$K$1238,10,0)</f>
        <v>-2.3185490838465328E-2</v>
      </c>
      <c r="X454" s="8">
        <f>+VLOOKUP($B454,NIFTY_PHARMA!$B$63:$K$1238,10,0)</f>
        <v>6.6233816768856979E-2</v>
      </c>
      <c r="Y454" s="8">
        <f>+VLOOKUP($B454,NIFTY_FMCG!$B$63:$K$1238,10,0)</f>
        <v>-5.9220109034916146E-2</v>
      </c>
      <c r="Z454" s="8">
        <f>+VLOOKUP($B454,NIFTY_METAL!$B$63:$K$1238,10,0)</f>
        <v>4.1463829261130902E-2</v>
      </c>
      <c r="AA454" s="8">
        <f>+VLOOKUP($B454,NIFTY_ENERGY!$B$63:$K$1238,10,0)</f>
        <v>-3.5159353604023669E-2</v>
      </c>
      <c r="AB454" s="8">
        <f>+VLOOKUP($B454,NIFTY_AUTO!$B$63:$K$1238,10,0)</f>
        <v>-0.18998142989786448</v>
      </c>
      <c r="AC454" s="8"/>
      <c r="AD454" s="16">
        <f t="shared" si="272"/>
        <v>7.8267592697481167E-2</v>
      </c>
      <c r="AE454" s="8">
        <f t="shared" si="273"/>
        <v>8.9620068205491121E-2</v>
      </c>
      <c r="AF454" s="8">
        <f t="shared" si="274"/>
        <v>0.10011714681109973</v>
      </c>
      <c r="AG454" s="8">
        <f t="shared" si="275"/>
        <v>0.12599231024075427</v>
      </c>
      <c r="AH454" s="8">
        <f t="shared" si="276"/>
        <v>9.8227027228430894E-2</v>
      </c>
      <c r="AI454" s="8">
        <f t="shared" si="277"/>
        <v>0.132719020588661</v>
      </c>
      <c r="AJ454" s="8">
        <f t="shared" si="278"/>
        <v>0.14540591443587852</v>
      </c>
      <c r="AK454" s="8">
        <f t="shared" si="279"/>
        <v>0.11037155635527841</v>
      </c>
      <c r="AL454" s="9">
        <v>0</v>
      </c>
      <c r="AM454" s="17">
        <f t="shared" si="256"/>
        <v>12.77668017547424</v>
      </c>
      <c r="AN454" s="13">
        <f t="shared" si="257"/>
        <v>11.158215118817873</v>
      </c>
      <c r="AO454" s="13">
        <f t="shared" si="258"/>
        <v>9.9882990262076916</v>
      </c>
      <c r="AP454" s="13">
        <f t="shared" si="259"/>
        <v>7.9369923298424734</v>
      </c>
      <c r="AQ454" s="13">
        <f t="shared" si="260"/>
        <v>10.180497447759056</v>
      </c>
      <c r="AR454" s="13">
        <f t="shared" si="261"/>
        <v>7.5347150360559256</v>
      </c>
      <c r="AS454" s="13">
        <f t="shared" si="262"/>
        <v>6.87729934425042</v>
      </c>
      <c r="AT454" s="13">
        <f t="shared" si="263"/>
        <v>9.0603053270452136</v>
      </c>
      <c r="AU454" s="9">
        <v>0</v>
      </c>
      <c r="AV454" s="18">
        <f t="shared" si="280"/>
        <v>1</v>
      </c>
      <c r="AW454" s="18">
        <f t="shared" si="281"/>
        <v>2</v>
      </c>
      <c r="AX454" s="18">
        <f t="shared" si="282"/>
        <v>4</v>
      </c>
      <c r="AY454" s="18">
        <f t="shared" si="283"/>
        <v>6</v>
      </c>
      <c r="AZ454" s="18">
        <f t="shared" si="284"/>
        <v>3</v>
      </c>
      <c r="BA454" s="18">
        <f t="shared" si="285"/>
        <v>7</v>
      </c>
      <c r="BB454" s="18">
        <f t="shared" si="286"/>
        <v>8</v>
      </c>
      <c r="BC454" s="18">
        <f t="shared" si="287"/>
        <v>5</v>
      </c>
      <c r="BD454" s="18">
        <f t="shared" si="288"/>
        <v>9</v>
      </c>
      <c r="BE454" s="8">
        <f t="shared" si="290"/>
        <v>2.1323554332185204E-2</v>
      </c>
    </row>
    <row r="455" spans="1:57" x14ac:dyDescent="0.25">
      <c r="A455" t="str">
        <f t="shared" si="289"/>
        <v/>
      </c>
      <c r="B455" s="1">
        <v>43403</v>
      </c>
      <c r="C455" s="9">
        <f t="shared" si="264"/>
        <v>0.24954978830073207</v>
      </c>
      <c r="D455" s="9">
        <f t="shared" si="265"/>
        <v>0.26413961522034285</v>
      </c>
      <c r="E455" s="9">
        <f t="shared" si="266"/>
        <v>0.24243225891432801</v>
      </c>
      <c r="F455" s="9">
        <f t="shared" si="267"/>
        <v>0</v>
      </c>
      <c r="G455" s="9">
        <f t="shared" si="268"/>
        <v>0</v>
      </c>
      <c r="H455" s="9">
        <f t="shared" si="269"/>
        <v>0</v>
      </c>
      <c r="I455" s="9">
        <f t="shared" si="270"/>
        <v>0</v>
      </c>
      <c r="J455" s="9">
        <f t="shared" si="271"/>
        <v>0.24387833756459704</v>
      </c>
      <c r="K455" s="9">
        <v>0</v>
      </c>
      <c r="L455" s="8">
        <f>+VLOOKUP($B455,NIFTY_50!$B$3:$I$1238,8,0)</f>
        <v>-5.1166488632650164E-3</v>
      </c>
      <c r="M455" s="8">
        <f>+VLOOKUP($B455,NIFTY_BANK!$B$3:$I$41238,8,0)</f>
        <v>-6.0878135554514046E-3</v>
      </c>
      <c r="N455" s="8">
        <f>+VLOOKUP($B455,NIFTY_IT!$B$3:$I$1238,8,0)</f>
        <v>1.5793216417303357E-2</v>
      </c>
      <c r="O455" s="8">
        <f>+VLOOKUP($B455,NIFTY_PHARMA!$B$3:$I$1238,8,0)</f>
        <v>-5.7453286619953969E-3</v>
      </c>
      <c r="P455" s="8">
        <f>+VLOOKUP($B455,NIFTY_FMCG!$B$3:$I$1238,8,0)</f>
        <v>4.8836592055212513E-4</v>
      </c>
      <c r="Q455" s="8">
        <f>+VLOOKUP($B455,NIFTY_METAL!$B$3:$I$1238,8,0)</f>
        <v>-1.0817628728297946E-2</v>
      </c>
      <c r="R455" s="8">
        <f>+VLOOKUP($B455,NIFTY_ENERGY!$B$3:$I$1238,8,0)</f>
        <v>-2.1818520321943202E-2</v>
      </c>
      <c r="S455" s="8">
        <f>+VLOOKUP($B455,NIFTY_AUTO!$B$3:$I$1238,8,0)</f>
        <v>2.3727919852361001E-3</v>
      </c>
      <c r="T455" s="8">
        <v>0</v>
      </c>
      <c r="U455" s="8">
        <f>+VLOOKUP($B455,NIFTY_50!$B$63:$K$1238,10,0)</f>
        <v>-9.5754254833375518E-2</v>
      </c>
      <c r="V455" s="8">
        <f>+VLOOKUP($B455,NIFTY_BANK!$B$63:$K$1238,10,0)</f>
        <v>-0.10228736647077563</v>
      </c>
      <c r="W455" s="8">
        <f>+VLOOKUP($B455,NIFTY_IT!$B$63:$K$1238,10,0)</f>
        <v>-1.1162082670358564E-2</v>
      </c>
      <c r="X455" s="8">
        <f>+VLOOKUP($B455,NIFTY_PHARMA!$B$63:$K$1238,10,0)</f>
        <v>5.4906516207545053E-2</v>
      </c>
      <c r="Y455" s="8">
        <f>+VLOOKUP($B455,NIFTY_FMCG!$B$63:$K$1238,10,0)</f>
        <v>-8.0588695370796382E-2</v>
      </c>
      <c r="Z455" s="8">
        <f>+VLOOKUP($B455,NIFTY_METAL!$B$63:$K$1238,10,0)</f>
        <v>1.0719592443218184E-2</v>
      </c>
      <c r="AA455" s="8">
        <f>+VLOOKUP($B455,NIFTY_ENERGY!$B$63:$K$1238,10,0)</f>
        <v>-7.0322176700376993E-2</v>
      </c>
      <c r="AB455" s="8">
        <f>+VLOOKUP($B455,NIFTY_AUTO!$B$63:$K$1238,10,0)</f>
        <v>-0.19588406223562727</v>
      </c>
      <c r="AC455" s="8"/>
      <c r="AD455" s="16">
        <f t="shared" si="272"/>
        <v>7.7515494387200817E-2</v>
      </c>
      <c r="AE455" s="8">
        <f t="shared" si="273"/>
        <v>8.9184985325521493E-2</v>
      </c>
      <c r="AF455" s="8">
        <f t="shared" si="274"/>
        <v>0.10132116689545004</v>
      </c>
      <c r="AG455" s="8">
        <f t="shared" si="275"/>
        <v>0.12611945646494532</v>
      </c>
      <c r="AH455" s="8">
        <f t="shared" si="276"/>
        <v>9.5044426562014422E-2</v>
      </c>
      <c r="AI455" s="8">
        <f t="shared" si="277"/>
        <v>0.13188617582391834</v>
      </c>
      <c r="AJ455" s="8">
        <f t="shared" si="278"/>
        <v>0.14606769535376346</v>
      </c>
      <c r="AK455" s="8">
        <f t="shared" si="279"/>
        <v>0.10973909511620338</v>
      </c>
      <c r="AL455" s="9">
        <v>0</v>
      </c>
      <c r="AM455" s="17">
        <f t="shared" si="256"/>
        <v>12.900646611435633</v>
      </c>
      <c r="AN455" s="13">
        <f t="shared" si="257"/>
        <v>11.212649711720438</v>
      </c>
      <c r="AO455" s="13">
        <f t="shared" si="258"/>
        <v>9.8696060323887398</v>
      </c>
      <c r="AP455" s="13">
        <f t="shared" si="259"/>
        <v>7.9289907206184971</v>
      </c>
      <c r="AQ455" s="13">
        <f t="shared" si="260"/>
        <v>10.521395479697293</v>
      </c>
      <c r="AR455" s="13">
        <f t="shared" si="261"/>
        <v>7.5822958225364214</v>
      </c>
      <c r="AS455" s="13">
        <f t="shared" si="262"/>
        <v>6.8461407402785781</v>
      </c>
      <c r="AT455" s="13">
        <f t="shared" si="263"/>
        <v>9.1125227426114108</v>
      </c>
      <c r="AU455" s="9">
        <v>0</v>
      </c>
      <c r="AV455" s="18">
        <f t="shared" si="280"/>
        <v>1</v>
      </c>
      <c r="AW455" s="18">
        <f t="shared" si="281"/>
        <v>2</v>
      </c>
      <c r="AX455" s="18">
        <f t="shared" si="282"/>
        <v>4</v>
      </c>
      <c r="AY455" s="18">
        <f t="shared" si="283"/>
        <v>6</v>
      </c>
      <c r="AZ455" s="18">
        <f t="shared" si="284"/>
        <v>3</v>
      </c>
      <c r="BA455" s="18">
        <f t="shared" si="285"/>
        <v>7</v>
      </c>
      <c r="BB455" s="18">
        <f t="shared" si="286"/>
        <v>8</v>
      </c>
      <c r="BC455" s="18">
        <f t="shared" si="287"/>
        <v>5</v>
      </c>
      <c r="BD455" s="18">
        <f t="shared" si="288"/>
        <v>9</v>
      </c>
      <c r="BE455" s="8">
        <f t="shared" si="290"/>
        <v>1.4473433967842259E-3</v>
      </c>
    </row>
    <row r="456" spans="1:57" x14ac:dyDescent="0.25">
      <c r="A456" t="str">
        <f t="shared" si="289"/>
        <v>Y</v>
      </c>
      <c r="B456" s="1">
        <v>43404</v>
      </c>
      <c r="C456" s="9">
        <f t="shared" si="264"/>
        <v>0.25</v>
      </c>
      <c r="D456" s="9">
        <f t="shared" si="265"/>
        <v>0.25</v>
      </c>
      <c r="E456" s="9">
        <f t="shared" si="266"/>
        <v>0.25</v>
      </c>
      <c r="F456" s="9">
        <f t="shared" si="267"/>
        <v>0</v>
      </c>
      <c r="G456" s="9">
        <f t="shared" si="268"/>
        <v>0.25</v>
      </c>
      <c r="H456" s="9">
        <f t="shared" si="269"/>
        <v>0</v>
      </c>
      <c r="I456" s="9">
        <f t="shared" si="270"/>
        <v>0</v>
      </c>
      <c r="J456" s="9">
        <f t="shared" si="271"/>
        <v>0</v>
      </c>
      <c r="K456" s="9">
        <v>0</v>
      </c>
      <c r="L456" s="8">
        <f>+VLOOKUP($B456,NIFTY_50!$B$3:$I$1238,8,0)</f>
        <v>1.8453875117665497E-2</v>
      </c>
      <c r="M456" s="8">
        <f>+VLOOKUP($B456,NIFTY_BANK!$B$3:$I$41238,8,0)</f>
        <v>1.3927099394342557E-2</v>
      </c>
      <c r="N456" s="8">
        <f>+VLOOKUP($B456,NIFTY_IT!$B$3:$I$1238,8,0)</f>
        <v>4.0697694668027307E-2</v>
      </c>
      <c r="O456" s="8">
        <f>+VLOOKUP($B456,NIFTY_PHARMA!$B$3:$I$1238,8,0)</f>
        <v>2.3302885069164114E-2</v>
      </c>
      <c r="P456" s="8">
        <f>+VLOOKUP($B456,NIFTY_FMCG!$B$3:$I$1238,8,0)</f>
        <v>9.75547640186325E-3</v>
      </c>
      <c r="Q456" s="8">
        <f>+VLOOKUP($B456,NIFTY_METAL!$B$3:$I$1238,8,0)</f>
        <v>-1.0830920628253526E-2</v>
      </c>
      <c r="R456" s="8">
        <f>+VLOOKUP($B456,NIFTY_ENERGY!$B$3:$I$1238,8,0)</f>
        <v>6.7969693642253581E-3</v>
      </c>
      <c r="S456" s="8">
        <f>+VLOOKUP($B456,NIFTY_AUTO!$B$3:$I$1238,8,0)</f>
        <v>8.6853601079521781E-3</v>
      </c>
      <c r="T456" s="8">
        <v>0</v>
      </c>
      <c r="U456" s="8">
        <f>+VLOOKUP($B456,NIFTY_50!$B$63:$K$1238,10,0)</f>
        <v>-8.2419354126268218E-2</v>
      </c>
      <c r="V456" s="8">
        <f>+VLOOKUP($B456,NIFTY_BANK!$B$63:$K$1238,10,0)</f>
        <v>-9.659119478784306E-2</v>
      </c>
      <c r="W456" s="8">
        <f>+VLOOKUP($B456,NIFTY_IT!$B$63:$K$1238,10,0)</f>
        <v>3.6028445516987917E-2</v>
      </c>
      <c r="X456" s="8">
        <f>+VLOOKUP($B456,NIFTY_PHARMA!$B$63:$K$1238,10,0)</f>
        <v>7.0423616786699839E-2</v>
      </c>
      <c r="Y456" s="8">
        <f>+VLOOKUP($B456,NIFTY_FMCG!$B$63:$K$1238,10,0)</f>
        <v>-7.4246187971436561E-2</v>
      </c>
      <c r="Z456" s="8">
        <f>+VLOOKUP($B456,NIFTY_METAL!$B$63:$K$1238,10,0)</f>
        <v>-7.0324970635184947E-3</v>
      </c>
      <c r="AA456" s="8">
        <f>+VLOOKUP($B456,NIFTY_ENERGY!$B$63:$K$1238,10,0)</f>
        <v>-7.7668242631525941E-2</v>
      </c>
      <c r="AB456" s="8">
        <f>+VLOOKUP($B456,NIFTY_AUTO!$B$63:$K$1238,10,0)</f>
        <v>-0.19263069734234628</v>
      </c>
      <c r="AC456" s="8"/>
      <c r="AD456" s="16">
        <f t="shared" si="272"/>
        <v>7.9872431977032976E-2</v>
      </c>
      <c r="AE456" s="8">
        <f t="shared" si="273"/>
        <v>9.006807769723095E-2</v>
      </c>
      <c r="AF456" s="8">
        <f t="shared" si="274"/>
        <v>0.10885729190163065</v>
      </c>
      <c r="AG456" s="8">
        <f t="shared" si="275"/>
        <v>0.12784347317918177</v>
      </c>
      <c r="AH456" s="8">
        <f t="shared" si="276"/>
        <v>9.5591806154000106E-2</v>
      </c>
      <c r="AI456" s="8">
        <f t="shared" si="277"/>
        <v>0.13217577128308078</v>
      </c>
      <c r="AJ456" s="8">
        <f t="shared" si="278"/>
        <v>0.14541358488355099</v>
      </c>
      <c r="AK456" s="8">
        <f t="shared" si="279"/>
        <v>0.1101121158898887</v>
      </c>
      <c r="AL456" s="9">
        <v>0</v>
      </c>
      <c r="AM456" s="17">
        <f t="shared" si="256"/>
        <v>12.519964338728865</v>
      </c>
      <c r="AN456" s="13">
        <f t="shared" si="257"/>
        <v>11.102712809765496</v>
      </c>
      <c r="AO456" s="13">
        <f t="shared" si="258"/>
        <v>9.1863391283300917</v>
      </c>
      <c r="AP456" s="13">
        <f t="shared" si="259"/>
        <v>7.8220653360882064</v>
      </c>
      <c r="AQ456" s="13">
        <f t="shared" si="260"/>
        <v>10.461147667708905</v>
      </c>
      <c r="AR456" s="13">
        <f t="shared" si="261"/>
        <v>7.5656831073699626</v>
      </c>
      <c r="AS456" s="13">
        <f t="shared" si="262"/>
        <v>6.8769365723347819</v>
      </c>
      <c r="AT456" s="13">
        <f t="shared" si="263"/>
        <v>9.0816527492759516</v>
      </c>
      <c r="AU456" s="9">
        <v>0</v>
      </c>
      <c r="AV456" s="18">
        <f t="shared" si="280"/>
        <v>1</v>
      </c>
      <c r="AW456" s="18">
        <f t="shared" si="281"/>
        <v>2</v>
      </c>
      <c r="AX456" s="18">
        <f t="shared" si="282"/>
        <v>4</v>
      </c>
      <c r="AY456" s="18">
        <f t="shared" si="283"/>
        <v>6</v>
      </c>
      <c r="AZ456" s="18">
        <f t="shared" si="284"/>
        <v>3</v>
      </c>
      <c r="BA456" s="18">
        <f t="shared" si="285"/>
        <v>7</v>
      </c>
      <c r="BB456" s="18">
        <f t="shared" si="286"/>
        <v>8</v>
      </c>
      <c r="BC456" s="18">
        <f t="shared" si="287"/>
        <v>5</v>
      </c>
      <c r="BD456" s="18">
        <f t="shared" si="288"/>
        <v>9</v>
      </c>
      <c r="BE456" s="8">
        <f t="shared" si="290"/>
        <v>2.0268464539351393E-2</v>
      </c>
    </row>
    <row r="457" spans="1:57" x14ac:dyDescent="0.25">
      <c r="A457" t="str">
        <f t="shared" si="289"/>
        <v/>
      </c>
      <c r="B457" s="1">
        <v>43405</v>
      </c>
      <c r="C457" s="9">
        <f t="shared" si="264"/>
        <v>0.25122334160594695</v>
      </c>
      <c r="D457" s="9">
        <f t="shared" si="265"/>
        <v>0.25307509527859956</v>
      </c>
      <c r="E457" s="9">
        <f t="shared" si="266"/>
        <v>0.24602004241883024</v>
      </c>
      <c r="F457" s="9">
        <f t="shared" si="267"/>
        <v>0</v>
      </c>
      <c r="G457" s="9">
        <f t="shared" si="268"/>
        <v>0.24968152069662319</v>
      </c>
      <c r="H457" s="9">
        <f t="shared" si="269"/>
        <v>0</v>
      </c>
      <c r="I457" s="9">
        <f t="shared" si="270"/>
        <v>0</v>
      </c>
      <c r="J457" s="9">
        <f t="shared" si="271"/>
        <v>0</v>
      </c>
      <c r="K457" s="9">
        <v>0</v>
      </c>
      <c r="L457" s="8">
        <f>+VLOOKUP($B457,NIFTY_50!$B$3:$I$1238,8,0)</f>
        <v>-5.921090636011872E-4</v>
      </c>
      <c r="M457" s="8">
        <f>+VLOOKUP($B457,NIFTY_BANK!$B$3:$I$41238,8,0)</f>
        <v>6.7744724836751313E-3</v>
      </c>
      <c r="N457" s="8">
        <f>+VLOOKUP($B457,NIFTY_IT!$B$3:$I$1238,8,0)</f>
        <v>-2.1291691488008802E-2</v>
      </c>
      <c r="O457" s="8">
        <f>+VLOOKUP($B457,NIFTY_PHARMA!$B$3:$I$1238,8,0)</f>
        <v>-1.5203689469638793E-2</v>
      </c>
      <c r="P457" s="8">
        <f>+VLOOKUP($B457,NIFTY_FMCG!$B$3:$I$1238,8,0)</f>
        <v>-6.7257269565034195E-3</v>
      </c>
      <c r="Q457" s="8">
        <f>+VLOOKUP($B457,NIFTY_METAL!$B$3:$I$1238,8,0)</f>
        <v>1.2557060313319823E-2</v>
      </c>
      <c r="R457" s="8">
        <f>+VLOOKUP($B457,NIFTY_ENERGY!$B$3:$I$1238,8,0)</f>
        <v>-7.9616966048279281E-4</v>
      </c>
      <c r="S457" s="8">
        <f>+VLOOKUP($B457,NIFTY_AUTO!$B$3:$I$1238,8,0)</f>
        <v>-7.199097561941814E-4</v>
      </c>
      <c r="T457" s="8">
        <v>0</v>
      </c>
      <c r="U457" s="8">
        <f>+VLOOKUP($B457,NIFTY_50!$B$63:$K$1238,10,0)</f>
        <v>-8.5946374323074837E-2</v>
      </c>
      <c r="V457" s="8">
        <f>+VLOOKUP($B457,NIFTY_BANK!$B$63:$K$1238,10,0)</f>
        <v>-8.7901124291577482E-2</v>
      </c>
      <c r="W457" s="8">
        <f>+VLOOKUP($B457,NIFTY_IT!$B$63:$K$1238,10,0)</f>
        <v>2.344424793320421E-3</v>
      </c>
      <c r="X457" s="8">
        <f>+VLOOKUP($B457,NIFTY_PHARMA!$B$63:$K$1238,10,0)</f>
        <v>4.6816785410811246E-2</v>
      </c>
      <c r="Y457" s="8">
        <f>+VLOOKUP($B457,NIFTY_FMCG!$B$63:$K$1238,10,0)</f>
        <v>-8.5533222069032244E-2</v>
      </c>
      <c r="Z457" s="8">
        <f>+VLOOKUP($B457,NIFTY_METAL!$B$63:$K$1238,10,0)</f>
        <v>9.7448352373241676E-4</v>
      </c>
      <c r="AA457" s="8">
        <f>+VLOOKUP($B457,NIFTY_ENERGY!$B$63:$K$1238,10,0)</f>
        <v>-9.2922865704743285E-2</v>
      </c>
      <c r="AB457" s="8">
        <f>+VLOOKUP($B457,NIFTY_AUTO!$B$63:$K$1238,10,0)</f>
        <v>-0.19679234536963197</v>
      </c>
      <c r="AC457" s="8"/>
      <c r="AD457" s="16">
        <f t="shared" si="272"/>
        <v>7.9740784497481884E-2</v>
      </c>
      <c r="AE457" s="8">
        <f t="shared" si="273"/>
        <v>9.0439764914545445E-2</v>
      </c>
      <c r="AF457" s="8">
        <f t="shared" si="274"/>
        <v>0.11043356856617535</v>
      </c>
      <c r="AG457" s="8">
        <f t="shared" si="275"/>
        <v>0.12873795515255754</v>
      </c>
      <c r="AH457" s="8">
        <f t="shared" si="276"/>
        <v>9.5502837435397642E-2</v>
      </c>
      <c r="AI457" s="8">
        <f t="shared" si="277"/>
        <v>0.13269028167507985</v>
      </c>
      <c r="AJ457" s="8">
        <f t="shared" si="278"/>
        <v>0.14438245703987901</v>
      </c>
      <c r="AK457" s="8">
        <f t="shared" si="279"/>
        <v>0.10986200262568356</v>
      </c>
      <c r="AL457" s="9">
        <v>0</v>
      </c>
      <c r="AM457" s="17">
        <f t="shared" si="256"/>
        <v>12.540634084576617</v>
      </c>
      <c r="AN457" s="13">
        <f t="shared" si="257"/>
        <v>11.057083141966126</v>
      </c>
      <c r="AO457" s="13">
        <f t="shared" si="258"/>
        <v>9.0552176569461107</v>
      </c>
      <c r="AP457" s="13">
        <f t="shared" si="259"/>
        <v>7.7677169783765496</v>
      </c>
      <c r="AQ457" s="13">
        <f t="shared" si="260"/>
        <v>10.470893083950982</v>
      </c>
      <c r="AR457" s="13">
        <f t="shared" si="261"/>
        <v>7.5363469530399447</v>
      </c>
      <c r="AS457" s="13">
        <f t="shared" si="262"/>
        <v>6.9260491925538847</v>
      </c>
      <c r="AT457" s="13">
        <f t="shared" si="263"/>
        <v>9.1023281580543465</v>
      </c>
      <c r="AU457" s="9">
        <v>0</v>
      </c>
      <c r="AV457" s="18">
        <f t="shared" si="280"/>
        <v>1</v>
      </c>
      <c r="AW457" s="18">
        <f t="shared" si="281"/>
        <v>2</v>
      </c>
      <c r="AX457" s="18">
        <f t="shared" si="282"/>
        <v>5</v>
      </c>
      <c r="AY457" s="18">
        <f t="shared" si="283"/>
        <v>6</v>
      </c>
      <c r="AZ457" s="18">
        <f t="shared" si="284"/>
        <v>3</v>
      </c>
      <c r="BA457" s="18">
        <f t="shared" si="285"/>
        <v>7</v>
      </c>
      <c r="BB457" s="18">
        <f t="shared" si="286"/>
        <v>8</v>
      </c>
      <c r="BC457" s="18">
        <f t="shared" si="287"/>
        <v>4</v>
      </c>
      <c r="BD457" s="18">
        <f t="shared" si="288"/>
        <v>9</v>
      </c>
      <c r="BE457" s="8">
        <f t="shared" si="290"/>
        <v>-5.4587637561095692E-3</v>
      </c>
    </row>
    <row r="458" spans="1:57" x14ac:dyDescent="0.25">
      <c r="A458" t="str">
        <f t="shared" si="289"/>
        <v/>
      </c>
      <c r="B458" s="1">
        <v>43406</v>
      </c>
      <c r="C458" s="9">
        <f t="shared" si="264"/>
        <v>0.25327072459976913</v>
      </c>
      <c r="D458" s="9">
        <f t="shared" si="265"/>
        <v>0.25471197266134149</v>
      </c>
      <c r="E458" s="9">
        <f t="shared" si="266"/>
        <v>0.24021045838053315</v>
      </c>
      <c r="F458" s="9">
        <f t="shared" si="267"/>
        <v>0</v>
      </c>
      <c r="G458" s="9">
        <f t="shared" si="268"/>
        <v>0.25180684435835637</v>
      </c>
      <c r="H458" s="9">
        <f t="shared" si="269"/>
        <v>0</v>
      </c>
      <c r="I458" s="9">
        <f t="shared" si="270"/>
        <v>0</v>
      </c>
      <c r="J458" s="9">
        <f t="shared" si="271"/>
        <v>0</v>
      </c>
      <c r="K458" s="9">
        <v>0</v>
      </c>
      <c r="L458" s="8">
        <f>+VLOOKUP($B458,NIFTY_50!$B$3:$I$1238,8,0)</f>
        <v>1.6622593432847221E-2</v>
      </c>
      <c r="M458" s="8">
        <f>+VLOOKUP($B458,NIFTY_BANK!$B$3:$I$41238,8,0)</f>
        <v>1.4926758188491762E-2</v>
      </c>
      <c r="N458" s="8">
        <f>+VLOOKUP($B458,NIFTY_IT!$B$3:$I$1238,8,0)</f>
        <v>-1.5408288879770193E-2</v>
      </c>
      <c r="O458" s="8">
        <f>+VLOOKUP($B458,NIFTY_PHARMA!$B$3:$I$1238,8,0)</f>
        <v>-6.3793363616968524E-3</v>
      </c>
      <c r="P458" s="8">
        <f>+VLOOKUP($B458,NIFTY_FMCG!$B$3:$I$1238,8,0)</f>
        <v>1.698812559292695E-2</v>
      </c>
      <c r="Q458" s="8">
        <f>+VLOOKUP($B458,NIFTY_METAL!$B$3:$I$1238,8,0)</f>
        <v>3.0224512109275459E-2</v>
      </c>
      <c r="R458" s="8">
        <f>+VLOOKUP($B458,NIFTY_ENERGY!$B$3:$I$1238,8,0)</f>
        <v>1.9130573989987187E-2</v>
      </c>
      <c r="S458" s="8">
        <f>+VLOOKUP($B458,NIFTY_AUTO!$B$3:$I$1238,8,0)</f>
        <v>4.1523904608472773E-2</v>
      </c>
      <c r="T458" s="8">
        <v>0</v>
      </c>
      <c r="U458" s="8">
        <f>+VLOOKUP($B458,NIFTY_50!$B$63:$K$1238,10,0)</f>
        <v>-6.9908868167316007E-2</v>
      </c>
      <c r="V458" s="8">
        <f>+VLOOKUP($B458,NIFTY_BANK!$B$63:$K$1238,10,0)</f>
        <v>-6.8666067559047028E-2</v>
      </c>
      <c r="W458" s="8">
        <f>+VLOOKUP($B458,NIFTY_IT!$B$63:$K$1238,10,0)</f>
        <v>-1.9254939762319179E-2</v>
      </c>
      <c r="X458" s="8">
        <f>+VLOOKUP($B458,NIFTY_PHARMA!$B$63:$K$1238,10,0)</f>
        <v>2.6462904630336403E-2</v>
      </c>
      <c r="Y458" s="8">
        <f>+VLOOKUP($B458,NIFTY_FMCG!$B$63:$K$1238,10,0)</f>
        <v>-7.500537287771325E-2</v>
      </c>
      <c r="Z458" s="8">
        <f>+VLOOKUP($B458,NIFTY_METAL!$B$63:$K$1238,10,0)</f>
        <v>3.5918674698795172E-2</v>
      </c>
      <c r="AA458" s="8">
        <f>+VLOOKUP($B458,NIFTY_ENERGY!$B$63:$K$1238,10,0)</f>
        <v>-8.1336543065731792E-2</v>
      </c>
      <c r="AB458" s="8">
        <f>+VLOOKUP($B458,NIFTY_AUTO!$B$63:$K$1238,10,0)</f>
        <v>-0.15701416883224206</v>
      </c>
      <c r="AC458" s="8"/>
      <c r="AD458" s="16">
        <f t="shared" si="272"/>
        <v>8.1724079490610613E-2</v>
      </c>
      <c r="AE458" s="8">
        <f t="shared" si="273"/>
        <v>9.1754654593832391E-2</v>
      </c>
      <c r="AF458" s="8">
        <f t="shared" si="274"/>
        <v>0.11131890906170805</v>
      </c>
      <c r="AG458" s="8">
        <f t="shared" si="275"/>
        <v>0.1283167103260224</v>
      </c>
      <c r="AH458" s="8">
        <f t="shared" si="276"/>
        <v>9.7005467593491546E-2</v>
      </c>
      <c r="AI458" s="8">
        <f t="shared" si="277"/>
        <v>0.13589972365634018</v>
      </c>
      <c r="AJ458" s="8">
        <f t="shared" si="278"/>
        <v>0.14562536802471729</v>
      </c>
      <c r="AK458" s="8">
        <f t="shared" si="279"/>
        <v>0.11848592587646242</v>
      </c>
      <c r="AL458" s="9">
        <v>0</v>
      </c>
      <c r="AM458" s="17">
        <f t="shared" si="256"/>
        <v>12.236295669930321</v>
      </c>
      <c r="AN458" s="13">
        <f t="shared" si="257"/>
        <v>10.898629660006572</v>
      </c>
      <c r="AO458" s="13">
        <f t="shared" si="258"/>
        <v>8.9831997854530208</v>
      </c>
      <c r="AP458" s="13">
        <f t="shared" si="259"/>
        <v>7.7932172470696655</v>
      </c>
      <c r="AQ458" s="13">
        <f t="shared" si="260"/>
        <v>10.308697280761251</v>
      </c>
      <c r="AR458" s="13">
        <f t="shared" si="261"/>
        <v>7.3583666919645472</v>
      </c>
      <c r="AS458" s="13">
        <f t="shared" si="262"/>
        <v>6.8669354355229366</v>
      </c>
      <c r="AT458" s="13">
        <f t="shared" si="263"/>
        <v>8.4398209542847731</v>
      </c>
      <c r="AU458" s="9">
        <v>0</v>
      </c>
      <c r="AV458" s="18">
        <f t="shared" si="280"/>
        <v>1</v>
      </c>
      <c r="AW458" s="18">
        <f t="shared" si="281"/>
        <v>2</v>
      </c>
      <c r="AX458" s="18">
        <f t="shared" si="282"/>
        <v>4</v>
      </c>
      <c r="AY458" s="18">
        <f t="shared" si="283"/>
        <v>6</v>
      </c>
      <c r="AZ458" s="18">
        <f t="shared" si="284"/>
        <v>3</v>
      </c>
      <c r="BA458" s="18">
        <f t="shared" si="285"/>
        <v>7</v>
      </c>
      <c r="BB458" s="18">
        <f t="shared" si="286"/>
        <v>8</v>
      </c>
      <c r="BC458" s="18">
        <f t="shared" si="287"/>
        <v>5</v>
      </c>
      <c r="BD458" s="18">
        <f t="shared" si="288"/>
        <v>9</v>
      </c>
      <c r="BE458" s="8">
        <f t="shared" si="290"/>
        <v>8.4044473671346879E-3</v>
      </c>
    </row>
    <row r="459" spans="1:57" x14ac:dyDescent="0.25">
      <c r="A459" t="str">
        <f t="shared" si="289"/>
        <v/>
      </c>
      <c r="B459" s="1">
        <v>43409</v>
      </c>
      <c r="C459" s="9">
        <f t="shared" si="264"/>
        <v>0.25260413074869031</v>
      </c>
      <c r="D459" s="9">
        <f t="shared" si="265"/>
        <v>0.25504442009794859</v>
      </c>
      <c r="E459" s="9">
        <f t="shared" si="266"/>
        <v>0.24149078462002083</v>
      </c>
      <c r="F459" s="9">
        <f t="shared" si="267"/>
        <v>0</v>
      </c>
      <c r="G459" s="9">
        <f t="shared" si="268"/>
        <v>0.25086066453334038</v>
      </c>
      <c r="H459" s="9">
        <f t="shared" si="269"/>
        <v>0</v>
      </c>
      <c r="I459" s="9">
        <f t="shared" si="270"/>
        <v>0</v>
      </c>
      <c r="J459" s="9">
        <f t="shared" si="271"/>
        <v>0</v>
      </c>
      <c r="K459" s="9">
        <v>0</v>
      </c>
      <c r="L459" s="8">
        <f>+VLOOKUP($B459,NIFTY_50!$B$3:$I$1238,8,0)</f>
        <v>-2.7480337344830685E-3</v>
      </c>
      <c r="M459" s="8">
        <f>+VLOOKUP($B459,NIFTY_BANK!$B$3:$I$41238,8,0)</f>
        <v>1.1886396398674837E-3</v>
      </c>
      <c r="N459" s="8">
        <f>+VLOOKUP($B459,NIFTY_IT!$B$3:$I$1238,8,0)</f>
        <v>5.213000201435003E-3</v>
      </c>
      <c r="O459" s="8">
        <f>+VLOOKUP($B459,NIFTY_PHARMA!$B$3:$I$1238,8,0)</f>
        <v>-9.1486565038202405E-3</v>
      </c>
      <c r="P459" s="8">
        <f>+VLOOKUP($B459,NIFTY_FMCG!$B$3:$I$1238,8,0)</f>
        <v>-3.8735227209676371E-3</v>
      </c>
      <c r="Q459" s="8">
        <f>+VLOOKUP($B459,NIFTY_METAL!$B$3:$I$1238,8,0)</f>
        <v>7.7051682779671893E-4</v>
      </c>
      <c r="R459" s="8">
        <f>+VLOOKUP($B459,NIFTY_ENERGY!$B$3:$I$1238,8,0)</f>
        <v>-1.3959001235246404E-3</v>
      </c>
      <c r="S459" s="8">
        <f>+VLOOKUP($B459,NIFTY_AUTO!$B$3:$I$1238,8,0)</f>
        <v>-2.8920938541645569E-3</v>
      </c>
      <c r="T459" s="8">
        <v>0</v>
      </c>
      <c r="U459" s="8">
        <f>+VLOOKUP($B459,NIFTY_50!$B$63:$K$1238,10,0)</f>
        <v>-6.4092416871948665E-2</v>
      </c>
      <c r="V459" s="8">
        <f>+VLOOKUP($B459,NIFTY_BANK!$B$63:$K$1238,10,0)</f>
        <v>-5.9356374024663761E-2</v>
      </c>
      <c r="W459" s="8">
        <f>+VLOOKUP($B459,NIFTY_IT!$B$63:$K$1238,10,0)</f>
        <v>-5.5557082583180817E-3</v>
      </c>
      <c r="X459" s="8">
        <f>+VLOOKUP($B459,NIFTY_PHARMA!$B$63:$K$1238,10,0)</f>
        <v>3.8038547850582916E-3</v>
      </c>
      <c r="Y459" s="8">
        <f>+VLOOKUP($B459,NIFTY_FMCG!$B$63:$K$1238,10,0)</f>
        <v>-7.5627710155187877E-2</v>
      </c>
      <c r="Z459" s="8">
        <f>+VLOOKUP($B459,NIFTY_METAL!$B$63:$K$1238,10,0)</f>
        <v>3.4302456614829779E-2</v>
      </c>
      <c r="AA459" s="8">
        <f>+VLOOKUP($B459,NIFTY_ENERGY!$B$63:$K$1238,10,0)</f>
        <v>-7.3975369131960567E-2</v>
      </c>
      <c r="AB459" s="8">
        <f>+VLOOKUP($B459,NIFTY_AUTO!$B$63:$K$1238,10,0)</f>
        <v>-0.14720062606848561</v>
      </c>
      <c r="AC459" s="8"/>
      <c r="AD459" s="16">
        <f t="shared" si="272"/>
        <v>8.1361906346614041E-2</v>
      </c>
      <c r="AE459" s="8">
        <f t="shared" si="273"/>
        <v>9.1457142231155933E-2</v>
      </c>
      <c r="AF459" s="8">
        <f t="shared" si="274"/>
        <v>0.11111879080553412</v>
      </c>
      <c r="AG459" s="8">
        <f t="shared" si="275"/>
        <v>0.12802782628429926</v>
      </c>
      <c r="AH459" s="8">
        <f t="shared" si="276"/>
        <v>9.7021593484338878E-2</v>
      </c>
      <c r="AI459" s="8">
        <f t="shared" si="277"/>
        <v>0.13589012167360631</v>
      </c>
      <c r="AJ459" s="8">
        <f t="shared" si="278"/>
        <v>0.14539528558030665</v>
      </c>
      <c r="AK459" s="8">
        <f t="shared" si="279"/>
        <v>0.11789935074910714</v>
      </c>
      <c r="AL459" s="9">
        <v>0</v>
      </c>
      <c r="AM459" s="17">
        <f t="shared" si="256"/>
        <v>12.290764129098065</v>
      </c>
      <c r="AN459" s="13">
        <f t="shared" si="257"/>
        <v>10.934083173870903</v>
      </c>
      <c r="AO459" s="13">
        <f t="shared" si="258"/>
        <v>8.9993779877435127</v>
      </c>
      <c r="AP459" s="13">
        <f t="shared" si="259"/>
        <v>7.8108019875257018</v>
      </c>
      <c r="AQ459" s="13">
        <f t="shared" si="260"/>
        <v>10.306983879433179</v>
      </c>
      <c r="AR459" s="13">
        <f t="shared" si="261"/>
        <v>7.3588866334367857</v>
      </c>
      <c r="AS459" s="13">
        <f t="shared" si="262"/>
        <v>6.8778020966000772</v>
      </c>
      <c r="AT459" s="13">
        <f t="shared" si="263"/>
        <v>8.4818109145318861</v>
      </c>
      <c r="AU459" s="9">
        <v>0</v>
      </c>
      <c r="AV459" s="18">
        <f t="shared" si="280"/>
        <v>1</v>
      </c>
      <c r="AW459" s="18">
        <f t="shared" si="281"/>
        <v>2</v>
      </c>
      <c r="AX459" s="18">
        <f t="shared" si="282"/>
        <v>4</v>
      </c>
      <c r="AY459" s="18">
        <f t="shared" si="283"/>
        <v>6</v>
      </c>
      <c r="AZ459" s="18">
        <f t="shared" si="284"/>
        <v>3</v>
      </c>
      <c r="BA459" s="18">
        <f t="shared" si="285"/>
        <v>7</v>
      </c>
      <c r="BB459" s="18">
        <f t="shared" si="286"/>
        <v>8</v>
      </c>
      <c r="BC459" s="18">
        <f t="shared" si="287"/>
        <v>5</v>
      </c>
      <c r="BD459" s="18">
        <f t="shared" si="288"/>
        <v>9</v>
      </c>
      <c r="BE459" s="8">
        <f t="shared" si="290"/>
        <v>-1.1639811269576427E-4</v>
      </c>
    </row>
    <row r="460" spans="1:57" x14ac:dyDescent="0.25">
      <c r="A460" t="str">
        <f t="shared" si="289"/>
        <v/>
      </c>
      <c r="B460" s="1">
        <v>43410</v>
      </c>
      <c r="C460" s="9">
        <f t="shared" si="264"/>
        <v>0.25310653210942702</v>
      </c>
      <c r="D460" s="9">
        <f t="shared" si="265"/>
        <v>0.2540740535405947</v>
      </c>
      <c r="E460" s="9">
        <f t="shared" si="266"/>
        <v>0.24359702288567345</v>
      </c>
      <c r="F460" s="9">
        <f t="shared" si="267"/>
        <v>0</v>
      </c>
      <c r="G460" s="9">
        <f t="shared" si="268"/>
        <v>0.2492223914643048</v>
      </c>
      <c r="H460" s="9">
        <f t="shared" si="269"/>
        <v>0</v>
      </c>
      <c r="I460" s="9">
        <f t="shared" si="270"/>
        <v>0</v>
      </c>
      <c r="J460" s="9">
        <f t="shared" si="271"/>
        <v>0</v>
      </c>
      <c r="K460" s="9">
        <v>0</v>
      </c>
      <c r="L460" s="8">
        <f>+VLOOKUP($B460,NIFTY_50!$B$3:$I$1238,8,0)</f>
        <v>5.7012542759404816E-4</v>
      </c>
      <c r="M460" s="8">
        <f>+VLOOKUP($B460,NIFTY_BANK!$B$3:$I$41238,8,0)</f>
        <v>-5.2152555941583634E-3</v>
      </c>
      <c r="N460" s="8">
        <f>+VLOOKUP($B460,NIFTY_IT!$B$3:$I$1238,8,0)</f>
        <v>7.2935201340542655E-3</v>
      </c>
      <c r="O460" s="8">
        <f>+VLOOKUP($B460,NIFTY_PHARMA!$B$3:$I$1238,8,0)</f>
        <v>-5.8664975424127519E-4</v>
      </c>
      <c r="P460" s="8">
        <f>+VLOOKUP($B460,NIFTY_FMCG!$B$3:$I$1238,8,0)</f>
        <v>-7.937309182561636E-3</v>
      </c>
      <c r="Q460" s="8">
        <f>+VLOOKUP($B460,NIFTY_METAL!$B$3:$I$1238,8,0)</f>
        <v>-8.5708474970225268E-4</v>
      </c>
      <c r="R460" s="8">
        <f>+VLOOKUP($B460,NIFTY_ENERGY!$B$3:$I$1238,8,0)</f>
        <v>6.9392059775128523E-3</v>
      </c>
      <c r="S460" s="8">
        <f>+VLOOKUP($B460,NIFTY_AUTO!$B$3:$I$1238,8,0)</f>
        <v>-2.5345080924001895E-3</v>
      </c>
      <c r="T460" s="8">
        <v>0</v>
      </c>
      <c r="U460" s="8">
        <f>+VLOOKUP($B460,NIFTY_50!$B$63:$K$1238,10,0)</f>
        <v>-7.3128652911766734E-2</v>
      </c>
      <c r="V460" s="8">
        <f>+VLOOKUP($B460,NIFTY_BANK!$B$63:$K$1238,10,0)</f>
        <v>-7.5734325070859865E-2</v>
      </c>
      <c r="W460" s="8">
        <f>+VLOOKUP($B460,NIFTY_IT!$B$63:$K$1238,10,0)</f>
        <v>-4.9013249960748739E-3</v>
      </c>
      <c r="X460" s="8">
        <f>+VLOOKUP($B460,NIFTY_PHARMA!$B$63:$K$1238,10,0)</f>
        <v>-4.8206720522063762E-3</v>
      </c>
      <c r="Y460" s="8">
        <f>+VLOOKUP($B460,NIFTY_FMCG!$B$63:$K$1238,10,0)</f>
        <v>-9.3169599315193863E-2</v>
      </c>
      <c r="Z460" s="8">
        <f>+VLOOKUP($B460,NIFTY_METAL!$B$63:$K$1238,10,0)</f>
        <v>1.7185027433929356E-2</v>
      </c>
      <c r="AA460" s="8">
        <f>+VLOOKUP($B460,NIFTY_ENERGY!$B$63:$K$1238,10,0)</f>
        <v>-7.386253407383303E-2</v>
      </c>
      <c r="AB460" s="8">
        <f>+VLOOKUP($B460,NIFTY_AUTO!$B$63:$K$1238,10,0)</f>
        <v>-0.15265004222620238</v>
      </c>
      <c r="AC460" s="8"/>
      <c r="AD460" s="16">
        <f t="shared" si="272"/>
        <v>8.0571759467884765E-2</v>
      </c>
      <c r="AE460" s="8">
        <f t="shared" si="273"/>
        <v>9.0551173651726907E-2</v>
      </c>
      <c r="AF460" s="8">
        <f t="shared" si="274"/>
        <v>0.11116019500374914</v>
      </c>
      <c r="AG460" s="8">
        <f t="shared" si="275"/>
        <v>0.12778275847041551</v>
      </c>
      <c r="AH460" s="8">
        <f t="shared" si="276"/>
        <v>9.6421143223516179E-2</v>
      </c>
      <c r="AI460" s="8">
        <f t="shared" si="277"/>
        <v>0.13502341434880213</v>
      </c>
      <c r="AJ460" s="8">
        <f t="shared" si="278"/>
        <v>0.14540200113203253</v>
      </c>
      <c r="AK460" s="8">
        <f t="shared" si="279"/>
        <v>0.11772410711622196</v>
      </c>
      <c r="AL460" s="9">
        <v>0</v>
      </c>
      <c r="AM460" s="17">
        <f t="shared" si="256"/>
        <v>12.411296546137754</v>
      </c>
      <c r="AN460" s="13">
        <f t="shared" si="257"/>
        <v>11.04347916953729</v>
      </c>
      <c r="AO460" s="13">
        <f t="shared" si="258"/>
        <v>8.9960259602483834</v>
      </c>
      <c r="AP460" s="13">
        <f t="shared" si="259"/>
        <v>7.8257819127572033</v>
      </c>
      <c r="AQ460" s="13">
        <f t="shared" si="260"/>
        <v>10.371169295118975</v>
      </c>
      <c r="AR460" s="13">
        <f t="shared" si="261"/>
        <v>7.4061228922616973</v>
      </c>
      <c r="AS460" s="13">
        <f t="shared" si="262"/>
        <v>6.8774844377275688</v>
      </c>
      <c r="AT460" s="13">
        <f t="shared" si="263"/>
        <v>8.4944369041827592</v>
      </c>
      <c r="AU460" s="9">
        <v>0</v>
      </c>
      <c r="AV460" s="18">
        <f t="shared" si="280"/>
        <v>1</v>
      </c>
      <c r="AW460" s="18">
        <f t="shared" si="281"/>
        <v>2</v>
      </c>
      <c r="AX460" s="18">
        <f t="shared" si="282"/>
        <v>4</v>
      </c>
      <c r="AY460" s="18">
        <f t="shared" si="283"/>
        <v>6</v>
      </c>
      <c r="AZ460" s="18">
        <f t="shared" si="284"/>
        <v>3</v>
      </c>
      <c r="BA460" s="18">
        <f t="shared" si="285"/>
        <v>7</v>
      </c>
      <c r="BB460" s="18">
        <f t="shared" si="286"/>
        <v>8</v>
      </c>
      <c r="BC460" s="18">
        <f t="shared" si="287"/>
        <v>5</v>
      </c>
      <c r="BD460" s="18">
        <f t="shared" si="288"/>
        <v>9</v>
      </c>
      <c r="BE460" s="8">
        <f t="shared" si="290"/>
        <v>-1.4159465569488947E-3</v>
      </c>
    </row>
    <row r="461" spans="1:57" x14ac:dyDescent="0.25">
      <c r="A461" t="str">
        <f t="shared" si="289"/>
        <v/>
      </c>
      <c r="B461" s="1">
        <v>43413</v>
      </c>
      <c r="C461" s="9">
        <f t="shared" si="264"/>
        <v>0.25324612266386187</v>
      </c>
      <c r="D461" s="9">
        <f t="shared" si="265"/>
        <v>0.25459760096894785</v>
      </c>
      <c r="E461" s="9">
        <f t="shared" si="266"/>
        <v>0.24206033438147434</v>
      </c>
      <c r="F461" s="9">
        <f t="shared" si="267"/>
        <v>0</v>
      </c>
      <c r="G461" s="9">
        <f t="shared" si="268"/>
        <v>0.250095941985716</v>
      </c>
      <c r="H461" s="9">
        <f t="shared" si="269"/>
        <v>0</v>
      </c>
      <c r="I461" s="9">
        <f t="shared" si="270"/>
        <v>0</v>
      </c>
      <c r="J461" s="9">
        <f t="shared" si="271"/>
        <v>0</v>
      </c>
      <c r="K461" s="9">
        <v>0</v>
      </c>
      <c r="L461" s="8">
        <f>+VLOOKUP($B461,NIFTY_50!$B$3:$I$1238,8,0)</f>
        <v>5.2421652421652531E-3</v>
      </c>
      <c r="M461" s="8">
        <f>+VLOOKUP($B461,NIFTY_BANK!$B$3:$I$41238,8,0)</f>
        <v>6.7583404953512893E-3</v>
      </c>
      <c r="N461" s="8">
        <f>+VLOOKUP($B461,NIFTY_IT!$B$3:$I$1238,8,0)</f>
        <v>-1.6498254134853507E-3</v>
      </c>
      <c r="O461" s="8">
        <f>+VLOOKUP($B461,NIFTY_PHARMA!$B$3:$I$1238,8,0)</f>
        <v>1.9984241058916163E-2</v>
      </c>
      <c r="P461" s="8">
        <f>+VLOOKUP($B461,NIFTY_FMCG!$B$3:$I$1238,8,0)</f>
        <v>8.2096072933737219E-3</v>
      </c>
      <c r="Q461" s="8">
        <f>+VLOOKUP($B461,NIFTY_METAL!$B$3:$I$1238,8,0)</f>
        <v>-2.0500443449308348E-3</v>
      </c>
      <c r="R461" s="8">
        <f>+VLOOKUP($B461,NIFTY_ENERGY!$B$3:$I$1238,8,0)</f>
        <v>-5.8227057119319969E-4</v>
      </c>
      <c r="S461" s="8">
        <f>+VLOOKUP($B461,NIFTY_AUTO!$B$3:$I$1238,8,0)</f>
        <v>1.6132830254806718E-2</v>
      </c>
      <c r="T461" s="8">
        <v>0</v>
      </c>
      <c r="U461" s="8">
        <f>+VLOOKUP($B461,NIFTY_50!$B$63:$K$1238,10,0)</f>
        <v>-7.0421793081644979E-2</v>
      </c>
      <c r="V461" s="8">
        <f>+VLOOKUP($B461,NIFTY_BANK!$B$63:$K$1238,10,0)</f>
        <v>-7.6258580210405547E-2</v>
      </c>
      <c r="W461" s="8">
        <f>+VLOOKUP($B461,NIFTY_IT!$B$63:$K$1238,10,0)</f>
        <v>-3.5808305746787283E-3</v>
      </c>
      <c r="X461" s="8">
        <f>+VLOOKUP($B461,NIFTY_PHARMA!$B$63:$K$1238,10,0)</f>
        <v>2.5009034287779119E-2</v>
      </c>
      <c r="Y461" s="8">
        <f>+VLOOKUP($B461,NIFTY_FMCG!$B$63:$K$1238,10,0)</f>
        <v>-7.9781884568573491E-2</v>
      </c>
      <c r="Z461" s="8">
        <f>+VLOOKUP($B461,NIFTY_METAL!$B$63:$K$1238,10,0)</f>
        <v>7.692985289367904E-3</v>
      </c>
      <c r="AA461" s="8">
        <f>+VLOOKUP($B461,NIFTY_ENERGY!$B$63:$K$1238,10,0)</f>
        <v>-8.1247450103627772E-2</v>
      </c>
      <c r="AB461" s="8">
        <f>+VLOOKUP($B461,NIFTY_AUTO!$B$63:$K$1238,10,0)</f>
        <v>-0.14275880548471742</v>
      </c>
      <c r="AC461" s="8"/>
      <c r="AD461" s="16">
        <f t="shared" si="272"/>
        <v>8.0751229167193364E-2</v>
      </c>
      <c r="AE461" s="8">
        <f t="shared" si="273"/>
        <v>9.0498963986064204E-2</v>
      </c>
      <c r="AF461" s="8">
        <f t="shared" si="274"/>
        <v>0.11113230399453358</v>
      </c>
      <c r="AG461" s="8">
        <f t="shared" si="275"/>
        <v>0.12890338781558314</v>
      </c>
      <c r="AH461" s="8">
        <f t="shared" si="276"/>
        <v>9.6767517762750527E-2</v>
      </c>
      <c r="AI461" s="8">
        <f t="shared" si="277"/>
        <v>0.1348633634963266</v>
      </c>
      <c r="AJ461" s="8">
        <f t="shared" si="278"/>
        <v>0.14514870907912183</v>
      </c>
      <c r="AK461" s="8">
        <f t="shared" si="279"/>
        <v>0.11898937488016884</v>
      </c>
      <c r="AL461" s="9">
        <v>0</v>
      </c>
      <c r="AM461" s="17">
        <f t="shared" si="256"/>
        <v>12.383712425349284</v>
      </c>
      <c r="AN461" s="13">
        <f t="shared" si="257"/>
        <v>11.049850251920988</v>
      </c>
      <c r="AO461" s="13">
        <f t="shared" si="258"/>
        <v>8.9982837038021675</v>
      </c>
      <c r="AP461" s="13">
        <f t="shared" si="259"/>
        <v>7.7577480076059722</v>
      </c>
      <c r="AQ461" s="13">
        <f t="shared" si="260"/>
        <v>10.33404620806485</v>
      </c>
      <c r="AR461" s="13">
        <f t="shared" si="261"/>
        <v>7.4149122050277052</v>
      </c>
      <c r="AS461" s="13">
        <f t="shared" si="262"/>
        <v>6.8894860060718228</v>
      </c>
      <c r="AT461" s="13">
        <f t="shared" si="263"/>
        <v>8.4041117201184932</v>
      </c>
      <c r="AU461" s="9">
        <v>0</v>
      </c>
      <c r="AV461" s="18">
        <f t="shared" si="280"/>
        <v>1</v>
      </c>
      <c r="AW461" s="18">
        <f t="shared" si="281"/>
        <v>2</v>
      </c>
      <c r="AX461" s="18">
        <f t="shared" si="282"/>
        <v>4</v>
      </c>
      <c r="AY461" s="18">
        <f t="shared" si="283"/>
        <v>6</v>
      </c>
      <c r="AZ461" s="18">
        <f t="shared" si="284"/>
        <v>3</v>
      </c>
      <c r="BA461" s="18">
        <f t="shared" si="285"/>
        <v>7</v>
      </c>
      <c r="BB461" s="18">
        <f t="shared" si="286"/>
        <v>8</v>
      </c>
      <c r="BC461" s="18">
        <f t="shared" si="287"/>
        <v>5</v>
      </c>
      <c r="BD461" s="18">
        <f t="shared" si="288"/>
        <v>9</v>
      </c>
      <c r="BE461" s="8">
        <f t="shared" si="290"/>
        <v>4.6880706336817155E-3</v>
      </c>
    </row>
    <row r="462" spans="1:57" x14ac:dyDescent="0.25">
      <c r="A462" t="str">
        <f t="shared" si="289"/>
        <v/>
      </c>
      <c r="B462" s="1">
        <v>43416</v>
      </c>
      <c r="C462" s="9">
        <f t="shared" si="264"/>
        <v>0.25199805626614219</v>
      </c>
      <c r="D462" s="9">
        <f t="shared" si="265"/>
        <v>0.2535366165780425</v>
      </c>
      <c r="E462" s="9">
        <f t="shared" si="266"/>
        <v>0.24485957892921142</v>
      </c>
      <c r="F462" s="9">
        <f t="shared" si="267"/>
        <v>0</v>
      </c>
      <c r="G462" s="9">
        <f t="shared" si="268"/>
        <v>0.24960574822660392</v>
      </c>
      <c r="H462" s="9">
        <f t="shared" si="269"/>
        <v>0</v>
      </c>
      <c r="I462" s="9">
        <f t="shared" si="270"/>
        <v>0</v>
      </c>
      <c r="J462" s="9">
        <f t="shared" si="271"/>
        <v>0</v>
      </c>
      <c r="K462" s="9">
        <v>0</v>
      </c>
      <c r="L462" s="8">
        <f>+VLOOKUP($B462,NIFTY_50!$B$3:$I$1238,8,0)</f>
        <v>-9.7305672070437943E-3</v>
      </c>
      <c r="M462" s="8">
        <f>+VLOOKUP($B462,NIFTY_BANK!$B$3:$I$41238,8,0)</f>
        <v>-8.9732645221373142E-3</v>
      </c>
      <c r="N462" s="8">
        <f>+VLOOKUP($B462,NIFTY_IT!$B$3:$I$1238,8,0)</f>
        <v>6.6823561747375582E-3</v>
      </c>
      <c r="O462" s="8">
        <f>+VLOOKUP($B462,NIFTY_PHARMA!$B$3:$I$1238,8,0)</f>
        <v>-8.9590310973776122E-3</v>
      </c>
      <c r="P462" s="8">
        <f>+VLOOKUP($B462,NIFTY_FMCG!$B$3:$I$1238,8,0)</f>
        <v>-6.7766406031105619E-3</v>
      </c>
      <c r="Q462" s="8">
        <f>+VLOOKUP($B462,NIFTY_METAL!$B$3:$I$1238,8,0)</f>
        <v>-1.3811591246831179E-2</v>
      </c>
      <c r="R462" s="8">
        <f>+VLOOKUP($B462,NIFTY_ENERGY!$B$3:$I$1238,8,0)</f>
        <v>-1.6007559717505337E-2</v>
      </c>
      <c r="S462" s="8">
        <f>+VLOOKUP($B462,NIFTY_AUTO!$B$3:$I$1238,8,0)</f>
        <v>-2.4386300557786122E-2</v>
      </c>
      <c r="T462" s="8">
        <v>0</v>
      </c>
      <c r="U462" s="8">
        <f>+VLOOKUP($B462,NIFTY_50!$B$63:$K$1238,10,0)</f>
        <v>-7.9657051042851035E-2</v>
      </c>
      <c r="V462" s="8">
        <f>+VLOOKUP($B462,NIFTY_BANK!$B$63:$K$1238,10,0)</f>
        <v>-8.3805365925405106E-2</v>
      </c>
      <c r="W462" s="8">
        <f>+VLOOKUP($B462,NIFTY_IT!$B$63:$K$1238,10,0)</f>
        <v>2.5147549396971058E-3</v>
      </c>
      <c r="X462" s="8">
        <f>+VLOOKUP($B462,NIFTY_PHARMA!$B$63:$K$1238,10,0)</f>
        <v>1.9896383009374796E-2</v>
      </c>
      <c r="Y462" s="8">
        <f>+VLOOKUP($B462,NIFTY_FMCG!$B$63:$K$1238,10,0)</f>
        <v>-8.3621410806236973E-2</v>
      </c>
      <c r="Z462" s="8">
        <f>+VLOOKUP($B462,NIFTY_METAL!$B$63:$K$1238,10,0)</f>
        <v>-1.7632972933749325E-2</v>
      </c>
      <c r="AA462" s="8">
        <f>+VLOOKUP($B462,NIFTY_ENERGY!$B$63:$K$1238,10,0)</f>
        <v>-9.0041196607029139E-2</v>
      </c>
      <c r="AB462" s="8">
        <f>+VLOOKUP($B462,NIFTY_AUTO!$B$63:$K$1238,10,0)</f>
        <v>-0.16619456227862905</v>
      </c>
      <c r="AC462" s="8"/>
      <c r="AD462" s="16">
        <f t="shared" si="272"/>
        <v>8.1185404002074718E-2</v>
      </c>
      <c r="AE462" s="8">
        <f t="shared" si="273"/>
        <v>9.0822414926171824E-2</v>
      </c>
      <c r="AF462" s="8">
        <f t="shared" si="274"/>
        <v>0.11132651379230084</v>
      </c>
      <c r="AG462" s="8">
        <f t="shared" si="275"/>
        <v>0.12917192160012597</v>
      </c>
      <c r="AH462" s="8">
        <f t="shared" si="276"/>
        <v>9.6912622618333166E-2</v>
      </c>
      <c r="AI462" s="8">
        <f t="shared" si="277"/>
        <v>0.13508307838308511</v>
      </c>
      <c r="AJ462" s="8">
        <f t="shared" si="278"/>
        <v>0.14579995773220616</v>
      </c>
      <c r="AK462" s="8">
        <f t="shared" si="279"/>
        <v>0.120829117576428</v>
      </c>
      <c r="AL462" s="9">
        <v>0</v>
      </c>
      <c r="AM462" s="17">
        <f t="shared" si="256"/>
        <v>12.317485049091394</v>
      </c>
      <c r="AN462" s="13">
        <f t="shared" si="257"/>
        <v>11.010497802914456</v>
      </c>
      <c r="AO462" s="13">
        <f t="shared" si="258"/>
        <v>8.9825861417494455</v>
      </c>
      <c r="AP462" s="13">
        <f t="shared" si="259"/>
        <v>7.7416205287684194</v>
      </c>
      <c r="AQ462" s="13">
        <f t="shared" si="260"/>
        <v>10.318573298116771</v>
      </c>
      <c r="AR462" s="13">
        <f t="shared" si="261"/>
        <v>7.4028517262841591</v>
      </c>
      <c r="AS462" s="13">
        <f t="shared" si="262"/>
        <v>6.8587125507726201</v>
      </c>
      <c r="AT462" s="13">
        <f t="shared" si="263"/>
        <v>8.276150815778907</v>
      </c>
      <c r="AU462" s="9">
        <v>0</v>
      </c>
      <c r="AV462" s="18">
        <f t="shared" si="280"/>
        <v>1</v>
      </c>
      <c r="AW462" s="18">
        <f t="shared" si="281"/>
        <v>2</v>
      </c>
      <c r="AX462" s="18">
        <f t="shared" si="282"/>
        <v>4</v>
      </c>
      <c r="AY462" s="18">
        <f t="shared" si="283"/>
        <v>6</v>
      </c>
      <c r="AZ462" s="18">
        <f t="shared" si="284"/>
        <v>3</v>
      </c>
      <c r="BA462" s="18">
        <f t="shared" si="285"/>
        <v>7</v>
      </c>
      <c r="BB462" s="18">
        <f t="shared" si="286"/>
        <v>8</v>
      </c>
      <c r="BC462" s="18">
        <f t="shared" si="287"/>
        <v>5</v>
      </c>
      <c r="BD462" s="18">
        <f t="shared" si="288"/>
        <v>9</v>
      </c>
      <c r="BE462" s="8">
        <f t="shared" si="290"/>
        <v>-4.8260769817204006E-3</v>
      </c>
    </row>
    <row r="463" spans="1:57" x14ac:dyDescent="0.25">
      <c r="A463" t="str">
        <f t="shared" si="289"/>
        <v/>
      </c>
      <c r="B463" s="1">
        <v>43417</v>
      </c>
      <c r="C463" s="9">
        <f t="shared" si="264"/>
        <v>0.25248017041442256</v>
      </c>
      <c r="D463" s="9">
        <f t="shared" si="265"/>
        <v>0.25386867776293442</v>
      </c>
      <c r="E463" s="9">
        <f t="shared" si="266"/>
        <v>0.24379402213940446</v>
      </c>
      <c r="F463" s="9">
        <f t="shared" si="267"/>
        <v>0</v>
      </c>
      <c r="G463" s="9">
        <f t="shared" si="268"/>
        <v>0.24985712968323856</v>
      </c>
      <c r="H463" s="9">
        <f t="shared" si="269"/>
        <v>0</v>
      </c>
      <c r="I463" s="9">
        <f t="shared" si="270"/>
        <v>0</v>
      </c>
      <c r="J463" s="9">
        <f t="shared" si="271"/>
        <v>0</v>
      </c>
      <c r="K463" s="9">
        <v>0</v>
      </c>
      <c r="L463" s="8">
        <f>+VLOOKUP($B463,NIFTY_50!$B$3:$I$1238,8,0)</f>
        <v>9.56860201102816E-3</v>
      </c>
      <c r="M463" s="8">
        <f>+VLOOKUP($B463,NIFTY_BANK!$B$3:$I$41238,8,0)</f>
        <v>8.9605419003708775E-3</v>
      </c>
      <c r="N463" s="8">
        <f>+VLOOKUP($B463,NIFTY_IT!$B$3:$I$1238,8,0)</f>
        <v>3.2558615746902664E-3</v>
      </c>
      <c r="O463" s="8">
        <f>+VLOOKUP($B463,NIFTY_PHARMA!$B$3:$I$1238,8,0)</f>
        <v>-1.4119801203243632E-2</v>
      </c>
      <c r="P463" s="8">
        <f>+VLOOKUP($B463,NIFTY_FMCG!$B$3:$I$1238,8,0)</f>
        <v>8.655626945982986E-3</v>
      </c>
      <c r="Q463" s="8">
        <f>+VLOOKUP($B463,NIFTY_METAL!$B$3:$I$1238,8,0)</f>
        <v>7.6968533018171303E-3</v>
      </c>
      <c r="R463" s="8">
        <f>+VLOOKUP($B463,NIFTY_ENERGY!$B$3:$I$1238,8,0)</f>
        <v>1.7455755886579105E-2</v>
      </c>
      <c r="S463" s="8">
        <f>+VLOOKUP($B463,NIFTY_AUTO!$B$3:$I$1238,8,0)</f>
        <v>8.3301110313207527E-3</v>
      </c>
      <c r="T463" s="8">
        <v>0</v>
      </c>
      <c r="U463" s="8">
        <f>+VLOOKUP($B463,NIFTY_50!$B$63:$K$1238,10,0)</f>
        <v>-7.5764192139737951E-2</v>
      </c>
      <c r="V463" s="8">
        <f>+VLOOKUP($B463,NIFTY_BANK!$B$63:$K$1238,10,0)</f>
        <v>-8.1740902879114286E-2</v>
      </c>
      <c r="W463" s="8">
        <f>+VLOOKUP($B463,NIFTY_IT!$B$63:$K$1238,10,0)</f>
        <v>6.1609233170412114E-3</v>
      </c>
      <c r="X463" s="8">
        <f>+VLOOKUP($B463,NIFTY_PHARMA!$B$63:$K$1238,10,0)</f>
        <v>1.2388192000859499E-2</v>
      </c>
      <c r="Y463" s="8">
        <f>+VLOOKUP($B463,NIFTY_FMCG!$B$63:$K$1238,10,0)</f>
        <v>-8.0477597635971621E-2</v>
      </c>
      <c r="Z463" s="8">
        <f>+VLOOKUP($B463,NIFTY_METAL!$B$63:$K$1238,10,0)</f>
        <v>-1.2465253648366814E-2</v>
      </c>
      <c r="AA463" s="8">
        <f>+VLOOKUP($B463,NIFTY_ENERGY!$B$63:$K$1238,10,0)</f>
        <v>-8.9948849765561389E-2</v>
      </c>
      <c r="AB463" s="8">
        <f>+VLOOKUP($B463,NIFTY_AUTO!$B$63:$K$1238,10,0)</f>
        <v>-0.15657228403504242</v>
      </c>
      <c r="AC463" s="8"/>
      <c r="AD463" s="16">
        <f t="shared" si="272"/>
        <v>8.1640513718891666E-2</v>
      </c>
      <c r="AE463" s="8">
        <f t="shared" si="273"/>
        <v>9.1051258534021726E-2</v>
      </c>
      <c r="AF463" s="8">
        <f t="shared" si="274"/>
        <v>0.111367829393325</v>
      </c>
      <c r="AG463" s="8">
        <f t="shared" si="275"/>
        <v>0.1297853586575114</v>
      </c>
      <c r="AH463" s="8">
        <f t="shared" si="276"/>
        <v>9.7205976713627865E-2</v>
      </c>
      <c r="AI463" s="8">
        <f t="shared" si="277"/>
        <v>0.13528429448246826</v>
      </c>
      <c r="AJ463" s="8">
        <f t="shared" si="278"/>
        <v>0.14581324962652251</v>
      </c>
      <c r="AK463" s="8">
        <f t="shared" si="279"/>
        <v>0.12133639923561698</v>
      </c>
      <c r="AL463" s="9">
        <v>0</v>
      </c>
      <c r="AM463" s="17">
        <f t="shared" si="256"/>
        <v>12.248820523634203</v>
      </c>
      <c r="AN463" s="13">
        <f t="shared" si="257"/>
        <v>10.982824577063319</v>
      </c>
      <c r="AO463" s="13">
        <f t="shared" si="258"/>
        <v>8.9792537526096066</v>
      </c>
      <c r="AP463" s="13">
        <f t="shared" si="259"/>
        <v>7.7050293680574917</v>
      </c>
      <c r="AQ463" s="13">
        <f t="shared" si="260"/>
        <v>10.287433281453817</v>
      </c>
      <c r="AR463" s="13">
        <f t="shared" si="261"/>
        <v>7.3918410398303243</v>
      </c>
      <c r="AS463" s="13">
        <f t="shared" si="262"/>
        <v>6.858087331304537</v>
      </c>
      <c r="AT463" s="13">
        <f t="shared" si="263"/>
        <v>8.2415499907669982</v>
      </c>
      <c r="AU463" s="9">
        <v>0</v>
      </c>
      <c r="AV463" s="18">
        <f t="shared" si="280"/>
        <v>1</v>
      </c>
      <c r="AW463" s="18">
        <f t="shared" si="281"/>
        <v>2</v>
      </c>
      <c r="AX463" s="18">
        <f t="shared" si="282"/>
        <v>4</v>
      </c>
      <c r="AY463" s="18">
        <f t="shared" si="283"/>
        <v>6</v>
      </c>
      <c r="AZ463" s="18">
        <f t="shared" si="284"/>
        <v>3</v>
      </c>
      <c r="BA463" s="18">
        <f t="shared" si="285"/>
        <v>7</v>
      </c>
      <c r="BB463" s="18">
        <f t="shared" si="286"/>
        <v>8</v>
      </c>
      <c r="BC463" s="18">
        <f t="shared" si="287"/>
        <v>5</v>
      </c>
      <c r="BD463" s="18">
        <f t="shared" si="288"/>
        <v>9</v>
      </c>
      <c r="BE463" s="8">
        <f t="shared" si="290"/>
        <v>7.6408177185421072E-3</v>
      </c>
    </row>
    <row r="464" spans="1:57" x14ac:dyDescent="0.25">
      <c r="A464" t="str">
        <f t="shared" si="289"/>
        <v/>
      </c>
      <c r="B464" s="1">
        <v>43418</v>
      </c>
      <c r="C464" s="9">
        <f t="shared" si="264"/>
        <v>0.252895223695078</v>
      </c>
      <c r="D464" s="9">
        <f t="shared" si="265"/>
        <v>0.25603019938168337</v>
      </c>
      <c r="E464" s="9">
        <f t="shared" si="266"/>
        <v>0.2383584150435733</v>
      </c>
      <c r="F464" s="9">
        <f t="shared" si="267"/>
        <v>0</v>
      </c>
      <c r="G464" s="9">
        <f t="shared" si="268"/>
        <v>0.25271616187966528</v>
      </c>
      <c r="H464" s="9">
        <f t="shared" si="269"/>
        <v>0</v>
      </c>
      <c r="I464" s="9">
        <f t="shared" si="270"/>
        <v>0</v>
      </c>
      <c r="J464" s="9">
        <f t="shared" si="271"/>
        <v>0</v>
      </c>
      <c r="K464" s="9">
        <v>0</v>
      </c>
      <c r="L464" s="8">
        <f>+VLOOKUP($B464,NIFTY_50!$B$3:$I$1238,8,0)</f>
        <v>-5.8587290337830389E-4</v>
      </c>
      <c r="M464" s="8">
        <f>+VLOOKUP($B464,NIFTY_BANK!$B$3:$I$41238,8,0)</f>
        <v>6.2692579340748456E-3</v>
      </c>
      <c r="N464" s="8">
        <f>+VLOOKUP($B464,NIFTY_IT!$B$3:$I$1238,8,0)</f>
        <v>-2.4472384373596778E-2</v>
      </c>
      <c r="O464" s="8">
        <f>+VLOOKUP($B464,NIFTY_PHARMA!$B$3:$I$1238,8,0)</f>
        <v>-2.1904898355540658E-2</v>
      </c>
      <c r="P464" s="8">
        <f>+VLOOKUP($B464,NIFTY_FMCG!$B$3:$I$1238,8,0)</f>
        <v>9.1910774805574746E-3</v>
      </c>
      <c r="Q464" s="8">
        <f>+VLOOKUP($B464,NIFTY_METAL!$B$3:$I$1238,8,0)</f>
        <v>-8.3271026667253167E-3</v>
      </c>
      <c r="R464" s="8">
        <f>+VLOOKUP($B464,NIFTY_ENERGY!$B$3:$I$1238,8,0)</f>
        <v>4.9464021488818677E-3</v>
      </c>
      <c r="S464" s="8">
        <f>+VLOOKUP($B464,NIFTY_AUTO!$B$3:$I$1238,8,0)</f>
        <v>-8.2722501616101507E-3</v>
      </c>
      <c r="T464" s="8">
        <v>0</v>
      </c>
      <c r="U464" s="8">
        <f>+VLOOKUP($B464,NIFTY_50!$B$63:$K$1238,10,0)</f>
        <v>-7.7972573600565087E-2</v>
      </c>
      <c r="V464" s="8">
        <f>+VLOOKUP($B464,NIFTY_BANK!$B$63:$K$1238,10,0)</f>
        <v>-8.4387358757062048E-2</v>
      </c>
      <c r="W464" s="8">
        <f>+VLOOKUP($B464,NIFTY_IT!$B$63:$K$1238,10,0)</f>
        <v>-1.8136249559176476E-2</v>
      </c>
      <c r="X464" s="8">
        <f>+VLOOKUP($B464,NIFTY_PHARMA!$B$63:$K$1238,10,0)</f>
        <v>-3.6540738058045141E-3</v>
      </c>
      <c r="Y464" s="8">
        <f>+VLOOKUP($B464,NIFTY_FMCG!$B$63:$K$1238,10,0)</f>
        <v>-7.4275261285177252E-2</v>
      </c>
      <c r="Z464" s="8">
        <f>+VLOOKUP($B464,NIFTY_METAL!$B$63:$K$1238,10,0)</f>
        <v>-3.4154351395730642E-2</v>
      </c>
      <c r="AA464" s="8">
        <f>+VLOOKUP($B464,NIFTY_ENERGY!$B$63:$K$1238,10,0)</f>
        <v>-8.5896045547852351E-2</v>
      </c>
      <c r="AB464" s="8">
        <f>+VLOOKUP($B464,NIFTY_AUTO!$B$63:$K$1238,10,0)</f>
        <v>-0.16297693687695347</v>
      </c>
      <c r="AC464" s="8"/>
      <c r="AD464" s="16">
        <f t="shared" si="272"/>
        <v>8.1585762873969805E-2</v>
      </c>
      <c r="AE464" s="8">
        <f t="shared" si="273"/>
        <v>9.0760861886330771E-2</v>
      </c>
      <c r="AF464" s="8">
        <f t="shared" si="274"/>
        <v>0.1140254515407966</v>
      </c>
      <c r="AG464" s="8">
        <f t="shared" si="275"/>
        <v>0.13150201513174631</v>
      </c>
      <c r="AH464" s="8">
        <f t="shared" si="276"/>
        <v>9.7695254022574507E-2</v>
      </c>
      <c r="AI464" s="8">
        <f t="shared" si="277"/>
        <v>0.13478215091910947</v>
      </c>
      <c r="AJ464" s="8">
        <f t="shared" si="278"/>
        <v>0.14593690065245177</v>
      </c>
      <c r="AK464" s="8">
        <f t="shared" si="279"/>
        <v>0.12144573195394927</v>
      </c>
      <c r="AL464" s="9">
        <v>0</v>
      </c>
      <c r="AM464" s="17">
        <f t="shared" si="256"/>
        <v>12.257040502823479</v>
      </c>
      <c r="AN464" s="13">
        <f t="shared" si="257"/>
        <v>11.017965004038896</v>
      </c>
      <c r="AO464" s="13">
        <f t="shared" si="258"/>
        <v>8.7699718482782316</v>
      </c>
      <c r="AP464" s="13">
        <f t="shared" si="259"/>
        <v>7.6044462056200608</v>
      </c>
      <c r="AQ464" s="13">
        <f t="shared" si="260"/>
        <v>10.235911764648561</v>
      </c>
      <c r="AR464" s="13">
        <f t="shared" si="261"/>
        <v>7.4193800379410595</v>
      </c>
      <c r="AS464" s="13">
        <f t="shared" si="262"/>
        <v>6.8522765354699189</v>
      </c>
      <c r="AT464" s="13">
        <f t="shared" si="263"/>
        <v>8.2341304540795868</v>
      </c>
      <c r="AU464" s="9">
        <v>0</v>
      </c>
      <c r="AV464" s="18">
        <f t="shared" si="280"/>
        <v>1</v>
      </c>
      <c r="AW464" s="18">
        <f t="shared" si="281"/>
        <v>2</v>
      </c>
      <c r="AX464" s="18">
        <f t="shared" si="282"/>
        <v>4</v>
      </c>
      <c r="AY464" s="18">
        <f t="shared" si="283"/>
        <v>6</v>
      </c>
      <c r="AZ464" s="18">
        <f t="shared" si="284"/>
        <v>3</v>
      </c>
      <c r="BA464" s="18">
        <f t="shared" si="285"/>
        <v>7</v>
      </c>
      <c r="BB464" s="18">
        <f t="shared" si="286"/>
        <v>8</v>
      </c>
      <c r="BC464" s="18">
        <f t="shared" si="287"/>
        <v>5</v>
      </c>
      <c r="BD464" s="18">
        <f t="shared" si="288"/>
        <v>9</v>
      </c>
      <c r="BE464" s="8">
        <f t="shared" si="290"/>
        <v>-2.2261178480001051E-3</v>
      </c>
    </row>
    <row r="465" spans="1:57" x14ac:dyDescent="0.25">
      <c r="A465" t="str">
        <f t="shared" si="289"/>
        <v/>
      </c>
      <c r="B465" s="1">
        <v>43419</v>
      </c>
      <c r="C465" s="9">
        <f t="shared" si="264"/>
        <v>0.25305010376298476</v>
      </c>
      <c r="D465" s="9">
        <f t="shared" si="265"/>
        <v>0.25742270338244361</v>
      </c>
      <c r="E465" s="9">
        <f t="shared" si="266"/>
        <v>0.23785613458178065</v>
      </c>
      <c r="F465" s="9">
        <f t="shared" si="267"/>
        <v>0</v>
      </c>
      <c r="G465" s="9">
        <f t="shared" si="268"/>
        <v>0.25167105827279102</v>
      </c>
      <c r="H465" s="9">
        <f t="shared" si="269"/>
        <v>0</v>
      </c>
      <c r="I465" s="9">
        <f t="shared" si="270"/>
        <v>0</v>
      </c>
      <c r="J465" s="9">
        <f t="shared" si="271"/>
        <v>0</v>
      </c>
      <c r="K465" s="9">
        <v>0</v>
      </c>
      <c r="L465" s="8">
        <f>+VLOOKUP($B465,NIFTY_50!$B$3:$I$1238,8,0)</f>
        <v>3.8198613881983423E-3</v>
      </c>
      <c r="M465" s="8">
        <f>+VLOOKUP($B465,NIFTY_BANK!$B$3:$I$41238,8,0)</f>
        <v>8.6617316135848554E-3</v>
      </c>
      <c r="N465" s="8">
        <f>+VLOOKUP($B465,NIFTY_IT!$B$3:$I$1238,8,0)</f>
        <v>1.0914670293267204E-3</v>
      </c>
      <c r="O465" s="8">
        <f>+VLOOKUP($B465,NIFTY_PHARMA!$B$3:$I$1238,8,0)</f>
        <v>2.6041242818308774E-4</v>
      </c>
      <c r="P465" s="8">
        <f>+VLOOKUP($B465,NIFTY_FMCG!$B$3:$I$1238,8,0)</f>
        <v>-9.432695650977152E-4</v>
      </c>
      <c r="Q465" s="8">
        <f>+VLOOKUP($B465,NIFTY_METAL!$B$3:$I$1238,8,0)</f>
        <v>7.6135002882782299E-3</v>
      </c>
      <c r="R465" s="8">
        <f>+VLOOKUP($B465,NIFTY_ENERGY!$B$3:$I$1238,8,0)</f>
        <v>-2.1291245167098793E-3</v>
      </c>
      <c r="S465" s="8">
        <f>+VLOOKUP($B465,NIFTY_AUTO!$B$3:$I$1238,8,0)</f>
        <v>6.2807963408975098E-3</v>
      </c>
      <c r="T465" s="8">
        <v>0</v>
      </c>
      <c r="U465" s="8">
        <f>+VLOOKUP($B465,NIFTY_50!$B$63:$K$1238,10,0)</f>
        <v>-7.111422196946493E-2</v>
      </c>
      <c r="V465" s="8">
        <f>+VLOOKUP($B465,NIFTY_BANK!$B$63:$K$1238,10,0)</f>
        <v>-7.0028534094242478E-2</v>
      </c>
      <c r="W465" s="8">
        <f>+VLOOKUP($B465,NIFTY_IT!$B$63:$K$1238,10,0)</f>
        <v>-2.2150238771603492E-2</v>
      </c>
      <c r="X465" s="8">
        <f>+VLOOKUP($B465,NIFTY_PHARMA!$B$63:$K$1238,10,0)</f>
        <v>8.7872404453805952E-3</v>
      </c>
      <c r="Y465" s="8">
        <f>+VLOOKUP($B465,NIFTY_FMCG!$B$63:$K$1238,10,0)</f>
        <v>-7.797959644033825E-2</v>
      </c>
      <c r="Z465" s="8">
        <f>+VLOOKUP($B465,NIFTY_METAL!$B$63:$K$1238,10,0)</f>
        <v>-7.8171628211659572E-3</v>
      </c>
      <c r="AA465" s="8">
        <f>+VLOOKUP($B465,NIFTY_ENERGY!$B$63:$K$1238,10,0)</f>
        <v>-8.0972449855615358E-2</v>
      </c>
      <c r="AB465" s="8">
        <f>+VLOOKUP($B465,NIFTY_AUTO!$B$63:$K$1238,10,0)</f>
        <v>-0.15971290056229792</v>
      </c>
      <c r="AC465" s="8"/>
      <c r="AD465" s="16">
        <f t="shared" si="272"/>
        <v>8.1706372471459662E-2</v>
      </c>
      <c r="AE465" s="8">
        <f t="shared" si="273"/>
        <v>9.1124592063486123E-2</v>
      </c>
      <c r="AF465" s="8">
        <f t="shared" si="274"/>
        <v>0.11390382241915346</v>
      </c>
      <c r="AG465" s="8">
        <f t="shared" si="275"/>
        <v>0.13092948452981973</v>
      </c>
      <c r="AH465" s="8">
        <f t="shared" si="276"/>
        <v>9.7601431248605236E-2</v>
      </c>
      <c r="AI465" s="8">
        <f t="shared" si="277"/>
        <v>0.1336744094794968</v>
      </c>
      <c r="AJ465" s="8">
        <f t="shared" si="278"/>
        <v>0.14580669751134248</v>
      </c>
      <c r="AK465" s="8">
        <f t="shared" si="279"/>
        <v>0.12167357401668087</v>
      </c>
      <c r="AL465" s="9">
        <v>0</v>
      </c>
      <c r="AM465" s="17">
        <f t="shared" si="256"/>
        <v>12.238947462137101</v>
      </c>
      <c r="AN465" s="13">
        <f t="shared" si="257"/>
        <v>10.973986026772051</v>
      </c>
      <c r="AO465" s="13">
        <f t="shared" si="258"/>
        <v>8.7793366259484316</v>
      </c>
      <c r="AP465" s="13">
        <f t="shared" si="259"/>
        <v>7.6376990529756945</v>
      </c>
      <c r="AQ465" s="13">
        <f t="shared" si="260"/>
        <v>10.245751391215284</v>
      </c>
      <c r="AR465" s="13">
        <f t="shared" si="261"/>
        <v>7.4808634195117332</v>
      </c>
      <c r="AS465" s="13">
        <f t="shared" si="262"/>
        <v>6.8583955131567862</v>
      </c>
      <c r="AT465" s="13">
        <f t="shared" si="263"/>
        <v>8.21871148342289</v>
      </c>
      <c r="AU465" s="9">
        <v>0</v>
      </c>
      <c r="AV465" s="18">
        <f t="shared" si="280"/>
        <v>1</v>
      </c>
      <c r="AW465" s="18">
        <f t="shared" si="281"/>
        <v>2</v>
      </c>
      <c r="AX465" s="18">
        <f t="shared" si="282"/>
        <v>4</v>
      </c>
      <c r="AY465" s="18">
        <f t="shared" si="283"/>
        <v>6</v>
      </c>
      <c r="AZ465" s="18">
        <f t="shared" si="284"/>
        <v>3</v>
      </c>
      <c r="BA465" s="18">
        <f t="shared" si="285"/>
        <v>7</v>
      </c>
      <c r="BB465" s="18">
        <f t="shared" si="286"/>
        <v>8</v>
      </c>
      <c r="BC465" s="18">
        <f t="shared" si="287"/>
        <v>5</v>
      </c>
      <c r="BD465" s="18">
        <f t="shared" si="288"/>
        <v>9</v>
      </c>
      <c r="BE465" s="8">
        <f t="shared" si="290"/>
        <v>3.2054704593426101E-3</v>
      </c>
    </row>
    <row r="466" spans="1:57" x14ac:dyDescent="0.25">
      <c r="A466" t="str">
        <f t="shared" si="289"/>
        <v/>
      </c>
      <c r="B466" s="1">
        <v>43420</v>
      </c>
      <c r="C466" s="9">
        <f t="shared" si="264"/>
        <v>0.2531987389807564</v>
      </c>
      <c r="D466" s="9">
        <f t="shared" si="265"/>
        <v>0.25688326423512747</v>
      </c>
      <c r="E466" s="9">
        <f t="shared" si="266"/>
        <v>0.23849748245655097</v>
      </c>
      <c r="F466" s="9">
        <f t="shared" si="267"/>
        <v>0</v>
      </c>
      <c r="G466" s="9">
        <f t="shared" si="268"/>
        <v>0.25142051432756524</v>
      </c>
      <c r="H466" s="9">
        <f t="shared" si="269"/>
        <v>0</v>
      </c>
      <c r="I466" s="9">
        <f t="shared" si="270"/>
        <v>0</v>
      </c>
      <c r="J466" s="9">
        <f t="shared" si="271"/>
        <v>0</v>
      </c>
      <c r="K466" s="9">
        <v>0</v>
      </c>
      <c r="L466" s="8">
        <f>+VLOOKUP($B466,NIFTY_50!$B$3:$I$1238,8,0)</f>
        <v>6.1695253704070474E-3</v>
      </c>
      <c r="M466" s="8">
        <f>+VLOOKUP($B466,NIFTY_BANK!$B$3:$I$41238,8,0)</f>
        <v>3.4716447299247832E-3</v>
      </c>
      <c r="N466" s="8">
        <f>+VLOOKUP($B466,NIFTY_IT!$B$3:$I$1238,8,0)</f>
        <v>8.2902853878494831E-3</v>
      </c>
      <c r="O466" s="8">
        <f>+VLOOKUP($B466,NIFTY_PHARMA!$B$3:$I$1238,8,0)</f>
        <v>8.981889776591867E-3</v>
      </c>
      <c r="P466" s="8">
        <f>+VLOOKUP($B466,NIFTY_FMCG!$B$3:$I$1238,8,0)</f>
        <v>4.577798452817694E-3</v>
      </c>
      <c r="Q466" s="8">
        <f>+VLOOKUP($B466,NIFTY_METAL!$B$3:$I$1238,8,0)</f>
        <v>-1.5640130285513143E-2</v>
      </c>
      <c r="R466" s="8">
        <f>+VLOOKUP($B466,NIFTY_ENERGY!$B$3:$I$1238,8,0)</f>
        <v>1.2879849404837662E-2</v>
      </c>
      <c r="S466" s="8">
        <f>+VLOOKUP($B466,NIFTY_AUTO!$B$3:$I$1238,8,0)</f>
        <v>4.501413553645861E-4</v>
      </c>
      <c r="T466" s="8">
        <v>0</v>
      </c>
      <c r="U466" s="8">
        <f>+VLOOKUP($B466,NIFTY_50!$B$63:$K$1238,10,0)</f>
        <v>-5.9313563613147435E-2</v>
      </c>
      <c r="V466" s="8">
        <f>+VLOOKUP($B466,NIFTY_BANK!$B$63:$K$1238,10,0)</f>
        <v>-5.5725254008001657E-2</v>
      </c>
      <c r="W466" s="8">
        <f>+VLOOKUP($B466,NIFTY_IT!$B$63:$K$1238,10,0)</f>
        <v>-2.735841131701422E-2</v>
      </c>
      <c r="X466" s="8">
        <f>+VLOOKUP($B466,NIFTY_PHARMA!$B$63:$K$1238,10,0)</f>
        <v>1.2491019528443559E-2</v>
      </c>
      <c r="Y466" s="8">
        <f>+VLOOKUP($B466,NIFTY_FMCG!$B$63:$K$1238,10,0)</f>
        <v>-7.3901476345904937E-2</v>
      </c>
      <c r="Z466" s="8">
        <f>+VLOOKUP($B466,NIFTY_METAL!$B$63:$K$1238,10,0)</f>
        <v>-1.5033178695167182E-2</v>
      </c>
      <c r="AA466" s="8">
        <f>+VLOOKUP($B466,NIFTY_ENERGY!$B$63:$K$1238,10,0)</f>
        <v>-5.4731099707422626E-2</v>
      </c>
      <c r="AB466" s="8">
        <f>+VLOOKUP($B466,NIFTY_AUTO!$B$63:$K$1238,10,0)</f>
        <v>-0.15286751513010499</v>
      </c>
      <c r="AC466" s="8"/>
      <c r="AD466" s="16">
        <f t="shared" si="272"/>
        <v>8.1846649528949086E-2</v>
      </c>
      <c r="AE466" s="8">
        <f t="shared" si="273"/>
        <v>9.0600753378460977E-2</v>
      </c>
      <c r="AF466" s="8">
        <f t="shared" si="274"/>
        <v>0.11336718798892277</v>
      </c>
      <c r="AG466" s="8">
        <f t="shared" si="275"/>
        <v>0.13112168273640967</v>
      </c>
      <c r="AH466" s="8">
        <f t="shared" si="276"/>
        <v>9.7763622795135965E-2</v>
      </c>
      <c r="AI466" s="8">
        <f t="shared" si="277"/>
        <v>0.1343198992928894</v>
      </c>
      <c r="AJ466" s="8">
        <f t="shared" si="278"/>
        <v>0.14576730966469006</v>
      </c>
      <c r="AK466" s="8">
        <f t="shared" si="279"/>
        <v>0.12161169451117926</v>
      </c>
      <c r="AL466" s="9">
        <v>0</v>
      </c>
      <c r="AM466" s="17">
        <f t="shared" si="256"/>
        <v>12.217971117391933</v>
      </c>
      <c r="AN466" s="13">
        <f t="shared" si="257"/>
        <v>11.037435812732829</v>
      </c>
      <c r="AO466" s="13">
        <f t="shared" si="258"/>
        <v>8.820894455790075</v>
      </c>
      <c r="AP466" s="13">
        <f t="shared" si="259"/>
        <v>7.6265037111388558</v>
      </c>
      <c r="AQ466" s="13">
        <f t="shared" si="260"/>
        <v>10.228753511881447</v>
      </c>
      <c r="AR466" s="13">
        <f t="shared" si="261"/>
        <v>7.4449132650067273</v>
      </c>
      <c r="AS466" s="13">
        <f t="shared" si="262"/>
        <v>6.8602487231211819</v>
      </c>
      <c r="AT466" s="13">
        <f t="shared" si="263"/>
        <v>8.2228933986942696</v>
      </c>
      <c r="AU466" s="9">
        <v>0</v>
      </c>
      <c r="AV466" s="18">
        <f t="shared" si="280"/>
        <v>1</v>
      </c>
      <c r="AW466" s="18">
        <f t="shared" si="281"/>
        <v>2</v>
      </c>
      <c r="AX466" s="18">
        <f t="shared" si="282"/>
        <v>4</v>
      </c>
      <c r="AY466" s="18">
        <f t="shared" si="283"/>
        <v>6</v>
      </c>
      <c r="AZ466" s="18">
        <f t="shared" si="284"/>
        <v>3</v>
      </c>
      <c r="BA466" s="18">
        <f t="shared" si="285"/>
        <v>7</v>
      </c>
      <c r="BB466" s="18">
        <f t="shared" si="286"/>
        <v>8</v>
      </c>
      <c r="BC466" s="18">
        <f t="shared" si="287"/>
        <v>5</v>
      </c>
      <c r="BD466" s="18">
        <f t="shared" si="288"/>
        <v>9</v>
      </c>
      <c r="BE466" s="8">
        <f t="shared" si="290"/>
        <v>5.5788738248243918E-3</v>
      </c>
    </row>
    <row r="467" spans="1:57" x14ac:dyDescent="0.25">
      <c r="A467" t="str">
        <f t="shared" si="289"/>
        <v/>
      </c>
      <c r="B467" s="1">
        <v>43423</v>
      </c>
      <c r="C467" s="9">
        <f t="shared" si="264"/>
        <v>0.25288577131990164</v>
      </c>
      <c r="D467" s="9">
        <f t="shared" si="265"/>
        <v>0.2551652452419863</v>
      </c>
      <c r="E467" s="9">
        <f t="shared" si="266"/>
        <v>0.23847437703898175</v>
      </c>
      <c r="F467" s="9">
        <f t="shared" si="267"/>
        <v>0</v>
      </c>
      <c r="G467" s="9">
        <f t="shared" si="268"/>
        <v>0.2534746063991305</v>
      </c>
      <c r="H467" s="9">
        <f t="shared" si="269"/>
        <v>0</v>
      </c>
      <c r="I467" s="9">
        <f t="shared" si="270"/>
        <v>0</v>
      </c>
      <c r="J467" s="9">
        <f t="shared" si="271"/>
        <v>0</v>
      </c>
      <c r="K467" s="9">
        <v>0</v>
      </c>
      <c r="L467" s="8">
        <f>+VLOOKUP($B467,NIFTY_50!$B$3:$I$1238,8,0)</f>
        <v>7.6014304169551572E-3</v>
      </c>
      <c r="M467" s="8">
        <f>+VLOOKUP($B467,NIFTY_BANK!$B$3:$I$41238,8,0)</f>
        <v>2.1013086027916739E-3</v>
      </c>
      <c r="N467" s="8">
        <f>+VLOOKUP($B467,NIFTY_IT!$B$3:$I$1238,8,0)</f>
        <v>8.7506866162514463E-3</v>
      </c>
      <c r="O467" s="8">
        <f>+VLOOKUP($B467,NIFTY_PHARMA!$B$3:$I$1238,8,0)</f>
        <v>1.0525353846484675E-2</v>
      </c>
      <c r="P467" s="8">
        <f>+VLOOKUP($B467,NIFTY_FMCG!$B$3:$I$1238,8,0)</f>
        <v>1.7090660250022705E-2</v>
      </c>
      <c r="Q467" s="8">
        <f>+VLOOKUP($B467,NIFTY_METAL!$B$3:$I$1238,8,0)</f>
        <v>1.2147498956656566E-2</v>
      </c>
      <c r="R467" s="8">
        <f>+VLOOKUP($B467,NIFTY_ENERGY!$B$3:$I$1238,8,0)</f>
        <v>1.0749269874096967E-2</v>
      </c>
      <c r="S467" s="8">
        <f>+VLOOKUP($B467,NIFTY_AUTO!$B$3:$I$1238,8,0)</f>
        <v>1.0458334019215698E-2</v>
      </c>
      <c r="T467" s="8">
        <v>0</v>
      </c>
      <c r="U467" s="8">
        <f>+VLOOKUP($B467,NIFTY_50!$B$63:$K$1238,10,0)</f>
        <v>-5.8740194663798317E-2</v>
      </c>
      <c r="V467" s="8">
        <f>+VLOOKUP($B467,NIFTY_BANK!$B$63:$K$1238,10,0)</f>
        <v>-6.1416687781255197E-2</v>
      </c>
      <c r="W467" s="8">
        <f>+VLOOKUP($B467,NIFTY_IT!$B$63:$K$1238,10,0)</f>
        <v>-2.7279844096140815E-2</v>
      </c>
      <c r="X467" s="8">
        <f>+VLOOKUP($B467,NIFTY_PHARMA!$B$63:$K$1238,10,0)</f>
        <v>-8.6381926243124241E-3</v>
      </c>
      <c r="Y467" s="8">
        <f>+VLOOKUP($B467,NIFTY_FMCG!$B$63:$K$1238,10,0)</f>
        <v>-6.536276309879363E-2</v>
      </c>
      <c r="Z467" s="8">
        <f>+VLOOKUP($B467,NIFTY_METAL!$B$63:$K$1238,10,0)</f>
        <v>-5.6375563755637348E-3</v>
      </c>
      <c r="AA467" s="8">
        <f>+VLOOKUP($B467,NIFTY_ENERGY!$B$63:$K$1238,10,0)</f>
        <v>-5.5088717394357167E-2</v>
      </c>
      <c r="AB467" s="8">
        <f>+VLOOKUP($B467,NIFTY_AUTO!$B$63:$K$1238,10,0)</f>
        <v>-0.14768840569648667</v>
      </c>
      <c r="AC467" s="8"/>
      <c r="AD467" s="16">
        <f t="shared" si="272"/>
        <v>8.1908392433550706E-2</v>
      </c>
      <c r="AE467" s="8">
        <f t="shared" si="273"/>
        <v>9.0193275520910027E-2</v>
      </c>
      <c r="AF467" s="8">
        <f t="shared" si="274"/>
        <v>0.11337369811827326</v>
      </c>
      <c r="AG467" s="8">
        <f t="shared" si="275"/>
        <v>0.1276042581804345</v>
      </c>
      <c r="AH467" s="8">
        <f t="shared" si="276"/>
        <v>9.9042905221205402E-2</v>
      </c>
      <c r="AI467" s="8">
        <f t="shared" si="277"/>
        <v>0.13484483130006372</v>
      </c>
      <c r="AJ467" s="8">
        <f t="shared" si="278"/>
        <v>0.1457366330716619</v>
      </c>
      <c r="AK467" s="8">
        <f t="shared" si="279"/>
        <v>0.12211215576546752</v>
      </c>
      <c r="AL467" s="9">
        <v>0</v>
      </c>
      <c r="AM467" s="17">
        <f t="shared" si="256"/>
        <v>12.20876115730465</v>
      </c>
      <c r="AN467" s="13">
        <f t="shared" si="257"/>
        <v>11.087301067895735</v>
      </c>
      <c r="AO467" s="13">
        <f t="shared" si="258"/>
        <v>8.8203879435668053</v>
      </c>
      <c r="AP467" s="13">
        <f t="shared" si="259"/>
        <v>7.8367290736174624</v>
      </c>
      <c r="AQ467" s="13">
        <f t="shared" si="260"/>
        <v>10.096634360296378</v>
      </c>
      <c r="AR467" s="13">
        <f t="shared" si="261"/>
        <v>7.4159312623169669</v>
      </c>
      <c r="AS467" s="13">
        <f t="shared" si="262"/>
        <v>6.8616927598998263</v>
      </c>
      <c r="AT467" s="13">
        <f t="shared" si="263"/>
        <v>8.1891929082034363</v>
      </c>
      <c r="AU467" s="9">
        <v>0</v>
      </c>
      <c r="AV467" s="18">
        <f t="shared" si="280"/>
        <v>1</v>
      </c>
      <c r="AW467" s="18">
        <f t="shared" si="281"/>
        <v>2</v>
      </c>
      <c r="AX467" s="18">
        <f t="shared" si="282"/>
        <v>4</v>
      </c>
      <c r="AY467" s="18">
        <f t="shared" si="283"/>
        <v>6</v>
      </c>
      <c r="AZ467" s="18">
        <f t="shared" si="284"/>
        <v>3</v>
      </c>
      <c r="BA467" s="18">
        <f t="shared" si="285"/>
        <v>7</v>
      </c>
      <c r="BB467" s="18">
        <f t="shared" si="286"/>
        <v>8</v>
      </c>
      <c r="BC467" s="18">
        <f t="shared" si="287"/>
        <v>5</v>
      </c>
      <c r="BD467" s="18">
        <f t="shared" si="288"/>
        <v>9</v>
      </c>
      <c r="BE467" s="8">
        <f t="shared" si="290"/>
        <v>8.8484229270740788E-3</v>
      </c>
    </row>
    <row r="468" spans="1:57" x14ac:dyDescent="0.25">
      <c r="A468" t="str">
        <f t="shared" si="289"/>
        <v/>
      </c>
      <c r="B468" s="1">
        <v>43424</v>
      </c>
      <c r="C468" s="9">
        <f t="shared" si="264"/>
        <v>0.25329572240589587</v>
      </c>
      <c r="D468" s="9">
        <f t="shared" si="265"/>
        <v>0.25631108071258535</v>
      </c>
      <c r="E468" s="9">
        <f t="shared" si="266"/>
        <v>0.23606341197114078</v>
      </c>
      <c r="F468" s="9">
        <f t="shared" si="267"/>
        <v>0</v>
      </c>
      <c r="G468" s="9">
        <f t="shared" si="268"/>
        <v>0.25432978491037811</v>
      </c>
      <c r="H468" s="9">
        <f t="shared" si="269"/>
        <v>0</v>
      </c>
      <c r="I468" s="9">
        <f t="shared" si="270"/>
        <v>0</v>
      </c>
      <c r="J468" s="9">
        <f t="shared" si="271"/>
        <v>0</v>
      </c>
      <c r="K468" s="9">
        <v>0</v>
      </c>
      <c r="L468" s="8">
        <f>+VLOOKUP($B468,NIFTY_50!$B$3:$I$1238,8,0)</f>
        <v>-9.9596781686083213E-3</v>
      </c>
      <c r="M468" s="8">
        <f>+VLOOKUP($B468,NIFTY_BANK!$B$3:$I$41238,8,0)</f>
        <v>-7.1233845487003178E-3</v>
      </c>
      <c r="N468" s="8">
        <f>+VLOOKUP($B468,NIFTY_IT!$B$3:$I$1238,8,0)</f>
        <v>-2.1555089795750604E-2</v>
      </c>
      <c r="O468" s="8">
        <f>+VLOOKUP($B468,NIFTY_PHARMA!$B$3:$I$1238,8,0)</f>
        <v>-1.9208979439848894E-2</v>
      </c>
      <c r="P468" s="8">
        <f>+VLOOKUP($B468,NIFTY_FMCG!$B$3:$I$1238,8,0)</f>
        <v>-8.2272120222853795E-3</v>
      </c>
      <c r="Q468" s="8">
        <f>+VLOOKUP($B468,NIFTY_METAL!$B$3:$I$1238,8,0)</f>
        <v>-2.8318140986938078E-2</v>
      </c>
      <c r="R468" s="8">
        <f>+VLOOKUP($B468,NIFTY_ENERGY!$B$3:$I$1238,8,0)</f>
        <v>-9.1764047157388839E-3</v>
      </c>
      <c r="S468" s="8">
        <f>+VLOOKUP($B468,NIFTY_AUTO!$B$3:$I$1238,8,0)</f>
        <v>-8.0367954907061279E-3</v>
      </c>
      <c r="T468" s="8">
        <v>0</v>
      </c>
      <c r="U468" s="8">
        <f>+VLOOKUP($B468,NIFTY_50!$B$63:$K$1238,10,0)</f>
        <v>-6.4018164171435243E-2</v>
      </c>
      <c r="V468" s="8">
        <f>+VLOOKUP($B468,NIFTY_BANK!$B$63:$K$1238,10,0)</f>
        <v>-6.1567100484968496E-2</v>
      </c>
      <c r="W468" s="8">
        <f>+VLOOKUP($B468,NIFTY_IT!$B$63:$K$1238,10,0)</f>
        <v>-5.0467451235846061E-2</v>
      </c>
      <c r="X468" s="8">
        <f>+VLOOKUP($B468,NIFTY_PHARMA!$B$63:$K$1238,10,0)</f>
        <v>-3.9253388359986818E-2</v>
      </c>
      <c r="Y468" s="8">
        <f>+VLOOKUP($B468,NIFTY_FMCG!$B$63:$K$1238,10,0)</f>
        <v>-7.3227496553082472E-2</v>
      </c>
      <c r="Z468" s="8">
        <f>+VLOOKUP($B468,NIFTY_METAL!$B$63:$K$1238,10,0)</f>
        <v>-1.1342353276097228E-2</v>
      </c>
      <c r="AA468" s="8">
        <f>+VLOOKUP($B468,NIFTY_ENERGY!$B$63:$K$1238,10,0)</f>
        <v>-5.9382095468087592E-2</v>
      </c>
      <c r="AB468" s="8">
        <f>+VLOOKUP($B468,NIFTY_AUTO!$B$63:$K$1238,10,0)</f>
        <v>-0.15670832198468287</v>
      </c>
      <c r="AC468" s="8"/>
      <c r="AD468" s="16">
        <f t="shared" si="272"/>
        <v>8.2328922686488656E-2</v>
      </c>
      <c r="AE468" s="8">
        <f t="shared" si="273"/>
        <v>9.0203985923325306E-2</v>
      </c>
      <c r="AF468" s="8">
        <f t="shared" si="274"/>
        <v>0.11526824815409495</v>
      </c>
      <c r="AG468" s="8">
        <f t="shared" si="275"/>
        <v>0.12841400514550941</v>
      </c>
      <c r="AH468" s="8">
        <f t="shared" si="276"/>
        <v>9.9290993345923229E-2</v>
      </c>
      <c r="AI468" s="8">
        <f t="shared" si="277"/>
        <v>0.13590205031007827</v>
      </c>
      <c r="AJ468" s="8">
        <f t="shared" si="278"/>
        <v>0.14592665008139577</v>
      </c>
      <c r="AK468" s="8">
        <f t="shared" si="279"/>
        <v>0.12212525544491042</v>
      </c>
      <c r="AL468" s="9">
        <v>0</v>
      </c>
      <c r="AM468" s="17">
        <f t="shared" si="256"/>
        <v>12.146399677887613</v>
      </c>
      <c r="AN468" s="13">
        <f t="shared" si="257"/>
        <v>11.085984613252174</v>
      </c>
      <c r="AO468" s="13">
        <f t="shared" si="258"/>
        <v>8.6754159624527496</v>
      </c>
      <c r="AP468" s="13">
        <f t="shared" si="259"/>
        <v>7.787312597772126</v>
      </c>
      <c r="AQ468" s="13">
        <f t="shared" si="260"/>
        <v>10.071406945402051</v>
      </c>
      <c r="AR468" s="13">
        <f t="shared" si="261"/>
        <v>7.3582407161508563</v>
      </c>
      <c r="AS468" s="13">
        <f t="shared" si="262"/>
        <v>6.8527578714526411</v>
      </c>
      <c r="AT468" s="13">
        <f t="shared" si="263"/>
        <v>8.1883145001984534</v>
      </c>
      <c r="AU468" s="9">
        <v>0</v>
      </c>
      <c r="AV468" s="18">
        <f t="shared" si="280"/>
        <v>1</v>
      </c>
      <c r="AW468" s="18">
        <f t="shared" si="281"/>
        <v>2</v>
      </c>
      <c r="AX468" s="18">
        <f t="shared" si="282"/>
        <v>4</v>
      </c>
      <c r="AY468" s="18">
        <f t="shared" si="283"/>
        <v>6</v>
      </c>
      <c r="AZ468" s="18">
        <f t="shared" si="284"/>
        <v>3</v>
      </c>
      <c r="BA468" s="18">
        <f t="shared" si="285"/>
        <v>7</v>
      </c>
      <c r="BB468" s="18">
        <f t="shared" si="286"/>
        <v>8</v>
      </c>
      <c r="BC468" s="18">
        <f t="shared" si="287"/>
        <v>5</v>
      </c>
      <c r="BD468" s="18">
        <f t="shared" si="288"/>
        <v>9</v>
      </c>
      <c r="BE468" s="8">
        <f t="shared" si="290"/>
        <v>-1.1562027001260512E-2</v>
      </c>
    </row>
    <row r="469" spans="1:57" x14ac:dyDescent="0.25">
      <c r="A469" t="str">
        <f t="shared" si="289"/>
        <v/>
      </c>
      <c r="B469" s="1">
        <v>43425</v>
      </c>
      <c r="C469" s="9">
        <f t="shared" si="264"/>
        <v>0.2536679322930655</v>
      </c>
      <c r="D469" s="9">
        <f t="shared" si="265"/>
        <v>0.2595168602943706</v>
      </c>
      <c r="E469" s="9">
        <f t="shared" si="266"/>
        <v>0.23090876946629807</v>
      </c>
      <c r="F469" s="9">
        <f t="shared" si="267"/>
        <v>0</v>
      </c>
      <c r="G469" s="9">
        <f t="shared" si="268"/>
        <v>0.25590643794626583</v>
      </c>
      <c r="H469" s="9">
        <f t="shared" si="269"/>
        <v>0</v>
      </c>
      <c r="I469" s="9">
        <f t="shared" si="270"/>
        <v>0</v>
      </c>
      <c r="J469" s="9">
        <f t="shared" si="271"/>
        <v>0</v>
      </c>
      <c r="K469" s="9">
        <v>0</v>
      </c>
      <c r="L469" s="8">
        <f>+VLOOKUP($B469,NIFTY_50!$B$3:$I$1238,8,0)</f>
        <v>-5.2692329348174027E-3</v>
      </c>
      <c r="M469" s="8">
        <f>+VLOOKUP($B469,NIFTY_BANK!$B$3:$I$41238,8,0)</f>
        <v>5.6944053520517901E-3</v>
      </c>
      <c r="N469" s="8">
        <f>+VLOOKUP($B469,NIFTY_IT!$B$3:$I$1238,8,0)</f>
        <v>-2.8417721962044395E-2</v>
      </c>
      <c r="O469" s="8">
        <f>+VLOOKUP($B469,NIFTY_PHARMA!$B$3:$I$1238,8,0)</f>
        <v>1.6965515745170023E-2</v>
      </c>
      <c r="P469" s="8">
        <f>+VLOOKUP($B469,NIFTY_FMCG!$B$3:$I$1238,8,0)</f>
        <v>-5.7127992206118527E-4</v>
      </c>
      <c r="Q469" s="8">
        <f>+VLOOKUP($B469,NIFTY_METAL!$B$3:$I$1238,8,0)</f>
        <v>-8.0322502424829967E-3</v>
      </c>
      <c r="R469" s="8">
        <f>+VLOOKUP($B469,NIFTY_ENERGY!$B$3:$I$1238,8,0)</f>
        <v>-1.4605440325945129E-2</v>
      </c>
      <c r="S469" s="8">
        <f>+VLOOKUP($B469,NIFTY_AUTO!$B$3:$I$1238,8,0)</f>
        <v>-1.5711134103014723E-3</v>
      </c>
      <c r="T469" s="8">
        <v>0</v>
      </c>
      <c r="U469" s="8">
        <f>+VLOOKUP($B469,NIFTY_50!$B$63:$K$1238,10,0)</f>
        <v>-7.5906109016411372E-2</v>
      </c>
      <c r="V469" s="8">
        <f>+VLOOKUP($B469,NIFTY_BANK!$B$63:$K$1238,10,0)</f>
        <v>-6.6356068833978266E-2</v>
      </c>
      <c r="W469" s="8">
        <f>+VLOOKUP($B469,NIFTY_IT!$B$63:$K$1238,10,0)</f>
        <v>-8.2455177702559723E-2</v>
      </c>
      <c r="X469" s="8">
        <f>+VLOOKUP($B469,NIFTY_PHARMA!$B$63:$K$1238,10,0)</f>
        <v>-3.2881672400542628E-2</v>
      </c>
      <c r="Y469" s="8">
        <f>+VLOOKUP($B469,NIFTY_FMCG!$B$63:$K$1238,10,0)</f>
        <v>-9.1193427344732014E-2</v>
      </c>
      <c r="Z469" s="8">
        <f>+VLOOKUP($B469,NIFTY_METAL!$B$63:$K$1238,10,0)</f>
        <v>-3.5767950266639148E-2</v>
      </c>
      <c r="AA469" s="8">
        <f>+VLOOKUP($B469,NIFTY_ENERGY!$B$63:$K$1238,10,0)</f>
        <v>-7.3816151422454235E-2</v>
      </c>
      <c r="AB469" s="8">
        <f>+VLOOKUP($B469,NIFTY_AUTO!$B$63:$K$1238,10,0)</f>
        <v>-0.16172888304668764</v>
      </c>
      <c r="AC469" s="8"/>
      <c r="AD469" s="16">
        <f t="shared" si="272"/>
        <v>8.1976524350933139E-2</v>
      </c>
      <c r="AE469" s="8">
        <f t="shared" si="273"/>
        <v>8.9671110957055211E-2</v>
      </c>
      <c r="AF469" s="8">
        <f t="shared" si="274"/>
        <v>0.11830337007541196</v>
      </c>
      <c r="AG469" s="8">
        <f t="shared" si="275"/>
        <v>0.1291466668156937</v>
      </c>
      <c r="AH469" s="8">
        <f t="shared" si="276"/>
        <v>9.7151893211450763E-2</v>
      </c>
      <c r="AI469" s="8">
        <f t="shared" si="277"/>
        <v>0.13501670742059541</v>
      </c>
      <c r="AJ469" s="8">
        <f t="shared" si="278"/>
        <v>0.14655421000418301</v>
      </c>
      <c r="AK469" s="8">
        <f t="shared" si="279"/>
        <v>0.12192258468644941</v>
      </c>
      <c r="AL469" s="9">
        <v>0</v>
      </c>
      <c r="AM469" s="17">
        <f t="shared" si="256"/>
        <v>12.198614273021652</v>
      </c>
      <c r="AN469" s="13">
        <f t="shared" si="257"/>
        <v>11.151863619476226</v>
      </c>
      <c r="AO469" s="13">
        <f t="shared" si="258"/>
        <v>8.4528445754550727</v>
      </c>
      <c r="AP469" s="13">
        <f t="shared" si="259"/>
        <v>7.7431344118784606</v>
      </c>
      <c r="AQ469" s="13">
        <f t="shared" si="260"/>
        <v>10.293160194248644</v>
      </c>
      <c r="AR469" s="13">
        <f t="shared" si="261"/>
        <v>7.4064907899498982</v>
      </c>
      <c r="AS469" s="13">
        <f t="shared" si="262"/>
        <v>6.8234136704190052</v>
      </c>
      <c r="AT469" s="13">
        <f t="shared" si="263"/>
        <v>8.2019258578853016</v>
      </c>
      <c r="AU469" s="9">
        <v>0</v>
      </c>
      <c r="AV469" s="18">
        <f t="shared" si="280"/>
        <v>1</v>
      </c>
      <c r="AW469" s="18">
        <f t="shared" si="281"/>
        <v>2</v>
      </c>
      <c r="AX469" s="18">
        <f t="shared" si="282"/>
        <v>4</v>
      </c>
      <c r="AY469" s="18">
        <f t="shared" si="283"/>
        <v>6</v>
      </c>
      <c r="AZ469" s="18">
        <f t="shared" si="284"/>
        <v>3</v>
      </c>
      <c r="BA469" s="18">
        <f t="shared" si="285"/>
        <v>7</v>
      </c>
      <c r="BB469" s="18">
        <f t="shared" si="286"/>
        <v>8</v>
      </c>
      <c r="BC469" s="18">
        <f t="shared" si="287"/>
        <v>5</v>
      </c>
      <c r="BD469" s="18">
        <f t="shared" si="288"/>
        <v>9</v>
      </c>
      <c r="BE469" s="8">
        <f t="shared" si="290"/>
        <v>-6.7288128794584486E-3</v>
      </c>
    </row>
    <row r="470" spans="1:57" x14ac:dyDescent="0.25">
      <c r="A470" t="str">
        <f t="shared" si="289"/>
        <v/>
      </c>
      <c r="B470" s="1">
        <v>43426</v>
      </c>
      <c r="C470" s="9">
        <f t="shared" si="264"/>
        <v>0.25352360963221848</v>
      </c>
      <c r="D470" s="9">
        <f t="shared" si="265"/>
        <v>0.25856370426204417</v>
      </c>
      <c r="E470" s="9">
        <f t="shared" si="266"/>
        <v>0.23165684626751723</v>
      </c>
      <c r="F470" s="9">
        <f t="shared" si="267"/>
        <v>0</v>
      </c>
      <c r="G470" s="9">
        <f t="shared" si="268"/>
        <v>0.25625583983822009</v>
      </c>
      <c r="H470" s="9">
        <f t="shared" si="269"/>
        <v>0</v>
      </c>
      <c r="I470" s="9">
        <f t="shared" si="270"/>
        <v>0</v>
      </c>
      <c r="J470" s="9">
        <f t="shared" si="271"/>
        <v>0</v>
      </c>
      <c r="K470" s="9">
        <v>0</v>
      </c>
      <c r="L470" s="8">
        <f>+VLOOKUP($B470,NIFTY_50!$B$3:$I$1238,8,0)</f>
        <v>-6.9150617214068788E-3</v>
      </c>
      <c r="M470" s="8">
        <f>+VLOOKUP($B470,NIFTY_BANK!$B$3:$I$41238,8,0)</f>
        <v>-9.9992194059488337E-3</v>
      </c>
      <c r="N470" s="8">
        <f>+VLOOKUP($B470,NIFTY_IT!$B$3:$I$1238,8,0)</f>
        <v>-3.1305951733354709E-3</v>
      </c>
      <c r="O470" s="8">
        <f>+VLOOKUP($B470,NIFTY_PHARMA!$B$3:$I$1238,8,0)</f>
        <v>-7.7652505039947917E-3</v>
      </c>
      <c r="P470" s="8">
        <f>+VLOOKUP($B470,NIFTY_FMCG!$B$3:$I$1238,8,0)</f>
        <v>-4.9930505582519435E-3</v>
      </c>
      <c r="Q470" s="8">
        <f>+VLOOKUP($B470,NIFTY_METAL!$B$3:$I$1238,8,0)</f>
        <v>-1.7707092003544367E-2</v>
      </c>
      <c r="R470" s="8">
        <f>+VLOOKUP($B470,NIFTY_ENERGY!$B$3:$I$1238,8,0)</f>
        <v>-1.0315518944234658E-2</v>
      </c>
      <c r="S470" s="8">
        <f>+VLOOKUP($B470,NIFTY_AUTO!$B$3:$I$1238,8,0)</f>
        <v>-6.2120996129088057E-3</v>
      </c>
      <c r="T470" s="8">
        <v>0</v>
      </c>
      <c r="U470" s="8">
        <f>+VLOOKUP($B470,NIFTY_50!$B$63:$K$1238,10,0)</f>
        <v>-8.873114463176579E-2</v>
      </c>
      <c r="V470" s="8">
        <f>+VLOOKUP($B470,NIFTY_BANK!$B$63:$K$1238,10,0)</f>
        <v>-8.045483080895155E-2</v>
      </c>
      <c r="W470" s="8">
        <f>+VLOOKUP($B470,NIFTY_IT!$B$63:$K$1238,10,0)</f>
        <v>-7.7380118830896016E-2</v>
      </c>
      <c r="X470" s="8">
        <f>+VLOOKUP($B470,NIFTY_PHARMA!$B$63:$K$1238,10,0)</f>
        <v>-5.0703377333748412E-2</v>
      </c>
      <c r="Y470" s="8">
        <f>+VLOOKUP($B470,NIFTY_FMCG!$B$63:$K$1238,10,0)</f>
        <v>-9.6830083324582983E-2</v>
      </c>
      <c r="Z470" s="8">
        <f>+VLOOKUP($B470,NIFTY_METAL!$B$63:$K$1238,10,0)</f>
        <v>-7.5929173014458562E-2</v>
      </c>
      <c r="AA470" s="8">
        <f>+VLOOKUP($B470,NIFTY_ENERGY!$B$63:$K$1238,10,0)</f>
        <v>-9.9328296902433943E-2</v>
      </c>
      <c r="AB470" s="8">
        <f>+VLOOKUP($B470,NIFTY_AUTO!$B$63:$K$1238,10,0)</f>
        <v>-0.17596541157857415</v>
      </c>
      <c r="AC470" s="8"/>
      <c r="AD470" s="16">
        <f t="shared" si="272"/>
        <v>8.173305578270687E-2</v>
      </c>
      <c r="AE470" s="8">
        <f t="shared" si="273"/>
        <v>8.9878431350216906E-2</v>
      </c>
      <c r="AF470" s="8">
        <f t="shared" si="274"/>
        <v>0.11808891737390553</v>
      </c>
      <c r="AG470" s="8">
        <f t="shared" si="275"/>
        <v>0.12884151020133008</v>
      </c>
      <c r="AH470" s="8">
        <f t="shared" si="276"/>
        <v>9.7174164079473907E-2</v>
      </c>
      <c r="AI470" s="8">
        <f t="shared" si="277"/>
        <v>0.13360688738737822</v>
      </c>
      <c r="AJ470" s="8">
        <f t="shared" si="278"/>
        <v>0.14559315231285852</v>
      </c>
      <c r="AK470" s="8">
        <f t="shared" si="279"/>
        <v>0.12117687523058834</v>
      </c>
      <c r="AL470" s="9">
        <v>0</v>
      </c>
      <c r="AM470" s="17">
        <f t="shared" si="256"/>
        <v>12.234951824859834</v>
      </c>
      <c r="AN470" s="13">
        <f t="shared" si="257"/>
        <v>11.126139886703605</v>
      </c>
      <c r="AO470" s="13">
        <f t="shared" si="258"/>
        <v>8.4681951722336049</v>
      </c>
      <c r="AP470" s="13">
        <f t="shared" si="259"/>
        <v>7.7614737551382458</v>
      </c>
      <c r="AQ470" s="13">
        <f t="shared" si="260"/>
        <v>10.290801155563837</v>
      </c>
      <c r="AR470" s="13">
        <f t="shared" si="261"/>
        <v>7.4846440894967632</v>
      </c>
      <c r="AS470" s="13">
        <f t="shared" si="262"/>
        <v>6.8684548971859982</v>
      </c>
      <c r="AT470" s="13">
        <f t="shared" si="263"/>
        <v>8.2523996273801643</v>
      </c>
      <c r="AU470" s="9">
        <v>0</v>
      </c>
      <c r="AV470" s="18">
        <f t="shared" si="280"/>
        <v>1</v>
      </c>
      <c r="AW470" s="18">
        <f t="shared" si="281"/>
        <v>2</v>
      </c>
      <c r="AX470" s="18">
        <f t="shared" si="282"/>
        <v>4</v>
      </c>
      <c r="AY470" s="18">
        <f t="shared" si="283"/>
        <v>6</v>
      </c>
      <c r="AZ470" s="18">
        <f t="shared" si="284"/>
        <v>3</v>
      </c>
      <c r="BA470" s="18">
        <f t="shared" si="285"/>
        <v>7</v>
      </c>
      <c r="BB470" s="18">
        <f t="shared" si="286"/>
        <v>8</v>
      </c>
      <c r="BC470" s="18">
        <f t="shared" si="287"/>
        <v>5</v>
      </c>
      <c r="BD470" s="18">
        <f t="shared" si="288"/>
        <v>9</v>
      </c>
      <c r="BE470" s="8">
        <f t="shared" si="290"/>
        <v>-6.3497310961944872E-3</v>
      </c>
    </row>
    <row r="471" spans="1:57" x14ac:dyDescent="0.25">
      <c r="A471" t="str">
        <f t="shared" si="289"/>
        <v/>
      </c>
      <c r="B471" s="1">
        <v>43430</v>
      </c>
      <c r="C471" s="9">
        <f t="shared" si="264"/>
        <v>0.25211191536156691</v>
      </c>
      <c r="D471" s="9">
        <f t="shared" si="265"/>
        <v>0.25824639477685102</v>
      </c>
      <c r="E471" s="9">
        <f t="shared" si="266"/>
        <v>0.23128766267591569</v>
      </c>
      <c r="F471" s="9">
        <f t="shared" si="267"/>
        <v>0</v>
      </c>
      <c r="G471" s="9">
        <f t="shared" si="268"/>
        <v>0.2583540271856663</v>
      </c>
      <c r="H471" s="9">
        <f t="shared" si="269"/>
        <v>0</v>
      </c>
      <c r="I471" s="9">
        <f t="shared" si="270"/>
        <v>0</v>
      </c>
      <c r="J471" s="9">
        <f t="shared" si="271"/>
        <v>0</v>
      </c>
      <c r="K471" s="9">
        <v>0</v>
      </c>
      <c r="L471" s="8">
        <f>+VLOOKUP($B471,NIFTY_50!$B$3:$I$1238,8,0)</f>
        <v>9.6753508917757358E-3</v>
      </c>
      <c r="M471" s="8">
        <f>+VLOOKUP($B471,NIFTY_BANK!$B$3:$I$41238,8,0)</f>
        <v>1.4082990217100688E-2</v>
      </c>
      <c r="N471" s="8">
        <f>+VLOOKUP($B471,NIFTY_IT!$B$3:$I$1238,8,0)</f>
        <v>1.3710907290559904E-2</v>
      </c>
      <c r="O471" s="8">
        <f>+VLOOKUP($B471,NIFTY_PHARMA!$B$3:$I$1238,8,0)</f>
        <v>-1.309353600722396E-2</v>
      </c>
      <c r="P471" s="8">
        <f>+VLOOKUP($B471,NIFTY_FMCG!$B$3:$I$1238,8,0)</f>
        <v>2.3642375727069842E-2</v>
      </c>
      <c r="Q471" s="8">
        <f>+VLOOKUP($B471,NIFTY_METAL!$B$3:$I$1238,8,0)</f>
        <v>-1.3204759312543723E-2</v>
      </c>
      <c r="R471" s="8">
        <f>+VLOOKUP($B471,NIFTY_ENERGY!$B$3:$I$1238,8,0)</f>
        <v>1.7848647759262093E-3</v>
      </c>
      <c r="S471" s="8">
        <f>+VLOOKUP($B471,NIFTY_AUTO!$B$3:$I$1238,8,0)</f>
        <v>1.0609479567234681E-2</v>
      </c>
      <c r="T471" s="8">
        <v>0</v>
      </c>
      <c r="U471" s="8">
        <f>+VLOOKUP($B471,NIFTY_50!$B$63:$K$1238,10,0)</f>
        <v>-8.1437053297496287E-2</v>
      </c>
      <c r="V471" s="8">
        <f>+VLOOKUP($B471,NIFTY_BANK!$B$63:$K$1238,10,0)</f>
        <v>-6.6965344204629629E-2</v>
      </c>
      <c r="W471" s="8">
        <f>+VLOOKUP($B471,NIFTY_IT!$B$63:$K$1238,10,0)</f>
        <v>-7.3292081415823995E-2</v>
      </c>
      <c r="X471" s="8">
        <f>+VLOOKUP($B471,NIFTY_PHARMA!$B$63:$K$1238,10,0)</f>
        <v>-7.7383046078086548E-2</v>
      </c>
      <c r="Y471" s="8">
        <f>+VLOOKUP($B471,NIFTY_FMCG!$B$63:$K$1238,10,0)</f>
        <v>-7.3387935517420733E-2</v>
      </c>
      <c r="Z471" s="8">
        <f>+VLOOKUP($B471,NIFTY_METAL!$B$63:$K$1238,10,0)</f>
        <v>-8.4988246152958524E-2</v>
      </c>
      <c r="AA471" s="8">
        <f>+VLOOKUP($B471,NIFTY_ENERGY!$B$63:$K$1238,10,0)</f>
        <v>-0.10362044244162227</v>
      </c>
      <c r="AB471" s="8">
        <f>+VLOOKUP($B471,NIFTY_AUTO!$B$63:$K$1238,10,0)</f>
        <v>-0.16580822915955107</v>
      </c>
      <c r="AC471" s="8"/>
      <c r="AD471" s="16">
        <f t="shared" si="272"/>
        <v>8.2423484702329949E-2</v>
      </c>
      <c r="AE471" s="8">
        <f t="shared" si="273"/>
        <v>9.1164452485637426E-2</v>
      </c>
      <c r="AF471" s="8">
        <f t="shared" si="274"/>
        <v>0.11856672883760522</v>
      </c>
      <c r="AG471" s="8">
        <f t="shared" si="275"/>
        <v>0.12836952011432853</v>
      </c>
      <c r="AH471" s="8">
        <f t="shared" si="276"/>
        <v>0.10033984851609561</v>
      </c>
      <c r="AI471" s="8">
        <f t="shared" si="277"/>
        <v>0.1341245592559096</v>
      </c>
      <c r="AJ471" s="8">
        <f t="shared" si="278"/>
        <v>0.14540328879807635</v>
      </c>
      <c r="AK471" s="8">
        <f t="shared" si="279"/>
        <v>0.12192635844989366</v>
      </c>
      <c r="AL471" s="9">
        <v>0</v>
      </c>
      <c r="AM471" s="17">
        <f t="shared" si="256"/>
        <v>12.132464474311798</v>
      </c>
      <c r="AN471" s="13">
        <f t="shared" si="257"/>
        <v>10.969187800009502</v>
      </c>
      <c r="AO471" s="13">
        <f t="shared" si="258"/>
        <v>8.4340692351363504</v>
      </c>
      <c r="AP471" s="13">
        <f t="shared" si="259"/>
        <v>7.7900112044461913</v>
      </c>
      <c r="AQ471" s="13">
        <f t="shared" si="260"/>
        <v>9.9661302542188821</v>
      </c>
      <c r="AR471" s="13">
        <f t="shared" si="261"/>
        <v>7.4557560937963672</v>
      </c>
      <c r="AS471" s="13">
        <f t="shared" si="262"/>
        <v>6.8774235319306598</v>
      </c>
      <c r="AT471" s="13">
        <f t="shared" si="263"/>
        <v>8.2016719986839899</v>
      </c>
      <c r="AU471" s="9">
        <v>0</v>
      </c>
      <c r="AV471" s="18">
        <f t="shared" si="280"/>
        <v>1</v>
      </c>
      <c r="AW471" s="18">
        <f t="shared" si="281"/>
        <v>2</v>
      </c>
      <c r="AX471" s="18">
        <f t="shared" si="282"/>
        <v>4</v>
      </c>
      <c r="AY471" s="18">
        <f t="shared" si="283"/>
        <v>6</v>
      </c>
      <c r="AZ471" s="18">
        <f t="shared" si="284"/>
        <v>3</v>
      </c>
      <c r="BA471" s="18">
        <f t="shared" si="285"/>
        <v>7</v>
      </c>
      <c r="BB471" s="18">
        <f t="shared" si="286"/>
        <v>8</v>
      </c>
      <c r="BC471" s="18">
        <f t="shared" si="287"/>
        <v>5</v>
      </c>
      <c r="BD471" s="18">
        <f t="shared" si="288"/>
        <v>9</v>
      </c>
      <c r="BE471" s="8">
        <f t="shared" si="290"/>
        <v>1.5329002390269421E-2</v>
      </c>
    </row>
    <row r="472" spans="1:57" x14ac:dyDescent="0.25">
      <c r="A472" t="str">
        <f t="shared" si="289"/>
        <v/>
      </c>
      <c r="B472" s="1">
        <v>43431</v>
      </c>
      <c r="C472" s="9">
        <f t="shared" si="264"/>
        <v>0.25214821661235642</v>
      </c>
      <c r="D472" s="9">
        <f t="shared" si="265"/>
        <v>0.25766098024735778</v>
      </c>
      <c r="E472" s="9">
        <f t="shared" si="266"/>
        <v>0.23336721899063542</v>
      </c>
      <c r="F472" s="9">
        <f t="shared" si="267"/>
        <v>0</v>
      </c>
      <c r="G472" s="9">
        <f t="shared" si="268"/>
        <v>0.25682358414965045</v>
      </c>
      <c r="H472" s="9">
        <f t="shared" si="269"/>
        <v>0</v>
      </c>
      <c r="I472" s="9">
        <f t="shared" si="270"/>
        <v>0</v>
      </c>
      <c r="J472" s="9">
        <f t="shared" si="271"/>
        <v>0</v>
      </c>
      <c r="K472" s="9">
        <v>0</v>
      </c>
      <c r="L472" s="8">
        <f>+VLOOKUP($B472,NIFTY_50!$B$3:$I$1238,8,0)</f>
        <v>5.3628888094385818E-3</v>
      </c>
      <c r="M472" s="8">
        <f>+VLOOKUP($B472,NIFTY_BANK!$B$3:$I$41238,8,0)</f>
        <v>2.9394362350942949E-3</v>
      </c>
      <c r="N472" s="8">
        <f>+VLOOKUP($B472,NIFTY_IT!$B$3:$I$1238,8,0)</f>
        <v>1.4256277895817737E-2</v>
      </c>
      <c r="O472" s="8">
        <f>+VLOOKUP($B472,NIFTY_PHARMA!$B$3:$I$1238,8,0)</f>
        <v>-1.3294482871303193E-2</v>
      </c>
      <c r="P472" s="8">
        <f>+VLOOKUP($B472,NIFTY_FMCG!$B$3:$I$1238,8,0)</f>
        <v>-7.3658365485795851E-4</v>
      </c>
      <c r="Q472" s="8">
        <f>+VLOOKUP($B472,NIFTY_METAL!$B$3:$I$1238,8,0)</f>
        <v>-7.3605901081235103E-3</v>
      </c>
      <c r="R472" s="8">
        <f>+VLOOKUP($B472,NIFTY_ENERGY!$B$3:$I$1238,8,0)</f>
        <v>1.2996658002228045E-2</v>
      </c>
      <c r="S472" s="8">
        <f>+VLOOKUP($B472,NIFTY_AUTO!$B$3:$I$1238,8,0)</f>
        <v>6.7694457789246876E-4</v>
      </c>
      <c r="T472" s="8">
        <v>0</v>
      </c>
      <c r="U472" s="8">
        <f>+VLOOKUP($B472,NIFTY_50!$B$63:$K$1238,10,0)</f>
        <v>-7.7455699207873763E-2</v>
      </c>
      <c r="V472" s="8">
        <f>+VLOOKUP($B472,NIFTY_BANK!$B$63:$K$1238,10,0)</f>
        <v>-5.6543658283353504E-2</v>
      </c>
      <c r="W472" s="8">
        <f>+VLOOKUP($B472,NIFTY_IT!$B$63:$K$1238,10,0)</f>
        <v>-7.1570524639487765E-2</v>
      </c>
      <c r="X472" s="8">
        <f>+VLOOKUP($B472,NIFTY_PHARMA!$B$63:$K$1238,10,0)</f>
        <v>-0.10105886789456953</v>
      </c>
      <c r="Y472" s="8">
        <f>+VLOOKUP($B472,NIFTY_FMCG!$B$63:$K$1238,10,0)</f>
        <v>-8.2416545885384274E-2</v>
      </c>
      <c r="Z472" s="8">
        <f>+VLOOKUP($B472,NIFTY_METAL!$B$63:$K$1238,10,0)</f>
        <v>-7.8392062748770863E-2</v>
      </c>
      <c r="AA472" s="8">
        <f>+VLOOKUP($B472,NIFTY_ENERGY!$B$63:$K$1238,10,0)</f>
        <v>-0.10209197075671739</v>
      </c>
      <c r="AB472" s="8">
        <f>+VLOOKUP($B472,NIFTY_AUTO!$B$63:$K$1238,10,0)</f>
        <v>-0.16374685207489326</v>
      </c>
      <c r="AC472" s="8"/>
      <c r="AD472" s="16">
        <f t="shared" si="272"/>
        <v>8.2659698382342356E-2</v>
      </c>
      <c r="AE472" s="8">
        <f t="shared" si="273"/>
        <v>9.0966986435433189E-2</v>
      </c>
      <c r="AF472" s="8">
        <f t="shared" si="274"/>
        <v>0.11879542954832158</v>
      </c>
      <c r="AG472" s="8">
        <f t="shared" si="275"/>
        <v>0.12814720506945107</v>
      </c>
      <c r="AH472" s="8">
        <f t="shared" si="276"/>
        <v>9.98067184094837E-2</v>
      </c>
      <c r="AI472" s="8">
        <f t="shared" si="277"/>
        <v>0.13361166008023725</v>
      </c>
      <c r="AJ472" s="8">
        <f t="shared" si="278"/>
        <v>0.14556608871540486</v>
      </c>
      <c r="AK472" s="8">
        <f t="shared" si="279"/>
        <v>0.12197225547477848</v>
      </c>
      <c r="AL472" s="9">
        <v>0</v>
      </c>
      <c r="AM472" s="17">
        <f t="shared" si="256"/>
        <v>12.097793962113204</v>
      </c>
      <c r="AN472" s="13">
        <f t="shared" si="257"/>
        <v>10.992999099841379</v>
      </c>
      <c r="AO472" s="13">
        <f t="shared" si="258"/>
        <v>8.4178322667980847</v>
      </c>
      <c r="AP472" s="13">
        <f t="shared" si="259"/>
        <v>7.8035256364587644</v>
      </c>
      <c r="AQ472" s="13">
        <f t="shared" si="260"/>
        <v>10.019365589170391</v>
      </c>
      <c r="AR472" s="13">
        <f t="shared" si="261"/>
        <v>7.4843767332841624</v>
      </c>
      <c r="AS472" s="13">
        <f t="shared" si="262"/>
        <v>6.86973187797257</v>
      </c>
      <c r="AT472" s="13">
        <f t="shared" si="263"/>
        <v>8.1985857858206188</v>
      </c>
      <c r="AU472" s="9">
        <v>0</v>
      </c>
      <c r="AV472" s="18">
        <f t="shared" si="280"/>
        <v>1</v>
      </c>
      <c r="AW472" s="18">
        <f t="shared" si="281"/>
        <v>2</v>
      </c>
      <c r="AX472" s="18">
        <f t="shared" si="282"/>
        <v>4</v>
      </c>
      <c r="AY472" s="18">
        <f t="shared" si="283"/>
        <v>6</v>
      </c>
      <c r="AZ472" s="18">
        <f t="shared" si="284"/>
        <v>3</v>
      </c>
      <c r="BA472" s="18">
        <f t="shared" si="285"/>
        <v>7</v>
      </c>
      <c r="BB472" s="18">
        <f t="shared" si="286"/>
        <v>8</v>
      </c>
      <c r="BC472" s="18">
        <f t="shared" si="287"/>
        <v>5</v>
      </c>
      <c r="BD472" s="18">
        <f t="shared" si="288"/>
        <v>9</v>
      </c>
      <c r="BE472" s="8">
        <f t="shared" si="290"/>
        <v>5.2181488193985322E-3</v>
      </c>
    </row>
    <row r="473" spans="1:57" x14ac:dyDescent="0.25">
      <c r="A473" t="str">
        <f t="shared" si="289"/>
        <v/>
      </c>
      <c r="B473" s="1">
        <v>43432</v>
      </c>
      <c r="C473" s="9">
        <f t="shared" si="264"/>
        <v>0.25169156894514305</v>
      </c>
      <c r="D473" s="9">
        <f t="shared" si="265"/>
        <v>0.25630140407670837</v>
      </c>
      <c r="E473" s="9">
        <f t="shared" si="266"/>
        <v>0.23865239745456177</v>
      </c>
      <c r="F473" s="9">
        <f t="shared" si="267"/>
        <v>0</v>
      </c>
      <c r="G473" s="9">
        <f t="shared" si="268"/>
        <v>0.25335462952358689</v>
      </c>
      <c r="H473" s="9">
        <f t="shared" si="269"/>
        <v>0</v>
      </c>
      <c r="I473" s="9">
        <f t="shared" si="270"/>
        <v>0</v>
      </c>
      <c r="J473" s="9">
        <f t="shared" si="271"/>
        <v>0</v>
      </c>
      <c r="K473" s="9">
        <v>0</v>
      </c>
      <c r="L473" s="8">
        <f>+VLOOKUP($B473,NIFTY_50!$B$3:$I$1238,8,0)</f>
        <v>4.0475031818523188E-3</v>
      </c>
      <c r="M473" s="8">
        <f>+VLOOKUP($B473,NIFTY_BANK!$B$3:$I$41238,8,0)</f>
        <v>5.6158317292620552E-4</v>
      </c>
      <c r="N473" s="8">
        <f>+VLOOKUP($B473,NIFTY_IT!$B$3:$I$1238,8,0)</f>
        <v>2.8649558710330369E-2</v>
      </c>
      <c r="O473" s="8">
        <f>+VLOOKUP($B473,NIFTY_PHARMA!$B$3:$I$1238,8,0)</f>
        <v>-4.8187051868698871E-3</v>
      </c>
      <c r="P473" s="8">
        <f>+VLOOKUP($B473,NIFTY_FMCG!$B$3:$I$1238,8,0)</f>
        <v>-7.7172643075272829E-3</v>
      </c>
      <c r="Q473" s="8">
        <f>+VLOOKUP($B473,NIFTY_METAL!$B$3:$I$1238,8,0)</f>
        <v>-1.0019212753457407E-2</v>
      </c>
      <c r="R473" s="8">
        <f>+VLOOKUP($B473,NIFTY_ENERGY!$B$3:$I$1238,8,0)</f>
        <v>5.5796018497631383E-3</v>
      </c>
      <c r="S473" s="8">
        <f>+VLOOKUP($B473,NIFTY_AUTO!$B$3:$I$1238,8,0)</f>
        <v>-7.4795417348607618E-3</v>
      </c>
      <c r="T473" s="8">
        <v>0</v>
      </c>
      <c r="U473" s="8">
        <f>+VLOOKUP($B473,NIFTY_50!$B$63:$K$1238,10,0)</f>
        <v>-7.1665902345744215E-2</v>
      </c>
      <c r="V473" s="8">
        <f>+VLOOKUP($B473,NIFTY_BANK!$B$63:$K$1238,10,0)</f>
        <v>-4.9461643200752969E-2</v>
      </c>
      <c r="W473" s="8">
        <f>+VLOOKUP($B473,NIFTY_IT!$B$63:$K$1238,10,0)</f>
        <v>-4.109750623359687E-2</v>
      </c>
      <c r="X473" s="8">
        <f>+VLOOKUP($B473,NIFTY_PHARMA!$B$63:$K$1238,10,0)</f>
        <v>-0.10399459303654679</v>
      </c>
      <c r="Y473" s="8">
        <f>+VLOOKUP($B473,NIFTY_FMCG!$B$63:$K$1238,10,0)</f>
        <v>-8.346160556173976E-2</v>
      </c>
      <c r="Z473" s="8">
        <f>+VLOOKUP($B473,NIFTY_METAL!$B$63:$K$1238,10,0)</f>
        <v>-0.10450419395610699</v>
      </c>
      <c r="AA473" s="8">
        <f>+VLOOKUP($B473,NIFTY_ENERGY!$B$63:$K$1238,10,0)</f>
        <v>-0.10143307086614173</v>
      </c>
      <c r="AB473" s="8">
        <f>+VLOOKUP($B473,NIFTY_AUTO!$B$63:$K$1238,10,0)</f>
        <v>-0.16569292855177464</v>
      </c>
      <c r="AC473" s="8"/>
      <c r="AD473" s="16">
        <f t="shared" si="272"/>
        <v>8.2820893423117534E-2</v>
      </c>
      <c r="AE473" s="8">
        <f t="shared" si="273"/>
        <v>9.0774948613561252E-2</v>
      </c>
      <c r="AF473" s="8">
        <f t="shared" si="274"/>
        <v>0.12235716973746298</v>
      </c>
      <c r="AG473" s="8">
        <f t="shared" si="275"/>
        <v>0.12818665325963929</v>
      </c>
      <c r="AH473" s="8">
        <f t="shared" si="276"/>
        <v>9.9872617018421261E-2</v>
      </c>
      <c r="AI473" s="8">
        <f t="shared" si="277"/>
        <v>0.13234359678058447</v>
      </c>
      <c r="AJ473" s="8">
        <f t="shared" si="278"/>
        <v>0.1456004875516056</v>
      </c>
      <c r="AK473" s="8">
        <f t="shared" si="279"/>
        <v>0.12203862707315909</v>
      </c>
      <c r="AL473" s="9">
        <v>0</v>
      </c>
      <c r="AM473" s="17">
        <f t="shared" si="256"/>
        <v>12.074247918229691</v>
      </c>
      <c r="AN473" s="13">
        <f t="shared" si="257"/>
        <v>11.01625520337233</v>
      </c>
      <c r="AO473" s="13">
        <f t="shared" si="258"/>
        <v>8.1727944684047618</v>
      </c>
      <c r="AP473" s="13">
        <f t="shared" si="259"/>
        <v>7.8011241776826923</v>
      </c>
      <c r="AQ473" s="13">
        <f t="shared" si="260"/>
        <v>10.012754545277936</v>
      </c>
      <c r="AR473" s="13">
        <f t="shared" si="261"/>
        <v>7.5560890313259605</v>
      </c>
      <c r="AS473" s="13">
        <f t="shared" si="262"/>
        <v>6.8681088697973429</v>
      </c>
      <c r="AT473" s="13">
        <f t="shared" si="263"/>
        <v>8.194126925080246</v>
      </c>
      <c r="AU473" s="9">
        <v>0</v>
      </c>
      <c r="AV473" s="18">
        <f t="shared" si="280"/>
        <v>1</v>
      </c>
      <c r="AW473" s="18">
        <f t="shared" si="281"/>
        <v>2</v>
      </c>
      <c r="AX473" s="18">
        <f t="shared" si="282"/>
        <v>5</v>
      </c>
      <c r="AY473" s="18">
        <f t="shared" si="283"/>
        <v>6</v>
      </c>
      <c r="AZ473" s="18">
        <f t="shared" si="284"/>
        <v>3</v>
      </c>
      <c r="BA473" s="18">
        <f t="shared" si="285"/>
        <v>7</v>
      </c>
      <c r="BB473" s="18">
        <f t="shared" si="286"/>
        <v>8</v>
      </c>
      <c r="BC473" s="18">
        <f t="shared" si="287"/>
        <v>4</v>
      </c>
      <c r="BD473" s="18">
        <f t="shared" si="288"/>
        <v>9</v>
      </c>
      <c r="BE473" s="8">
        <f t="shared" si="290"/>
        <v>5.8691611421128938E-3</v>
      </c>
    </row>
    <row r="474" spans="1:57" x14ac:dyDescent="0.25">
      <c r="A474" t="str">
        <f t="shared" si="289"/>
        <v/>
      </c>
      <c r="B474" s="1">
        <v>43433</v>
      </c>
      <c r="C474" s="9">
        <f t="shared" si="264"/>
        <v>0.25258479010828822</v>
      </c>
      <c r="D474" s="9">
        <f t="shared" si="265"/>
        <v>0.25876158507065866</v>
      </c>
      <c r="E474" s="9">
        <f t="shared" si="266"/>
        <v>0.23392503748160684</v>
      </c>
      <c r="F474" s="9">
        <f t="shared" si="267"/>
        <v>0</v>
      </c>
      <c r="G474" s="9">
        <f t="shared" si="268"/>
        <v>0.2547285873394462</v>
      </c>
      <c r="H474" s="9">
        <f t="shared" si="269"/>
        <v>0</v>
      </c>
      <c r="I474" s="9">
        <f t="shared" si="270"/>
        <v>0</v>
      </c>
      <c r="J474" s="9">
        <f t="shared" si="271"/>
        <v>0</v>
      </c>
      <c r="K474" s="9">
        <v>0</v>
      </c>
      <c r="L474" s="8">
        <f>+VLOOKUP($B474,NIFTY_50!$B$3:$I$1238,8,0)</f>
        <v>1.21028814831039E-2</v>
      </c>
      <c r="M474" s="8">
        <f>+VLOOKUP($B474,NIFTY_BANK!$B$3:$I$41238,8,0)</f>
        <v>1.8204358236371121E-2</v>
      </c>
      <c r="N474" s="8">
        <f>+VLOOKUP($B474,NIFTY_IT!$B$3:$I$1238,8,0)</f>
        <v>-1.1453642135188513E-2</v>
      </c>
      <c r="O474" s="8">
        <f>+VLOOKUP($B474,NIFTY_PHARMA!$B$3:$I$1238,8,0)</f>
        <v>8.4139415183919208E-3</v>
      </c>
      <c r="P474" s="8">
        <f>+VLOOKUP($B474,NIFTY_FMCG!$B$3:$I$1238,8,0)</f>
        <v>1.3993046431242551E-2</v>
      </c>
      <c r="Q474" s="8">
        <f>+VLOOKUP($B474,NIFTY_METAL!$B$3:$I$1238,8,0)</f>
        <v>1.9198691217039876E-2</v>
      </c>
      <c r="R474" s="8">
        <f>+VLOOKUP($B474,NIFTY_ENERGY!$B$3:$I$1238,8,0)</f>
        <v>7.2311116563557043E-3</v>
      </c>
      <c r="S474" s="8">
        <f>+VLOOKUP($B474,NIFTY_AUTO!$B$3:$I$1238,8,0)</f>
        <v>1.1614421010394116E-2</v>
      </c>
      <c r="T474" s="8">
        <v>0</v>
      </c>
      <c r="U474" s="8">
        <f>+VLOOKUP($B474,NIFTY_50!$B$63:$K$1238,10,0)</f>
        <v>-7.1266982838619763E-2</v>
      </c>
      <c r="V474" s="8">
        <f>+VLOOKUP($B474,NIFTY_BANK!$B$63:$K$1238,10,0)</f>
        <v>-4.6864938685687307E-2</v>
      </c>
      <c r="W474" s="8">
        <f>+VLOOKUP($B474,NIFTY_IT!$B$63:$K$1238,10,0)</f>
        <v>-6.7654101366746322E-2</v>
      </c>
      <c r="X474" s="8">
        <f>+VLOOKUP($B474,NIFTY_PHARMA!$B$63:$K$1238,10,0)</f>
        <v>-9.9418477937825767E-2</v>
      </c>
      <c r="Y474" s="8">
        <f>+VLOOKUP($B474,NIFTY_FMCG!$B$63:$K$1238,10,0)</f>
        <v>-7.6866099662312393E-2</v>
      </c>
      <c r="Z474" s="8">
        <f>+VLOOKUP($B474,NIFTY_METAL!$B$63:$K$1238,10,0)</f>
        <v>-0.10065527831637344</v>
      </c>
      <c r="AA474" s="8">
        <f>+VLOOKUP($B474,NIFTY_ENERGY!$B$63:$K$1238,10,0)</f>
        <v>-0.10662388778003695</v>
      </c>
      <c r="AB474" s="8">
        <f>+VLOOKUP($B474,NIFTY_AUTO!$B$63:$K$1238,10,0)</f>
        <v>-0.16295464158529316</v>
      </c>
      <c r="AC474" s="8"/>
      <c r="AD474" s="16">
        <f t="shared" si="272"/>
        <v>8.2889333534465676E-2</v>
      </c>
      <c r="AE474" s="8">
        <f t="shared" si="273"/>
        <v>9.130993702663541E-2</v>
      </c>
      <c r="AF474" s="8">
        <f t="shared" si="274"/>
        <v>0.12156743586322226</v>
      </c>
      <c r="AG474" s="8">
        <f t="shared" si="275"/>
        <v>0.12848508344140036</v>
      </c>
      <c r="AH474" s="8">
        <f t="shared" si="276"/>
        <v>0.10071466284688102</v>
      </c>
      <c r="AI474" s="8">
        <f t="shared" si="277"/>
        <v>0.13295670767353734</v>
      </c>
      <c r="AJ474" s="8">
        <f t="shared" si="278"/>
        <v>0.14512622836896216</v>
      </c>
      <c r="AK474" s="8">
        <f t="shared" si="279"/>
        <v>0.12238458358018107</v>
      </c>
      <c r="AL474" s="9">
        <v>0</v>
      </c>
      <c r="AM474" s="17">
        <f t="shared" si="256"/>
        <v>12.064278446444456</v>
      </c>
      <c r="AN474" s="13">
        <f t="shared" si="257"/>
        <v>10.951710542832778</v>
      </c>
      <c r="AO474" s="13">
        <f t="shared" si="258"/>
        <v>8.2258870798683148</v>
      </c>
      <c r="AP474" s="13">
        <f t="shared" si="259"/>
        <v>7.783004635367508</v>
      </c>
      <c r="AQ474" s="13">
        <f t="shared" si="260"/>
        <v>9.929040834106992</v>
      </c>
      <c r="AR474" s="13">
        <f t="shared" si="261"/>
        <v>7.5212452045323328</v>
      </c>
      <c r="AS474" s="13">
        <f t="shared" si="262"/>
        <v>6.8905532186618021</v>
      </c>
      <c r="AT474" s="13">
        <f t="shared" si="263"/>
        <v>8.1709637827450976</v>
      </c>
      <c r="AU474" s="9">
        <v>0</v>
      </c>
      <c r="AV474" s="18">
        <f t="shared" si="280"/>
        <v>1</v>
      </c>
      <c r="AW474" s="18">
        <f t="shared" si="281"/>
        <v>2</v>
      </c>
      <c r="AX474" s="18">
        <f t="shared" si="282"/>
        <v>4</v>
      </c>
      <c r="AY474" s="18">
        <f t="shared" si="283"/>
        <v>6</v>
      </c>
      <c r="AZ474" s="18">
        <f t="shared" si="284"/>
        <v>3</v>
      </c>
      <c r="BA474" s="18">
        <f t="shared" si="285"/>
        <v>7</v>
      </c>
      <c r="BB474" s="18">
        <f t="shared" si="286"/>
        <v>8</v>
      </c>
      <c r="BC474" s="18">
        <f t="shared" si="287"/>
        <v>5</v>
      </c>
      <c r="BD474" s="18">
        <f t="shared" si="288"/>
        <v>9</v>
      </c>
      <c r="BE474" s="8">
        <f t="shared" si="290"/>
        <v>8.5237597448813308E-3</v>
      </c>
    </row>
    <row r="475" spans="1:57" x14ac:dyDescent="0.25">
      <c r="A475" t="str">
        <f t="shared" si="289"/>
        <v>Y</v>
      </c>
      <c r="B475" s="1">
        <v>43434</v>
      </c>
      <c r="C475" s="9">
        <f t="shared" si="264"/>
        <v>0.25</v>
      </c>
      <c r="D475" s="9">
        <f t="shared" si="265"/>
        <v>0.25</v>
      </c>
      <c r="E475" s="9">
        <f t="shared" si="266"/>
        <v>0.25</v>
      </c>
      <c r="F475" s="9">
        <f t="shared" si="267"/>
        <v>0</v>
      </c>
      <c r="G475" s="9">
        <f t="shared" si="268"/>
        <v>0.25</v>
      </c>
      <c r="H475" s="9">
        <f t="shared" si="269"/>
        <v>0</v>
      </c>
      <c r="I475" s="9">
        <f t="shared" si="270"/>
        <v>0</v>
      </c>
      <c r="J475" s="9">
        <f t="shared" si="271"/>
        <v>0</v>
      </c>
      <c r="K475" s="9">
        <v>0</v>
      </c>
      <c r="L475" s="8">
        <f>+VLOOKUP($B475,NIFTY_50!$B$3:$I$1238,8,0)</f>
        <v>1.6622615966919163E-3</v>
      </c>
      <c r="M475" s="8">
        <f>+VLOOKUP($B475,NIFTY_BANK!$B$3:$I$41238,8,0)</f>
        <v>-2.8452538270797856E-3</v>
      </c>
      <c r="N475" s="8">
        <f>+VLOOKUP($B475,NIFTY_IT!$B$3:$I$1238,8,0)</f>
        <v>1.194237243610563E-2</v>
      </c>
      <c r="O475" s="8">
        <f>+VLOOKUP($B475,NIFTY_PHARMA!$B$3:$I$1238,8,0)</f>
        <v>2.0356080148284272E-2</v>
      </c>
      <c r="P475" s="8">
        <f>+VLOOKUP($B475,NIFTY_FMCG!$B$3:$I$1238,8,0)</f>
        <v>9.4026337341901467E-4</v>
      </c>
      <c r="Q475" s="8">
        <f>+VLOOKUP($B475,NIFTY_METAL!$B$3:$I$1238,8,0)</f>
        <v>-4.2489574317412515E-3</v>
      </c>
      <c r="R475" s="8">
        <f>+VLOOKUP($B475,NIFTY_ENERGY!$B$3:$I$1238,8,0)</f>
        <v>-3.0589021360114543E-3</v>
      </c>
      <c r="S475" s="8">
        <f>+VLOOKUP($B475,NIFTY_AUTO!$B$3:$I$1238,8,0)</f>
        <v>7.4004846719770701E-3</v>
      </c>
      <c r="T475" s="8">
        <v>0</v>
      </c>
      <c r="U475" s="8">
        <f>+VLOOKUP($B475,NIFTY_50!$B$63:$K$1238,10,0)</f>
        <v>-7.3412275844443542E-2</v>
      </c>
      <c r="V475" s="8">
        <f>+VLOOKUP($B475,NIFTY_BANK!$B$63:$K$1238,10,0)</f>
        <v>-4.9760078387953155E-2</v>
      </c>
      <c r="W475" s="8">
        <f>+VLOOKUP($B475,NIFTY_IT!$B$63:$K$1238,10,0)</f>
        <v>-6.0642813826561559E-2</v>
      </c>
      <c r="X475" s="8">
        <f>+VLOOKUP($B475,NIFTY_PHARMA!$B$63:$K$1238,10,0)</f>
        <v>-7.705395966209283E-2</v>
      </c>
      <c r="Y475" s="8">
        <f>+VLOOKUP($B475,NIFTY_FMCG!$B$63:$K$1238,10,0)</f>
        <v>-7.2877284820284105E-2</v>
      </c>
      <c r="Z475" s="8">
        <f>+VLOOKUP($B475,NIFTY_METAL!$B$63:$K$1238,10,0)</f>
        <v>-0.12049649727565881</v>
      </c>
      <c r="AA475" s="8">
        <f>+VLOOKUP($B475,NIFTY_ENERGY!$B$63:$K$1238,10,0)</f>
        <v>-0.1180729790384597</v>
      </c>
      <c r="AB475" s="8">
        <f>+VLOOKUP($B475,NIFTY_AUTO!$B$63:$K$1238,10,0)</f>
        <v>-0.1606234975077302</v>
      </c>
      <c r="AC475" s="8"/>
      <c r="AD475" s="16">
        <f t="shared" si="272"/>
        <v>8.2777463352208758E-2</v>
      </c>
      <c r="AE475" s="8">
        <f t="shared" si="273"/>
        <v>9.1329332874017732E-2</v>
      </c>
      <c r="AF475" s="8">
        <f t="shared" si="274"/>
        <v>0.12213339393146909</v>
      </c>
      <c r="AG475" s="8">
        <f t="shared" si="275"/>
        <v>0.13027599210514698</v>
      </c>
      <c r="AH475" s="8">
        <f t="shared" si="276"/>
        <v>0.10071375519308293</v>
      </c>
      <c r="AI475" s="8">
        <f t="shared" si="277"/>
        <v>0.13146848691357507</v>
      </c>
      <c r="AJ475" s="8">
        <f t="shared" si="278"/>
        <v>0.14466275507075718</v>
      </c>
      <c r="AK475" s="8">
        <f t="shared" si="279"/>
        <v>0.12258485286340949</v>
      </c>
      <c r="AL475" s="9">
        <v>0</v>
      </c>
      <c r="AM475" s="17">
        <f t="shared" si="256"/>
        <v>12.080582799996092</v>
      </c>
      <c r="AN475" s="13">
        <f t="shared" si="257"/>
        <v>10.949384699649874</v>
      </c>
      <c r="AO475" s="13">
        <f t="shared" si="258"/>
        <v>8.1877688632898824</v>
      </c>
      <c r="AP475" s="13">
        <f t="shared" si="259"/>
        <v>7.6760113958133633</v>
      </c>
      <c r="AQ475" s="13">
        <f t="shared" si="260"/>
        <v>9.9291303167363232</v>
      </c>
      <c r="AR475" s="13">
        <f t="shared" si="261"/>
        <v>7.6063855565431533</v>
      </c>
      <c r="AS475" s="13">
        <f t="shared" si="262"/>
        <v>6.912629304694784</v>
      </c>
      <c r="AT475" s="13">
        <f t="shared" si="263"/>
        <v>8.1576147186329191</v>
      </c>
      <c r="AU475" s="9">
        <v>0</v>
      </c>
      <c r="AV475" s="18">
        <f t="shared" si="280"/>
        <v>1</v>
      </c>
      <c r="AW475" s="18">
        <f t="shared" si="281"/>
        <v>2</v>
      </c>
      <c r="AX475" s="18">
        <f t="shared" si="282"/>
        <v>4</v>
      </c>
      <c r="AY475" s="18">
        <f t="shared" si="283"/>
        <v>6</v>
      </c>
      <c r="AZ475" s="18">
        <f t="shared" si="284"/>
        <v>3</v>
      </c>
      <c r="BA475" s="18">
        <f t="shared" si="285"/>
        <v>7</v>
      </c>
      <c r="BB475" s="18">
        <f t="shared" si="286"/>
        <v>8</v>
      </c>
      <c r="BC475" s="18">
        <f t="shared" si="287"/>
        <v>5</v>
      </c>
      <c r="BD475" s="18">
        <f t="shared" si="288"/>
        <v>9</v>
      </c>
      <c r="BE475" s="8">
        <f t="shared" si="290"/>
        <v>2.7167514868553385E-3</v>
      </c>
    </row>
    <row r="476" spans="1:57" x14ac:dyDescent="0.25">
      <c r="A476" t="str">
        <f t="shared" si="289"/>
        <v/>
      </c>
      <c r="B476" s="1">
        <v>43437</v>
      </c>
      <c r="C476" s="9">
        <f t="shared" si="264"/>
        <v>0.24923828120218736</v>
      </c>
      <c r="D476" s="9">
        <f t="shared" si="265"/>
        <v>0.24902791119442144</v>
      </c>
      <c r="E476" s="9">
        <f t="shared" si="266"/>
        <v>0.25081954702038489</v>
      </c>
      <c r="F476" s="9">
        <f t="shared" si="267"/>
        <v>0</v>
      </c>
      <c r="G476" s="9">
        <f t="shared" si="268"/>
        <v>0.25091426058300637</v>
      </c>
      <c r="H476" s="9">
        <f t="shared" si="269"/>
        <v>0</v>
      </c>
      <c r="I476" s="9">
        <f t="shared" si="270"/>
        <v>0</v>
      </c>
      <c r="J476" s="9">
        <f t="shared" si="271"/>
        <v>0</v>
      </c>
      <c r="K476" s="9">
        <v>0</v>
      </c>
      <c r="L476" s="8">
        <f>+VLOOKUP($B476,NIFTY_50!$B$3:$I$1238,8,0)</f>
        <v>6.4357459719133203E-4</v>
      </c>
      <c r="M476" s="8">
        <f>+VLOOKUP($B476,NIFTY_BANK!$B$3:$I$41238,8,0)</f>
        <v>-2.0102036447977589E-4</v>
      </c>
      <c r="N476" s="8">
        <f>+VLOOKUP($B476,NIFTY_IT!$B$3:$I$1238,8,0)</f>
        <v>6.9920515369192859E-3</v>
      </c>
      <c r="O476" s="8">
        <f>+VLOOKUP($B476,NIFTY_PHARMA!$B$3:$I$1238,8,0)</f>
        <v>-2.396584624341036E-2</v>
      </c>
      <c r="P476" s="8">
        <f>+VLOOKUP($B476,NIFTY_FMCG!$B$3:$I$1238,8,0)</f>
        <v>7.3723082029790721E-3</v>
      </c>
      <c r="Q476" s="8">
        <f>+VLOOKUP($B476,NIFTY_METAL!$B$3:$I$1238,8,0)</f>
        <v>2.0260766495456384E-2</v>
      </c>
      <c r="R476" s="8">
        <f>+VLOOKUP($B476,NIFTY_ENERGY!$B$3:$I$1238,8,0)</f>
        <v>6.8416882214750174E-4</v>
      </c>
      <c r="S476" s="8">
        <f>+VLOOKUP($B476,NIFTY_AUTO!$B$3:$I$1238,8,0)</f>
        <v>-1.0355763629695813E-3</v>
      </c>
      <c r="T476" s="8">
        <v>0</v>
      </c>
      <c r="U476" s="8">
        <f>+VLOOKUP($B476,NIFTY_50!$B$63:$K$1238,10,0)</f>
        <v>-6.9120502228038228E-2</v>
      </c>
      <c r="V476" s="8">
        <f>+VLOOKUP($B476,NIFTY_BANK!$B$63:$K$1238,10,0)</f>
        <v>-4.8417841490074109E-2</v>
      </c>
      <c r="W476" s="8">
        <f>+VLOOKUP($B476,NIFTY_IT!$B$63:$K$1238,10,0)</f>
        <v>-5.0534784331028537E-2</v>
      </c>
      <c r="X476" s="8">
        <f>+VLOOKUP($B476,NIFTY_PHARMA!$B$63:$K$1238,10,0)</f>
        <v>-9.5465036117855062E-2</v>
      </c>
      <c r="Y476" s="8">
        <f>+VLOOKUP($B476,NIFTY_FMCG!$B$63:$K$1238,10,0)</f>
        <v>-6.4177479833238738E-2</v>
      </c>
      <c r="Z476" s="8">
        <f>+VLOOKUP($B476,NIFTY_METAL!$B$63:$K$1238,10,0)</f>
        <v>-0.11183721762099996</v>
      </c>
      <c r="AA476" s="8">
        <f>+VLOOKUP($B476,NIFTY_ENERGY!$B$63:$K$1238,10,0)</f>
        <v>-0.10748476800986306</v>
      </c>
      <c r="AB476" s="8">
        <f>+VLOOKUP($B476,NIFTY_AUTO!$B$63:$K$1238,10,0)</f>
        <v>-0.16247857721022141</v>
      </c>
      <c r="AC476" s="8"/>
      <c r="AD476" s="16">
        <f t="shared" si="272"/>
        <v>8.2749145959692794E-2</v>
      </c>
      <c r="AE476" s="8">
        <f t="shared" si="273"/>
        <v>9.1327022913036321E-2</v>
      </c>
      <c r="AF476" s="8">
        <f t="shared" si="274"/>
        <v>0.12234795686763465</v>
      </c>
      <c r="AG476" s="8">
        <f t="shared" si="275"/>
        <v>0.13219768158640846</v>
      </c>
      <c r="AH476" s="8">
        <f t="shared" si="276"/>
        <v>0.10106365581442547</v>
      </c>
      <c r="AI476" s="8">
        <f t="shared" si="277"/>
        <v>0.13276094668385138</v>
      </c>
      <c r="AJ476" s="8">
        <f t="shared" si="278"/>
        <v>0.1443780318569001</v>
      </c>
      <c r="AK476" s="8">
        <f t="shared" si="279"/>
        <v>0.12253372442791242</v>
      </c>
      <c r="AL476" s="9">
        <v>0</v>
      </c>
      <c r="AM476" s="17">
        <f t="shared" si="256"/>
        <v>12.084716868100381</v>
      </c>
      <c r="AN476" s="13">
        <f t="shared" si="257"/>
        <v>10.949661645625117</v>
      </c>
      <c r="AO476" s="13">
        <f t="shared" si="258"/>
        <v>8.1734098844157757</v>
      </c>
      <c r="AP476" s="13">
        <f t="shared" si="259"/>
        <v>7.564429179087905</v>
      </c>
      <c r="AQ476" s="13">
        <f t="shared" si="260"/>
        <v>9.8947538750845734</v>
      </c>
      <c r="AR476" s="13">
        <f t="shared" si="261"/>
        <v>7.5323355623648682</v>
      </c>
      <c r="AS476" s="13">
        <f t="shared" si="262"/>
        <v>6.926261475784262</v>
      </c>
      <c r="AT476" s="13">
        <f t="shared" si="263"/>
        <v>8.161018565858642</v>
      </c>
      <c r="AU476" s="9">
        <v>0</v>
      </c>
      <c r="AV476" s="18">
        <f t="shared" si="280"/>
        <v>1</v>
      </c>
      <c r="AW476" s="18">
        <f t="shared" si="281"/>
        <v>2</v>
      </c>
      <c r="AX476" s="18">
        <f t="shared" si="282"/>
        <v>4</v>
      </c>
      <c r="AY476" s="18">
        <f t="shared" si="283"/>
        <v>6</v>
      </c>
      <c r="AZ476" s="18">
        <f t="shared" si="284"/>
        <v>3</v>
      </c>
      <c r="BA476" s="18">
        <f t="shared" si="285"/>
        <v>7</v>
      </c>
      <c r="BB476" s="18">
        <f t="shared" si="286"/>
        <v>8</v>
      </c>
      <c r="BC476" s="18">
        <f t="shared" si="287"/>
        <v>5</v>
      </c>
      <c r="BD476" s="18">
        <f t="shared" si="288"/>
        <v>9</v>
      </c>
      <c r="BE476" s="8">
        <f t="shared" si="290"/>
        <v>3.7017284931524785E-3</v>
      </c>
    </row>
    <row r="477" spans="1:57" x14ac:dyDescent="0.25">
      <c r="A477" t="str">
        <f t="shared" si="289"/>
        <v/>
      </c>
      <c r="B477" s="1">
        <v>43438</v>
      </c>
      <c r="C477" s="9">
        <f t="shared" si="264"/>
        <v>0.2486789878704635</v>
      </c>
      <c r="D477" s="9">
        <f t="shared" si="265"/>
        <v>0.24727793722665461</v>
      </c>
      <c r="E477" s="9">
        <f t="shared" si="266"/>
        <v>0.25499625850254037</v>
      </c>
      <c r="F477" s="9">
        <f t="shared" si="267"/>
        <v>0</v>
      </c>
      <c r="G477" s="9">
        <f t="shared" si="268"/>
        <v>0.24904681640034138</v>
      </c>
      <c r="H477" s="9">
        <f t="shared" si="269"/>
        <v>0</v>
      </c>
      <c r="I477" s="9">
        <f t="shared" si="270"/>
        <v>0</v>
      </c>
      <c r="J477" s="9">
        <f t="shared" si="271"/>
        <v>0</v>
      </c>
      <c r="K477" s="9">
        <v>0</v>
      </c>
      <c r="L477" s="8">
        <f>+VLOOKUP($B477,NIFTY_50!$B$3:$I$1238,8,0)</f>
        <v>-1.3092913747559942E-3</v>
      </c>
      <c r="M477" s="8">
        <f>+VLOOKUP($B477,NIFTY_BANK!$B$3:$I$41238,8,0)</f>
        <v>-6.0969820404318531E-3</v>
      </c>
      <c r="N477" s="8">
        <f>+VLOOKUP($B477,NIFTY_IT!$B$3:$I$1238,8,0)</f>
        <v>1.7604678299096399E-2</v>
      </c>
      <c r="O477" s="8">
        <f>+VLOOKUP($B477,NIFTY_PHARMA!$B$3:$I$1238,8,0)</f>
        <v>1.2150131442330014E-3</v>
      </c>
      <c r="P477" s="8">
        <f>+VLOOKUP($B477,NIFTY_FMCG!$B$3:$I$1238,8,0)</f>
        <v>-6.5127099166840674E-3</v>
      </c>
      <c r="Q477" s="8">
        <f>+VLOOKUP($B477,NIFTY_METAL!$B$3:$I$1238,8,0)</f>
        <v>2.6952925321810373E-3</v>
      </c>
      <c r="R477" s="8">
        <f>+VLOOKUP($B477,NIFTY_ENERGY!$B$3:$I$1238,8,0)</f>
        <v>1.7685532397313519E-3</v>
      </c>
      <c r="S477" s="8">
        <f>+VLOOKUP($B477,NIFTY_AUTO!$B$3:$I$1238,8,0)</f>
        <v>-5.2264432110230574E-3</v>
      </c>
      <c r="T477" s="8">
        <v>0</v>
      </c>
      <c r="U477" s="8">
        <f>+VLOOKUP($B477,NIFTY_50!$B$63:$K$1238,10,0)</f>
        <v>-6.9137092354069507E-2</v>
      </c>
      <c r="V477" s="8">
        <f>+VLOOKUP($B477,NIFTY_BANK!$B$63:$K$1238,10,0)</f>
        <v>-5.0152562426053926E-2</v>
      </c>
      <c r="W477" s="8">
        <f>+VLOOKUP($B477,NIFTY_IT!$B$63:$K$1238,10,0)</f>
        <v>-3.4124605195800406E-2</v>
      </c>
      <c r="X477" s="8">
        <f>+VLOOKUP($B477,NIFTY_PHARMA!$B$63:$K$1238,10,0)</f>
        <v>-0.1043569766465261</v>
      </c>
      <c r="Y477" s="8">
        <f>+VLOOKUP($B477,NIFTY_FMCG!$B$63:$K$1238,10,0)</f>
        <v>-8.200280112044811E-2</v>
      </c>
      <c r="Z477" s="8">
        <f>+VLOOKUP($B477,NIFTY_METAL!$B$63:$K$1238,10,0)</f>
        <v>-0.11697541811038659</v>
      </c>
      <c r="AA477" s="8">
        <f>+VLOOKUP($B477,NIFTY_ENERGY!$B$63:$K$1238,10,0)</f>
        <v>-0.1003408393168177</v>
      </c>
      <c r="AB477" s="8">
        <f>+VLOOKUP($B477,NIFTY_AUTO!$B$63:$K$1238,10,0)</f>
        <v>-0.16310549075184411</v>
      </c>
      <c r="AC477" s="8"/>
      <c r="AD477" s="16">
        <f t="shared" si="272"/>
        <v>8.274918530758392E-2</v>
      </c>
      <c r="AE477" s="8">
        <f t="shared" si="273"/>
        <v>9.1415019975196632E-2</v>
      </c>
      <c r="AF477" s="8">
        <f t="shared" si="274"/>
        <v>0.12368945521640377</v>
      </c>
      <c r="AG477" s="8">
        <f t="shared" si="275"/>
        <v>0.13161234973711719</v>
      </c>
      <c r="AH477" s="8">
        <f t="shared" si="276"/>
        <v>0.10024068317131961</v>
      </c>
      <c r="AI477" s="8">
        <f t="shared" si="277"/>
        <v>0.13243279467315569</v>
      </c>
      <c r="AJ477" s="8">
        <f t="shared" si="278"/>
        <v>0.14434574558341629</v>
      </c>
      <c r="AK477" s="8">
        <f t="shared" si="279"/>
        <v>0.1225463024547465</v>
      </c>
      <c r="AL477" s="9">
        <v>0</v>
      </c>
      <c r="AM477" s="17">
        <f t="shared" si="256"/>
        <v>12.084711121722071</v>
      </c>
      <c r="AN477" s="13">
        <f t="shared" si="257"/>
        <v>10.939121385865551</v>
      </c>
      <c r="AO477" s="13">
        <f t="shared" si="258"/>
        <v>8.0847635576567676</v>
      </c>
      <c r="AP477" s="13">
        <f t="shared" si="259"/>
        <v>7.5980711688333376</v>
      </c>
      <c r="AQ477" s="13">
        <f t="shared" si="260"/>
        <v>9.9759894721678766</v>
      </c>
      <c r="AR477" s="13">
        <f t="shared" si="261"/>
        <v>7.5509997540110918</v>
      </c>
      <c r="AS477" s="13">
        <f t="shared" si="262"/>
        <v>6.9278106947884224</v>
      </c>
      <c r="AT477" s="13">
        <f t="shared" si="263"/>
        <v>8.1601809272807451</v>
      </c>
      <c r="AU477" s="9">
        <v>0</v>
      </c>
      <c r="AV477" s="18">
        <f t="shared" si="280"/>
        <v>1</v>
      </c>
      <c r="AW477" s="18">
        <f t="shared" si="281"/>
        <v>2</v>
      </c>
      <c r="AX477" s="18">
        <f t="shared" si="282"/>
        <v>5</v>
      </c>
      <c r="AY477" s="18">
        <f t="shared" si="283"/>
        <v>6</v>
      </c>
      <c r="AZ477" s="18">
        <f t="shared" si="284"/>
        <v>3</v>
      </c>
      <c r="BA477" s="18">
        <f t="shared" si="285"/>
        <v>7</v>
      </c>
      <c r="BB477" s="18">
        <f t="shared" si="286"/>
        <v>8</v>
      </c>
      <c r="BC477" s="18">
        <f t="shared" si="287"/>
        <v>4</v>
      </c>
      <c r="BD477" s="18">
        <f t="shared" si="288"/>
        <v>9</v>
      </c>
      <c r="BE477" s="8">
        <f t="shared" si="290"/>
        <v>9.3682140932688381E-4</v>
      </c>
    </row>
    <row r="478" spans="1:57" x14ac:dyDescent="0.25">
      <c r="A478" t="str">
        <f t="shared" si="289"/>
        <v/>
      </c>
      <c r="B478" s="1">
        <v>43439</v>
      </c>
      <c r="C478" s="9">
        <f t="shared" si="264"/>
        <v>0.24797350572875509</v>
      </c>
      <c r="D478" s="9">
        <f t="shared" si="265"/>
        <v>0.24693469642536089</v>
      </c>
      <c r="E478" s="9">
        <f t="shared" si="266"/>
        <v>0.25653797525414834</v>
      </c>
      <c r="F478" s="9">
        <f t="shared" si="267"/>
        <v>0</v>
      </c>
      <c r="G478" s="9">
        <f t="shared" si="268"/>
        <v>0.24855382259173583</v>
      </c>
      <c r="H478" s="9">
        <f t="shared" si="269"/>
        <v>0</v>
      </c>
      <c r="I478" s="9">
        <f t="shared" si="270"/>
        <v>0</v>
      </c>
      <c r="J478" s="9">
        <f t="shared" si="271"/>
        <v>0</v>
      </c>
      <c r="K478" s="9">
        <v>0</v>
      </c>
      <c r="L478" s="8">
        <f>+VLOOKUP($B478,NIFTY_50!$B$3:$I$1238,8,0)</f>
        <v>-7.9672478034868988E-3</v>
      </c>
      <c r="M478" s="8">
        <f>+VLOOKUP($B478,NIFTY_BANK!$B$3:$I$41238,8,0)</f>
        <v>-6.525859937513645E-3</v>
      </c>
      <c r="N478" s="8">
        <f>+VLOOKUP($B478,NIFTY_IT!$B$3:$I$1238,8,0)</f>
        <v>8.7000580003882E-4</v>
      </c>
      <c r="O478" s="8">
        <f>+VLOOKUP($B478,NIFTY_PHARMA!$B$3:$I$1238,8,0)</f>
        <v>-2.7823132253651517E-2</v>
      </c>
      <c r="P478" s="8">
        <f>+VLOOKUP($B478,NIFTY_FMCG!$B$3:$I$1238,8,0)</f>
        <v>-7.1142626871018022E-3</v>
      </c>
      <c r="Q478" s="8">
        <f>+VLOOKUP($B478,NIFTY_METAL!$B$3:$I$1238,8,0)</f>
        <v>-3.61341551961194E-2</v>
      </c>
      <c r="R478" s="8">
        <f>+VLOOKUP($B478,NIFTY_ENERGY!$B$3:$I$1238,8,0)</f>
        <v>-4.5162997680913142E-3</v>
      </c>
      <c r="S478" s="8">
        <f>+VLOOKUP($B478,NIFTY_AUTO!$B$3:$I$1238,8,0)</f>
        <v>-2.3805388506545788E-2</v>
      </c>
      <c r="T478" s="8">
        <v>0</v>
      </c>
      <c r="U478" s="8">
        <f>+VLOOKUP($B478,NIFTY_50!$B$63:$K$1238,10,0)</f>
        <v>-7.6846025426993703E-2</v>
      </c>
      <c r="V478" s="8">
        <f>+VLOOKUP($B478,NIFTY_BANK!$B$63:$K$1238,10,0)</f>
        <v>-5.4955589013514938E-2</v>
      </c>
      <c r="W478" s="8">
        <f>+VLOOKUP($B478,NIFTY_IT!$B$63:$K$1238,10,0)</f>
        <v>-5.0498374590485229E-2</v>
      </c>
      <c r="X478" s="8">
        <f>+VLOOKUP($B478,NIFTY_PHARMA!$B$63:$K$1238,10,0)</f>
        <v>-0.15193509736838307</v>
      </c>
      <c r="Y478" s="8">
        <f>+VLOOKUP($B478,NIFTY_FMCG!$B$63:$K$1238,10,0)</f>
        <v>-9.0404432486467567E-2</v>
      </c>
      <c r="Z478" s="8">
        <f>+VLOOKUP($B478,NIFTY_METAL!$B$63:$K$1238,10,0)</f>
        <v>-0.14377856152822188</v>
      </c>
      <c r="AA478" s="8">
        <f>+VLOOKUP($B478,NIFTY_ENERGY!$B$63:$K$1238,10,0)</f>
        <v>-9.3177060204275852E-2</v>
      </c>
      <c r="AB478" s="8">
        <f>+VLOOKUP($B478,NIFTY_AUTO!$B$63:$K$1238,10,0)</f>
        <v>-0.18315053250675573</v>
      </c>
      <c r="AC478" s="8"/>
      <c r="AD478" s="16">
        <f t="shared" si="272"/>
        <v>8.3013026256287051E-2</v>
      </c>
      <c r="AE478" s="8">
        <f t="shared" si="273"/>
        <v>9.1590777346241561E-2</v>
      </c>
      <c r="AF478" s="8">
        <f t="shared" si="274"/>
        <v>0.12227413825628854</v>
      </c>
      <c r="AG478" s="8">
        <f t="shared" si="275"/>
        <v>0.13096500342167886</v>
      </c>
      <c r="AH478" s="8">
        <f t="shared" si="276"/>
        <v>0.10034442194877717</v>
      </c>
      <c r="AI478" s="8">
        <f t="shared" si="277"/>
        <v>0.13667272053898141</v>
      </c>
      <c r="AJ478" s="8">
        <f t="shared" si="278"/>
        <v>0.14396631849510996</v>
      </c>
      <c r="AK478" s="8">
        <f t="shared" si="279"/>
        <v>0.12426228848068457</v>
      </c>
      <c r="AL478" s="9">
        <v>0</v>
      </c>
      <c r="AM478" s="17">
        <f t="shared" si="256"/>
        <v>12.046302190124822</v>
      </c>
      <c r="AN478" s="13">
        <f t="shared" si="257"/>
        <v>10.918129848594795</v>
      </c>
      <c r="AO478" s="13">
        <f t="shared" si="258"/>
        <v>8.1783442865406588</v>
      </c>
      <c r="AP478" s="13">
        <f t="shared" si="259"/>
        <v>7.6356276400056071</v>
      </c>
      <c r="AQ478" s="13">
        <f t="shared" si="260"/>
        <v>9.9656760244278466</v>
      </c>
      <c r="AR478" s="13">
        <f t="shared" si="261"/>
        <v>7.3167490634298362</v>
      </c>
      <c r="AS478" s="13">
        <f t="shared" si="262"/>
        <v>6.946069125425101</v>
      </c>
      <c r="AT478" s="13">
        <f t="shared" si="263"/>
        <v>8.0474938312072108</v>
      </c>
      <c r="AU478" s="9">
        <v>0</v>
      </c>
      <c r="AV478" s="18">
        <f t="shared" si="280"/>
        <v>1</v>
      </c>
      <c r="AW478" s="18">
        <f t="shared" si="281"/>
        <v>2</v>
      </c>
      <c r="AX478" s="18">
        <f t="shared" si="282"/>
        <v>4</v>
      </c>
      <c r="AY478" s="18">
        <f t="shared" si="283"/>
        <v>6</v>
      </c>
      <c r="AZ478" s="18">
        <f t="shared" si="284"/>
        <v>3</v>
      </c>
      <c r="BA478" s="18">
        <f t="shared" si="285"/>
        <v>7</v>
      </c>
      <c r="BB478" s="18">
        <f t="shared" si="286"/>
        <v>8</v>
      </c>
      <c r="BC478" s="18">
        <f t="shared" si="287"/>
        <v>5</v>
      </c>
      <c r="BD478" s="18">
        <f t="shared" si="288"/>
        <v>9</v>
      </c>
      <c r="BE478" s="8">
        <f t="shared" si="290"/>
        <v>-5.1449245532357683E-3</v>
      </c>
    </row>
    <row r="479" spans="1:57" x14ac:dyDescent="0.25">
      <c r="A479" t="str">
        <f t="shared" si="289"/>
        <v/>
      </c>
      <c r="B479" s="1">
        <v>43440</v>
      </c>
      <c r="C479" s="9">
        <f t="shared" si="264"/>
        <v>0.24784266673108785</v>
      </c>
      <c r="D479" s="9">
        <f t="shared" si="265"/>
        <v>0.24799427063741614</v>
      </c>
      <c r="E479" s="9">
        <f t="shared" si="266"/>
        <v>0.25525347336123211</v>
      </c>
      <c r="F479" s="9">
        <f t="shared" si="267"/>
        <v>0</v>
      </c>
      <c r="G479" s="9">
        <f t="shared" si="268"/>
        <v>0.24890958927026391</v>
      </c>
      <c r="H479" s="9">
        <f t="shared" si="269"/>
        <v>0</v>
      </c>
      <c r="I479" s="9">
        <f t="shared" si="270"/>
        <v>0</v>
      </c>
      <c r="J479" s="9">
        <f t="shared" si="271"/>
        <v>0</v>
      </c>
      <c r="K479" s="9">
        <v>0</v>
      </c>
      <c r="L479" s="8">
        <f>+VLOOKUP($B479,NIFTY_50!$B$3:$I$1238,8,0)</f>
        <v>-1.6855391406764397E-2</v>
      </c>
      <c r="M479" s="8">
        <f>+VLOOKUP($B479,NIFTY_BANK!$B$3:$I$41238,8,0)</f>
        <v>-1.2115567353957024E-2</v>
      </c>
      <c r="N479" s="8">
        <f>+VLOOKUP($B479,NIFTY_IT!$B$3:$I$1238,8,0)</f>
        <v>-2.1261644113915068E-2</v>
      </c>
      <c r="O479" s="8">
        <f>+VLOOKUP($B479,NIFTY_PHARMA!$B$3:$I$1238,8,0)</f>
        <v>-1.4264315380949188E-2</v>
      </c>
      <c r="P479" s="8">
        <f>+VLOOKUP($B479,NIFTY_FMCG!$B$3:$I$1238,8,0)</f>
        <v>-1.4928414428016956E-2</v>
      </c>
      <c r="Q479" s="8">
        <f>+VLOOKUP($B479,NIFTY_METAL!$B$3:$I$1238,8,0)</f>
        <v>-1.0962943967175232E-2</v>
      </c>
      <c r="R479" s="8">
        <f>+VLOOKUP($B479,NIFTY_ENERGY!$B$3:$I$1238,8,0)</f>
        <v>-2.1295276072546665E-2</v>
      </c>
      <c r="S479" s="8">
        <f>+VLOOKUP($B479,NIFTY_AUTO!$B$3:$I$1238,8,0)</f>
        <v>-2.2406565179196924E-2</v>
      </c>
      <c r="T479" s="8">
        <v>0</v>
      </c>
      <c r="U479" s="8">
        <f>+VLOOKUP($B479,NIFTY_50!$B$63:$K$1238,10,0)</f>
        <v>-8.4715105311098382E-2</v>
      </c>
      <c r="V479" s="8">
        <f>+VLOOKUP($B479,NIFTY_BANK!$B$63:$K$1238,10,0)</f>
        <v>-5.8275669943744557E-2</v>
      </c>
      <c r="W479" s="8">
        <f>+VLOOKUP($B479,NIFTY_IT!$B$63:$K$1238,10,0)</f>
        <v>-6.5562459061222156E-2</v>
      </c>
      <c r="X479" s="8">
        <f>+VLOOKUP($B479,NIFTY_PHARMA!$B$63:$K$1238,10,0)</f>
        <v>-0.16152665566269941</v>
      </c>
      <c r="Y479" s="8">
        <f>+VLOOKUP($B479,NIFTY_FMCG!$B$63:$K$1238,10,0)</f>
        <v>-8.160344819531884E-2</v>
      </c>
      <c r="Z479" s="8">
        <f>+VLOOKUP($B479,NIFTY_METAL!$B$63:$K$1238,10,0)</f>
        <v>-0.15623376268219968</v>
      </c>
      <c r="AA479" s="8">
        <f>+VLOOKUP($B479,NIFTY_ENERGY!$B$63:$K$1238,10,0)</f>
        <v>-0.10313425563832657</v>
      </c>
      <c r="AB479" s="8">
        <f>+VLOOKUP($B479,NIFTY_AUTO!$B$63:$K$1238,10,0)</f>
        <v>-0.19607887962763992</v>
      </c>
      <c r="AC479" s="8"/>
      <c r="AD479" s="16">
        <f t="shared" si="272"/>
        <v>8.4156390112750973E-2</v>
      </c>
      <c r="AE479" s="8">
        <f t="shared" si="273"/>
        <v>9.1950862425956667E-2</v>
      </c>
      <c r="AF479" s="8">
        <f t="shared" si="274"/>
        <v>0.12387877681607976</v>
      </c>
      <c r="AG479" s="8">
        <f t="shared" si="275"/>
        <v>0.13147852319855968</v>
      </c>
      <c r="AH479" s="8">
        <f t="shared" si="276"/>
        <v>9.8612002743794919E-2</v>
      </c>
      <c r="AI479" s="8">
        <f t="shared" si="277"/>
        <v>0.13679614449269936</v>
      </c>
      <c r="AJ479" s="8">
        <f t="shared" si="278"/>
        <v>0.14504492589454804</v>
      </c>
      <c r="AK479" s="8">
        <f t="shared" si="279"/>
        <v>0.12567538841915293</v>
      </c>
      <c r="AL479" s="9">
        <v>0</v>
      </c>
      <c r="AM479" s="17">
        <f t="shared" si="256"/>
        <v>11.882638961345904</v>
      </c>
      <c r="AN479" s="13">
        <f t="shared" si="257"/>
        <v>10.875373798753099</v>
      </c>
      <c r="AO479" s="13">
        <f t="shared" si="258"/>
        <v>8.0724077658974558</v>
      </c>
      <c r="AP479" s="13">
        <f t="shared" si="259"/>
        <v>7.6058049305116837</v>
      </c>
      <c r="AQ479" s="13">
        <f t="shared" si="260"/>
        <v>10.140753378654246</v>
      </c>
      <c r="AR479" s="13">
        <f t="shared" si="261"/>
        <v>7.3101475462517058</v>
      </c>
      <c r="AS479" s="13">
        <f t="shared" si="262"/>
        <v>6.8944156014601274</v>
      </c>
      <c r="AT479" s="13">
        <f t="shared" si="263"/>
        <v>7.9570074346203494</v>
      </c>
      <c r="AU479" s="9">
        <v>0</v>
      </c>
      <c r="AV479" s="18">
        <f t="shared" si="280"/>
        <v>1</v>
      </c>
      <c r="AW479" s="18">
        <f t="shared" si="281"/>
        <v>2</v>
      </c>
      <c r="AX479" s="18">
        <f t="shared" si="282"/>
        <v>4</v>
      </c>
      <c r="AY479" s="18">
        <f t="shared" si="283"/>
        <v>6</v>
      </c>
      <c r="AZ479" s="18">
        <f t="shared" si="284"/>
        <v>3</v>
      </c>
      <c r="BA479" s="18">
        <f t="shared" si="285"/>
        <v>7</v>
      </c>
      <c r="BB479" s="18">
        <f t="shared" si="286"/>
        <v>8</v>
      </c>
      <c r="BC479" s="18">
        <f t="shared" si="287"/>
        <v>5</v>
      </c>
      <c r="BD479" s="18">
        <f t="shared" si="288"/>
        <v>9</v>
      </c>
      <c r="BE479" s="8">
        <f t="shared" si="290"/>
        <v>-1.633637804701138E-2</v>
      </c>
    </row>
    <row r="480" spans="1:57" x14ac:dyDescent="0.25">
      <c r="A480" t="str">
        <f t="shared" si="289"/>
        <v/>
      </c>
      <c r="B480" s="1">
        <v>43441</v>
      </c>
      <c r="C480" s="9">
        <f t="shared" si="264"/>
        <v>0.24828516907175593</v>
      </c>
      <c r="D480" s="9">
        <f t="shared" si="265"/>
        <v>0.25000965939821135</v>
      </c>
      <c r="E480" s="9">
        <f t="shared" si="266"/>
        <v>0.25296391562017995</v>
      </c>
      <c r="F480" s="9">
        <f t="shared" si="267"/>
        <v>0</v>
      </c>
      <c r="G480" s="9">
        <f t="shared" si="268"/>
        <v>0.24874125590985274</v>
      </c>
      <c r="H480" s="9">
        <f t="shared" si="269"/>
        <v>0</v>
      </c>
      <c r="I480" s="9">
        <f t="shared" si="270"/>
        <v>0</v>
      </c>
      <c r="J480" s="9">
        <f t="shared" si="271"/>
        <v>0</v>
      </c>
      <c r="K480" s="9">
        <v>0</v>
      </c>
      <c r="L480" s="8">
        <f>+VLOOKUP($B480,NIFTY_50!$B$3:$I$1238,8,0)</f>
        <v>8.7301849327667824E-3</v>
      </c>
      <c r="M480" s="8">
        <f>+VLOOKUP($B480,NIFTY_BANK!$B$3:$I$41238,8,0)</f>
        <v>1.5115484592511663E-2</v>
      </c>
      <c r="N480" s="8">
        <f>+VLOOKUP($B480,NIFTY_IT!$B$3:$I$1238,8,0)</f>
        <v>-2.0995321139940515E-3</v>
      </c>
      <c r="O480" s="8">
        <f>+VLOOKUP($B480,NIFTY_PHARMA!$B$3:$I$1238,8,0)</f>
        <v>-4.4897254360209971E-4</v>
      </c>
      <c r="P480" s="8">
        <f>+VLOOKUP($B480,NIFTY_FMCG!$B$3:$I$1238,8,0)</f>
        <v>6.2514200065786341E-3</v>
      </c>
      <c r="Q480" s="8">
        <f>+VLOOKUP($B480,NIFTY_METAL!$B$3:$I$1238,8,0)</f>
        <v>-4.6023206067286049E-3</v>
      </c>
      <c r="R480" s="8">
        <f>+VLOOKUP($B480,NIFTY_ENERGY!$B$3:$I$1238,8,0)</f>
        <v>1.7012333942107993E-3</v>
      </c>
      <c r="S480" s="8">
        <f>+VLOOKUP($B480,NIFTY_AUTO!$B$3:$I$1238,8,0)</f>
        <v>8.9178060377186341E-3</v>
      </c>
      <c r="T480" s="8">
        <v>0</v>
      </c>
      <c r="U480" s="8">
        <f>+VLOOKUP($B480,NIFTY_50!$B$63:$K$1238,10,0)</f>
        <v>-7.1751603690875965E-2</v>
      </c>
      <c r="V480" s="8">
        <f>+VLOOKUP($B480,NIFTY_BANK!$B$63:$K$1238,10,0)</f>
        <v>-3.0493150934626345E-2</v>
      </c>
      <c r="W480" s="8">
        <f>+VLOOKUP($B480,NIFTY_IT!$B$63:$K$1238,10,0)</f>
        <v>-8.6349673182251618E-2</v>
      </c>
      <c r="X480" s="8">
        <f>+VLOOKUP($B480,NIFTY_PHARMA!$B$63:$K$1238,10,0)</f>
        <v>-0.14922762614459772</v>
      </c>
      <c r="Y480" s="8">
        <f>+VLOOKUP($B480,NIFTY_FMCG!$B$63:$K$1238,10,0)</f>
        <v>-5.6261161193474463E-2</v>
      </c>
      <c r="Z480" s="8">
        <f>+VLOOKUP($B480,NIFTY_METAL!$B$63:$K$1238,10,0)</f>
        <v>-0.14346273984828206</v>
      </c>
      <c r="AA480" s="8">
        <f>+VLOOKUP($B480,NIFTY_ENERGY!$B$63:$K$1238,10,0)</f>
        <v>-0.1009946785818534</v>
      </c>
      <c r="AB480" s="8">
        <f>+VLOOKUP($B480,NIFTY_AUTO!$B$63:$K$1238,10,0)</f>
        <v>-0.17521689402181506</v>
      </c>
      <c r="AC480" s="8"/>
      <c r="AD480" s="16">
        <f t="shared" si="272"/>
        <v>8.465092465716087E-2</v>
      </c>
      <c r="AE480" s="8">
        <f t="shared" si="273"/>
        <v>9.2344492869276484E-2</v>
      </c>
      <c r="AF480" s="8">
        <f t="shared" si="274"/>
        <v>0.12195340589491366</v>
      </c>
      <c r="AG480" s="8">
        <f t="shared" si="275"/>
        <v>0.13092238980263179</v>
      </c>
      <c r="AH480" s="8">
        <f t="shared" si="276"/>
        <v>9.690776708812826E-2</v>
      </c>
      <c r="AI480" s="8">
        <f t="shared" si="277"/>
        <v>0.13575959889666162</v>
      </c>
      <c r="AJ480" s="8">
        <f t="shared" si="278"/>
        <v>0.14507938187600986</v>
      </c>
      <c r="AK480" s="8">
        <f t="shared" si="279"/>
        <v>0.12555164777721714</v>
      </c>
      <c r="AL480" s="9">
        <v>0</v>
      </c>
      <c r="AM480" s="17">
        <f t="shared" si="256"/>
        <v>11.813220045144623</v>
      </c>
      <c r="AN480" s="13">
        <f t="shared" si="257"/>
        <v>10.829016099699709</v>
      </c>
      <c r="AO480" s="13">
        <f t="shared" si="258"/>
        <v>8.1998529902616468</v>
      </c>
      <c r="AP480" s="13">
        <f t="shared" si="259"/>
        <v>7.6381129423891565</v>
      </c>
      <c r="AQ480" s="13">
        <f t="shared" si="260"/>
        <v>10.319090306668572</v>
      </c>
      <c r="AR480" s="13">
        <f t="shared" si="261"/>
        <v>7.3659616566868804</v>
      </c>
      <c r="AS480" s="13">
        <f t="shared" si="262"/>
        <v>6.892778195420191</v>
      </c>
      <c r="AT480" s="13">
        <f t="shared" si="263"/>
        <v>7.9648496670822828</v>
      </c>
      <c r="AU480" s="9">
        <v>0</v>
      </c>
      <c r="AV480" s="18">
        <f t="shared" si="280"/>
        <v>1</v>
      </c>
      <c r="AW480" s="18">
        <f t="shared" si="281"/>
        <v>2</v>
      </c>
      <c r="AX480" s="18">
        <f t="shared" si="282"/>
        <v>4</v>
      </c>
      <c r="AY480" s="18">
        <f t="shared" si="283"/>
        <v>6</v>
      </c>
      <c r="AZ480" s="18">
        <f t="shared" si="284"/>
        <v>3</v>
      </c>
      <c r="BA480" s="18">
        <f t="shared" si="285"/>
        <v>7</v>
      </c>
      <c r="BB480" s="18">
        <f t="shared" si="286"/>
        <v>8</v>
      </c>
      <c r="BC480" s="18">
        <f t="shared" si="287"/>
        <v>5</v>
      </c>
      <c r="BD480" s="18">
        <f t="shared" si="288"/>
        <v>9</v>
      </c>
      <c r="BE480" s="8">
        <f t="shared" si="290"/>
        <v>6.9323914133064806E-3</v>
      </c>
    </row>
    <row r="481" spans="1:57" x14ac:dyDescent="0.25">
      <c r="A481" t="str">
        <f t="shared" si="289"/>
        <v/>
      </c>
      <c r="B481" s="1">
        <v>43444</v>
      </c>
      <c r="C481" s="9">
        <f t="shared" si="264"/>
        <v>0.2478485498676313</v>
      </c>
      <c r="D481" s="9">
        <f t="shared" si="265"/>
        <v>0.2497497791858965</v>
      </c>
      <c r="E481" s="9">
        <f t="shared" si="266"/>
        <v>0.25318160924725974</v>
      </c>
      <c r="F481" s="9">
        <f t="shared" si="267"/>
        <v>0</v>
      </c>
      <c r="G481" s="9">
        <f t="shared" si="268"/>
        <v>0.24922006169921235</v>
      </c>
      <c r="H481" s="9">
        <f t="shared" si="269"/>
        <v>0</v>
      </c>
      <c r="I481" s="9">
        <f t="shared" si="270"/>
        <v>0</v>
      </c>
      <c r="J481" s="9">
        <f t="shared" si="271"/>
        <v>0</v>
      </c>
      <c r="K481" s="9">
        <v>0</v>
      </c>
      <c r="L481" s="8">
        <f>+VLOOKUP($B481,NIFTY_50!$B$3:$I$1238,8,0)</f>
        <v>-1.919354386227401E-2</v>
      </c>
      <c r="M481" s="8">
        <f>+VLOOKUP($B481,NIFTY_BANK!$B$3:$I$41238,8,0)</f>
        <v>-1.8487044216241699E-2</v>
      </c>
      <c r="N481" s="8">
        <f>+VLOOKUP($B481,NIFTY_IT!$B$3:$I$1238,8,0)</f>
        <v>-1.6620177454664375E-2</v>
      </c>
      <c r="O481" s="8">
        <f>+VLOOKUP($B481,NIFTY_PHARMA!$B$3:$I$1238,8,0)</f>
        <v>-1.6964964411581906E-2</v>
      </c>
      <c r="P481" s="8">
        <f>+VLOOKUP($B481,NIFTY_FMCG!$B$3:$I$1238,8,0)</f>
        <v>-1.5574423773280333E-2</v>
      </c>
      <c r="Q481" s="8">
        <f>+VLOOKUP($B481,NIFTY_METAL!$B$3:$I$1238,8,0)</f>
        <v>-1.137991664495952E-2</v>
      </c>
      <c r="R481" s="8">
        <f>+VLOOKUP($B481,NIFTY_ENERGY!$B$3:$I$1238,8,0)</f>
        <v>-2.541807452019984E-2</v>
      </c>
      <c r="S481" s="8">
        <f>+VLOOKUP($B481,NIFTY_AUTO!$B$3:$I$1238,8,0)</f>
        <v>-9.6450878261065132E-3</v>
      </c>
      <c r="T481" s="8">
        <v>0</v>
      </c>
      <c r="U481" s="8">
        <f>+VLOOKUP($B481,NIFTY_50!$B$63:$K$1238,10,0)</f>
        <v>-8.612915452276082E-2</v>
      </c>
      <c r="V481" s="8">
        <f>+VLOOKUP($B481,NIFTY_BANK!$B$63:$K$1238,10,0)</f>
        <v>-4.6515110835931295E-2</v>
      </c>
      <c r="W481" s="8">
        <f>+VLOOKUP($B481,NIFTY_IT!$B$63:$K$1238,10,0)</f>
        <v>-0.10104177706843553</v>
      </c>
      <c r="X481" s="8">
        <f>+VLOOKUP($B481,NIFTY_PHARMA!$B$63:$K$1238,10,0)</f>
        <v>-0.17160354834326541</v>
      </c>
      <c r="Y481" s="8">
        <f>+VLOOKUP($B481,NIFTY_FMCG!$B$63:$K$1238,10,0)</f>
        <v>-6.27982745593757E-2</v>
      </c>
      <c r="Z481" s="8">
        <f>+VLOOKUP($B481,NIFTY_METAL!$B$63:$K$1238,10,0)</f>
        <v>-0.16199768160741879</v>
      </c>
      <c r="AA481" s="8">
        <f>+VLOOKUP($B481,NIFTY_ENERGY!$B$63:$K$1238,10,0)</f>
        <v>-0.11810893969283009</v>
      </c>
      <c r="AB481" s="8">
        <f>+VLOOKUP($B481,NIFTY_AUTO!$B$63:$K$1238,10,0)</f>
        <v>-0.18576897408327464</v>
      </c>
      <c r="AC481" s="8"/>
      <c r="AD481" s="16">
        <f t="shared" si="272"/>
        <v>8.6488596260636666E-2</v>
      </c>
      <c r="AE481" s="8">
        <f t="shared" si="273"/>
        <v>9.4055309072319182E-2</v>
      </c>
      <c r="AF481" s="8">
        <f t="shared" si="274"/>
        <v>0.12288491119851716</v>
      </c>
      <c r="AG481" s="8">
        <f t="shared" si="275"/>
        <v>0.13111795409948943</v>
      </c>
      <c r="AH481" s="8">
        <f t="shared" si="276"/>
        <v>9.7699054864164581E-2</v>
      </c>
      <c r="AI481" s="8">
        <f t="shared" si="277"/>
        <v>0.13541834817308179</v>
      </c>
      <c r="AJ481" s="8">
        <f t="shared" si="278"/>
        <v>0.14692386417673947</v>
      </c>
      <c r="AK481" s="8">
        <f t="shared" si="279"/>
        <v>0.12556176075133846</v>
      </c>
      <c r="AL481" s="9">
        <v>0</v>
      </c>
      <c r="AM481" s="17">
        <f t="shared" si="256"/>
        <v>11.562217948207438</v>
      </c>
      <c r="AN481" s="13">
        <f t="shared" si="257"/>
        <v>10.632042038489283</v>
      </c>
      <c r="AO481" s="13">
        <f t="shared" si="258"/>
        <v>8.1376955905068584</v>
      </c>
      <c r="AP481" s="13">
        <f t="shared" si="259"/>
        <v>7.6267205880990332</v>
      </c>
      <c r="AQ481" s="13">
        <f t="shared" si="260"/>
        <v>10.235513551183738</v>
      </c>
      <c r="AR481" s="13">
        <f t="shared" si="261"/>
        <v>7.3845236889307895</v>
      </c>
      <c r="AS481" s="13">
        <f t="shared" si="262"/>
        <v>6.8062462528011629</v>
      </c>
      <c r="AT481" s="13">
        <f t="shared" si="263"/>
        <v>7.964208163506024</v>
      </c>
      <c r="AU481" s="9">
        <v>0</v>
      </c>
      <c r="AV481" s="18">
        <f t="shared" si="280"/>
        <v>1</v>
      </c>
      <c r="AW481" s="18">
        <f t="shared" si="281"/>
        <v>2</v>
      </c>
      <c r="AX481" s="18">
        <f t="shared" si="282"/>
        <v>4</v>
      </c>
      <c r="AY481" s="18">
        <f t="shared" si="283"/>
        <v>6</v>
      </c>
      <c r="AZ481" s="18">
        <f t="shared" si="284"/>
        <v>3</v>
      </c>
      <c r="BA481" s="18">
        <f t="shared" si="285"/>
        <v>7</v>
      </c>
      <c r="BB481" s="18">
        <f t="shared" si="286"/>
        <v>8</v>
      </c>
      <c r="BC481" s="18">
        <f t="shared" si="287"/>
        <v>5</v>
      </c>
      <c r="BD481" s="18">
        <f t="shared" si="288"/>
        <v>9</v>
      </c>
      <c r="BE481" s="8">
        <f t="shared" si="290"/>
        <v>-1.7465718807385282E-2</v>
      </c>
    </row>
    <row r="482" spans="1:57" x14ac:dyDescent="0.25">
      <c r="A482" t="str">
        <f t="shared" si="289"/>
        <v/>
      </c>
      <c r="B482" s="1">
        <v>43445</v>
      </c>
      <c r="C482" s="9">
        <f t="shared" si="264"/>
        <v>0.24734609421950327</v>
      </c>
      <c r="D482" s="9">
        <f t="shared" si="265"/>
        <v>0.24838605679468753</v>
      </c>
      <c r="E482" s="9">
        <f t="shared" si="266"/>
        <v>0.25400900803190996</v>
      </c>
      <c r="F482" s="9">
        <f t="shared" si="267"/>
        <v>0</v>
      </c>
      <c r="G482" s="9">
        <f t="shared" si="268"/>
        <v>0.25025884095389928</v>
      </c>
      <c r="H482" s="9">
        <f t="shared" si="269"/>
        <v>0</v>
      </c>
      <c r="I482" s="9">
        <f t="shared" si="270"/>
        <v>0</v>
      </c>
      <c r="J482" s="9">
        <f t="shared" si="271"/>
        <v>0</v>
      </c>
      <c r="K482" s="9">
        <v>0</v>
      </c>
      <c r="L482" s="8">
        <f>+VLOOKUP($B482,NIFTY_50!$B$3:$I$1238,8,0)</f>
        <v>5.7873184312267067E-3</v>
      </c>
      <c r="M482" s="8">
        <f>+VLOOKUP($B482,NIFTY_BANK!$B$3:$I$41238,8,0)</f>
        <v>2.3273499050862068E-3</v>
      </c>
      <c r="N482" s="8">
        <f>+VLOOKUP($B482,NIFTY_IT!$B$3:$I$1238,8,0)</f>
        <v>1.1124056813138106E-2</v>
      </c>
      <c r="O482" s="8">
        <f>+VLOOKUP($B482,NIFTY_PHARMA!$B$3:$I$1238,8,0)</f>
        <v>2.4756013262568599E-2</v>
      </c>
      <c r="P482" s="8">
        <f>+VLOOKUP($B482,NIFTY_FMCG!$B$3:$I$1238,8,0)</f>
        <v>1.2031220580935642E-2</v>
      </c>
      <c r="Q482" s="8">
        <f>+VLOOKUP($B482,NIFTY_METAL!$B$3:$I$1238,8,0)</f>
        <v>6.2906545903664846E-3</v>
      </c>
      <c r="R482" s="8">
        <f>+VLOOKUP($B482,NIFTY_ENERGY!$B$3:$I$1238,8,0)</f>
        <v>3.8111067585822056E-3</v>
      </c>
      <c r="S482" s="8">
        <f>+VLOOKUP($B482,NIFTY_AUTO!$B$3:$I$1238,8,0)</f>
        <v>7.1206989782848229E-3</v>
      </c>
      <c r="T482" s="8">
        <v>0</v>
      </c>
      <c r="U482" s="8">
        <f>+VLOOKUP($B482,NIFTY_50!$B$63:$K$1238,10,0)</f>
        <v>-8.5616586778077264E-2</v>
      </c>
      <c r="V482" s="8">
        <f>+VLOOKUP($B482,NIFTY_BANK!$B$63:$K$1238,10,0)</f>
        <v>-4.7519540422371609E-2</v>
      </c>
      <c r="W482" s="8">
        <f>+VLOOKUP($B482,NIFTY_IT!$B$63:$K$1238,10,0)</f>
        <v>-9.3401485544082785E-2</v>
      </c>
      <c r="X482" s="8">
        <f>+VLOOKUP($B482,NIFTY_PHARMA!$B$63:$K$1238,10,0)</f>
        <v>-0.1735352895876936</v>
      </c>
      <c r="Y482" s="8">
        <f>+VLOOKUP($B482,NIFTY_FMCG!$B$63:$K$1238,10,0)</f>
        <v>-5.1169470989897992E-2</v>
      </c>
      <c r="Z482" s="8">
        <f>+VLOOKUP($B482,NIFTY_METAL!$B$63:$K$1238,10,0)</f>
        <v>-0.15881559385496391</v>
      </c>
      <c r="AA482" s="8">
        <f>+VLOOKUP($B482,NIFTY_ENERGY!$B$63:$K$1238,10,0)</f>
        <v>-0.13249954914907824</v>
      </c>
      <c r="AB482" s="8">
        <f>+VLOOKUP($B482,NIFTY_AUTO!$B$63:$K$1238,10,0)</f>
        <v>-0.18074185886068039</v>
      </c>
      <c r="AC482" s="8"/>
      <c r="AD482" s="16">
        <f t="shared" si="272"/>
        <v>8.6533660918681685E-2</v>
      </c>
      <c r="AE482" s="8">
        <f t="shared" si="273"/>
        <v>9.4015151254561669E-2</v>
      </c>
      <c r="AF482" s="8">
        <f t="shared" si="274"/>
        <v>0.12346700602418526</v>
      </c>
      <c r="AG482" s="8">
        <f t="shared" si="275"/>
        <v>0.13058868652331196</v>
      </c>
      <c r="AH482" s="8">
        <f t="shared" si="276"/>
        <v>9.854751666936723E-2</v>
      </c>
      <c r="AI482" s="8">
        <f t="shared" si="277"/>
        <v>0.13561773314981443</v>
      </c>
      <c r="AJ482" s="8">
        <f t="shared" si="278"/>
        <v>0.14531114906174508</v>
      </c>
      <c r="AK482" s="8">
        <f t="shared" si="279"/>
        <v>0.12591632620282592</v>
      </c>
      <c r="AL482" s="9">
        <v>0</v>
      </c>
      <c r="AM482" s="17">
        <f t="shared" si="256"/>
        <v>11.556196622025855</v>
      </c>
      <c r="AN482" s="13">
        <f t="shared" si="257"/>
        <v>10.63658342996581</v>
      </c>
      <c r="AO482" s="13">
        <f t="shared" si="258"/>
        <v>8.0993297902122592</v>
      </c>
      <c r="AP482" s="13">
        <f t="shared" si="259"/>
        <v>7.6576311977951139</v>
      </c>
      <c r="AQ482" s="13">
        <f t="shared" si="260"/>
        <v>10.147389135690343</v>
      </c>
      <c r="AR482" s="13">
        <f t="shared" si="261"/>
        <v>7.3736669738854745</v>
      </c>
      <c r="AS482" s="13">
        <f t="shared" si="262"/>
        <v>6.8817844085389739</v>
      </c>
      <c r="AT482" s="13">
        <f t="shared" si="263"/>
        <v>7.9417818972037093</v>
      </c>
      <c r="AU482" s="9">
        <v>0</v>
      </c>
      <c r="AV482" s="18">
        <f t="shared" si="280"/>
        <v>1</v>
      </c>
      <c r="AW482" s="18">
        <f t="shared" si="281"/>
        <v>2</v>
      </c>
      <c r="AX482" s="18">
        <f t="shared" si="282"/>
        <v>4</v>
      </c>
      <c r="AY482" s="18">
        <f t="shared" si="283"/>
        <v>6</v>
      </c>
      <c r="AZ482" s="18">
        <f t="shared" si="284"/>
        <v>3</v>
      </c>
      <c r="BA482" s="18">
        <f t="shared" si="285"/>
        <v>7</v>
      </c>
      <c r="BB482" s="18">
        <f t="shared" si="286"/>
        <v>8</v>
      </c>
      <c r="BC482" s="18">
        <f t="shared" si="287"/>
        <v>5</v>
      </c>
      <c r="BD482" s="18">
        <f t="shared" si="288"/>
        <v>9</v>
      </c>
      <c r="BE482" s="8">
        <f t="shared" si="290"/>
        <v>7.8304617464912147E-3</v>
      </c>
    </row>
    <row r="483" spans="1:57" x14ac:dyDescent="0.25">
      <c r="A483" t="str">
        <f t="shared" si="289"/>
        <v/>
      </c>
      <c r="B483" s="1">
        <v>43446</v>
      </c>
      <c r="C483" s="9">
        <f t="shared" si="264"/>
        <v>0.24775800072344736</v>
      </c>
      <c r="D483" s="9">
        <f t="shared" si="265"/>
        <v>0.24892177495877324</v>
      </c>
      <c r="E483" s="9">
        <f t="shared" si="266"/>
        <v>0.25269179804240599</v>
      </c>
      <c r="F483" s="9">
        <f t="shared" si="267"/>
        <v>0</v>
      </c>
      <c r="G483" s="9">
        <f t="shared" si="268"/>
        <v>0.25062842627537335</v>
      </c>
      <c r="H483" s="9">
        <f t="shared" si="269"/>
        <v>0</v>
      </c>
      <c r="I483" s="9">
        <f t="shared" si="270"/>
        <v>0</v>
      </c>
      <c r="J483" s="9">
        <f t="shared" si="271"/>
        <v>0</v>
      </c>
      <c r="K483" s="9">
        <v>0</v>
      </c>
      <c r="L483" s="8">
        <f>+VLOOKUP($B483,NIFTY_50!$B$3:$I$1238,8,0)</f>
        <v>1.7863998521207902E-2</v>
      </c>
      <c r="M483" s="8">
        <f>+VLOOKUP($B483,NIFTY_BANK!$B$3:$I$41238,8,0)</f>
        <v>1.8363439002575976E-2</v>
      </c>
      <c r="N483" s="8">
        <f>+VLOOKUP($B483,NIFTY_IT!$B$3:$I$1238,8,0)</f>
        <v>1.0902219539630664E-2</v>
      </c>
      <c r="O483" s="8">
        <f>+VLOOKUP($B483,NIFTY_PHARMA!$B$3:$I$1238,8,0)</f>
        <v>6.2767246701576074E-3</v>
      </c>
      <c r="P483" s="8">
        <f>+VLOOKUP($B483,NIFTY_FMCG!$B$3:$I$1238,8,0)</f>
        <v>1.7672458262791846E-2</v>
      </c>
      <c r="Q483" s="8">
        <f>+VLOOKUP($B483,NIFTY_METAL!$B$3:$I$1238,8,0)</f>
        <v>2.5430801708478556E-2</v>
      </c>
      <c r="R483" s="8">
        <f>+VLOOKUP($B483,NIFTY_ENERGY!$B$3:$I$1238,8,0)</f>
        <v>1.4836427294941501E-2</v>
      </c>
      <c r="S483" s="8">
        <f>+VLOOKUP($B483,NIFTY_AUTO!$B$3:$I$1238,8,0)</f>
        <v>3.6097798073879916E-2</v>
      </c>
      <c r="T483" s="8">
        <v>0</v>
      </c>
      <c r="U483" s="8">
        <f>+VLOOKUP($B483,NIFTY_50!$B$63:$K$1238,10,0)</f>
        <v>-7.3474212837925323E-2</v>
      </c>
      <c r="V483" s="8">
        <f>+VLOOKUP($B483,NIFTY_BANK!$B$63:$K$1238,10,0)</f>
        <v>-3.0478741114460917E-2</v>
      </c>
      <c r="W483" s="8">
        <f>+VLOOKUP($B483,NIFTY_IT!$B$63:$K$1238,10,0)</f>
        <v>-8.4834956037951437E-2</v>
      </c>
      <c r="X483" s="8">
        <f>+VLOOKUP($B483,NIFTY_PHARMA!$B$63:$K$1238,10,0)</f>
        <v>-0.17444014538632902</v>
      </c>
      <c r="Y483" s="8">
        <f>+VLOOKUP($B483,NIFTY_FMCG!$B$63:$K$1238,10,0)</f>
        <v>-4.046972823504269E-2</v>
      </c>
      <c r="Z483" s="8">
        <f>+VLOOKUP($B483,NIFTY_METAL!$B$63:$K$1238,10,0)</f>
        <v>-0.15317251165619294</v>
      </c>
      <c r="AA483" s="8">
        <f>+VLOOKUP($B483,NIFTY_ENERGY!$B$63:$K$1238,10,0)</f>
        <v>-0.12702824802037971</v>
      </c>
      <c r="AB483" s="8">
        <f>+VLOOKUP($B483,NIFTY_AUTO!$B$63:$K$1238,10,0)</f>
        <v>-0.16948077541645334</v>
      </c>
      <c r="AC483" s="8"/>
      <c r="AD483" s="16">
        <f t="shared" si="272"/>
        <v>8.8438028197160068E-2</v>
      </c>
      <c r="AE483" s="8">
        <f t="shared" si="273"/>
        <v>9.5898731679119359E-2</v>
      </c>
      <c r="AF483" s="8">
        <f t="shared" si="274"/>
        <v>0.12404615613563588</v>
      </c>
      <c r="AG483" s="8">
        <f t="shared" si="275"/>
        <v>0.13050574157427805</v>
      </c>
      <c r="AH483" s="8">
        <f t="shared" si="276"/>
        <v>9.9997727912657458E-2</v>
      </c>
      <c r="AI483" s="8">
        <f t="shared" si="277"/>
        <v>0.13685350646751746</v>
      </c>
      <c r="AJ483" s="8">
        <f t="shared" si="278"/>
        <v>0.14591197518433555</v>
      </c>
      <c r="AK483" s="8">
        <f t="shared" si="279"/>
        <v>0.12944724247133294</v>
      </c>
      <c r="AL483" s="9">
        <v>0</v>
      </c>
      <c r="AM483" s="17">
        <f t="shared" si="256"/>
        <v>11.307352960998198</v>
      </c>
      <c r="AN483" s="13">
        <f t="shared" si="257"/>
        <v>10.427666586311448</v>
      </c>
      <c r="AO483" s="13">
        <f t="shared" si="258"/>
        <v>8.061515416137274</v>
      </c>
      <c r="AP483" s="13">
        <f t="shared" si="259"/>
        <v>7.6624981241215702</v>
      </c>
      <c r="AQ483" s="13">
        <f t="shared" si="260"/>
        <v>10.000227213896752</v>
      </c>
      <c r="AR483" s="13">
        <f t="shared" si="261"/>
        <v>7.3070835071175368</v>
      </c>
      <c r="AS483" s="13">
        <f t="shared" si="262"/>
        <v>6.8534470781898884</v>
      </c>
      <c r="AT483" s="13">
        <f t="shared" si="263"/>
        <v>7.7251549041027854</v>
      </c>
      <c r="AU483" s="9">
        <v>0</v>
      </c>
      <c r="AV483" s="18">
        <f t="shared" si="280"/>
        <v>1</v>
      </c>
      <c r="AW483" s="18">
        <f t="shared" si="281"/>
        <v>2</v>
      </c>
      <c r="AX483" s="18">
        <f t="shared" si="282"/>
        <v>4</v>
      </c>
      <c r="AY483" s="18">
        <f t="shared" si="283"/>
        <v>6</v>
      </c>
      <c r="AZ483" s="18">
        <f t="shared" si="284"/>
        <v>3</v>
      </c>
      <c r="BA483" s="18">
        <f t="shared" si="285"/>
        <v>7</v>
      </c>
      <c r="BB483" s="18">
        <f t="shared" si="286"/>
        <v>8</v>
      </c>
      <c r="BC483" s="18">
        <f t="shared" si="287"/>
        <v>5</v>
      </c>
      <c r="BD483" s="18">
        <f t="shared" si="288"/>
        <v>9</v>
      </c>
      <c r="BE483" s="8">
        <f t="shared" si="290"/>
        <v>1.617176335666351E-2</v>
      </c>
    </row>
    <row r="484" spans="1:57" x14ac:dyDescent="0.25">
      <c r="A484" t="str">
        <f t="shared" si="289"/>
        <v/>
      </c>
      <c r="B484" s="1">
        <v>43447</v>
      </c>
      <c r="C484" s="9">
        <f t="shared" si="264"/>
        <v>0.24743710974469471</v>
      </c>
      <c r="D484" s="9">
        <f t="shared" si="265"/>
        <v>0.24895801631752346</v>
      </c>
      <c r="E484" s="9">
        <f t="shared" si="266"/>
        <v>0.25284833150183117</v>
      </c>
      <c r="F484" s="9">
        <f t="shared" si="267"/>
        <v>0</v>
      </c>
      <c r="G484" s="9">
        <f t="shared" si="268"/>
        <v>0.25075654243595069</v>
      </c>
      <c r="H484" s="9">
        <f t="shared" si="269"/>
        <v>0</v>
      </c>
      <c r="I484" s="9">
        <f t="shared" si="270"/>
        <v>0</v>
      </c>
      <c r="J484" s="9">
        <f t="shared" si="271"/>
        <v>0</v>
      </c>
      <c r="K484" s="9">
        <v>0</v>
      </c>
      <c r="L484" s="8">
        <f>+VLOOKUP($B484,NIFTY_50!$B$3:$I$1238,8,0)</f>
        <v>5.0244002384145503E-3</v>
      </c>
      <c r="M484" s="8">
        <f>+VLOOKUP($B484,NIFTY_BANK!$B$3:$I$41238,8,0)</f>
        <v>6.4742895640081954E-3</v>
      </c>
      <c r="N484" s="8">
        <f>+VLOOKUP($B484,NIFTY_IT!$B$3:$I$1238,8,0)</f>
        <v>6.9511586960726568E-3</v>
      </c>
      <c r="O484" s="8">
        <f>+VLOOKUP($B484,NIFTY_PHARMA!$B$3:$I$1238,8,0)</f>
        <v>1.0566380730556713E-3</v>
      </c>
      <c r="P484" s="8">
        <f>+VLOOKUP($B484,NIFTY_FMCG!$B$3:$I$1238,8,0)</f>
        <v>6.8421892346453017E-3</v>
      </c>
      <c r="Q484" s="8">
        <f>+VLOOKUP($B484,NIFTY_METAL!$B$3:$I$1238,8,0)</f>
        <v>-6.0803370517547028E-3</v>
      </c>
      <c r="R484" s="8">
        <f>+VLOOKUP($B484,NIFTY_ENERGY!$B$3:$I$1238,8,0)</f>
        <v>8.1219587577008312E-4</v>
      </c>
      <c r="S484" s="8">
        <f>+VLOOKUP($B484,NIFTY_AUTO!$B$3:$I$1238,8,0)</f>
        <v>9.6059959743186596E-3</v>
      </c>
      <c r="T484" s="8">
        <v>0</v>
      </c>
      <c r="U484" s="8">
        <f>+VLOOKUP($B484,NIFTY_50!$B$63:$K$1238,10,0)</f>
        <v>-5.6525996450459526E-2</v>
      </c>
      <c r="V484" s="8">
        <f>+VLOOKUP($B484,NIFTY_BANK!$B$63:$K$1238,10,0)</f>
        <v>-1.4168206089681834E-2</v>
      </c>
      <c r="W484" s="8">
        <f>+VLOOKUP($B484,NIFTY_IT!$B$63:$K$1238,10,0)</f>
        <v>-7.8502108001713644E-2</v>
      </c>
      <c r="X484" s="8">
        <f>+VLOOKUP($B484,NIFTY_PHARMA!$B$63:$K$1238,10,0)</f>
        <v>-0.15657875843583979</v>
      </c>
      <c r="Y484" s="8">
        <f>+VLOOKUP($B484,NIFTY_FMCG!$B$63:$K$1238,10,0)</f>
        <v>-1.6888120058679124E-2</v>
      </c>
      <c r="Z484" s="8">
        <f>+VLOOKUP($B484,NIFTY_METAL!$B$63:$K$1238,10,0)</f>
        <v>-0.14376452149524999</v>
      </c>
      <c r="AA484" s="8">
        <f>+VLOOKUP($B484,NIFTY_ENERGY!$B$63:$K$1238,10,0)</f>
        <v>-0.11173911379323531</v>
      </c>
      <c r="AB484" s="8">
        <f>+VLOOKUP($B484,NIFTY_AUTO!$B$63:$K$1238,10,0)</f>
        <v>-0.14659854849270082</v>
      </c>
      <c r="AC484" s="8"/>
      <c r="AD484" s="16">
        <f t="shared" si="272"/>
        <v>8.7830775476078635E-2</v>
      </c>
      <c r="AE484" s="8">
        <f t="shared" si="273"/>
        <v>9.5628124118164237E-2</v>
      </c>
      <c r="AF484" s="8">
        <f t="shared" si="274"/>
        <v>0.12431143246011901</v>
      </c>
      <c r="AG484" s="8">
        <f t="shared" si="275"/>
        <v>0.12940978130638398</v>
      </c>
      <c r="AH484" s="8">
        <f t="shared" si="276"/>
        <v>9.8822812516910108E-2</v>
      </c>
      <c r="AI484" s="8">
        <f t="shared" si="277"/>
        <v>0.13612839218622136</v>
      </c>
      <c r="AJ484" s="8">
        <f t="shared" si="278"/>
        <v>0.14521426635823081</v>
      </c>
      <c r="AK484" s="8">
        <f t="shared" si="279"/>
        <v>0.12918584494389915</v>
      </c>
      <c r="AL484" s="9">
        <v>0</v>
      </c>
      <c r="AM484" s="17">
        <f t="shared" si="256"/>
        <v>11.385530807164027</v>
      </c>
      <c r="AN484" s="13">
        <f t="shared" si="257"/>
        <v>10.457174698568132</v>
      </c>
      <c r="AO484" s="13">
        <f t="shared" si="258"/>
        <v>8.044312419300736</v>
      </c>
      <c r="AP484" s="13">
        <f t="shared" si="259"/>
        <v>7.7273911593471531</v>
      </c>
      <c r="AQ484" s="13">
        <f t="shared" si="260"/>
        <v>10.119121026118181</v>
      </c>
      <c r="AR484" s="13">
        <f t="shared" si="261"/>
        <v>7.3460061045312042</v>
      </c>
      <c r="AS484" s="13">
        <f t="shared" si="262"/>
        <v>6.8863757334495501</v>
      </c>
      <c r="AT484" s="13">
        <f t="shared" si="263"/>
        <v>7.7407861552809036</v>
      </c>
      <c r="AU484" s="9">
        <v>0</v>
      </c>
      <c r="AV484" s="18">
        <f t="shared" si="280"/>
        <v>1</v>
      </c>
      <c r="AW484" s="18">
        <f t="shared" si="281"/>
        <v>2</v>
      </c>
      <c r="AX484" s="18">
        <f t="shared" si="282"/>
        <v>4</v>
      </c>
      <c r="AY484" s="18">
        <f t="shared" si="283"/>
        <v>6</v>
      </c>
      <c r="AZ484" s="18">
        <f t="shared" si="284"/>
        <v>3</v>
      </c>
      <c r="BA484" s="18">
        <f t="shared" si="285"/>
        <v>7</v>
      </c>
      <c r="BB484" s="18">
        <f t="shared" si="286"/>
        <v>8</v>
      </c>
      <c r="BC484" s="18">
        <f t="shared" si="287"/>
        <v>5</v>
      </c>
      <c r="BD484" s="18">
        <f t="shared" si="288"/>
        <v>9</v>
      </c>
      <c r="BE484" s="8">
        <f t="shared" si="290"/>
        <v>6.327774917320143E-3</v>
      </c>
    </row>
    <row r="485" spans="1:57" x14ac:dyDescent="0.25">
      <c r="A485" t="str">
        <f t="shared" si="289"/>
        <v/>
      </c>
      <c r="B485" s="1">
        <v>43448</v>
      </c>
      <c r="C485" s="9">
        <f t="shared" si="264"/>
        <v>0.2474465587665364</v>
      </c>
      <c r="D485" s="9">
        <f t="shared" si="265"/>
        <v>0.24873673159235088</v>
      </c>
      <c r="E485" s="9">
        <f t="shared" si="266"/>
        <v>0.25270967889218221</v>
      </c>
      <c r="F485" s="9">
        <f t="shared" si="267"/>
        <v>0</v>
      </c>
      <c r="G485" s="9">
        <f t="shared" si="268"/>
        <v>0.25110703074893048</v>
      </c>
      <c r="H485" s="9">
        <f t="shared" si="269"/>
        <v>0</v>
      </c>
      <c r="I485" s="9">
        <f t="shared" si="270"/>
        <v>0</v>
      </c>
      <c r="J485" s="9">
        <f t="shared" si="271"/>
        <v>0</v>
      </c>
      <c r="K485" s="9">
        <v>0</v>
      </c>
      <c r="L485" s="8">
        <f>+VLOOKUP($B485,NIFTY_50!$B$3:$I$1238,8,0)</f>
        <v>1.2880448128398392E-3</v>
      </c>
      <c r="M485" s="8">
        <f>+VLOOKUP($B485,NIFTY_BANK!$B$3:$I$41238,8,0)</f>
        <v>3.5985508840696845E-4</v>
      </c>
      <c r="N485" s="8">
        <f>+VLOOKUP($B485,NIFTY_IT!$B$3:$I$1238,8,0)</f>
        <v>7.0076140421804212E-4</v>
      </c>
      <c r="O485" s="8">
        <f>+VLOOKUP($B485,NIFTY_PHARMA!$B$3:$I$1238,8,0)</f>
        <v>-9.5791528578562657E-3</v>
      </c>
      <c r="P485" s="8">
        <f>+VLOOKUP($B485,NIFTY_FMCG!$B$3:$I$1238,8,0)</f>
        <v>2.6492799075641393E-3</v>
      </c>
      <c r="Q485" s="8">
        <f>+VLOOKUP($B485,NIFTY_METAL!$B$3:$I$1238,8,0)</f>
        <v>-5.2986512524089147E-4</v>
      </c>
      <c r="R485" s="8">
        <f>+VLOOKUP($B485,NIFTY_ENERGY!$B$3:$I$1238,8,0)</f>
        <v>1.0618204277444976E-2</v>
      </c>
      <c r="S485" s="8">
        <f>+VLOOKUP($B485,NIFTY_AUTO!$B$3:$I$1238,8,0)</f>
        <v>1.8694214518812924E-3</v>
      </c>
      <c r="T485" s="8">
        <v>0</v>
      </c>
      <c r="U485" s="8">
        <f>+VLOOKUP($B485,NIFTY_50!$B$63:$K$1238,10,0)</f>
        <v>-4.2706533776301181E-2</v>
      </c>
      <c r="V485" s="8">
        <f>+VLOOKUP($B485,NIFTY_BANK!$B$63:$K$1238,10,0)</f>
        <v>6.9010538095692908E-4</v>
      </c>
      <c r="W485" s="8">
        <f>+VLOOKUP($B485,NIFTY_IT!$B$63:$K$1238,10,0)</f>
        <v>-7.1392841957832132E-2</v>
      </c>
      <c r="X485" s="8">
        <f>+VLOOKUP($B485,NIFTY_PHARMA!$B$63:$K$1238,10,0)</f>
        <v>-0.15104995111415931</v>
      </c>
      <c r="Y485" s="8">
        <f>+VLOOKUP($B485,NIFTY_FMCG!$B$63:$K$1238,10,0)</f>
        <v>1.0108904782730965E-2</v>
      </c>
      <c r="Z485" s="8">
        <f>+VLOOKUP($B485,NIFTY_METAL!$B$63:$K$1238,10,0)</f>
        <v>-0.13021546544448492</v>
      </c>
      <c r="AA485" s="8">
        <f>+VLOOKUP($B485,NIFTY_ENERGY!$B$63:$K$1238,10,0)</f>
        <v>-9.0803071565406568E-2</v>
      </c>
      <c r="AB485" s="8">
        <f>+VLOOKUP($B485,NIFTY_AUTO!$B$63:$K$1238,10,0)</f>
        <v>-0.1319958057932481</v>
      </c>
      <c r="AC485" s="8"/>
      <c r="AD485" s="16">
        <f t="shared" si="272"/>
        <v>8.6976169042168205E-2</v>
      </c>
      <c r="AE485" s="8">
        <f t="shared" si="273"/>
        <v>9.452995283588915E-2</v>
      </c>
      <c r="AF485" s="8">
        <f t="shared" si="274"/>
        <v>0.12418933586636355</v>
      </c>
      <c r="AG485" s="8">
        <f t="shared" si="275"/>
        <v>0.12890007805736178</v>
      </c>
      <c r="AH485" s="8">
        <f t="shared" si="276"/>
        <v>9.5857803642487929E-2</v>
      </c>
      <c r="AI485" s="8">
        <f t="shared" si="277"/>
        <v>0.13543427092687452</v>
      </c>
      <c r="AJ485" s="8">
        <f t="shared" si="278"/>
        <v>0.14530332510737617</v>
      </c>
      <c r="AK485" s="8">
        <f t="shared" si="279"/>
        <v>0.12863179844218819</v>
      </c>
      <c r="AL485" s="9">
        <v>0</v>
      </c>
      <c r="AM485" s="17">
        <f t="shared" si="256"/>
        <v>11.497402231123507</v>
      </c>
      <c r="AN485" s="13">
        <f t="shared" si="257"/>
        <v>10.578657557738048</v>
      </c>
      <c r="AO485" s="13">
        <f t="shared" si="258"/>
        <v>8.0522211752228898</v>
      </c>
      <c r="AP485" s="13">
        <f t="shared" si="259"/>
        <v>7.7579472027549148</v>
      </c>
      <c r="AQ485" s="13">
        <f t="shared" si="260"/>
        <v>10.432118846887088</v>
      </c>
      <c r="AR485" s="13">
        <f t="shared" si="261"/>
        <v>7.3836555042994503</v>
      </c>
      <c r="AS485" s="13">
        <f t="shared" si="262"/>
        <v>6.8821549628063954</v>
      </c>
      <c r="AT485" s="13">
        <f t="shared" si="263"/>
        <v>7.7741274872203263</v>
      </c>
      <c r="AU485" s="9">
        <v>0</v>
      </c>
      <c r="AV485" s="18">
        <f t="shared" si="280"/>
        <v>1</v>
      </c>
      <c r="AW485" s="18">
        <f t="shared" si="281"/>
        <v>2</v>
      </c>
      <c r="AX485" s="18">
        <f t="shared" si="282"/>
        <v>4</v>
      </c>
      <c r="AY485" s="18">
        <f t="shared" si="283"/>
        <v>6</v>
      </c>
      <c r="AZ485" s="18">
        <f t="shared" si="284"/>
        <v>3</v>
      </c>
      <c r="BA485" s="18">
        <f t="shared" si="285"/>
        <v>7</v>
      </c>
      <c r="BB485" s="18">
        <f t="shared" si="286"/>
        <v>8</v>
      </c>
      <c r="BC485" s="18">
        <f t="shared" si="287"/>
        <v>5</v>
      </c>
      <c r="BD485" s="18">
        <f t="shared" si="288"/>
        <v>9</v>
      </c>
      <c r="BE485" s="8">
        <f t="shared" si="290"/>
        <v>1.2498095160855328E-3</v>
      </c>
    </row>
    <row r="486" spans="1:57" x14ac:dyDescent="0.25">
      <c r="A486" t="str">
        <f t="shared" si="289"/>
        <v/>
      </c>
      <c r="B486" s="1">
        <v>43451</v>
      </c>
      <c r="C486" s="9">
        <f t="shared" si="264"/>
        <v>0.24782926545132311</v>
      </c>
      <c r="D486" s="9">
        <f t="shared" si="265"/>
        <v>0.24897388284754249</v>
      </c>
      <c r="E486" s="9">
        <f t="shared" si="266"/>
        <v>0.25153966329219984</v>
      </c>
      <c r="F486" s="9">
        <f t="shared" si="267"/>
        <v>0</v>
      </c>
      <c r="G486" s="9">
        <f t="shared" si="268"/>
        <v>0.25165718840893447</v>
      </c>
      <c r="H486" s="9">
        <f t="shared" si="269"/>
        <v>0</v>
      </c>
      <c r="I486" s="9">
        <f t="shared" si="270"/>
        <v>0</v>
      </c>
      <c r="J486" s="9">
        <f t="shared" si="271"/>
        <v>0</v>
      </c>
      <c r="K486" s="9">
        <v>0</v>
      </c>
      <c r="L486" s="8">
        <f>+VLOOKUP($B486,NIFTY_50!$B$3:$I$1238,8,0)</f>
        <v>7.6720543799655427E-3</v>
      </c>
      <c r="M486" s="8">
        <f>+VLOOKUP($B486,NIFTY_BANK!$B$3:$I$41238,8,0)</f>
        <v>7.0752255274733056E-3</v>
      </c>
      <c r="N486" s="8">
        <f>+VLOOKUP($B486,NIFTY_IT!$B$3:$I$1238,8,0)</f>
        <v>1.4577750245767795E-3</v>
      </c>
      <c r="O486" s="8">
        <f>+VLOOKUP($B486,NIFTY_PHARMA!$B$3:$I$1238,8,0)</f>
        <v>5.1453061972863701E-3</v>
      </c>
      <c r="P486" s="8">
        <f>+VLOOKUP($B486,NIFTY_FMCG!$B$3:$I$1238,8,0)</f>
        <v>8.3203002815139815E-3</v>
      </c>
      <c r="Q486" s="8">
        <f>+VLOOKUP($B486,NIFTY_METAL!$B$3:$I$1238,8,0)</f>
        <v>2.0161614214339707E-2</v>
      </c>
      <c r="R486" s="8">
        <f>+VLOOKUP($B486,NIFTY_ENERGY!$B$3:$I$1238,8,0)</f>
        <v>1.5058218241123411E-2</v>
      </c>
      <c r="S486" s="8">
        <f>+VLOOKUP($B486,NIFTY_AUTO!$B$3:$I$1238,8,0)</f>
        <v>6.9352316237931699E-3</v>
      </c>
      <c r="T486" s="8">
        <v>0</v>
      </c>
      <c r="U486" s="8">
        <f>+VLOOKUP($B486,NIFTY_50!$B$63:$K$1238,10,0)</f>
        <v>-4.2353054996086104E-2</v>
      </c>
      <c r="V486" s="8">
        <f>+VLOOKUP($B486,NIFTY_BANK!$B$63:$K$1238,10,0)</f>
        <v>7.3305691444933707E-3</v>
      </c>
      <c r="W486" s="8">
        <f>+VLOOKUP($B486,NIFTY_IT!$B$63:$K$1238,10,0)</f>
        <v>-7.356399164073868E-2</v>
      </c>
      <c r="X486" s="8">
        <f>+VLOOKUP($B486,NIFTY_PHARMA!$B$63:$K$1238,10,0)</f>
        <v>-0.15592401555102209</v>
      </c>
      <c r="Y486" s="8">
        <f>+VLOOKUP($B486,NIFTY_FMCG!$B$63:$K$1238,10,0)</f>
        <v>-6.6173179102250179E-3</v>
      </c>
      <c r="Z486" s="8">
        <f>+VLOOKUP($B486,NIFTY_METAL!$B$63:$K$1238,10,0)</f>
        <v>-0.12565401773420726</v>
      </c>
      <c r="AA486" s="8">
        <f>+VLOOKUP($B486,NIFTY_ENERGY!$B$63:$K$1238,10,0)</f>
        <v>-8.4423804808009595E-2</v>
      </c>
      <c r="AB486" s="8">
        <f>+VLOOKUP($B486,NIFTY_AUTO!$B$63:$K$1238,10,0)</f>
        <v>-0.12690374319047959</v>
      </c>
      <c r="AC486" s="8"/>
      <c r="AD486" s="16">
        <f t="shared" si="272"/>
        <v>8.7010955538742427E-2</v>
      </c>
      <c r="AE486" s="8">
        <f t="shared" si="273"/>
        <v>9.478362854631027E-2</v>
      </c>
      <c r="AF486" s="8">
        <f t="shared" si="274"/>
        <v>0.12411868601292102</v>
      </c>
      <c r="AG486" s="8">
        <f t="shared" si="275"/>
        <v>0.12842007345861947</v>
      </c>
      <c r="AH486" s="8">
        <f t="shared" si="276"/>
        <v>9.2851430374338267E-2</v>
      </c>
      <c r="AI486" s="8">
        <f t="shared" si="277"/>
        <v>0.13620193397706346</v>
      </c>
      <c r="AJ486" s="8">
        <f t="shared" si="278"/>
        <v>0.14592727903050268</v>
      </c>
      <c r="AK486" s="8">
        <f t="shared" si="279"/>
        <v>0.12891150095184004</v>
      </c>
      <c r="AL486" s="9">
        <v>0</v>
      </c>
      <c r="AM486" s="17">
        <f t="shared" si="256"/>
        <v>11.492805633593356</v>
      </c>
      <c r="AN486" s="13">
        <f t="shared" si="257"/>
        <v>10.55034519501868</v>
      </c>
      <c r="AO486" s="13">
        <f t="shared" si="258"/>
        <v>8.0568045966575728</v>
      </c>
      <c r="AP486" s="13">
        <f t="shared" si="259"/>
        <v>7.7869446190764551</v>
      </c>
      <c r="AQ486" s="13">
        <f t="shared" si="260"/>
        <v>10.76989332278907</v>
      </c>
      <c r="AR486" s="13">
        <f t="shared" si="261"/>
        <v>7.3420396524501701</v>
      </c>
      <c r="AS486" s="13">
        <f t="shared" si="262"/>
        <v>6.8527283359472042</v>
      </c>
      <c r="AT486" s="13">
        <f t="shared" si="263"/>
        <v>7.7572597682621769</v>
      </c>
      <c r="AU486" s="9">
        <v>0</v>
      </c>
      <c r="AV486" s="18">
        <f t="shared" si="280"/>
        <v>1</v>
      </c>
      <c r="AW486" s="18">
        <f t="shared" si="281"/>
        <v>3</v>
      </c>
      <c r="AX486" s="18">
        <f t="shared" si="282"/>
        <v>4</v>
      </c>
      <c r="AY486" s="18">
        <f t="shared" si="283"/>
        <v>5</v>
      </c>
      <c r="AZ486" s="18">
        <f t="shared" si="284"/>
        <v>2</v>
      </c>
      <c r="BA486" s="18">
        <f t="shared" si="285"/>
        <v>7</v>
      </c>
      <c r="BB486" s="18">
        <f t="shared" si="286"/>
        <v>8</v>
      </c>
      <c r="BC486" s="18">
        <f t="shared" si="287"/>
        <v>6</v>
      </c>
      <c r="BD486" s="18">
        <f t="shared" si="288"/>
        <v>9</v>
      </c>
      <c r="BE486" s="8">
        <f t="shared" si="290"/>
        <v>6.1159716849629904E-3</v>
      </c>
    </row>
    <row r="487" spans="1:57" x14ac:dyDescent="0.25">
      <c r="A487" t="str">
        <f t="shared" si="289"/>
        <v/>
      </c>
      <c r="B487" s="1">
        <v>43452</v>
      </c>
      <c r="C487" s="9">
        <f t="shared" si="264"/>
        <v>0.24848191603864189</v>
      </c>
      <c r="D487" s="9">
        <f t="shared" si="265"/>
        <v>0.25062938584803945</v>
      </c>
      <c r="E487" s="9">
        <f t="shared" si="266"/>
        <v>0.24932566748003826</v>
      </c>
      <c r="F487" s="9">
        <f t="shared" si="267"/>
        <v>0</v>
      </c>
      <c r="G487" s="9">
        <f t="shared" si="268"/>
        <v>0.25156303063328039</v>
      </c>
      <c r="H487" s="9">
        <f t="shared" si="269"/>
        <v>0</v>
      </c>
      <c r="I487" s="9">
        <f t="shared" si="270"/>
        <v>0</v>
      </c>
      <c r="J487" s="9">
        <f t="shared" si="271"/>
        <v>0</v>
      </c>
      <c r="K487" s="9">
        <v>0</v>
      </c>
      <c r="L487" s="8">
        <f>+VLOOKUP($B487,NIFTY_50!$B$3:$I$1238,8,0)</f>
        <v>1.8689700459666447E-3</v>
      </c>
      <c r="M487" s="8">
        <f>+VLOOKUP($B487,NIFTY_BANK!$B$3:$I$41238,8,0)</f>
        <v>5.88174327615687E-3</v>
      </c>
      <c r="N487" s="8">
        <f>+VLOOKUP($B487,NIFTY_IT!$B$3:$I$1238,8,0)</f>
        <v>-9.5575554442430821E-3</v>
      </c>
      <c r="O487" s="8">
        <f>+VLOOKUP($B487,NIFTY_PHARMA!$B$3:$I$1238,8,0)</f>
        <v>7.87796563793286E-3</v>
      </c>
      <c r="P487" s="8">
        <f>+VLOOKUP($B487,NIFTY_FMCG!$B$3:$I$1238,8,0)</f>
        <v>-1.1363562150195072E-3</v>
      </c>
      <c r="Q487" s="8">
        <f>+VLOOKUP($B487,NIFTY_METAL!$B$3:$I$1238,8,0)</f>
        <v>7.2596138704292823E-3</v>
      </c>
      <c r="R487" s="8">
        <f>+VLOOKUP($B487,NIFTY_ENERGY!$B$3:$I$1238,8,0)</f>
        <v>7.1583840604314553E-3</v>
      </c>
      <c r="S487" s="8">
        <f>+VLOOKUP($B487,NIFTY_AUTO!$B$3:$I$1238,8,0)</f>
        <v>7.2837892842605445E-3</v>
      </c>
      <c r="T487" s="8">
        <v>0</v>
      </c>
      <c r="U487" s="8">
        <f>+VLOOKUP($B487,NIFTY_50!$B$63:$K$1238,10,0)</f>
        <v>-5.2669515075726037E-2</v>
      </c>
      <c r="V487" s="8">
        <f>+VLOOKUP($B487,NIFTY_BANK!$B$63:$K$1238,10,0)</f>
        <v>3.9942791614588913E-4</v>
      </c>
      <c r="W487" s="8">
        <f>+VLOOKUP($B487,NIFTY_IT!$B$63:$K$1238,10,0)</f>
        <v>-8.3471768548763481E-2</v>
      </c>
      <c r="X487" s="8">
        <f>+VLOOKUP($B487,NIFTY_PHARMA!$B$63:$K$1238,10,0)</f>
        <v>-0.17013756881961173</v>
      </c>
      <c r="Y487" s="8">
        <f>+VLOOKUP($B487,NIFTY_FMCG!$B$63:$K$1238,10,0)</f>
        <v>-1.2850301410886833E-2</v>
      </c>
      <c r="Z487" s="8">
        <f>+VLOOKUP($B487,NIFTY_METAL!$B$63:$K$1238,10,0)</f>
        <v>-0.13882381452459802</v>
      </c>
      <c r="AA487" s="8">
        <f>+VLOOKUP($B487,NIFTY_ENERGY!$B$63:$K$1238,10,0)</f>
        <v>-8.9013988183815673E-2</v>
      </c>
      <c r="AB487" s="8">
        <f>+VLOOKUP($B487,NIFTY_AUTO!$B$63:$K$1238,10,0)</f>
        <v>-0.13142508797694596</v>
      </c>
      <c r="AC487" s="8"/>
      <c r="AD487" s="16">
        <f t="shared" si="272"/>
        <v>8.5994284232427748E-2</v>
      </c>
      <c r="AE487" s="8">
        <f t="shared" si="273"/>
        <v>9.4102520845506202E-2</v>
      </c>
      <c r="AF487" s="8">
        <f t="shared" si="274"/>
        <v>0.12437643458983227</v>
      </c>
      <c r="AG487" s="8">
        <f t="shared" si="275"/>
        <v>0.12580018804288634</v>
      </c>
      <c r="AH487" s="8">
        <f t="shared" si="276"/>
        <v>9.2708210108283756E-2</v>
      </c>
      <c r="AI487" s="8">
        <f t="shared" si="277"/>
        <v>0.13425018592858373</v>
      </c>
      <c r="AJ487" s="8">
        <f t="shared" si="278"/>
        <v>0.14554409736937252</v>
      </c>
      <c r="AK487" s="8">
        <f t="shared" si="279"/>
        <v>0.12842107017791146</v>
      </c>
      <c r="AL487" s="9">
        <v>0</v>
      </c>
      <c r="AM487" s="17">
        <f t="shared" si="256"/>
        <v>11.628679846874149</v>
      </c>
      <c r="AN487" s="13">
        <f t="shared" si="257"/>
        <v>10.626707882159293</v>
      </c>
      <c r="AO487" s="13">
        <f t="shared" si="258"/>
        <v>8.040108267275814</v>
      </c>
      <c r="AP487" s="13">
        <f t="shared" si="259"/>
        <v>7.9491137140358772</v>
      </c>
      <c r="AQ487" s="13">
        <f t="shared" si="260"/>
        <v>10.786531191056261</v>
      </c>
      <c r="AR487" s="13">
        <f t="shared" si="261"/>
        <v>7.4487792555606891</v>
      </c>
      <c r="AS487" s="13">
        <f t="shared" si="262"/>
        <v>6.8707698771330206</v>
      </c>
      <c r="AT487" s="13">
        <f t="shared" si="263"/>
        <v>7.7868841819697039</v>
      </c>
      <c r="AU487" s="9">
        <v>0</v>
      </c>
      <c r="AV487" s="18">
        <f t="shared" si="280"/>
        <v>1</v>
      </c>
      <c r="AW487" s="18">
        <f t="shared" si="281"/>
        <v>3</v>
      </c>
      <c r="AX487" s="18">
        <f t="shared" si="282"/>
        <v>4</v>
      </c>
      <c r="AY487" s="18">
        <f t="shared" si="283"/>
        <v>5</v>
      </c>
      <c r="AZ487" s="18">
        <f t="shared" si="284"/>
        <v>2</v>
      </c>
      <c r="BA487" s="18">
        <f t="shared" si="285"/>
        <v>7</v>
      </c>
      <c r="BB487" s="18">
        <f t="shared" si="286"/>
        <v>8</v>
      </c>
      <c r="BC487" s="18">
        <f t="shared" si="287"/>
        <v>6</v>
      </c>
      <c r="BD487" s="18">
        <f t="shared" si="288"/>
        <v>9</v>
      </c>
      <c r="BE487" s="8">
        <f t="shared" si="290"/>
        <v>-7.6249055342462384E-4</v>
      </c>
    </row>
    <row r="488" spans="1:57" x14ac:dyDescent="0.25">
      <c r="A488" t="str">
        <f t="shared" si="289"/>
        <v/>
      </c>
      <c r="B488" s="1">
        <v>43453</v>
      </c>
      <c r="C488" s="9">
        <f t="shared" si="264"/>
        <v>0.24899231467355179</v>
      </c>
      <c r="D488" s="9">
        <f t="shared" si="265"/>
        <v>0.25093939987118685</v>
      </c>
      <c r="E488" s="9">
        <f t="shared" si="266"/>
        <v>0.24615632971783177</v>
      </c>
      <c r="F488" s="9">
        <f t="shared" si="267"/>
        <v>0</v>
      </c>
      <c r="G488" s="9">
        <f t="shared" si="268"/>
        <v>0.25391195573742947</v>
      </c>
      <c r="H488" s="9">
        <f t="shared" si="269"/>
        <v>0</v>
      </c>
      <c r="I488" s="9">
        <f t="shared" si="270"/>
        <v>0</v>
      </c>
      <c r="J488" s="9">
        <f t="shared" si="271"/>
        <v>0</v>
      </c>
      <c r="K488" s="9">
        <v>0</v>
      </c>
      <c r="L488" s="8">
        <f>+VLOOKUP($B488,NIFTY_50!$B$3:$I$1238,8,0)</f>
        <v>5.3718591582863073E-3</v>
      </c>
      <c r="M488" s="8">
        <f>+VLOOKUP($B488,NIFTY_BANK!$B$3:$I$41238,8,0)</f>
        <v>4.5520281732640555E-3</v>
      </c>
      <c r="N488" s="8">
        <f>+VLOOKUP($B488,NIFTY_IT!$B$3:$I$1238,8,0)</f>
        <v>-9.44273601748713E-3</v>
      </c>
      <c r="O488" s="8">
        <f>+VLOOKUP($B488,NIFTY_PHARMA!$B$3:$I$1238,8,0)</f>
        <v>-1.9173340572823383E-3</v>
      </c>
      <c r="P488" s="8">
        <f>+VLOOKUP($B488,NIFTY_FMCG!$B$3:$I$1238,8,0)</f>
        <v>1.2679228752443539E-2</v>
      </c>
      <c r="Q488" s="8">
        <f>+VLOOKUP($B488,NIFTY_METAL!$B$3:$I$1238,8,0)</f>
        <v>4.0648499914013314E-3</v>
      </c>
      <c r="R488" s="8">
        <f>+VLOOKUP($B488,NIFTY_ENERGY!$B$3:$I$1238,8,0)</f>
        <v>5.3036938176862503E-3</v>
      </c>
      <c r="S488" s="8">
        <f>+VLOOKUP($B488,NIFTY_AUTO!$B$3:$I$1238,8,0)</f>
        <v>1.1048724983517388E-2</v>
      </c>
      <c r="T488" s="8">
        <v>0</v>
      </c>
      <c r="U488" s="8">
        <f>+VLOOKUP($B488,NIFTY_50!$B$63:$K$1238,10,0)</f>
        <v>-3.6074795104480306E-2</v>
      </c>
      <c r="V488" s="8">
        <f>+VLOOKUP($B488,NIFTY_BANK!$B$63:$K$1238,10,0)</f>
        <v>1.7826049671331168E-2</v>
      </c>
      <c r="W488" s="8">
        <f>+VLOOKUP($B488,NIFTY_IT!$B$63:$K$1238,10,0)</f>
        <v>-9.4790257943646927E-2</v>
      </c>
      <c r="X488" s="8">
        <f>+VLOOKUP($B488,NIFTY_PHARMA!$B$63:$K$1238,10,0)</f>
        <v>-0.16000342721686178</v>
      </c>
      <c r="Y488" s="8">
        <f>+VLOOKUP($B488,NIFTY_FMCG!$B$63:$K$1238,10,0)</f>
        <v>1.3661760976447779E-2</v>
      </c>
      <c r="Z488" s="8">
        <f>+VLOOKUP($B488,NIFTY_METAL!$B$63:$K$1238,10,0)</f>
        <v>-0.13339810279453235</v>
      </c>
      <c r="AA488" s="8">
        <f>+VLOOKUP($B488,NIFTY_ENERGY!$B$63:$K$1238,10,0)</f>
        <v>-7.3454182029015214E-2</v>
      </c>
      <c r="AB488" s="8">
        <f>+VLOOKUP($B488,NIFTY_AUTO!$B$63:$K$1238,10,0)</f>
        <v>-0.11398031833600464</v>
      </c>
      <c r="AC488" s="8"/>
      <c r="AD488" s="16">
        <f t="shared" si="272"/>
        <v>8.5469732983292176E-2</v>
      </c>
      <c r="AE488" s="8">
        <f t="shared" si="273"/>
        <v>9.3319246365052719E-2</v>
      </c>
      <c r="AF488" s="8">
        <f t="shared" si="274"/>
        <v>0.12456027917499805</v>
      </c>
      <c r="AG488" s="8">
        <f t="shared" si="275"/>
        <v>0.12530979495929398</v>
      </c>
      <c r="AH488" s="8">
        <f t="shared" si="276"/>
        <v>9.2525298389068908E-2</v>
      </c>
      <c r="AI488" s="8">
        <f t="shared" si="277"/>
        <v>0.13439848328105553</v>
      </c>
      <c r="AJ488" s="8">
        <f t="shared" si="278"/>
        <v>0.14532052299720458</v>
      </c>
      <c r="AK488" s="8">
        <f t="shared" si="279"/>
        <v>0.1289013804605291</v>
      </c>
      <c r="AL488" s="9">
        <v>0</v>
      </c>
      <c r="AM488" s="17">
        <f t="shared" si="256"/>
        <v>11.70004825211613</v>
      </c>
      <c r="AN488" s="13">
        <f t="shared" si="257"/>
        <v>10.715903084859155</v>
      </c>
      <c r="AO488" s="13">
        <f t="shared" si="258"/>
        <v>8.0282414797342696</v>
      </c>
      <c r="AP488" s="13">
        <f t="shared" si="259"/>
        <v>7.9802221392576937</v>
      </c>
      <c r="AQ488" s="13">
        <f t="shared" si="260"/>
        <v>10.807854904666177</v>
      </c>
      <c r="AR488" s="13">
        <f t="shared" si="261"/>
        <v>7.4405601580249199</v>
      </c>
      <c r="AS488" s="13">
        <f t="shared" si="262"/>
        <v>6.8813404973723928</v>
      </c>
      <c r="AT488" s="13">
        <f t="shared" si="263"/>
        <v>7.7578688174422625</v>
      </c>
      <c r="AU488" s="9">
        <v>0</v>
      </c>
      <c r="AV488" s="18">
        <f t="shared" si="280"/>
        <v>1</v>
      </c>
      <c r="AW488" s="18">
        <f t="shared" si="281"/>
        <v>3</v>
      </c>
      <c r="AX488" s="18">
        <f t="shared" si="282"/>
        <v>4</v>
      </c>
      <c r="AY488" s="18">
        <f t="shared" si="283"/>
        <v>5</v>
      </c>
      <c r="AZ488" s="18">
        <f t="shared" si="284"/>
        <v>2</v>
      </c>
      <c r="BA488" s="18">
        <f t="shared" si="285"/>
        <v>7</v>
      </c>
      <c r="BB488" s="18">
        <f t="shared" si="286"/>
        <v>8</v>
      </c>
      <c r="BC488" s="18">
        <f t="shared" si="287"/>
        <v>6</v>
      </c>
      <c r="BD488" s="18">
        <f t="shared" si="288"/>
        <v>9</v>
      </c>
      <c r="BE488" s="8">
        <f t="shared" si="290"/>
        <v>3.3109906324283976E-3</v>
      </c>
    </row>
    <row r="489" spans="1:57" x14ac:dyDescent="0.25">
      <c r="A489" t="str">
        <f t="shared" si="289"/>
        <v/>
      </c>
      <c r="B489" s="1">
        <v>43454</v>
      </c>
      <c r="C489" s="9">
        <f t="shared" si="264"/>
        <v>0.24943310673939825</v>
      </c>
      <c r="D489" s="9">
        <f t="shared" si="265"/>
        <v>0.25152684979392831</v>
      </c>
      <c r="E489" s="9">
        <f t="shared" si="266"/>
        <v>0.24610310752062081</v>
      </c>
      <c r="F489" s="9">
        <f t="shared" si="267"/>
        <v>0</v>
      </c>
      <c r="G489" s="9">
        <f t="shared" si="268"/>
        <v>0.2529369359460526</v>
      </c>
      <c r="H489" s="9">
        <f t="shared" si="269"/>
        <v>0</v>
      </c>
      <c r="I489" s="9">
        <f t="shared" si="270"/>
        <v>0</v>
      </c>
      <c r="J489" s="9">
        <f t="shared" si="271"/>
        <v>0</v>
      </c>
      <c r="K489" s="9">
        <v>0</v>
      </c>
      <c r="L489" s="8">
        <f>+VLOOKUP($B489,NIFTY_50!$B$3:$I$1238,8,0)</f>
        <v>-1.4224102559425855E-3</v>
      </c>
      <c r="M489" s="8">
        <f>+VLOOKUP($B489,NIFTY_BANK!$B$3:$I$41238,8,0)</f>
        <v>-8.5352987720899165E-4</v>
      </c>
      <c r="N489" s="8">
        <f>+VLOOKUP($B489,NIFTY_IT!$B$3:$I$1238,8,0)</f>
        <v>-3.4025959785632942E-3</v>
      </c>
      <c r="O489" s="8">
        <f>+VLOOKUP($B489,NIFTY_PHARMA!$B$3:$I$1238,8,0)</f>
        <v>3.4396976239450261E-3</v>
      </c>
      <c r="P489" s="8">
        <f>+VLOOKUP($B489,NIFTY_FMCG!$B$3:$I$1238,8,0)</f>
        <v>-7.0148253960568008E-3</v>
      </c>
      <c r="Q489" s="8">
        <f>+VLOOKUP($B489,NIFTY_METAL!$B$3:$I$1238,8,0)</f>
        <v>-1.0354545879202148E-2</v>
      </c>
      <c r="R489" s="8">
        <f>+VLOOKUP($B489,NIFTY_ENERGY!$B$3:$I$1238,8,0)</f>
        <v>-2.6136560069144332E-3</v>
      </c>
      <c r="S489" s="8">
        <f>+VLOOKUP($B489,NIFTY_AUTO!$B$3:$I$1238,8,0)</f>
        <v>1.7722477570809581E-3</v>
      </c>
      <c r="T489" s="8">
        <v>0</v>
      </c>
      <c r="U489" s="8">
        <f>+VLOOKUP($B489,NIFTY_50!$B$63:$K$1238,10,0)</f>
        <v>-2.9009921180256804E-2</v>
      </c>
      <c r="V489" s="8">
        <f>+VLOOKUP($B489,NIFTY_BANK!$B$63:$K$1238,10,0)</f>
        <v>3.1528149931263183E-2</v>
      </c>
      <c r="W489" s="8">
        <f>+VLOOKUP($B489,NIFTY_IT!$B$63:$K$1238,10,0)</f>
        <v>-9.2873183207535459E-2</v>
      </c>
      <c r="X489" s="8">
        <f>+VLOOKUP($B489,NIFTY_PHARMA!$B$63:$K$1238,10,0)</f>
        <v>-0.15399315840770544</v>
      </c>
      <c r="Y489" s="8">
        <f>+VLOOKUP($B489,NIFTY_FMCG!$B$63:$K$1238,10,0)</f>
        <v>-4.3148584237656662E-3</v>
      </c>
      <c r="Z489" s="8">
        <f>+VLOOKUP($B489,NIFTY_METAL!$B$63:$K$1238,10,0)</f>
        <v>-0.12888901071790793</v>
      </c>
      <c r="AA489" s="8">
        <f>+VLOOKUP($B489,NIFTY_ENERGY!$B$63:$K$1238,10,0)</f>
        <v>-6.6978434949095056E-2</v>
      </c>
      <c r="AB489" s="8">
        <f>+VLOOKUP($B489,NIFTY_AUTO!$B$63:$K$1238,10,0)</f>
        <v>-9.853629450152146E-2</v>
      </c>
      <c r="AC489" s="8"/>
      <c r="AD489" s="16">
        <f t="shared" si="272"/>
        <v>8.5080138432944777E-2</v>
      </c>
      <c r="AE489" s="8">
        <f t="shared" si="273"/>
        <v>9.2180314466275046E-2</v>
      </c>
      <c r="AF489" s="8">
        <f t="shared" si="274"/>
        <v>0.12451006644000859</v>
      </c>
      <c r="AG489" s="8">
        <f t="shared" si="275"/>
        <v>0.12545437477980392</v>
      </c>
      <c r="AH489" s="8">
        <f t="shared" si="276"/>
        <v>9.2175222957890546E-2</v>
      </c>
      <c r="AI489" s="8">
        <f t="shared" si="277"/>
        <v>0.13398764543671596</v>
      </c>
      <c r="AJ489" s="8">
        <f t="shared" si="278"/>
        <v>0.1450793580157089</v>
      </c>
      <c r="AK489" s="8">
        <f t="shared" si="279"/>
        <v>0.12822001330338068</v>
      </c>
      <c r="AL489" s="9">
        <v>0</v>
      </c>
      <c r="AM489" s="17">
        <f t="shared" si="256"/>
        <v>11.753624505302632</v>
      </c>
      <c r="AN489" s="13">
        <f t="shared" si="257"/>
        <v>10.84830319564443</v>
      </c>
      <c r="AO489" s="13">
        <f t="shared" si="258"/>
        <v>8.031479129294496</v>
      </c>
      <c r="AP489" s="13">
        <f t="shared" si="259"/>
        <v>7.9710253369417252</v>
      </c>
      <c r="AQ489" s="13">
        <f t="shared" si="260"/>
        <v>10.848902426380258</v>
      </c>
      <c r="AR489" s="13">
        <f t="shared" si="261"/>
        <v>7.4633746771250822</v>
      </c>
      <c r="AS489" s="13">
        <f t="shared" si="262"/>
        <v>6.8927793290326118</v>
      </c>
      <c r="AT489" s="13">
        <f t="shared" si="263"/>
        <v>7.7990944957547734</v>
      </c>
      <c r="AU489" s="9">
        <v>0</v>
      </c>
      <c r="AV489" s="18">
        <f t="shared" si="280"/>
        <v>1</v>
      </c>
      <c r="AW489" s="18">
        <f t="shared" si="281"/>
        <v>3</v>
      </c>
      <c r="AX489" s="18">
        <f t="shared" si="282"/>
        <v>4</v>
      </c>
      <c r="AY489" s="18">
        <f t="shared" si="283"/>
        <v>5</v>
      </c>
      <c r="AZ489" s="18">
        <f t="shared" si="284"/>
        <v>2</v>
      </c>
      <c r="BA489" s="18">
        <f t="shared" si="285"/>
        <v>7</v>
      </c>
      <c r="BB489" s="18">
        <f t="shared" si="286"/>
        <v>8</v>
      </c>
      <c r="BC489" s="18">
        <f t="shared" si="287"/>
        <v>6</v>
      </c>
      <c r="BD489" s="18">
        <f t="shared" si="288"/>
        <v>9</v>
      </c>
      <c r="BE489" s="8">
        <f t="shared" si="290"/>
        <v>-3.187072070266661E-3</v>
      </c>
    </row>
    <row r="490" spans="1:57" x14ac:dyDescent="0.25">
      <c r="A490" t="str">
        <f t="shared" si="289"/>
        <v/>
      </c>
      <c r="B490" s="1">
        <v>43455</v>
      </c>
      <c r="C490" s="9">
        <f t="shared" si="264"/>
        <v>0.24954831916566592</v>
      </c>
      <c r="D490" s="9">
        <f t="shared" si="265"/>
        <v>0.25245970420434699</v>
      </c>
      <c r="E490" s="9">
        <f t="shared" si="266"/>
        <v>0.24497902421593906</v>
      </c>
      <c r="F490" s="9">
        <f t="shared" si="267"/>
        <v>0</v>
      </c>
      <c r="G490" s="9">
        <f t="shared" si="268"/>
        <v>0.25301295241404798</v>
      </c>
      <c r="H490" s="9">
        <f t="shared" si="269"/>
        <v>0</v>
      </c>
      <c r="I490" s="9">
        <f t="shared" si="270"/>
        <v>0</v>
      </c>
      <c r="J490" s="9">
        <f t="shared" si="271"/>
        <v>0</v>
      </c>
      <c r="K490" s="9">
        <v>0</v>
      </c>
      <c r="L490" s="8">
        <f>+VLOOKUP($B490,NIFTY_50!$B$3:$I$1238,8,0)</f>
        <v>-1.8051991928193845E-2</v>
      </c>
      <c r="M490" s="8">
        <f>+VLOOKUP($B490,NIFTY_BANK!$B$3:$I$41238,8,0)</f>
        <v>-1.4865206727014635E-2</v>
      </c>
      <c r="N490" s="8">
        <f>+VLOOKUP($B490,NIFTY_IT!$B$3:$I$1238,8,0)</f>
        <v>-2.2988347665235165E-2</v>
      </c>
      <c r="O490" s="8">
        <f>+VLOOKUP($B490,NIFTY_PHARMA!$B$3:$I$1238,8,0)</f>
        <v>-9.0074318371772266E-3</v>
      </c>
      <c r="P490" s="8">
        <f>+VLOOKUP($B490,NIFTY_FMCG!$B$3:$I$1238,8,0)</f>
        <v>-1.8210367702158226E-2</v>
      </c>
      <c r="Q490" s="8">
        <f>+VLOOKUP($B490,NIFTY_METAL!$B$3:$I$1238,8,0)</f>
        <v>-4.9089021051637038E-3</v>
      </c>
      <c r="R490" s="8">
        <f>+VLOOKUP($B490,NIFTY_ENERGY!$B$3:$I$1238,8,0)</f>
        <v>-1.836779967694302E-2</v>
      </c>
      <c r="S490" s="8">
        <f>+VLOOKUP($B490,NIFTY_AUTO!$B$3:$I$1238,8,0)</f>
        <v>-1.9664971048500957E-2</v>
      </c>
      <c r="T490" s="8">
        <v>0</v>
      </c>
      <c r="U490" s="8">
        <f>+VLOOKUP($B490,NIFTY_50!$B$63:$K$1238,10,0)</f>
        <v>-4.2757257874287413E-2</v>
      </c>
      <c r="V490" s="8">
        <f>+VLOOKUP($B490,NIFTY_BANK!$B$63:$K$1238,10,0)</f>
        <v>2.2540324652219557E-2</v>
      </c>
      <c r="W490" s="8">
        <f>+VLOOKUP($B490,NIFTY_IT!$B$63:$K$1238,10,0)</f>
        <v>-0.11554443334298226</v>
      </c>
      <c r="X490" s="8">
        <f>+VLOOKUP($B490,NIFTY_PHARMA!$B$63:$K$1238,10,0)</f>
        <v>-0.16093602819177688</v>
      </c>
      <c r="Y490" s="8">
        <f>+VLOOKUP($B490,NIFTY_FMCG!$B$63:$K$1238,10,0)</f>
        <v>-9.4431524844446058E-3</v>
      </c>
      <c r="Z490" s="8">
        <f>+VLOOKUP($B490,NIFTY_METAL!$B$63:$K$1238,10,0)</f>
        <v>-0.14342597107102228</v>
      </c>
      <c r="AA490" s="8">
        <f>+VLOOKUP($B490,NIFTY_ENERGY!$B$63:$K$1238,10,0)</f>
        <v>-8.4012303950266709E-2</v>
      </c>
      <c r="AB490" s="8">
        <f>+VLOOKUP($B490,NIFTY_AUTO!$B$63:$K$1238,10,0)</f>
        <v>-0.11309472924324881</v>
      </c>
      <c r="AC490" s="8"/>
      <c r="AD490" s="16">
        <f t="shared" si="272"/>
        <v>8.6796951351388846E-2</v>
      </c>
      <c r="AE490" s="8">
        <f t="shared" si="273"/>
        <v>9.321190415216804E-2</v>
      </c>
      <c r="AF490" s="8">
        <f t="shared" si="274"/>
        <v>0.12626605615437869</v>
      </c>
      <c r="AG490" s="8">
        <f t="shared" si="275"/>
        <v>0.12560011843998933</v>
      </c>
      <c r="AH490" s="8">
        <f t="shared" si="276"/>
        <v>9.3032917227023351E-2</v>
      </c>
      <c r="AI490" s="8">
        <f t="shared" si="277"/>
        <v>0.13325651534259553</v>
      </c>
      <c r="AJ490" s="8">
        <f t="shared" si="278"/>
        <v>0.14609888171591628</v>
      </c>
      <c r="AK490" s="8">
        <f t="shared" si="279"/>
        <v>0.12945935381143056</v>
      </c>
      <c r="AL490" s="9">
        <v>0</v>
      </c>
      <c r="AM490" s="17">
        <f t="shared" si="256"/>
        <v>11.521141980570253</v>
      </c>
      <c r="AN490" s="13">
        <f t="shared" si="257"/>
        <v>10.728243448041832</v>
      </c>
      <c r="AO490" s="13">
        <f t="shared" si="258"/>
        <v>7.9197848610821735</v>
      </c>
      <c r="AP490" s="13">
        <f t="shared" si="259"/>
        <v>7.9617759315871304</v>
      </c>
      <c r="AQ490" s="13">
        <f t="shared" si="260"/>
        <v>10.748883618899669</v>
      </c>
      <c r="AR490" s="13">
        <f t="shared" si="261"/>
        <v>7.5043235029000446</v>
      </c>
      <c r="AS490" s="13">
        <f t="shared" si="262"/>
        <v>6.8446793586309713</v>
      </c>
      <c r="AT490" s="13">
        <f t="shared" si="263"/>
        <v>7.7244321909453673</v>
      </c>
      <c r="AU490" s="9">
        <v>0</v>
      </c>
      <c r="AV490" s="18">
        <f t="shared" si="280"/>
        <v>1</v>
      </c>
      <c r="AW490" s="18">
        <f t="shared" si="281"/>
        <v>3</v>
      </c>
      <c r="AX490" s="18">
        <f t="shared" si="282"/>
        <v>5</v>
      </c>
      <c r="AY490" s="18">
        <f t="shared" si="283"/>
        <v>4</v>
      </c>
      <c r="AZ490" s="18">
        <f t="shared" si="284"/>
        <v>2</v>
      </c>
      <c r="BA490" s="18">
        <f t="shared" si="285"/>
        <v>7</v>
      </c>
      <c r="BB490" s="18">
        <f t="shared" si="286"/>
        <v>8</v>
      </c>
      <c r="BC490" s="18">
        <f t="shared" si="287"/>
        <v>6</v>
      </c>
      <c r="BD490" s="18">
        <f t="shared" si="288"/>
        <v>9</v>
      </c>
      <c r="BE490" s="8">
        <f t="shared" si="290"/>
        <v>-1.8505341455279076E-2</v>
      </c>
    </row>
    <row r="491" spans="1:57" x14ac:dyDescent="0.25">
      <c r="A491" t="str">
        <f t="shared" si="289"/>
        <v/>
      </c>
      <c r="B491" s="1">
        <v>43458</v>
      </c>
      <c r="C491" s="9">
        <f t="shared" si="264"/>
        <v>0.24867980018236491</v>
      </c>
      <c r="D491" s="9">
        <f t="shared" si="265"/>
        <v>0.25225355389676579</v>
      </c>
      <c r="E491" s="9">
        <f t="shared" si="266"/>
        <v>0.24688968340538048</v>
      </c>
      <c r="F491" s="9">
        <f t="shared" si="267"/>
        <v>0</v>
      </c>
      <c r="G491" s="9">
        <f t="shared" si="268"/>
        <v>0.25217696251548888</v>
      </c>
      <c r="H491" s="9">
        <f t="shared" si="269"/>
        <v>0</v>
      </c>
      <c r="I491" s="9">
        <f t="shared" si="270"/>
        <v>0</v>
      </c>
      <c r="J491" s="9">
        <f t="shared" si="271"/>
        <v>0</v>
      </c>
      <c r="K491" s="9">
        <v>0</v>
      </c>
      <c r="L491" s="8">
        <f>+VLOOKUP($B491,NIFTY_50!$B$3:$I$1238,8,0)</f>
        <v>-8.4154733122558945E-3</v>
      </c>
      <c r="M491" s="8">
        <f>+VLOOKUP($B491,NIFTY_BANK!$B$3:$I$41238,8,0)</f>
        <v>-5.7648685412724499E-3</v>
      </c>
      <c r="N491" s="8">
        <f>+VLOOKUP($B491,NIFTY_IT!$B$3:$I$1238,8,0)</f>
        <v>2.8083066755348884E-3</v>
      </c>
      <c r="O491" s="8">
        <f>+VLOOKUP($B491,NIFTY_PHARMA!$B$3:$I$1238,8,0)</f>
        <v>-5.436486001333396E-3</v>
      </c>
      <c r="P491" s="8">
        <f>+VLOOKUP($B491,NIFTY_FMCG!$B$3:$I$1238,8,0)</f>
        <v>-8.2401207955019595E-3</v>
      </c>
      <c r="Q491" s="8">
        <f>+VLOOKUP($B491,NIFTY_METAL!$B$3:$I$1238,8,0)</f>
        <v>-2.291053979698332E-2</v>
      </c>
      <c r="R491" s="8">
        <f>+VLOOKUP($B491,NIFTY_ENERGY!$B$3:$I$1238,8,0)</f>
        <v>-1.2027048500150017E-2</v>
      </c>
      <c r="S491" s="8">
        <f>+VLOOKUP($B491,NIFTY_AUTO!$B$3:$I$1238,8,0)</f>
        <v>-1.3976277811989624E-2</v>
      </c>
      <c r="T491" s="8">
        <v>0</v>
      </c>
      <c r="U491" s="8">
        <f>+VLOOKUP($B491,NIFTY_50!$B$63:$K$1238,10,0)</f>
        <v>-4.3040087587834619E-2</v>
      </c>
      <c r="V491" s="8">
        <f>+VLOOKUP($B491,NIFTY_BANK!$B$63:$K$1238,10,0)</f>
        <v>4.3671303946962281E-2</v>
      </c>
      <c r="W491" s="8">
        <f>+VLOOKUP($B491,NIFTY_IT!$B$63:$K$1238,10,0)</f>
        <v>-0.10015157735181734</v>
      </c>
      <c r="X491" s="8">
        <f>+VLOOKUP($B491,NIFTY_PHARMA!$B$63:$K$1238,10,0)</f>
        <v>-0.14884392358825049</v>
      </c>
      <c r="Y491" s="8">
        <f>+VLOOKUP($B491,NIFTY_FMCG!$B$63:$K$1238,10,0)</f>
        <v>-1.4994951803702472E-2</v>
      </c>
      <c r="Z491" s="8">
        <f>+VLOOKUP($B491,NIFTY_METAL!$B$63:$K$1238,10,0)</f>
        <v>-0.15882392976247195</v>
      </c>
      <c r="AA491" s="8">
        <f>+VLOOKUP($B491,NIFTY_ENERGY!$B$63:$K$1238,10,0)</f>
        <v>-0.10181826353264456</v>
      </c>
      <c r="AB491" s="8">
        <f>+VLOOKUP($B491,NIFTY_AUTO!$B$63:$K$1238,10,0)</f>
        <v>-0.11536502872955778</v>
      </c>
      <c r="AC491" s="8"/>
      <c r="AD491" s="16">
        <f t="shared" si="272"/>
        <v>8.6822649865416851E-2</v>
      </c>
      <c r="AE491" s="8">
        <f t="shared" si="273"/>
        <v>8.9593101427934765E-2</v>
      </c>
      <c r="AF491" s="8">
        <f t="shared" si="274"/>
        <v>0.12571744092333903</v>
      </c>
      <c r="AG491" s="8">
        <f t="shared" si="275"/>
        <v>0.12448444392900467</v>
      </c>
      <c r="AH491" s="8">
        <f t="shared" si="276"/>
        <v>9.3351715462773807E-2</v>
      </c>
      <c r="AI491" s="8">
        <f t="shared" si="277"/>
        <v>0.13478227593373948</v>
      </c>
      <c r="AJ491" s="8">
        <f t="shared" si="278"/>
        <v>0.14620804035234219</v>
      </c>
      <c r="AK491" s="8">
        <f t="shared" si="279"/>
        <v>0.129671498234087</v>
      </c>
      <c r="AL491" s="9">
        <v>0</v>
      </c>
      <c r="AM491" s="17">
        <f t="shared" si="256"/>
        <v>11.51773185395853</v>
      </c>
      <c r="AN491" s="13">
        <f t="shared" si="257"/>
        <v>11.161573648662687</v>
      </c>
      <c r="AO491" s="13">
        <f t="shared" si="258"/>
        <v>7.9543458143551291</v>
      </c>
      <c r="AP491" s="13">
        <f t="shared" si="259"/>
        <v>8.033132240766685</v>
      </c>
      <c r="AQ491" s="13">
        <f t="shared" si="260"/>
        <v>10.712175936378733</v>
      </c>
      <c r="AR491" s="13">
        <f t="shared" si="261"/>
        <v>7.4193731562420826</v>
      </c>
      <c r="AS491" s="13">
        <f t="shared" si="262"/>
        <v>6.8395691344342708</v>
      </c>
      <c r="AT491" s="13">
        <f t="shared" si="263"/>
        <v>7.71179490958583</v>
      </c>
      <c r="AU491" s="9">
        <v>0</v>
      </c>
      <c r="AV491" s="18">
        <f t="shared" si="280"/>
        <v>1</v>
      </c>
      <c r="AW491" s="18">
        <f t="shared" si="281"/>
        <v>2</v>
      </c>
      <c r="AX491" s="18">
        <f t="shared" si="282"/>
        <v>5</v>
      </c>
      <c r="AY491" s="18">
        <f t="shared" si="283"/>
        <v>4</v>
      </c>
      <c r="AZ491" s="18">
        <f t="shared" si="284"/>
        <v>3</v>
      </c>
      <c r="BA491" s="18">
        <f t="shared" si="285"/>
        <v>7</v>
      </c>
      <c r="BB491" s="18">
        <f t="shared" si="286"/>
        <v>8</v>
      </c>
      <c r="BC491" s="18">
        <f t="shared" si="287"/>
        <v>6</v>
      </c>
      <c r="BD491" s="18">
        <f t="shared" si="288"/>
        <v>9</v>
      </c>
      <c r="BE491" s="8">
        <f t="shared" si="290"/>
        <v>-4.9523452884102656E-3</v>
      </c>
    </row>
    <row r="492" spans="1:57" x14ac:dyDescent="0.25">
      <c r="A492" t="str">
        <f t="shared" si="289"/>
        <v/>
      </c>
      <c r="B492" s="1">
        <v>43460</v>
      </c>
      <c r="C492" s="9">
        <f t="shared" si="264"/>
        <v>0.24948915126763177</v>
      </c>
      <c r="D492" s="9">
        <f t="shared" si="265"/>
        <v>0.2540708544480737</v>
      </c>
      <c r="E492" s="9">
        <f t="shared" si="266"/>
        <v>0.24462647065303486</v>
      </c>
      <c r="F492" s="9">
        <f t="shared" si="267"/>
        <v>0</v>
      </c>
      <c r="G492" s="9">
        <f t="shared" si="268"/>
        <v>0.25181352363125969</v>
      </c>
      <c r="H492" s="9">
        <f t="shared" si="269"/>
        <v>0</v>
      </c>
      <c r="I492" s="9">
        <f t="shared" si="270"/>
        <v>0</v>
      </c>
      <c r="J492" s="9">
        <f t="shared" si="271"/>
        <v>0</v>
      </c>
      <c r="K492" s="9">
        <v>0</v>
      </c>
      <c r="L492" s="8">
        <f>+VLOOKUP($B492,NIFTY_50!$B$3:$I$1238,8,0)</f>
        <v>6.2221597036620224E-3</v>
      </c>
      <c r="M492" s="8">
        <f>+VLOOKUP($B492,NIFTY_BANK!$B$3:$I$41238,8,0)</f>
        <v>1.0183512853386256E-2</v>
      </c>
      <c r="N492" s="8">
        <f>+VLOOKUP($B492,NIFTY_IT!$B$3:$I$1238,8,0)</f>
        <v>-6.2360723623028358E-3</v>
      </c>
      <c r="O492" s="8">
        <f>+VLOOKUP($B492,NIFTY_PHARMA!$B$3:$I$1238,8,0)</f>
        <v>-4.7557111507101624E-3</v>
      </c>
      <c r="P492" s="8">
        <f>+VLOOKUP($B492,NIFTY_FMCG!$B$3:$I$1238,8,0)</f>
        <v>1.5124728931803499E-3</v>
      </c>
      <c r="Q492" s="8">
        <f>+VLOOKUP($B492,NIFTY_METAL!$B$3:$I$1238,8,0)</f>
        <v>2.7833066330080758E-3</v>
      </c>
      <c r="R492" s="8">
        <f>+VLOOKUP($B492,NIFTY_ENERGY!$B$3:$I$1238,8,0)</f>
        <v>5.3075710624792549E-3</v>
      </c>
      <c r="S492" s="8">
        <f>+VLOOKUP($B492,NIFTY_AUTO!$B$3:$I$1238,8,0)</f>
        <v>2.1994732125885097E-3</v>
      </c>
      <c r="T492" s="8">
        <v>0</v>
      </c>
      <c r="U492" s="8">
        <f>+VLOOKUP($B492,NIFTY_50!$B$63:$K$1238,10,0)</f>
        <v>-2.1659645859547272E-2</v>
      </c>
      <c r="V492" s="8">
        <f>+VLOOKUP($B492,NIFTY_BANK!$B$63:$K$1238,10,0)</f>
        <v>8.0753773975935417E-2</v>
      </c>
      <c r="W492" s="8">
        <f>+VLOOKUP($B492,NIFTY_IT!$B$63:$K$1238,10,0)</f>
        <v>-0.12465920261138896</v>
      </c>
      <c r="X492" s="8">
        <f>+VLOOKUP($B492,NIFTY_PHARMA!$B$63:$K$1238,10,0)</f>
        <v>-0.13105880587308338</v>
      </c>
      <c r="Y492" s="8">
        <f>+VLOOKUP($B492,NIFTY_FMCG!$B$63:$K$1238,10,0)</f>
        <v>8.3044249929409286E-3</v>
      </c>
      <c r="Z492" s="8">
        <f>+VLOOKUP($B492,NIFTY_METAL!$B$63:$K$1238,10,0)</f>
        <v>-0.14683206211966848</v>
      </c>
      <c r="AA492" s="8">
        <f>+VLOOKUP($B492,NIFTY_ENERGY!$B$63:$K$1238,10,0)</f>
        <v>-9.7818591209573591E-2</v>
      </c>
      <c r="AB492" s="8">
        <f>+VLOOKUP($B492,NIFTY_AUTO!$B$63:$K$1238,10,0)</f>
        <v>-7.7392260773922583E-2</v>
      </c>
      <c r="AC492" s="8"/>
      <c r="AD492" s="16">
        <f t="shared" si="272"/>
        <v>8.5728221424414497E-2</v>
      </c>
      <c r="AE492" s="8">
        <f t="shared" si="273"/>
        <v>8.636339783291741E-2</v>
      </c>
      <c r="AF492" s="8">
        <f t="shared" si="274"/>
        <v>0.1235965427697539</v>
      </c>
      <c r="AG492" s="8">
        <f t="shared" si="275"/>
        <v>0.12240594577999528</v>
      </c>
      <c r="AH492" s="8">
        <f t="shared" si="276"/>
        <v>9.0820409645111649E-2</v>
      </c>
      <c r="AI492" s="8">
        <f t="shared" si="277"/>
        <v>0.13460459182015577</v>
      </c>
      <c r="AJ492" s="8">
        <f t="shared" si="278"/>
        <v>0.14634888431155602</v>
      </c>
      <c r="AK492" s="8">
        <f t="shared" si="279"/>
        <v>0.12418151546461768</v>
      </c>
      <c r="AL492" s="9">
        <v>0</v>
      </c>
      <c r="AM492" s="17">
        <f t="shared" si="256"/>
        <v>11.66477017001557</v>
      </c>
      <c r="AN492" s="13">
        <f t="shared" si="257"/>
        <v>11.578979348805218</v>
      </c>
      <c r="AO492" s="13">
        <f t="shared" si="258"/>
        <v>8.0908411966092331</v>
      </c>
      <c r="AP492" s="13">
        <f t="shared" si="259"/>
        <v>8.1695377918760332</v>
      </c>
      <c r="AQ492" s="13">
        <f t="shared" si="260"/>
        <v>11.010740910634334</v>
      </c>
      <c r="AR492" s="13">
        <f t="shared" si="261"/>
        <v>7.4291670624141322</v>
      </c>
      <c r="AS492" s="13">
        <f t="shared" si="262"/>
        <v>6.8329868362449684</v>
      </c>
      <c r="AT492" s="13">
        <f t="shared" si="263"/>
        <v>8.0527282684428521</v>
      </c>
      <c r="AU492" s="9">
        <v>0</v>
      </c>
      <c r="AV492" s="18">
        <f t="shared" si="280"/>
        <v>1</v>
      </c>
      <c r="AW492" s="18">
        <f t="shared" si="281"/>
        <v>2</v>
      </c>
      <c r="AX492" s="18">
        <f t="shared" si="282"/>
        <v>5</v>
      </c>
      <c r="AY492" s="18">
        <f t="shared" si="283"/>
        <v>4</v>
      </c>
      <c r="AZ492" s="18">
        <f t="shared" si="284"/>
        <v>3</v>
      </c>
      <c r="BA492" s="18">
        <f t="shared" si="285"/>
        <v>7</v>
      </c>
      <c r="BB492" s="18">
        <f t="shared" si="286"/>
        <v>8</v>
      </c>
      <c r="BC492" s="18">
        <f t="shared" si="287"/>
        <v>6</v>
      </c>
      <c r="BD492" s="18">
        <f t="shared" si="288"/>
        <v>9</v>
      </c>
      <c r="BE492" s="8">
        <f t="shared" si="290"/>
        <v>2.957941629096756E-3</v>
      </c>
    </row>
    <row r="493" spans="1:57" x14ac:dyDescent="0.25">
      <c r="A493" t="str">
        <f t="shared" si="289"/>
        <v/>
      </c>
      <c r="B493" s="1">
        <v>43461</v>
      </c>
      <c r="C493" s="9">
        <f t="shared" si="264"/>
        <v>0.24897689704089235</v>
      </c>
      <c r="D493" s="9">
        <f t="shared" si="265"/>
        <v>0.25136200152778565</v>
      </c>
      <c r="E493" s="9">
        <f t="shared" si="266"/>
        <v>0.24634986950703783</v>
      </c>
      <c r="F493" s="9">
        <f t="shared" si="267"/>
        <v>0</v>
      </c>
      <c r="G493" s="9">
        <f t="shared" si="268"/>
        <v>0.25331123192428429</v>
      </c>
      <c r="H493" s="9">
        <f t="shared" si="269"/>
        <v>0</v>
      </c>
      <c r="I493" s="9">
        <f t="shared" si="270"/>
        <v>0</v>
      </c>
      <c r="J493" s="9">
        <f t="shared" si="271"/>
        <v>0</v>
      </c>
      <c r="K493" s="9">
        <v>0</v>
      </c>
      <c r="L493" s="8">
        <f>+VLOOKUP($B493,NIFTY_50!$B$3:$I$1238,8,0)</f>
        <v>4.6552374916704053E-3</v>
      </c>
      <c r="M493" s="8">
        <f>+VLOOKUP($B493,NIFTY_BANK!$B$3:$I$41238,8,0)</f>
        <v>-4.0112203002949931E-3</v>
      </c>
      <c r="N493" s="8">
        <f>+VLOOKUP($B493,NIFTY_IT!$B$3:$I$1238,8,0)</f>
        <v>1.3814632492637147E-2</v>
      </c>
      <c r="O493" s="8">
        <f>+VLOOKUP($B493,NIFTY_PHARMA!$B$3:$I$1238,8,0)</f>
        <v>-2.1992319959469597E-3</v>
      </c>
      <c r="P493" s="8">
        <f>+VLOOKUP($B493,NIFTY_FMCG!$B$3:$I$1238,8,0)</f>
        <v>1.270992207359245E-2</v>
      </c>
      <c r="Q493" s="8">
        <f>+VLOOKUP($B493,NIFTY_METAL!$B$3:$I$1238,8,0)</f>
        <v>-3.0499120528005852E-3</v>
      </c>
      <c r="R493" s="8">
        <f>+VLOOKUP($B493,NIFTY_ENERGY!$B$3:$I$1238,8,0)</f>
        <v>1.5707104104894176E-2</v>
      </c>
      <c r="S493" s="8">
        <f>+VLOOKUP($B493,NIFTY_AUTO!$B$3:$I$1238,8,0)</f>
        <v>-4.6493985043892794E-3</v>
      </c>
      <c r="T493" s="8">
        <v>0</v>
      </c>
      <c r="U493" s="8">
        <f>+VLOOKUP($B493,NIFTY_50!$B$63:$K$1238,10,0)</f>
        <v>-2.5990630181297547E-2</v>
      </c>
      <c r="V493" s="8">
        <f>+VLOOKUP($B493,NIFTY_BANK!$B$63:$K$1238,10,0)</f>
        <v>6.1120355620826405E-2</v>
      </c>
      <c r="W493" s="8">
        <f>+VLOOKUP($B493,NIFTY_IT!$B$63:$K$1238,10,0)</f>
        <v>-0.11582455081337117</v>
      </c>
      <c r="X493" s="8">
        <f>+VLOOKUP($B493,NIFTY_PHARMA!$B$63:$K$1238,10,0)</f>
        <v>-0.15416074923256362</v>
      </c>
      <c r="Y493" s="8">
        <f>+VLOOKUP($B493,NIFTY_FMCG!$B$63:$K$1238,10,0)</f>
        <v>8.403500822424359E-3</v>
      </c>
      <c r="Z493" s="8">
        <f>+VLOOKUP($B493,NIFTY_METAL!$B$63:$K$1238,10,0)</f>
        <v>-0.14945756924940801</v>
      </c>
      <c r="AA493" s="8">
        <f>+VLOOKUP($B493,NIFTY_ENERGY!$B$63:$K$1238,10,0)</f>
        <v>-8.0820560338725644E-2</v>
      </c>
      <c r="AB493" s="8">
        <f>+VLOOKUP($B493,NIFTY_AUTO!$B$63:$K$1238,10,0)</f>
        <v>-9.0723680628090886E-2</v>
      </c>
      <c r="AC493" s="8"/>
      <c r="AD493" s="16">
        <f t="shared" si="272"/>
        <v>8.5350950362927946E-2</v>
      </c>
      <c r="AE493" s="8">
        <f t="shared" si="273"/>
        <v>8.5501487754821082E-2</v>
      </c>
      <c r="AF493" s="8">
        <f t="shared" si="274"/>
        <v>0.12447217222635859</v>
      </c>
      <c r="AG493" s="8">
        <f t="shared" si="275"/>
        <v>0.11928748877332646</v>
      </c>
      <c r="AH493" s="8">
        <f t="shared" si="276"/>
        <v>9.0834054974252051E-2</v>
      </c>
      <c r="AI493" s="8">
        <f t="shared" si="277"/>
        <v>0.1345825361566827</v>
      </c>
      <c r="AJ493" s="8">
        <f t="shared" si="278"/>
        <v>0.14732981519747285</v>
      </c>
      <c r="AK493" s="8">
        <f t="shared" si="279"/>
        <v>0.12371523026534043</v>
      </c>
      <c r="AL493" s="9">
        <v>0</v>
      </c>
      <c r="AM493" s="17">
        <f t="shared" si="256"/>
        <v>11.716331168520281</v>
      </c>
      <c r="AN493" s="13">
        <f t="shared" si="257"/>
        <v>11.695702920018652</v>
      </c>
      <c r="AO493" s="13">
        <f t="shared" si="258"/>
        <v>8.0339242267054853</v>
      </c>
      <c r="AP493" s="13">
        <f t="shared" si="259"/>
        <v>8.3831088262762332</v>
      </c>
      <c r="AQ493" s="13">
        <f t="shared" si="260"/>
        <v>11.009086848357276</v>
      </c>
      <c r="AR493" s="13">
        <f t="shared" si="261"/>
        <v>7.4303845696278703</v>
      </c>
      <c r="AS493" s="13">
        <f t="shared" si="262"/>
        <v>6.7874923935773257</v>
      </c>
      <c r="AT493" s="13">
        <f t="shared" si="263"/>
        <v>8.0830791637798534</v>
      </c>
      <c r="AU493" s="9">
        <v>0</v>
      </c>
      <c r="AV493" s="18">
        <f t="shared" si="280"/>
        <v>1</v>
      </c>
      <c r="AW493" s="18">
        <f t="shared" si="281"/>
        <v>2</v>
      </c>
      <c r="AX493" s="18">
        <f t="shared" si="282"/>
        <v>6</v>
      </c>
      <c r="AY493" s="18">
        <f t="shared" si="283"/>
        <v>4</v>
      </c>
      <c r="AZ493" s="18">
        <f t="shared" si="284"/>
        <v>3</v>
      </c>
      <c r="BA493" s="18">
        <f t="shared" si="285"/>
        <v>7</v>
      </c>
      <c r="BB493" s="18">
        <f t="shared" si="286"/>
        <v>8</v>
      </c>
      <c r="BC493" s="18">
        <f t="shared" si="287"/>
        <v>5</v>
      </c>
      <c r="BD493" s="18">
        <f t="shared" si="288"/>
        <v>9</v>
      </c>
      <c r="BE493" s="8">
        <f t="shared" si="290"/>
        <v>6.7222521341433056E-3</v>
      </c>
    </row>
    <row r="494" spans="1:57" x14ac:dyDescent="0.25">
      <c r="A494" t="str">
        <f t="shared" si="289"/>
        <v/>
      </c>
      <c r="B494" s="1">
        <v>43462</v>
      </c>
      <c r="C494" s="9">
        <f t="shared" si="264"/>
        <v>0.24931045695882745</v>
      </c>
      <c r="D494" s="9">
        <f t="shared" si="265"/>
        <v>0.25213542065962463</v>
      </c>
      <c r="E494" s="9">
        <f t="shared" si="266"/>
        <v>0.24539437693611288</v>
      </c>
      <c r="F494" s="9">
        <f t="shared" si="267"/>
        <v>0</v>
      </c>
      <c r="G494" s="9">
        <f t="shared" si="268"/>
        <v>0.25315974544543507</v>
      </c>
      <c r="H494" s="9">
        <f t="shared" si="269"/>
        <v>0</v>
      </c>
      <c r="I494" s="9">
        <f t="shared" si="270"/>
        <v>0</v>
      </c>
      <c r="J494" s="9">
        <f t="shared" si="271"/>
        <v>0</v>
      </c>
      <c r="K494" s="9">
        <v>0</v>
      </c>
      <c r="L494" s="8">
        <f>+VLOOKUP($B494,NIFTY_50!$B$3:$I$1238,8,0)</f>
        <v>7.4305645744818793E-3</v>
      </c>
      <c r="M494" s="8">
        <f>+VLOOKUP($B494,NIFTY_BANK!$B$3:$I$41238,8,0)</f>
        <v>9.1783224913546402E-3</v>
      </c>
      <c r="N494" s="8">
        <f>+VLOOKUP($B494,NIFTY_IT!$B$3:$I$1238,8,0)</f>
        <v>2.1805008882231913E-3</v>
      </c>
      <c r="O494" s="8">
        <f>+VLOOKUP($B494,NIFTY_PHARMA!$B$3:$I$1238,8,0)</f>
        <v>1.7130658050370728E-2</v>
      </c>
      <c r="P494" s="8">
        <f>+VLOOKUP($B494,NIFTY_FMCG!$B$3:$I$1238,8,0)</f>
        <v>5.4810303678709538E-3</v>
      </c>
      <c r="Q494" s="8">
        <f>+VLOOKUP($B494,NIFTY_METAL!$B$3:$I$1238,8,0)</f>
        <v>7.5105212042732017E-3</v>
      </c>
      <c r="R494" s="8">
        <f>+VLOOKUP($B494,NIFTY_ENERGY!$B$3:$I$1238,8,0)</f>
        <v>5.9644652282877519E-3</v>
      </c>
      <c r="S494" s="8">
        <f>+VLOOKUP($B494,NIFTY_AUTO!$B$3:$I$1238,8,0)</f>
        <v>4.3226881240403525E-3</v>
      </c>
      <c r="T494" s="8">
        <v>0</v>
      </c>
      <c r="U494" s="8">
        <f>+VLOOKUP($B494,NIFTY_50!$B$63:$K$1238,10,0)</f>
        <v>-1.7541478948415845E-2</v>
      </c>
      <c r="V494" s="8">
        <f>+VLOOKUP($B494,NIFTY_BANK!$B$63:$K$1238,10,0)</f>
        <v>6.8920607023088554E-2</v>
      </c>
      <c r="W494" s="8">
        <f>+VLOOKUP($B494,NIFTY_IT!$B$63:$K$1238,10,0)</f>
        <v>-9.7075465480826906E-2</v>
      </c>
      <c r="X494" s="8">
        <f>+VLOOKUP($B494,NIFTY_PHARMA!$B$63:$K$1238,10,0)</f>
        <v>-0.14336252223183299</v>
      </c>
      <c r="Y494" s="8">
        <f>+VLOOKUP($B494,NIFTY_FMCG!$B$63:$K$1238,10,0)</f>
        <v>2.9018635465499099E-2</v>
      </c>
      <c r="Z494" s="8">
        <f>+VLOOKUP($B494,NIFTY_METAL!$B$63:$K$1238,10,0)</f>
        <v>-0.15748724265352809</v>
      </c>
      <c r="AA494" s="8">
        <f>+VLOOKUP($B494,NIFTY_ENERGY!$B$63:$K$1238,10,0)</f>
        <v>-8.4953419214335302E-2</v>
      </c>
      <c r="AB494" s="8">
        <f>+VLOOKUP($B494,NIFTY_AUTO!$B$63:$K$1238,10,0)</f>
        <v>-7.7822878966627429E-2</v>
      </c>
      <c r="AC494" s="8"/>
      <c r="AD494" s="16">
        <f t="shared" si="272"/>
        <v>8.5695324723888855E-2</v>
      </c>
      <c r="AE494" s="8">
        <f t="shared" si="273"/>
        <v>8.5879889225861678E-2</v>
      </c>
      <c r="AF494" s="8">
        <f t="shared" si="274"/>
        <v>0.12337959790066506</v>
      </c>
      <c r="AG494" s="8">
        <f t="shared" si="275"/>
        <v>0.12070213230704327</v>
      </c>
      <c r="AH494" s="8">
        <f t="shared" si="276"/>
        <v>8.9727197261224967E-2</v>
      </c>
      <c r="AI494" s="8">
        <f t="shared" si="277"/>
        <v>0.13351583906193307</v>
      </c>
      <c r="AJ494" s="8">
        <f t="shared" si="278"/>
        <v>0.14703740337288743</v>
      </c>
      <c r="AK494" s="8">
        <f t="shared" si="279"/>
        <v>0.12355786486854139</v>
      </c>
      <c r="AL494" s="9">
        <v>0</v>
      </c>
      <c r="AM494" s="17">
        <f t="shared" si="256"/>
        <v>11.669248039166774</v>
      </c>
      <c r="AN494" s="13">
        <f t="shared" si="257"/>
        <v>11.644169653852584</v>
      </c>
      <c r="AO494" s="13">
        <f t="shared" si="258"/>
        <v>8.1050677503837907</v>
      </c>
      <c r="AP494" s="13">
        <f t="shared" si="259"/>
        <v>8.2848577807738319</v>
      </c>
      <c r="AQ494" s="13">
        <f t="shared" si="260"/>
        <v>11.144892858836053</v>
      </c>
      <c r="AR494" s="13">
        <f t="shared" si="261"/>
        <v>7.4897480855146847</v>
      </c>
      <c r="AS494" s="13">
        <f t="shared" si="262"/>
        <v>6.8009906123273689</v>
      </c>
      <c r="AT494" s="13">
        <f t="shared" si="263"/>
        <v>8.0933739107902483</v>
      </c>
      <c r="AU494" s="9">
        <v>0</v>
      </c>
      <c r="AV494" s="18">
        <f t="shared" si="280"/>
        <v>1</v>
      </c>
      <c r="AW494" s="18">
        <f t="shared" si="281"/>
        <v>2</v>
      </c>
      <c r="AX494" s="18">
        <f t="shared" si="282"/>
        <v>5</v>
      </c>
      <c r="AY494" s="18">
        <f t="shared" si="283"/>
        <v>4</v>
      </c>
      <c r="AZ494" s="18">
        <f t="shared" si="284"/>
        <v>3</v>
      </c>
      <c r="BA494" s="18">
        <f t="shared" si="285"/>
        <v>7</v>
      </c>
      <c r="BB494" s="18">
        <f t="shared" si="286"/>
        <v>8</v>
      </c>
      <c r="BC494" s="18">
        <f t="shared" si="287"/>
        <v>6</v>
      </c>
      <c r="BD494" s="18">
        <f t="shared" si="288"/>
        <v>9</v>
      </c>
      <c r="BE494" s="8">
        <f t="shared" si="290"/>
        <v>6.0826930870844387E-3</v>
      </c>
    </row>
    <row r="495" spans="1:57" x14ac:dyDescent="0.25">
      <c r="A495" t="str">
        <f t="shared" si="289"/>
        <v>Y</v>
      </c>
      <c r="B495" s="1">
        <v>43465</v>
      </c>
      <c r="C495" s="9">
        <f t="shared" si="264"/>
        <v>0.25</v>
      </c>
      <c r="D495" s="9">
        <f t="shared" si="265"/>
        <v>0.25</v>
      </c>
      <c r="E495" s="9">
        <f t="shared" si="266"/>
        <v>0</v>
      </c>
      <c r="F495" s="9">
        <f t="shared" si="267"/>
        <v>0.25</v>
      </c>
      <c r="G495" s="9">
        <f t="shared" si="268"/>
        <v>0.25</v>
      </c>
      <c r="H495" s="9">
        <f t="shared" si="269"/>
        <v>0</v>
      </c>
      <c r="I495" s="9">
        <f t="shared" si="270"/>
        <v>0</v>
      </c>
      <c r="J495" s="9">
        <f t="shared" si="271"/>
        <v>0</v>
      </c>
      <c r="K495" s="9">
        <v>0</v>
      </c>
      <c r="L495" s="8">
        <f>+VLOOKUP($B495,NIFTY_50!$B$3:$I$1238,8,0)</f>
        <v>2.4401697989850923E-4</v>
      </c>
      <c r="M495" s="8">
        <f>+VLOOKUP($B495,NIFTY_BANK!$B$3:$I$41238,8,0)</f>
        <v>1.2884673873974073E-3</v>
      </c>
      <c r="N495" s="8">
        <f>+VLOOKUP($B495,NIFTY_IT!$B$3:$I$1238,8,0)</f>
        <v>3.7884580628120279E-3</v>
      </c>
      <c r="O495" s="8">
        <f>+VLOOKUP($B495,NIFTY_PHARMA!$B$3:$I$1238,8,0)</f>
        <v>6.1832043747589438E-3</v>
      </c>
      <c r="P495" s="8">
        <f>+VLOOKUP($B495,NIFTY_FMCG!$B$3:$I$1238,8,0)</f>
        <v>-8.9542954426391486E-4</v>
      </c>
      <c r="Q495" s="8">
        <f>+VLOOKUP($B495,NIFTY_METAL!$B$3:$I$1238,8,0)</f>
        <v>1.3623803097487341E-2</v>
      </c>
      <c r="R495" s="8">
        <f>+VLOOKUP($B495,NIFTY_ENERGY!$B$3:$I$1238,8,0)</f>
        <v>-2.4321841640105868E-3</v>
      </c>
      <c r="S495" s="8">
        <f>+VLOOKUP($B495,NIFTY_AUTO!$B$3:$I$1238,8,0)</f>
        <v>1.2738784448924623E-3</v>
      </c>
      <c r="T495" s="8">
        <v>0</v>
      </c>
      <c r="U495" s="8">
        <f>+VLOOKUP($B495,NIFTY_50!$B$63:$K$1238,10,0)</f>
        <v>-1.047592586688284E-2</v>
      </c>
      <c r="V495" s="8">
        <f>+VLOOKUP($B495,NIFTY_BANK!$B$63:$K$1238,10,0)</f>
        <v>8.4579399133061672E-2</v>
      </c>
      <c r="W495" s="8">
        <f>+VLOOKUP($B495,NIFTY_IT!$B$63:$K$1238,10,0)</f>
        <v>-9.8495442627044572E-2</v>
      </c>
      <c r="X495" s="8">
        <f>+VLOOKUP($B495,NIFTY_PHARMA!$B$63:$K$1238,10,0)</f>
        <v>-0.1212540067079847</v>
      </c>
      <c r="Y495" s="8">
        <f>+VLOOKUP($B495,NIFTY_FMCG!$B$63:$K$1238,10,0)</f>
        <v>2.8873660876088447E-2</v>
      </c>
      <c r="Z495" s="8">
        <f>+VLOOKUP($B495,NIFTY_METAL!$B$63:$K$1238,10,0)</f>
        <v>-0.14036569746845784</v>
      </c>
      <c r="AA495" s="8">
        <f>+VLOOKUP($B495,NIFTY_ENERGY!$B$63:$K$1238,10,0)</f>
        <v>-8.6658447462400368E-2</v>
      </c>
      <c r="AB495" s="8">
        <f>+VLOOKUP($B495,NIFTY_AUTO!$B$63:$K$1238,10,0)</f>
        <v>-5.9075534364366189E-2</v>
      </c>
      <c r="AC495" s="8"/>
      <c r="AD495" s="16">
        <f t="shared" si="272"/>
        <v>8.5431905288598911E-2</v>
      </c>
      <c r="AE495" s="8">
        <f t="shared" si="273"/>
        <v>8.4657243514388719E-2</v>
      </c>
      <c r="AF495" s="8">
        <f t="shared" si="274"/>
        <v>0.12330089522836996</v>
      </c>
      <c r="AG495" s="8">
        <f t="shared" si="275"/>
        <v>0.11980385928263972</v>
      </c>
      <c r="AH495" s="8">
        <f t="shared" si="276"/>
        <v>8.9729329489959889E-2</v>
      </c>
      <c r="AI495" s="8">
        <f t="shared" si="277"/>
        <v>0.13442339669422357</v>
      </c>
      <c r="AJ495" s="8">
        <f t="shared" si="278"/>
        <v>0.14704009173082641</v>
      </c>
      <c r="AK495" s="8">
        <f t="shared" si="279"/>
        <v>0.12231446711085327</v>
      </c>
      <c r="AL495" s="9">
        <v>0</v>
      </c>
      <c r="AM495" s="17">
        <f t="shared" si="256"/>
        <v>11.705228820800423</v>
      </c>
      <c r="AN495" s="13">
        <f t="shared" si="257"/>
        <v>11.812338300738974</v>
      </c>
      <c r="AO495" s="13">
        <f t="shared" si="258"/>
        <v>8.1102411961232281</v>
      </c>
      <c r="AP495" s="13">
        <f t="shared" si="259"/>
        <v>8.3469765163475493</v>
      </c>
      <c r="AQ495" s="13">
        <f t="shared" si="260"/>
        <v>11.144628023904863</v>
      </c>
      <c r="AR495" s="13">
        <f t="shared" si="261"/>
        <v>7.4391811588776191</v>
      </c>
      <c r="AS495" s="13">
        <f t="shared" si="262"/>
        <v>6.8008662687086296</v>
      </c>
      <c r="AT495" s="13">
        <f t="shared" si="263"/>
        <v>8.1756477677632589</v>
      </c>
      <c r="AU495" s="9">
        <v>0</v>
      </c>
      <c r="AV495" s="18">
        <f t="shared" si="280"/>
        <v>2</v>
      </c>
      <c r="AW495" s="18">
        <f t="shared" si="281"/>
        <v>1</v>
      </c>
      <c r="AX495" s="18">
        <f t="shared" si="282"/>
        <v>6</v>
      </c>
      <c r="AY495" s="18">
        <f t="shared" si="283"/>
        <v>4</v>
      </c>
      <c r="AZ495" s="18">
        <f t="shared" si="284"/>
        <v>3</v>
      </c>
      <c r="BA495" s="18">
        <f t="shared" si="285"/>
        <v>7</v>
      </c>
      <c r="BB495" s="18">
        <f t="shared" si="286"/>
        <v>8</v>
      </c>
      <c r="BC495" s="18">
        <f t="shared" si="287"/>
        <v>5</v>
      </c>
      <c r="BD495" s="18">
        <f t="shared" si="288"/>
        <v>9</v>
      </c>
      <c r="BE495" s="8">
        <f t="shared" si="290"/>
        <v>1.0886838418740392E-3</v>
      </c>
    </row>
    <row r="496" spans="1:57" x14ac:dyDescent="0.25">
      <c r="A496" t="str">
        <f t="shared" si="289"/>
        <v/>
      </c>
      <c r="B496" s="1">
        <v>43466</v>
      </c>
      <c r="C496" s="9">
        <f t="shared" si="264"/>
        <v>0.25043399800827204</v>
      </c>
      <c r="D496" s="9">
        <f t="shared" si="265"/>
        <v>0.25147421737889469</v>
      </c>
      <c r="E496" s="9">
        <f t="shared" si="266"/>
        <v>0</v>
      </c>
      <c r="F496" s="9">
        <f t="shared" si="267"/>
        <v>0.24971504206597769</v>
      </c>
      <c r="G496" s="9">
        <f t="shared" si="268"/>
        <v>0.24837674254685557</v>
      </c>
      <c r="H496" s="9">
        <f t="shared" si="269"/>
        <v>0</v>
      </c>
      <c r="I496" s="9">
        <f t="shared" si="270"/>
        <v>0</v>
      </c>
      <c r="J496" s="9">
        <f t="shared" si="271"/>
        <v>0</v>
      </c>
      <c r="K496" s="9">
        <v>0</v>
      </c>
      <c r="L496" s="8">
        <f>+VLOOKUP($B496,NIFTY_50!$B$3:$I$1238,8,0)</f>
        <v>4.3774251902177763E-3</v>
      </c>
      <c r="M496" s="8">
        <f>+VLOOKUP($B496,NIFTY_BANK!$B$3:$I$41238,8,0)</f>
        <v>8.5492743057857812E-3</v>
      </c>
      <c r="N496" s="8">
        <f>+VLOOKUP($B496,NIFTY_IT!$B$3:$I$1238,8,0)</f>
        <v>7.3405677167381889E-4</v>
      </c>
      <c r="O496" s="8">
        <f>+VLOOKUP($B496,NIFTY_PHARMA!$B$3:$I$1238,8,0)</f>
        <v>1.4940182890390563E-3</v>
      </c>
      <c r="P496" s="8">
        <f>+VLOOKUP($B496,NIFTY_FMCG!$B$3:$I$1238,8,0)</f>
        <v>-3.8732953977582696E-3</v>
      </c>
      <c r="Q496" s="8">
        <f>+VLOOKUP($B496,NIFTY_METAL!$B$3:$I$1238,8,0)</f>
        <v>-6.1338997020223829E-3</v>
      </c>
      <c r="R496" s="8">
        <f>+VLOOKUP($B496,NIFTY_ENERGY!$B$3:$I$1238,8,0)</f>
        <v>9.1734479258587243E-4</v>
      </c>
      <c r="S496" s="8">
        <f>+VLOOKUP($B496,NIFTY_AUTO!$B$3:$I$1238,8,0)</f>
        <v>-5.7495222266132906E-3</v>
      </c>
      <c r="T496" s="8">
        <v>0</v>
      </c>
      <c r="U496" s="8">
        <f>+VLOOKUP($B496,NIFTY_50!$B$63:$K$1238,10,0)</f>
        <v>-1.8617714732697133E-3</v>
      </c>
      <c r="V496" s="8">
        <f>+VLOOKUP($B496,NIFTY_BANK!$B$63:$K$1238,10,0)</f>
        <v>9.0468294993799825E-2</v>
      </c>
      <c r="W496" s="8">
        <f>+VLOOKUP($B496,NIFTY_IT!$B$63:$K$1238,10,0)</f>
        <v>-8.7583383055363506E-2</v>
      </c>
      <c r="X496" s="8">
        <f>+VLOOKUP($B496,NIFTY_PHARMA!$B$63:$K$1238,10,0)</f>
        <v>-0.1093512627288179</v>
      </c>
      <c r="Y496" s="8">
        <f>+VLOOKUP($B496,NIFTY_FMCG!$B$63:$K$1238,10,0)</f>
        <v>2.1532242075160468E-2</v>
      </c>
      <c r="Z496" s="8">
        <f>+VLOOKUP($B496,NIFTY_METAL!$B$63:$K$1238,10,0)</f>
        <v>-0.10044902233635067</v>
      </c>
      <c r="AA496" s="8">
        <f>+VLOOKUP($B496,NIFTY_ENERGY!$B$63:$K$1238,10,0)</f>
        <v>-8.5951634686440959E-2</v>
      </c>
      <c r="AB496" s="8">
        <f>+VLOOKUP($B496,NIFTY_AUTO!$B$63:$K$1238,10,0)</f>
        <v>-4.252235343187083E-2</v>
      </c>
      <c r="AC496" s="8"/>
      <c r="AD496" s="16">
        <f t="shared" si="272"/>
        <v>8.5440534456031475E-2</v>
      </c>
      <c r="AE496" s="8">
        <f t="shared" si="273"/>
        <v>8.4939267767007331E-2</v>
      </c>
      <c r="AF496" s="8">
        <f t="shared" si="274"/>
        <v>0.1229339598160181</v>
      </c>
      <c r="AG496" s="8">
        <f t="shared" si="275"/>
        <v>0.11943371135175974</v>
      </c>
      <c r="AH496" s="8">
        <f t="shared" si="276"/>
        <v>8.9790582638475128E-2</v>
      </c>
      <c r="AI496" s="8">
        <f t="shared" si="277"/>
        <v>0.12552710786288379</v>
      </c>
      <c r="AJ496" s="8">
        <f t="shared" si="278"/>
        <v>0.14704971392064831</v>
      </c>
      <c r="AK496" s="8">
        <f t="shared" si="279"/>
        <v>0.12038671619061105</v>
      </c>
      <c r="AL496" s="9">
        <v>0</v>
      </c>
      <c r="AM496" s="17">
        <f t="shared" si="256"/>
        <v>11.704046637426053</v>
      </c>
      <c r="AN496" s="13">
        <f t="shared" si="257"/>
        <v>11.773117737994282</v>
      </c>
      <c r="AO496" s="13">
        <f t="shared" si="258"/>
        <v>8.1344487845066684</v>
      </c>
      <c r="AP496" s="13">
        <f t="shared" si="259"/>
        <v>8.3728453941682357</v>
      </c>
      <c r="AQ496" s="13">
        <f t="shared" si="260"/>
        <v>11.137025405284557</v>
      </c>
      <c r="AR496" s="13">
        <f t="shared" si="261"/>
        <v>7.9664067548845585</v>
      </c>
      <c r="AS496" s="13">
        <f t="shared" si="262"/>
        <v>6.8004212544039691</v>
      </c>
      <c r="AT496" s="13">
        <f t="shared" si="263"/>
        <v>8.3065643091109571</v>
      </c>
      <c r="AU496" s="9">
        <v>0</v>
      </c>
      <c r="AV496" s="18">
        <f t="shared" si="280"/>
        <v>2</v>
      </c>
      <c r="AW496" s="18">
        <f t="shared" si="281"/>
        <v>1</v>
      </c>
      <c r="AX496" s="18">
        <f t="shared" si="282"/>
        <v>6</v>
      </c>
      <c r="AY496" s="18">
        <f t="shared" si="283"/>
        <v>4</v>
      </c>
      <c r="AZ496" s="18">
        <f t="shared" si="284"/>
        <v>3</v>
      </c>
      <c r="BA496" s="18">
        <f t="shared" si="285"/>
        <v>7</v>
      </c>
      <c r="BB496" s="18">
        <f t="shared" si="286"/>
        <v>8</v>
      </c>
      <c r="BC496" s="18">
        <f t="shared" si="287"/>
        <v>5</v>
      </c>
      <c r="BD496" s="18">
        <f t="shared" si="288"/>
        <v>9</v>
      </c>
      <c r="BE496" s="8">
        <f t="shared" si="290"/>
        <v>2.6368555968210861E-3</v>
      </c>
    </row>
    <row r="497" spans="1:57" x14ac:dyDescent="0.25">
      <c r="A497" t="str">
        <f t="shared" si="289"/>
        <v/>
      </c>
      <c r="B497" s="1">
        <v>43467</v>
      </c>
      <c r="C497" s="9">
        <f t="shared" si="264"/>
        <v>0.24961656101560056</v>
      </c>
      <c r="D497" s="9">
        <f t="shared" si="265"/>
        <v>0.25137085448432278</v>
      </c>
      <c r="E497" s="9">
        <f t="shared" si="266"/>
        <v>0</v>
      </c>
      <c r="F497" s="9">
        <f t="shared" si="267"/>
        <v>0.2504222832871888</v>
      </c>
      <c r="G497" s="9">
        <f t="shared" si="268"/>
        <v>0.24859030121288783</v>
      </c>
      <c r="H497" s="9">
        <f t="shared" si="269"/>
        <v>0</v>
      </c>
      <c r="I497" s="9">
        <f t="shared" si="270"/>
        <v>0</v>
      </c>
      <c r="J497" s="9">
        <f t="shared" si="271"/>
        <v>0</v>
      </c>
      <c r="K497" s="9">
        <v>0</v>
      </c>
      <c r="L497" s="8">
        <f>+VLOOKUP($B497,NIFTY_50!$B$3:$I$1238,8,0)</f>
        <v>-1.0779002942227889E-2</v>
      </c>
      <c r="M497" s="8">
        <f>+VLOOKUP($B497,NIFTY_BANK!$B$3:$I$41238,8,0)</f>
        <v>-7.9474598793826123E-3</v>
      </c>
      <c r="N497" s="8">
        <f>+VLOOKUP($B497,NIFTY_IT!$B$3:$I$1238,8,0)</f>
        <v>-2.6295940045251154E-4</v>
      </c>
      <c r="O497" s="8">
        <f>+VLOOKUP($B497,NIFTY_PHARMA!$B$3:$I$1238,8,0)</f>
        <v>-4.7286913346731296E-3</v>
      </c>
      <c r="P497" s="8">
        <f>+VLOOKUP($B497,NIFTY_FMCG!$B$3:$I$1238,8,0)</f>
        <v>-6.686196171186376E-3</v>
      </c>
      <c r="Q497" s="8">
        <f>+VLOOKUP($B497,NIFTY_METAL!$B$3:$I$1238,8,0)</f>
        <v>-3.4064269197033759E-2</v>
      </c>
      <c r="R497" s="8">
        <f>+VLOOKUP($B497,NIFTY_ENERGY!$B$3:$I$1238,8,0)</f>
        <v>-1.4458461109562393E-2</v>
      </c>
      <c r="S497" s="8">
        <f>+VLOOKUP($B497,NIFTY_AUTO!$B$3:$I$1238,8,0)</f>
        <v>-3.0471170548165394E-2</v>
      </c>
      <c r="T497" s="8">
        <v>0</v>
      </c>
      <c r="U497" s="8">
        <f>+VLOOKUP($B497,NIFTY_50!$B$63:$K$1238,10,0)</f>
        <v>-1.9603390169235846E-2</v>
      </c>
      <c r="V497" s="8">
        <f>+VLOOKUP($B497,NIFTY_BANK!$B$63:$K$1238,10,0)</f>
        <v>7.1261875665234342E-2</v>
      </c>
      <c r="W497" s="8">
        <f>+VLOOKUP($B497,NIFTY_IT!$B$63:$K$1238,10,0)</f>
        <v>-0.1089517442147333</v>
      </c>
      <c r="X497" s="8">
        <f>+VLOOKUP($B497,NIFTY_PHARMA!$B$63:$K$1238,10,0)</f>
        <v>-0.11903551781870358</v>
      </c>
      <c r="Y497" s="8">
        <f>+VLOOKUP($B497,NIFTY_FMCG!$B$63:$K$1238,10,0)</f>
        <v>9.0747619357931519E-3</v>
      </c>
      <c r="Z497" s="8">
        <f>+VLOOKUP($B497,NIFTY_METAL!$B$63:$K$1238,10,0)</f>
        <v>-0.14160797040858275</v>
      </c>
      <c r="AA497" s="8">
        <f>+VLOOKUP($B497,NIFTY_ENERGY!$B$63:$K$1238,10,0)</f>
        <v>-9.0040058559500702E-2</v>
      </c>
      <c r="AB497" s="8">
        <f>+VLOOKUP($B497,NIFTY_AUTO!$B$63:$K$1238,10,0)</f>
        <v>-7.8357687469913118E-2</v>
      </c>
      <c r="AC497" s="8"/>
      <c r="AD497" s="16">
        <f t="shared" si="272"/>
        <v>8.5798278282460699E-2</v>
      </c>
      <c r="AE497" s="8">
        <f t="shared" si="273"/>
        <v>8.5020532752878158E-2</v>
      </c>
      <c r="AF497" s="8">
        <f t="shared" si="274"/>
        <v>0.1203125449930269</v>
      </c>
      <c r="AG497" s="8">
        <f t="shared" si="275"/>
        <v>0.11919423759646992</v>
      </c>
      <c r="AH497" s="8">
        <f t="shared" si="276"/>
        <v>8.9909279158092825E-2</v>
      </c>
      <c r="AI497" s="8">
        <f t="shared" si="277"/>
        <v>0.12877710476056281</v>
      </c>
      <c r="AJ497" s="8">
        <f t="shared" si="278"/>
        <v>0.14737807750587403</v>
      </c>
      <c r="AK497" s="8">
        <f t="shared" si="279"/>
        <v>0.12369798781136453</v>
      </c>
      <c r="AL497" s="9">
        <v>0</v>
      </c>
      <c r="AM497" s="17">
        <f t="shared" si="256"/>
        <v>11.65524553660449</v>
      </c>
      <c r="AN497" s="13">
        <f t="shared" si="257"/>
        <v>11.761864665169925</v>
      </c>
      <c r="AO497" s="13">
        <f t="shared" si="258"/>
        <v>8.3116852033838882</v>
      </c>
      <c r="AP497" s="13">
        <f t="shared" si="259"/>
        <v>8.3896673208773986</v>
      </c>
      <c r="AQ497" s="13">
        <f t="shared" si="260"/>
        <v>11.122322516251527</v>
      </c>
      <c r="AR497" s="13">
        <f t="shared" si="261"/>
        <v>7.7653555098890825</v>
      </c>
      <c r="AS497" s="13">
        <f t="shared" si="262"/>
        <v>6.7852696745901238</v>
      </c>
      <c r="AT497" s="13">
        <f t="shared" si="263"/>
        <v>8.0842058766951652</v>
      </c>
      <c r="AU497" s="9">
        <v>0</v>
      </c>
      <c r="AV497" s="18">
        <f t="shared" si="280"/>
        <v>2</v>
      </c>
      <c r="AW497" s="18">
        <f t="shared" si="281"/>
        <v>1</v>
      </c>
      <c r="AX497" s="18">
        <f t="shared" si="282"/>
        <v>5</v>
      </c>
      <c r="AY497" s="18">
        <f t="shared" si="283"/>
        <v>4</v>
      </c>
      <c r="AZ497" s="18">
        <f t="shared" si="284"/>
        <v>3</v>
      </c>
      <c r="BA497" s="18">
        <f t="shared" si="285"/>
        <v>7</v>
      </c>
      <c r="BB497" s="18">
        <f t="shared" si="286"/>
        <v>8</v>
      </c>
      <c r="BC497" s="18">
        <f t="shared" si="287"/>
        <v>6</v>
      </c>
      <c r="BD497" s="18">
        <f t="shared" si="288"/>
        <v>9</v>
      </c>
      <c r="BE497" s="8">
        <f t="shared" si="290"/>
        <v>-7.5395310352664195E-3</v>
      </c>
    </row>
    <row r="498" spans="1:57" x14ac:dyDescent="0.25">
      <c r="A498" t="str">
        <f t="shared" si="289"/>
        <v/>
      </c>
      <c r="B498" s="1">
        <v>43468</v>
      </c>
      <c r="C498" s="9">
        <f t="shared" si="264"/>
        <v>0.24886379037378445</v>
      </c>
      <c r="D498" s="9">
        <f t="shared" si="265"/>
        <v>0.25143284974500912</v>
      </c>
      <c r="E498" s="9">
        <f t="shared" si="266"/>
        <v>0</v>
      </c>
      <c r="F498" s="9">
        <f t="shared" si="267"/>
        <v>0.24911998292370391</v>
      </c>
      <c r="G498" s="9">
        <f t="shared" si="268"/>
        <v>0.25058337695750255</v>
      </c>
      <c r="H498" s="9">
        <f t="shared" si="269"/>
        <v>0</v>
      </c>
      <c r="I498" s="9">
        <f t="shared" si="270"/>
        <v>0</v>
      </c>
      <c r="J498" s="9">
        <f t="shared" si="271"/>
        <v>0</v>
      </c>
      <c r="K498" s="9">
        <v>0</v>
      </c>
      <c r="L498" s="8">
        <f>+VLOOKUP($B498,NIFTY_50!$B$3:$I$1238,8,0)</f>
        <v>-1.1141996757007222E-2</v>
      </c>
      <c r="M498" s="8">
        <f>+VLOOKUP($B498,NIFTY_BANK!$B$3:$I$41238,8,0)</f>
        <v>-7.9062510349701132E-3</v>
      </c>
      <c r="N498" s="8">
        <f>+VLOOKUP($B498,NIFTY_IT!$B$3:$I$1238,8,0)</f>
        <v>-8.6487945677680145E-3</v>
      </c>
      <c r="O498" s="8">
        <f>+VLOOKUP($B498,NIFTY_PHARMA!$B$3:$I$1238,8,0)</f>
        <v>-1.3308898805988845E-2</v>
      </c>
      <c r="P498" s="8">
        <f>+VLOOKUP($B498,NIFTY_FMCG!$B$3:$I$1238,8,0)</f>
        <v>-1.9870707927083231E-4</v>
      </c>
      <c r="Q498" s="8">
        <f>+VLOOKUP($B498,NIFTY_METAL!$B$3:$I$1238,8,0)</f>
        <v>-2.2470240552097565E-2</v>
      </c>
      <c r="R498" s="8">
        <f>+VLOOKUP($B498,NIFTY_ENERGY!$B$3:$I$1238,8,0)</f>
        <v>-1.5978869280190544E-2</v>
      </c>
      <c r="S498" s="8">
        <f>+VLOOKUP($B498,NIFTY_AUTO!$B$3:$I$1238,8,0)</f>
        <v>-1.5197722026587535E-2</v>
      </c>
      <c r="T498" s="8">
        <v>0</v>
      </c>
      <c r="U498" s="8">
        <f>+VLOOKUP($B498,NIFTY_50!$B$63:$K$1238,10,0)</f>
        <v>-1.7129832155273639E-2</v>
      </c>
      <c r="V498" s="8">
        <f>+VLOOKUP($B498,NIFTY_BANK!$B$63:$K$1238,10,0)</f>
        <v>7.5387217340316282E-2</v>
      </c>
      <c r="W498" s="8">
        <f>+VLOOKUP($B498,NIFTY_IT!$B$63:$K$1238,10,0)</f>
        <v>-9.9790695043306621E-2</v>
      </c>
      <c r="X498" s="8">
        <f>+VLOOKUP($B498,NIFTY_PHARMA!$B$63:$K$1238,10,0)</f>
        <v>-0.12346621913595757</v>
      </c>
      <c r="Y498" s="8">
        <f>+VLOOKUP($B498,NIFTY_FMCG!$B$63:$K$1238,10,0)</f>
        <v>2.3430362345985722E-2</v>
      </c>
      <c r="Z498" s="8">
        <f>+VLOOKUP($B498,NIFTY_METAL!$B$63:$K$1238,10,0)</f>
        <v>-0.17583518930957687</v>
      </c>
      <c r="AA498" s="8">
        <f>+VLOOKUP($B498,NIFTY_ENERGY!$B$63:$K$1238,10,0)</f>
        <v>-9.4752798279883255E-2</v>
      </c>
      <c r="AB498" s="8">
        <f>+VLOOKUP($B498,NIFTY_AUTO!$B$63:$K$1238,10,0)</f>
        <v>-6.4845924930402088E-2</v>
      </c>
      <c r="AC498" s="8"/>
      <c r="AD498" s="16">
        <f t="shared" si="272"/>
        <v>8.544534752742601E-2</v>
      </c>
      <c r="AE498" s="8">
        <f t="shared" si="273"/>
        <v>8.4525415972722964E-2</v>
      </c>
      <c r="AF498" s="8">
        <f t="shared" si="274"/>
        <v>0.11930160944527846</v>
      </c>
      <c r="AG498" s="8">
        <f t="shared" si="275"/>
        <v>0.11956250926756749</v>
      </c>
      <c r="AH498" s="8">
        <f t="shared" si="276"/>
        <v>8.8725360546116461E-2</v>
      </c>
      <c r="AI498" s="8">
        <f t="shared" si="277"/>
        <v>0.12861165583002665</v>
      </c>
      <c r="AJ498" s="8">
        <f t="shared" si="278"/>
        <v>0.14779500577836255</v>
      </c>
      <c r="AK498" s="8">
        <f t="shared" si="279"/>
        <v>0.12123276227231559</v>
      </c>
      <c r="AL498" s="9">
        <v>0</v>
      </c>
      <c r="AM498" s="17">
        <f t="shared" si="256"/>
        <v>11.703387357386811</v>
      </c>
      <c r="AN498" s="13">
        <f t="shared" si="257"/>
        <v>11.830761061533352</v>
      </c>
      <c r="AO498" s="13">
        <f t="shared" si="258"/>
        <v>8.382116592137697</v>
      </c>
      <c r="AP498" s="13">
        <f t="shared" si="259"/>
        <v>8.363825802301557</v>
      </c>
      <c r="AQ498" s="13">
        <f t="shared" si="260"/>
        <v>11.270734701384884</v>
      </c>
      <c r="AR498" s="13">
        <f t="shared" si="261"/>
        <v>7.7753450381013787</v>
      </c>
      <c r="AS498" s="13">
        <f t="shared" si="262"/>
        <v>6.7661284948939846</v>
      </c>
      <c r="AT498" s="13">
        <f t="shared" si="263"/>
        <v>8.2485953570354091</v>
      </c>
      <c r="AU498" s="9">
        <v>0</v>
      </c>
      <c r="AV498" s="18">
        <f t="shared" si="280"/>
        <v>2</v>
      </c>
      <c r="AW498" s="18">
        <f t="shared" si="281"/>
        <v>1</v>
      </c>
      <c r="AX498" s="18">
        <f t="shared" si="282"/>
        <v>4</v>
      </c>
      <c r="AY498" s="18">
        <f t="shared" si="283"/>
        <v>5</v>
      </c>
      <c r="AZ498" s="18">
        <f t="shared" si="284"/>
        <v>3</v>
      </c>
      <c r="BA498" s="18">
        <f t="shared" si="285"/>
        <v>7</v>
      </c>
      <c r="BB498" s="18">
        <f t="shared" si="286"/>
        <v>8</v>
      </c>
      <c r="BC498" s="18">
        <f t="shared" si="287"/>
        <v>6</v>
      </c>
      <c r="BD498" s="18">
        <f t="shared" si="288"/>
        <v>9</v>
      </c>
      <c r="BE498" s="8">
        <f t="shared" si="290"/>
        <v>-8.1508694714820529E-3</v>
      </c>
    </row>
    <row r="499" spans="1:57" x14ac:dyDescent="0.25">
      <c r="A499" t="str">
        <f t="shared" si="289"/>
        <v/>
      </c>
      <c r="B499" s="1">
        <v>43469</v>
      </c>
      <c r="C499" s="9">
        <f t="shared" si="264"/>
        <v>0.24881398587946862</v>
      </c>
      <c r="D499" s="9">
        <f t="shared" si="265"/>
        <v>0.25227268293020821</v>
      </c>
      <c r="E499" s="9">
        <f t="shared" si="266"/>
        <v>0</v>
      </c>
      <c r="F499" s="9">
        <f t="shared" si="267"/>
        <v>0.24965868651509107</v>
      </c>
      <c r="G499" s="9">
        <f t="shared" si="268"/>
        <v>0.24925464467523201</v>
      </c>
      <c r="H499" s="9">
        <f t="shared" si="269"/>
        <v>0</v>
      </c>
      <c r="I499" s="9">
        <f t="shared" si="270"/>
        <v>0</v>
      </c>
      <c r="J499" s="9">
        <f t="shared" si="271"/>
        <v>0</v>
      </c>
      <c r="K499" s="9">
        <v>0</v>
      </c>
      <c r="L499" s="8">
        <f>+VLOOKUP($B499,NIFTY_50!$B$3:$I$1238,8,0)</f>
        <v>5.1629225327367578E-3</v>
      </c>
      <c r="M499" s="8">
        <f>+VLOOKUP($B499,NIFTY_BANK!$B$3:$I$41238,8,0)</f>
        <v>8.7222295376272463E-3</v>
      </c>
      <c r="N499" s="8">
        <f>+VLOOKUP($B499,NIFTY_IT!$B$3:$I$1238,8,0)</f>
        <v>-1.228865777833632E-2</v>
      </c>
      <c r="O499" s="8">
        <f>+VLOOKUP($B499,NIFTY_PHARMA!$B$3:$I$1238,8,0)</f>
        <v>7.5381493413435585E-3</v>
      </c>
      <c r="P499" s="8">
        <f>+VLOOKUP($B499,NIFTY_FMCG!$B$3:$I$1238,8,0)</f>
        <v>3.3124428603592548E-5</v>
      </c>
      <c r="Q499" s="8">
        <f>+VLOOKUP($B499,NIFTY_METAL!$B$3:$I$1238,8,0)</f>
        <v>1.3950817457100362E-2</v>
      </c>
      <c r="R499" s="8">
        <f>+VLOOKUP($B499,NIFTY_ENERGY!$B$3:$I$1238,8,0)</f>
        <v>9.2313109970820761E-3</v>
      </c>
      <c r="S499" s="8">
        <f>+VLOOKUP($B499,NIFTY_AUTO!$B$3:$I$1238,8,0)</f>
        <v>4.7905011206350601E-3</v>
      </c>
      <c r="T499" s="8">
        <v>0</v>
      </c>
      <c r="U499" s="8">
        <f>+VLOOKUP($B499,NIFTY_50!$B$63:$K$1238,10,0)</f>
        <v>1.2085760784961153E-2</v>
      </c>
      <c r="V499" s="8">
        <f>+VLOOKUP($B499,NIFTY_BANK!$B$63:$K$1238,10,0)</f>
        <v>9.5719863171000119E-2</v>
      </c>
      <c r="W499" s="8">
        <f>+VLOOKUP($B499,NIFTY_IT!$B$63:$K$1238,10,0)</f>
        <v>-8.3863843897131751E-2</v>
      </c>
      <c r="X499" s="8">
        <f>+VLOOKUP($B499,NIFTY_PHARMA!$B$63:$K$1238,10,0)</f>
        <v>-8.7500973444435859E-2</v>
      </c>
      <c r="Y499" s="8">
        <f>+VLOOKUP($B499,NIFTY_FMCG!$B$63:$K$1238,10,0)</f>
        <v>5.449160149632748E-2</v>
      </c>
      <c r="Z499" s="8">
        <f>+VLOOKUP($B499,NIFTY_METAL!$B$63:$K$1238,10,0)</f>
        <v>-0.15974078687698579</v>
      </c>
      <c r="AA499" s="8">
        <f>+VLOOKUP($B499,NIFTY_ENERGY!$B$63:$K$1238,10,0)</f>
        <v>-2.6667267358848945E-2</v>
      </c>
      <c r="AB499" s="8">
        <f>+VLOOKUP($B499,NIFTY_AUTO!$B$63:$K$1238,10,0)</f>
        <v>-4.318996415770604E-2</v>
      </c>
      <c r="AC499" s="8"/>
      <c r="AD499" s="16">
        <f t="shared" si="272"/>
        <v>8.2205590325540756E-2</v>
      </c>
      <c r="AE499" s="8">
        <f t="shared" si="273"/>
        <v>8.4072241397503439E-2</v>
      </c>
      <c r="AF499" s="8">
        <f t="shared" si="274"/>
        <v>0.11647441250361323</v>
      </c>
      <c r="AG499" s="8">
        <f t="shared" si="275"/>
        <v>0.11598788352697453</v>
      </c>
      <c r="AH499" s="8">
        <f t="shared" si="276"/>
        <v>8.3462673501239204E-2</v>
      </c>
      <c r="AI499" s="8">
        <f t="shared" si="277"/>
        <v>0.12968091246247815</v>
      </c>
      <c r="AJ499" s="8">
        <f t="shared" si="278"/>
        <v>0.1352242926766602</v>
      </c>
      <c r="AK499" s="8">
        <f t="shared" si="279"/>
        <v>0.12014197377531724</v>
      </c>
      <c r="AL499" s="9">
        <v>0</v>
      </c>
      <c r="AM499" s="17">
        <f t="shared" si="256"/>
        <v>12.164622819931338</v>
      </c>
      <c r="AN499" s="13">
        <f t="shared" si="257"/>
        <v>11.894532409001474</v>
      </c>
      <c r="AO499" s="13">
        <f t="shared" si="258"/>
        <v>8.5855766816508154</v>
      </c>
      <c r="AP499" s="13">
        <f t="shared" si="259"/>
        <v>8.6215902005612222</v>
      </c>
      <c r="AQ499" s="13">
        <f t="shared" si="260"/>
        <v>11.981403878527239</v>
      </c>
      <c r="AR499" s="13">
        <f t="shared" si="261"/>
        <v>7.7112350693039717</v>
      </c>
      <c r="AS499" s="13">
        <f t="shared" si="262"/>
        <v>7.3951209520550938</v>
      </c>
      <c r="AT499" s="13">
        <f t="shared" si="263"/>
        <v>8.3234856942682143</v>
      </c>
      <c r="AU499" s="9">
        <v>0</v>
      </c>
      <c r="AV499" s="18">
        <f t="shared" si="280"/>
        <v>1</v>
      </c>
      <c r="AW499" s="18">
        <f t="shared" si="281"/>
        <v>3</v>
      </c>
      <c r="AX499" s="18">
        <f t="shared" si="282"/>
        <v>5</v>
      </c>
      <c r="AY499" s="18">
        <f t="shared" si="283"/>
        <v>4</v>
      </c>
      <c r="AZ499" s="18">
        <f t="shared" si="284"/>
        <v>2</v>
      </c>
      <c r="BA499" s="18">
        <f t="shared" si="285"/>
        <v>7</v>
      </c>
      <c r="BB499" s="18">
        <f t="shared" si="286"/>
        <v>8</v>
      </c>
      <c r="BC499" s="18">
        <f t="shared" si="287"/>
        <v>6</v>
      </c>
      <c r="BD499" s="18">
        <f t="shared" si="288"/>
        <v>9</v>
      </c>
      <c r="BE499" s="8">
        <f t="shared" si="290"/>
        <v>5.3641235660499137E-3</v>
      </c>
    </row>
    <row r="500" spans="1:57" x14ac:dyDescent="0.25">
      <c r="A500" t="str">
        <f t="shared" si="289"/>
        <v/>
      </c>
      <c r="B500" s="1">
        <v>43472</v>
      </c>
      <c r="C500" s="9">
        <f t="shared" si="264"/>
        <v>0.24953648847282553</v>
      </c>
      <c r="D500" s="9">
        <f t="shared" si="265"/>
        <v>0.25297617766552621</v>
      </c>
      <c r="E500" s="9">
        <f t="shared" si="266"/>
        <v>0</v>
      </c>
      <c r="F500" s="9">
        <f t="shared" si="267"/>
        <v>0.24777852107271664</v>
      </c>
      <c r="G500" s="9">
        <f t="shared" si="268"/>
        <v>0.24970881278893159</v>
      </c>
      <c r="H500" s="9">
        <f t="shared" si="269"/>
        <v>0</v>
      </c>
      <c r="I500" s="9">
        <f t="shared" si="270"/>
        <v>0</v>
      </c>
      <c r="J500" s="9">
        <f t="shared" si="271"/>
        <v>0</v>
      </c>
      <c r="K500" s="9">
        <v>0</v>
      </c>
      <c r="L500" s="8">
        <f>+VLOOKUP($B500,NIFTY_50!$B$3:$I$1238,8,0)</f>
        <v>4.1436142197279757E-3</v>
      </c>
      <c r="M500" s="8">
        <f>+VLOOKUP($B500,NIFTY_BANK!$B$3:$I$41238,8,0)</f>
        <v>4.0283140283139396E-3</v>
      </c>
      <c r="N500" s="8">
        <f>+VLOOKUP($B500,NIFTY_IT!$B$3:$I$1238,8,0)</f>
        <v>1.0274880444502532E-2</v>
      </c>
      <c r="O500" s="8">
        <f>+VLOOKUP($B500,NIFTY_PHARMA!$B$3:$I$1238,8,0)</f>
        <v>-6.3040151114296394E-3</v>
      </c>
      <c r="P500" s="8">
        <f>+VLOOKUP($B500,NIFTY_FMCG!$B$3:$I$1238,8,0)</f>
        <v>3.0605958224854124E-3</v>
      </c>
      <c r="Q500" s="8">
        <f>+VLOOKUP($B500,NIFTY_METAL!$B$3:$I$1238,8,0)</f>
        <v>-1.5324649365359155E-3</v>
      </c>
      <c r="R500" s="8">
        <f>+VLOOKUP($B500,NIFTY_ENERGY!$B$3:$I$1238,8,0)</f>
        <v>6.6937025788558202E-3</v>
      </c>
      <c r="S500" s="8">
        <f>+VLOOKUP($B500,NIFTY_AUTO!$B$3:$I$1238,8,0)</f>
        <v>1.2089427710331169E-3</v>
      </c>
      <c r="T500" s="8">
        <v>0</v>
      </c>
      <c r="U500" s="8">
        <f>+VLOOKUP($B500,NIFTY_50!$B$63:$K$1238,10,0)</f>
        <v>4.4138245229705886E-2</v>
      </c>
      <c r="V500" s="8">
        <f>+VLOOKUP($B500,NIFTY_BANK!$B$63:$K$1238,10,0)</f>
        <v>0.11704976179712756</v>
      </c>
      <c r="W500" s="8">
        <f>+VLOOKUP($B500,NIFTY_IT!$B$63:$K$1238,10,0)</f>
        <v>-8.3387582455994091E-2</v>
      </c>
      <c r="X500" s="8">
        <f>+VLOOKUP($B500,NIFTY_PHARMA!$B$63:$K$1238,10,0)</f>
        <v>-8.533257919736903E-2</v>
      </c>
      <c r="Y500" s="8">
        <f>+VLOOKUP($B500,NIFTY_FMCG!$B$63:$K$1238,10,0)</f>
        <v>8.6418070015570114E-2</v>
      </c>
      <c r="Z500" s="8">
        <f>+VLOOKUP($B500,NIFTY_METAL!$B$63:$K$1238,10,0)</f>
        <v>-0.12992611731235404</v>
      </c>
      <c r="AA500" s="8">
        <f>+VLOOKUP($B500,NIFTY_ENERGY!$B$63:$K$1238,10,0)</f>
        <v>6.4697243560777107E-2</v>
      </c>
      <c r="AB500" s="8">
        <f>+VLOOKUP($B500,NIFTY_AUTO!$B$63:$K$1238,10,0)</f>
        <v>-1.0667294814416084E-2</v>
      </c>
      <c r="AC500" s="8"/>
      <c r="AD500" s="16">
        <f t="shared" si="272"/>
        <v>7.7665356412324416E-2</v>
      </c>
      <c r="AE500" s="8">
        <f t="shared" si="273"/>
        <v>8.2397223702122768E-2</v>
      </c>
      <c r="AF500" s="8">
        <f t="shared" si="274"/>
        <v>0.11652547061903996</v>
      </c>
      <c r="AG500" s="8">
        <f t="shared" si="275"/>
        <v>0.11586370274107806</v>
      </c>
      <c r="AH500" s="8">
        <f t="shared" si="276"/>
        <v>7.8795042754901248E-2</v>
      </c>
      <c r="AI500" s="8">
        <f t="shared" si="277"/>
        <v>0.12533143407585073</v>
      </c>
      <c r="AJ500" s="8">
        <f t="shared" si="278"/>
        <v>0.10912035779265736</v>
      </c>
      <c r="AK500" s="8">
        <f t="shared" si="279"/>
        <v>0.11598490314653347</v>
      </c>
      <c r="AL500" s="9">
        <v>0</v>
      </c>
      <c r="AM500" s="17">
        <f t="shared" si="256"/>
        <v>12.875753697581871</v>
      </c>
      <c r="AN500" s="13">
        <f t="shared" si="257"/>
        <v>12.136331238721546</v>
      </c>
      <c r="AO500" s="13">
        <f t="shared" si="258"/>
        <v>8.5818147284667781</v>
      </c>
      <c r="AP500" s="13">
        <f t="shared" si="259"/>
        <v>8.630830677271824</v>
      </c>
      <c r="AQ500" s="13">
        <f t="shared" si="260"/>
        <v>12.691153720299207</v>
      </c>
      <c r="AR500" s="13">
        <f t="shared" si="261"/>
        <v>7.9788443128704554</v>
      </c>
      <c r="AS500" s="13">
        <f t="shared" si="262"/>
        <v>9.1641928255049159</v>
      </c>
      <c r="AT500" s="13">
        <f t="shared" si="263"/>
        <v>8.6218117433491841</v>
      </c>
      <c r="AU500" s="9">
        <v>0</v>
      </c>
      <c r="AV500" s="18">
        <f t="shared" si="280"/>
        <v>1</v>
      </c>
      <c r="AW500" s="18">
        <f t="shared" si="281"/>
        <v>3</v>
      </c>
      <c r="AX500" s="18">
        <f t="shared" si="282"/>
        <v>7</v>
      </c>
      <c r="AY500" s="18">
        <f t="shared" si="283"/>
        <v>5</v>
      </c>
      <c r="AZ500" s="18">
        <f t="shared" si="284"/>
        <v>2</v>
      </c>
      <c r="BA500" s="18">
        <f t="shared" si="285"/>
        <v>8</v>
      </c>
      <c r="BB500" s="18">
        <f t="shared" si="286"/>
        <v>4</v>
      </c>
      <c r="BC500" s="18">
        <f t="shared" si="287"/>
        <v>6</v>
      </c>
      <c r="BD500" s="18">
        <f t="shared" si="288"/>
        <v>9</v>
      </c>
      <c r="BE500" s="8">
        <f t="shared" si="290"/>
        <v>1.236238349302806E-3</v>
      </c>
    </row>
    <row r="501" spans="1:57" x14ac:dyDescent="0.25">
      <c r="A501" t="str">
        <f t="shared" si="289"/>
        <v/>
      </c>
      <c r="B501" s="1">
        <v>43473</v>
      </c>
      <c r="C501" s="9">
        <f t="shared" si="264"/>
        <v>0.24868214376542236</v>
      </c>
      <c r="D501" s="9">
        <f t="shared" si="265"/>
        <v>0.25328876164357111</v>
      </c>
      <c r="E501" s="9">
        <f t="shared" si="266"/>
        <v>0</v>
      </c>
      <c r="F501" s="9">
        <f t="shared" si="267"/>
        <v>0.24996126586671619</v>
      </c>
      <c r="G501" s="9">
        <f t="shared" si="268"/>
        <v>0.24806782872429048</v>
      </c>
      <c r="H501" s="9">
        <f t="shared" si="269"/>
        <v>0</v>
      </c>
      <c r="I501" s="9">
        <f t="shared" si="270"/>
        <v>0</v>
      </c>
      <c r="J501" s="9">
        <f t="shared" si="271"/>
        <v>0</v>
      </c>
      <c r="K501" s="9">
        <v>0</v>
      </c>
      <c r="L501" s="8">
        <f>+VLOOKUP($B501,NIFTY_50!$B$3:$I$1238,8,0)</f>
        <v>2.8175421006702006E-3</v>
      </c>
      <c r="M501" s="8">
        <f>+VLOOKUP($B501,NIFTY_BANK!$B$3:$I$41238,8,0)</f>
        <v>7.5060749948268057E-3</v>
      </c>
      <c r="N501" s="8">
        <f>+VLOOKUP($B501,NIFTY_IT!$B$3:$I$1238,8,0)</f>
        <v>-4.0583563656715338E-4</v>
      </c>
      <c r="O501" s="8">
        <f>+VLOOKUP($B501,NIFTY_PHARMA!$B$3:$I$1238,8,0)</f>
        <v>1.5127137810401203E-2</v>
      </c>
      <c r="P501" s="8">
        <f>+VLOOKUP($B501,NIFTY_FMCG!$B$3:$I$1238,8,0)</f>
        <v>-3.5003599426730592E-4</v>
      </c>
      <c r="Q501" s="8">
        <f>+VLOOKUP($B501,NIFTY_METAL!$B$3:$I$1238,8,0)</f>
        <v>4.4042574488674102E-3</v>
      </c>
      <c r="R501" s="8">
        <f>+VLOOKUP($B501,NIFTY_ENERGY!$B$3:$I$1238,8,0)</f>
        <v>-2.1715987423117644E-3</v>
      </c>
      <c r="S501" s="8">
        <f>+VLOOKUP($B501,NIFTY_AUTO!$B$3:$I$1238,8,0)</f>
        <v>4.4954648526076557E-3</v>
      </c>
      <c r="T501" s="8">
        <v>0</v>
      </c>
      <c r="U501" s="8">
        <f>+VLOOKUP($B501,NIFTY_50!$B$63:$K$1238,10,0)</f>
        <v>4.3882663883533679E-2</v>
      </c>
      <c r="V501" s="8">
        <f>+VLOOKUP($B501,NIFTY_BANK!$B$63:$K$1238,10,0)</f>
        <v>0.11743882104202763</v>
      </c>
      <c r="W501" s="8">
        <f>+VLOOKUP($B501,NIFTY_IT!$B$63:$K$1238,10,0)</f>
        <v>-6.6611347777225993E-2</v>
      </c>
      <c r="X501" s="8">
        <f>+VLOOKUP($B501,NIFTY_PHARMA!$B$63:$K$1238,10,0)</f>
        <v>-6.7437774832207587E-2</v>
      </c>
      <c r="Y501" s="8">
        <f>+VLOOKUP($B501,NIFTY_FMCG!$B$63:$K$1238,10,0)</f>
        <v>9.2623205249442453E-2</v>
      </c>
      <c r="Z501" s="8">
        <f>+VLOOKUP($B501,NIFTY_METAL!$B$63:$K$1238,10,0)</f>
        <v>-9.856413481261872E-2</v>
      </c>
      <c r="AA501" s="8">
        <f>+VLOOKUP($B501,NIFTY_ENERGY!$B$63:$K$1238,10,0)</f>
        <v>2.0118381706880628E-2</v>
      </c>
      <c r="AB501" s="8">
        <f>+VLOOKUP($B501,NIFTY_AUTO!$B$63:$K$1238,10,0)</f>
        <v>-1.2203008105607149E-2</v>
      </c>
      <c r="AC501" s="8"/>
      <c r="AD501" s="16">
        <f t="shared" si="272"/>
        <v>7.7658449915842226E-2</v>
      </c>
      <c r="AE501" s="8">
        <f t="shared" si="273"/>
        <v>8.2420448306145408E-2</v>
      </c>
      <c r="AF501" s="8">
        <f t="shared" si="274"/>
        <v>0.11525091917007153</v>
      </c>
      <c r="AG501" s="8">
        <f t="shared" si="275"/>
        <v>0.1169646376493273</v>
      </c>
      <c r="AH501" s="8">
        <f t="shared" si="276"/>
        <v>7.8459616834148593E-2</v>
      </c>
      <c r="AI501" s="8">
        <f t="shared" si="277"/>
        <v>0.12216755262730165</v>
      </c>
      <c r="AJ501" s="8">
        <f t="shared" si="278"/>
        <v>0.10130275742700699</v>
      </c>
      <c r="AK501" s="8">
        <f t="shared" si="279"/>
        <v>0.1159127788597345</v>
      </c>
      <c r="AL501" s="9">
        <v>0</v>
      </c>
      <c r="AM501" s="17">
        <f t="shared" si="256"/>
        <v>12.876898793160192</v>
      </c>
      <c r="AN501" s="13">
        <f t="shared" si="257"/>
        <v>12.132911438258196</v>
      </c>
      <c r="AO501" s="13">
        <f t="shared" si="258"/>
        <v>8.6767203871436109</v>
      </c>
      <c r="AP501" s="13">
        <f t="shared" si="259"/>
        <v>8.5495925956536425</v>
      </c>
      <c r="AQ501" s="13">
        <f t="shared" si="260"/>
        <v>12.745410191256022</v>
      </c>
      <c r="AR501" s="13">
        <f t="shared" si="261"/>
        <v>8.1854795196783119</v>
      </c>
      <c r="AS501" s="13">
        <f t="shared" si="262"/>
        <v>9.8713996084513607</v>
      </c>
      <c r="AT501" s="13">
        <f t="shared" si="263"/>
        <v>8.6271764842260854</v>
      </c>
      <c r="AU501" s="9">
        <v>0</v>
      </c>
      <c r="AV501" s="18">
        <f t="shared" si="280"/>
        <v>1</v>
      </c>
      <c r="AW501" s="18">
        <f t="shared" si="281"/>
        <v>3</v>
      </c>
      <c r="AX501" s="18">
        <f t="shared" si="282"/>
        <v>5</v>
      </c>
      <c r="AY501" s="18">
        <f t="shared" si="283"/>
        <v>7</v>
      </c>
      <c r="AZ501" s="18">
        <f t="shared" si="284"/>
        <v>2</v>
      </c>
      <c r="BA501" s="18">
        <f t="shared" si="285"/>
        <v>8</v>
      </c>
      <c r="BB501" s="18">
        <f t="shared" si="286"/>
        <v>4</v>
      </c>
      <c r="BC501" s="18">
        <f t="shared" si="287"/>
        <v>6</v>
      </c>
      <c r="BD501" s="18">
        <f t="shared" si="288"/>
        <v>9</v>
      </c>
      <c r="BE501" s="8">
        <f t="shared" si="290"/>
        <v>6.2627104855501612E-3</v>
      </c>
    </row>
    <row r="502" spans="1:57" x14ac:dyDescent="0.25">
      <c r="A502" t="str">
        <f t="shared" si="289"/>
        <v/>
      </c>
      <c r="B502" s="1">
        <v>43474</v>
      </c>
      <c r="C502" s="9">
        <f t="shared" si="264"/>
        <v>0.24820282365736551</v>
      </c>
      <c r="D502" s="9">
        <f t="shared" si="265"/>
        <v>0.25349488843564882</v>
      </c>
      <c r="E502" s="9">
        <f t="shared" si="266"/>
        <v>0</v>
      </c>
      <c r="F502" s="9">
        <f t="shared" si="267"/>
        <v>0.24943623202004944</v>
      </c>
      <c r="G502" s="9">
        <f t="shared" si="268"/>
        <v>0.24886605588693636</v>
      </c>
      <c r="H502" s="9">
        <f t="shared" si="269"/>
        <v>0</v>
      </c>
      <c r="I502" s="9">
        <f t="shared" si="270"/>
        <v>0</v>
      </c>
      <c r="J502" s="9">
        <f t="shared" si="271"/>
        <v>0</v>
      </c>
      <c r="K502" s="9">
        <v>0</v>
      </c>
      <c r="L502" s="8">
        <f>+VLOOKUP($B502,NIFTY_50!$B$3:$I$1238,8,0)</f>
        <v>4.9064306642658817E-3</v>
      </c>
      <c r="M502" s="8">
        <f>+VLOOKUP($B502,NIFTY_BANK!$B$3:$I$41238,8,0)</f>
        <v>7.6664425016812476E-3</v>
      </c>
      <c r="N502" s="8">
        <f>+VLOOKUP($B502,NIFTY_IT!$B$3:$I$1238,8,0)</f>
        <v>2.8280028280027736E-3</v>
      </c>
      <c r="O502" s="8">
        <f>+VLOOKUP($B502,NIFTY_PHARMA!$B$3:$I$1238,8,0)</f>
        <v>4.7322259510984566E-3</v>
      </c>
      <c r="P502" s="8">
        <f>+VLOOKUP($B502,NIFTY_FMCG!$B$3:$I$1238,8,0)</f>
        <v>1.0086878964059132E-2</v>
      </c>
      <c r="Q502" s="8">
        <f>+VLOOKUP($B502,NIFTY_METAL!$B$3:$I$1238,8,0)</f>
        <v>-1.156030960369403E-2</v>
      </c>
      <c r="R502" s="8">
        <f>+VLOOKUP($B502,NIFTY_ENERGY!$B$3:$I$1238,8,0)</f>
        <v>-3.214864227812364E-3</v>
      </c>
      <c r="S502" s="8">
        <f>+VLOOKUP($B502,NIFTY_AUTO!$B$3:$I$1238,8,0)</f>
        <v>5.3557420439860337E-3</v>
      </c>
      <c r="T502" s="8">
        <v>0</v>
      </c>
      <c r="U502" s="8">
        <f>+VLOOKUP($B502,NIFTY_50!$B$63:$K$1238,10,0)</f>
        <v>5.3790632993723886E-2</v>
      </c>
      <c r="V502" s="8">
        <f>+VLOOKUP($B502,NIFTY_BANK!$B$63:$K$1238,10,0)</f>
        <v>0.13016942104115148</v>
      </c>
      <c r="W502" s="8">
        <f>+VLOOKUP($B502,NIFTY_IT!$B$63:$K$1238,10,0)</f>
        <v>-6.7905893375320381E-2</v>
      </c>
      <c r="X502" s="8">
        <f>+VLOOKUP($B502,NIFTY_PHARMA!$B$63:$K$1238,10,0)</f>
        <v>-7.5948644793152553E-2</v>
      </c>
      <c r="Y502" s="8">
        <f>+VLOOKUP($B502,NIFTY_FMCG!$B$63:$K$1238,10,0)</f>
        <v>0.12625208796430143</v>
      </c>
      <c r="Z502" s="8">
        <f>+VLOOKUP($B502,NIFTY_METAL!$B$63:$K$1238,10,0)</f>
        <v>-0.11804371989625784</v>
      </c>
      <c r="AA502" s="8">
        <f>+VLOOKUP($B502,NIFTY_ENERGY!$B$63:$K$1238,10,0)</f>
        <v>3.4555066273769697E-2</v>
      </c>
      <c r="AB502" s="8">
        <f>+VLOOKUP($B502,NIFTY_AUTO!$B$63:$K$1238,10,0)</f>
        <v>1.9947554649658361E-2</v>
      </c>
      <c r="AC502" s="8"/>
      <c r="AD502" s="16">
        <f t="shared" si="272"/>
        <v>7.7579459803110137E-2</v>
      </c>
      <c r="AE502" s="8">
        <f t="shared" si="273"/>
        <v>8.2423285800008572E-2</v>
      </c>
      <c r="AF502" s="8">
        <f t="shared" si="274"/>
        <v>0.11519584564693638</v>
      </c>
      <c r="AG502" s="8">
        <f t="shared" si="275"/>
        <v>0.11613352812917609</v>
      </c>
      <c r="AH502" s="8">
        <f t="shared" si="276"/>
        <v>7.5822877442651287E-2</v>
      </c>
      <c r="AI502" s="8">
        <f t="shared" si="277"/>
        <v>0.12196876065522848</v>
      </c>
      <c r="AJ502" s="8">
        <f t="shared" si="278"/>
        <v>9.9823533188910712E-2</v>
      </c>
      <c r="AK502" s="8">
        <f t="shared" si="279"/>
        <v>0.11296134431479612</v>
      </c>
      <c r="AL502" s="9">
        <v>0</v>
      </c>
      <c r="AM502" s="17">
        <f t="shared" si="256"/>
        <v>12.890009836855171</v>
      </c>
      <c r="AN502" s="13">
        <f t="shared" si="257"/>
        <v>12.13249375214663</v>
      </c>
      <c r="AO502" s="13">
        <f t="shared" si="258"/>
        <v>8.6808686058427735</v>
      </c>
      <c r="AP502" s="13">
        <f t="shared" si="259"/>
        <v>8.6107777496236348</v>
      </c>
      <c r="AQ502" s="13">
        <f t="shared" si="260"/>
        <v>13.188631633722302</v>
      </c>
      <c r="AR502" s="13">
        <f t="shared" si="261"/>
        <v>8.1988207031693943</v>
      </c>
      <c r="AS502" s="13">
        <f t="shared" si="262"/>
        <v>10.017677876694199</v>
      </c>
      <c r="AT502" s="13">
        <f t="shared" si="263"/>
        <v>8.8525858652428955</v>
      </c>
      <c r="AU502" s="9">
        <v>0</v>
      </c>
      <c r="AV502" s="18">
        <f t="shared" si="280"/>
        <v>2</v>
      </c>
      <c r="AW502" s="18">
        <f t="shared" si="281"/>
        <v>3</v>
      </c>
      <c r="AX502" s="18">
        <f t="shared" si="282"/>
        <v>6</v>
      </c>
      <c r="AY502" s="18">
        <f t="shared" si="283"/>
        <v>7</v>
      </c>
      <c r="AZ502" s="18">
        <f t="shared" si="284"/>
        <v>1</v>
      </c>
      <c r="BA502" s="18">
        <f t="shared" si="285"/>
        <v>8</v>
      </c>
      <c r="BB502" s="18">
        <f t="shared" si="286"/>
        <v>4</v>
      </c>
      <c r="BC502" s="18">
        <f t="shared" si="287"/>
        <v>5</v>
      </c>
      <c r="BD502" s="18">
        <f t="shared" si="288"/>
        <v>9</v>
      </c>
      <c r="BE502" s="8">
        <f t="shared" si="290"/>
        <v>6.8470687756112935E-3</v>
      </c>
    </row>
    <row r="503" spans="1:57" x14ac:dyDescent="0.25">
      <c r="A503" t="str">
        <f t="shared" si="289"/>
        <v/>
      </c>
      <c r="B503" s="1">
        <v>43475</v>
      </c>
      <c r="C503" s="9">
        <f t="shared" si="264"/>
        <v>0.24787716531438342</v>
      </c>
      <c r="D503" s="9">
        <f t="shared" si="265"/>
        <v>0.25218961892508279</v>
      </c>
      <c r="E503" s="9">
        <f t="shared" si="266"/>
        <v>0</v>
      </c>
      <c r="F503" s="9">
        <f t="shared" si="267"/>
        <v>0.25066962057753961</v>
      </c>
      <c r="G503" s="9">
        <f t="shared" si="268"/>
        <v>0.24926359518299421</v>
      </c>
      <c r="H503" s="9">
        <f t="shared" si="269"/>
        <v>0</v>
      </c>
      <c r="I503" s="9">
        <f t="shared" si="270"/>
        <v>0</v>
      </c>
      <c r="J503" s="9">
        <f t="shared" si="271"/>
        <v>0</v>
      </c>
      <c r="K503" s="9">
        <v>0</v>
      </c>
      <c r="L503" s="8">
        <f>+VLOOKUP($B503,NIFTY_50!$B$3:$I$1238,8,0)</f>
        <v>-3.0906988848610206E-3</v>
      </c>
      <c r="M503" s="8">
        <f>+VLOOKUP($B503,NIFTY_BANK!$B$3:$I$41238,8,0)</f>
        <v>-6.9208958023694311E-3</v>
      </c>
      <c r="N503" s="8">
        <f>+VLOOKUP($B503,NIFTY_IT!$B$3:$I$1238,8,0)</f>
        <v>-1.989376033951773E-4</v>
      </c>
      <c r="O503" s="8">
        <f>+VLOOKUP($B503,NIFTY_PHARMA!$B$3:$I$1238,8,0)</f>
        <v>3.1549283123939453E-3</v>
      </c>
      <c r="P503" s="8">
        <f>+VLOOKUP($B503,NIFTY_FMCG!$B$3:$I$1238,8,0)</f>
        <v>-1.8641249159911943E-4</v>
      </c>
      <c r="Q503" s="8">
        <f>+VLOOKUP($B503,NIFTY_METAL!$B$3:$I$1238,8,0)</f>
        <v>-1.0586456057806171E-3</v>
      </c>
      <c r="R503" s="8">
        <f>+VLOOKUP($B503,NIFTY_ENERGY!$B$3:$I$1238,8,0)</f>
        <v>-4.0146504516037629E-3</v>
      </c>
      <c r="S503" s="8">
        <f>+VLOOKUP($B503,NIFTY_AUTO!$B$3:$I$1238,8,0)</f>
        <v>2.9470871551908751E-3</v>
      </c>
      <c r="T503" s="8">
        <v>0</v>
      </c>
      <c r="U503" s="8">
        <f>+VLOOKUP($B503,NIFTY_50!$B$63:$K$1238,10,0)</f>
        <v>3.4559899044942277E-2</v>
      </c>
      <c r="V503" s="8">
        <f>+VLOOKUP($B503,NIFTY_BANK!$B$63:$K$1238,10,0)</f>
        <v>8.7152521355201129E-2</v>
      </c>
      <c r="W503" s="8">
        <f>+VLOOKUP($B503,NIFTY_IT!$B$63:$K$1238,10,0)</f>
        <v>-5.4146415552855487E-2</v>
      </c>
      <c r="X503" s="8">
        <f>+VLOOKUP($B503,NIFTY_PHARMA!$B$63:$K$1238,10,0)</f>
        <v>-8.561253051011386E-2</v>
      </c>
      <c r="Y503" s="8">
        <f>+VLOOKUP($B503,NIFTY_FMCG!$B$63:$K$1238,10,0)</f>
        <v>0.107808961281322</v>
      </c>
      <c r="Z503" s="8">
        <f>+VLOOKUP($B503,NIFTY_METAL!$B$63:$K$1238,10,0)</f>
        <v>-0.13560554287292981</v>
      </c>
      <c r="AA503" s="8">
        <f>+VLOOKUP($B503,NIFTY_ENERGY!$B$63:$K$1238,10,0)</f>
        <v>1.63432963093324E-2</v>
      </c>
      <c r="AB503" s="8">
        <f>+VLOOKUP($B503,NIFTY_AUTO!$B$63:$K$1238,10,0)</f>
        <v>-3.1912697571399029E-3</v>
      </c>
      <c r="AC503" s="8"/>
      <c r="AD503" s="16">
        <f t="shared" si="272"/>
        <v>7.6274316660728508E-2</v>
      </c>
      <c r="AE503" s="8">
        <f t="shared" si="273"/>
        <v>7.700844928554379E-2</v>
      </c>
      <c r="AF503" s="8">
        <f t="shared" si="274"/>
        <v>0.11436624279929876</v>
      </c>
      <c r="AG503" s="8">
        <f t="shared" si="275"/>
        <v>0.11524212103755245</v>
      </c>
      <c r="AH503" s="8">
        <f t="shared" si="276"/>
        <v>7.443267435442194E-2</v>
      </c>
      <c r="AI503" s="8">
        <f t="shared" si="277"/>
        <v>0.12009225176769553</v>
      </c>
      <c r="AJ503" s="8">
        <f t="shared" si="278"/>
        <v>9.9030804896078892E-2</v>
      </c>
      <c r="AK503" s="8">
        <f t="shared" si="279"/>
        <v>0.10996393452292685</v>
      </c>
      <c r="AL503" s="9">
        <v>0</v>
      </c>
      <c r="AM503" s="17">
        <f t="shared" si="256"/>
        <v>13.110573044502564</v>
      </c>
      <c r="AN503" s="13">
        <f t="shared" si="257"/>
        <v>12.985588065694531</v>
      </c>
      <c r="AO503" s="13">
        <f t="shared" si="258"/>
        <v>8.7438388769568949</v>
      </c>
      <c r="AP503" s="13">
        <f t="shared" si="259"/>
        <v>8.6773828093127765</v>
      </c>
      <c r="AQ503" s="13">
        <f t="shared" si="260"/>
        <v>13.434959964468769</v>
      </c>
      <c r="AR503" s="13">
        <f t="shared" si="261"/>
        <v>8.3269318817868747</v>
      </c>
      <c r="AS503" s="13">
        <f t="shared" si="262"/>
        <v>10.097868042669971</v>
      </c>
      <c r="AT503" s="13">
        <f t="shared" si="263"/>
        <v>9.0938906864186979</v>
      </c>
      <c r="AU503" s="9">
        <v>0</v>
      </c>
      <c r="AV503" s="18">
        <f t="shared" si="280"/>
        <v>2</v>
      </c>
      <c r="AW503" s="18">
        <f t="shared" si="281"/>
        <v>3</v>
      </c>
      <c r="AX503" s="18">
        <f t="shared" si="282"/>
        <v>6</v>
      </c>
      <c r="AY503" s="18">
        <f t="shared" si="283"/>
        <v>7</v>
      </c>
      <c r="AZ503" s="18">
        <f t="shared" si="284"/>
        <v>1</v>
      </c>
      <c r="BA503" s="18">
        <f t="shared" si="285"/>
        <v>8</v>
      </c>
      <c r="BB503" s="18">
        <f t="shared" si="286"/>
        <v>4</v>
      </c>
      <c r="BC503" s="18">
        <f t="shared" si="287"/>
        <v>5</v>
      </c>
      <c r="BD503" s="18">
        <f t="shared" si="288"/>
        <v>9</v>
      </c>
      <c r="BE503" s="8">
        <f t="shared" si="290"/>
        <v>-1.7809702106089758E-3</v>
      </c>
    </row>
    <row r="504" spans="1:57" x14ac:dyDescent="0.25">
      <c r="A504" t="str">
        <f t="shared" si="289"/>
        <v/>
      </c>
      <c r="B504" s="1">
        <v>43476</v>
      </c>
      <c r="C504" s="9">
        <f t="shared" si="264"/>
        <v>0.24743348431461898</v>
      </c>
      <c r="D504" s="9">
        <f t="shared" si="265"/>
        <v>0.2516753655212044</v>
      </c>
      <c r="E504" s="9">
        <f t="shared" si="266"/>
        <v>0</v>
      </c>
      <c r="F504" s="9">
        <f t="shared" si="267"/>
        <v>0.24993046836868779</v>
      </c>
      <c r="G504" s="9">
        <f t="shared" si="268"/>
        <v>0.2509606817954888</v>
      </c>
      <c r="H504" s="9">
        <f t="shared" si="269"/>
        <v>0</v>
      </c>
      <c r="I504" s="9">
        <f t="shared" si="270"/>
        <v>0</v>
      </c>
      <c r="J504" s="9">
        <f t="shared" si="271"/>
        <v>0</v>
      </c>
      <c r="K504" s="9">
        <v>0</v>
      </c>
      <c r="L504" s="8">
        <f>+VLOOKUP($B504,NIFTY_50!$B$3:$I$1238,8,0)</f>
        <v>-2.4626672580764231E-3</v>
      </c>
      <c r="M504" s="8">
        <f>+VLOOKUP($B504,NIFTY_BANK!$B$3:$I$41238,8,0)</f>
        <v>-2.7117301855709153E-3</v>
      </c>
      <c r="N504" s="8">
        <f>+VLOOKUP($B504,NIFTY_IT!$B$3:$I$1238,8,0)</f>
        <v>-1.1275373954933166E-3</v>
      </c>
      <c r="O504" s="8">
        <f>+VLOOKUP($B504,NIFTY_PHARMA!$B$3:$I$1238,8,0)</f>
        <v>-3.6206742176655426E-3</v>
      </c>
      <c r="P504" s="8">
        <f>+VLOOKUP($B504,NIFTY_FMCG!$B$3:$I$1238,8,0)</f>
        <v>6.129862143521736E-3</v>
      </c>
      <c r="Q504" s="8">
        <f>+VLOOKUP($B504,NIFTY_METAL!$B$3:$I$1238,8,0)</f>
        <v>-3.7007754806794857E-4</v>
      </c>
      <c r="R504" s="8">
        <f>+VLOOKUP($B504,NIFTY_ENERGY!$B$3:$I$1238,8,0)</f>
        <v>-4.7841594338983162E-3</v>
      </c>
      <c r="S504" s="8">
        <f>+VLOOKUP($B504,NIFTY_AUTO!$B$3:$I$1238,8,0)</f>
        <v>-7.9477463661448144E-3</v>
      </c>
      <c r="T504" s="8">
        <v>0</v>
      </c>
      <c r="U504" s="8">
        <f>+VLOOKUP($B504,NIFTY_50!$B$63:$K$1238,10,0)</f>
        <v>5.4745399207593914E-2</v>
      </c>
      <c r="V504" s="8">
        <f>+VLOOKUP($B504,NIFTY_BANK!$B$63:$K$1238,10,0)</f>
        <v>0.107728993965853</v>
      </c>
      <c r="W504" s="8">
        <f>+VLOOKUP($B504,NIFTY_IT!$B$63:$K$1238,10,0)</f>
        <v>-2.5601035210787937E-2</v>
      </c>
      <c r="X504" s="8">
        <f>+VLOOKUP($B504,NIFTY_PHARMA!$B$63:$K$1238,10,0)</f>
        <v>-6.1779072892350184E-2</v>
      </c>
      <c r="Y504" s="8">
        <f>+VLOOKUP($B504,NIFTY_FMCG!$B$63:$K$1238,10,0)</f>
        <v>0.12361826484018268</v>
      </c>
      <c r="Z504" s="8">
        <f>+VLOOKUP($B504,NIFTY_METAL!$B$63:$K$1238,10,0)</f>
        <v>-0.10139119915318318</v>
      </c>
      <c r="AA504" s="8">
        <f>+VLOOKUP($B504,NIFTY_ENERGY!$B$63:$K$1238,10,0)</f>
        <v>1.021994629092049E-2</v>
      </c>
      <c r="AB504" s="8">
        <f>+VLOOKUP($B504,NIFTY_AUTO!$B$63:$K$1238,10,0)</f>
        <v>1.405686824189023E-2</v>
      </c>
      <c r="AC504" s="8"/>
      <c r="AD504" s="16">
        <f t="shared" si="272"/>
        <v>7.3008371317291987E-2</v>
      </c>
      <c r="AE504" s="8">
        <f t="shared" si="273"/>
        <v>7.3677968880048378E-2</v>
      </c>
      <c r="AF504" s="8">
        <f t="shared" si="274"/>
        <v>0.11041025655835805</v>
      </c>
      <c r="AG504" s="8">
        <f t="shared" si="275"/>
        <v>0.1118707163654821</v>
      </c>
      <c r="AH504" s="8">
        <f t="shared" si="276"/>
        <v>7.3900261824286703E-2</v>
      </c>
      <c r="AI504" s="8">
        <f t="shared" si="277"/>
        <v>0.11443005847568134</v>
      </c>
      <c r="AJ504" s="8">
        <f t="shared" si="278"/>
        <v>9.9156495149590532E-2</v>
      </c>
      <c r="AK504" s="8">
        <f t="shared" si="279"/>
        <v>0.10739128657302731</v>
      </c>
      <c r="AL504" s="9">
        <v>0</v>
      </c>
      <c r="AM504" s="17">
        <f t="shared" si="256"/>
        <v>13.697059418762169</v>
      </c>
      <c r="AN504" s="13">
        <f t="shared" si="257"/>
        <v>13.572578278156023</v>
      </c>
      <c r="AO504" s="13">
        <f t="shared" si="258"/>
        <v>9.0571295744743026</v>
      </c>
      <c r="AP504" s="13">
        <f t="shared" si="259"/>
        <v>8.9388897513894143</v>
      </c>
      <c r="AQ504" s="13">
        <f t="shared" si="260"/>
        <v>13.531751786992428</v>
      </c>
      <c r="AR504" s="13">
        <f t="shared" si="261"/>
        <v>8.7389625883352995</v>
      </c>
      <c r="AS504" s="13">
        <f t="shared" si="262"/>
        <v>10.085068038068201</v>
      </c>
      <c r="AT504" s="13">
        <f t="shared" si="263"/>
        <v>9.3117424319149809</v>
      </c>
      <c r="AU504" s="9">
        <v>0</v>
      </c>
      <c r="AV504" s="18">
        <f t="shared" si="280"/>
        <v>1</v>
      </c>
      <c r="AW504" s="18">
        <f t="shared" si="281"/>
        <v>2</v>
      </c>
      <c r="AX504" s="18">
        <f t="shared" si="282"/>
        <v>6</v>
      </c>
      <c r="AY504" s="18">
        <f t="shared" si="283"/>
        <v>7</v>
      </c>
      <c r="AZ504" s="18">
        <f t="shared" si="284"/>
        <v>3</v>
      </c>
      <c r="BA504" s="18">
        <f t="shared" si="285"/>
        <v>8</v>
      </c>
      <c r="BB504" s="18">
        <f t="shared" si="286"/>
        <v>4</v>
      </c>
      <c r="BC504" s="18">
        <f t="shared" si="287"/>
        <v>5</v>
      </c>
      <c r="BD504" s="18">
        <f t="shared" si="288"/>
        <v>9</v>
      </c>
      <c r="BE504" s="8">
        <f t="shared" si="290"/>
        <v>-6.7395073767804016E-4</v>
      </c>
    </row>
    <row r="505" spans="1:57" x14ac:dyDescent="0.25">
      <c r="A505" t="str">
        <f t="shared" si="289"/>
        <v/>
      </c>
      <c r="B505" s="1">
        <v>43479</v>
      </c>
      <c r="C505" s="9">
        <f t="shared" si="264"/>
        <v>0.2466696325176011</v>
      </c>
      <c r="D505" s="9">
        <f t="shared" si="265"/>
        <v>0.25034902563539635</v>
      </c>
      <c r="E505" s="9">
        <f t="shared" si="266"/>
        <v>0</v>
      </c>
      <c r="F505" s="9">
        <f t="shared" si="267"/>
        <v>0.25180790299767319</v>
      </c>
      <c r="G505" s="9">
        <f t="shared" si="268"/>
        <v>0.25117343884932924</v>
      </c>
      <c r="H505" s="9">
        <f t="shared" si="269"/>
        <v>0</v>
      </c>
      <c r="I505" s="9">
        <f t="shared" si="270"/>
        <v>0</v>
      </c>
      <c r="J505" s="9">
        <f t="shared" si="271"/>
        <v>0</v>
      </c>
      <c r="K505" s="9">
        <v>0</v>
      </c>
      <c r="L505" s="8">
        <f>+VLOOKUP($B505,NIFTY_50!$B$3:$I$1238,8,0)</f>
        <v>-5.3126693500201716E-3</v>
      </c>
      <c r="M505" s="8">
        <f>+VLOOKUP($B505,NIFTY_BANK!$B$3:$I$41238,8,0)</f>
        <v>-7.4907390206856439E-3</v>
      </c>
      <c r="N505" s="8">
        <f>+VLOOKUP($B505,NIFTY_IT!$B$3:$I$1238,8,0)</f>
        <v>-5.836263114118112E-3</v>
      </c>
      <c r="O505" s="8">
        <f>+VLOOKUP($B505,NIFTY_PHARMA!$B$3:$I$1238,8,0)</f>
        <v>5.2625962515935321E-3</v>
      </c>
      <c r="P505" s="8">
        <f>+VLOOKUP($B505,NIFTY_FMCG!$B$3:$I$1238,8,0)</f>
        <v>-1.386583785910056E-3</v>
      </c>
      <c r="Q505" s="8">
        <f>+VLOOKUP($B505,NIFTY_METAL!$B$3:$I$1238,8,0)</f>
        <v>-1.0736222128733708E-2</v>
      </c>
      <c r="R505" s="8">
        <f>+VLOOKUP($B505,NIFTY_ENERGY!$B$3:$I$1238,8,0)</f>
        <v>-5.1910127676670914E-3</v>
      </c>
      <c r="S505" s="8">
        <f>+VLOOKUP($B505,NIFTY_AUTO!$B$3:$I$1238,8,0)</f>
        <v>-1.4273866412407576E-3</v>
      </c>
      <c r="T505" s="8">
        <v>0</v>
      </c>
      <c r="U505" s="8">
        <f>+VLOOKUP($B505,NIFTY_50!$B$63:$K$1238,10,0)</f>
        <v>2.5313917402721486E-2</v>
      </c>
      <c r="V505" s="8">
        <f>+VLOOKUP($B505,NIFTY_BANK!$B$63:$K$1238,10,0)</f>
        <v>7.2941051392255041E-2</v>
      </c>
      <c r="W505" s="8">
        <f>+VLOOKUP($B505,NIFTY_IT!$B$63:$K$1238,10,0)</f>
        <v>-2.1706833938593628E-2</v>
      </c>
      <c r="X505" s="8">
        <f>+VLOOKUP($B505,NIFTY_PHARMA!$B$63:$K$1238,10,0)</f>
        <v>-6.0500125976316599E-2</v>
      </c>
      <c r="Y505" s="8">
        <f>+VLOOKUP($B505,NIFTY_FMCG!$B$63:$K$1238,10,0)</f>
        <v>9.1031148824926245E-2</v>
      </c>
      <c r="Z505" s="8">
        <f>+VLOOKUP($B505,NIFTY_METAL!$B$63:$K$1238,10,0)</f>
        <v>-0.14506558855181639</v>
      </c>
      <c r="AA505" s="8">
        <f>+VLOOKUP($B505,NIFTY_ENERGY!$B$63:$K$1238,10,0)</f>
        <v>-2.6528728046310235E-2</v>
      </c>
      <c r="AB505" s="8">
        <f>+VLOOKUP($B505,NIFTY_AUTO!$B$63:$K$1238,10,0)</f>
        <v>-2.5840859930980953E-2</v>
      </c>
      <c r="AC505" s="8"/>
      <c r="AD505" s="16">
        <f t="shared" si="272"/>
        <v>6.9695118049177496E-2</v>
      </c>
      <c r="AE505" s="8">
        <f t="shared" si="273"/>
        <v>7.0490488087367242E-2</v>
      </c>
      <c r="AF505" s="8">
        <f t="shared" si="274"/>
        <v>0.11014030721131762</v>
      </c>
      <c r="AG505" s="8">
        <f t="shared" si="275"/>
        <v>0.11193809844513901</v>
      </c>
      <c r="AH505" s="8">
        <f t="shared" si="276"/>
        <v>6.8967343412042262E-2</v>
      </c>
      <c r="AI505" s="8">
        <f t="shared" si="277"/>
        <v>0.10685232751531257</v>
      </c>
      <c r="AJ505" s="8">
        <f t="shared" si="278"/>
        <v>9.3845814680134976E-2</v>
      </c>
      <c r="AK505" s="8">
        <f t="shared" si="279"/>
        <v>9.9880066601018017E-2</v>
      </c>
      <c r="AL505" s="9">
        <v>0</v>
      </c>
      <c r="AM505" s="17">
        <f t="shared" si="256"/>
        <v>14.348207277508177</v>
      </c>
      <c r="AN505" s="13">
        <f t="shared" si="257"/>
        <v>14.18631119081742</v>
      </c>
      <c r="AO505" s="13">
        <f t="shared" si="258"/>
        <v>9.0793282252370879</v>
      </c>
      <c r="AP505" s="13">
        <f t="shared" si="259"/>
        <v>8.933508911535613</v>
      </c>
      <c r="AQ505" s="13">
        <f t="shared" si="260"/>
        <v>14.499616057784703</v>
      </c>
      <c r="AR505" s="13">
        <f t="shared" si="261"/>
        <v>9.3587105049882435</v>
      </c>
      <c r="AS505" s="13">
        <f t="shared" si="262"/>
        <v>10.65577621557669</v>
      </c>
      <c r="AT505" s="13">
        <f t="shared" si="263"/>
        <v>10.012007741190349</v>
      </c>
      <c r="AU505" s="9">
        <v>0</v>
      </c>
      <c r="AV505" s="18">
        <f t="shared" si="280"/>
        <v>2</v>
      </c>
      <c r="AW505" s="18">
        <f t="shared" si="281"/>
        <v>3</v>
      </c>
      <c r="AX505" s="18">
        <f t="shared" si="282"/>
        <v>7</v>
      </c>
      <c r="AY505" s="18">
        <f t="shared" si="283"/>
        <v>8</v>
      </c>
      <c r="AZ505" s="18">
        <f t="shared" si="284"/>
        <v>1</v>
      </c>
      <c r="BA505" s="18">
        <f t="shared" si="285"/>
        <v>6</v>
      </c>
      <c r="BB505" s="18">
        <f t="shared" si="286"/>
        <v>4</v>
      </c>
      <c r="BC505" s="18">
        <f t="shared" si="287"/>
        <v>5</v>
      </c>
      <c r="BD505" s="18">
        <f t="shared" si="288"/>
        <v>9</v>
      </c>
      <c r="BE505" s="8">
        <f t="shared" si="290"/>
        <v>-2.2324616356244669E-3</v>
      </c>
    </row>
    <row r="506" spans="1:57" x14ac:dyDescent="0.25">
      <c r="A506" t="str">
        <f t="shared" si="289"/>
        <v/>
      </c>
      <c r="B506" s="1">
        <v>43480</v>
      </c>
      <c r="C506" s="9">
        <f t="shared" si="264"/>
        <v>0.24775869643498188</v>
      </c>
      <c r="D506" s="9">
        <f t="shared" si="265"/>
        <v>0.24939626083062066</v>
      </c>
      <c r="E506" s="9">
        <f t="shared" si="266"/>
        <v>0</v>
      </c>
      <c r="F506" s="9">
        <f t="shared" si="267"/>
        <v>0.25163322517628095</v>
      </c>
      <c r="G506" s="9">
        <f t="shared" si="268"/>
        <v>0.25121181755811645</v>
      </c>
      <c r="H506" s="9">
        <f t="shared" si="269"/>
        <v>0</v>
      </c>
      <c r="I506" s="9">
        <f t="shared" si="270"/>
        <v>0</v>
      </c>
      <c r="J506" s="9">
        <f t="shared" si="271"/>
        <v>0</v>
      </c>
      <c r="K506" s="9">
        <v>0</v>
      </c>
      <c r="L506" s="8">
        <f>+VLOOKUP($B506,NIFTY_50!$B$3:$I$1238,8,0)</f>
        <v>1.3895097600953532E-2</v>
      </c>
      <c r="M506" s="8">
        <f>+VLOOKUP($B506,NIFTY_BANK!$B$3:$I$41238,8,0)</f>
        <v>5.5966896956685108E-3</v>
      </c>
      <c r="N506" s="8">
        <f>+VLOOKUP($B506,NIFTY_IT!$B$3:$I$1238,8,0)</f>
        <v>3.0575944205404992E-2</v>
      </c>
      <c r="O506" s="8">
        <f>+VLOOKUP($B506,NIFTY_PHARMA!$B$3:$I$1238,8,0)</f>
        <v>8.7381135954767153E-3</v>
      </c>
      <c r="P506" s="8">
        <f>+VLOOKUP($B506,NIFTY_FMCG!$B$3:$I$1238,8,0)</f>
        <v>9.592595486450195E-3</v>
      </c>
      <c r="Q506" s="8">
        <f>+VLOOKUP($B506,NIFTY_METAL!$B$3:$I$1238,8,0)</f>
        <v>1.5972919182812628E-2</v>
      </c>
      <c r="R506" s="8">
        <f>+VLOOKUP($B506,NIFTY_ENERGY!$B$3:$I$1238,8,0)</f>
        <v>2.1449384069468946E-2</v>
      </c>
      <c r="S506" s="8">
        <f>+VLOOKUP($B506,NIFTY_AUTO!$B$3:$I$1238,8,0)</f>
        <v>4.3730295942234765E-3</v>
      </c>
      <c r="T506" s="8">
        <v>0</v>
      </c>
      <c r="U506" s="8">
        <f>+VLOOKUP($B506,NIFTY_50!$B$63:$K$1238,10,0)</f>
        <v>3.5605231866825182E-2</v>
      </c>
      <c r="V506" s="8">
        <f>+VLOOKUP($B506,NIFTY_BANK!$B$63:$K$1238,10,0)</f>
        <v>7.9277455338239822E-2</v>
      </c>
      <c r="W506" s="8">
        <f>+VLOOKUP($B506,NIFTY_IT!$B$63:$K$1238,10,0)</f>
        <v>-9.3733949666153782E-3</v>
      </c>
      <c r="X506" s="8">
        <f>+VLOOKUP($B506,NIFTY_PHARMA!$B$63:$K$1238,10,0)</f>
        <v>-7.6385549564665811E-2</v>
      </c>
      <c r="Y506" s="8">
        <f>+VLOOKUP($B506,NIFTY_FMCG!$B$63:$K$1238,10,0)</f>
        <v>9.4609381342501297E-2</v>
      </c>
      <c r="Z506" s="8">
        <f>+VLOOKUP($B506,NIFTY_METAL!$B$63:$K$1238,10,0)</f>
        <v>-0.12770556448079451</v>
      </c>
      <c r="AA506" s="8">
        <f>+VLOOKUP($B506,NIFTY_ENERGY!$B$63:$K$1238,10,0)</f>
        <v>-1.3962814563657666E-2</v>
      </c>
      <c r="AB506" s="8">
        <f>+VLOOKUP($B506,NIFTY_AUTO!$B$63:$K$1238,10,0)</f>
        <v>-1.6182232749651471E-2</v>
      </c>
      <c r="AC506" s="8"/>
      <c r="AD506" s="16">
        <f t="shared" si="272"/>
        <v>7.0888418631065223E-2</v>
      </c>
      <c r="AE506" s="8">
        <f t="shared" si="273"/>
        <v>7.060771908533961E-2</v>
      </c>
      <c r="AF506" s="8">
        <f t="shared" si="274"/>
        <v>0.11293743187427455</v>
      </c>
      <c r="AG506" s="8">
        <f t="shared" si="275"/>
        <v>0.10903694614298705</v>
      </c>
      <c r="AH506" s="8">
        <f t="shared" si="276"/>
        <v>6.9275175939111588E-2</v>
      </c>
      <c r="AI506" s="8">
        <f t="shared" si="277"/>
        <v>0.10838724709646635</v>
      </c>
      <c r="AJ506" s="8">
        <f t="shared" si="278"/>
        <v>9.5931345905587606E-2</v>
      </c>
      <c r="AK506" s="8">
        <f t="shared" si="279"/>
        <v>9.9851377765587543E-2</v>
      </c>
      <c r="AL506" s="9">
        <v>0</v>
      </c>
      <c r="AM506" s="17">
        <f t="shared" si="256"/>
        <v>14.106676651999301</v>
      </c>
      <c r="AN506" s="13">
        <f t="shared" si="257"/>
        <v>14.162757457033214</v>
      </c>
      <c r="AO506" s="13">
        <f t="shared" si="258"/>
        <v>8.8544602387738998</v>
      </c>
      <c r="AP506" s="13">
        <f t="shared" si="259"/>
        <v>9.1712032973542446</v>
      </c>
      <c r="AQ506" s="13">
        <f t="shared" si="260"/>
        <v>14.435185280206802</v>
      </c>
      <c r="AR506" s="13">
        <f t="shared" si="261"/>
        <v>9.2261776803869218</v>
      </c>
      <c r="AS506" s="13">
        <f t="shared" si="262"/>
        <v>10.424121443935189</v>
      </c>
      <c r="AT506" s="13">
        <f t="shared" si="263"/>
        <v>10.014884344887195</v>
      </c>
      <c r="AU506" s="9">
        <v>0</v>
      </c>
      <c r="AV506" s="18">
        <f t="shared" si="280"/>
        <v>3</v>
      </c>
      <c r="AW506" s="18">
        <f t="shared" si="281"/>
        <v>2</v>
      </c>
      <c r="AX506" s="18">
        <f t="shared" si="282"/>
        <v>8</v>
      </c>
      <c r="AY506" s="18">
        <f t="shared" si="283"/>
        <v>7</v>
      </c>
      <c r="AZ506" s="18">
        <f t="shared" si="284"/>
        <v>1</v>
      </c>
      <c r="BA506" s="18">
        <f t="shared" si="285"/>
        <v>6</v>
      </c>
      <c r="BB506" s="18">
        <f t="shared" si="286"/>
        <v>4</v>
      </c>
      <c r="BC506" s="18">
        <f t="shared" si="287"/>
        <v>5</v>
      </c>
      <c r="BD506" s="18">
        <f t="shared" si="288"/>
        <v>9</v>
      </c>
      <c r="BE506" s="8">
        <f t="shared" si="290"/>
        <v>9.4383556875723834E-3</v>
      </c>
    </row>
    <row r="507" spans="1:57" x14ac:dyDescent="0.25">
      <c r="A507" t="str">
        <f t="shared" si="289"/>
        <v/>
      </c>
      <c r="B507" s="1">
        <v>43481</v>
      </c>
      <c r="C507" s="9">
        <f t="shared" si="264"/>
        <v>0.24790319966053437</v>
      </c>
      <c r="D507" s="9">
        <f t="shared" si="265"/>
        <v>0.25021671192112749</v>
      </c>
      <c r="E507" s="9">
        <f t="shared" si="266"/>
        <v>0</v>
      </c>
      <c r="F507" s="9">
        <f t="shared" si="267"/>
        <v>0.2524435019774911</v>
      </c>
      <c r="G507" s="9">
        <f t="shared" si="268"/>
        <v>0.24943658644084707</v>
      </c>
      <c r="H507" s="9">
        <f t="shared" si="269"/>
        <v>0</v>
      </c>
      <c r="I507" s="9">
        <f t="shared" si="270"/>
        <v>0</v>
      </c>
      <c r="J507" s="9">
        <f t="shared" si="271"/>
        <v>0</v>
      </c>
      <c r="K507" s="9">
        <v>0</v>
      </c>
      <c r="L507" s="8">
        <f>+VLOOKUP($B507,NIFTY_50!$B$3:$I$1238,8,0)</f>
        <v>3.2149024506744617E-4</v>
      </c>
      <c r="M507" s="8">
        <f>+VLOOKUP($B507,NIFTY_BANK!$B$3:$I$41238,8,0)</f>
        <v>3.0272893990128669E-3</v>
      </c>
      <c r="N507" s="8">
        <f>+VLOOKUP($B507,NIFTY_IT!$B$3:$I$1238,8,0)</f>
        <v>3.3632363475115667E-3</v>
      </c>
      <c r="O507" s="8">
        <f>+VLOOKUP($B507,NIFTY_PHARMA!$B$3:$I$1238,8,0)</f>
        <v>2.957629465522027E-3</v>
      </c>
      <c r="P507" s="8">
        <f>+VLOOKUP($B507,NIFTY_FMCG!$B$3:$I$1238,8,0)</f>
        <v>-7.3264207435737028E-3</v>
      </c>
      <c r="Q507" s="8">
        <f>+VLOOKUP($B507,NIFTY_METAL!$B$3:$I$1238,8,0)</f>
        <v>-6.4461038743596211E-3</v>
      </c>
      <c r="R507" s="8">
        <f>+VLOOKUP($B507,NIFTY_ENERGY!$B$3:$I$1238,8,0)</f>
        <v>5.6486803270585639E-3</v>
      </c>
      <c r="S507" s="8">
        <f>+VLOOKUP($B507,NIFTY_AUTO!$B$3:$I$1238,8,0)</f>
        <v>-2.4357589667430846E-3</v>
      </c>
      <c r="T507" s="8">
        <v>0</v>
      </c>
      <c r="U507" s="8">
        <f>+VLOOKUP($B507,NIFTY_50!$B$63:$K$1238,10,0)</f>
        <v>2.8867002054842938E-2</v>
      </c>
      <c r="V507" s="8">
        <f>+VLOOKUP($B507,NIFTY_BANK!$B$63:$K$1238,10,0)</f>
        <v>7.4016252664651505E-2</v>
      </c>
      <c r="W507" s="8">
        <f>+VLOOKUP($B507,NIFTY_IT!$B$63:$K$1238,10,0)</f>
        <v>-1.2060574917631461E-2</v>
      </c>
      <c r="X507" s="8">
        <f>+VLOOKUP($B507,NIFTY_PHARMA!$B$63:$K$1238,10,0)</f>
        <v>-7.9553714387373797E-2</v>
      </c>
      <c r="Y507" s="8">
        <f>+VLOOKUP($B507,NIFTY_FMCG!$B$63:$K$1238,10,0)</f>
        <v>8.0201415876413495E-2</v>
      </c>
      <c r="Z507" s="8">
        <f>+VLOOKUP($B507,NIFTY_METAL!$B$63:$K$1238,10,0)</f>
        <v>-0.13537416948362269</v>
      </c>
      <c r="AA507" s="8">
        <f>+VLOOKUP($B507,NIFTY_ENERGY!$B$63:$K$1238,10,0)</f>
        <v>-2.4275619221823752E-2</v>
      </c>
      <c r="AB507" s="8">
        <f>+VLOOKUP($B507,NIFTY_AUTO!$B$63:$K$1238,10,0)</f>
        <v>-2.5942282129870708E-2</v>
      </c>
      <c r="AC507" s="8"/>
      <c r="AD507" s="16">
        <f t="shared" si="272"/>
        <v>7.0607289456149011E-2</v>
      </c>
      <c r="AE507" s="8">
        <f t="shared" si="273"/>
        <v>7.0312605636347544E-2</v>
      </c>
      <c r="AF507" s="8">
        <f t="shared" si="274"/>
        <v>0.11282138024233995</v>
      </c>
      <c r="AG507" s="8">
        <f t="shared" si="275"/>
        <v>0.10884945245072689</v>
      </c>
      <c r="AH507" s="8">
        <f t="shared" si="276"/>
        <v>6.9679179917811127E-2</v>
      </c>
      <c r="AI507" s="8">
        <f t="shared" si="277"/>
        <v>0.10837318138823503</v>
      </c>
      <c r="AJ507" s="8">
        <f t="shared" si="278"/>
        <v>9.4681672065417569E-2</v>
      </c>
      <c r="AK507" s="8">
        <f t="shared" si="279"/>
        <v>9.9567702024735458E-2</v>
      </c>
      <c r="AL507" s="9">
        <v>0</v>
      </c>
      <c r="AM507" s="17">
        <f t="shared" si="256"/>
        <v>14.162843634169738</v>
      </c>
      <c r="AN507" s="13">
        <f t="shared" si="257"/>
        <v>14.222200855020766</v>
      </c>
      <c r="AO507" s="13">
        <f t="shared" si="258"/>
        <v>8.8635682159888773</v>
      </c>
      <c r="AP507" s="13">
        <f t="shared" si="259"/>
        <v>9.187000738039286</v>
      </c>
      <c r="AQ507" s="13">
        <f t="shared" si="260"/>
        <v>14.351489227909006</v>
      </c>
      <c r="AR507" s="13">
        <f t="shared" si="261"/>
        <v>9.2273751419884018</v>
      </c>
      <c r="AS507" s="13">
        <f t="shared" si="262"/>
        <v>10.561706169585586</v>
      </c>
      <c r="AT507" s="13">
        <f t="shared" si="263"/>
        <v>10.043417490458618</v>
      </c>
      <c r="AU507" s="9">
        <v>0</v>
      </c>
      <c r="AV507" s="18">
        <f t="shared" si="280"/>
        <v>3</v>
      </c>
      <c r="AW507" s="18">
        <f t="shared" si="281"/>
        <v>2</v>
      </c>
      <c r="AX507" s="18">
        <f t="shared" si="282"/>
        <v>8</v>
      </c>
      <c r="AY507" s="18">
        <f t="shared" si="283"/>
        <v>7</v>
      </c>
      <c r="AZ507" s="18">
        <f t="shared" si="284"/>
        <v>1</v>
      </c>
      <c r="BA507" s="18">
        <f t="shared" si="285"/>
        <v>6</v>
      </c>
      <c r="BB507" s="18">
        <f t="shared" si="286"/>
        <v>4</v>
      </c>
      <c r="BC507" s="18">
        <f t="shared" si="287"/>
        <v>5</v>
      </c>
      <c r="BD507" s="18">
        <f t="shared" si="288"/>
        <v>9</v>
      </c>
      <c r="BE507" s="8">
        <f t="shared" si="290"/>
        <v>-2.6159896930247014E-4</v>
      </c>
    </row>
    <row r="508" spans="1:57" x14ac:dyDescent="0.25">
      <c r="A508" t="str">
        <f t="shared" si="289"/>
        <v/>
      </c>
      <c r="B508" s="1">
        <v>43482</v>
      </c>
      <c r="C508" s="9">
        <f t="shared" si="264"/>
        <v>0.24900862658425582</v>
      </c>
      <c r="D508" s="9">
        <f t="shared" si="265"/>
        <v>0.25140046387842757</v>
      </c>
      <c r="E508" s="9">
        <f t="shared" si="266"/>
        <v>0</v>
      </c>
      <c r="F508" s="9">
        <f t="shared" si="267"/>
        <v>0.24976314652523446</v>
      </c>
      <c r="G508" s="9">
        <f t="shared" si="268"/>
        <v>0.2498277630120822</v>
      </c>
      <c r="H508" s="9">
        <f t="shared" si="269"/>
        <v>0</v>
      </c>
      <c r="I508" s="9">
        <f t="shared" si="270"/>
        <v>0</v>
      </c>
      <c r="J508" s="9">
        <f t="shared" si="271"/>
        <v>0</v>
      </c>
      <c r="K508" s="9">
        <v>0</v>
      </c>
      <c r="L508" s="8">
        <f>+VLOOKUP($B508,NIFTY_50!$B$3:$I$1238,8,0)</f>
        <v>1.368190040678563E-3</v>
      </c>
      <c r="M508" s="8">
        <f>+VLOOKUP($B508,NIFTY_BANK!$B$3:$I$41238,8,0)</f>
        <v>1.6391533890995902E-3</v>
      </c>
      <c r="N508" s="8">
        <f>+VLOOKUP($B508,NIFTY_IT!$B$3:$I$1238,8,0)</f>
        <v>6.2857803342444285E-3</v>
      </c>
      <c r="O508" s="8">
        <f>+VLOOKUP($B508,NIFTY_PHARMA!$B$3:$I$1238,8,0)</f>
        <v>-1.3662167833712657E-2</v>
      </c>
      <c r="P508" s="8">
        <f>+VLOOKUP($B508,NIFTY_FMCG!$B$3:$I$1238,8,0)</f>
        <v>-1.5137807649140411E-3</v>
      </c>
      <c r="Q508" s="8">
        <f>+VLOOKUP($B508,NIFTY_METAL!$B$3:$I$1238,8,0)</f>
        <v>-1.3481404088235838E-3</v>
      </c>
      <c r="R508" s="8">
        <f>+VLOOKUP($B508,NIFTY_ENERGY!$B$3:$I$1238,8,0)</f>
        <v>1.0461573027396032E-3</v>
      </c>
      <c r="S508" s="8">
        <f>+VLOOKUP($B508,NIFTY_AUTO!$B$3:$I$1238,8,0)</f>
        <v>1.2913412467929763E-3</v>
      </c>
      <c r="T508" s="8">
        <v>0</v>
      </c>
      <c r="U508" s="8">
        <f>+VLOOKUP($B508,NIFTY_50!$B$63:$K$1238,10,0)</f>
        <v>4.3255317825897865E-2</v>
      </c>
      <c r="V508" s="8">
        <f>+VLOOKUP($B508,NIFTY_BANK!$B$63:$K$1238,10,0)</f>
        <v>9.2905123746456875E-2</v>
      </c>
      <c r="W508" s="8">
        <f>+VLOOKUP($B508,NIFTY_IT!$B$63:$K$1238,10,0)</f>
        <v>-9.9902338524108236E-3</v>
      </c>
      <c r="X508" s="8">
        <f>+VLOOKUP($B508,NIFTY_PHARMA!$B$63:$K$1238,10,0)</f>
        <v>-7.8037248100429446E-2</v>
      </c>
      <c r="Y508" s="8">
        <f>+VLOOKUP($B508,NIFTY_FMCG!$B$63:$K$1238,10,0)</f>
        <v>7.3852291922503976E-2</v>
      </c>
      <c r="Z508" s="8">
        <f>+VLOOKUP($B508,NIFTY_METAL!$B$63:$K$1238,10,0)</f>
        <v>-0.11891345396155151</v>
      </c>
      <c r="AA508" s="8">
        <f>+VLOOKUP($B508,NIFTY_ENERGY!$B$63:$K$1238,10,0)</f>
        <v>-1.0273853736420091E-2</v>
      </c>
      <c r="AB508" s="8">
        <f>+VLOOKUP($B508,NIFTY_AUTO!$B$63:$K$1238,10,0)</f>
        <v>4.923766511596428E-3</v>
      </c>
      <c r="AC508" s="8"/>
      <c r="AD508" s="16">
        <f t="shared" si="272"/>
        <v>6.9392383463601381E-2</v>
      </c>
      <c r="AE508" s="8">
        <f t="shared" si="273"/>
        <v>6.8220668779837526E-2</v>
      </c>
      <c r="AF508" s="8">
        <f t="shared" si="274"/>
        <v>0.11292039748440291</v>
      </c>
      <c r="AG508" s="8">
        <f t="shared" si="275"/>
        <v>0.10865215876169079</v>
      </c>
      <c r="AH508" s="8">
        <f t="shared" si="276"/>
        <v>6.9663832022195754E-2</v>
      </c>
      <c r="AI508" s="8">
        <f t="shared" si="277"/>
        <v>0.10689209994370699</v>
      </c>
      <c r="AJ508" s="8">
        <f t="shared" si="278"/>
        <v>9.3806858485555561E-2</v>
      </c>
      <c r="AK508" s="8">
        <f t="shared" si="279"/>
        <v>9.5148937605236045E-2</v>
      </c>
      <c r="AL508" s="9">
        <v>0</v>
      </c>
      <c r="AM508" s="17">
        <f t="shared" si="256"/>
        <v>14.410803464108325</v>
      </c>
      <c r="AN508" s="13">
        <f t="shared" si="257"/>
        <v>14.658314230650696</v>
      </c>
      <c r="AO508" s="13">
        <f t="shared" si="258"/>
        <v>8.8557959613817747</v>
      </c>
      <c r="AP508" s="13">
        <f t="shared" si="259"/>
        <v>9.2036827560262502</v>
      </c>
      <c r="AQ508" s="13">
        <f t="shared" si="260"/>
        <v>14.354651057400742</v>
      </c>
      <c r="AR508" s="13">
        <f t="shared" si="261"/>
        <v>9.3552283145960633</v>
      </c>
      <c r="AS508" s="13">
        <f t="shared" si="262"/>
        <v>10.660201355682117</v>
      </c>
      <c r="AT508" s="13">
        <f t="shared" si="263"/>
        <v>10.509838839703136</v>
      </c>
      <c r="AU508" s="9">
        <v>0</v>
      </c>
      <c r="AV508" s="18">
        <f t="shared" si="280"/>
        <v>2</v>
      </c>
      <c r="AW508" s="18">
        <f t="shared" si="281"/>
        <v>1</v>
      </c>
      <c r="AX508" s="18">
        <f t="shared" si="282"/>
        <v>8</v>
      </c>
      <c r="AY508" s="18">
        <f t="shared" si="283"/>
        <v>7</v>
      </c>
      <c r="AZ508" s="18">
        <f t="shared" si="284"/>
        <v>3</v>
      </c>
      <c r="BA508" s="18">
        <f t="shared" si="285"/>
        <v>6</v>
      </c>
      <c r="BB508" s="18">
        <f t="shared" si="286"/>
        <v>4</v>
      </c>
      <c r="BC508" s="18">
        <f t="shared" si="287"/>
        <v>5</v>
      </c>
      <c r="BD508" s="18">
        <f t="shared" si="288"/>
        <v>9</v>
      </c>
      <c r="BE508" s="8">
        <f t="shared" si="290"/>
        <v>-3.0771955389838649E-3</v>
      </c>
    </row>
    <row r="509" spans="1:57" x14ac:dyDescent="0.25">
      <c r="A509" t="str">
        <f t="shared" si="289"/>
        <v/>
      </c>
      <c r="B509" s="1">
        <v>43483</v>
      </c>
      <c r="C509" s="9">
        <f t="shared" si="264"/>
        <v>0.25129915837672795</v>
      </c>
      <c r="D509" s="9">
        <f t="shared" si="265"/>
        <v>0.25300836216065298</v>
      </c>
      <c r="E509" s="9">
        <f t="shared" si="266"/>
        <v>0</v>
      </c>
      <c r="F509" s="9">
        <f t="shared" si="267"/>
        <v>0.24522193863649008</v>
      </c>
      <c r="G509" s="9">
        <f t="shared" si="268"/>
        <v>0.25047054082612907</v>
      </c>
      <c r="H509" s="9">
        <f t="shared" si="269"/>
        <v>0</v>
      </c>
      <c r="I509" s="9">
        <f t="shared" si="270"/>
        <v>0</v>
      </c>
      <c r="J509" s="9">
        <f t="shared" si="271"/>
        <v>0</v>
      </c>
      <c r="K509" s="9">
        <v>0</v>
      </c>
      <c r="L509" s="8">
        <f>+VLOOKUP($B509,NIFTY_50!$B$3:$I$1238,8,0)</f>
        <v>1.6047390235840453E-4</v>
      </c>
      <c r="M509" s="8">
        <f>+VLOOKUP($B509,NIFTY_BANK!$B$3:$I$41238,8,0)</f>
        <v>-2.6172637696952883E-3</v>
      </c>
      <c r="N509" s="8">
        <f>+VLOOKUP($B509,NIFTY_IT!$B$3:$I$1238,8,0)</f>
        <v>6.2667860340197556E-3</v>
      </c>
      <c r="O509" s="8">
        <f>+VLOOKUP($B509,NIFTY_PHARMA!$B$3:$I$1238,8,0)</f>
        <v>-2.6974973405744285E-2</v>
      </c>
      <c r="P509" s="8">
        <f>+VLOOKUP($B509,NIFTY_FMCG!$B$3:$I$1238,8,0)</f>
        <v>-6.4059081407739082E-3</v>
      </c>
      <c r="Q509" s="8">
        <f>+VLOOKUP($B509,NIFTY_METAL!$B$3:$I$1238,8,0)</f>
        <v>-2.0080660130609163E-3</v>
      </c>
      <c r="R509" s="8">
        <f>+VLOOKUP($B509,NIFTY_ENERGY!$B$3:$I$1238,8,0)</f>
        <v>2.45484832544276E-2</v>
      </c>
      <c r="S509" s="8">
        <f>+VLOOKUP($B509,NIFTY_AUTO!$B$3:$I$1238,8,0)</f>
        <v>-3.7620238336600886E-3</v>
      </c>
      <c r="T509" s="8">
        <v>0</v>
      </c>
      <c r="U509" s="8">
        <f>+VLOOKUP($B509,NIFTY_50!$B$63:$K$1238,10,0)</f>
        <v>5.8562340164312499E-2</v>
      </c>
      <c r="V509" s="8">
        <f>+VLOOKUP($B509,NIFTY_BANK!$B$63:$K$1238,10,0)</f>
        <v>9.4511636065024884E-2</v>
      </c>
      <c r="W509" s="8">
        <f>+VLOOKUP($B509,NIFTY_IT!$B$63:$K$1238,10,0)</f>
        <v>2.8745894307117936E-2</v>
      </c>
      <c r="X509" s="8">
        <f>+VLOOKUP($B509,NIFTY_PHARMA!$B$63:$K$1238,10,0)</f>
        <v>-9.9551309285721534E-2</v>
      </c>
      <c r="Y509" s="8">
        <f>+VLOOKUP($B509,NIFTY_FMCG!$B$63:$K$1238,10,0)</f>
        <v>5.8765307979649961E-2</v>
      </c>
      <c r="Z509" s="8">
        <f>+VLOOKUP($B509,NIFTY_METAL!$B$63:$K$1238,10,0)</f>
        <v>-0.12121842496285296</v>
      </c>
      <c r="AA509" s="8">
        <f>+VLOOKUP($B509,NIFTY_ENERGY!$B$63:$K$1238,10,0)</f>
        <v>4.234678768807032E-2</v>
      </c>
      <c r="AB509" s="8">
        <f>+VLOOKUP($B509,NIFTY_AUTO!$B$63:$K$1238,10,0)</f>
        <v>1.7784298495440165E-2</v>
      </c>
      <c r="AC509" s="8"/>
      <c r="AD509" s="16">
        <f t="shared" si="272"/>
        <v>6.7720921573214229E-2</v>
      </c>
      <c r="AE509" s="8">
        <f t="shared" si="273"/>
        <v>6.811636751446673E-2</v>
      </c>
      <c r="AF509" s="8">
        <f t="shared" si="274"/>
        <v>0.1084956078636532</v>
      </c>
      <c r="AG509" s="8">
        <f t="shared" si="275"/>
        <v>0.11159199343192114</v>
      </c>
      <c r="AH509" s="8">
        <f t="shared" si="276"/>
        <v>6.9748968528120542E-2</v>
      </c>
      <c r="AI509" s="8">
        <f t="shared" si="277"/>
        <v>0.10686021975842656</v>
      </c>
      <c r="AJ509" s="8">
        <f t="shared" si="278"/>
        <v>9.2898491330043242E-2</v>
      </c>
      <c r="AK509" s="8">
        <f t="shared" si="279"/>
        <v>9.3774479961291873E-2</v>
      </c>
      <c r="AL509" s="9">
        <v>0</v>
      </c>
      <c r="AM509" s="17">
        <f t="shared" si="256"/>
        <v>14.766485404645344</v>
      </c>
      <c r="AN509" s="13">
        <f t="shared" si="257"/>
        <v>14.680759360628228</v>
      </c>
      <c r="AO509" s="13">
        <f t="shared" si="258"/>
        <v>9.2169629691987485</v>
      </c>
      <c r="AP509" s="13">
        <f t="shared" si="259"/>
        <v>8.9612163852066082</v>
      </c>
      <c r="AQ509" s="13">
        <f t="shared" si="260"/>
        <v>14.337129582021449</v>
      </c>
      <c r="AR509" s="13">
        <f t="shared" si="261"/>
        <v>9.3580193102788751</v>
      </c>
      <c r="AS509" s="13">
        <f t="shared" si="262"/>
        <v>10.764437459455291</v>
      </c>
      <c r="AT509" s="13">
        <f t="shared" si="263"/>
        <v>10.663882118170944</v>
      </c>
      <c r="AU509" s="9">
        <v>0</v>
      </c>
      <c r="AV509" s="18">
        <f t="shared" si="280"/>
        <v>1</v>
      </c>
      <c r="AW509" s="18">
        <f t="shared" si="281"/>
        <v>2</v>
      </c>
      <c r="AX509" s="18">
        <f t="shared" si="282"/>
        <v>7</v>
      </c>
      <c r="AY509" s="18">
        <f t="shared" si="283"/>
        <v>8</v>
      </c>
      <c r="AZ509" s="18">
        <f t="shared" si="284"/>
        <v>3</v>
      </c>
      <c r="BA509" s="18">
        <f t="shared" si="285"/>
        <v>6</v>
      </c>
      <c r="BB509" s="18">
        <f t="shared" si="286"/>
        <v>4</v>
      </c>
      <c r="BC509" s="18">
        <f t="shared" si="287"/>
        <v>5</v>
      </c>
      <c r="BD509" s="18">
        <f t="shared" si="288"/>
        <v>9</v>
      </c>
      <c r="BE509" s="8">
        <f t="shared" si="290"/>
        <v>-8.9557498758883608E-3</v>
      </c>
    </row>
    <row r="510" spans="1:57" x14ac:dyDescent="0.25">
      <c r="A510" t="str">
        <f t="shared" si="289"/>
        <v/>
      </c>
      <c r="B510" s="1">
        <v>43486</v>
      </c>
      <c r="C510" s="9">
        <f t="shared" si="264"/>
        <v>0.25186079422687702</v>
      </c>
      <c r="D510" s="9">
        <f t="shared" si="265"/>
        <v>0.25301049556250488</v>
      </c>
      <c r="E510" s="9">
        <f t="shared" si="266"/>
        <v>0</v>
      </c>
      <c r="F510" s="9">
        <f t="shared" si="267"/>
        <v>0.24580829314477023</v>
      </c>
      <c r="G510" s="9">
        <f t="shared" si="268"/>
        <v>0.2493204170658479</v>
      </c>
      <c r="H510" s="9">
        <f t="shared" si="269"/>
        <v>0</v>
      </c>
      <c r="I510" s="9">
        <f t="shared" si="270"/>
        <v>0</v>
      </c>
      <c r="J510" s="9">
        <f t="shared" si="271"/>
        <v>0</v>
      </c>
      <c r="K510" s="9">
        <v>0</v>
      </c>
      <c r="L510" s="8">
        <f>+VLOOKUP($B510,NIFTY_50!$B$3:$I$1238,8,0)</f>
        <v>5.0334878219850943E-3</v>
      </c>
      <c r="M510" s="8">
        <f>+VLOOKUP($B510,NIFTY_BANK!$B$3:$I$41238,8,0)</f>
        <v>2.8007735816757418E-3</v>
      </c>
      <c r="N510" s="8">
        <f>+VLOOKUP($B510,NIFTY_IT!$B$3:$I$1238,8,0)</f>
        <v>4.9284898945813893E-3</v>
      </c>
      <c r="O510" s="8">
        <f>+VLOOKUP($B510,NIFTY_PHARMA!$B$3:$I$1238,8,0)</f>
        <v>5.1901123181734565E-3</v>
      </c>
      <c r="P510" s="8">
        <f>+VLOOKUP($B510,NIFTY_FMCG!$B$3:$I$1238,8,0)</f>
        <v>-1.8123564399228353E-3</v>
      </c>
      <c r="Q510" s="8">
        <f>+VLOOKUP($B510,NIFTY_METAL!$B$3:$I$1238,8,0)</f>
        <v>-3.8213114199722176E-3</v>
      </c>
      <c r="R510" s="8">
        <f>+VLOOKUP($B510,NIFTY_ENERGY!$B$3:$I$1238,8,0)</f>
        <v>2.4395002567174418E-2</v>
      </c>
      <c r="S510" s="8">
        <f>+VLOOKUP($B510,NIFTY_AUTO!$B$3:$I$1238,8,0)</f>
        <v>-1.1074303545586028E-2</v>
      </c>
      <c r="T510" s="8">
        <v>0</v>
      </c>
      <c r="U510" s="8">
        <f>+VLOOKUP($B510,NIFTY_50!$B$63:$K$1238,10,0)</f>
        <v>6.9944608477099157E-2</v>
      </c>
      <c r="V510" s="8">
        <f>+VLOOKUP($B510,NIFTY_BANK!$B$63:$K$1238,10,0)</f>
        <v>9.7892226838818708E-2</v>
      </c>
      <c r="W510" s="8">
        <f>+VLOOKUP($B510,NIFTY_IT!$B$63:$K$1238,10,0)</f>
        <v>3.7787462425761476E-2</v>
      </c>
      <c r="X510" s="8">
        <f>+VLOOKUP($B510,NIFTY_PHARMA!$B$63:$K$1238,10,0)</f>
        <v>-9.4535408665184173E-2</v>
      </c>
      <c r="Y510" s="8">
        <f>+VLOOKUP($B510,NIFTY_FMCG!$B$63:$K$1238,10,0)</f>
        <v>5.8596998703014602E-2</v>
      </c>
      <c r="Z510" s="8">
        <f>+VLOOKUP($B510,NIFTY_METAL!$B$63:$K$1238,10,0)</f>
        <v>-0.1179315197700358</v>
      </c>
      <c r="AA510" s="8">
        <f>+VLOOKUP($B510,NIFTY_ENERGY!$B$63:$K$1238,10,0)</f>
        <v>9.5325933001745966E-2</v>
      </c>
      <c r="AB510" s="8">
        <f>+VLOOKUP($B510,NIFTY_AUTO!$B$63:$K$1238,10,0)</f>
        <v>5.3330574855323665E-3</v>
      </c>
      <c r="AC510" s="8"/>
      <c r="AD510" s="16">
        <f t="shared" si="272"/>
        <v>6.7504121723159255E-2</v>
      </c>
      <c r="AE510" s="8">
        <f t="shared" si="273"/>
        <v>6.8103312427047008E-2</v>
      </c>
      <c r="AF510" s="8">
        <f t="shared" si="274"/>
        <v>0.10848899117832901</v>
      </c>
      <c r="AG510" s="8">
        <f t="shared" si="275"/>
        <v>0.11179023175741691</v>
      </c>
      <c r="AH510" s="8">
        <f t="shared" si="276"/>
        <v>6.9755130092030757E-2</v>
      </c>
      <c r="AI510" s="8">
        <f t="shared" si="277"/>
        <v>0.1067321169518894</v>
      </c>
      <c r="AJ510" s="8">
        <f t="shared" si="278"/>
        <v>9.2075516084415332E-2</v>
      </c>
      <c r="AK510" s="8">
        <f t="shared" si="279"/>
        <v>9.4452614281705038E-2</v>
      </c>
      <c r="AL510" s="9">
        <v>0</v>
      </c>
      <c r="AM510" s="17">
        <f t="shared" si="256"/>
        <v>14.81391023945314</v>
      </c>
      <c r="AN510" s="13">
        <f t="shared" si="257"/>
        <v>14.683573593739814</v>
      </c>
      <c r="AO510" s="13">
        <f t="shared" si="258"/>
        <v>9.2175251068216486</v>
      </c>
      <c r="AP510" s="13">
        <f t="shared" si="259"/>
        <v>8.9453254034751861</v>
      </c>
      <c r="AQ510" s="13">
        <f t="shared" si="260"/>
        <v>14.335863164195374</v>
      </c>
      <c r="AR510" s="13">
        <f t="shared" si="261"/>
        <v>9.3692510610537241</v>
      </c>
      <c r="AS510" s="13">
        <f t="shared" si="262"/>
        <v>10.860650502172527</v>
      </c>
      <c r="AT510" s="13">
        <f t="shared" si="263"/>
        <v>10.58731944695039</v>
      </c>
      <c r="AU510" s="9">
        <v>0</v>
      </c>
      <c r="AV510" s="18">
        <f t="shared" si="280"/>
        <v>1</v>
      </c>
      <c r="AW510" s="18">
        <f t="shared" si="281"/>
        <v>2</v>
      </c>
      <c r="AX510" s="18">
        <f t="shared" si="282"/>
        <v>7</v>
      </c>
      <c r="AY510" s="18">
        <f t="shared" si="283"/>
        <v>8</v>
      </c>
      <c r="AZ510" s="18">
        <f t="shared" si="284"/>
        <v>3</v>
      </c>
      <c r="BA510" s="18">
        <f t="shared" si="285"/>
        <v>6</v>
      </c>
      <c r="BB510" s="18">
        <f t="shared" si="286"/>
        <v>4</v>
      </c>
      <c r="BC510" s="18">
        <f t="shared" si="287"/>
        <v>5</v>
      </c>
      <c r="BD510" s="18">
        <f t="shared" si="288"/>
        <v>9</v>
      </c>
      <c r="BE510" s="8">
        <f t="shared" si="290"/>
        <v>2.7923178967734011E-3</v>
      </c>
    </row>
    <row r="511" spans="1:57" x14ac:dyDescent="0.25">
      <c r="A511" t="str">
        <f t="shared" si="289"/>
        <v/>
      </c>
      <c r="B511" s="1">
        <v>43487</v>
      </c>
      <c r="C511" s="9">
        <f t="shared" si="264"/>
        <v>0.25014740762527959</v>
      </c>
      <c r="D511" s="9">
        <f t="shared" si="265"/>
        <v>0.25171849338412433</v>
      </c>
      <c r="E511" s="9">
        <f t="shared" si="266"/>
        <v>0</v>
      </c>
      <c r="F511" s="9">
        <f t="shared" si="267"/>
        <v>0.24943913664479986</v>
      </c>
      <c r="G511" s="9">
        <f t="shared" si="268"/>
        <v>0.24869496234579605</v>
      </c>
      <c r="H511" s="9">
        <f t="shared" si="269"/>
        <v>0</v>
      </c>
      <c r="I511" s="9">
        <f t="shared" si="270"/>
        <v>0</v>
      </c>
      <c r="J511" s="9">
        <f t="shared" si="271"/>
        <v>0</v>
      </c>
      <c r="K511" s="9">
        <v>0</v>
      </c>
      <c r="L511" s="8">
        <f>+VLOOKUP($B511,NIFTY_50!$B$3:$I$1238,8,0)</f>
        <v>-3.5669161683474782E-3</v>
      </c>
      <c r="M511" s="8">
        <f>+VLOOKUP($B511,NIFTY_BANK!$B$3:$I$41238,8,0)</f>
        <v>-1.864994043641155E-3</v>
      </c>
      <c r="N511" s="8">
        <f>+VLOOKUP($B511,NIFTY_IT!$B$3:$I$1238,8,0)</f>
        <v>-2.5390207397901765E-4</v>
      </c>
      <c r="O511" s="8">
        <f>+VLOOKUP($B511,NIFTY_PHARMA!$B$3:$I$1238,8,0)</f>
        <v>1.8077323777576648E-2</v>
      </c>
      <c r="P511" s="8">
        <f>+VLOOKUP($B511,NIFTY_FMCG!$B$3:$I$1238,8,0)</f>
        <v>7.413482040348196E-4</v>
      </c>
      <c r="Q511" s="8">
        <f>+VLOOKUP($B511,NIFTY_METAL!$B$3:$I$1238,8,0)</f>
        <v>-2.2116233281281872E-2</v>
      </c>
      <c r="R511" s="8">
        <f>+VLOOKUP($B511,NIFTY_ENERGY!$B$3:$I$1238,8,0)</f>
        <v>-9.3558810065585973E-4</v>
      </c>
      <c r="S511" s="8">
        <f>+VLOOKUP($B511,NIFTY_AUTO!$B$3:$I$1238,8,0)</f>
        <v>-8.1972367195047857E-3</v>
      </c>
      <c r="T511" s="8">
        <v>0</v>
      </c>
      <c r="U511" s="8">
        <f>+VLOOKUP($B511,NIFTY_50!$B$63:$K$1238,10,0)</f>
        <v>7.6472385382583719E-2</v>
      </c>
      <c r="V511" s="8">
        <f>+VLOOKUP($B511,NIFTY_BANK!$B$63:$K$1238,10,0)</f>
        <v>0.10050275403494657</v>
      </c>
      <c r="W511" s="8">
        <f>+VLOOKUP($B511,NIFTY_IT!$B$63:$K$1238,10,0)</f>
        <v>6.7636124925970487E-2</v>
      </c>
      <c r="X511" s="8">
        <f>+VLOOKUP($B511,NIFTY_PHARMA!$B$63:$K$1238,10,0)</f>
        <v>-5.077255624049315E-2</v>
      </c>
      <c r="Y511" s="8">
        <f>+VLOOKUP($B511,NIFTY_FMCG!$B$63:$K$1238,10,0)</f>
        <v>7.1171253414604951E-2</v>
      </c>
      <c r="Z511" s="8">
        <f>+VLOOKUP($B511,NIFTY_METAL!$B$63:$K$1238,10,0)</f>
        <v>-0.13043543883480491</v>
      </c>
      <c r="AA511" s="8">
        <f>+VLOOKUP($B511,NIFTY_ENERGY!$B$63:$K$1238,10,0)</f>
        <v>9.8296704709499361E-2</v>
      </c>
      <c r="AB511" s="8">
        <f>+VLOOKUP($B511,NIFTY_AUTO!$B$63:$K$1238,10,0)</f>
        <v>3.0060757415468764E-3</v>
      </c>
      <c r="AC511" s="8"/>
      <c r="AD511" s="16">
        <f t="shared" si="272"/>
        <v>6.6803736342716913E-2</v>
      </c>
      <c r="AE511" s="8">
        <f t="shared" si="273"/>
        <v>6.7941860953323149E-2</v>
      </c>
      <c r="AF511" s="8">
        <f t="shared" si="274"/>
        <v>0.10450950087510204</v>
      </c>
      <c r="AG511" s="8">
        <f t="shared" si="275"/>
        <v>0.10999080045706063</v>
      </c>
      <c r="AH511" s="8">
        <f t="shared" si="276"/>
        <v>6.8702633346933301E-2</v>
      </c>
      <c r="AI511" s="8">
        <f t="shared" si="277"/>
        <v>0.10843241986547048</v>
      </c>
      <c r="AJ511" s="8">
        <f t="shared" si="278"/>
        <v>9.1961803416504631E-2</v>
      </c>
      <c r="AK511" s="8">
        <f t="shared" si="279"/>
        <v>9.4627560567436625E-2</v>
      </c>
      <c r="AL511" s="9">
        <v>0</v>
      </c>
      <c r="AM511" s="17">
        <f t="shared" si="256"/>
        <v>14.969222602607049</v>
      </c>
      <c r="AN511" s="13">
        <f t="shared" si="257"/>
        <v>14.718466435398518</v>
      </c>
      <c r="AO511" s="13">
        <f t="shared" si="258"/>
        <v>9.5685080459343794</v>
      </c>
      <c r="AP511" s="13">
        <f t="shared" si="259"/>
        <v>9.0916694473042821</v>
      </c>
      <c r="AQ511" s="13">
        <f t="shared" si="260"/>
        <v>14.555482829169273</v>
      </c>
      <c r="AR511" s="13">
        <f t="shared" si="261"/>
        <v>9.222334069835167</v>
      </c>
      <c r="AS511" s="13">
        <f t="shared" si="262"/>
        <v>10.874079920669839</v>
      </c>
      <c r="AT511" s="13">
        <f t="shared" si="263"/>
        <v>10.567745739227282</v>
      </c>
      <c r="AU511" s="9">
        <v>0</v>
      </c>
      <c r="AV511" s="18">
        <f t="shared" si="280"/>
        <v>1</v>
      </c>
      <c r="AW511" s="18">
        <f t="shared" si="281"/>
        <v>2</v>
      </c>
      <c r="AX511" s="18">
        <f t="shared" si="282"/>
        <v>6</v>
      </c>
      <c r="AY511" s="18">
        <f t="shared" si="283"/>
        <v>8</v>
      </c>
      <c r="AZ511" s="18">
        <f t="shared" si="284"/>
        <v>3</v>
      </c>
      <c r="BA511" s="18">
        <f t="shared" si="285"/>
        <v>7</v>
      </c>
      <c r="BB511" s="18">
        <f t="shared" si="286"/>
        <v>4</v>
      </c>
      <c r="BC511" s="18">
        <f t="shared" si="287"/>
        <v>5</v>
      </c>
      <c r="BD511" s="18">
        <f t="shared" si="288"/>
        <v>9</v>
      </c>
      <c r="BE511" s="8">
        <f t="shared" si="290"/>
        <v>3.2581599395090114E-3</v>
      </c>
    </row>
    <row r="512" spans="1:57" x14ac:dyDescent="0.25">
      <c r="A512" t="str">
        <f t="shared" si="289"/>
        <v/>
      </c>
      <c r="B512" s="1">
        <v>43488</v>
      </c>
      <c r="C512" s="9">
        <f t="shared" si="264"/>
        <v>0.24978482357403578</v>
      </c>
      <c r="D512" s="9">
        <f t="shared" si="265"/>
        <v>0.25133601694098301</v>
      </c>
      <c r="E512" s="9">
        <f t="shared" si="266"/>
        <v>0</v>
      </c>
      <c r="F512" s="9">
        <f t="shared" si="267"/>
        <v>0.25268989273886017</v>
      </c>
      <c r="G512" s="9">
        <f t="shared" si="268"/>
        <v>0.24618926674612113</v>
      </c>
      <c r="H512" s="9">
        <f t="shared" si="269"/>
        <v>0</v>
      </c>
      <c r="I512" s="9">
        <f t="shared" si="270"/>
        <v>0</v>
      </c>
      <c r="J512" s="9">
        <f t="shared" si="271"/>
        <v>0</v>
      </c>
      <c r="K512" s="9">
        <v>0</v>
      </c>
      <c r="L512" s="8">
        <f>+VLOOKUP($B512,NIFTY_50!$B$3:$I$1238,8,0)</f>
        <v>-8.3541232748163274E-3</v>
      </c>
      <c r="M512" s="8">
        <f>+VLOOKUP($B512,NIFTY_BANK!$B$3:$I$41238,8,0)</f>
        <v>-8.4236188812779611E-3</v>
      </c>
      <c r="N512" s="8">
        <f>+VLOOKUP($B512,NIFTY_IT!$B$3:$I$1238,8,0)</f>
        <v>-4.9356395278895571E-3</v>
      </c>
      <c r="O512" s="8">
        <f>+VLOOKUP($B512,NIFTY_PHARMA!$B$3:$I$1238,8,0)</f>
        <v>6.0274835256279857E-3</v>
      </c>
      <c r="P512" s="8">
        <f>+VLOOKUP($B512,NIFTY_FMCG!$B$3:$I$1238,8,0)</f>
        <v>-1.6920373939608435E-2</v>
      </c>
      <c r="Q512" s="8">
        <f>+VLOOKUP($B512,NIFTY_METAL!$B$3:$I$1238,8,0)</f>
        <v>5.6410879489003918E-3</v>
      </c>
      <c r="R512" s="8">
        <f>+VLOOKUP($B512,NIFTY_ENERGY!$B$3:$I$1238,8,0)</f>
        <v>-6.6923748398813876E-3</v>
      </c>
      <c r="S512" s="8">
        <f>+VLOOKUP($B512,NIFTY_AUTO!$B$3:$I$1238,8,0)</f>
        <v>-7.2505950905747962E-3</v>
      </c>
      <c r="T512" s="8">
        <v>0</v>
      </c>
      <c r="U512" s="8">
        <f>+VLOOKUP($B512,NIFTY_50!$B$63:$K$1238,10,0)</f>
        <v>5.9341304188366362E-2</v>
      </c>
      <c r="V512" s="8">
        <f>+VLOOKUP($B512,NIFTY_BANK!$B$63:$K$1238,10,0)</f>
        <v>8.7237972885629622E-2</v>
      </c>
      <c r="W512" s="8">
        <f>+VLOOKUP($B512,NIFTY_IT!$B$63:$K$1238,10,0)</f>
        <v>5.9761622589266983E-2</v>
      </c>
      <c r="X512" s="8">
        <f>+VLOOKUP($B512,NIFTY_PHARMA!$B$63:$K$1238,10,0)</f>
        <v>-4.1588104216660815E-2</v>
      </c>
      <c r="Y512" s="8">
        <f>+VLOOKUP($B512,NIFTY_FMCG!$B$63:$K$1238,10,0)</f>
        <v>4.751493136809759E-2</v>
      </c>
      <c r="Z512" s="8">
        <f>+VLOOKUP($B512,NIFTY_METAL!$B$63:$K$1238,10,0)</f>
        <v>-0.13469838851800409</v>
      </c>
      <c r="AA512" s="8">
        <f>+VLOOKUP($B512,NIFTY_ENERGY!$B$63:$K$1238,10,0)</f>
        <v>8.9281981126193344E-2</v>
      </c>
      <c r="AB512" s="8">
        <f>+VLOOKUP($B512,NIFTY_AUTO!$B$63:$K$1238,10,0)</f>
        <v>-5.9615184847470193E-3</v>
      </c>
      <c r="AC512" s="8"/>
      <c r="AD512" s="16">
        <f t="shared" si="272"/>
        <v>6.7150866308736845E-2</v>
      </c>
      <c r="AE512" s="8">
        <f t="shared" si="273"/>
        <v>6.8630062865943475E-2</v>
      </c>
      <c r="AF512" s="8">
        <f t="shared" si="274"/>
        <v>0.10467498639371907</v>
      </c>
      <c r="AG512" s="8">
        <f t="shared" si="275"/>
        <v>0.11015575363997132</v>
      </c>
      <c r="AH512" s="8">
        <f t="shared" si="276"/>
        <v>7.0867284828411606E-2</v>
      </c>
      <c r="AI512" s="8">
        <f t="shared" si="277"/>
        <v>0.10795844713597706</v>
      </c>
      <c r="AJ512" s="8">
        <f t="shared" si="278"/>
        <v>9.2329551602957291E-2</v>
      </c>
      <c r="AK512" s="8">
        <f t="shared" si="279"/>
        <v>9.4894230175388644E-2</v>
      </c>
      <c r="AL512" s="9">
        <v>0</v>
      </c>
      <c r="AM512" s="17">
        <f t="shared" ref="AM512:AM575" si="291">1/AD512</f>
        <v>14.8918406413752</v>
      </c>
      <c r="AN512" s="13">
        <f t="shared" ref="AN512:AN575" si="292">1/AE512</f>
        <v>14.570874019936726</v>
      </c>
      <c r="AO512" s="13">
        <f t="shared" ref="AO512:AO575" si="293">1/AF512</f>
        <v>9.5533807498063759</v>
      </c>
      <c r="AP512" s="13">
        <f t="shared" ref="AP512:AP575" si="294">1/AG512</f>
        <v>9.0780550897809675</v>
      </c>
      <c r="AQ512" s="13">
        <f t="shared" ref="AQ512:AQ575" si="295">1/AH512</f>
        <v>14.11088349753012</v>
      </c>
      <c r="AR512" s="13">
        <f t="shared" ref="AR512:AR575" si="296">1/AI512</f>
        <v>9.2628231187918857</v>
      </c>
      <c r="AS512" s="13">
        <f t="shared" ref="AS512:AS575" si="297">1/AJ512</f>
        <v>10.830768509526372</v>
      </c>
      <c r="AT512" s="13">
        <f t="shared" ref="AT512:AT575" si="298">1/AK512</f>
        <v>10.538048500438288</v>
      </c>
      <c r="AU512" s="9">
        <v>0</v>
      </c>
      <c r="AV512" s="18">
        <f t="shared" si="280"/>
        <v>1</v>
      </c>
      <c r="AW512" s="18">
        <f t="shared" si="281"/>
        <v>2</v>
      </c>
      <c r="AX512" s="18">
        <f t="shared" si="282"/>
        <v>6</v>
      </c>
      <c r="AY512" s="18">
        <f t="shared" si="283"/>
        <v>8</v>
      </c>
      <c r="AZ512" s="18">
        <f t="shared" si="284"/>
        <v>3</v>
      </c>
      <c r="BA512" s="18">
        <f t="shared" si="285"/>
        <v>7</v>
      </c>
      <c r="BB512" s="18">
        <f t="shared" si="286"/>
        <v>4</v>
      </c>
      <c r="BC512" s="18">
        <f t="shared" si="287"/>
        <v>5</v>
      </c>
      <c r="BD512" s="18">
        <f t="shared" si="288"/>
        <v>9</v>
      </c>
      <c r="BE512" s="8">
        <f t="shared" si="290"/>
        <v>-6.9146644068289759E-3</v>
      </c>
    </row>
    <row r="513" spans="1:57" x14ac:dyDescent="0.25">
      <c r="A513" t="str">
        <f t="shared" si="289"/>
        <v/>
      </c>
      <c r="B513" s="1">
        <v>43489</v>
      </c>
      <c r="C513" s="9">
        <f t="shared" ref="C513:C576" si="299">+IF($A513="Y",IF(AV513&lt;=4,0.25,0),C512*(1+L513)/SUMPRODUCT($C512:$J512,1+$L513:$S513))</f>
        <v>0.25033743338223458</v>
      </c>
      <c r="D513" s="9">
        <f t="shared" ref="D513:D576" si="300">+IF($A513="Y",IF(AW513&lt;=4,0.25,0),D512*(1+M513)/SUMPRODUCT($C512:$J512,1+$L513:$S513))</f>
        <v>0.25161161712765395</v>
      </c>
      <c r="E513" s="9">
        <f t="shared" ref="E513:E576" si="301">+IF($A513="Y",IF(AX513&lt;=4,0.25,0),E512*(1+N513)/SUMPRODUCT($C512:$J512,1+$L513:$S513))</f>
        <v>0</v>
      </c>
      <c r="F513" s="9">
        <f t="shared" ref="F513:F576" si="302">+IF($A513="Y",IF(AY513&lt;=4,0.25,0),F512*(1+O513)/SUMPRODUCT($C512:$J512,1+$L513:$S513))</f>
        <v>0.25136072839064022</v>
      </c>
      <c r="G513" s="9">
        <f t="shared" ref="G513:G576" si="303">+IF($A513="Y",IF(AZ513&lt;=4,0.25,0),G512*(1+P513)/SUMPRODUCT($C512:$J512,1+$L513:$S513))</f>
        <v>0.24669022109947125</v>
      </c>
      <c r="H513" s="9">
        <f t="shared" ref="H513:H576" si="304">+IF($A513="Y",IF(BA513&lt;=4,0.25,0),H512*(1+Q513)/SUMPRODUCT($C512:$J512,1+$L513:$S513))</f>
        <v>0</v>
      </c>
      <c r="I513" s="9">
        <f t="shared" ref="I513:I576" si="305">+IF($A513="Y",IF(BB513&lt;=4,0.25,0),I512*(1+R513)/SUMPRODUCT($C512:$J512,1+$L513:$S513))</f>
        <v>0</v>
      </c>
      <c r="J513" s="9">
        <f t="shared" ref="J513:J576" si="306">+IF($A513="Y",IF(BC513&lt;=4,0.25,0),J512*(1+S513)/SUMPRODUCT($C512:$J512,1+$L513:$S513))</f>
        <v>0</v>
      </c>
      <c r="K513" s="9">
        <v>0</v>
      </c>
      <c r="L513" s="8">
        <f>+VLOOKUP($B513,NIFTY_50!$B$3:$I$1238,8,0)</f>
        <v>1.6895166874393297E-3</v>
      </c>
      <c r="M513" s="8">
        <f>+VLOOKUP($B513,NIFTY_BANK!$B$3:$I$41238,8,0)</f>
        <v>5.7429612029036292E-4</v>
      </c>
      <c r="N513" s="8">
        <f>+VLOOKUP($B513,NIFTY_IT!$B$3:$I$1238,8,0)</f>
        <v>5.5847535891193623E-3</v>
      </c>
      <c r="O513" s="8">
        <f>+VLOOKUP($B513,NIFTY_PHARMA!$B$3:$I$1238,8,0)</f>
        <v>-5.7789899622187058E-3</v>
      </c>
      <c r="P513" s="8">
        <f>+VLOOKUP($B513,NIFTY_FMCG!$B$3:$I$1238,8,0)</f>
        <v>1.5121001353721741E-3</v>
      </c>
      <c r="Q513" s="8">
        <f>+VLOOKUP($B513,NIFTY_METAL!$B$3:$I$1238,8,0)</f>
        <v>-1.1736684041562251E-3</v>
      </c>
      <c r="R513" s="8">
        <f>+VLOOKUP($B513,NIFTY_ENERGY!$B$3:$I$1238,8,0)</f>
        <v>9.4681409850638776E-3</v>
      </c>
      <c r="S513" s="8">
        <f>+VLOOKUP($B513,NIFTY_AUTO!$B$3:$I$1238,8,0)</f>
        <v>-8.7085256466080674E-3</v>
      </c>
      <c r="T513" s="8">
        <v>0</v>
      </c>
      <c r="U513" s="8">
        <f>+VLOOKUP($B513,NIFTY_50!$B$63:$K$1238,10,0)</f>
        <v>7.1595768847099617E-2</v>
      </c>
      <c r="V513" s="8">
        <f>+VLOOKUP($B513,NIFTY_BANK!$B$63:$K$1238,10,0)</f>
        <v>9.8678550777779428E-2</v>
      </c>
      <c r="W513" s="8">
        <f>+VLOOKUP($B513,NIFTY_IT!$B$63:$K$1238,10,0)</f>
        <v>6.4040424140773933E-2</v>
      </c>
      <c r="X513" s="8">
        <f>+VLOOKUP($B513,NIFTY_PHARMA!$B$63:$K$1238,10,0)</f>
        <v>-2.7147341594933705E-2</v>
      </c>
      <c r="Y513" s="8">
        <f>+VLOOKUP($B513,NIFTY_FMCG!$B$63:$K$1238,10,0)</f>
        <v>5.7125812990962199E-2</v>
      </c>
      <c r="Z513" s="8">
        <f>+VLOOKUP($B513,NIFTY_METAL!$B$63:$K$1238,10,0)</f>
        <v>-0.12498487964194993</v>
      </c>
      <c r="AA513" s="8">
        <f>+VLOOKUP($B513,NIFTY_ENERGY!$B$63:$K$1238,10,0)</f>
        <v>0.11111193468407521</v>
      </c>
      <c r="AB513" s="8">
        <f>+VLOOKUP($B513,NIFTY_AUTO!$B$63:$K$1238,10,0)</f>
        <v>-5.0926762188336916E-3</v>
      </c>
      <c r="AC513" s="8"/>
      <c r="AD513" s="16">
        <f t="shared" ref="AD513:AD576" si="307">+_xlfn.STDEV.S(L453:L513)*SQRT(60)</f>
        <v>6.6272689468309595E-2</v>
      </c>
      <c r="AE513" s="8">
        <f t="shared" ref="AE513:AE576" si="308">+_xlfn.STDEV.S(M453:M513)*SQRT(60)</f>
        <v>6.7692851390040207E-2</v>
      </c>
      <c r="AF513" s="8">
        <f t="shared" ref="AF513:AF576" si="309">+_xlfn.STDEV.S(N453:N513)*SQRT(60)</f>
        <v>0.10477106255773647</v>
      </c>
      <c r="AG513" s="8">
        <f t="shared" ref="AG513:AG576" si="310">+_xlfn.STDEV.S(O453:O513)*SQRT(60)</f>
        <v>0.10844343251484066</v>
      </c>
      <c r="AH513" s="8">
        <f t="shared" ref="AH513:AH576" si="311">+_xlfn.STDEV.S(P453:P513)*SQRT(60)</f>
        <v>7.0362144289865466E-2</v>
      </c>
      <c r="AI513" s="8">
        <f t="shared" ref="AI513:AI576" si="312">+_xlfn.STDEV.S(Q453:Q513)*SQRT(60)</f>
        <v>0.10749163700510096</v>
      </c>
      <c r="AJ513" s="8">
        <f t="shared" ref="AJ513:AJ576" si="313">+_xlfn.STDEV.S(R453:R513)*SQRT(60)</f>
        <v>9.1880894763162829E-2</v>
      </c>
      <c r="AK513" s="8">
        <f t="shared" ref="AK513:AK576" si="314">+_xlfn.STDEV.S(S453:S513)*SQRT(60)</f>
        <v>9.4810958725004987E-2</v>
      </c>
      <c r="AL513" s="9">
        <v>0</v>
      </c>
      <c r="AM513" s="17">
        <f t="shared" si="291"/>
        <v>15.08917184473375</v>
      </c>
      <c r="AN513" s="13">
        <f t="shared" si="292"/>
        <v>14.772608620636893</v>
      </c>
      <c r="AO513" s="13">
        <f t="shared" si="293"/>
        <v>9.5446201993888096</v>
      </c>
      <c r="AP513" s="13">
        <f t="shared" si="294"/>
        <v>9.2213975232031533</v>
      </c>
      <c r="AQ513" s="13">
        <f t="shared" si="295"/>
        <v>14.212187676947103</v>
      </c>
      <c r="AR513" s="13">
        <f t="shared" si="296"/>
        <v>9.3030493149206155</v>
      </c>
      <c r="AS513" s="13">
        <f t="shared" si="297"/>
        <v>10.883655438681286</v>
      </c>
      <c r="AT513" s="13">
        <f t="shared" si="298"/>
        <v>10.54730395565829</v>
      </c>
      <c r="AU513" s="9">
        <v>0</v>
      </c>
      <c r="AV513" s="18">
        <f t="shared" ref="AV513:AV576" si="315">+RANK(AM513,$AM513:$AU513)</f>
        <v>1</v>
      </c>
      <c r="AW513" s="18">
        <f t="shared" ref="AW513:AW576" si="316">+RANK(AN513,$AM513:$AU513)</f>
        <v>2</v>
      </c>
      <c r="AX513" s="18">
        <f t="shared" ref="AX513:AX576" si="317">+RANK(AO513,$AM513:$AU513)</f>
        <v>6</v>
      </c>
      <c r="AY513" s="18">
        <f t="shared" ref="AY513:AY576" si="318">+RANK(AP513,$AM513:$AU513)</f>
        <v>8</v>
      </c>
      <c r="AZ513" s="18">
        <f t="shared" ref="AZ513:AZ576" si="319">+RANK(AQ513,$AM513:$AU513)</f>
        <v>3</v>
      </c>
      <c r="BA513" s="18">
        <f t="shared" ref="BA513:BA576" si="320">+RANK(AR513,$AM513:$AU513)</f>
        <v>7</v>
      </c>
      <c r="BB513" s="18">
        <f t="shared" ref="BB513:BB576" si="321">+RANK(AS513,$AM513:$AU513)</f>
        <v>4</v>
      </c>
      <c r="BC513" s="18">
        <f t="shared" ref="BC513:BC576" si="322">+RANK(AT513,$AM513:$AU513)</f>
        <v>5</v>
      </c>
      <c r="BD513" s="18">
        <f t="shared" ref="BD513:BD576" si="323">+RANK(AU513,$AM513:$AU513)</f>
        <v>9</v>
      </c>
      <c r="BE513" s="8">
        <f t="shared" si="290"/>
        <v>-5.2167260300214641E-4</v>
      </c>
    </row>
    <row r="514" spans="1:57" x14ac:dyDescent="0.25">
      <c r="A514" t="str">
        <f t="shared" si="289"/>
        <v/>
      </c>
      <c r="B514" s="1">
        <v>43490</v>
      </c>
      <c r="C514" s="9">
        <f t="shared" si="299"/>
        <v>0.24971392939772211</v>
      </c>
      <c r="D514" s="9">
        <f t="shared" si="300"/>
        <v>0.25119737056227898</v>
      </c>
      <c r="E514" s="9">
        <f t="shared" si="301"/>
        <v>0</v>
      </c>
      <c r="F514" s="9">
        <f t="shared" si="302"/>
        <v>0.25224599808941511</v>
      </c>
      <c r="G514" s="9">
        <f t="shared" si="303"/>
        <v>0.24684270195058378</v>
      </c>
      <c r="H514" s="9">
        <f t="shared" si="304"/>
        <v>0</v>
      </c>
      <c r="I514" s="9">
        <f t="shared" si="305"/>
        <v>0</v>
      </c>
      <c r="J514" s="9">
        <f t="shared" si="306"/>
        <v>0</v>
      </c>
      <c r="K514" s="9">
        <v>0</v>
      </c>
      <c r="L514" s="8">
        <f>+VLOOKUP($B514,NIFTY_50!$B$3:$I$1238,8,0)</f>
        <v>-6.3826061309886217E-3</v>
      </c>
      <c r="M514" s="8">
        <f>+VLOOKUP($B514,NIFTY_BANK!$B$3:$I$41238,8,0)</f>
        <v>-5.5416189889389011E-3</v>
      </c>
      <c r="N514" s="8">
        <f>+VLOOKUP($B514,NIFTY_IT!$B$3:$I$1238,8,0)</f>
        <v>4.5017666428441849E-3</v>
      </c>
      <c r="O514" s="8">
        <f>+VLOOKUP($B514,NIFTY_PHARMA!$B$3:$I$1238,8,0)</f>
        <v>-3.9350160211371055E-4</v>
      </c>
      <c r="P514" s="8">
        <f>+VLOOKUP($B514,NIFTY_FMCG!$B$3:$I$1238,8,0)</f>
        <v>-3.2859746810157686E-3</v>
      </c>
      <c r="Q514" s="8">
        <f>+VLOOKUP($B514,NIFTY_METAL!$B$3:$I$1238,8,0)</f>
        <v>-1.2424399516156814E-2</v>
      </c>
      <c r="R514" s="8">
        <f>+VLOOKUP($B514,NIFTY_ENERGY!$B$3:$I$1238,8,0)</f>
        <v>-1.3575354893798908E-3</v>
      </c>
      <c r="S514" s="8">
        <f>+VLOOKUP($B514,NIFTY_AUTO!$B$3:$I$1238,8,0)</f>
        <v>-3.2498755454039685E-2</v>
      </c>
      <c r="T514" s="8">
        <v>0</v>
      </c>
      <c r="U514" s="8">
        <f>+VLOOKUP($B514,NIFTY_50!$B$63:$K$1238,10,0)</f>
        <v>7.4830508474576174E-2</v>
      </c>
      <c r="V514" s="8">
        <f>+VLOOKUP($B514,NIFTY_BANK!$B$63:$K$1238,10,0)</f>
        <v>0.11032490412983886</v>
      </c>
      <c r="W514" s="8">
        <f>+VLOOKUP($B514,NIFTY_IT!$B$63:$K$1238,10,0)</f>
        <v>8.9914918904816288E-2</v>
      </c>
      <c r="X514" s="8">
        <f>+VLOOKUP($B514,NIFTY_PHARMA!$B$63:$K$1238,10,0)</f>
        <v>-2.4585577777534007E-2</v>
      </c>
      <c r="Y514" s="8">
        <f>+VLOOKUP($B514,NIFTY_FMCG!$B$63:$K$1238,10,0)</f>
        <v>6.869889749781799E-2</v>
      </c>
      <c r="Z514" s="8">
        <f>+VLOOKUP($B514,NIFTY_METAL!$B$63:$K$1238,10,0)</f>
        <v>-0.12983038460367247</v>
      </c>
      <c r="AA514" s="8">
        <f>+VLOOKUP($B514,NIFTY_ENERGY!$B$63:$K$1238,10,0)</f>
        <v>0.10694928163150608</v>
      </c>
      <c r="AB514" s="8">
        <f>+VLOOKUP($B514,NIFTY_AUTO!$B$63:$K$1238,10,0)</f>
        <v>-3.7100506525375776E-2</v>
      </c>
      <c r="AC514" s="8"/>
      <c r="AD514" s="16">
        <f t="shared" si="307"/>
        <v>6.5862052384608447E-2</v>
      </c>
      <c r="AE514" s="8">
        <f t="shared" si="308"/>
        <v>6.5750518664462604E-2</v>
      </c>
      <c r="AF514" s="8">
        <f t="shared" si="309"/>
        <v>0.10276599496109608</v>
      </c>
      <c r="AG514" s="8">
        <f t="shared" si="310"/>
        <v>0.10841020352516983</v>
      </c>
      <c r="AH514" s="8">
        <f t="shared" si="311"/>
        <v>6.8854504011830381E-2</v>
      </c>
      <c r="AI514" s="8">
        <f t="shared" si="312"/>
        <v>0.10787660422480161</v>
      </c>
      <c r="AJ514" s="8">
        <f t="shared" si="313"/>
        <v>9.1931843191007459E-2</v>
      </c>
      <c r="AK514" s="8">
        <f t="shared" si="314"/>
        <v>0.10013768804669695</v>
      </c>
      <c r="AL514" s="9">
        <v>0</v>
      </c>
      <c r="AM514" s="17">
        <f t="shared" si="291"/>
        <v>15.183249895712235</v>
      </c>
      <c r="AN514" s="13">
        <f t="shared" si="292"/>
        <v>15.20900550006594</v>
      </c>
      <c r="AO514" s="13">
        <f t="shared" si="293"/>
        <v>9.7308453090788252</v>
      </c>
      <c r="AP514" s="13">
        <f t="shared" si="294"/>
        <v>9.2242239889147317</v>
      </c>
      <c r="AQ514" s="13">
        <f t="shared" si="295"/>
        <v>14.52337816315085</v>
      </c>
      <c r="AR514" s="13">
        <f t="shared" si="296"/>
        <v>9.2698505592197051</v>
      </c>
      <c r="AS514" s="13">
        <f t="shared" si="297"/>
        <v>10.877623740473611</v>
      </c>
      <c r="AT514" s="13">
        <f t="shared" si="298"/>
        <v>9.986250127261501</v>
      </c>
      <c r="AU514" s="9">
        <v>0</v>
      </c>
      <c r="AV514" s="18">
        <f t="shared" si="315"/>
        <v>2</v>
      </c>
      <c r="AW514" s="18">
        <f t="shared" si="316"/>
        <v>1</v>
      </c>
      <c r="AX514" s="18">
        <f t="shared" si="317"/>
        <v>6</v>
      </c>
      <c r="AY514" s="18">
        <f t="shared" si="318"/>
        <v>8</v>
      </c>
      <c r="AZ514" s="18">
        <f t="shared" si="319"/>
        <v>3</v>
      </c>
      <c r="BA514" s="18">
        <f t="shared" si="320"/>
        <v>7</v>
      </c>
      <c r="BB514" s="18">
        <f t="shared" si="321"/>
        <v>4</v>
      </c>
      <c r="BC514" s="18">
        <f t="shared" si="322"/>
        <v>5</v>
      </c>
      <c r="BD514" s="18">
        <f t="shared" si="323"/>
        <v>9</v>
      </c>
      <c r="BE514" s="8">
        <f t="shared" si="290"/>
        <v>-3.9016696223508687E-3</v>
      </c>
    </row>
    <row r="515" spans="1:57" x14ac:dyDescent="0.25">
      <c r="A515" t="str">
        <f t="shared" si="289"/>
        <v/>
      </c>
      <c r="B515" s="1">
        <v>43493</v>
      </c>
      <c r="C515" s="9">
        <f t="shared" si="299"/>
        <v>0.25111420427406284</v>
      </c>
      <c r="D515" s="9">
        <f t="shared" si="300"/>
        <v>0.25107106811275465</v>
      </c>
      <c r="E515" s="9">
        <f t="shared" si="301"/>
        <v>0</v>
      </c>
      <c r="F515" s="9">
        <f t="shared" si="302"/>
        <v>0.24994024224500916</v>
      </c>
      <c r="G515" s="9">
        <f t="shared" si="303"/>
        <v>0.24787448536817336</v>
      </c>
      <c r="H515" s="9">
        <f t="shared" si="304"/>
        <v>0</v>
      </c>
      <c r="I515" s="9">
        <f t="shared" si="305"/>
        <v>0</v>
      </c>
      <c r="J515" s="9">
        <f t="shared" si="306"/>
        <v>0</v>
      </c>
      <c r="K515" s="9">
        <v>0</v>
      </c>
      <c r="L515" s="8">
        <f>+VLOOKUP($B515,NIFTY_50!$B$3:$I$1238,8,0)</f>
        <v>-1.1038397855396953E-2</v>
      </c>
      <c r="M515" s="8">
        <f>+VLOOKUP($B515,NIFTY_BANK!$B$3:$I$41238,8,0)</f>
        <v>-1.7047570928590106E-2</v>
      </c>
      <c r="N515" s="8">
        <f>+VLOOKUP($B515,NIFTY_IT!$B$3:$I$1238,8,0)</f>
        <v>5.3759151024317386E-3</v>
      </c>
      <c r="O515" s="8">
        <f>+VLOOKUP($B515,NIFTY_PHARMA!$B$3:$I$1238,8,0)</f>
        <v>-2.5542683612642003E-2</v>
      </c>
      <c r="P515" s="8">
        <f>+VLOOKUP($B515,NIFTY_FMCG!$B$3:$I$1238,8,0)</f>
        <v>-1.244236014035649E-2</v>
      </c>
      <c r="Q515" s="8">
        <f>+VLOOKUP($B515,NIFTY_METAL!$B$3:$I$1238,8,0)</f>
        <v>-1.0638484016027738E-2</v>
      </c>
      <c r="R515" s="8">
        <f>+VLOOKUP($B515,NIFTY_ENERGY!$B$3:$I$1238,8,0)</f>
        <v>-1.0020006613204346E-2</v>
      </c>
      <c r="S515" s="8">
        <f>+VLOOKUP($B515,NIFTY_AUTO!$B$3:$I$1238,8,0)</f>
        <v>-1.4140778227075601E-2</v>
      </c>
      <c r="T515" s="8">
        <v>0</v>
      </c>
      <c r="U515" s="8">
        <f>+VLOOKUP($B515,NIFTY_50!$B$63:$K$1238,10,0)</f>
        <v>4.0064970221981522E-2</v>
      </c>
      <c r="V515" s="8">
        <f>+VLOOKUP($B515,NIFTY_BANK!$B$63:$K$1238,10,0)</f>
        <v>6.784336350196507E-2</v>
      </c>
      <c r="W515" s="8">
        <f>+VLOOKUP($B515,NIFTY_IT!$B$63:$K$1238,10,0)</f>
        <v>6.9873661344475479E-2</v>
      </c>
      <c r="X515" s="8">
        <f>+VLOOKUP($B515,NIFTY_PHARMA!$B$63:$K$1238,10,0)</f>
        <v>-9.6607023690357008E-2</v>
      </c>
      <c r="Y515" s="8">
        <f>+VLOOKUP($B515,NIFTY_FMCG!$B$63:$K$1238,10,0)</f>
        <v>4.6290365389719534E-2</v>
      </c>
      <c r="Z515" s="8">
        <f>+VLOOKUP($B515,NIFTY_METAL!$B$63:$K$1238,10,0)</f>
        <v>-0.16095859919869415</v>
      </c>
      <c r="AA515" s="8">
        <f>+VLOOKUP($B515,NIFTY_ENERGY!$B$63:$K$1238,10,0)</f>
        <v>6.1212871996104479E-2</v>
      </c>
      <c r="AB515" s="8">
        <f>+VLOOKUP($B515,NIFTY_AUTO!$B$63:$K$1238,10,0)</f>
        <v>-6.6587191508384991E-2</v>
      </c>
      <c r="AC515" s="8"/>
      <c r="AD515" s="16">
        <f t="shared" si="307"/>
        <v>6.3541459745961634E-2</v>
      </c>
      <c r="AE515" s="8">
        <f t="shared" si="308"/>
        <v>6.5109425593091033E-2</v>
      </c>
      <c r="AF515" s="8">
        <f t="shared" si="309"/>
        <v>0.10027121147196792</v>
      </c>
      <c r="AG515" s="8">
        <f t="shared" si="310"/>
        <v>9.7666393140344254E-2</v>
      </c>
      <c r="AH515" s="8">
        <f t="shared" si="311"/>
        <v>6.9716053993903654E-2</v>
      </c>
      <c r="AI515" s="8">
        <f t="shared" si="312"/>
        <v>0.10434958345506205</v>
      </c>
      <c r="AJ515" s="8">
        <f t="shared" si="313"/>
        <v>8.7203171405776089E-2</v>
      </c>
      <c r="AK515" s="8">
        <f t="shared" si="314"/>
        <v>9.9443690167676541E-2</v>
      </c>
      <c r="AL515" s="9">
        <v>0</v>
      </c>
      <c r="AM515" s="17">
        <f t="shared" si="291"/>
        <v>15.737756167358979</v>
      </c>
      <c r="AN515" s="13">
        <f t="shared" si="292"/>
        <v>15.358759363807275</v>
      </c>
      <c r="AO515" s="13">
        <f t="shared" si="293"/>
        <v>9.9729522095139203</v>
      </c>
      <c r="AP515" s="13">
        <f t="shared" si="294"/>
        <v>10.238936525105663</v>
      </c>
      <c r="AQ515" s="13">
        <f t="shared" si="295"/>
        <v>14.343898466878882</v>
      </c>
      <c r="AR515" s="13">
        <f t="shared" si="296"/>
        <v>9.5831719388764789</v>
      </c>
      <c r="AS515" s="13">
        <f t="shared" si="297"/>
        <v>11.467472843926441</v>
      </c>
      <c r="AT515" s="13">
        <f t="shared" si="298"/>
        <v>10.055942195164464</v>
      </c>
      <c r="AU515" s="9">
        <v>0</v>
      </c>
      <c r="AV515" s="18">
        <f t="shared" si="315"/>
        <v>1</v>
      </c>
      <c r="AW515" s="18">
        <f t="shared" si="316"/>
        <v>2</v>
      </c>
      <c r="AX515" s="18">
        <f t="shared" si="317"/>
        <v>7</v>
      </c>
      <c r="AY515" s="18">
        <f t="shared" si="318"/>
        <v>5</v>
      </c>
      <c r="AZ515" s="18">
        <f t="shared" si="319"/>
        <v>3</v>
      </c>
      <c r="BA515" s="18">
        <f t="shared" si="320"/>
        <v>8</v>
      </c>
      <c r="BB515" s="18">
        <f t="shared" si="321"/>
        <v>4</v>
      </c>
      <c r="BC515" s="18">
        <f t="shared" si="322"/>
        <v>6</v>
      </c>
      <c r="BD515" s="18">
        <f t="shared" si="323"/>
        <v>9</v>
      </c>
      <c r="BE515" s="8">
        <f t="shared" si="290"/>
        <v>-1.6553092211903216E-2</v>
      </c>
    </row>
    <row r="516" spans="1:57" x14ac:dyDescent="0.25">
      <c r="A516" t="str">
        <f t="shared" ref="A516:A579" si="324">+IF(MONTH(B516)&lt;&gt;MONTH(B517),"Y","")</f>
        <v/>
      </c>
      <c r="B516" s="1">
        <v>43494</v>
      </c>
      <c r="C516" s="9">
        <f t="shared" si="299"/>
        <v>0.25006042746286516</v>
      </c>
      <c r="D516" s="9">
        <f t="shared" si="300"/>
        <v>0.24948911762521092</v>
      </c>
      <c r="E516" s="9">
        <f t="shared" si="301"/>
        <v>0</v>
      </c>
      <c r="F516" s="9">
        <f t="shared" si="302"/>
        <v>0.25178385101737311</v>
      </c>
      <c r="G516" s="9">
        <f t="shared" si="303"/>
        <v>0.24866660389455089</v>
      </c>
      <c r="H516" s="9">
        <f t="shared" si="304"/>
        <v>0</v>
      </c>
      <c r="I516" s="9">
        <f t="shared" si="305"/>
        <v>0</v>
      </c>
      <c r="J516" s="9">
        <f t="shared" si="306"/>
        <v>0</v>
      </c>
      <c r="K516" s="9">
        <v>0</v>
      </c>
      <c r="L516" s="8">
        <f>+VLOOKUP($B516,NIFTY_50!$B$3:$I$1238,8,0)</f>
        <v>-8.7698317786799596E-4</v>
      </c>
      <c r="M516" s="8">
        <f>+VLOOKUP($B516,NIFTY_BANK!$B$3:$I$41238,8,0)</f>
        <v>-2.988400952236181E-3</v>
      </c>
      <c r="N516" s="8">
        <f>+VLOOKUP($B516,NIFTY_IT!$B$3:$I$1238,8,0)</f>
        <v>7.3511175484370916E-3</v>
      </c>
      <c r="O516" s="8">
        <f>+VLOOKUP($B516,NIFTY_PHARMA!$B$3:$I$1238,8,0)</f>
        <v>1.0734195916388689E-2</v>
      </c>
      <c r="P516" s="8">
        <f>+VLOOKUP($B516,NIFTY_FMCG!$B$3:$I$1238,8,0)</f>
        <v>6.5397058400740171E-3</v>
      </c>
      <c r="Q516" s="8">
        <f>+VLOOKUP($B516,NIFTY_METAL!$B$3:$I$1238,8,0)</f>
        <v>4.2445572396232478E-4</v>
      </c>
      <c r="R516" s="8">
        <f>+VLOOKUP($B516,NIFTY_ENERGY!$B$3:$I$1238,8,0)</f>
        <v>-1.2790105296540788E-2</v>
      </c>
      <c r="S516" s="8">
        <f>+VLOOKUP($B516,NIFTY_AUTO!$B$3:$I$1238,8,0)</f>
        <v>-2.7692496622866436E-3</v>
      </c>
      <c r="T516" s="8">
        <v>0</v>
      </c>
      <c r="U516" s="8">
        <f>+VLOOKUP($B516,NIFTY_50!$B$63:$K$1238,10,0)</f>
        <v>4.4497176027612273E-2</v>
      </c>
      <c r="V516" s="8">
        <f>+VLOOKUP($B516,NIFTY_BANK!$B$63:$K$1238,10,0)</f>
        <v>7.1173322852737586E-2</v>
      </c>
      <c r="W516" s="8">
        <f>+VLOOKUP($B516,NIFTY_IT!$B$63:$K$1238,10,0)</f>
        <v>6.0982108339109109E-2</v>
      </c>
      <c r="X516" s="8">
        <f>+VLOOKUP($B516,NIFTY_PHARMA!$B$63:$K$1238,10,0)</f>
        <v>-8.1633509171184948E-2</v>
      </c>
      <c r="Y516" s="8">
        <f>+VLOOKUP($B516,NIFTY_FMCG!$B$63:$K$1238,10,0)</f>
        <v>5.2618733485902736E-2</v>
      </c>
      <c r="Z516" s="8">
        <f>+VLOOKUP($B516,NIFTY_METAL!$B$63:$K$1238,10,0)</f>
        <v>-0.15142287094403029</v>
      </c>
      <c r="AA516" s="8">
        <f>+VLOOKUP($B516,NIFTY_ENERGY!$B$63:$K$1238,10,0)</f>
        <v>7.100764979319929E-2</v>
      </c>
      <c r="AB516" s="8">
        <f>+VLOOKUP($B516,NIFTY_AUTO!$B$63:$K$1238,10,0)</f>
        <v>-7.1375477437504387E-2</v>
      </c>
      <c r="AC516" s="8"/>
      <c r="AD516" s="16">
        <f t="shared" si="307"/>
        <v>6.3293509090464148E-2</v>
      </c>
      <c r="AE516" s="8">
        <f t="shared" si="308"/>
        <v>6.4838719397593808E-2</v>
      </c>
      <c r="AF516" s="8">
        <f t="shared" si="309"/>
        <v>9.9387395213827029E-2</v>
      </c>
      <c r="AG516" s="8">
        <f t="shared" si="310"/>
        <v>9.8329818335720673E-2</v>
      </c>
      <c r="AH516" s="8">
        <f t="shared" si="311"/>
        <v>6.9948513229676226E-2</v>
      </c>
      <c r="AI516" s="8">
        <f t="shared" si="312"/>
        <v>0.10407931305884487</v>
      </c>
      <c r="AJ516" s="8">
        <f t="shared" si="313"/>
        <v>8.5275286928774952E-2</v>
      </c>
      <c r="AK516" s="8">
        <f t="shared" si="314"/>
        <v>9.9397558030756977E-2</v>
      </c>
      <c r="AL516" s="9">
        <v>0</v>
      </c>
      <c r="AM516" s="17">
        <f t="shared" si="291"/>
        <v>15.799408412807702</v>
      </c>
      <c r="AN516" s="13">
        <f t="shared" si="292"/>
        <v>15.422883260046472</v>
      </c>
      <c r="AO516" s="13">
        <f t="shared" si="293"/>
        <v>10.061638076423574</v>
      </c>
      <c r="AP516" s="13">
        <f t="shared" si="294"/>
        <v>10.169855054402413</v>
      </c>
      <c r="AQ516" s="13">
        <f t="shared" si="295"/>
        <v>14.296229524085751</v>
      </c>
      <c r="AR516" s="13">
        <f t="shared" si="296"/>
        <v>9.6080572652762921</v>
      </c>
      <c r="AS516" s="13">
        <f t="shared" si="297"/>
        <v>11.726726886714983</v>
      </c>
      <c r="AT516" s="13">
        <f t="shared" si="298"/>
        <v>10.060609332983473</v>
      </c>
      <c r="AU516" s="9">
        <v>0</v>
      </c>
      <c r="AV516" s="18">
        <f t="shared" si="315"/>
        <v>1</v>
      </c>
      <c r="AW516" s="18">
        <f t="shared" si="316"/>
        <v>2</v>
      </c>
      <c r="AX516" s="18">
        <f t="shared" si="317"/>
        <v>6</v>
      </c>
      <c r="AY516" s="18">
        <f t="shared" si="318"/>
        <v>5</v>
      </c>
      <c r="AZ516" s="18">
        <f t="shared" si="319"/>
        <v>3</v>
      </c>
      <c r="BA516" s="18">
        <f t="shared" si="320"/>
        <v>8</v>
      </c>
      <c r="BB516" s="18">
        <f t="shared" si="321"/>
        <v>4</v>
      </c>
      <c r="BC516" s="18">
        <f t="shared" si="322"/>
        <v>7</v>
      </c>
      <c r="BD516" s="18">
        <f t="shared" si="323"/>
        <v>9</v>
      </c>
      <c r="BE516" s="8">
        <f t="shared" ref="BE516:BE579" si="325">+SUMPRODUCT(C515:J515,L516:S516)</f>
        <v>3.33340979531599E-3</v>
      </c>
    </row>
    <row r="517" spans="1:57" x14ac:dyDescent="0.25">
      <c r="A517" t="str">
        <f t="shared" si="324"/>
        <v/>
      </c>
      <c r="B517" s="1">
        <v>43495</v>
      </c>
      <c r="C517" s="9">
        <f t="shared" si="299"/>
        <v>0.25023850053921232</v>
      </c>
      <c r="D517" s="9">
        <f t="shared" si="300"/>
        <v>0.25204481981380689</v>
      </c>
      <c r="E517" s="9">
        <f t="shared" si="301"/>
        <v>0</v>
      </c>
      <c r="F517" s="9">
        <f t="shared" si="302"/>
        <v>0.25133094897929387</v>
      </c>
      <c r="G517" s="9">
        <f t="shared" si="303"/>
        <v>0.24638573066768701</v>
      </c>
      <c r="H517" s="9">
        <f t="shared" si="304"/>
        <v>0</v>
      </c>
      <c r="I517" s="9">
        <f t="shared" si="305"/>
        <v>0</v>
      </c>
      <c r="J517" s="9">
        <f t="shared" si="306"/>
        <v>0</v>
      </c>
      <c r="K517" s="9">
        <v>0</v>
      </c>
      <c r="L517" s="8">
        <f>+VLOOKUP($B517,NIFTY_50!$B$3:$I$1238,8,0)</f>
        <v>-3.7550928446816734E-5</v>
      </c>
      <c r="M517" s="8">
        <f>+VLOOKUP($B517,NIFTY_BANK!$B$3:$I$41238,8,0)</f>
        <v>9.4869305395619552E-3</v>
      </c>
      <c r="N517" s="8">
        <f>+VLOOKUP($B517,NIFTY_IT!$B$3:$I$1238,8,0)</f>
        <v>1.5691372371366974E-3</v>
      </c>
      <c r="O517" s="8">
        <f>+VLOOKUP($B517,NIFTY_PHARMA!$B$3:$I$1238,8,0)</f>
        <v>-2.5465632815264705E-3</v>
      </c>
      <c r="P517" s="8">
        <f>+VLOOKUP($B517,NIFTY_FMCG!$B$3:$I$1238,8,0)</f>
        <v>-9.9146809861924146E-3</v>
      </c>
      <c r="Q517" s="8">
        <f>+VLOOKUP($B517,NIFTY_METAL!$B$3:$I$1238,8,0)</f>
        <v>1.8986334788834602E-2</v>
      </c>
      <c r="R517" s="8">
        <f>+VLOOKUP($B517,NIFTY_ENERGY!$B$3:$I$1238,8,0)</f>
        <v>-1.0337992549810382E-2</v>
      </c>
      <c r="S517" s="8">
        <f>+VLOOKUP($B517,NIFTY_AUTO!$B$3:$I$1238,8,0)</f>
        <v>-2.5244906378341092E-4</v>
      </c>
      <c r="T517" s="8">
        <v>0</v>
      </c>
      <c r="U517" s="8">
        <f>+VLOOKUP($B517,NIFTY_50!$B$63:$K$1238,10,0)</f>
        <v>2.5532898157240913E-2</v>
      </c>
      <c r="V517" s="8">
        <f>+VLOOKUP($B517,NIFTY_BANK!$B$63:$K$1238,10,0)</f>
        <v>6.6482462504845241E-2</v>
      </c>
      <c r="W517" s="8">
        <f>+VLOOKUP($B517,NIFTY_IT!$B$63:$K$1238,10,0)</f>
        <v>2.1090889619212794E-2</v>
      </c>
      <c r="X517" s="8">
        <f>+VLOOKUP($B517,NIFTY_PHARMA!$B$63:$K$1238,10,0)</f>
        <v>-0.10483218037407116</v>
      </c>
      <c r="Y517" s="8">
        <f>+VLOOKUP($B517,NIFTY_FMCG!$B$63:$K$1238,10,0)</f>
        <v>3.2113594725909023E-2</v>
      </c>
      <c r="Z517" s="8">
        <f>+VLOOKUP($B517,NIFTY_METAL!$B$63:$K$1238,10,0)</f>
        <v>-0.12584358270522744</v>
      </c>
      <c r="AA517" s="8">
        <f>+VLOOKUP($B517,NIFTY_ENERGY!$B$63:$K$1238,10,0)</f>
        <v>5.2779868177571299E-2</v>
      </c>
      <c r="AB517" s="8">
        <f>+VLOOKUP($B517,NIFTY_AUTO!$B$63:$K$1238,10,0)</f>
        <v>-7.9603879576670367E-2</v>
      </c>
      <c r="AC517" s="8"/>
      <c r="AD517" s="16">
        <f t="shared" si="307"/>
        <v>6.0725102406868216E-2</v>
      </c>
      <c r="AE517" s="8">
        <f t="shared" si="308"/>
        <v>6.4110021645807994E-2</v>
      </c>
      <c r="AF517" s="8">
        <f t="shared" si="309"/>
        <v>9.1001192637545275E-2</v>
      </c>
      <c r="AG517" s="8">
        <f t="shared" si="310"/>
        <v>9.5148525893817212E-2</v>
      </c>
      <c r="AH517" s="8">
        <f t="shared" si="311"/>
        <v>7.0172961743078868E-2</v>
      </c>
      <c r="AI517" s="8">
        <f t="shared" si="312"/>
        <v>0.10590605315155791</v>
      </c>
      <c r="AJ517" s="8">
        <f t="shared" si="313"/>
        <v>8.5839033746511986E-2</v>
      </c>
      <c r="AK517" s="8">
        <f t="shared" si="314"/>
        <v>9.890880661668229E-2</v>
      </c>
      <c r="AL517" s="9">
        <v>0</v>
      </c>
      <c r="AM517" s="17">
        <f t="shared" si="291"/>
        <v>16.467654402619775</v>
      </c>
      <c r="AN517" s="13">
        <f t="shared" si="292"/>
        <v>15.598185343389098</v>
      </c>
      <c r="AO517" s="13">
        <f t="shared" si="293"/>
        <v>10.988866969941446</v>
      </c>
      <c r="AP517" s="13">
        <f t="shared" si="294"/>
        <v>10.50988431618971</v>
      </c>
      <c r="AQ517" s="13">
        <f t="shared" si="295"/>
        <v>14.250502973798589</v>
      </c>
      <c r="AR517" s="13">
        <f t="shared" si="296"/>
        <v>9.442330917279488</v>
      </c>
      <c r="AS517" s="13">
        <f t="shared" si="297"/>
        <v>11.649711749471253</v>
      </c>
      <c r="AT517" s="13">
        <f t="shared" si="298"/>
        <v>10.110323177545412</v>
      </c>
      <c r="AU517" s="9">
        <v>0</v>
      </c>
      <c r="AV517" s="18">
        <f t="shared" si="315"/>
        <v>1</v>
      </c>
      <c r="AW517" s="18">
        <f t="shared" si="316"/>
        <v>2</v>
      </c>
      <c r="AX517" s="18">
        <f t="shared" si="317"/>
        <v>5</v>
      </c>
      <c r="AY517" s="18">
        <f t="shared" si="318"/>
        <v>6</v>
      </c>
      <c r="AZ517" s="18">
        <f t="shared" si="319"/>
        <v>3</v>
      </c>
      <c r="BA517" s="18">
        <f t="shared" si="320"/>
        <v>8</v>
      </c>
      <c r="BB517" s="18">
        <f t="shared" si="321"/>
        <v>4</v>
      </c>
      <c r="BC517" s="18">
        <f t="shared" si="322"/>
        <v>7</v>
      </c>
      <c r="BD517" s="18">
        <f t="shared" si="323"/>
        <v>9</v>
      </c>
      <c r="BE517" s="8">
        <f t="shared" si="325"/>
        <v>-7.4913763134857778E-4</v>
      </c>
    </row>
    <row r="518" spans="1:57" x14ac:dyDescent="0.25">
      <c r="A518" t="str">
        <f t="shared" si="324"/>
        <v>Y</v>
      </c>
      <c r="B518" s="1">
        <v>43496</v>
      </c>
      <c r="C518" s="9">
        <f t="shared" si="299"/>
        <v>0.25</v>
      </c>
      <c r="D518" s="9">
        <f t="shared" si="300"/>
        <v>0.25</v>
      </c>
      <c r="E518" s="9">
        <f t="shared" si="301"/>
        <v>0</v>
      </c>
      <c r="F518" s="9">
        <f t="shared" si="302"/>
        <v>0</v>
      </c>
      <c r="G518" s="9">
        <f t="shared" si="303"/>
        <v>0.25</v>
      </c>
      <c r="H518" s="9">
        <f t="shared" si="304"/>
        <v>0</v>
      </c>
      <c r="I518" s="9">
        <f t="shared" si="305"/>
        <v>0.25</v>
      </c>
      <c r="J518" s="9">
        <f t="shared" si="306"/>
        <v>0</v>
      </c>
      <c r="K518" s="9">
        <v>0</v>
      </c>
      <c r="L518" s="8">
        <f>+VLOOKUP($B518,NIFTY_50!$B$3:$I$1238,8,0)</f>
        <v>1.6818753637882988E-2</v>
      </c>
      <c r="M518" s="8">
        <f>+VLOOKUP($B518,NIFTY_BANK!$B$3:$I$41238,8,0)</f>
        <v>1.7518778773927712E-2</v>
      </c>
      <c r="N518" s="8">
        <f>+VLOOKUP($B518,NIFTY_IT!$B$3:$I$1238,8,0)</f>
        <v>1.6001101263831252E-2</v>
      </c>
      <c r="O518" s="8">
        <f>+VLOOKUP($B518,NIFTY_PHARMA!$B$3:$I$1238,8,0)</f>
        <v>1.0389714468893807E-2</v>
      </c>
      <c r="P518" s="8">
        <f>+VLOOKUP($B518,NIFTY_FMCG!$B$3:$I$1238,8,0)</f>
        <v>1.142756292880942E-2</v>
      </c>
      <c r="Q518" s="8">
        <f>+VLOOKUP($B518,NIFTY_METAL!$B$3:$I$1238,8,0)</f>
        <v>1.1727763224093968E-2</v>
      </c>
      <c r="R518" s="8">
        <f>+VLOOKUP($B518,NIFTY_ENERGY!$B$3:$I$1238,8,0)</f>
        <v>2.1665486817342039E-2</v>
      </c>
      <c r="S518" s="8">
        <f>+VLOOKUP($B518,NIFTY_AUTO!$B$3:$I$1238,8,0)</f>
        <v>1.2317698068584848E-2</v>
      </c>
      <c r="T518" s="8">
        <v>0</v>
      </c>
      <c r="U518" s="8">
        <f>+VLOOKUP($B518,NIFTY_50!$B$63:$K$1238,10,0)</f>
        <v>4.3398889258172701E-2</v>
      </c>
      <c r="V518" s="8">
        <f>+VLOOKUP($B518,NIFTY_BANK!$B$63:$K$1238,10,0)</f>
        <v>7.7863973005471099E-2</v>
      </c>
      <c r="W518" s="8">
        <f>+VLOOKUP($B518,NIFTY_IT!$B$63:$K$1238,10,0)</f>
        <v>5.9998632198057678E-2</v>
      </c>
      <c r="X518" s="8">
        <f>+VLOOKUP($B518,NIFTY_PHARMA!$B$63:$K$1238,10,0)</f>
        <v>-8.156808874874466E-2</v>
      </c>
      <c r="Y518" s="8">
        <f>+VLOOKUP($B518,NIFTY_FMCG!$B$63:$K$1238,10,0)</f>
        <v>5.0976720237276618E-2</v>
      </c>
      <c r="Z518" s="8">
        <f>+VLOOKUP($B518,NIFTY_METAL!$B$63:$K$1238,10,0)</f>
        <v>-0.12655952791049474</v>
      </c>
      <c r="AA518" s="8">
        <f>+VLOOKUP($B518,NIFTY_ENERGY!$B$63:$K$1238,10,0)</f>
        <v>7.6445890091978219E-2</v>
      </c>
      <c r="AB518" s="8">
        <f>+VLOOKUP($B518,NIFTY_AUTO!$B$63:$K$1238,10,0)</f>
        <v>-6.7595470944612268E-2</v>
      </c>
      <c r="AC518" s="8"/>
      <c r="AD518" s="16">
        <f t="shared" si="307"/>
        <v>6.2846152595200641E-2</v>
      </c>
      <c r="AE518" s="8">
        <f t="shared" si="308"/>
        <v>6.5922731193262141E-2</v>
      </c>
      <c r="AF518" s="8">
        <f t="shared" si="309"/>
        <v>8.9613164968028819E-2</v>
      </c>
      <c r="AG518" s="8">
        <f t="shared" si="310"/>
        <v>9.4912237851992223E-2</v>
      </c>
      <c r="AH518" s="8">
        <f t="shared" si="311"/>
        <v>7.0596848866619835E-2</v>
      </c>
      <c r="AI518" s="8">
        <f t="shared" si="312"/>
        <v>0.10579433582993655</v>
      </c>
      <c r="AJ518" s="8">
        <f t="shared" si="313"/>
        <v>8.8250903615615564E-2</v>
      </c>
      <c r="AK518" s="8">
        <f t="shared" si="314"/>
        <v>9.9823440892049836E-2</v>
      </c>
      <c r="AL518" s="9">
        <v>0</v>
      </c>
      <c r="AM518" s="17">
        <f t="shared" si="291"/>
        <v>15.911873021744322</v>
      </c>
      <c r="AN518" s="13">
        <f t="shared" si="292"/>
        <v>15.169274420204975</v>
      </c>
      <c r="AO518" s="13">
        <f t="shared" si="293"/>
        <v>11.159074677886546</v>
      </c>
      <c r="AP518" s="13">
        <f t="shared" si="294"/>
        <v>10.536049118970487</v>
      </c>
      <c r="AQ518" s="13">
        <f t="shared" si="295"/>
        <v>14.164938181438123</v>
      </c>
      <c r="AR518" s="13">
        <f t="shared" si="296"/>
        <v>9.4523018851169027</v>
      </c>
      <c r="AS518" s="13">
        <f t="shared" si="297"/>
        <v>11.331328734667538</v>
      </c>
      <c r="AT518" s="13">
        <f t="shared" si="298"/>
        <v>10.017687139049945</v>
      </c>
      <c r="AU518" s="9">
        <v>0</v>
      </c>
      <c r="AV518" s="18">
        <f t="shared" si="315"/>
        <v>1</v>
      </c>
      <c r="AW518" s="18">
        <f t="shared" si="316"/>
        <v>2</v>
      </c>
      <c r="AX518" s="18">
        <f t="shared" si="317"/>
        <v>5</v>
      </c>
      <c r="AY518" s="18">
        <f t="shared" si="318"/>
        <v>6</v>
      </c>
      <c r="AZ518" s="18">
        <f t="shared" si="319"/>
        <v>3</v>
      </c>
      <c r="BA518" s="18">
        <f t="shared" si="320"/>
        <v>8</v>
      </c>
      <c r="BB518" s="18">
        <f t="shared" si="321"/>
        <v>4</v>
      </c>
      <c r="BC518" s="18">
        <f t="shared" si="322"/>
        <v>7</v>
      </c>
      <c r="BD518" s="18">
        <f t="shared" si="323"/>
        <v>9</v>
      </c>
      <c r="BE518" s="8">
        <f t="shared" si="325"/>
        <v>1.405106236977148E-2</v>
      </c>
    </row>
    <row r="519" spans="1:57" x14ac:dyDescent="0.25">
      <c r="A519" t="str">
        <f t="shared" si="324"/>
        <v/>
      </c>
      <c r="B519" s="1">
        <v>43497</v>
      </c>
      <c r="C519" s="9">
        <f t="shared" si="299"/>
        <v>0.24995552619164935</v>
      </c>
      <c r="D519" s="9">
        <f t="shared" si="300"/>
        <v>0.24660943595823273</v>
      </c>
      <c r="E519" s="9">
        <f t="shared" si="301"/>
        <v>0</v>
      </c>
      <c r="F519" s="9">
        <f t="shared" si="302"/>
        <v>0</v>
      </c>
      <c r="G519" s="9">
        <f t="shared" si="303"/>
        <v>0.25184718529166006</v>
      </c>
      <c r="H519" s="9">
        <f t="shared" si="304"/>
        <v>0</v>
      </c>
      <c r="I519" s="9">
        <f t="shared" si="305"/>
        <v>0.251587852558458</v>
      </c>
      <c r="J519" s="9">
        <f t="shared" si="306"/>
        <v>0</v>
      </c>
      <c r="K519" s="9">
        <v>0</v>
      </c>
      <c r="L519" s="8">
        <f>+VLOOKUP($B519,NIFTY_50!$B$3:$I$1238,8,0)</f>
        <v>5.7889658801857369E-3</v>
      </c>
      <c r="M519" s="8">
        <f>+VLOOKUP($B519,NIFTY_BANK!$B$3:$I$41238,8,0)</f>
        <v>-7.6752718859737223E-3</v>
      </c>
      <c r="N519" s="8">
        <f>+VLOOKUP($B519,NIFTY_IT!$B$3:$I$1238,8,0)</f>
        <v>1.4516784628983315E-2</v>
      </c>
      <c r="O519" s="8">
        <f>+VLOOKUP($B519,NIFTY_PHARMA!$B$3:$I$1238,8,0)</f>
        <v>1.6339295325397796E-2</v>
      </c>
      <c r="P519" s="8">
        <f>+VLOOKUP($B519,NIFTY_FMCG!$B$3:$I$1238,8,0)</f>
        <v>1.3400759381957839E-2</v>
      </c>
      <c r="Q519" s="8">
        <f>+VLOOKUP($B519,NIFTY_METAL!$B$3:$I$1238,8,0)</f>
        <v>-3.4363907608416011E-2</v>
      </c>
      <c r="R519" s="8">
        <f>+VLOOKUP($B519,NIFTY_ENERGY!$B$3:$I$1238,8,0)</f>
        <v>1.2357237738246818E-2</v>
      </c>
      <c r="S519" s="8">
        <f>+VLOOKUP($B519,NIFTY_AUTO!$B$3:$I$1238,8,0)</f>
        <v>2.7115983646451847E-2</v>
      </c>
      <c r="T519" s="8">
        <v>0</v>
      </c>
      <c r="U519" s="8">
        <f>+VLOOKUP($B519,NIFTY_50!$B$63:$K$1238,10,0)</f>
        <v>3.2279920401781403E-2</v>
      </c>
      <c r="V519" s="8">
        <f>+VLOOKUP($B519,NIFTY_BANK!$B$63:$K$1238,10,0)</f>
        <v>5.3860355269019555E-2</v>
      </c>
      <c r="W519" s="8">
        <f>+VLOOKUP($B519,NIFTY_IT!$B$63:$K$1238,10,0)</f>
        <v>9.2215577180881692E-2</v>
      </c>
      <c r="X519" s="8">
        <f>+VLOOKUP($B519,NIFTY_PHARMA!$B$63:$K$1238,10,0)</f>
        <v>-6.0568609686997732E-2</v>
      </c>
      <c r="Y519" s="8">
        <f>+VLOOKUP($B519,NIFTY_FMCG!$B$63:$K$1238,10,0)</f>
        <v>4.7269461243966138E-2</v>
      </c>
      <c r="Z519" s="8">
        <f>+VLOOKUP($B519,NIFTY_METAL!$B$63:$K$1238,10,0)</f>
        <v>-0.18131860143926726</v>
      </c>
      <c r="AA519" s="8">
        <f>+VLOOKUP($B519,NIFTY_ENERGY!$B$63:$K$1238,10,0)</f>
        <v>6.9291625313274263E-2</v>
      </c>
      <c r="AB519" s="8">
        <f>+VLOOKUP($B519,NIFTY_AUTO!$B$63:$K$1238,10,0)</f>
        <v>-8.04938890220257E-2</v>
      </c>
      <c r="AC519" s="8"/>
      <c r="AD519" s="16">
        <f t="shared" si="307"/>
        <v>6.0997655291737174E-2</v>
      </c>
      <c r="AE519" s="8">
        <f t="shared" si="308"/>
        <v>6.5044151902820757E-2</v>
      </c>
      <c r="AF519" s="8">
        <f t="shared" si="309"/>
        <v>8.9039418591784408E-2</v>
      </c>
      <c r="AG519" s="8">
        <f t="shared" si="310"/>
        <v>9.6364509048512945E-2</v>
      </c>
      <c r="AH519" s="8">
        <f t="shared" si="311"/>
        <v>6.9862944608113001E-2</v>
      </c>
      <c r="AI519" s="8">
        <f t="shared" si="312"/>
        <v>0.10543748538427745</v>
      </c>
      <c r="AJ519" s="8">
        <f t="shared" si="313"/>
        <v>8.7128786376819395E-2</v>
      </c>
      <c r="AK519" s="8">
        <f t="shared" si="314"/>
        <v>9.4560381275893071E-2</v>
      </c>
      <c r="AL519" s="9">
        <v>0</v>
      </c>
      <c r="AM519" s="17">
        <f t="shared" si="291"/>
        <v>16.394072775703254</v>
      </c>
      <c r="AN519" s="13">
        <f t="shared" si="292"/>
        <v>15.374172323655637</v>
      </c>
      <c r="AO519" s="13">
        <f t="shared" si="293"/>
        <v>11.23098079272801</v>
      </c>
      <c r="AP519" s="13">
        <f t="shared" si="294"/>
        <v>10.377264512358677</v>
      </c>
      <c r="AQ519" s="13">
        <f t="shared" si="295"/>
        <v>14.313739645664358</v>
      </c>
      <c r="AR519" s="13">
        <f t="shared" si="296"/>
        <v>9.4842929566785479</v>
      </c>
      <c r="AS519" s="13">
        <f t="shared" si="297"/>
        <v>11.477263044559633</v>
      </c>
      <c r="AT519" s="13">
        <f t="shared" si="298"/>
        <v>10.575253467753697</v>
      </c>
      <c r="AU519" s="9">
        <v>0</v>
      </c>
      <c r="AV519" s="18">
        <f t="shared" si="315"/>
        <v>1</v>
      </c>
      <c r="AW519" s="18">
        <f t="shared" si="316"/>
        <v>2</v>
      </c>
      <c r="AX519" s="18">
        <f t="shared" si="317"/>
        <v>5</v>
      </c>
      <c r="AY519" s="18">
        <f t="shared" si="318"/>
        <v>7</v>
      </c>
      <c r="AZ519" s="18">
        <f t="shared" si="319"/>
        <v>3</v>
      </c>
      <c r="BA519" s="18">
        <f t="shared" si="320"/>
        <v>8</v>
      </c>
      <c r="BB519" s="18">
        <f t="shared" si="321"/>
        <v>4</v>
      </c>
      <c r="BC519" s="18">
        <f t="shared" si="322"/>
        <v>6</v>
      </c>
      <c r="BD519" s="18">
        <f t="shared" si="323"/>
        <v>9</v>
      </c>
      <c r="BE519" s="8">
        <f t="shared" si="325"/>
        <v>5.9679227786041678E-3</v>
      </c>
    </row>
    <row r="520" spans="1:57" x14ac:dyDescent="0.25">
      <c r="A520" t="str">
        <f t="shared" si="324"/>
        <v/>
      </c>
      <c r="B520" s="1">
        <v>43500</v>
      </c>
      <c r="C520" s="9">
        <f t="shared" si="299"/>
        <v>0.2494405275873674</v>
      </c>
      <c r="D520" s="9">
        <f t="shared" si="300"/>
        <v>0.24659479135780321</v>
      </c>
      <c r="E520" s="9">
        <f t="shared" si="301"/>
        <v>0</v>
      </c>
      <c r="F520" s="9">
        <f t="shared" si="302"/>
        <v>0</v>
      </c>
      <c r="G520" s="9">
        <f t="shared" si="303"/>
        <v>0.24931307601529221</v>
      </c>
      <c r="H520" s="9">
        <f t="shared" si="304"/>
        <v>0</v>
      </c>
      <c r="I520" s="9">
        <f t="shared" si="305"/>
        <v>0.25465160503953727</v>
      </c>
      <c r="J520" s="9">
        <f t="shared" si="306"/>
        <v>0</v>
      </c>
      <c r="K520" s="9">
        <v>0</v>
      </c>
      <c r="L520" s="8">
        <f>+VLOOKUP($B520,NIFTY_50!$B$3:$I$1238,8,0)</f>
        <v>1.7074167060626699E-3</v>
      </c>
      <c r="M520" s="8">
        <f>+VLOOKUP($B520,NIFTY_BANK!$B$3:$I$41238,8,0)</f>
        <v>3.7159486744973158E-3</v>
      </c>
      <c r="N520" s="8">
        <f>+VLOOKUP($B520,NIFTY_IT!$B$3:$I$1238,8,0)</f>
        <v>1.939672990212582E-3</v>
      </c>
      <c r="O520" s="8">
        <f>+VLOOKUP($B520,NIFTY_PHARMA!$B$3:$I$1238,8,0)</f>
        <v>-1.7576132581902049E-2</v>
      </c>
      <c r="P520" s="8">
        <f>+VLOOKUP($B520,NIFTY_FMCG!$B$3:$I$1238,8,0)</f>
        <v>-6.3245242533915835E-3</v>
      </c>
      <c r="Q520" s="8">
        <f>+VLOOKUP($B520,NIFTY_METAL!$B$3:$I$1238,8,0)</f>
        <v>-7.5293449114770539E-3</v>
      </c>
      <c r="R520" s="8">
        <f>+VLOOKUP($B520,NIFTY_ENERGY!$B$3:$I$1238,8,0)</f>
        <v>1.5999198704572448E-2</v>
      </c>
      <c r="S520" s="8">
        <f>+VLOOKUP($B520,NIFTY_AUTO!$B$3:$I$1238,8,0)</f>
        <v>-5.4138901229083825E-3</v>
      </c>
      <c r="T520" s="8">
        <v>0</v>
      </c>
      <c r="U520" s="8">
        <f>+VLOOKUP($B520,NIFTY_50!$B$63:$K$1238,10,0)</f>
        <v>3.6891866210566393E-2</v>
      </c>
      <c r="V520" s="8">
        <f>+VLOOKUP($B520,NIFTY_BANK!$B$63:$K$1238,10,0)</f>
        <v>5.6520623965303995E-2</v>
      </c>
      <c r="W520" s="8">
        <f>+VLOOKUP($B520,NIFTY_IT!$B$63:$K$1238,10,0)</f>
        <v>8.8658938967298262E-2</v>
      </c>
      <c r="X520" s="8">
        <f>+VLOOKUP($B520,NIFTY_PHARMA!$B$63:$K$1238,10,0)</f>
        <v>-6.8558744252418036E-2</v>
      </c>
      <c r="Y520" s="8">
        <f>+VLOOKUP($B520,NIFTY_FMCG!$B$63:$K$1238,10,0)</f>
        <v>4.4692620739353428E-2</v>
      </c>
      <c r="Z520" s="8">
        <f>+VLOOKUP($B520,NIFTY_METAL!$B$63:$K$1238,10,0)</f>
        <v>-0.18810831226938618</v>
      </c>
      <c r="AA520" s="8">
        <f>+VLOOKUP($B520,NIFTY_ENERGY!$B$63:$K$1238,10,0)</f>
        <v>8.7918059453372166E-2</v>
      </c>
      <c r="AB520" s="8">
        <f>+VLOOKUP($B520,NIFTY_AUTO!$B$63:$K$1238,10,0)</f>
        <v>-8.2819421760718437E-2</v>
      </c>
      <c r="AC520" s="8"/>
      <c r="AD520" s="16">
        <f t="shared" si="307"/>
        <v>6.0916645899029849E-2</v>
      </c>
      <c r="AE520" s="8">
        <f t="shared" si="308"/>
        <v>6.510382763356902E-2</v>
      </c>
      <c r="AF520" s="8">
        <f t="shared" si="309"/>
        <v>8.8962514632165993E-2</v>
      </c>
      <c r="AG520" s="8">
        <f t="shared" si="310"/>
        <v>9.7438227792770477E-2</v>
      </c>
      <c r="AH520" s="8">
        <f t="shared" si="311"/>
        <v>7.0068800304896511E-2</v>
      </c>
      <c r="AI520" s="8">
        <f t="shared" si="312"/>
        <v>0.10544761943966949</v>
      </c>
      <c r="AJ520" s="8">
        <f t="shared" si="313"/>
        <v>8.8318153927357604E-2</v>
      </c>
      <c r="AK520" s="8">
        <f t="shared" si="314"/>
        <v>9.4635850093370749E-2</v>
      </c>
      <c r="AL520" s="9">
        <v>0</v>
      </c>
      <c r="AM520" s="17">
        <f t="shared" si="291"/>
        <v>16.41587426953075</v>
      </c>
      <c r="AN520" s="13">
        <f t="shared" si="292"/>
        <v>15.360079988359658</v>
      </c>
      <c r="AO520" s="13">
        <f t="shared" si="293"/>
        <v>11.240689453695277</v>
      </c>
      <c r="AP520" s="13">
        <f t="shared" si="294"/>
        <v>10.262912438501841</v>
      </c>
      <c r="AQ520" s="13">
        <f t="shared" si="295"/>
        <v>14.271687193852504</v>
      </c>
      <c r="AR520" s="13">
        <f t="shared" si="296"/>
        <v>9.483381467631304</v>
      </c>
      <c r="AS520" s="13">
        <f t="shared" si="297"/>
        <v>11.322700436226373</v>
      </c>
      <c r="AT520" s="13">
        <f t="shared" si="298"/>
        <v>10.56682006885729</v>
      </c>
      <c r="AU520" s="9">
        <v>0</v>
      </c>
      <c r="AV520" s="18">
        <f t="shared" si="315"/>
        <v>1</v>
      </c>
      <c r="AW520" s="18">
        <f t="shared" si="316"/>
        <v>2</v>
      </c>
      <c r="AX520" s="18">
        <f t="shared" si="317"/>
        <v>5</v>
      </c>
      <c r="AY520" s="18">
        <f t="shared" si="318"/>
        <v>7</v>
      </c>
      <c r="AZ520" s="18">
        <f t="shared" si="319"/>
        <v>3</v>
      </c>
      <c r="BA520" s="18">
        <f t="shared" si="320"/>
        <v>8</v>
      </c>
      <c r="BB520" s="18">
        <f t="shared" si="321"/>
        <v>4</v>
      </c>
      <c r="BC520" s="18">
        <f t="shared" si="322"/>
        <v>6</v>
      </c>
      <c r="BD520" s="18">
        <f t="shared" si="323"/>
        <v>9</v>
      </c>
      <c r="BE520" s="8">
        <f t="shared" si="325"/>
        <v>3.7755566610737706E-3</v>
      </c>
    </row>
    <row r="521" spans="1:57" x14ac:dyDescent="0.25">
      <c r="A521" t="str">
        <f t="shared" si="324"/>
        <v/>
      </c>
      <c r="B521" s="1">
        <v>43501</v>
      </c>
      <c r="C521" s="9">
        <f t="shared" si="299"/>
        <v>0.25021255904516398</v>
      </c>
      <c r="D521" s="9">
        <f t="shared" si="300"/>
        <v>0.24763078629283852</v>
      </c>
      <c r="E521" s="9">
        <f t="shared" si="301"/>
        <v>0</v>
      </c>
      <c r="F521" s="9">
        <f t="shared" si="302"/>
        <v>0</v>
      </c>
      <c r="G521" s="9">
        <f t="shared" si="303"/>
        <v>0.2475079441253665</v>
      </c>
      <c r="H521" s="9">
        <f t="shared" si="304"/>
        <v>0</v>
      </c>
      <c r="I521" s="9">
        <f t="shared" si="305"/>
        <v>0.25464871053663096</v>
      </c>
      <c r="J521" s="9">
        <f t="shared" si="306"/>
        <v>0</v>
      </c>
      <c r="K521" s="9">
        <v>0</v>
      </c>
      <c r="L521" s="8">
        <f>+VLOOKUP($B521,NIFTY_50!$B$3:$I$1238,8,0)</f>
        <v>2.0252468555981284E-3</v>
      </c>
      <c r="M521" s="8">
        <f>+VLOOKUP($B521,NIFTY_BANK!$B$3:$I$41238,8,0)</f>
        <v>3.1302185635571078E-3</v>
      </c>
      <c r="N521" s="8">
        <f>+VLOOKUP($B521,NIFTY_IT!$B$3:$I$1238,8,0)</f>
        <v>-1.0219107827454943E-3</v>
      </c>
      <c r="O521" s="8">
        <f>+VLOOKUP($B521,NIFTY_PHARMA!$B$3:$I$1238,8,0)</f>
        <v>-1.2823568129460838E-3</v>
      </c>
      <c r="P521" s="8">
        <f>+VLOOKUP($B521,NIFTY_FMCG!$B$3:$I$1238,8,0)</f>
        <v>-8.2992045693112138E-3</v>
      </c>
      <c r="Q521" s="8">
        <f>+VLOOKUP($B521,NIFTY_METAL!$B$3:$I$1238,8,0)</f>
        <v>-9.3578342786593272E-3</v>
      </c>
      <c r="R521" s="8">
        <f>+VLOOKUP($B521,NIFTY_ENERGY!$B$3:$I$1238,8,0)</f>
        <v>-1.0778588727829996E-3</v>
      </c>
      <c r="S521" s="8">
        <f>+VLOOKUP($B521,NIFTY_AUTO!$B$3:$I$1238,8,0)</f>
        <v>8.6653048341085448E-3</v>
      </c>
      <c r="T521" s="8">
        <v>0</v>
      </c>
      <c r="U521" s="8">
        <f>+VLOOKUP($B521,NIFTY_50!$B$63:$K$1238,10,0)</f>
        <v>3.8399810066476858E-2</v>
      </c>
      <c r="V521" s="8">
        <f>+VLOOKUP($B521,NIFTY_BANK!$B$63:$K$1238,10,0)</f>
        <v>6.5384014376123067E-2</v>
      </c>
      <c r="W521" s="8">
        <f>+VLOOKUP($B521,NIFTY_IT!$B$63:$K$1238,10,0)</f>
        <v>7.9671818512344617E-2</v>
      </c>
      <c r="X521" s="8">
        <f>+VLOOKUP($B521,NIFTY_PHARMA!$B$63:$K$1238,10,0)</f>
        <v>-6.9207134887016908E-2</v>
      </c>
      <c r="Y521" s="8">
        <f>+VLOOKUP($B521,NIFTY_FMCG!$B$63:$K$1238,10,0)</f>
        <v>4.4311526436023208E-2</v>
      </c>
      <c r="Z521" s="8">
        <f>+VLOOKUP($B521,NIFTY_METAL!$B$63:$K$1238,10,0)</f>
        <v>-0.19501592055714667</v>
      </c>
      <c r="AA521" s="8">
        <f>+VLOOKUP($B521,NIFTY_ENERGY!$B$63:$K$1238,10,0)</f>
        <v>7.9256255858210167E-2</v>
      </c>
      <c r="AB521" s="8">
        <f>+VLOOKUP($B521,NIFTY_AUTO!$B$63:$K$1238,10,0)</f>
        <v>-7.2521069607741295E-2</v>
      </c>
      <c r="AC521" s="8"/>
      <c r="AD521" s="16">
        <f t="shared" si="307"/>
        <v>6.0932438451379779E-2</v>
      </c>
      <c r="AE521" s="8">
        <f t="shared" si="308"/>
        <v>6.4840848255360212E-2</v>
      </c>
      <c r="AF521" s="8">
        <f t="shared" si="309"/>
        <v>8.8799214764638784E-2</v>
      </c>
      <c r="AG521" s="8">
        <f t="shared" si="310"/>
        <v>9.7437108474025369E-2</v>
      </c>
      <c r="AH521" s="8">
        <f t="shared" si="311"/>
        <v>7.0114610522637261E-2</v>
      </c>
      <c r="AI521" s="8">
        <f t="shared" si="312"/>
        <v>0.10558611358238325</v>
      </c>
      <c r="AJ521" s="8">
        <f t="shared" si="313"/>
        <v>8.817732844087918E-2</v>
      </c>
      <c r="AK521" s="8">
        <f t="shared" si="314"/>
        <v>9.5145292512962248E-2</v>
      </c>
      <c r="AL521" s="9">
        <v>0</v>
      </c>
      <c r="AM521" s="17">
        <f t="shared" si="291"/>
        <v>16.411619580889358</v>
      </c>
      <c r="AN521" s="13">
        <f t="shared" si="292"/>
        <v>15.422376895221028</v>
      </c>
      <c r="AO521" s="13">
        <f t="shared" si="293"/>
        <v>11.261360842553479</v>
      </c>
      <c r="AP521" s="13">
        <f t="shared" si="294"/>
        <v>10.263030334757712</v>
      </c>
      <c r="AQ521" s="13">
        <f t="shared" si="295"/>
        <v>14.262362616663744</v>
      </c>
      <c r="AR521" s="13">
        <f t="shared" si="296"/>
        <v>9.4709424002025884</v>
      </c>
      <c r="AS521" s="13">
        <f t="shared" si="297"/>
        <v>11.340783596891081</v>
      </c>
      <c r="AT521" s="13">
        <f t="shared" si="298"/>
        <v>10.510241480037109</v>
      </c>
      <c r="AU521" s="9">
        <v>0</v>
      </c>
      <c r="AV521" s="18">
        <f t="shared" si="315"/>
        <v>1</v>
      </c>
      <c r="AW521" s="18">
        <f t="shared" si="316"/>
        <v>2</v>
      </c>
      <c r="AX521" s="18">
        <f t="shared" si="317"/>
        <v>5</v>
      </c>
      <c r="AY521" s="18">
        <f t="shared" si="318"/>
        <v>7</v>
      </c>
      <c r="AZ521" s="18">
        <f t="shared" si="319"/>
        <v>3</v>
      </c>
      <c r="BA521" s="18">
        <f t="shared" si="320"/>
        <v>8</v>
      </c>
      <c r="BB521" s="18">
        <f t="shared" si="321"/>
        <v>4</v>
      </c>
      <c r="BC521" s="18">
        <f t="shared" si="322"/>
        <v>6</v>
      </c>
      <c r="BD521" s="18">
        <f t="shared" si="323"/>
        <v>9</v>
      </c>
      <c r="BE521" s="8">
        <f t="shared" si="325"/>
        <v>-1.0665044738757026E-3</v>
      </c>
    </row>
    <row r="522" spans="1:57" x14ac:dyDescent="0.25">
      <c r="A522" t="str">
        <f t="shared" si="324"/>
        <v/>
      </c>
      <c r="B522" s="1">
        <v>43502</v>
      </c>
      <c r="C522" s="9">
        <f t="shared" si="299"/>
        <v>0.25073021752771751</v>
      </c>
      <c r="D522" s="9">
        <f t="shared" si="300"/>
        <v>0.24644468605038239</v>
      </c>
      <c r="E522" s="9">
        <f t="shared" si="301"/>
        <v>0</v>
      </c>
      <c r="F522" s="9">
        <f t="shared" si="302"/>
        <v>0</v>
      </c>
      <c r="G522" s="9">
        <f t="shared" si="303"/>
        <v>0.24736514086853931</v>
      </c>
      <c r="H522" s="9">
        <f t="shared" si="304"/>
        <v>0</v>
      </c>
      <c r="I522" s="9">
        <f t="shared" si="305"/>
        <v>0.25545995555336082</v>
      </c>
      <c r="J522" s="9">
        <f t="shared" si="306"/>
        <v>0</v>
      </c>
      <c r="K522" s="9">
        <v>0</v>
      </c>
      <c r="L522" s="8">
        <f>+VLOOKUP($B522,NIFTY_50!$B$3:$I$1238,8,0)</f>
        <v>1.1715374027720049E-2</v>
      </c>
      <c r="M522" s="8">
        <f>+VLOOKUP($B522,NIFTY_BANK!$B$3:$I$41238,8,0)</f>
        <v>4.7906804489634691E-3</v>
      </c>
      <c r="N522" s="8">
        <f>+VLOOKUP($B522,NIFTY_IT!$B$3:$I$1238,8,0)</f>
        <v>2.0135081042271574E-2</v>
      </c>
      <c r="O522" s="8">
        <f>+VLOOKUP($B522,NIFTY_PHARMA!$B$3:$I$1238,8,0)</f>
        <v>1.2078721905324663E-2</v>
      </c>
      <c r="P522" s="8">
        <f>+VLOOKUP($B522,NIFTY_FMCG!$B$3:$I$1238,8,0)</f>
        <v>9.0440644022062866E-3</v>
      </c>
      <c r="Q522" s="8">
        <f>+VLOOKUP($B522,NIFTY_METAL!$B$3:$I$1238,8,0)</f>
        <v>2.3353682765596018E-2</v>
      </c>
      <c r="R522" s="8">
        <f>+VLOOKUP($B522,NIFTY_ENERGY!$B$3:$I$1238,8,0)</f>
        <v>1.2842992443556911E-2</v>
      </c>
      <c r="S522" s="8">
        <f>+VLOOKUP($B522,NIFTY_AUTO!$B$3:$I$1238,8,0)</f>
        <v>1.1702466846946979E-2</v>
      </c>
      <c r="T522" s="8">
        <v>0</v>
      </c>
      <c r="U522" s="8">
        <f>+VLOOKUP($B522,NIFTY_50!$B$63:$K$1238,10,0)</f>
        <v>4.5086535918074322E-2</v>
      </c>
      <c r="V522" s="8">
        <f>+VLOOKUP($B522,NIFTY_BANK!$B$63:$K$1238,10,0)</f>
        <v>6.3301773311086107E-2</v>
      </c>
      <c r="W522" s="8">
        <f>+VLOOKUP($B522,NIFTY_IT!$B$63:$K$1238,10,0)</f>
        <v>0.10323123700891546</v>
      </c>
      <c r="X522" s="8">
        <f>+VLOOKUP($B522,NIFTY_PHARMA!$B$63:$K$1238,10,0)</f>
        <v>-7.6421364800547509E-2</v>
      </c>
      <c r="Y522" s="8">
        <f>+VLOOKUP($B522,NIFTY_FMCG!$B$63:$K$1238,10,0)</f>
        <v>4.5175863743232458E-2</v>
      </c>
      <c r="Z522" s="8">
        <f>+VLOOKUP($B522,NIFTY_METAL!$B$63:$K$1238,10,0)</f>
        <v>-0.17452431597657281</v>
      </c>
      <c r="AA522" s="8">
        <f>+VLOOKUP($B522,NIFTY_ENERGY!$B$63:$K$1238,10,0)</f>
        <v>9.3753996561181108E-2</v>
      </c>
      <c r="AB522" s="8">
        <f>+VLOOKUP($B522,NIFTY_AUTO!$B$63:$K$1238,10,0)</f>
        <v>-7.6564899894909888E-2</v>
      </c>
      <c r="AC522" s="8"/>
      <c r="AD522" s="16">
        <f t="shared" si="307"/>
        <v>6.1753141128597276E-2</v>
      </c>
      <c r="AE522" s="8">
        <f t="shared" si="308"/>
        <v>6.4697536642683171E-2</v>
      </c>
      <c r="AF522" s="8">
        <f t="shared" si="309"/>
        <v>9.0678622640357906E-2</v>
      </c>
      <c r="AG522" s="8">
        <f t="shared" si="310"/>
        <v>9.603200986360326E-2</v>
      </c>
      <c r="AH522" s="8">
        <f t="shared" si="311"/>
        <v>7.0208196306802251E-2</v>
      </c>
      <c r="AI522" s="8">
        <f t="shared" si="312"/>
        <v>0.10887945084704891</v>
      </c>
      <c r="AJ522" s="8">
        <f t="shared" si="313"/>
        <v>8.8890866822691442E-2</v>
      </c>
      <c r="AK522" s="8">
        <f t="shared" si="314"/>
        <v>9.4438945027157592E-2</v>
      </c>
      <c r="AL522" s="9">
        <v>0</v>
      </c>
      <c r="AM522" s="17">
        <f t="shared" si="291"/>
        <v>16.193508244666599</v>
      </c>
      <c r="AN522" s="13">
        <f t="shared" si="292"/>
        <v>15.456539025942851</v>
      </c>
      <c r="AO522" s="13">
        <f t="shared" si="293"/>
        <v>11.027957537093585</v>
      </c>
      <c r="AP522" s="13">
        <f t="shared" si="294"/>
        <v>10.413194531909994</v>
      </c>
      <c r="AQ522" s="13">
        <f t="shared" si="295"/>
        <v>14.243351241073162</v>
      </c>
      <c r="AR522" s="13">
        <f t="shared" si="296"/>
        <v>9.1844695415003024</v>
      </c>
      <c r="AS522" s="13">
        <f t="shared" si="297"/>
        <v>11.249749673323322</v>
      </c>
      <c r="AT522" s="13">
        <f t="shared" si="298"/>
        <v>10.588851873688681</v>
      </c>
      <c r="AU522" s="9">
        <v>0</v>
      </c>
      <c r="AV522" s="18">
        <f t="shared" si="315"/>
        <v>1</v>
      </c>
      <c r="AW522" s="18">
        <f t="shared" si="316"/>
        <v>2</v>
      </c>
      <c r="AX522" s="18">
        <f t="shared" si="317"/>
        <v>5</v>
      </c>
      <c r="AY522" s="18">
        <f t="shared" si="318"/>
        <v>7</v>
      </c>
      <c r="AZ522" s="18">
        <f t="shared" si="319"/>
        <v>3</v>
      </c>
      <c r="BA522" s="18">
        <f t="shared" si="320"/>
        <v>8</v>
      </c>
      <c r="BB522" s="18">
        <f t="shared" si="321"/>
        <v>4</v>
      </c>
      <c r="BC522" s="18">
        <f t="shared" si="322"/>
        <v>6</v>
      </c>
      <c r="BD522" s="18">
        <f t="shared" si="323"/>
        <v>9</v>
      </c>
      <c r="BE522" s="8">
        <f t="shared" si="325"/>
        <v>9.6265829340125876E-3</v>
      </c>
    </row>
    <row r="523" spans="1:57" x14ac:dyDescent="0.25">
      <c r="A523" t="str">
        <f t="shared" si="324"/>
        <v/>
      </c>
      <c r="B523" s="1">
        <v>43503</v>
      </c>
      <c r="C523" s="9">
        <f t="shared" si="299"/>
        <v>0.25109608137361811</v>
      </c>
      <c r="D523" s="9">
        <f t="shared" si="300"/>
        <v>0.24651252304239638</v>
      </c>
      <c r="E523" s="9">
        <f t="shared" si="301"/>
        <v>0</v>
      </c>
      <c r="F523" s="9">
        <f t="shared" si="302"/>
        <v>0</v>
      </c>
      <c r="G523" s="9">
        <f t="shared" si="303"/>
        <v>0.24952694979474757</v>
      </c>
      <c r="H523" s="9">
        <f t="shared" si="304"/>
        <v>0</v>
      </c>
      <c r="I523" s="9">
        <f t="shared" si="305"/>
        <v>0.25286444578923806</v>
      </c>
      <c r="J523" s="9">
        <f t="shared" si="306"/>
        <v>0</v>
      </c>
      <c r="K523" s="9">
        <v>0</v>
      </c>
      <c r="L523" s="8">
        <f>+VLOOKUP($B523,NIFTY_50!$B$3:$I$1238,8,0)</f>
        <v>6.2825142712497062E-4</v>
      </c>
      <c r="M523" s="8">
        <f>+VLOOKUP($B523,NIFTY_BANK!$B$3:$I$41238,8,0)</f>
        <v>-5.5469695117382756E-4</v>
      </c>
      <c r="N523" s="8">
        <f>+VLOOKUP($B523,NIFTY_IT!$B$3:$I$1238,8,0)</f>
        <v>1.8840778295423632E-3</v>
      </c>
      <c r="O523" s="8">
        <f>+VLOOKUP($B523,NIFTY_PHARMA!$B$3:$I$1238,8,0)</f>
        <v>1.6756671793777933E-2</v>
      </c>
      <c r="P523" s="8">
        <f>+VLOOKUP($B523,NIFTY_FMCG!$B$3:$I$1238,8,0)</f>
        <v>7.9023610509840747E-3</v>
      </c>
      <c r="Q523" s="8">
        <f>+VLOOKUP($B523,NIFTY_METAL!$B$3:$I$1238,8,0)</f>
        <v>1.0060184613214229E-3</v>
      </c>
      <c r="R523" s="8">
        <f>+VLOOKUP($B523,NIFTY_ENERGY!$B$3:$I$1238,8,0)</f>
        <v>-1.0981444249926087E-2</v>
      </c>
      <c r="S523" s="8">
        <f>+VLOOKUP($B523,NIFTY_AUTO!$B$3:$I$1238,8,0)</f>
        <v>1.9760954315194867E-2</v>
      </c>
      <c r="T523" s="8">
        <v>0</v>
      </c>
      <c r="U523" s="8">
        <f>+VLOOKUP($B523,NIFTY_50!$B$63:$K$1238,10,0)</f>
        <v>5.6018774684703398E-2</v>
      </c>
      <c r="V523" s="8">
        <f>+VLOOKUP($B523,NIFTY_BANK!$B$63:$K$1238,10,0)</f>
        <v>7.2334302410947737E-2</v>
      </c>
      <c r="W523" s="8">
        <f>+VLOOKUP($B523,NIFTY_IT!$B$63:$K$1238,10,0)</f>
        <v>9.7972765434626741E-2</v>
      </c>
      <c r="X523" s="8">
        <f>+VLOOKUP($B523,NIFTY_PHARMA!$B$63:$K$1238,10,0)</f>
        <v>-5.2456186241171876E-2</v>
      </c>
      <c r="Y523" s="8">
        <f>+VLOOKUP($B523,NIFTY_FMCG!$B$63:$K$1238,10,0)</f>
        <v>6.0622679494749754E-2</v>
      </c>
      <c r="Z523" s="8">
        <f>+VLOOKUP($B523,NIFTY_METAL!$B$63:$K$1238,10,0)</f>
        <v>-0.16212143595804396</v>
      </c>
      <c r="AA523" s="8">
        <f>+VLOOKUP($B523,NIFTY_ENERGY!$B$63:$K$1238,10,0)</f>
        <v>9.9340760904883307E-2</v>
      </c>
      <c r="AB523" s="8">
        <f>+VLOOKUP($B523,NIFTY_AUTO!$B$63:$K$1238,10,0)</f>
        <v>-3.4778765950394863E-2</v>
      </c>
      <c r="AC523" s="8"/>
      <c r="AD523" s="16">
        <f t="shared" si="307"/>
        <v>6.0842176034313238E-2</v>
      </c>
      <c r="AE523" s="8">
        <f t="shared" si="308"/>
        <v>6.392863154948776E-2</v>
      </c>
      <c r="AF523" s="8">
        <f t="shared" si="309"/>
        <v>9.053864754032423E-2</v>
      </c>
      <c r="AG523" s="8">
        <f t="shared" si="310"/>
        <v>9.7339160039156131E-2</v>
      </c>
      <c r="AH523" s="8">
        <f t="shared" si="311"/>
        <v>7.0140754102628419E-2</v>
      </c>
      <c r="AI523" s="8">
        <f t="shared" si="312"/>
        <v>0.108404455852909</v>
      </c>
      <c r="AJ523" s="8">
        <f t="shared" si="313"/>
        <v>8.8034612180932434E-2</v>
      </c>
      <c r="AK523" s="8">
        <f t="shared" si="314"/>
        <v>9.3762032225174458E-2</v>
      </c>
      <c r="AL523" s="9">
        <v>0</v>
      </c>
      <c r="AM523" s="17">
        <f t="shared" si="291"/>
        <v>16.435967040955745</v>
      </c>
      <c r="AN523" s="13">
        <f t="shared" si="292"/>
        <v>15.642443389796174</v>
      </c>
      <c r="AO523" s="13">
        <f t="shared" si="293"/>
        <v>11.045007045799073</v>
      </c>
      <c r="AP523" s="13">
        <f t="shared" si="294"/>
        <v>10.273357604459861</v>
      </c>
      <c r="AQ523" s="13">
        <f t="shared" si="295"/>
        <v>14.257046602846925</v>
      </c>
      <c r="AR523" s="13">
        <f t="shared" si="296"/>
        <v>9.2247130630577789</v>
      </c>
      <c r="AS523" s="13">
        <f t="shared" si="297"/>
        <v>11.35916857275134</v>
      </c>
      <c r="AT523" s="13">
        <f t="shared" si="298"/>
        <v>10.6652978425046</v>
      </c>
      <c r="AU523" s="9">
        <v>0</v>
      </c>
      <c r="AV523" s="18">
        <f t="shared" si="315"/>
        <v>1</v>
      </c>
      <c r="AW523" s="18">
        <f t="shared" si="316"/>
        <v>2</v>
      </c>
      <c r="AX523" s="18">
        <f t="shared" si="317"/>
        <v>5</v>
      </c>
      <c r="AY523" s="18">
        <f t="shared" si="318"/>
        <v>7</v>
      </c>
      <c r="AZ523" s="18">
        <f t="shared" si="319"/>
        <v>3</v>
      </c>
      <c r="BA523" s="18">
        <f t="shared" si="320"/>
        <v>8</v>
      </c>
      <c r="BB523" s="18">
        <f t="shared" si="321"/>
        <v>4</v>
      </c>
      <c r="BC523" s="18">
        <f t="shared" si="322"/>
        <v>6</v>
      </c>
      <c r="BD523" s="18">
        <f t="shared" si="323"/>
        <v>9</v>
      </c>
      <c r="BE523" s="8">
        <f t="shared" si="325"/>
        <v>-8.2973110442708916E-4</v>
      </c>
    </row>
    <row r="524" spans="1:57" x14ac:dyDescent="0.25">
      <c r="A524" t="str">
        <f t="shared" si="324"/>
        <v/>
      </c>
      <c r="B524" s="1">
        <v>43504</v>
      </c>
      <c r="C524" s="9">
        <f t="shared" si="299"/>
        <v>0.25107961642388504</v>
      </c>
      <c r="D524" s="9">
        <f t="shared" si="300"/>
        <v>0.24848552218464787</v>
      </c>
      <c r="E524" s="9">
        <f t="shared" si="301"/>
        <v>0</v>
      </c>
      <c r="F524" s="9">
        <f t="shared" si="302"/>
        <v>0</v>
      </c>
      <c r="G524" s="9">
        <f t="shared" si="303"/>
        <v>0.24823241515364197</v>
      </c>
      <c r="H524" s="9">
        <f t="shared" si="304"/>
        <v>0</v>
      </c>
      <c r="I524" s="9">
        <f t="shared" si="305"/>
        <v>0.25220244623782512</v>
      </c>
      <c r="J524" s="9">
        <f t="shared" si="306"/>
        <v>0</v>
      </c>
      <c r="K524" s="9">
        <v>0</v>
      </c>
      <c r="L524" s="8">
        <f>+VLOOKUP($B524,NIFTY_50!$B$3:$I$1238,8,0)</f>
        <v>-1.1364662944694293E-2</v>
      </c>
      <c r="M524" s="8">
        <f>+VLOOKUP($B524,NIFTY_BANK!$B$3:$I$41238,8,0)</f>
        <v>-3.3866247491980417E-3</v>
      </c>
      <c r="N524" s="8">
        <f>+VLOOKUP($B524,NIFTY_IT!$B$3:$I$1238,8,0)</f>
        <v>-4.1060932434406894E-3</v>
      </c>
      <c r="O524" s="8">
        <f>+VLOOKUP($B524,NIFTY_PHARMA!$B$3:$I$1238,8,0)</f>
        <v>-7.8731028085885502E-3</v>
      </c>
      <c r="P524" s="8">
        <f>+VLOOKUP($B524,NIFTY_FMCG!$B$3:$I$1238,8,0)</f>
        <v>-1.6429163789429158E-2</v>
      </c>
      <c r="Q524" s="8">
        <f>+VLOOKUP($B524,NIFTY_METAL!$B$3:$I$1238,8,0)</f>
        <v>-3.3606037097115515E-2</v>
      </c>
      <c r="R524" s="8">
        <f>+VLOOKUP($B524,NIFTY_ENERGY!$B$3:$I$1238,8,0)</f>
        <v>-1.3888250323479068E-2</v>
      </c>
      <c r="S524" s="8">
        <f>+VLOOKUP($B524,NIFTY_AUTO!$B$3:$I$1238,8,0)</f>
        <v>-3.620932388659337E-2</v>
      </c>
      <c r="T524" s="8">
        <v>0</v>
      </c>
      <c r="U524" s="8">
        <f>+VLOOKUP($B524,NIFTY_50!$B$63:$K$1238,10,0)</f>
        <v>3.4122371840302312E-2</v>
      </c>
      <c r="V524" s="8">
        <f>+VLOOKUP($B524,NIFTY_BANK!$B$63:$K$1238,10,0)</f>
        <v>5.9211598612264549E-2</v>
      </c>
      <c r="W524" s="8">
        <f>+VLOOKUP($B524,NIFTY_IT!$B$63:$K$1238,10,0)</f>
        <v>8.9915771999292238E-2</v>
      </c>
      <c r="X524" s="8">
        <f>+VLOOKUP($B524,NIFTY_PHARMA!$B$63:$K$1238,10,0)</f>
        <v>-4.645239346036889E-2</v>
      </c>
      <c r="Y524" s="8">
        <f>+VLOOKUP($B524,NIFTY_FMCG!$B$63:$K$1238,10,0)</f>
        <v>3.4245492619865425E-2</v>
      </c>
      <c r="Z524" s="8">
        <f>+VLOOKUP($B524,NIFTY_METAL!$B$63:$K$1238,10,0)</f>
        <v>-0.19646391344504555</v>
      </c>
      <c r="AA524" s="8">
        <f>+VLOOKUP($B524,NIFTY_ENERGY!$B$63:$K$1238,10,0)</f>
        <v>6.5474183967837662E-2</v>
      </c>
      <c r="AB524" s="8">
        <f>+VLOOKUP($B524,NIFTY_AUTO!$B$63:$K$1238,10,0)</f>
        <v>-7.7414017903121413E-2</v>
      </c>
      <c r="AC524" s="8"/>
      <c r="AD524" s="16">
        <f t="shared" si="307"/>
        <v>6.1407512788655756E-2</v>
      </c>
      <c r="AE524" s="8">
        <f t="shared" si="308"/>
        <v>6.3597671437106068E-2</v>
      </c>
      <c r="AF524" s="8">
        <f t="shared" si="309"/>
        <v>9.0698321351374941E-2</v>
      </c>
      <c r="AG524" s="8">
        <f t="shared" si="310"/>
        <v>9.6679607783977647E-2</v>
      </c>
      <c r="AH524" s="8">
        <f t="shared" si="311"/>
        <v>7.1797337386874674E-2</v>
      </c>
      <c r="AI524" s="8">
        <f t="shared" si="312"/>
        <v>0.11208254133122972</v>
      </c>
      <c r="AJ524" s="8">
        <f t="shared" si="313"/>
        <v>8.7883747565425524E-2</v>
      </c>
      <c r="AK524" s="8">
        <f t="shared" si="314"/>
        <v>9.9776118272654313E-2</v>
      </c>
      <c r="AL524" s="9">
        <v>0</v>
      </c>
      <c r="AM524" s="17">
        <f t="shared" si="291"/>
        <v>16.284652391665293</v>
      </c>
      <c r="AN524" s="13">
        <f t="shared" si="292"/>
        <v>15.723846131519682</v>
      </c>
      <c r="AO524" s="13">
        <f t="shared" si="293"/>
        <v>11.025562381975005</v>
      </c>
      <c r="AP524" s="13">
        <f t="shared" si="294"/>
        <v>10.343442871990284</v>
      </c>
      <c r="AQ524" s="13">
        <f t="shared" si="295"/>
        <v>13.928093107569902</v>
      </c>
      <c r="AR524" s="13">
        <f t="shared" si="296"/>
        <v>8.9219961300196591</v>
      </c>
      <c r="AS524" s="13">
        <f t="shared" si="297"/>
        <v>11.378668157676648</v>
      </c>
      <c r="AT524" s="13">
        <f t="shared" si="298"/>
        <v>10.022438408230505</v>
      </c>
      <c r="AU524" s="9">
        <v>0</v>
      </c>
      <c r="AV524" s="18">
        <f t="shared" si="315"/>
        <v>1</v>
      </c>
      <c r="AW524" s="18">
        <f t="shared" si="316"/>
        <v>2</v>
      </c>
      <c r="AX524" s="18">
        <f t="shared" si="317"/>
        <v>5</v>
      </c>
      <c r="AY524" s="18">
        <f t="shared" si="318"/>
        <v>6</v>
      </c>
      <c r="AZ524" s="18">
        <f t="shared" si="319"/>
        <v>3</v>
      </c>
      <c r="BA524" s="18">
        <f t="shared" si="320"/>
        <v>8</v>
      </c>
      <c r="BB524" s="18">
        <f t="shared" si="321"/>
        <v>4</v>
      </c>
      <c r="BC524" s="18">
        <f t="shared" si="322"/>
        <v>7</v>
      </c>
      <c r="BD524" s="18">
        <f t="shared" si="323"/>
        <v>9</v>
      </c>
      <c r="BE524" s="8">
        <f t="shared" si="325"/>
        <v>-1.1299831592150648E-2</v>
      </c>
    </row>
    <row r="525" spans="1:57" x14ac:dyDescent="0.25">
      <c r="A525" t="str">
        <f t="shared" si="324"/>
        <v/>
      </c>
      <c r="B525" s="1">
        <v>43507</v>
      </c>
      <c r="C525" s="9">
        <f t="shared" si="299"/>
        <v>0.25143501123418871</v>
      </c>
      <c r="D525" s="9">
        <f t="shared" si="300"/>
        <v>0.24947933309785877</v>
      </c>
      <c r="E525" s="9">
        <f t="shared" si="301"/>
        <v>0</v>
      </c>
      <c r="F525" s="9">
        <f t="shared" si="302"/>
        <v>0</v>
      </c>
      <c r="G525" s="9">
        <f t="shared" si="303"/>
        <v>0.2494945127275901</v>
      </c>
      <c r="H525" s="9">
        <f t="shared" si="304"/>
        <v>0</v>
      </c>
      <c r="I525" s="9">
        <f t="shared" si="305"/>
        <v>0.24959114294036244</v>
      </c>
      <c r="J525" s="9">
        <f t="shared" si="306"/>
        <v>0</v>
      </c>
      <c r="K525" s="9">
        <v>0</v>
      </c>
      <c r="L525" s="8">
        <f>+VLOOKUP($B525,NIFTY_50!$B$3:$I$1238,8,0)</f>
        <v>-5.0074929639242205E-3</v>
      </c>
      <c r="M525" s="8">
        <f>+VLOOKUP($B525,NIFTY_BANK!$B$3:$I$41238,8,0)</f>
        <v>-2.4400609648866922E-3</v>
      </c>
      <c r="N525" s="8">
        <f>+VLOOKUP($B525,NIFTY_IT!$B$3:$I$1238,8,0)</f>
        <v>4.9470030836840095E-3</v>
      </c>
      <c r="O525" s="8">
        <f>+VLOOKUP($B525,NIFTY_PHARMA!$B$3:$I$1238,8,0)</f>
        <v>-1.6344179368603884E-2</v>
      </c>
      <c r="P525" s="8">
        <f>+VLOOKUP($B525,NIFTY_FMCG!$B$3:$I$1238,8,0)</f>
        <v>-1.3621529743138572E-3</v>
      </c>
      <c r="Q525" s="8">
        <f>+VLOOKUP($B525,NIFTY_METAL!$B$3:$I$1238,8,0)</f>
        <v>-5.5829228243021722E-3</v>
      </c>
      <c r="R525" s="8">
        <f>+VLOOKUP($B525,NIFTY_ENERGY!$B$3:$I$1238,8,0)</f>
        <v>-1.6701468330485914E-2</v>
      </c>
      <c r="S525" s="8">
        <f>+VLOOKUP($B525,NIFTY_AUTO!$B$3:$I$1238,8,0)</f>
        <v>-1.188192889844264E-2</v>
      </c>
      <c r="T525" s="8">
        <v>0</v>
      </c>
      <c r="U525" s="8">
        <f>+VLOOKUP($B525,NIFTY_50!$B$63:$K$1238,10,0)</f>
        <v>2.9547195143859284E-2</v>
      </c>
      <c r="V525" s="8">
        <f>+VLOOKUP($B525,NIFTY_BANK!$B$63:$K$1238,10,0)</f>
        <v>5.0044060678399394E-2</v>
      </c>
      <c r="W525" s="8">
        <f>+VLOOKUP($B525,NIFTY_IT!$B$63:$K$1238,10,0)</f>
        <v>0.12278481012658227</v>
      </c>
      <c r="X525" s="8">
        <f>+VLOOKUP($B525,NIFTY_PHARMA!$B$63:$K$1238,10,0)</f>
        <v>-4.1031233215605201E-2</v>
      </c>
      <c r="Y525" s="8">
        <f>+VLOOKUP($B525,NIFTY_FMCG!$B$63:$K$1238,10,0)</f>
        <v>2.3430265182680987E-2</v>
      </c>
      <c r="Z525" s="8">
        <f>+VLOOKUP($B525,NIFTY_METAL!$B$63:$K$1238,10,0)</f>
        <v>-0.19424035007317841</v>
      </c>
      <c r="AA525" s="8">
        <f>+VLOOKUP($B525,NIFTY_ENERGY!$B$63:$K$1238,10,0)</f>
        <v>4.2522465264904774E-2</v>
      </c>
      <c r="AB525" s="8">
        <f>+VLOOKUP($B525,NIFTY_AUTO!$B$63:$K$1238,10,0)</f>
        <v>-8.0772035265262887E-2</v>
      </c>
      <c r="AC525" s="8"/>
      <c r="AD525" s="16">
        <f t="shared" si="307"/>
        <v>6.1647653705341969E-2</v>
      </c>
      <c r="AE525" s="8">
        <f t="shared" si="308"/>
        <v>6.3459292922428898E-2</v>
      </c>
      <c r="AF525" s="8">
        <f t="shared" si="309"/>
        <v>8.6893570734310227E-2</v>
      </c>
      <c r="AG525" s="8">
        <f t="shared" si="310"/>
        <v>9.5611511713208183E-2</v>
      </c>
      <c r="AH525" s="8">
        <f t="shared" si="311"/>
        <v>7.1294855860064912E-2</v>
      </c>
      <c r="AI525" s="8">
        <f t="shared" si="312"/>
        <v>0.11199677399170284</v>
      </c>
      <c r="AJ525" s="8">
        <f t="shared" si="313"/>
        <v>8.9543946464298432E-2</v>
      </c>
      <c r="AK525" s="8">
        <f t="shared" si="314"/>
        <v>0.10009431494516326</v>
      </c>
      <c r="AL525" s="9">
        <v>0</v>
      </c>
      <c r="AM525" s="17">
        <f t="shared" si="291"/>
        <v>16.221217514290359</v>
      </c>
      <c r="AN525" s="13">
        <f t="shared" si="292"/>
        <v>15.758133347347185</v>
      </c>
      <c r="AO525" s="13">
        <f t="shared" si="293"/>
        <v>11.508331301721343</v>
      </c>
      <c r="AP525" s="13">
        <f t="shared" si="294"/>
        <v>10.45899162225939</v>
      </c>
      <c r="AQ525" s="13">
        <f t="shared" si="295"/>
        <v>14.026257405762424</v>
      </c>
      <c r="AR525" s="13">
        <f t="shared" si="296"/>
        <v>8.9288286113855744</v>
      </c>
      <c r="AS525" s="13">
        <f t="shared" si="297"/>
        <v>11.1677007713604</v>
      </c>
      <c r="AT525" s="13">
        <f t="shared" si="298"/>
        <v>9.9905773924108559</v>
      </c>
      <c r="AU525" s="9">
        <v>0</v>
      </c>
      <c r="AV525" s="18">
        <f t="shared" si="315"/>
        <v>1</v>
      </c>
      <c r="AW525" s="18">
        <f t="shared" si="316"/>
        <v>2</v>
      </c>
      <c r="AX525" s="18">
        <f t="shared" si="317"/>
        <v>4</v>
      </c>
      <c r="AY525" s="18">
        <f t="shared" si="318"/>
        <v>6</v>
      </c>
      <c r="AZ525" s="18">
        <f t="shared" si="319"/>
        <v>3</v>
      </c>
      <c r="BA525" s="18">
        <f t="shared" si="320"/>
        <v>8</v>
      </c>
      <c r="BB525" s="18">
        <f t="shared" si="321"/>
        <v>5</v>
      </c>
      <c r="BC525" s="18">
        <f t="shared" si="322"/>
        <v>7</v>
      </c>
      <c r="BD525" s="18">
        <f t="shared" si="323"/>
        <v>9</v>
      </c>
      <c r="BE525" s="8">
        <f t="shared" si="325"/>
        <v>-6.4138809269844001E-3</v>
      </c>
    </row>
    <row r="526" spans="1:57" x14ac:dyDescent="0.25">
      <c r="A526" t="str">
        <f t="shared" si="324"/>
        <v/>
      </c>
      <c r="B526" s="1">
        <v>43508</v>
      </c>
      <c r="C526" s="9">
        <f t="shared" si="299"/>
        <v>0.25120656185886509</v>
      </c>
      <c r="D526" s="9">
        <f t="shared" si="300"/>
        <v>0.24857607185178018</v>
      </c>
      <c r="E526" s="9">
        <f t="shared" si="301"/>
        <v>0</v>
      </c>
      <c r="F526" s="9">
        <f t="shared" si="302"/>
        <v>0</v>
      </c>
      <c r="G526" s="9">
        <f t="shared" si="303"/>
        <v>0.24886501766718949</v>
      </c>
      <c r="H526" s="9">
        <f t="shared" si="304"/>
        <v>0</v>
      </c>
      <c r="I526" s="9">
        <f t="shared" si="305"/>
        <v>0.25135234862216521</v>
      </c>
      <c r="J526" s="9">
        <f t="shared" si="306"/>
        <v>0</v>
      </c>
      <c r="K526" s="9">
        <v>0</v>
      </c>
      <c r="L526" s="8">
        <f>+VLOOKUP($B526,NIFTY_50!$B$3:$I$1238,8,0)</f>
        <v>-5.2714716038497755E-3</v>
      </c>
      <c r="M526" s="8">
        <f>+VLOOKUP($B526,NIFTY_BANK!$B$3:$I$41238,8,0)</f>
        <v>-7.9716319350076059E-3</v>
      </c>
      <c r="N526" s="8">
        <f>+VLOOKUP($B526,NIFTY_IT!$B$3:$I$1238,8,0)</f>
        <v>-9.9633208170668563E-3</v>
      </c>
      <c r="O526" s="8">
        <f>+VLOOKUP($B526,NIFTY_PHARMA!$B$3:$I$1238,8,0)</f>
        <v>7.5752432677076431E-3</v>
      </c>
      <c r="P526" s="8">
        <f>+VLOOKUP($B526,NIFTY_FMCG!$B$3:$I$1238,8,0)</f>
        <v>-6.8789209008190966E-3</v>
      </c>
      <c r="Q526" s="8">
        <f>+VLOOKUP($B526,NIFTY_METAL!$B$3:$I$1238,8,0)</f>
        <v>1.5686922060766273E-2</v>
      </c>
      <c r="R526" s="8">
        <f>+VLOOKUP($B526,NIFTY_ENERGY!$B$3:$I$1238,8,0)</f>
        <v>2.6586917204614036E-3</v>
      </c>
      <c r="S526" s="8">
        <f>+VLOOKUP($B526,NIFTY_AUTO!$B$3:$I$1238,8,0)</f>
        <v>-5.0719325024336515E-3</v>
      </c>
      <c r="T526" s="8">
        <v>0</v>
      </c>
      <c r="U526" s="8">
        <f>+VLOOKUP($B526,NIFTY_50!$B$63:$K$1238,10,0)</f>
        <v>2.0222856443150805E-2</v>
      </c>
      <c r="V526" s="8">
        <f>+VLOOKUP($B526,NIFTY_BANK!$B$63:$K$1238,10,0)</f>
        <v>3.2728280713828273E-2</v>
      </c>
      <c r="W526" s="8">
        <f>+VLOOKUP($B526,NIFTY_IT!$B$63:$K$1238,10,0)</f>
        <v>0.11038619493317259</v>
      </c>
      <c r="X526" s="8">
        <f>+VLOOKUP($B526,NIFTY_PHARMA!$B$63:$K$1238,10,0)</f>
        <v>-3.4018365144192764E-2</v>
      </c>
      <c r="Y526" s="8">
        <f>+VLOOKUP($B526,NIFTY_FMCG!$B$63:$K$1238,10,0)</f>
        <v>1.7349804448579365E-2</v>
      </c>
      <c r="Z526" s="8">
        <f>+VLOOKUP($B526,NIFTY_METAL!$B$63:$K$1238,10,0)</f>
        <v>-0.18778426597024567</v>
      </c>
      <c r="AA526" s="8">
        <f>+VLOOKUP($B526,NIFTY_ENERGY!$B$63:$K$1238,10,0)</f>
        <v>4.7524521251751439E-2</v>
      </c>
      <c r="AB526" s="8">
        <f>+VLOOKUP($B526,NIFTY_AUTO!$B$63:$K$1238,10,0)</f>
        <v>-9.1142645403892053E-2</v>
      </c>
      <c r="AC526" s="8"/>
      <c r="AD526" s="16">
        <f t="shared" si="307"/>
        <v>6.1818479409649171E-2</v>
      </c>
      <c r="AE526" s="8">
        <f t="shared" si="308"/>
        <v>6.3551605615090448E-2</v>
      </c>
      <c r="AF526" s="8">
        <f t="shared" si="309"/>
        <v>8.7692361635153482E-2</v>
      </c>
      <c r="AG526" s="8">
        <f t="shared" si="310"/>
        <v>9.5952830298840247E-2</v>
      </c>
      <c r="AH526" s="8">
        <f t="shared" si="311"/>
        <v>7.1650616460144242E-2</v>
      </c>
      <c r="AI526" s="8">
        <f t="shared" si="312"/>
        <v>0.11307395638603873</v>
      </c>
      <c r="AJ526" s="8">
        <f t="shared" si="313"/>
        <v>8.9515975281955512E-2</v>
      </c>
      <c r="AK526" s="8">
        <f t="shared" si="314"/>
        <v>9.9867810300477325E-2</v>
      </c>
      <c r="AL526" s="9">
        <v>0</v>
      </c>
      <c r="AM526" s="17">
        <f t="shared" si="291"/>
        <v>16.176392715410454</v>
      </c>
      <c r="AN526" s="13">
        <f t="shared" si="292"/>
        <v>15.735243670421887</v>
      </c>
      <c r="AO526" s="13">
        <f t="shared" si="293"/>
        <v>11.403501757205809</v>
      </c>
      <c r="AP526" s="13">
        <f t="shared" si="294"/>
        <v>10.42178742289884</v>
      </c>
      <c r="AQ526" s="13">
        <f t="shared" si="295"/>
        <v>13.95661404471309</v>
      </c>
      <c r="AR526" s="13">
        <f t="shared" si="296"/>
        <v>8.8437694404710001</v>
      </c>
      <c r="AS526" s="13">
        <f t="shared" si="297"/>
        <v>11.171190358483178</v>
      </c>
      <c r="AT526" s="13">
        <f t="shared" si="298"/>
        <v>10.013236467198485</v>
      </c>
      <c r="AU526" s="9">
        <v>0</v>
      </c>
      <c r="AV526" s="18">
        <f t="shared" si="315"/>
        <v>1</v>
      </c>
      <c r="AW526" s="18">
        <f t="shared" si="316"/>
        <v>2</v>
      </c>
      <c r="AX526" s="18">
        <f t="shared" si="317"/>
        <v>4</v>
      </c>
      <c r="AY526" s="18">
        <f t="shared" si="318"/>
        <v>6</v>
      </c>
      <c r="AZ526" s="18">
        <f t="shared" si="319"/>
        <v>3</v>
      </c>
      <c r="BA526" s="18">
        <f t="shared" si="320"/>
        <v>8</v>
      </c>
      <c r="BB526" s="18">
        <f t="shared" si="321"/>
        <v>5</v>
      </c>
      <c r="BC526" s="18">
        <f t="shared" si="322"/>
        <v>7</v>
      </c>
      <c r="BD526" s="18">
        <f t="shared" si="323"/>
        <v>9</v>
      </c>
      <c r="BE526" s="8">
        <f t="shared" si="325"/>
        <v>-4.3668570537874207E-3</v>
      </c>
    </row>
    <row r="527" spans="1:57" x14ac:dyDescent="0.25">
      <c r="A527" t="str">
        <f t="shared" si="324"/>
        <v/>
      </c>
      <c r="B527" s="1">
        <v>43509</v>
      </c>
      <c r="C527" s="9">
        <f t="shared" si="299"/>
        <v>0.25199102661968764</v>
      </c>
      <c r="D527" s="9">
        <f t="shared" si="300"/>
        <v>0.24906318595834404</v>
      </c>
      <c r="E527" s="9">
        <f t="shared" si="301"/>
        <v>0</v>
      </c>
      <c r="F527" s="9">
        <f t="shared" si="302"/>
        <v>0</v>
      </c>
      <c r="G527" s="9">
        <f t="shared" si="303"/>
        <v>0.24978979600519507</v>
      </c>
      <c r="H527" s="9">
        <f t="shared" si="304"/>
        <v>0</v>
      </c>
      <c r="I527" s="9">
        <f t="shared" si="305"/>
        <v>0.24915599141677325</v>
      </c>
      <c r="J527" s="9">
        <f t="shared" si="306"/>
        <v>0</v>
      </c>
      <c r="K527" s="9">
        <v>0</v>
      </c>
      <c r="L527" s="8">
        <f>+VLOOKUP($B527,NIFTY_50!$B$3:$I$1238,8,0)</f>
        <v>-3.485237365437488E-3</v>
      </c>
      <c r="M527" s="8">
        <f>+VLOOKUP($B527,NIFTY_BANK!$B$3:$I$41238,8,0)</f>
        <v>-4.6407448886091052E-3</v>
      </c>
      <c r="N527" s="8">
        <f>+VLOOKUP($B527,NIFTY_IT!$B$3:$I$1238,8,0)</f>
        <v>6.4622788002748344E-3</v>
      </c>
      <c r="O527" s="8">
        <f>+VLOOKUP($B527,NIFTY_PHARMA!$B$3:$I$1238,8,0)</f>
        <v>-7.3217704759712676E-3</v>
      </c>
      <c r="P527" s="8">
        <f>+VLOOKUP($B527,NIFTY_FMCG!$B$3:$I$1238,8,0)</f>
        <v>-2.8959490583931879E-3</v>
      </c>
      <c r="Q527" s="8">
        <f>+VLOOKUP($B527,NIFTY_METAL!$B$3:$I$1238,8,0)</f>
        <v>-9.4835528098412558E-3</v>
      </c>
      <c r="R527" s="8">
        <f>+VLOOKUP($B527,NIFTY_ENERGY!$B$3:$I$1238,8,0)</f>
        <v>-1.5268052276189659E-2</v>
      </c>
      <c r="S527" s="8">
        <f>+VLOOKUP($B527,NIFTY_AUTO!$B$3:$I$1238,8,0)</f>
        <v>-1.2146507048718891E-2</v>
      </c>
      <c r="T527" s="8">
        <v>0</v>
      </c>
      <c r="U527" s="8">
        <f>+VLOOKUP($B527,NIFTY_50!$B$63:$K$1238,10,0)</f>
        <v>1.0433244088296378E-2</v>
      </c>
      <c r="V527" s="8">
        <f>+VLOOKUP($B527,NIFTY_BANK!$B$63:$K$1238,10,0)</f>
        <v>2.4379370979080273E-2</v>
      </c>
      <c r="W527" s="8">
        <f>+VLOOKUP($B527,NIFTY_IT!$B$63:$K$1238,10,0)</f>
        <v>0.1083730908613536</v>
      </c>
      <c r="X527" s="8">
        <f>+VLOOKUP($B527,NIFTY_PHARMA!$B$63:$K$1238,10,0)</f>
        <v>-4.9627204653088008E-2</v>
      </c>
      <c r="Y527" s="8">
        <f>+VLOOKUP($B527,NIFTY_FMCG!$B$63:$K$1238,10,0)</f>
        <v>9.7810371706854582E-3</v>
      </c>
      <c r="Z527" s="8">
        <f>+VLOOKUP($B527,NIFTY_METAL!$B$63:$K$1238,10,0)</f>
        <v>-0.18270434627079235</v>
      </c>
      <c r="AA527" s="8">
        <f>+VLOOKUP($B527,NIFTY_ENERGY!$B$63:$K$1238,10,0)</f>
        <v>1.8413845143439911E-2</v>
      </c>
      <c r="AB527" s="8">
        <f>+VLOOKUP($B527,NIFTY_AUTO!$B$63:$K$1238,10,0)</f>
        <v>-0.10258605079919014</v>
      </c>
      <c r="AC527" s="8"/>
      <c r="AD527" s="16">
        <f t="shared" si="307"/>
        <v>6.1652449655547135E-2</v>
      </c>
      <c r="AE527" s="8">
        <f t="shared" si="308"/>
        <v>6.3689218454572594E-2</v>
      </c>
      <c r="AF527" s="8">
        <f t="shared" si="309"/>
        <v>8.757533435092911E-2</v>
      </c>
      <c r="AG527" s="8">
        <f t="shared" si="310"/>
        <v>9.5705249828479944E-2</v>
      </c>
      <c r="AH527" s="8">
        <f t="shared" si="311"/>
        <v>7.1590287748889675E-2</v>
      </c>
      <c r="AI527" s="8">
        <f t="shared" si="312"/>
        <v>0.1125656993740005</v>
      </c>
      <c r="AJ527" s="8">
        <f t="shared" si="313"/>
        <v>9.0077217182557096E-2</v>
      </c>
      <c r="AK527" s="8">
        <f t="shared" si="314"/>
        <v>0.10040389201302881</v>
      </c>
      <c r="AL527" s="9">
        <v>0</v>
      </c>
      <c r="AM527" s="17">
        <f t="shared" si="291"/>
        <v>16.21995566416274</v>
      </c>
      <c r="AN527" s="13">
        <f t="shared" si="292"/>
        <v>15.701244641795483</v>
      </c>
      <c r="AO527" s="13">
        <f t="shared" si="293"/>
        <v>11.418740304122981</v>
      </c>
      <c r="AP527" s="13">
        <f t="shared" si="294"/>
        <v>10.448747605718284</v>
      </c>
      <c r="AQ527" s="13">
        <f t="shared" si="295"/>
        <v>13.968375200664136</v>
      </c>
      <c r="AR527" s="13">
        <f t="shared" si="296"/>
        <v>8.8837008570212088</v>
      </c>
      <c r="AS527" s="13">
        <f t="shared" si="297"/>
        <v>11.101586297602053</v>
      </c>
      <c r="AT527" s="13">
        <f t="shared" si="298"/>
        <v>9.9597732712416764</v>
      </c>
      <c r="AU527" s="9">
        <v>0</v>
      </c>
      <c r="AV527" s="18">
        <f t="shared" si="315"/>
        <v>1</v>
      </c>
      <c r="AW527" s="18">
        <f t="shared" si="316"/>
        <v>2</v>
      </c>
      <c r="AX527" s="18">
        <f t="shared" si="317"/>
        <v>4</v>
      </c>
      <c r="AY527" s="18">
        <f t="shared" si="318"/>
        <v>6</v>
      </c>
      <c r="AZ527" s="18">
        <f t="shared" si="319"/>
        <v>3</v>
      </c>
      <c r="BA527" s="18">
        <f t="shared" si="320"/>
        <v>8</v>
      </c>
      <c r="BB527" s="18">
        <f t="shared" si="321"/>
        <v>5</v>
      </c>
      <c r="BC527" s="18">
        <f t="shared" si="322"/>
        <v>7</v>
      </c>
      <c r="BD527" s="18">
        <f t="shared" si="323"/>
        <v>9</v>
      </c>
      <c r="BE527" s="8">
        <f t="shared" si="325"/>
        <v>-6.5874538427968463E-3</v>
      </c>
    </row>
    <row r="528" spans="1:57" x14ac:dyDescent="0.25">
      <c r="A528" t="str">
        <f t="shared" si="324"/>
        <v/>
      </c>
      <c r="B528" s="1">
        <v>43510</v>
      </c>
      <c r="C528" s="9">
        <f t="shared" si="299"/>
        <v>0.25197140711886923</v>
      </c>
      <c r="D528" s="9">
        <f t="shared" si="300"/>
        <v>0.25093965972907628</v>
      </c>
      <c r="E528" s="9">
        <f t="shared" si="301"/>
        <v>0</v>
      </c>
      <c r="F528" s="9">
        <f t="shared" si="302"/>
        <v>0</v>
      </c>
      <c r="G528" s="9">
        <f t="shared" si="303"/>
        <v>0.2509870749783874</v>
      </c>
      <c r="H528" s="9">
        <f t="shared" si="304"/>
        <v>0</v>
      </c>
      <c r="I528" s="9">
        <f t="shared" si="305"/>
        <v>0.24610185817366712</v>
      </c>
      <c r="J528" s="9">
        <f t="shared" si="306"/>
        <v>0</v>
      </c>
      <c r="K528" s="9">
        <v>0</v>
      </c>
      <c r="L528" s="8">
        <f>+VLOOKUP($B528,NIFTY_50!$B$3:$I$1238,8,0)</f>
        <v>-4.4100003242647512E-3</v>
      </c>
      <c r="M528" s="8">
        <f>+VLOOKUP($B528,NIFTY_BANK!$B$3:$I$41238,8,0)</f>
        <v>3.1690062264275731E-3</v>
      </c>
      <c r="N528" s="8">
        <f>+VLOOKUP($B528,NIFTY_IT!$B$3:$I$1238,8,0)</f>
        <v>-1.1220790878743725E-2</v>
      </c>
      <c r="O528" s="8">
        <f>+VLOOKUP($B528,NIFTY_PHARMA!$B$3:$I$1238,8,0)</f>
        <v>9.1801238722815093E-3</v>
      </c>
      <c r="P528" s="8">
        <f>+VLOOKUP($B528,NIFTY_FMCG!$B$3:$I$1238,8,0)</f>
        <v>4.3990013078110124E-4</v>
      </c>
      <c r="Q528" s="8">
        <f>+VLOOKUP($B528,NIFTY_METAL!$B$3:$I$1238,8,0)</f>
        <v>-2.9361345150817897E-3</v>
      </c>
      <c r="R528" s="8">
        <f>+VLOOKUP($B528,NIFTY_ENERGY!$B$3:$I$1238,8,0)</f>
        <v>-1.6537288653039384E-2</v>
      </c>
      <c r="S528" s="8">
        <f>+VLOOKUP($B528,NIFTY_AUTO!$B$3:$I$1238,8,0)</f>
        <v>5.6006994760045004E-3</v>
      </c>
      <c r="T528" s="8">
        <v>0</v>
      </c>
      <c r="U528" s="8">
        <f>+VLOOKUP($B528,NIFTY_50!$B$63:$K$1238,10,0)</f>
        <v>-1.6119441812066926E-3</v>
      </c>
      <c r="V528" s="8">
        <f>+VLOOKUP($B528,NIFTY_BANK!$B$63:$K$1238,10,0)</f>
        <v>2.5470804959563775E-2</v>
      </c>
      <c r="W528" s="8">
        <f>+VLOOKUP($B528,NIFTY_IT!$B$63:$K$1238,10,0)</f>
        <v>8.6429266154330886E-2</v>
      </c>
      <c r="X528" s="8">
        <f>+VLOOKUP($B528,NIFTY_PHARMA!$B$63:$K$1238,10,0)</f>
        <v>-5.0892358432853779E-2</v>
      </c>
      <c r="Y528" s="8">
        <f>+VLOOKUP($B528,NIFTY_FMCG!$B$63:$K$1238,10,0)</f>
        <v>-6.7500573324879021E-3</v>
      </c>
      <c r="Z528" s="8">
        <f>+VLOOKUP($B528,NIFTY_METAL!$B$63:$K$1238,10,0)</f>
        <v>-0.19488417983418493</v>
      </c>
      <c r="AA528" s="8">
        <f>+VLOOKUP($B528,NIFTY_ENERGY!$B$63:$K$1238,10,0)</f>
        <v>-9.0796290727856999E-3</v>
      </c>
      <c r="AB528" s="8">
        <f>+VLOOKUP($B528,NIFTY_AUTO!$B$63:$K$1238,10,0)</f>
        <v>-0.10690024056083791</v>
      </c>
      <c r="AC528" s="8"/>
      <c r="AD528" s="16">
        <f t="shared" si="307"/>
        <v>6.1360924455854421E-2</v>
      </c>
      <c r="AE528" s="8">
        <f t="shared" si="308"/>
        <v>6.3726059480373021E-2</v>
      </c>
      <c r="AF528" s="8">
        <f t="shared" si="309"/>
        <v>8.8216634919368833E-2</v>
      </c>
      <c r="AG528" s="8">
        <f t="shared" si="310"/>
        <v>9.5555822788146796E-2</v>
      </c>
      <c r="AH528" s="8">
        <f t="shared" si="311"/>
        <v>6.9537318236930337E-2</v>
      </c>
      <c r="AI528" s="8">
        <f t="shared" si="312"/>
        <v>0.11149845528062137</v>
      </c>
      <c r="AJ528" s="8">
        <f t="shared" si="313"/>
        <v>9.0992242427421446E-2</v>
      </c>
      <c r="AK528" s="8">
        <f t="shared" si="314"/>
        <v>9.9930615507950585E-2</v>
      </c>
      <c r="AL528" s="9">
        <v>0</v>
      </c>
      <c r="AM528" s="17">
        <f t="shared" si="291"/>
        <v>16.297016527504262</v>
      </c>
      <c r="AN528" s="13">
        <f t="shared" si="292"/>
        <v>15.692167508144605</v>
      </c>
      <c r="AO528" s="13">
        <f t="shared" si="293"/>
        <v>11.335730510623231</v>
      </c>
      <c r="AP528" s="13">
        <f t="shared" si="294"/>
        <v>10.465087012196653</v>
      </c>
      <c r="AQ528" s="13">
        <f t="shared" si="295"/>
        <v>14.380767411719273</v>
      </c>
      <c r="AR528" s="13">
        <f t="shared" si="296"/>
        <v>8.9687341181829066</v>
      </c>
      <c r="AS528" s="13">
        <f t="shared" si="297"/>
        <v>10.989947860639159</v>
      </c>
      <c r="AT528" s="13">
        <f t="shared" si="298"/>
        <v>10.006943266755311</v>
      </c>
      <c r="AU528" s="9">
        <v>0</v>
      </c>
      <c r="AV528" s="18">
        <f t="shared" si="315"/>
        <v>1</v>
      </c>
      <c r="AW528" s="18">
        <f t="shared" si="316"/>
        <v>2</v>
      </c>
      <c r="AX528" s="18">
        <f t="shared" si="317"/>
        <v>4</v>
      </c>
      <c r="AY528" s="18">
        <f t="shared" si="318"/>
        <v>6</v>
      </c>
      <c r="AZ528" s="18">
        <f t="shared" si="319"/>
        <v>3</v>
      </c>
      <c r="BA528" s="18">
        <f t="shared" si="320"/>
        <v>8</v>
      </c>
      <c r="BB528" s="18">
        <f t="shared" si="321"/>
        <v>5</v>
      </c>
      <c r="BC528" s="18">
        <f t="shared" si="322"/>
        <v>7</v>
      </c>
      <c r="BD528" s="18">
        <f t="shared" si="323"/>
        <v>9</v>
      </c>
      <c r="BE528" s="8">
        <f t="shared" si="325"/>
        <v>-4.3324797077916614E-3</v>
      </c>
    </row>
    <row r="529" spans="1:57" x14ac:dyDescent="0.25">
      <c r="A529" t="str">
        <f t="shared" si="324"/>
        <v/>
      </c>
      <c r="B529" s="1">
        <v>43511</v>
      </c>
      <c r="C529" s="9">
        <f t="shared" si="299"/>
        <v>0.25108639519578468</v>
      </c>
      <c r="D529" s="9">
        <f t="shared" si="300"/>
        <v>0.24892474746464485</v>
      </c>
      <c r="E529" s="9">
        <f t="shared" si="301"/>
        <v>0</v>
      </c>
      <c r="F529" s="9">
        <f t="shared" si="302"/>
        <v>0</v>
      </c>
      <c r="G529" s="9">
        <f t="shared" si="303"/>
        <v>0.24939912864536204</v>
      </c>
      <c r="H529" s="9">
        <f t="shared" si="304"/>
        <v>0</v>
      </c>
      <c r="I529" s="9">
        <f t="shared" si="305"/>
        <v>0.25058972869420831</v>
      </c>
      <c r="J529" s="9">
        <f t="shared" si="306"/>
        <v>0</v>
      </c>
      <c r="K529" s="9">
        <v>0</v>
      </c>
      <c r="L529" s="8">
        <f>+VLOOKUP($B529,NIFTY_50!$B$3:$I$1238,8,0)</f>
        <v>-2.0146937711996715E-3</v>
      </c>
      <c r="M529" s="8">
        <f>+VLOOKUP($B529,NIFTY_BANK!$B$3:$I$41238,8,0)</f>
        <v>-6.5386012917769687E-3</v>
      </c>
      <c r="N529" s="8">
        <f>+VLOOKUP($B529,NIFTY_IT!$B$3:$I$1238,8,0)</f>
        <v>-2.9032288570229881E-3</v>
      </c>
      <c r="O529" s="8">
        <f>+VLOOKUP($B529,NIFTY_PHARMA!$B$3:$I$1238,8,0)</f>
        <v>-3.1117936531067536E-2</v>
      </c>
      <c r="P529" s="8">
        <f>+VLOOKUP($B529,NIFTY_FMCG!$B$3:$I$1238,8,0)</f>
        <v>-4.8333783226293114E-3</v>
      </c>
      <c r="Q529" s="8">
        <f>+VLOOKUP($B529,NIFTY_METAL!$B$3:$I$1238,8,0)</f>
        <v>-2.06866277687342E-2</v>
      </c>
      <c r="R529" s="8">
        <f>+VLOOKUP($B529,NIFTY_ENERGY!$B$3:$I$1238,8,0)</f>
        <v>1.9766168355993319E-2</v>
      </c>
      <c r="S529" s="8">
        <f>+VLOOKUP($B529,NIFTY_AUTO!$B$3:$I$1238,8,0)</f>
        <v>-1.1041728735855849E-2</v>
      </c>
      <c r="T529" s="8">
        <v>0</v>
      </c>
      <c r="U529" s="8">
        <f>+VLOOKUP($B529,NIFTY_50!$B$63:$K$1238,10,0)</f>
        <v>6.4000300294662082E-3</v>
      </c>
      <c r="V529" s="8">
        <f>+VLOOKUP($B529,NIFTY_BANK!$B$63:$K$1238,10,0)</f>
        <v>2.6074785502434583E-2</v>
      </c>
      <c r="W529" s="8">
        <f>+VLOOKUP($B529,NIFTY_IT!$B$63:$K$1238,10,0)</f>
        <v>0.10713960700310121</v>
      </c>
      <c r="X529" s="8">
        <f>+VLOOKUP($B529,NIFTY_PHARMA!$B$63:$K$1238,10,0)</f>
        <v>-6.2416609717205418E-2</v>
      </c>
      <c r="Y529" s="8">
        <f>+VLOOKUP($B529,NIFTY_FMCG!$B$63:$K$1238,10,0)</f>
        <v>-3.3511688285191576E-3</v>
      </c>
      <c r="Z529" s="8">
        <f>+VLOOKUP($B529,NIFTY_METAL!$B$63:$K$1238,10,0)</f>
        <v>-0.18856086323957322</v>
      </c>
      <c r="AA529" s="8">
        <f>+VLOOKUP($B529,NIFTY_ENERGY!$B$63:$K$1238,10,0)</f>
        <v>1.9865770875628685E-2</v>
      </c>
      <c r="AB529" s="8">
        <f>+VLOOKUP($B529,NIFTY_AUTO!$B$63:$K$1238,10,0)</f>
        <v>-0.10960568885385358</v>
      </c>
      <c r="AC529" s="8"/>
      <c r="AD529" s="16">
        <f t="shared" si="307"/>
        <v>6.0571621118300611E-2</v>
      </c>
      <c r="AE529" s="8">
        <f t="shared" si="308"/>
        <v>6.3659206009162944E-2</v>
      </c>
      <c r="AF529" s="8">
        <f t="shared" si="309"/>
        <v>8.5247701262431974E-2</v>
      </c>
      <c r="AG529" s="8">
        <f t="shared" si="310"/>
        <v>9.8535948694388559E-2</v>
      </c>
      <c r="AH529" s="8">
        <f t="shared" si="311"/>
        <v>6.922000537421337E-2</v>
      </c>
      <c r="AI529" s="8">
        <f t="shared" si="312"/>
        <v>0.11004339254624958</v>
      </c>
      <c r="AJ529" s="8">
        <f t="shared" si="313"/>
        <v>9.2612521965802538E-2</v>
      </c>
      <c r="AK529" s="8">
        <f t="shared" si="314"/>
        <v>0.10016324125618382</v>
      </c>
      <c r="AL529" s="9">
        <v>0</v>
      </c>
      <c r="AM529" s="17">
        <f t="shared" si="291"/>
        <v>16.509381481584093</v>
      </c>
      <c r="AN529" s="13">
        <f t="shared" si="292"/>
        <v>15.708647070716882</v>
      </c>
      <c r="AO529" s="13">
        <f t="shared" si="293"/>
        <v>11.73052158816032</v>
      </c>
      <c r="AP529" s="13">
        <f t="shared" si="294"/>
        <v>10.148580424201549</v>
      </c>
      <c r="AQ529" s="13">
        <f t="shared" si="295"/>
        <v>14.446690585963628</v>
      </c>
      <c r="AR529" s="13">
        <f t="shared" si="296"/>
        <v>9.0873243441646441</v>
      </c>
      <c r="AS529" s="13">
        <f t="shared" si="297"/>
        <v>10.797675938133432</v>
      </c>
      <c r="AT529" s="13">
        <f t="shared" si="298"/>
        <v>9.9837024786601791</v>
      </c>
      <c r="AU529" s="9">
        <v>0</v>
      </c>
      <c r="AV529" s="18">
        <f t="shared" si="315"/>
        <v>1</v>
      </c>
      <c r="AW529" s="18">
        <f t="shared" si="316"/>
        <v>2</v>
      </c>
      <c r="AX529" s="18">
        <f t="shared" si="317"/>
        <v>4</v>
      </c>
      <c r="AY529" s="18">
        <f t="shared" si="318"/>
        <v>6</v>
      </c>
      <c r="AZ529" s="18">
        <f t="shared" si="319"/>
        <v>3</v>
      </c>
      <c r="BA529" s="18">
        <f t="shared" si="320"/>
        <v>8</v>
      </c>
      <c r="BB529" s="18">
        <f t="shared" si="321"/>
        <v>5</v>
      </c>
      <c r="BC529" s="18">
        <f t="shared" si="322"/>
        <v>7</v>
      </c>
      <c r="BD529" s="18">
        <f t="shared" si="323"/>
        <v>9</v>
      </c>
      <c r="BE529" s="8">
        <f t="shared" si="325"/>
        <v>1.5029356662174054E-3</v>
      </c>
    </row>
    <row r="530" spans="1:57" x14ac:dyDescent="0.25">
      <c r="A530" t="str">
        <f t="shared" si="324"/>
        <v/>
      </c>
      <c r="B530" s="1">
        <v>43514</v>
      </c>
      <c r="C530" s="9">
        <f t="shared" si="299"/>
        <v>0.25148308644016643</v>
      </c>
      <c r="D530" s="9">
        <f t="shared" si="300"/>
        <v>0.24996035825280497</v>
      </c>
      <c r="E530" s="9">
        <f t="shared" si="301"/>
        <v>0</v>
      </c>
      <c r="F530" s="9">
        <f t="shared" si="302"/>
        <v>0</v>
      </c>
      <c r="G530" s="9">
        <f t="shared" si="303"/>
        <v>0.24879774090192613</v>
      </c>
      <c r="H530" s="9">
        <f t="shared" si="304"/>
        <v>0</v>
      </c>
      <c r="I530" s="9">
        <f t="shared" si="305"/>
        <v>0.24975881440510245</v>
      </c>
      <c r="J530" s="9">
        <f t="shared" si="306"/>
        <v>0</v>
      </c>
      <c r="K530" s="9">
        <v>0</v>
      </c>
      <c r="L530" s="8">
        <f>+VLOOKUP($B530,NIFTY_50!$B$3:$I$1238,8,0)</f>
        <v>-7.7813210995485438E-3</v>
      </c>
      <c r="M530" s="8">
        <f>+VLOOKUP($B530,NIFTY_BANK!$B$3:$I$41238,8,0)</f>
        <v>-5.2250016328130311E-3</v>
      </c>
      <c r="N530" s="8">
        <f>+VLOOKUP($B530,NIFTY_IT!$B$3:$I$1238,8,0)</f>
        <v>-9.9016161258504987E-3</v>
      </c>
      <c r="O530" s="8">
        <f>+VLOOKUP($B530,NIFTY_PHARMA!$B$3:$I$1238,8,0)</f>
        <v>-8.0235558178008981E-3</v>
      </c>
      <c r="P530" s="8">
        <f>+VLOOKUP($B530,NIFTY_FMCG!$B$3:$I$1238,8,0)</f>
        <v>-1.1735263109409644E-2</v>
      </c>
      <c r="Q530" s="8">
        <f>+VLOOKUP($B530,NIFTY_METAL!$B$3:$I$1238,8,0)</f>
        <v>-9.3758171155354786E-3</v>
      </c>
      <c r="R530" s="8">
        <f>+VLOOKUP($B530,NIFTY_ENERGY!$B$3:$I$1238,8,0)</f>
        <v>-1.2631298119841761E-2</v>
      </c>
      <c r="S530" s="8">
        <f>+VLOOKUP($B530,NIFTY_AUTO!$B$3:$I$1238,8,0)</f>
        <v>-7.9741286558336899E-3</v>
      </c>
      <c r="T530" s="8">
        <v>0</v>
      </c>
      <c r="U530" s="8">
        <f>+VLOOKUP($B530,NIFTY_50!$B$63:$K$1238,10,0)</f>
        <v>3.8584723656964748E-3</v>
      </c>
      <c r="V530" s="8">
        <f>+VLOOKUP($B530,NIFTY_BANK!$B$63:$K$1238,10,0)</f>
        <v>1.4934096919319018E-2</v>
      </c>
      <c r="W530" s="8">
        <f>+VLOOKUP($B530,NIFTY_IT!$B$63:$K$1238,10,0)</f>
        <v>0.1282391212718359</v>
      </c>
      <c r="X530" s="8">
        <f>+VLOOKUP($B530,NIFTY_PHARMA!$B$63:$K$1238,10,0)</f>
        <v>-8.545508847905614E-2</v>
      </c>
      <c r="Y530" s="8">
        <f>+VLOOKUP($B530,NIFTY_FMCG!$B$63:$K$1238,10,0)</f>
        <v>-1.4484099643256254E-2</v>
      </c>
      <c r="Z530" s="8">
        <f>+VLOOKUP($B530,NIFTY_METAL!$B$63:$K$1238,10,0)</f>
        <v>-0.18965991383261527</v>
      </c>
      <c r="AA530" s="8">
        <f>+VLOOKUP($B530,NIFTY_ENERGY!$B$63:$K$1238,10,0)</f>
        <v>2.1908972802288096E-2</v>
      </c>
      <c r="AB530" s="8">
        <f>+VLOOKUP($B530,NIFTY_AUTO!$B$63:$K$1238,10,0)</f>
        <v>-0.11531586854254161</v>
      </c>
      <c r="AC530" s="8"/>
      <c r="AD530" s="16">
        <f t="shared" si="307"/>
        <v>6.0846353445979627E-2</v>
      </c>
      <c r="AE530" s="8">
        <f t="shared" si="308"/>
        <v>6.3681681145850336E-2</v>
      </c>
      <c r="AF530" s="8">
        <f t="shared" si="309"/>
        <v>8.0548002366793686E-2</v>
      </c>
      <c r="AG530" s="8">
        <f t="shared" si="310"/>
        <v>9.7092030596691623E-2</v>
      </c>
      <c r="AH530" s="8">
        <f t="shared" si="311"/>
        <v>7.0188342842702187E-2</v>
      </c>
      <c r="AI530" s="8">
        <f t="shared" si="312"/>
        <v>0.11010897831070442</v>
      </c>
      <c r="AJ530" s="8">
        <f t="shared" si="313"/>
        <v>9.2313028992572779E-2</v>
      </c>
      <c r="AK530" s="8">
        <f t="shared" si="314"/>
        <v>0.10034854026922478</v>
      </c>
      <c r="AL530" s="9">
        <v>0</v>
      </c>
      <c r="AM530" s="17">
        <f t="shared" si="291"/>
        <v>16.434838628214855</v>
      </c>
      <c r="AN530" s="13">
        <f t="shared" si="292"/>
        <v>15.703103027536242</v>
      </c>
      <c r="AO530" s="13">
        <f t="shared" si="293"/>
        <v>12.414957176048539</v>
      </c>
      <c r="AP530" s="13">
        <f t="shared" si="294"/>
        <v>10.299506497643224</v>
      </c>
      <c r="AQ530" s="13">
        <f t="shared" si="295"/>
        <v>14.247380113262992</v>
      </c>
      <c r="AR530" s="13">
        <f t="shared" si="296"/>
        <v>9.0819115329379407</v>
      </c>
      <c r="AS530" s="13">
        <f t="shared" si="297"/>
        <v>10.832707050274093</v>
      </c>
      <c r="AT530" s="13">
        <f t="shared" si="298"/>
        <v>9.9652670314595824</v>
      </c>
      <c r="AU530" s="9">
        <v>0</v>
      </c>
      <c r="AV530" s="18">
        <f t="shared" si="315"/>
        <v>1</v>
      </c>
      <c r="AW530" s="18">
        <f t="shared" si="316"/>
        <v>2</v>
      </c>
      <c r="AX530" s="18">
        <f t="shared" si="317"/>
        <v>4</v>
      </c>
      <c r="AY530" s="18">
        <f t="shared" si="318"/>
        <v>6</v>
      </c>
      <c r="AZ530" s="18">
        <f t="shared" si="319"/>
        <v>3</v>
      </c>
      <c r="BA530" s="18">
        <f t="shared" si="320"/>
        <v>8</v>
      </c>
      <c r="BB530" s="18">
        <f t="shared" si="321"/>
        <v>5</v>
      </c>
      <c r="BC530" s="18">
        <f t="shared" si="322"/>
        <v>7</v>
      </c>
      <c r="BD530" s="18">
        <f t="shared" si="323"/>
        <v>9</v>
      </c>
      <c r="BE530" s="8">
        <f t="shared" si="325"/>
        <v>-9.3464540395145224E-3</v>
      </c>
    </row>
    <row r="531" spans="1:57" x14ac:dyDescent="0.25">
      <c r="A531" t="str">
        <f t="shared" si="324"/>
        <v/>
      </c>
      <c r="B531" s="1">
        <v>43515</v>
      </c>
      <c r="C531" s="9">
        <f t="shared" si="299"/>
        <v>0.25076580554703115</v>
      </c>
      <c r="D531" s="9">
        <f t="shared" si="300"/>
        <v>0.25039480873310893</v>
      </c>
      <c r="E531" s="9">
        <f t="shared" si="301"/>
        <v>0</v>
      </c>
      <c r="F531" s="9">
        <f t="shared" si="302"/>
        <v>0</v>
      </c>
      <c r="G531" s="9">
        <f t="shared" si="303"/>
        <v>0.24932726411242312</v>
      </c>
      <c r="H531" s="9">
        <f t="shared" si="304"/>
        <v>0</v>
      </c>
      <c r="I531" s="9">
        <f t="shared" si="305"/>
        <v>0.24951212160743677</v>
      </c>
      <c r="J531" s="9">
        <f t="shared" si="306"/>
        <v>0</v>
      </c>
      <c r="K531" s="9">
        <v>0</v>
      </c>
      <c r="L531" s="8">
        <f>+VLOOKUP($B531,NIFTY_50!$B$3:$I$1238,8,0)</f>
        <v>-3.4395425220492548E-3</v>
      </c>
      <c r="M531" s="8">
        <f>+VLOOKUP($B531,NIFTY_BANK!$B$3:$I$41238,8,0)</f>
        <v>1.148034553589028E-3</v>
      </c>
      <c r="N531" s="8">
        <f>+VLOOKUP($B531,NIFTY_IT!$B$3:$I$1238,8,0)</f>
        <v>-2.078676799284751E-2</v>
      </c>
      <c r="O531" s="8">
        <f>+VLOOKUP($B531,NIFTY_PHARMA!$B$3:$I$1238,8,0)</f>
        <v>-2.4784375929414182E-3</v>
      </c>
      <c r="P531" s="8">
        <f>+VLOOKUP($B531,NIFTY_FMCG!$B$3:$I$1238,8,0)</f>
        <v>1.5380552146286863E-3</v>
      </c>
      <c r="Q531" s="8">
        <f>+VLOOKUP($B531,NIFTY_METAL!$B$3:$I$1238,8,0)</f>
        <v>1.4215686274509753E-2</v>
      </c>
      <c r="R531" s="8">
        <f>+VLOOKUP($B531,NIFTY_ENERGY!$B$3:$I$1238,8,0)</f>
        <v>-1.5761615097895643E-3</v>
      </c>
      <c r="S531" s="8">
        <f>+VLOOKUP($B531,NIFTY_AUTO!$B$3:$I$1238,8,0)</f>
        <v>7.0652106548330096E-4</v>
      </c>
      <c r="T531" s="8">
        <v>0</v>
      </c>
      <c r="U531" s="8">
        <f>+VLOOKUP($B531,NIFTY_50!$B$63:$K$1238,10,0)</f>
        <v>7.371695917543386E-3</v>
      </c>
      <c r="V531" s="8">
        <f>+VLOOKUP($B531,NIFTY_BANK!$B$63:$K$1238,10,0)</f>
        <v>2.6362096121264056E-2</v>
      </c>
      <c r="W531" s="8">
        <f>+VLOOKUP($B531,NIFTY_IT!$B$63:$K$1238,10,0)</f>
        <v>0.10825617785872765</v>
      </c>
      <c r="X531" s="8">
        <f>+VLOOKUP($B531,NIFTY_PHARMA!$B$63:$K$1238,10,0)</f>
        <v>-8.0582221601109283E-2</v>
      </c>
      <c r="Y531" s="8">
        <f>+VLOOKUP($B531,NIFTY_FMCG!$B$63:$K$1238,10,0)</f>
        <v>-8.015291973423655E-3</v>
      </c>
      <c r="Z531" s="8">
        <f>+VLOOKUP($B531,NIFTY_METAL!$B$63:$K$1238,10,0)</f>
        <v>-0.16332529745703406</v>
      </c>
      <c r="AA531" s="8">
        <f>+VLOOKUP($B531,NIFTY_ENERGY!$B$63:$K$1238,10,0)</f>
        <v>3.0932886938295212E-2</v>
      </c>
      <c r="AB531" s="8">
        <f>+VLOOKUP($B531,NIFTY_AUTO!$B$63:$K$1238,10,0)</f>
        <v>-0.10915681395618282</v>
      </c>
      <c r="AC531" s="8"/>
      <c r="AD531" s="16">
        <f t="shared" si="307"/>
        <v>6.0542902459006426E-2</v>
      </c>
      <c r="AE531" s="8">
        <f t="shared" si="308"/>
        <v>6.2837044690326499E-2</v>
      </c>
      <c r="AF531" s="8">
        <f t="shared" si="309"/>
        <v>8.3528128445031435E-2</v>
      </c>
      <c r="AG531" s="8">
        <f t="shared" si="310"/>
        <v>9.688601540147844E-2</v>
      </c>
      <c r="AH531" s="8">
        <f t="shared" si="311"/>
        <v>7.0040960088928739E-2</v>
      </c>
      <c r="AI531" s="8">
        <f t="shared" si="312"/>
        <v>0.11049515554363112</v>
      </c>
      <c r="AJ531" s="8">
        <f t="shared" si="313"/>
        <v>9.1701071959875494E-2</v>
      </c>
      <c r="AK531" s="8">
        <f t="shared" si="314"/>
        <v>0.10028745398234766</v>
      </c>
      <c r="AL531" s="9">
        <v>0</v>
      </c>
      <c r="AM531" s="17">
        <f t="shared" si="291"/>
        <v>16.517212743097335</v>
      </c>
      <c r="AN531" s="13">
        <f t="shared" si="292"/>
        <v>15.914179365503257</v>
      </c>
      <c r="AO531" s="13">
        <f t="shared" si="293"/>
        <v>11.972014920196427</v>
      </c>
      <c r="AP531" s="13">
        <f t="shared" si="294"/>
        <v>10.321407025112732</v>
      </c>
      <c r="AQ531" s="13">
        <f t="shared" si="295"/>
        <v>14.277359972369487</v>
      </c>
      <c r="AR531" s="13">
        <f t="shared" si="296"/>
        <v>9.0501705263008656</v>
      </c>
      <c r="AS531" s="13">
        <f t="shared" si="297"/>
        <v>10.90499793107716</v>
      </c>
      <c r="AT531" s="13">
        <f t="shared" si="298"/>
        <v>9.9713369947153847</v>
      </c>
      <c r="AU531" s="9">
        <v>0</v>
      </c>
      <c r="AV531" s="18">
        <f t="shared" si="315"/>
        <v>1</v>
      </c>
      <c r="AW531" s="18">
        <f t="shared" si="316"/>
        <v>2</v>
      </c>
      <c r="AX531" s="18">
        <f t="shared" si="317"/>
        <v>4</v>
      </c>
      <c r="AY531" s="18">
        <f t="shared" si="318"/>
        <v>6</v>
      </c>
      <c r="AZ531" s="18">
        <f t="shared" si="319"/>
        <v>3</v>
      </c>
      <c r="BA531" s="18">
        <f t="shared" si="320"/>
        <v>8</v>
      </c>
      <c r="BB531" s="18">
        <f t="shared" si="321"/>
        <v>5</v>
      </c>
      <c r="BC531" s="18">
        <f t="shared" si="322"/>
        <v>7</v>
      </c>
      <c r="BD531" s="18">
        <f t="shared" si="323"/>
        <v>9</v>
      </c>
      <c r="BE531" s="8">
        <f t="shared" si="325"/>
        <v>-5.8901920829938185E-4</v>
      </c>
    </row>
    <row r="532" spans="1:57" x14ac:dyDescent="0.25">
      <c r="A532" t="str">
        <f t="shared" si="324"/>
        <v/>
      </c>
      <c r="B532" s="1">
        <v>43516</v>
      </c>
      <c r="C532" s="9">
        <f t="shared" si="299"/>
        <v>0.25118900118859017</v>
      </c>
      <c r="D532" s="9">
        <f t="shared" si="300"/>
        <v>0.25026726633162955</v>
      </c>
      <c r="E532" s="9">
        <f t="shared" si="301"/>
        <v>0</v>
      </c>
      <c r="F532" s="9">
        <f t="shared" si="302"/>
        <v>0</v>
      </c>
      <c r="G532" s="9">
        <f t="shared" si="303"/>
        <v>0.2470697639606643</v>
      </c>
      <c r="H532" s="9">
        <f t="shared" si="304"/>
        <v>0</v>
      </c>
      <c r="I532" s="9">
        <f t="shared" si="305"/>
        <v>0.25147396851911602</v>
      </c>
      <c r="J532" s="9">
        <f t="shared" si="306"/>
        <v>0</v>
      </c>
      <c r="K532" s="9">
        <v>0</v>
      </c>
      <c r="L532" s="8">
        <f>+VLOOKUP($B532,NIFTY_50!$B$3:$I$1238,8,0)</f>
        <v>1.2362851094126492E-2</v>
      </c>
      <c r="M532" s="8">
        <f>+VLOOKUP($B532,NIFTY_BANK!$B$3:$I$41238,8,0)</f>
        <v>1.0142459110694002E-2</v>
      </c>
      <c r="N532" s="8">
        <f>+VLOOKUP($B532,NIFTY_IT!$B$3:$I$1238,8,0)</f>
        <v>1.7996543515831354E-2</v>
      </c>
      <c r="O532" s="8">
        <f>+VLOOKUP($B532,NIFTY_PHARMA!$B$3:$I$1238,8,0)</f>
        <v>6.2728728939398515E-3</v>
      </c>
      <c r="P532" s="8">
        <f>+VLOOKUP($B532,NIFTY_FMCG!$B$3:$I$1238,8,0)</f>
        <v>1.5063926893419399E-3</v>
      </c>
      <c r="Q532" s="8">
        <f>+VLOOKUP($B532,NIFTY_METAL!$B$3:$I$1238,8,0)</f>
        <v>2.7995687251366475E-2</v>
      </c>
      <c r="R532" s="8">
        <f>+VLOOKUP($B532,NIFTY_ENERGY!$B$3:$I$1238,8,0)</f>
        <v>1.860377973846461E-2</v>
      </c>
      <c r="S532" s="8">
        <f>+VLOOKUP($B532,NIFTY_AUTO!$B$3:$I$1238,8,0)</f>
        <v>5.9578368469295206E-3</v>
      </c>
      <c r="T532" s="8">
        <v>0</v>
      </c>
      <c r="U532" s="8">
        <f>+VLOOKUP($B532,NIFTY_50!$B$63:$K$1238,10,0)</f>
        <v>1.0053064373482856E-2</v>
      </c>
      <c r="V532" s="8">
        <f>+VLOOKUP($B532,NIFTY_BANK!$B$63:$K$1238,10,0)</f>
        <v>2.2373850775252668E-2</v>
      </c>
      <c r="W532" s="8">
        <f>+VLOOKUP($B532,NIFTY_IT!$B$63:$K$1238,10,0)</f>
        <v>0.11294152038444549</v>
      </c>
      <c r="X532" s="8">
        <f>+VLOOKUP($B532,NIFTY_PHARMA!$B$63:$K$1238,10,0)</f>
        <v>-6.2540166657589435E-2</v>
      </c>
      <c r="Y532" s="8">
        <f>+VLOOKUP($B532,NIFTY_FMCG!$B$63:$K$1238,10,0)</f>
        <v>-2.9466686709759271E-2</v>
      </c>
      <c r="Z532" s="8">
        <f>+VLOOKUP($B532,NIFTY_METAL!$B$63:$K$1238,10,0)</f>
        <v>-0.12839264886675283</v>
      </c>
      <c r="AA532" s="8">
        <f>+VLOOKUP($B532,NIFTY_ENERGY!$B$63:$K$1238,10,0)</f>
        <v>4.8241166557170923E-2</v>
      </c>
      <c r="AB532" s="8">
        <f>+VLOOKUP($B532,NIFTY_AUTO!$B$63:$K$1238,10,0)</f>
        <v>-0.11325719526575528</v>
      </c>
      <c r="AC532" s="8"/>
      <c r="AD532" s="16">
        <f t="shared" si="307"/>
        <v>6.1022482785644733E-2</v>
      </c>
      <c r="AE532" s="8">
        <f t="shared" si="308"/>
        <v>6.2099885962762197E-2</v>
      </c>
      <c r="AF532" s="8">
        <f t="shared" si="309"/>
        <v>8.424719294944541E-2</v>
      </c>
      <c r="AG532" s="8">
        <f t="shared" si="310"/>
        <v>9.6431199386710686E-2</v>
      </c>
      <c r="AH532" s="8">
        <f t="shared" si="311"/>
        <v>6.5855517425779359E-2</v>
      </c>
      <c r="AI532" s="8">
        <f t="shared" si="312"/>
        <v>0.11411828350262247</v>
      </c>
      <c r="AJ532" s="8">
        <f t="shared" si="313"/>
        <v>9.3425071306336732E-2</v>
      </c>
      <c r="AK532" s="8">
        <f t="shared" si="314"/>
        <v>9.9816387973743453E-2</v>
      </c>
      <c r="AL532" s="9">
        <v>0</v>
      </c>
      <c r="AM532" s="17">
        <f t="shared" si="291"/>
        <v>16.387402713729728</v>
      </c>
      <c r="AN532" s="13">
        <f t="shared" si="292"/>
        <v>16.103089152203012</v>
      </c>
      <c r="AO532" s="13">
        <f t="shared" si="293"/>
        <v>11.869831682108085</v>
      </c>
      <c r="AP532" s="13">
        <f t="shared" si="294"/>
        <v>10.370087755413849</v>
      </c>
      <c r="AQ532" s="13">
        <f t="shared" si="295"/>
        <v>15.184756556305588</v>
      </c>
      <c r="AR532" s="13">
        <f t="shared" si="296"/>
        <v>8.762837726848737</v>
      </c>
      <c r="AS532" s="13">
        <f t="shared" si="297"/>
        <v>10.703764910395879</v>
      </c>
      <c r="AT532" s="13">
        <f t="shared" si="298"/>
        <v>10.018394978017522</v>
      </c>
      <c r="AU532" s="9">
        <v>0</v>
      </c>
      <c r="AV532" s="18">
        <f t="shared" si="315"/>
        <v>1</v>
      </c>
      <c r="AW532" s="18">
        <f t="shared" si="316"/>
        <v>2</v>
      </c>
      <c r="AX532" s="18">
        <f t="shared" si="317"/>
        <v>4</v>
      </c>
      <c r="AY532" s="18">
        <f t="shared" si="318"/>
        <v>6</v>
      </c>
      <c r="AZ532" s="18">
        <f t="shared" si="319"/>
        <v>3</v>
      </c>
      <c r="BA532" s="18">
        <f t="shared" si="320"/>
        <v>8</v>
      </c>
      <c r="BB532" s="18">
        <f t="shared" si="321"/>
        <v>5</v>
      </c>
      <c r="BC532" s="18">
        <f t="shared" si="322"/>
        <v>7</v>
      </c>
      <c r="BD532" s="18">
        <f t="shared" si="323"/>
        <v>9</v>
      </c>
      <c r="BE532" s="8">
        <f t="shared" si="325"/>
        <v>1.065725274295656E-2</v>
      </c>
    </row>
    <row r="533" spans="1:57" x14ac:dyDescent="0.25">
      <c r="A533" t="str">
        <f t="shared" si="324"/>
        <v/>
      </c>
      <c r="B533" s="1">
        <v>43517</v>
      </c>
      <c r="C533" s="9">
        <f t="shared" si="299"/>
        <v>0.25116870218034737</v>
      </c>
      <c r="D533" s="9">
        <f t="shared" si="300"/>
        <v>0.24988040838763551</v>
      </c>
      <c r="E533" s="9">
        <f t="shared" si="301"/>
        <v>0</v>
      </c>
      <c r="F533" s="9">
        <f t="shared" si="302"/>
        <v>0</v>
      </c>
      <c r="G533" s="9">
        <f t="shared" si="303"/>
        <v>0.24675983370538648</v>
      </c>
      <c r="H533" s="9">
        <f t="shared" si="304"/>
        <v>0</v>
      </c>
      <c r="I533" s="9">
        <f t="shared" si="305"/>
        <v>0.25219105572663075</v>
      </c>
      <c r="J533" s="9">
        <f t="shared" si="306"/>
        <v>0</v>
      </c>
      <c r="K533" s="9">
        <v>0</v>
      </c>
      <c r="L533" s="8">
        <f>+VLOOKUP($B533,NIFTY_50!$B$3:$I$1238,8,0)</f>
        <v>5.0673236799574362E-3</v>
      </c>
      <c r="M533" s="8">
        <f>+VLOOKUP($B533,NIFTY_BANK!$B$3:$I$41238,8,0)</f>
        <v>3.5948136743892967E-3</v>
      </c>
      <c r="N533" s="8">
        <f>+VLOOKUP($B533,NIFTY_IT!$B$3:$I$1238,8,0)</f>
        <v>-1.3165101909421439E-3</v>
      </c>
      <c r="O533" s="8">
        <f>+VLOOKUP($B533,NIFTY_PHARMA!$B$3:$I$1238,8,0)</f>
        <v>1.1619327589512451E-2</v>
      </c>
      <c r="P533" s="8">
        <f>+VLOOKUP($B533,NIFTY_FMCG!$B$3:$I$1238,8,0)</f>
        <v>3.8876689131046582E-3</v>
      </c>
      <c r="Q533" s="8">
        <f>+VLOOKUP($B533,NIFTY_METAL!$B$3:$I$1238,8,0)</f>
        <v>1.1265822784810142E-2</v>
      </c>
      <c r="R533" s="8">
        <f>+VLOOKUP($B533,NIFTY_ENERGY!$B$3:$I$1238,8,0)</f>
        <v>8.0147692475380783E-3</v>
      </c>
      <c r="S533" s="8">
        <f>+VLOOKUP($B533,NIFTY_AUTO!$B$3:$I$1238,8,0)</f>
        <v>4.3403312196022004E-3</v>
      </c>
      <c r="T533" s="8">
        <v>0</v>
      </c>
      <c r="U533" s="8">
        <f>+VLOOKUP($B533,NIFTY_50!$B$63:$K$1238,10,0)</f>
        <v>9.7561203863143486E-3</v>
      </c>
      <c r="V533" s="8">
        <f>+VLOOKUP($B533,NIFTY_BANK!$B$63:$K$1238,10,0)</f>
        <v>2.3041927761873637E-2</v>
      </c>
      <c r="W533" s="8">
        <f>+VLOOKUP($B533,NIFTY_IT!$B$63:$K$1238,10,0)</f>
        <v>9.5853529087157829E-2</v>
      </c>
      <c r="X533" s="8">
        <f>+VLOOKUP($B533,NIFTY_PHARMA!$B$63:$K$1238,10,0)</f>
        <v>-3.8869784565792154E-2</v>
      </c>
      <c r="Y533" s="8">
        <f>+VLOOKUP($B533,NIFTY_FMCG!$B$63:$K$1238,10,0)</f>
        <v>-2.4975387325768206E-2</v>
      </c>
      <c r="Z533" s="8">
        <f>+VLOOKUP($B533,NIFTY_METAL!$B$63:$K$1238,10,0)</f>
        <v>-0.11203734578192726</v>
      </c>
      <c r="AA533" s="8">
        <f>+VLOOKUP($B533,NIFTY_ENERGY!$B$63:$K$1238,10,0)</f>
        <v>4.3085946311752776E-2</v>
      </c>
      <c r="AB533" s="8">
        <f>+VLOOKUP($B533,NIFTY_AUTO!$B$63:$K$1238,10,0)</f>
        <v>-0.11001091107474081</v>
      </c>
      <c r="AC533" s="8"/>
      <c r="AD533" s="16">
        <f t="shared" si="307"/>
        <v>6.0998148913168779E-2</v>
      </c>
      <c r="AE533" s="8">
        <f t="shared" si="308"/>
        <v>6.2130139570173097E-2</v>
      </c>
      <c r="AF533" s="8">
        <f t="shared" si="309"/>
        <v>8.3358244487926975E-2</v>
      </c>
      <c r="AG533" s="8">
        <f t="shared" si="310"/>
        <v>9.6415643498631881E-2</v>
      </c>
      <c r="AH533" s="8">
        <f t="shared" si="311"/>
        <v>6.5995262047581771E-2</v>
      </c>
      <c r="AI533" s="8">
        <f t="shared" si="312"/>
        <v>0.11476004234523336</v>
      </c>
      <c r="AJ533" s="8">
        <f t="shared" si="313"/>
        <v>9.2906249774108648E-2</v>
      </c>
      <c r="AK533" s="8">
        <f t="shared" si="314"/>
        <v>9.9976468378721373E-2</v>
      </c>
      <c r="AL533" s="9">
        <v>0</v>
      </c>
      <c r="AM533" s="17">
        <f t="shared" si="291"/>
        <v>16.393940108305678</v>
      </c>
      <c r="AN533" s="13">
        <f t="shared" si="292"/>
        <v>16.095247925051684</v>
      </c>
      <c r="AO533" s="13">
        <f t="shared" si="293"/>
        <v>11.99641386575545</v>
      </c>
      <c r="AP533" s="13">
        <f t="shared" si="294"/>
        <v>10.371760885609707</v>
      </c>
      <c r="AQ533" s="13">
        <f t="shared" si="295"/>
        <v>15.152602913812393</v>
      </c>
      <c r="AR533" s="13">
        <f t="shared" si="296"/>
        <v>8.7138343587543616</v>
      </c>
      <c r="AS533" s="13">
        <f t="shared" si="297"/>
        <v>10.763538539456606</v>
      </c>
      <c r="AT533" s="13">
        <f t="shared" si="298"/>
        <v>10.002353715995397</v>
      </c>
      <c r="AU533" s="9">
        <v>0</v>
      </c>
      <c r="AV533" s="18">
        <f t="shared" si="315"/>
        <v>1</v>
      </c>
      <c r="AW533" s="18">
        <f t="shared" si="316"/>
        <v>2</v>
      </c>
      <c r="AX533" s="18">
        <f t="shared" si="317"/>
        <v>4</v>
      </c>
      <c r="AY533" s="18">
        <f t="shared" si="318"/>
        <v>6</v>
      </c>
      <c r="AZ533" s="18">
        <f t="shared" si="319"/>
        <v>3</v>
      </c>
      <c r="BA533" s="18">
        <f t="shared" si="320"/>
        <v>8</v>
      </c>
      <c r="BB533" s="18">
        <f t="shared" si="321"/>
        <v>5</v>
      </c>
      <c r="BC533" s="18">
        <f t="shared" si="322"/>
        <v>7</v>
      </c>
      <c r="BD533" s="18">
        <f t="shared" si="323"/>
        <v>9</v>
      </c>
      <c r="BE533" s="8">
        <f t="shared" si="325"/>
        <v>5.1485514352901194E-3</v>
      </c>
    </row>
    <row r="534" spans="1:57" x14ac:dyDescent="0.25">
      <c r="A534" t="str">
        <f t="shared" si="324"/>
        <v/>
      </c>
      <c r="B534" s="1">
        <v>43518</v>
      </c>
      <c r="C534" s="9">
        <f t="shared" si="299"/>
        <v>0.25155495386748195</v>
      </c>
      <c r="D534" s="9">
        <f t="shared" si="300"/>
        <v>0.24851315374511165</v>
      </c>
      <c r="E534" s="9">
        <f t="shared" si="301"/>
        <v>0</v>
      </c>
      <c r="F534" s="9">
        <f t="shared" si="302"/>
        <v>0</v>
      </c>
      <c r="G534" s="9">
        <f t="shared" si="303"/>
        <v>0.24773221476842355</v>
      </c>
      <c r="H534" s="9">
        <f t="shared" si="304"/>
        <v>0</v>
      </c>
      <c r="I534" s="9">
        <f t="shared" si="305"/>
        <v>0.25219967761898276</v>
      </c>
      <c r="J534" s="9">
        <f t="shared" si="306"/>
        <v>0</v>
      </c>
      <c r="K534" s="9">
        <v>0</v>
      </c>
      <c r="L534" s="8">
        <f>+VLOOKUP($B534,NIFTY_50!$B$3:$I$1238,8,0)</f>
        <v>1.6682344981622244E-4</v>
      </c>
      <c r="M534" s="8">
        <f>+VLOOKUP($B534,NIFTY_BANK!$B$3:$I$41238,8,0)</f>
        <v>-6.8330351466044936E-3</v>
      </c>
      <c r="N534" s="8">
        <f>+VLOOKUP($B534,NIFTY_IT!$B$3:$I$1238,8,0)</f>
        <v>6.1453983282977465E-3</v>
      </c>
      <c r="O534" s="8">
        <f>+VLOOKUP($B534,NIFTY_PHARMA!$B$3:$I$1238,8,0)</f>
        <v>7.6093885497365843E-3</v>
      </c>
      <c r="P534" s="8">
        <f>+VLOOKUP($B534,NIFTY_FMCG!$B$3:$I$1238,8,0)</f>
        <v>2.566313577119006E-3</v>
      </c>
      <c r="Q534" s="8">
        <f>+VLOOKUP($B534,NIFTY_METAL!$B$3:$I$1238,8,0)</f>
        <v>1.6469073547556334E-2</v>
      </c>
      <c r="R534" s="8">
        <f>+VLOOKUP($B534,NIFTY_ENERGY!$B$3:$I$1238,8,0)</f>
        <v>-1.3347480536332057E-3</v>
      </c>
      <c r="S534" s="8">
        <f>+VLOOKUP($B534,NIFTY_AUTO!$B$3:$I$1238,8,0)</f>
        <v>1.4981457075428306E-2</v>
      </c>
      <c r="T534" s="8">
        <v>0</v>
      </c>
      <c r="U534" s="8">
        <f>+VLOOKUP($B534,NIFTY_50!$B$63:$K$1238,10,0)</f>
        <v>5.853376643349506E-3</v>
      </c>
      <c r="V534" s="8">
        <f>+VLOOKUP($B534,NIFTY_BANK!$B$63:$K$1238,10,0)</f>
        <v>1.5481169175994403E-2</v>
      </c>
      <c r="W534" s="8">
        <f>+VLOOKUP($B534,NIFTY_IT!$B$63:$K$1238,10,0)</f>
        <v>7.1879121705198612E-2</v>
      </c>
      <c r="X534" s="8">
        <f>+VLOOKUP($B534,NIFTY_PHARMA!$B$63:$K$1238,10,0)</f>
        <v>-2.6866929937436113E-2</v>
      </c>
      <c r="Y534" s="8">
        <f>+VLOOKUP($B534,NIFTY_FMCG!$B$63:$K$1238,10,0)</f>
        <v>-1.4870664968702152E-2</v>
      </c>
      <c r="Z534" s="8">
        <f>+VLOOKUP($B534,NIFTY_METAL!$B$63:$K$1238,10,0)</f>
        <v>-8.8278693783281015E-2</v>
      </c>
      <c r="AA534" s="8">
        <f>+VLOOKUP($B534,NIFTY_ENERGY!$B$63:$K$1238,10,0)</f>
        <v>3.591370335968036E-2</v>
      </c>
      <c r="AB534" s="8">
        <f>+VLOOKUP($B534,NIFTY_AUTO!$B$63:$K$1238,10,0)</f>
        <v>-8.9870224098412055E-2</v>
      </c>
      <c r="AC534" s="8"/>
      <c r="AD534" s="16">
        <f t="shared" si="307"/>
        <v>6.0874010952699467E-2</v>
      </c>
      <c r="AE534" s="8">
        <f t="shared" si="308"/>
        <v>6.2542981212638363E-2</v>
      </c>
      <c r="AF534" s="8">
        <f t="shared" si="309"/>
        <v>7.8913930260086598E-2</v>
      </c>
      <c r="AG534" s="8">
        <f t="shared" si="310"/>
        <v>9.6655955215289205E-2</v>
      </c>
      <c r="AH534" s="8">
        <f t="shared" si="311"/>
        <v>6.5638875018205603E-2</v>
      </c>
      <c r="AI534" s="8">
        <f t="shared" si="312"/>
        <v>0.11587304209019482</v>
      </c>
      <c r="AJ534" s="8">
        <f t="shared" si="313"/>
        <v>9.2800759606411681E-2</v>
      </c>
      <c r="AK534" s="8">
        <f t="shared" si="314"/>
        <v>0.10118090943501275</v>
      </c>
      <c r="AL534" s="9">
        <v>0</v>
      </c>
      <c r="AM534" s="17">
        <f t="shared" si="291"/>
        <v>16.427371621315103</v>
      </c>
      <c r="AN534" s="13">
        <f t="shared" si="292"/>
        <v>15.989004371251896</v>
      </c>
      <c r="AO534" s="13">
        <f t="shared" si="293"/>
        <v>12.672033907121008</v>
      </c>
      <c r="AP534" s="13">
        <f t="shared" si="294"/>
        <v>10.345974004112044</v>
      </c>
      <c r="AQ534" s="13">
        <f t="shared" si="295"/>
        <v>15.234874146192176</v>
      </c>
      <c r="AR534" s="13">
        <f t="shared" si="296"/>
        <v>8.6301350336656082</v>
      </c>
      <c r="AS534" s="13">
        <f t="shared" si="297"/>
        <v>10.775773864796136</v>
      </c>
      <c r="AT534" s="13">
        <f t="shared" si="298"/>
        <v>9.8832873274605983</v>
      </c>
      <c r="AU534" s="9">
        <v>0</v>
      </c>
      <c r="AV534" s="18">
        <f t="shared" si="315"/>
        <v>1</v>
      </c>
      <c r="AW534" s="18">
        <f t="shared" si="316"/>
        <v>2</v>
      </c>
      <c r="AX534" s="18">
        <f t="shared" si="317"/>
        <v>4</v>
      </c>
      <c r="AY534" s="18">
        <f t="shared" si="318"/>
        <v>6</v>
      </c>
      <c r="AZ534" s="18">
        <f t="shared" si="319"/>
        <v>3</v>
      </c>
      <c r="BA534" s="18">
        <f t="shared" si="320"/>
        <v>8</v>
      </c>
      <c r="BB534" s="18">
        <f t="shared" si="321"/>
        <v>5</v>
      </c>
      <c r="BC534" s="18">
        <f t="shared" si="322"/>
        <v>7</v>
      </c>
      <c r="BD534" s="18">
        <f t="shared" si="323"/>
        <v>9</v>
      </c>
      <c r="BE534" s="8">
        <f t="shared" si="325"/>
        <v>-1.3688891928260712E-3</v>
      </c>
    </row>
    <row r="535" spans="1:57" x14ac:dyDescent="0.25">
      <c r="A535" t="str">
        <f t="shared" si="324"/>
        <v/>
      </c>
      <c r="B535" s="1">
        <v>43521</v>
      </c>
      <c r="C535" s="9">
        <f t="shared" si="299"/>
        <v>0.25229306579197763</v>
      </c>
      <c r="D535" s="9">
        <f t="shared" si="300"/>
        <v>0.24990013591762419</v>
      </c>
      <c r="E535" s="9">
        <f t="shared" si="301"/>
        <v>0</v>
      </c>
      <c r="F535" s="9">
        <f t="shared" si="302"/>
        <v>0</v>
      </c>
      <c r="G535" s="9">
        <f t="shared" si="303"/>
        <v>0.24716278392748928</v>
      </c>
      <c r="H535" s="9">
        <f t="shared" si="304"/>
        <v>0</v>
      </c>
      <c r="I535" s="9">
        <f t="shared" si="305"/>
        <v>0.25064401436290901</v>
      </c>
      <c r="J535" s="9">
        <f t="shared" si="306"/>
        <v>0</v>
      </c>
      <c r="K535" s="9">
        <v>0</v>
      </c>
      <c r="L535" s="8">
        <f>+VLOOKUP($B535,NIFTY_50!$B$3:$I$1238,8,0)</f>
        <v>8.1961516542883306E-3</v>
      </c>
      <c r="M535" s="8">
        <f>+VLOOKUP($B535,NIFTY_BANK!$B$3:$I$41238,8,0)</f>
        <v>1.0856963139549425E-2</v>
      </c>
      <c r="N535" s="8">
        <f>+VLOOKUP($B535,NIFTY_IT!$B$3:$I$1238,8,0)</f>
        <v>2.0338291456004853E-2</v>
      </c>
      <c r="O535" s="8">
        <f>+VLOOKUP($B535,NIFTY_PHARMA!$B$3:$I$1238,8,0)</f>
        <v>4.9700202904499058E-3</v>
      </c>
      <c r="P535" s="8">
        <f>+VLOOKUP($B535,NIFTY_FMCG!$B$3:$I$1238,8,0)</f>
        <v>2.9359260221877292E-3</v>
      </c>
      <c r="Q535" s="8">
        <f>+VLOOKUP($B535,NIFTY_METAL!$B$3:$I$1238,8,0)</f>
        <v>3.483217226092572E-3</v>
      </c>
      <c r="R535" s="8">
        <f>+VLOOKUP($B535,NIFTY_ENERGY!$B$3:$I$1238,8,0)</f>
        <v>-9.5418233003197184E-4</v>
      </c>
      <c r="S535" s="8">
        <f>+VLOOKUP($B535,NIFTY_AUTO!$B$3:$I$1238,8,0)</f>
        <v>1.1172914439633086E-2</v>
      </c>
      <c r="T535" s="8">
        <v>0</v>
      </c>
      <c r="U535" s="8">
        <f>+VLOOKUP($B535,NIFTY_50!$B$63:$K$1238,10,0)</f>
        <v>1.9707699816735591E-3</v>
      </c>
      <c r="V535" s="8">
        <f>+VLOOKUP($B535,NIFTY_BANK!$B$63:$K$1238,10,0)</f>
        <v>8.1534246982137848E-3</v>
      </c>
      <c r="W535" s="8">
        <f>+VLOOKUP($B535,NIFTY_IT!$B$63:$K$1238,10,0)</f>
        <v>0.10635106081450107</v>
      </c>
      <c r="X535" s="8">
        <f>+VLOOKUP($B535,NIFTY_PHARMA!$B$63:$K$1238,10,0)</f>
        <v>-3.0190360425272011E-2</v>
      </c>
      <c r="Y535" s="8">
        <f>+VLOOKUP($B535,NIFTY_FMCG!$B$63:$K$1238,10,0)</f>
        <v>-2.5613040090770367E-2</v>
      </c>
      <c r="Z535" s="8">
        <f>+VLOOKUP($B535,NIFTY_METAL!$B$63:$K$1238,10,0)</f>
        <v>-0.10233692658745774</v>
      </c>
      <c r="AA535" s="8">
        <f>+VLOOKUP($B535,NIFTY_ENERGY!$B$63:$K$1238,10,0)</f>
        <v>2.749531942733463E-2</v>
      </c>
      <c r="AB535" s="8">
        <f>+VLOOKUP($B535,NIFTY_AUTO!$B$63:$K$1238,10,0)</f>
        <v>-9.026743895415168E-2</v>
      </c>
      <c r="AC535" s="8"/>
      <c r="AD535" s="16">
        <f t="shared" si="307"/>
        <v>6.0225221838685707E-2</v>
      </c>
      <c r="AE535" s="8">
        <f t="shared" si="308"/>
        <v>6.0839021603473702E-2</v>
      </c>
      <c r="AF535" s="8">
        <f t="shared" si="309"/>
        <v>8.0110310628705578E-2</v>
      </c>
      <c r="AG535" s="8">
        <f t="shared" si="310"/>
        <v>9.6403015603431286E-2</v>
      </c>
      <c r="AH535" s="8">
        <f t="shared" si="311"/>
        <v>6.4145326056374199E-2</v>
      </c>
      <c r="AI535" s="8">
        <f t="shared" si="312"/>
        <v>0.11411374298335628</v>
      </c>
      <c r="AJ535" s="8">
        <f t="shared" si="313"/>
        <v>9.2574999328579141E-2</v>
      </c>
      <c r="AK535" s="8">
        <f t="shared" si="314"/>
        <v>0.10112479791068245</v>
      </c>
      <c r="AL535" s="9">
        <v>0</v>
      </c>
      <c r="AM535" s="17">
        <f t="shared" si="291"/>
        <v>16.604339003989345</v>
      </c>
      <c r="AN535" s="13">
        <f t="shared" si="292"/>
        <v>16.436819226279329</v>
      </c>
      <c r="AO535" s="13">
        <f t="shared" si="293"/>
        <v>12.482787698012924</v>
      </c>
      <c r="AP535" s="13">
        <f t="shared" si="294"/>
        <v>10.373119489473801</v>
      </c>
      <c r="AQ535" s="13">
        <f t="shared" si="295"/>
        <v>15.58960038836109</v>
      </c>
      <c r="AR535" s="13">
        <f t="shared" si="296"/>
        <v>8.7631863950501749</v>
      </c>
      <c r="AS535" s="13">
        <f t="shared" si="297"/>
        <v>10.802052468298388</v>
      </c>
      <c r="AT535" s="13">
        <f t="shared" si="298"/>
        <v>9.8887713069472909</v>
      </c>
      <c r="AU535" s="9">
        <v>0</v>
      </c>
      <c r="AV535" s="18">
        <f t="shared" si="315"/>
        <v>1</v>
      </c>
      <c r="AW535" s="18">
        <f t="shared" si="316"/>
        <v>2</v>
      </c>
      <c r="AX535" s="18">
        <f t="shared" si="317"/>
        <v>4</v>
      </c>
      <c r="AY535" s="18">
        <f t="shared" si="318"/>
        <v>6</v>
      </c>
      <c r="AZ535" s="18">
        <f t="shared" si="319"/>
        <v>3</v>
      </c>
      <c r="BA535" s="18">
        <f t="shared" si="320"/>
        <v>8</v>
      </c>
      <c r="BB535" s="18">
        <f t="shared" si="321"/>
        <v>5</v>
      </c>
      <c r="BC535" s="18">
        <f t="shared" si="322"/>
        <v>7</v>
      </c>
      <c r="BD535" s="18">
        <f t="shared" si="323"/>
        <v>9</v>
      </c>
      <c r="BE535" s="8">
        <f t="shared" si="325"/>
        <v>5.2465596810382636E-3</v>
      </c>
    </row>
    <row r="536" spans="1:57" x14ac:dyDescent="0.25">
      <c r="A536" t="str">
        <f t="shared" si="324"/>
        <v/>
      </c>
      <c r="B536" s="1">
        <v>43522</v>
      </c>
      <c r="C536" s="9">
        <f t="shared" si="299"/>
        <v>0.2524404730795069</v>
      </c>
      <c r="D536" s="9">
        <f t="shared" si="300"/>
        <v>0.24917280612260065</v>
      </c>
      <c r="E536" s="9">
        <f t="shared" si="301"/>
        <v>0</v>
      </c>
      <c r="F536" s="9">
        <f t="shared" si="302"/>
        <v>0</v>
      </c>
      <c r="G536" s="9">
        <f t="shared" si="303"/>
        <v>0.24770819666686128</v>
      </c>
      <c r="H536" s="9">
        <f t="shared" si="304"/>
        <v>0</v>
      </c>
      <c r="I536" s="9">
        <f t="shared" si="305"/>
        <v>0.2506785241310312</v>
      </c>
      <c r="J536" s="9">
        <f t="shared" si="306"/>
        <v>0</v>
      </c>
      <c r="K536" s="9">
        <v>0</v>
      </c>
      <c r="L536" s="8">
        <f>+VLOOKUP($B536,NIFTY_50!$B$3:$I$1238,8,0)</f>
        <v>-4.1176092131507414E-3</v>
      </c>
      <c r="M536" s="8">
        <f>+VLOOKUP($B536,NIFTY_BANK!$B$3:$I$41238,8,0)</f>
        <v>-7.5959387685594626E-3</v>
      </c>
      <c r="N536" s="8">
        <f>+VLOOKUP($B536,NIFTY_IT!$B$3:$I$1238,8,0)</f>
        <v>-8.810462580528533E-4</v>
      </c>
      <c r="O536" s="8">
        <f>+VLOOKUP($B536,NIFTY_PHARMA!$B$3:$I$1238,8,0)</f>
        <v>1.502915088133161E-3</v>
      </c>
      <c r="P536" s="8">
        <f>+VLOOKUP($B536,NIFTY_FMCG!$B$3:$I$1238,8,0)</f>
        <v>-2.5028088403026283E-3</v>
      </c>
      <c r="Q536" s="8">
        <f>+VLOOKUP($B536,NIFTY_METAL!$B$3:$I$1238,8,0)</f>
        <v>9.8173275831858753E-4</v>
      </c>
      <c r="R536" s="8">
        <f>+VLOOKUP($B536,NIFTY_ENERGY!$B$3:$I$1238,8,0)</f>
        <v>-4.562096328985743E-3</v>
      </c>
      <c r="S536" s="8">
        <f>+VLOOKUP($B536,NIFTY_AUTO!$B$3:$I$1238,8,0)</f>
        <v>3.3028925693876499E-3</v>
      </c>
      <c r="T536" s="8">
        <v>0</v>
      </c>
      <c r="U536" s="8">
        <f>+VLOOKUP($B536,NIFTY_50!$B$63:$K$1238,10,0)</f>
        <v>-3.8108810076540323E-3</v>
      </c>
      <c r="V536" s="8">
        <f>+VLOOKUP($B536,NIFTY_BANK!$B$63:$K$1238,10,0)</f>
        <v>3.3503394079950066E-3</v>
      </c>
      <c r="W536" s="8">
        <f>+VLOOKUP($B536,NIFTY_IT!$B$63:$K$1238,10,0)</f>
        <v>9.2331287295780662E-2</v>
      </c>
      <c r="X536" s="8">
        <f>+VLOOKUP($B536,NIFTY_PHARMA!$B$63:$K$1238,10,0)</f>
        <v>-4.8109576635725571E-2</v>
      </c>
      <c r="Y536" s="8">
        <f>+VLOOKUP($B536,NIFTY_FMCG!$B$63:$K$1238,10,0)</f>
        <v>-2.8964773245923392E-2</v>
      </c>
      <c r="Z536" s="8">
        <f>+VLOOKUP($B536,NIFTY_METAL!$B$63:$K$1238,10,0)</f>
        <v>-9.7621493480837596E-2</v>
      </c>
      <c r="AA536" s="8">
        <f>+VLOOKUP($B536,NIFTY_ENERGY!$B$63:$K$1238,10,0)</f>
        <v>2.5946055382767952E-2</v>
      </c>
      <c r="AB536" s="8">
        <f>+VLOOKUP($B536,NIFTY_AUTO!$B$63:$K$1238,10,0)</f>
        <v>-9.3967767685702586E-2</v>
      </c>
      <c r="AC536" s="8"/>
      <c r="AD536" s="16">
        <f t="shared" si="307"/>
        <v>6.0344332640623013E-2</v>
      </c>
      <c r="AE536" s="8">
        <f t="shared" si="308"/>
        <v>6.1254979530331481E-2</v>
      </c>
      <c r="AF536" s="8">
        <f t="shared" si="309"/>
        <v>7.9479540754448852E-2</v>
      </c>
      <c r="AG536" s="8">
        <f t="shared" si="310"/>
        <v>9.4125155647713829E-2</v>
      </c>
      <c r="AH536" s="8">
        <f t="shared" si="311"/>
        <v>6.416472999169906E-2</v>
      </c>
      <c r="AI536" s="8">
        <f t="shared" si="312"/>
        <v>0.11411303395964502</v>
      </c>
      <c r="AJ536" s="8">
        <f t="shared" si="313"/>
        <v>9.2645007281659503E-2</v>
      </c>
      <c r="AK536" s="8">
        <f t="shared" si="314"/>
        <v>0.10084681849431437</v>
      </c>
      <c r="AL536" s="9">
        <v>0</v>
      </c>
      <c r="AM536" s="17">
        <f t="shared" si="291"/>
        <v>16.571564490661267</v>
      </c>
      <c r="AN536" s="13">
        <f t="shared" si="292"/>
        <v>16.325203398440976</v>
      </c>
      <c r="AO536" s="13">
        <f t="shared" si="293"/>
        <v>12.581854279826413</v>
      </c>
      <c r="AP536" s="13">
        <f t="shared" si="294"/>
        <v>10.624152418326318</v>
      </c>
      <c r="AQ536" s="13">
        <f t="shared" si="295"/>
        <v>15.584885966626358</v>
      </c>
      <c r="AR536" s="13">
        <f t="shared" si="296"/>
        <v>8.7632408437553284</v>
      </c>
      <c r="AS536" s="13">
        <f t="shared" si="297"/>
        <v>10.793889809515568</v>
      </c>
      <c r="AT536" s="13">
        <f t="shared" si="298"/>
        <v>9.9160292305738817</v>
      </c>
      <c r="AU536" s="9">
        <v>0</v>
      </c>
      <c r="AV536" s="18">
        <f t="shared" si="315"/>
        <v>1</v>
      </c>
      <c r="AW536" s="18">
        <f t="shared" si="316"/>
        <v>2</v>
      </c>
      <c r="AX536" s="18">
        <f t="shared" si="317"/>
        <v>4</v>
      </c>
      <c r="AY536" s="18">
        <f t="shared" si="318"/>
        <v>6</v>
      </c>
      <c r="AZ536" s="18">
        <f t="shared" si="319"/>
        <v>3</v>
      </c>
      <c r="BA536" s="18">
        <f t="shared" si="320"/>
        <v>8</v>
      </c>
      <c r="BB536" s="18">
        <f t="shared" si="321"/>
        <v>5</v>
      </c>
      <c r="BC536" s="18">
        <f t="shared" si="322"/>
        <v>7</v>
      </c>
      <c r="BD536" s="18">
        <f t="shared" si="323"/>
        <v>9</v>
      </c>
      <c r="BE536" s="8">
        <f t="shared" si="325"/>
        <v>-4.6991337212188601E-3</v>
      </c>
    </row>
    <row r="537" spans="1:57" x14ac:dyDescent="0.25">
      <c r="A537" t="str">
        <f t="shared" si="324"/>
        <v/>
      </c>
      <c r="B537" s="1">
        <v>43523</v>
      </c>
      <c r="C537" s="9">
        <f t="shared" si="299"/>
        <v>0.25250309219979611</v>
      </c>
      <c r="D537" s="9">
        <f t="shared" si="300"/>
        <v>0.24847079965128868</v>
      </c>
      <c r="E537" s="9">
        <f t="shared" si="301"/>
        <v>0</v>
      </c>
      <c r="F537" s="9">
        <f t="shared" si="302"/>
        <v>0</v>
      </c>
      <c r="G537" s="9">
        <f t="shared" si="303"/>
        <v>0.24773270623676616</v>
      </c>
      <c r="H537" s="9">
        <f t="shared" si="304"/>
        <v>0</v>
      </c>
      <c r="I537" s="9">
        <f t="shared" si="305"/>
        <v>0.25129340191214905</v>
      </c>
      <c r="J537" s="9">
        <f t="shared" si="306"/>
        <v>0</v>
      </c>
      <c r="K537" s="9">
        <v>0</v>
      </c>
      <c r="L537" s="8">
        <f>+VLOOKUP($B537,NIFTY_50!$B$3:$I$1238,8,0)</f>
        <v>-2.6441353723477556E-3</v>
      </c>
      <c r="M537" s="8">
        <f>+VLOOKUP($B537,NIFTY_BANK!$B$3:$I$41238,8,0)</f>
        <v>-5.7006746942357411E-3</v>
      </c>
      <c r="N537" s="8">
        <f>+VLOOKUP($B537,NIFTY_IT!$B$3:$I$1238,8,0)</f>
        <v>-5.4723069995497031E-3</v>
      </c>
      <c r="O537" s="8">
        <f>+VLOOKUP($B537,NIFTY_PHARMA!$B$3:$I$1238,8,0)</f>
        <v>4.1622071589964005E-3</v>
      </c>
      <c r="P537" s="8">
        <f>+VLOOKUP($B537,NIFTY_FMCG!$B$3:$I$1238,8,0)</f>
        <v>-2.7928138881815334E-3</v>
      </c>
      <c r="Q537" s="8">
        <f>+VLOOKUP($B537,NIFTY_METAL!$B$3:$I$1238,8,0)</f>
        <v>-2.8197134750780339E-3</v>
      </c>
      <c r="R537" s="8">
        <f>+VLOOKUP($B537,NIFTY_ENERGY!$B$3:$I$1238,8,0)</f>
        <v>-4.4571164157991561E-4</v>
      </c>
      <c r="S537" s="8">
        <f>+VLOOKUP($B537,NIFTY_AUTO!$B$3:$I$1238,8,0)</f>
        <v>2.4943148670688586E-3</v>
      </c>
      <c r="T537" s="8">
        <v>0</v>
      </c>
      <c r="U537" s="8">
        <f>+VLOOKUP($B537,NIFTY_50!$B$63:$K$1238,10,0)</f>
        <v>-7.083955438153211E-3</v>
      </c>
      <c r="V537" s="8">
        <f>+VLOOKUP($B537,NIFTY_BANK!$B$63:$K$1238,10,0)</f>
        <v>-2.1688500998787719E-3</v>
      </c>
      <c r="W537" s="8">
        <f>+VLOOKUP($B537,NIFTY_IT!$B$63:$K$1238,10,0)</f>
        <v>7.8810615722775479E-2</v>
      </c>
      <c r="X537" s="8">
        <f>+VLOOKUP($B537,NIFTY_PHARMA!$B$63:$K$1238,10,0)</f>
        <v>-2.0677314600039631E-2</v>
      </c>
      <c r="Y537" s="8">
        <f>+VLOOKUP($B537,NIFTY_FMCG!$B$63:$K$1238,10,0)</f>
        <v>-3.8763227654880716E-2</v>
      </c>
      <c r="Z537" s="8">
        <f>+VLOOKUP($B537,NIFTY_METAL!$B$63:$K$1238,10,0)</f>
        <v>-0.11803522468516192</v>
      </c>
      <c r="AA537" s="8">
        <f>+VLOOKUP($B537,NIFTY_ENERGY!$B$63:$K$1238,10,0)</f>
        <v>2.4787651521757992E-2</v>
      </c>
      <c r="AB537" s="8">
        <f>+VLOOKUP($B537,NIFTY_AUTO!$B$63:$K$1238,10,0)</f>
        <v>-9.0766257045979848E-2</v>
      </c>
      <c r="AC537" s="8"/>
      <c r="AD537" s="16">
        <f t="shared" si="307"/>
        <v>6.0395558374741781E-2</v>
      </c>
      <c r="AE537" s="8">
        <f t="shared" si="308"/>
        <v>6.152296585913429E-2</v>
      </c>
      <c r="AF537" s="8">
        <f t="shared" si="309"/>
        <v>7.9579608671716873E-2</v>
      </c>
      <c r="AG537" s="8">
        <f t="shared" si="310"/>
        <v>9.1273665923731678E-2</v>
      </c>
      <c r="AH537" s="8">
        <f t="shared" si="311"/>
        <v>6.3716252279141267E-2</v>
      </c>
      <c r="AI537" s="8">
        <f t="shared" si="312"/>
        <v>0.11197226333765307</v>
      </c>
      <c r="AJ537" s="8">
        <f t="shared" si="313"/>
        <v>9.2649419572319883E-2</v>
      </c>
      <c r="AK537" s="8">
        <f t="shared" si="314"/>
        <v>0.10092495514474271</v>
      </c>
      <c r="AL537" s="9">
        <v>0</v>
      </c>
      <c r="AM537" s="17">
        <f t="shared" si="291"/>
        <v>16.557508977650468</v>
      </c>
      <c r="AN537" s="13">
        <f t="shared" si="292"/>
        <v>16.254092858423704</v>
      </c>
      <c r="AO537" s="13">
        <f t="shared" si="293"/>
        <v>12.566033142047942</v>
      </c>
      <c r="AP537" s="13">
        <f t="shared" si="294"/>
        <v>10.956062626383392</v>
      </c>
      <c r="AQ537" s="13">
        <f t="shared" si="295"/>
        <v>15.694582845503755</v>
      </c>
      <c r="AR537" s="13">
        <f t="shared" si="296"/>
        <v>8.9307831260362551</v>
      </c>
      <c r="AS537" s="13">
        <f t="shared" si="297"/>
        <v>10.793375766584532</v>
      </c>
      <c r="AT537" s="13">
        <f t="shared" si="298"/>
        <v>9.9083521866899833</v>
      </c>
      <c r="AU537" s="9">
        <v>0</v>
      </c>
      <c r="AV537" s="18">
        <f t="shared" si="315"/>
        <v>1</v>
      </c>
      <c r="AW537" s="18">
        <f t="shared" si="316"/>
        <v>2</v>
      </c>
      <c r="AX537" s="18">
        <f t="shared" si="317"/>
        <v>4</v>
      </c>
      <c r="AY537" s="18">
        <f t="shared" si="318"/>
        <v>5</v>
      </c>
      <c r="AZ537" s="18">
        <f t="shared" si="319"/>
        <v>3</v>
      </c>
      <c r="BA537" s="18">
        <f t="shared" si="320"/>
        <v>8</v>
      </c>
      <c r="BB537" s="18">
        <f t="shared" si="321"/>
        <v>6</v>
      </c>
      <c r="BC537" s="18">
        <f t="shared" si="322"/>
        <v>7</v>
      </c>
      <c r="BD537" s="18">
        <f t="shared" si="323"/>
        <v>9</v>
      </c>
      <c r="BE537" s="8">
        <f t="shared" si="325"/>
        <v>-2.8914731230034289E-3</v>
      </c>
    </row>
    <row r="538" spans="1:57" x14ac:dyDescent="0.25">
      <c r="A538" t="str">
        <f t="shared" si="324"/>
        <v>Y</v>
      </c>
      <c r="B538" s="1">
        <v>43524</v>
      </c>
      <c r="C538" s="9">
        <f t="shared" si="299"/>
        <v>0.25</v>
      </c>
      <c r="D538" s="9">
        <f t="shared" si="300"/>
        <v>0.25</v>
      </c>
      <c r="E538" s="9">
        <f t="shared" si="301"/>
        <v>0.25</v>
      </c>
      <c r="F538" s="9">
        <f t="shared" si="302"/>
        <v>0</v>
      </c>
      <c r="G538" s="9">
        <f t="shared" si="303"/>
        <v>0.25</v>
      </c>
      <c r="H538" s="9">
        <f t="shared" si="304"/>
        <v>0</v>
      </c>
      <c r="I538" s="9">
        <f t="shared" si="305"/>
        <v>0</v>
      </c>
      <c r="J538" s="9">
        <f t="shared" si="306"/>
        <v>0</v>
      </c>
      <c r="K538" s="9">
        <v>0</v>
      </c>
      <c r="L538" s="8">
        <f>+VLOOKUP($B538,NIFTY_50!$B$3:$I$1238,8,0)</f>
        <v>-1.3093789472222728E-3</v>
      </c>
      <c r="M538" s="8">
        <f>+VLOOKUP($B538,NIFTY_BANK!$B$3:$I$41238,8,0)</f>
        <v>-3.5075543017903943E-4</v>
      </c>
      <c r="N538" s="8">
        <f>+VLOOKUP($B538,NIFTY_IT!$B$3:$I$1238,8,0)</f>
        <v>-1.0696700435791517E-2</v>
      </c>
      <c r="O538" s="8">
        <f>+VLOOKUP($B538,NIFTY_PHARMA!$B$3:$I$1238,8,0)</f>
        <v>2.1034941688660158E-3</v>
      </c>
      <c r="P538" s="8">
        <f>+VLOOKUP($B538,NIFTY_FMCG!$B$3:$I$1238,8,0)</f>
        <v>3.1160069861631001E-3</v>
      </c>
      <c r="Q538" s="8">
        <f>+VLOOKUP($B538,NIFTY_METAL!$B$3:$I$1238,8,0)</f>
        <v>8.6938194846934991E-3</v>
      </c>
      <c r="R538" s="8">
        <f>+VLOOKUP($B538,NIFTY_ENERGY!$B$3:$I$1238,8,0)</f>
        <v>8.812687001541919E-3</v>
      </c>
      <c r="S538" s="8">
        <f>+VLOOKUP($B538,NIFTY_AUTO!$B$3:$I$1238,8,0)</f>
        <v>-7.7077927090694054E-3</v>
      </c>
      <c r="T538" s="8">
        <v>0</v>
      </c>
      <c r="U538" s="8">
        <f>+VLOOKUP($B538,NIFTY_50!$B$63:$K$1238,10,0)</f>
        <v>-7.0840425042549837E-3</v>
      </c>
      <c r="V538" s="8">
        <f>+VLOOKUP($B538,NIFTY_BANK!$B$63:$K$1238,10,0)</f>
        <v>3.600086911567546E-3</v>
      </c>
      <c r="W538" s="8">
        <f>+VLOOKUP($B538,NIFTY_IT!$B$63:$K$1238,10,0)</f>
        <v>4.8806992046613651E-2</v>
      </c>
      <c r="X538" s="8">
        <f>+VLOOKUP($B538,NIFTY_PHARMA!$B$63:$K$1238,10,0)</f>
        <v>-1.9808260888751539E-2</v>
      </c>
      <c r="Y538" s="8">
        <f>+VLOOKUP($B538,NIFTY_FMCG!$B$63:$K$1238,10,0)</f>
        <v>-2.9447077513954922E-2</v>
      </c>
      <c r="Z538" s="8">
        <f>+VLOOKUP($B538,NIFTY_METAL!$B$63:$K$1238,10,0)</f>
        <v>-0.11275895629605603</v>
      </c>
      <c r="AA538" s="8">
        <f>+VLOOKUP($B538,NIFTY_ENERGY!$B$63:$K$1238,10,0)</f>
        <v>3.1993648627003157E-2</v>
      </c>
      <c r="AB538" s="8">
        <f>+VLOOKUP($B538,NIFTY_AUTO!$B$63:$K$1238,10,0)</f>
        <v>-9.3034237207181847E-2</v>
      </c>
      <c r="AC538" s="8"/>
      <c r="AD538" s="16">
        <f t="shared" si="307"/>
        <v>6.0395560147675734E-2</v>
      </c>
      <c r="AE538" s="8">
        <f t="shared" si="308"/>
        <v>6.1217125359901155E-2</v>
      </c>
      <c r="AF538" s="8">
        <f t="shared" si="309"/>
        <v>7.8725131857444855E-2</v>
      </c>
      <c r="AG538" s="8">
        <f t="shared" si="310"/>
        <v>9.1292410250170763E-2</v>
      </c>
      <c r="AH538" s="8">
        <f t="shared" si="311"/>
        <v>6.3540304484548157E-2</v>
      </c>
      <c r="AI538" s="8">
        <f t="shared" si="312"/>
        <v>0.11237861754345993</v>
      </c>
      <c r="AJ538" s="8">
        <f t="shared" si="313"/>
        <v>9.3010702874913836E-2</v>
      </c>
      <c r="AK538" s="8">
        <f t="shared" si="314"/>
        <v>0.10104712078639785</v>
      </c>
      <c r="AL538" s="9">
        <v>0</v>
      </c>
      <c r="AM538" s="17">
        <f t="shared" si="291"/>
        <v>16.557508491598682</v>
      </c>
      <c r="AN538" s="13">
        <f t="shared" si="292"/>
        <v>16.335298237558646</v>
      </c>
      <c r="AO538" s="13">
        <f t="shared" si="293"/>
        <v>12.702423945263069</v>
      </c>
      <c r="AP538" s="13">
        <f t="shared" si="294"/>
        <v>10.953813107351161</v>
      </c>
      <c r="AQ538" s="13">
        <f t="shared" si="295"/>
        <v>15.7380423042068</v>
      </c>
      <c r="AR538" s="13">
        <f t="shared" si="296"/>
        <v>8.8984899606303856</v>
      </c>
      <c r="AS538" s="13">
        <f t="shared" si="297"/>
        <v>10.751450844800708</v>
      </c>
      <c r="AT538" s="13">
        <f t="shared" si="298"/>
        <v>9.8963730209976646</v>
      </c>
      <c r="AU538" s="9">
        <v>0</v>
      </c>
      <c r="AV538" s="18">
        <f t="shared" si="315"/>
        <v>1</v>
      </c>
      <c r="AW538" s="18">
        <f t="shared" si="316"/>
        <v>2</v>
      </c>
      <c r="AX538" s="18">
        <f t="shared" si="317"/>
        <v>4</v>
      </c>
      <c r="AY538" s="18">
        <f t="shared" si="318"/>
        <v>5</v>
      </c>
      <c r="AZ538" s="18">
        <f t="shared" si="319"/>
        <v>3</v>
      </c>
      <c r="BA538" s="18">
        <f t="shared" si="320"/>
        <v>8</v>
      </c>
      <c r="BB538" s="18">
        <f t="shared" si="321"/>
        <v>6</v>
      </c>
      <c r="BC538" s="18">
        <f t="shared" si="322"/>
        <v>7</v>
      </c>
      <c r="BD538" s="18">
        <f t="shared" si="323"/>
        <v>9</v>
      </c>
      <c r="BE538" s="8">
        <f t="shared" si="325"/>
        <v>2.5687322246857446E-3</v>
      </c>
    </row>
    <row r="539" spans="1:57" x14ac:dyDescent="0.25">
      <c r="A539" t="str">
        <f t="shared" si="324"/>
        <v/>
      </c>
      <c r="B539" s="1">
        <v>43525</v>
      </c>
      <c r="C539" s="9">
        <f t="shared" si="299"/>
        <v>0.24974924728105272</v>
      </c>
      <c r="D539" s="9">
        <f t="shared" si="300"/>
        <v>0.25046941734359834</v>
      </c>
      <c r="E539" s="9">
        <f t="shared" si="301"/>
        <v>0.2499511978907791</v>
      </c>
      <c r="F539" s="9">
        <f t="shared" si="302"/>
        <v>0</v>
      </c>
      <c r="G539" s="9">
        <f t="shared" si="303"/>
        <v>0.24983013748456973</v>
      </c>
      <c r="H539" s="9">
        <f t="shared" si="304"/>
        <v>0</v>
      </c>
      <c r="I539" s="9">
        <f t="shared" si="305"/>
        <v>0</v>
      </c>
      <c r="J539" s="9">
        <f t="shared" si="306"/>
        <v>0</v>
      </c>
      <c r="K539" s="9">
        <v>0</v>
      </c>
      <c r="L539" s="8">
        <f>+VLOOKUP($B539,NIFTY_50!$B$3:$I$1238,8,0)</f>
        <v>6.5786425758629363E-3</v>
      </c>
      <c r="M539" s="8">
        <f>+VLOOKUP($B539,NIFTY_BANK!$B$3:$I$41238,8,0)</f>
        <v>9.4811850734792813E-3</v>
      </c>
      <c r="N539" s="8">
        <f>+VLOOKUP($B539,NIFTY_IT!$B$3:$I$1238,8,0)</f>
        <v>7.3925756420034627E-3</v>
      </c>
      <c r="O539" s="8">
        <f>+VLOOKUP($B539,NIFTY_PHARMA!$B$3:$I$1238,8,0)</f>
        <v>9.8819901292648282E-3</v>
      </c>
      <c r="P539" s="8">
        <f>+VLOOKUP($B539,NIFTY_FMCG!$B$3:$I$1238,8,0)</f>
        <v>6.9046589788761548E-3</v>
      </c>
      <c r="Q539" s="8">
        <f>+VLOOKUP($B539,NIFTY_METAL!$B$3:$I$1238,8,0)</f>
        <v>1.7794957514974286E-2</v>
      </c>
      <c r="R539" s="8">
        <f>+VLOOKUP($B539,NIFTY_ENERGY!$B$3:$I$1238,8,0)</f>
        <v>2.6554644532172933E-3</v>
      </c>
      <c r="S539" s="8">
        <f>+VLOOKUP($B539,NIFTY_AUTO!$B$3:$I$1238,8,0)</f>
        <v>7.0016696289114666E-3</v>
      </c>
      <c r="T539" s="8">
        <v>0</v>
      </c>
      <c r="U539" s="8">
        <f>+VLOOKUP($B539,NIFTY_50!$B$63:$K$1238,10,0)</f>
        <v>7.4747980598912633E-3</v>
      </c>
      <c r="V539" s="8">
        <f>+VLOOKUP($B539,NIFTY_BANK!$B$63:$K$1238,10,0)</f>
        <v>1.977028311135931E-2</v>
      </c>
      <c r="W539" s="8">
        <f>+VLOOKUP($B539,NIFTY_IT!$B$63:$K$1238,10,0)</f>
        <v>5.564196243909425E-2</v>
      </c>
      <c r="X539" s="8">
        <f>+VLOOKUP($B539,NIFTY_PHARMA!$B$63:$K$1238,10,0)</f>
        <v>1.8207712035586798E-2</v>
      </c>
      <c r="Y539" s="8">
        <f>+VLOOKUP($B539,NIFTY_FMCG!$B$63:$K$1238,10,0)</f>
        <v>-1.574348113655033E-2</v>
      </c>
      <c r="Z539" s="8">
        <f>+VLOOKUP($B539,NIFTY_METAL!$B$63:$K$1238,10,0)</f>
        <v>-6.3117066290550139E-2</v>
      </c>
      <c r="AA539" s="8">
        <f>+VLOOKUP($B539,NIFTY_ENERGY!$B$63:$K$1238,10,0)</f>
        <v>3.9428441506200063E-2</v>
      </c>
      <c r="AB539" s="8">
        <f>+VLOOKUP($B539,NIFTY_AUTO!$B$63:$K$1238,10,0)</f>
        <v>-6.441192496302639E-2</v>
      </c>
      <c r="AC539" s="8"/>
      <c r="AD539" s="16">
        <f t="shared" si="307"/>
        <v>6.0220230658383903E-2</v>
      </c>
      <c r="AE539" s="8">
        <f t="shared" si="308"/>
        <v>6.1544883900514963E-2</v>
      </c>
      <c r="AF539" s="8">
        <f t="shared" si="309"/>
        <v>7.8993579190357363E-2</v>
      </c>
      <c r="AG539" s="8">
        <f t="shared" si="310"/>
        <v>8.7487578418292689E-2</v>
      </c>
      <c r="AH539" s="8">
        <f t="shared" si="311"/>
        <v>6.3592577260455821E-2</v>
      </c>
      <c r="AI539" s="8">
        <f t="shared" si="312"/>
        <v>0.10859267339395456</v>
      </c>
      <c r="AJ539" s="8">
        <f t="shared" si="313"/>
        <v>9.2889068704091471E-2</v>
      </c>
      <c r="AK539" s="8">
        <f t="shared" si="314"/>
        <v>9.8846691932740746E-2</v>
      </c>
      <c r="AL539" s="9">
        <v>0</v>
      </c>
      <c r="AM539" s="17">
        <f t="shared" si="291"/>
        <v>16.60571520678457</v>
      </c>
      <c r="AN539" s="13">
        <f t="shared" si="292"/>
        <v>16.248304271992179</v>
      </c>
      <c r="AO539" s="13">
        <f t="shared" si="293"/>
        <v>12.659256742756487</v>
      </c>
      <c r="AP539" s="13">
        <f t="shared" si="294"/>
        <v>11.430194069595039</v>
      </c>
      <c r="AQ539" s="13">
        <f t="shared" si="295"/>
        <v>15.725105713270665</v>
      </c>
      <c r="AR539" s="13">
        <f t="shared" si="296"/>
        <v>9.2087243894639279</v>
      </c>
      <c r="AS539" s="13">
        <f t="shared" si="297"/>
        <v>10.76552939921932</v>
      </c>
      <c r="AT539" s="13">
        <f t="shared" si="298"/>
        <v>10.116676445585453</v>
      </c>
      <c r="AU539" s="9">
        <v>0</v>
      </c>
      <c r="AV539" s="18">
        <f t="shared" si="315"/>
        <v>1</v>
      </c>
      <c r="AW539" s="18">
        <f t="shared" si="316"/>
        <v>2</v>
      </c>
      <c r="AX539" s="18">
        <f t="shared" si="317"/>
        <v>4</v>
      </c>
      <c r="AY539" s="18">
        <f t="shared" si="318"/>
        <v>5</v>
      </c>
      <c r="AZ539" s="18">
        <f t="shared" si="319"/>
        <v>3</v>
      </c>
      <c r="BA539" s="18">
        <f t="shared" si="320"/>
        <v>8</v>
      </c>
      <c r="BB539" s="18">
        <f t="shared" si="321"/>
        <v>6</v>
      </c>
      <c r="BC539" s="18">
        <f t="shared" si="322"/>
        <v>7</v>
      </c>
      <c r="BD539" s="18">
        <f t="shared" si="323"/>
        <v>9</v>
      </c>
      <c r="BE539" s="8">
        <f t="shared" si="325"/>
        <v>7.5892655675554588E-3</v>
      </c>
    </row>
    <row r="540" spans="1:57" x14ac:dyDescent="0.25">
      <c r="A540" t="str">
        <f t="shared" si="324"/>
        <v/>
      </c>
      <c r="B540" s="1">
        <v>43529</v>
      </c>
      <c r="C540" s="9">
        <f t="shared" si="299"/>
        <v>0.25103439805301364</v>
      </c>
      <c r="D540" s="9">
        <f t="shared" si="300"/>
        <v>0.25361371168910823</v>
      </c>
      <c r="E540" s="9">
        <f t="shared" si="301"/>
        <v>0.24551605079404462</v>
      </c>
      <c r="F540" s="9">
        <f t="shared" si="302"/>
        <v>0</v>
      </c>
      <c r="G540" s="9">
        <f t="shared" si="303"/>
        <v>0.24983583946383348</v>
      </c>
      <c r="H540" s="9">
        <f t="shared" si="304"/>
        <v>0</v>
      </c>
      <c r="I540" s="9">
        <f t="shared" si="305"/>
        <v>0</v>
      </c>
      <c r="J540" s="9">
        <f t="shared" si="306"/>
        <v>0</v>
      </c>
      <c r="K540" s="9">
        <v>0</v>
      </c>
      <c r="L540" s="8">
        <f>+VLOOKUP($B540,NIFTY_50!$B$3:$I$1238,8,0)</f>
        <v>1.1409766649790543E-2</v>
      </c>
      <c r="M540" s="8">
        <f>+VLOOKUP($B540,NIFTY_BANK!$B$3:$I$41238,8,0)</f>
        <v>1.8863773346299739E-2</v>
      </c>
      <c r="N540" s="8">
        <f>+VLOOKUP($B540,NIFTY_IT!$B$3:$I$1238,8,0)</f>
        <v>-1.162269770259261E-2</v>
      </c>
      <c r="O540" s="8">
        <f>+VLOOKUP($B540,NIFTY_PHARMA!$B$3:$I$1238,8,0)</f>
        <v>9.1388831616077137E-3</v>
      </c>
      <c r="P540" s="8">
        <f>+VLOOKUP($B540,NIFTY_FMCG!$B$3:$I$1238,8,0)</f>
        <v>6.2548998978444459E-3</v>
      </c>
      <c r="Q540" s="8">
        <f>+VLOOKUP($B540,NIFTY_METAL!$B$3:$I$1238,8,0)</f>
        <v>2.6516577137578379E-2</v>
      </c>
      <c r="R540" s="8">
        <f>+VLOOKUP($B540,NIFTY_ENERGY!$B$3:$I$1238,8,0)</f>
        <v>1.6876600584875945E-2</v>
      </c>
      <c r="S540" s="8">
        <f>+VLOOKUP($B540,NIFTY_AUTO!$B$3:$I$1238,8,0)</f>
        <v>3.1252785651887161E-2</v>
      </c>
      <c r="T540" s="8">
        <v>0</v>
      </c>
      <c r="U540" s="8">
        <f>+VLOOKUP($B540,NIFTY_50!$B$63:$K$1238,10,0)</f>
        <v>3.6439442890629836E-2</v>
      </c>
      <c r="V540" s="8">
        <f>+VLOOKUP($B540,NIFTY_BANK!$B$63:$K$1238,10,0)</f>
        <v>5.174954100075202E-2</v>
      </c>
      <c r="W540" s="8">
        <f>+VLOOKUP($B540,NIFTY_IT!$B$63:$K$1238,10,0)</f>
        <v>6.6038281582305514E-2</v>
      </c>
      <c r="X540" s="8">
        <f>+VLOOKUP($B540,NIFTY_PHARMA!$B$63:$K$1238,10,0)</f>
        <v>4.238185690439189E-2</v>
      </c>
      <c r="Y540" s="8">
        <f>+VLOOKUP($B540,NIFTY_FMCG!$B$63:$K$1238,10,0)</f>
        <v>5.4223057176672196E-3</v>
      </c>
      <c r="Z540" s="8">
        <f>+VLOOKUP($B540,NIFTY_METAL!$B$63:$K$1238,10,0)</f>
        <v>-2.7613923640370852E-2</v>
      </c>
      <c r="AA540" s="8">
        <f>+VLOOKUP($B540,NIFTY_ENERGY!$B$63:$K$1238,10,0)</f>
        <v>7.9968691587114948E-2</v>
      </c>
      <c r="AB540" s="8">
        <f>+VLOOKUP($B540,NIFTY_AUTO!$B$63:$K$1238,10,0)</f>
        <v>-1.3058215983802302E-2</v>
      </c>
      <c r="AC540" s="8"/>
      <c r="AD540" s="16">
        <f t="shared" si="307"/>
        <v>5.8744136636573921E-2</v>
      </c>
      <c r="AE540" s="8">
        <f t="shared" si="308"/>
        <v>6.2922832524047276E-2</v>
      </c>
      <c r="AF540" s="8">
        <f t="shared" si="309"/>
        <v>7.6833501284800931E-2</v>
      </c>
      <c r="AG540" s="8">
        <f t="shared" si="310"/>
        <v>8.6650732976364317E-2</v>
      </c>
      <c r="AH540" s="8">
        <f t="shared" si="311"/>
        <v>6.2149331742959703E-2</v>
      </c>
      <c r="AI540" s="8">
        <f t="shared" si="312"/>
        <v>0.11146786484415565</v>
      </c>
      <c r="AJ540" s="8">
        <f t="shared" si="313"/>
        <v>9.1553346623441584E-2</v>
      </c>
      <c r="AK540" s="8">
        <f t="shared" si="314"/>
        <v>0.10152141060575746</v>
      </c>
      <c r="AL540" s="9">
        <v>0</v>
      </c>
      <c r="AM540" s="17">
        <f t="shared" si="291"/>
        <v>17.022975521567254</v>
      </c>
      <c r="AN540" s="13">
        <f t="shared" si="292"/>
        <v>15.892482265763054</v>
      </c>
      <c r="AO540" s="13">
        <f t="shared" si="293"/>
        <v>13.015155931697965</v>
      </c>
      <c r="AP540" s="13">
        <f t="shared" si="294"/>
        <v>11.540583277844512</v>
      </c>
      <c r="AQ540" s="13">
        <f t="shared" si="295"/>
        <v>16.090277593584588</v>
      </c>
      <c r="AR540" s="13">
        <f t="shared" si="296"/>
        <v>8.9711954328551116</v>
      </c>
      <c r="AS540" s="13">
        <f t="shared" si="297"/>
        <v>10.92259362307087</v>
      </c>
      <c r="AT540" s="13">
        <f t="shared" si="298"/>
        <v>9.85013894146274</v>
      </c>
      <c r="AU540" s="9">
        <v>0</v>
      </c>
      <c r="AV540" s="18">
        <f t="shared" si="315"/>
        <v>1</v>
      </c>
      <c r="AW540" s="18">
        <f t="shared" si="316"/>
        <v>3</v>
      </c>
      <c r="AX540" s="18">
        <f t="shared" si="317"/>
        <v>4</v>
      </c>
      <c r="AY540" s="18">
        <f t="shared" si="318"/>
        <v>5</v>
      </c>
      <c r="AZ540" s="18">
        <f t="shared" si="319"/>
        <v>2</v>
      </c>
      <c r="BA540" s="18">
        <f t="shared" si="320"/>
        <v>8</v>
      </c>
      <c r="BB540" s="18">
        <f t="shared" si="321"/>
        <v>6</v>
      </c>
      <c r="BC540" s="18">
        <f t="shared" si="322"/>
        <v>7</v>
      </c>
      <c r="BD540" s="18">
        <f t="shared" si="323"/>
        <v>9</v>
      </c>
      <c r="BE540" s="8">
        <f t="shared" si="325"/>
        <v>6.2319342393323133E-3</v>
      </c>
    </row>
    <row r="541" spans="1:57" x14ac:dyDescent="0.25">
      <c r="A541" t="str">
        <f t="shared" si="324"/>
        <v/>
      </c>
      <c r="B541" s="1">
        <v>43530</v>
      </c>
      <c r="C541" s="9">
        <f t="shared" si="299"/>
        <v>0.25158017052661175</v>
      </c>
      <c r="D541" s="9">
        <f t="shared" si="300"/>
        <v>0.25331430007609429</v>
      </c>
      <c r="E541" s="9">
        <f t="shared" si="301"/>
        <v>0.24569848806412337</v>
      </c>
      <c r="F541" s="9">
        <f t="shared" si="302"/>
        <v>0</v>
      </c>
      <c r="G541" s="9">
        <f t="shared" si="303"/>
        <v>0.24940704133317082</v>
      </c>
      <c r="H541" s="9">
        <f t="shared" si="304"/>
        <v>0</v>
      </c>
      <c r="I541" s="9">
        <f t="shared" si="305"/>
        <v>0</v>
      </c>
      <c r="J541" s="9">
        <f t="shared" si="306"/>
        <v>0</v>
      </c>
      <c r="K541" s="9">
        <v>0</v>
      </c>
      <c r="L541" s="8">
        <f>+VLOOKUP($B541,NIFTY_50!$B$3:$I$1238,8,0)</f>
        <v>5.9658974557335043E-3</v>
      </c>
      <c r="M541" s="8">
        <f>+VLOOKUP($B541,NIFTY_BANK!$B$3:$I$41238,8,0)</f>
        <v>2.5985290728587351E-3</v>
      </c>
      <c r="N541" s="8">
        <f>+VLOOKUP($B541,NIFTY_IT!$B$3:$I$1238,8,0)</f>
        <v>4.5294654656187205E-3</v>
      </c>
      <c r="O541" s="8">
        <f>+VLOOKUP($B541,NIFTY_PHARMA!$B$3:$I$1238,8,0)</f>
        <v>1.1082703362360835E-2</v>
      </c>
      <c r="P541" s="8">
        <f>+VLOOKUP($B541,NIFTY_FMCG!$B$3:$I$1238,8,0)</f>
        <v>2.0607638654668303E-3</v>
      </c>
      <c r="Q541" s="8">
        <f>+VLOOKUP($B541,NIFTY_METAL!$B$3:$I$1238,8,0)</f>
        <v>7.0328644757018388E-3</v>
      </c>
      <c r="R541" s="8">
        <f>+VLOOKUP($B541,NIFTY_ENERGY!$B$3:$I$1238,8,0)</f>
        <v>1.684140158585179E-2</v>
      </c>
      <c r="S541" s="8">
        <f>+VLOOKUP($B541,NIFTY_AUTO!$B$3:$I$1238,8,0)</f>
        <v>-2.8640250789480071E-3</v>
      </c>
      <c r="T541" s="8">
        <v>0</v>
      </c>
      <c r="U541" s="8">
        <f>+VLOOKUP($B541,NIFTY_50!$B$63:$K$1238,10,0)</f>
        <v>3.3599221971815085E-2</v>
      </c>
      <c r="V541" s="8">
        <f>+VLOOKUP($B541,NIFTY_BANK!$B$63:$K$1238,10,0)</f>
        <v>3.8780866576672457E-2</v>
      </c>
      <c r="W541" s="8">
        <f>+VLOOKUP($B541,NIFTY_IT!$B$63:$K$1238,10,0)</f>
        <v>7.3119914887232351E-2</v>
      </c>
      <c r="X541" s="8">
        <f>+VLOOKUP($B541,NIFTY_PHARMA!$B$63:$K$1238,10,0)</f>
        <v>5.4407665906525571E-2</v>
      </c>
      <c r="Y541" s="8">
        <f>+VLOOKUP($B541,NIFTY_FMCG!$B$63:$K$1238,10,0)</f>
        <v>1.235102523619469E-3</v>
      </c>
      <c r="Z541" s="8">
        <f>+VLOOKUP($B541,NIFTY_METAL!$B$63:$K$1238,10,0)</f>
        <v>-1.6247720760614648E-2</v>
      </c>
      <c r="AA541" s="8">
        <f>+VLOOKUP($B541,NIFTY_ENERGY!$B$63:$K$1238,10,0)</f>
        <v>9.6291829751706359E-2</v>
      </c>
      <c r="AB541" s="8">
        <f>+VLOOKUP($B541,NIFTY_AUTO!$B$63:$K$1238,10,0)</f>
        <v>-2.4583417889918469E-2</v>
      </c>
      <c r="AC541" s="8"/>
      <c r="AD541" s="16">
        <f t="shared" si="307"/>
        <v>5.8425382981896264E-2</v>
      </c>
      <c r="AE541" s="8">
        <f t="shared" si="308"/>
        <v>6.1290418810642996E-2</v>
      </c>
      <c r="AF541" s="8">
        <f t="shared" si="309"/>
        <v>7.6838975404068741E-2</v>
      </c>
      <c r="AG541" s="8">
        <f t="shared" si="310"/>
        <v>8.7244882449743155E-2</v>
      </c>
      <c r="AH541" s="8">
        <f t="shared" si="311"/>
        <v>6.1874281814535144E-2</v>
      </c>
      <c r="AI541" s="8">
        <f t="shared" si="312"/>
        <v>0.11162189871762679</v>
      </c>
      <c r="AJ541" s="8">
        <f t="shared" si="313"/>
        <v>9.2836984632411149E-2</v>
      </c>
      <c r="AK541" s="8">
        <f t="shared" si="314"/>
        <v>0.10114303254160772</v>
      </c>
      <c r="AL541" s="9">
        <v>0</v>
      </c>
      <c r="AM541" s="17">
        <f t="shared" si="291"/>
        <v>17.115848437140084</v>
      </c>
      <c r="AN541" s="13">
        <f t="shared" si="292"/>
        <v>16.315763856819189</v>
      </c>
      <c r="AO541" s="13">
        <f t="shared" si="293"/>
        <v>13.014228713245551</v>
      </c>
      <c r="AP541" s="13">
        <f t="shared" si="294"/>
        <v>11.461990341680425</v>
      </c>
      <c r="AQ541" s="13">
        <f t="shared" si="295"/>
        <v>16.161803752283486</v>
      </c>
      <c r="AR541" s="13">
        <f t="shared" si="296"/>
        <v>8.9588155325123928</v>
      </c>
      <c r="AS541" s="13">
        <f t="shared" si="297"/>
        <v>10.771569153818477</v>
      </c>
      <c r="AT541" s="13">
        <f t="shared" si="298"/>
        <v>9.8869885040141039</v>
      </c>
      <c r="AU541" s="9">
        <v>0</v>
      </c>
      <c r="AV541" s="18">
        <f t="shared" si="315"/>
        <v>1</v>
      </c>
      <c r="AW541" s="18">
        <f t="shared" si="316"/>
        <v>2</v>
      </c>
      <c r="AX541" s="18">
        <f t="shared" si="317"/>
        <v>4</v>
      </c>
      <c r="AY541" s="18">
        <f t="shared" si="318"/>
        <v>5</v>
      </c>
      <c r="AZ541" s="18">
        <f t="shared" si="319"/>
        <v>3</v>
      </c>
      <c r="BA541" s="18">
        <f t="shared" si="320"/>
        <v>8</v>
      </c>
      <c r="BB541" s="18">
        <f t="shared" si="321"/>
        <v>6</v>
      </c>
      <c r="BC541" s="18">
        <f t="shared" si="322"/>
        <v>7</v>
      </c>
      <c r="BD541" s="18">
        <f t="shared" si="323"/>
        <v>9</v>
      </c>
      <c r="BE541" s="8">
        <f t="shared" si="325"/>
        <v>3.7835772233381832E-3</v>
      </c>
    </row>
    <row r="542" spans="1:57" x14ac:dyDescent="0.25">
      <c r="A542" t="str">
        <f t="shared" si="324"/>
        <v/>
      </c>
      <c r="B542" s="1">
        <v>43531</v>
      </c>
      <c r="C542" s="9">
        <f t="shared" si="299"/>
        <v>0.25153989472043953</v>
      </c>
      <c r="D542" s="9">
        <f t="shared" si="300"/>
        <v>0.25442795093806053</v>
      </c>
      <c r="E542" s="9">
        <f t="shared" si="301"/>
        <v>0.24315686822157909</v>
      </c>
      <c r="F542" s="9">
        <f t="shared" si="302"/>
        <v>0</v>
      </c>
      <c r="G542" s="9">
        <f t="shared" si="303"/>
        <v>0.25087528611992077</v>
      </c>
      <c r="H542" s="9">
        <f t="shared" si="304"/>
        <v>0</v>
      </c>
      <c r="I542" s="9">
        <f t="shared" si="305"/>
        <v>0</v>
      </c>
      <c r="J542" s="9">
        <f t="shared" si="306"/>
        <v>0</v>
      </c>
      <c r="K542" s="9">
        <v>0</v>
      </c>
      <c r="L542" s="8">
        <f>+VLOOKUP($B542,NIFTY_50!$B$3:$I$1238,8,0)</f>
        <v>4.7046050845933607E-4</v>
      </c>
      <c r="M542" s="8">
        <f>+VLOOKUP($B542,NIFTY_BANK!$B$3:$I$41238,8,0)</f>
        <v>5.0297459064310157E-3</v>
      </c>
      <c r="N542" s="8">
        <f>+VLOOKUP($B542,NIFTY_IT!$B$3:$I$1238,8,0)</f>
        <v>-9.7203377173887828E-3</v>
      </c>
      <c r="O542" s="8">
        <f>+VLOOKUP($B542,NIFTY_PHARMA!$B$3:$I$1238,8,0)</f>
        <v>-1.1944292736209783E-2</v>
      </c>
      <c r="P542" s="8">
        <f>+VLOOKUP($B542,NIFTY_FMCG!$B$3:$I$1238,8,0)</f>
        <v>6.5213074253709369E-3</v>
      </c>
      <c r="Q542" s="8">
        <f>+VLOOKUP($B542,NIFTY_METAL!$B$3:$I$1238,8,0)</f>
        <v>-9.4164763512396554E-3</v>
      </c>
      <c r="R542" s="8">
        <f>+VLOOKUP($B542,NIFTY_ENERGY!$B$3:$I$1238,8,0)</f>
        <v>-9.5684125222528227E-4</v>
      </c>
      <c r="S542" s="8">
        <f>+VLOOKUP($B542,NIFTY_AUTO!$B$3:$I$1238,8,0)</f>
        <v>-1.8551160169907321E-3</v>
      </c>
      <c r="T542" s="8">
        <v>0</v>
      </c>
      <c r="U542" s="8">
        <f>+VLOOKUP($B542,NIFTY_50!$B$63:$K$1238,10,0)</f>
        <v>5.4321658586349741E-2</v>
      </c>
      <c r="V542" s="8">
        <f>+VLOOKUP($B542,NIFTY_BANK!$B$63:$K$1238,10,0)</f>
        <v>6.3669780654454611E-2</v>
      </c>
      <c r="W542" s="8">
        <f>+VLOOKUP($B542,NIFTY_IT!$B$63:$K$1238,10,0)</f>
        <v>8.0649411895250767E-2</v>
      </c>
      <c r="X542" s="8">
        <f>+VLOOKUP($B542,NIFTY_PHARMA!$B$63:$K$1238,10,0)</f>
        <v>5.9792860239241685E-2</v>
      </c>
      <c r="Y542" s="8">
        <f>+VLOOKUP($B542,NIFTY_FMCG!$B$63:$K$1238,10,0)</f>
        <v>2.37081286479639E-2</v>
      </c>
      <c r="Z542" s="8">
        <f>+VLOOKUP($B542,NIFTY_METAL!$B$63:$K$1238,10,0)</f>
        <v>-1.4293948126801181E-2</v>
      </c>
      <c r="AA542" s="8">
        <f>+VLOOKUP($B542,NIFTY_ENERGY!$B$63:$K$1238,10,0)</f>
        <v>0.12380788507371432</v>
      </c>
      <c r="AB542" s="8">
        <f>+VLOOKUP($B542,NIFTY_AUTO!$B$63:$K$1238,10,0)</f>
        <v>-1.6910948572729567E-2</v>
      </c>
      <c r="AC542" s="8"/>
      <c r="AD542" s="16">
        <f t="shared" si="307"/>
        <v>5.4923608550922098E-2</v>
      </c>
      <c r="AE542" s="8">
        <f t="shared" si="308"/>
        <v>5.8311096018832352E-2</v>
      </c>
      <c r="AF542" s="8">
        <f t="shared" si="309"/>
        <v>7.5531860648373403E-2</v>
      </c>
      <c r="AG542" s="8">
        <f t="shared" si="310"/>
        <v>8.635252368420511E-2</v>
      </c>
      <c r="AH542" s="8">
        <f t="shared" si="311"/>
        <v>6.0150687916884438E-2</v>
      </c>
      <c r="AI542" s="8">
        <f t="shared" si="312"/>
        <v>0.11144148550677699</v>
      </c>
      <c r="AJ542" s="8">
        <f t="shared" si="313"/>
        <v>8.8805945420440666E-2</v>
      </c>
      <c r="AK542" s="8">
        <f t="shared" si="314"/>
        <v>0.10071931264549364</v>
      </c>
      <c r="AL542" s="9">
        <v>0</v>
      </c>
      <c r="AM542" s="17">
        <f t="shared" si="291"/>
        <v>18.207106677502004</v>
      </c>
      <c r="AN542" s="13">
        <f t="shared" si="292"/>
        <v>17.149394682566705</v>
      </c>
      <c r="AO542" s="13">
        <f t="shared" si="293"/>
        <v>13.239446127976926</v>
      </c>
      <c r="AP542" s="13">
        <f t="shared" si="294"/>
        <v>11.580437459558715</v>
      </c>
      <c r="AQ542" s="13">
        <f t="shared" si="295"/>
        <v>16.624913772919591</v>
      </c>
      <c r="AR542" s="13">
        <f t="shared" si="296"/>
        <v>8.9733190064052764</v>
      </c>
      <c r="AS542" s="13">
        <f t="shared" si="297"/>
        <v>11.260507337269198</v>
      </c>
      <c r="AT542" s="13">
        <f t="shared" si="298"/>
        <v>9.9285824509123248</v>
      </c>
      <c r="AU542" s="9">
        <v>0</v>
      </c>
      <c r="AV542" s="18">
        <f t="shared" si="315"/>
        <v>1</v>
      </c>
      <c r="AW542" s="18">
        <f t="shared" si="316"/>
        <v>2</v>
      </c>
      <c r="AX542" s="18">
        <f t="shared" si="317"/>
        <v>4</v>
      </c>
      <c r="AY542" s="18">
        <f t="shared" si="318"/>
        <v>5</v>
      </c>
      <c r="AZ542" s="18">
        <f t="shared" si="319"/>
        <v>3</v>
      </c>
      <c r="BA542" s="18">
        <f t="shared" si="320"/>
        <v>8</v>
      </c>
      <c r="BB542" s="18">
        <f t="shared" si="321"/>
        <v>6</v>
      </c>
      <c r="BC542" s="18">
        <f t="shared" si="322"/>
        <v>7</v>
      </c>
      <c r="BD542" s="18">
        <f t="shared" si="323"/>
        <v>9</v>
      </c>
      <c r="BE542" s="8">
        <f t="shared" si="325"/>
        <v>6.3065280874311631E-4</v>
      </c>
    </row>
    <row r="543" spans="1:57" x14ac:dyDescent="0.25">
      <c r="A543" t="str">
        <f t="shared" si="324"/>
        <v/>
      </c>
      <c r="B543" s="1">
        <v>43532</v>
      </c>
      <c r="C543" s="9">
        <f t="shared" si="299"/>
        <v>0.25175142975668291</v>
      </c>
      <c r="D543" s="9">
        <f t="shared" si="300"/>
        <v>0.25514229169326064</v>
      </c>
      <c r="E543" s="9">
        <f t="shared" si="301"/>
        <v>0.24115039930457843</v>
      </c>
      <c r="F543" s="9">
        <f t="shared" si="302"/>
        <v>0</v>
      </c>
      <c r="G543" s="9">
        <f t="shared" si="303"/>
        <v>0.25195587924547802</v>
      </c>
      <c r="H543" s="9">
        <f t="shared" si="304"/>
        <v>0</v>
      </c>
      <c r="I543" s="9">
        <f t="shared" si="305"/>
        <v>0</v>
      </c>
      <c r="J543" s="9">
        <f t="shared" si="306"/>
        <v>0</v>
      </c>
      <c r="K543" s="9">
        <v>0</v>
      </c>
      <c r="L543" s="8">
        <f>+VLOOKUP($B543,NIFTY_50!$B$3:$I$1238,8,0)</f>
        <v>-2.0618183791214495E-3</v>
      </c>
      <c r="M543" s="8">
        <f>+VLOOKUP($B543,NIFTY_BANK!$B$3:$I$41238,8,0)</f>
        <v>-1.0084784221631171E-4</v>
      </c>
      <c r="N543" s="8">
        <f>+VLOOKUP($B543,NIFTY_IT!$B$3:$I$1238,8,0)</f>
        <v>-1.1128153458134671E-2</v>
      </c>
      <c r="O543" s="8">
        <f>+VLOOKUP($B543,NIFTY_PHARMA!$B$3:$I$1238,8,0)</f>
        <v>-2.6310989260029949E-3</v>
      </c>
      <c r="P543" s="8">
        <f>+VLOOKUP($B543,NIFTY_FMCG!$B$3:$I$1238,8,0)</f>
        <v>1.3944599477329067E-3</v>
      </c>
      <c r="Q543" s="8">
        <f>+VLOOKUP($B543,NIFTY_METAL!$B$3:$I$1238,8,0)</f>
        <v>-1.5002422440149044E-2</v>
      </c>
      <c r="R543" s="8">
        <f>+VLOOKUP($B543,NIFTY_ENERGY!$B$3:$I$1238,8,0)</f>
        <v>2.736450497935472E-4</v>
      </c>
      <c r="S543" s="8">
        <f>+VLOOKUP($B543,NIFTY_AUTO!$B$3:$I$1238,8,0)</f>
        <v>-6.1488935465567884E-3</v>
      </c>
      <c r="T543" s="8">
        <v>0</v>
      </c>
      <c r="U543" s="8">
        <f>+VLOOKUP($B543,NIFTY_50!$B$63:$K$1238,10,0)</f>
        <v>4.6093761108714881E-2</v>
      </c>
      <c r="V543" s="8">
        <f>+VLOOKUP($B543,NIFTY_BANK!$B$63:$K$1238,10,0)</f>
        <v>6.1092977212441779E-2</v>
      </c>
      <c r="W543" s="8">
        <f>+VLOOKUP($B543,NIFTY_IT!$B$63:$K$1238,10,0)</f>
        <v>5.6867129413701312E-2</v>
      </c>
      <c r="X543" s="8">
        <f>+VLOOKUP($B543,NIFTY_PHARMA!$B$63:$K$1238,10,0)</f>
        <v>3.1469370955571341E-2</v>
      </c>
      <c r="Y543" s="8">
        <f>+VLOOKUP($B543,NIFTY_FMCG!$B$63:$K$1238,10,0)</f>
        <v>1.2948640105266973E-2</v>
      </c>
      <c r="Z543" s="8">
        <f>+VLOOKUP($B543,NIFTY_METAL!$B$63:$K$1238,10,0)</f>
        <v>-3.5151455643379625E-2</v>
      </c>
      <c r="AA543" s="8">
        <f>+VLOOKUP($B543,NIFTY_ENERGY!$B$63:$K$1238,10,0)</f>
        <v>0.11984755096830657</v>
      </c>
      <c r="AB543" s="8">
        <f>+VLOOKUP($B543,NIFTY_AUTO!$B$63:$K$1238,10,0)</f>
        <v>-2.9863905592982687E-2</v>
      </c>
      <c r="AC543" s="8"/>
      <c r="AD543" s="16">
        <f t="shared" si="307"/>
        <v>5.4775521321443928E-2</v>
      </c>
      <c r="AE543" s="8">
        <f t="shared" si="308"/>
        <v>5.8307225916608904E-2</v>
      </c>
      <c r="AF543" s="8">
        <f t="shared" si="309"/>
        <v>7.5866563794006289E-2</v>
      </c>
      <c r="AG543" s="8">
        <f t="shared" si="310"/>
        <v>8.3030465687243427E-2</v>
      </c>
      <c r="AH543" s="8">
        <f t="shared" si="311"/>
        <v>5.9010587140879561E-2</v>
      </c>
      <c r="AI543" s="8">
        <f t="shared" si="312"/>
        <v>0.11221217076862143</v>
      </c>
      <c r="AJ543" s="8">
        <f t="shared" si="313"/>
        <v>8.8802297034323588E-2</v>
      </c>
      <c r="AK543" s="8">
        <f t="shared" si="314"/>
        <v>0.10061504966429353</v>
      </c>
      <c r="AL543" s="9">
        <v>0</v>
      </c>
      <c r="AM543" s="17">
        <f t="shared" si="291"/>
        <v>18.256330124757984</v>
      </c>
      <c r="AN543" s="13">
        <f t="shared" si="292"/>
        <v>17.150532961904272</v>
      </c>
      <c r="AO543" s="13">
        <f t="shared" si="293"/>
        <v>13.181037205206904</v>
      </c>
      <c r="AP543" s="13">
        <f t="shared" si="294"/>
        <v>12.043772026604895</v>
      </c>
      <c r="AQ543" s="13">
        <f t="shared" si="295"/>
        <v>16.946111680140366</v>
      </c>
      <c r="AR543" s="13">
        <f t="shared" si="296"/>
        <v>8.9116892860220478</v>
      </c>
      <c r="AS543" s="13">
        <f t="shared" si="297"/>
        <v>11.260969968079577</v>
      </c>
      <c r="AT543" s="13">
        <f t="shared" si="298"/>
        <v>9.9388710072354307</v>
      </c>
      <c r="AU543" s="9">
        <v>0</v>
      </c>
      <c r="AV543" s="18">
        <f t="shared" si="315"/>
        <v>1</v>
      </c>
      <c r="AW543" s="18">
        <f t="shared" si="316"/>
        <v>2</v>
      </c>
      <c r="AX543" s="18">
        <f t="shared" si="317"/>
        <v>4</v>
      </c>
      <c r="AY543" s="18">
        <f t="shared" si="318"/>
        <v>5</v>
      </c>
      <c r="AZ543" s="18">
        <f t="shared" si="319"/>
        <v>3</v>
      </c>
      <c r="BA543" s="18">
        <f t="shared" si="320"/>
        <v>8</v>
      </c>
      <c r="BB543" s="18">
        <f t="shared" si="321"/>
        <v>6</v>
      </c>
      <c r="BC543" s="18">
        <f t="shared" si="322"/>
        <v>7</v>
      </c>
      <c r="BD543" s="18">
        <f t="shared" si="323"/>
        <v>9</v>
      </c>
      <c r="BE543" s="8">
        <f t="shared" si="325"/>
        <v>-2.9003394934673968E-3</v>
      </c>
    </row>
    <row r="544" spans="1:57" x14ac:dyDescent="0.25">
      <c r="A544" t="str">
        <f t="shared" si="324"/>
        <v/>
      </c>
      <c r="B544" s="1">
        <v>43535</v>
      </c>
      <c r="C544" s="9">
        <f t="shared" si="299"/>
        <v>0.25295469073129379</v>
      </c>
      <c r="D544" s="9">
        <f t="shared" si="300"/>
        <v>0.25518597372683766</v>
      </c>
      <c r="E544" s="9">
        <f t="shared" si="301"/>
        <v>0.23911113232734593</v>
      </c>
      <c r="F544" s="9">
        <f t="shared" si="302"/>
        <v>0</v>
      </c>
      <c r="G544" s="9">
        <f t="shared" si="303"/>
        <v>0.25274820321452268</v>
      </c>
      <c r="H544" s="9">
        <f t="shared" si="304"/>
        <v>0</v>
      </c>
      <c r="I544" s="9">
        <f t="shared" si="305"/>
        <v>0</v>
      </c>
      <c r="J544" s="9">
        <f t="shared" si="306"/>
        <v>0</v>
      </c>
      <c r="K544" s="9">
        <v>0</v>
      </c>
      <c r="L544" s="8">
        <f>+VLOOKUP($B544,NIFTY_50!$B$3:$I$1238,8,0)</f>
        <v>1.2020407053663584E-2</v>
      </c>
      <c r="M544" s="8">
        <f>+VLOOKUP($B544,NIFTY_BANK!$B$3:$I$41238,8,0)</f>
        <v>7.3788443112479118E-3</v>
      </c>
      <c r="N544" s="8">
        <f>+VLOOKUP($B544,NIFTY_IT!$B$3:$I$1238,8,0)</f>
        <v>-1.3109477113578683E-3</v>
      </c>
      <c r="O544" s="8">
        <f>+VLOOKUP($B544,NIFTY_PHARMA!$B$3:$I$1238,8,0)</f>
        <v>1.4764155910373056E-2</v>
      </c>
      <c r="P544" s="8">
        <f>+VLOOKUP($B544,NIFTY_FMCG!$B$3:$I$1238,8,0)</f>
        <v>1.0373759214579836E-2</v>
      </c>
      <c r="Q544" s="8">
        <f>+VLOOKUP($B544,NIFTY_METAL!$B$3:$I$1238,8,0)</f>
        <v>2.7442799233365678E-2</v>
      </c>
      <c r="R544" s="8">
        <f>+VLOOKUP($B544,NIFTY_ENERGY!$B$3:$I$1238,8,0)</f>
        <v>2.7252801651842962E-2</v>
      </c>
      <c r="S544" s="8">
        <f>+VLOOKUP($B544,NIFTY_AUTO!$B$3:$I$1238,8,0)</f>
        <v>2.3314613287348962E-2</v>
      </c>
      <c r="T544" s="8">
        <v>0</v>
      </c>
      <c r="U544" s="8">
        <f>+VLOOKUP($B544,NIFTY_50!$B$63:$K$1238,10,0)</f>
        <v>4.0088101624198957E-2</v>
      </c>
      <c r="V544" s="8">
        <f>+VLOOKUP($B544,NIFTY_BANK!$B$63:$K$1238,10,0)</f>
        <v>4.9647479624754132E-2</v>
      </c>
      <c r="W544" s="8">
        <f>+VLOOKUP($B544,NIFTY_IT!$B$63:$K$1238,10,0)</f>
        <v>4.4098639282697416E-2</v>
      </c>
      <c r="X544" s="8">
        <f>+VLOOKUP($B544,NIFTY_PHARMA!$B$63:$K$1238,10,0)</f>
        <v>4.0169289325683089E-2</v>
      </c>
      <c r="Y544" s="8">
        <f>+VLOOKUP($B544,NIFTY_FMCG!$B$63:$K$1238,10,0)</f>
        <v>5.6838200588988919E-3</v>
      </c>
      <c r="Z544" s="8">
        <f>+VLOOKUP($B544,NIFTY_METAL!$B$63:$K$1238,10,0)</f>
        <v>-3.3258326550805184E-2</v>
      </c>
      <c r="AA544" s="8">
        <f>+VLOOKUP($B544,NIFTY_ENERGY!$B$63:$K$1238,10,0)</f>
        <v>0.1335487209711852</v>
      </c>
      <c r="AB544" s="8">
        <f>+VLOOKUP($B544,NIFTY_AUTO!$B$63:$K$1238,10,0)</f>
        <v>-4.1833266965956128E-2</v>
      </c>
      <c r="AC544" s="8"/>
      <c r="AD544" s="16">
        <f t="shared" si="307"/>
        <v>5.3236170204354227E-2</v>
      </c>
      <c r="AE544" s="8">
        <f t="shared" si="308"/>
        <v>5.6008608874480365E-2</v>
      </c>
      <c r="AF544" s="8">
        <f t="shared" si="309"/>
        <v>7.5229365330301903E-2</v>
      </c>
      <c r="AG544" s="8">
        <f t="shared" si="310"/>
        <v>8.4034941526158952E-2</v>
      </c>
      <c r="AH544" s="8">
        <f t="shared" si="311"/>
        <v>5.7272780219327031E-2</v>
      </c>
      <c r="AI544" s="8">
        <f t="shared" si="312"/>
        <v>0.11269352155430652</v>
      </c>
      <c r="AJ544" s="8">
        <f t="shared" si="313"/>
        <v>9.1423152961710413E-2</v>
      </c>
      <c r="AK544" s="8">
        <f t="shared" si="314"/>
        <v>9.6698755273959672E-2</v>
      </c>
      <c r="AL544" s="9">
        <v>0</v>
      </c>
      <c r="AM544" s="17">
        <f t="shared" si="291"/>
        <v>18.78422125711457</v>
      </c>
      <c r="AN544" s="13">
        <f t="shared" si="292"/>
        <v>17.85439810228241</v>
      </c>
      <c r="AO544" s="13">
        <f t="shared" si="293"/>
        <v>13.292681595935337</v>
      </c>
      <c r="AP544" s="13">
        <f t="shared" si="294"/>
        <v>11.899811933452865</v>
      </c>
      <c r="AQ544" s="13">
        <f t="shared" si="295"/>
        <v>17.460301318889776</v>
      </c>
      <c r="AR544" s="13">
        <f t="shared" si="296"/>
        <v>8.8736245545233441</v>
      </c>
      <c r="AS544" s="13">
        <f t="shared" si="297"/>
        <v>10.93814824368196</v>
      </c>
      <c r="AT544" s="13">
        <f t="shared" si="298"/>
        <v>10.341394748741852</v>
      </c>
      <c r="AU544" s="9">
        <v>0</v>
      </c>
      <c r="AV544" s="18">
        <f t="shared" si="315"/>
        <v>1</v>
      </c>
      <c r="AW544" s="18">
        <f t="shared" si="316"/>
        <v>2</v>
      </c>
      <c r="AX544" s="18">
        <f t="shared" si="317"/>
        <v>4</v>
      </c>
      <c r="AY544" s="18">
        <f t="shared" si="318"/>
        <v>5</v>
      </c>
      <c r="AZ544" s="18">
        <f t="shared" si="319"/>
        <v>3</v>
      </c>
      <c r="BA544" s="18">
        <f t="shared" si="320"/>
        <v>8</v>
      </c>
      <c r="BB544" s="18">
        <f t="shared" si="321"/>
        <v>6</v>
      </c>
      <c r="BC544" s="18">
        <f t="shared" si="322"/>
        <v>7</v>
      </c>
      <c r="BD544" s="18">
        <f t="shared" si="323"/>
        <v>9</v>
      </c>
      <c r="BE544" s="8">
        <f t="shared" si="325"/>
        <v>7.206403969565664E-3</v>
      </c>
    </row>
    <row r="545" spans="1:57" x14ac:dyDescent="0.25">
      <c r="A545" t="str">
        <f t="shared" si="324"/>
        <v/>
      </c>
      <c r="B545" s="1">
        <v>43536</v>
      </c>
      <c r="C545" s="9">
        <f t="shared" si="299"/>
        <v>0.2536416060765655</v>
      </c>
      <c r="D545" s="9">
        <f t="shared" si="300"/>
        <v>0.25717751047616721</v>
      </c>
      <c r="E545" s="9">
        <f t="shared" si="301"/>
        <v>0.23687479469363801</v>
      </c>
      <c r="F545" s="9">
        <f t="shared" si="302"/>
        <v>0</v>
      </c>
      <c r="G545" s="9">
        <f t="shared" si="303"/>
        <v>0.2523060887536292</v>
      </c>
      <c r="H545" s="9">
        <f t="shared" si="304"/>
        <v>0</v>
      </c>
      <c r="I545" s="9">
        <f t="shared" si="305"/>
        <v>0</v>
      </c>
      <c r="J545" s="9">
        <f t="shared" si="306"/>
        <v>0</v>
      </c>
      <c r="K545" s="9">
        <v>0</v>
      </c>
      <c r="L545" s="8">
        <f>+VLOOKUP($B545,NIFTY_50!$B$3:$I$1238,8,0)</f>
        <v>1.1922403642534052E-2</v>
      </c>
      <c r="M545" s="8">
        <f>+VLOOKUP($B545,NIFTY_BANK!$B$3:$I$41238,8,0)</f>
        <v>1.7057817078556026E-2</v>
      </c>
      <c r="N545" s="8">
        <f>+VLOOKUP($B545,NIFTY_IT!$B$3:$I$1238,8,0)</f>
        <v>-2.5668518699029086E-4</v>
      </c>
      <c r="O545" s="8">
        <f>+VLOOKUP($B545,NIFTY_PHARMA!$B$3:$I$1238,8,0)</f>
        <v>1.3080212560280913E-2</v>
      </c>
      <c r="P545" s="8">
        <f>+VLOOKUP($B545,NIFTY_FMCG!$B$3:$I$1238,8,0)</f>
        <v>7.416612683597501E-3</v>
      </c>
      <c r="Q545" s="8">
        <f>+VLOOKUP($B545,NIFTY_METAL!$B$3:$I$1238,8,0)</f>
        <v>4.6882480149232908E-3</v>
      </c>
      <c r="R545" s="8">
        <f>+VLOOKUP($B545,NIFTY_ENERGY!$B$3:$I$1238,8,0)</f>
        <v>1.3962380199036728E-2</v>
      </c>
      <c r="S545" s="8">
        <f>+VLOOKUP($B545,NIFTY_AUTO!$B$3:$I$1238,8,0)</f>
        <v>2.2999760893573917E-3</v>
      </c>
      <c r="T545" s="8">
        <v>0</v>
      </c>
      <c r="U545" s="8">
        <f>+VLOOKUP($B545,NIFTY_50!$B$63:$K$1238,10,0)</f>
        <v>4.7226765385880665E-2</v>
      </c>
      <c r="V545" s="8">
        <f>+VLOOKUP($B545,NIFTY_BANK!$B$63:$K$1238,10,0)</f>
        <v>6.0684992551186312E-2</v>
      </c>
      <c r="W545" s="8">
        <f>+VLOOKUP($B545,NIFTY_IT!$B$63:$K$1238,10,0)</f>
        <v>3.6624890506030461E-2</v>
      </c>
      <c r="X545" s="8">
        <f>+VLOOKUP($B545,NIFTY_PHARMA!$B$63:$K$1238,10,0)</f>
        <v>5.2662641303854452E-2</v>
      </c>
      <c r="Y545" s="8">
        <f>+VLOOKUP($B545,NIFTY_FMCG!$B$63:$K$1238,10,0)</f>
        <v>6.2575826352493369E-3</v>
      </c>
      <c r="Z545" s="8">
        <f>+VLOOKUP($B545,NIFTY_METAL!$B$63:$K$1238,10,0)</f>
        <v>-2.2784200385356446E-2</v>
      </c>
      <c r="AA545" s="8">
        <f>+VLOOKUP($B545,NIFTY_ENERGY!$B$63:$K$1238,10,0)</f>
        <v>0.14844299852056131</v>
      </c>
      <c r="AB545" s="8">
        <f>+VLOOKUP($B545,NIFTY_AUTO!$B$63:$K$1238,10,0)</f>
        <v>-4.8767046314106111E-2</v>
      </c>
      <c r="AC545" s="8"/>
      <c r="AD545" s="16">
        <f t="shared" si="307"/>
        <v>5.4230951505535516E-2</v>
      </c>
      <c r="AE545" s="8">
        <f t="shared" si="308"/>
        <v>5.8024275719565893E-2</v>
      </c>
      <c r="AF545" s="8">
        <f t="shared" si="309"/>
        <v>7.4974807969926852E-2</v>
      </c>
      <c r="AG545" s="8">
        <f t="shared" si="310"/>
        <v>8.4926715784636217E-2</v>
      </c>
      <c r="AH545" s="8">
        <f t="shared" si="311"/>
        <v>5.7342992949905983E-2</v>
      </c>
      <c r="AI545" s="8">
        <f t="shared" si="312"/>
        <v>0.11266156706733288</v>
      </c>
      <c r="AJ545" s="8">
        <f t="shared" si="313"/>
        <v>9.2161538782846691E-2</v>
      </c>
      <c r="AK545" s="8">
        <f t="shared" si="314"/>
        <v>9.6196049153644103E-2</v>
      </c>
      <c r="AL545" s="9">
        <v>0</v>
      </c>
      <c r="AM545" s="17">
        <f t="shared" si="291"/>
        <v>18.4396543346271</v>
      </c>
      <c r="AN545" s="13">
        <f t="shared" si="292"/>
        <v>17.234166003778281</v>
      </c>
      <c r="AO545" s="13">
        <f t="shared" si="293"/>
        <v>13.337813421290923</v>
      </c>
      <c r="AP545" s="13">
        <f t="shared" si="294"/>
        <v>11.774857778980621</v>
      </c>
      <c r="AQ545" s="13">
        <f t="shared" si="295"/>
        <v>17.438922326108539</v>
      </c>
      <c r="AR545" s="13">
        <f t="shared" si="296"/>
        <v>8.8761414032377512</v>
      </c>
      <c r="AS545" s="13">
        <f t="shared" si="297"/>
        <v>10.850513274916393</v>
      </c>
      <c r="AT545" s="13">
        <f t="shared" si="298"/>
        <v>10.395437326150498</v>
      </c>
      <c r="AU545" s="9">
        <v>0</v>
      </c>
      <c r="AV545" s="18">
        <f t="shared" si="315"/>
        <v>1</v>
      </c>
      <c r="AW545" s="18">
        <f t="shared" si="316"/>
        <v>3</v>
      </c>
      <c r="AX545" s="18">
        <f t="shared" si="317"/>
        <v>4</v>
      </c>
      <c r="AY545" s="18">
        <f t="shared" si="318"/>
        <v>5</v>
      </c>
      <c r="AZ545" s="18">
        <f t="shared" si="319"/>
        <v>2</v>
      </c>
      <c r="BA545" s="18">
        <f t="shared" si="320"/>
        <v>8</v>
      </c>
      <c r="BB545" s="18">
        <f t="shared" si="321"/>
        <v>6</v>
      </c>
      <c r="BC545" s="18">
        <f t="shared" si="322"/>
        <v>7</v>
      </c>
      <c r="BD545" s="18">
        <f t="shared" si="323"/>
        <v>9</v>
      </c>
      <c r="BE545" s="8">
        <f t="shared" si="325"/>
        <v>9.181902831020855E-3</v>
      </c>
    </row>
    <row r="546" spans="1:57" x14ac:dyDescent="0.25">
      <c r="A546" t="str">
        <f t="shared" si="324"/>
        <v/>
      </c>
      <c r="B546" s="1">
        <v>43537</v>
      </c>
      <c r="C546" s="9">
        <f t="shared" si="299"/>
        <v>0.25353397612160794</v>
      </c>
      <c r="D546" s="9">
        <f t="shared" si="300"/>
        <v>0.26011825012767192</v>
      </c>
      <c r="E546" s="9">
        <f t="shared" si="301"/>
        <v>0.23529006295414406</v>
      </c>
      <c r="F546" s="9">
        <f t="shared" si="302"/>
        <v>0</v>
      </c>
      <c r="G546" s="9">
        <f t="shared" si="303"/>
        <v>0.25105771079657602</v>
      </c>
      <c r="H546" s="9">
        <f t="shared" si="304"/>
        <v>0</v>
      </c>
      <c r="I546" s="9">
        <f t="shared" si="305"/>
        <v>0</v>
      </c>
      <c r="J546" s="9">
        <f t="shared" si="306"/>
        <v>0</v>
      </c>
      <c r="K546" s="9">
        <v>0</v>
      </c>
      <c r="L546" s="8">
        <f>+VLOOKUP($B546,NIFTY_50!$B$3:$I$1238,8,0)</f>
        <v>3.5836902275865334E-3</v>
      </c>
      <c r="M546" s="8">
        <f>+VLOOKUP($B546,NIFTY_BANK!$B$3:$I$41238,8,0)</f>
        <v>1.5490249158864655E-2</v>
      </c>
      <c r="N546" s="8">
        <f>+VLOOKUP($B546,NIFTY_IT!$B$3:$I$1238,8,0)</f>
        <v>-2.7072615058614247E-3</v>
      </c>
      <c r="O546" s="8">
        <f>+VLOOKUP($B546,NIFTY_PHARMA!$B$3:$I$1238,8,0)</f>
        <v>-1.8819812826152527E-2</v>
      </c>
      <c r="P546" s="8">
        <f>+VLOOKUP($B546,NIFTY_FMCG!$B$3:$I$1238,8,0)</f>
        <v>-9.5798010550907087E-4</v>
      </c>
      <c r="Q546" s="8">
        <f>+VLOOKUP($B546,NIFTY_METAL!$B$3:$I$1238,8,0)</f>
        <v>-1.8829792477941587E-2</v>
      </c>
      <c r="R546" s="8">
        <f>+VLOOKUP($B546,NIFTY_ENERGY!$B$3:$I$1238,8,0)</f>
        <v>3.167376955378387E-3</v>
      </c>
      <c r="S546" s="8">
        <f>+VLOOKUP($B546,NIFTY_AUTO!$B$3:$I$1238,8,0)</f>
        <v>-4.0157220915835179E-3</v>
      </c>
      <c r="T546" s="8">
        <v>0</v>
      </c>
      <c r="U546" s="8">
        <f>+VLOOKUP($B546,NIFTY_50!$B$63:$K$1238,10,0)</f>
        <v>4.9627734152672964E-2</v>
      </c>
      <c r="V546" s="8">
        <f>+VLOOKUP($B546,NIFTY_BANK!$B$63:$K$1238,10,0)</f>
        <v>7.6727801386714312E-2</v>
      </c>
      <c r="W546" s="8">
        <f>+VLOOKUP($B546,NIFTY_IT!$B$63:$K$1238,10,0)</f>
        <v>3.3094523075265725E-2</v>
      </c>
      <c r="X546" s="8">
        <f>+VLOOKUP($B546,NIFTY_PHARMA!$B$63:$K$1238,10,0)</f>
        <v>4.2841263292995979E-2</v>
      </c>
      <c r="Y546" s="8">
        <f>+VLOOKUP($B546,NIFTY_FMCG!$B$63:$K$1238,10,0)</f>
        <v>2.6373409281728044E-3</v>
      </c>
      <c r="Z546" s="8">
        <f>+VLOOKUP($B546,NIFTY_METAL!$B$63:$K$1238,10,0)</f>
        <v>-4.0676659116101965E-2</v>
      </c>
      <c r="AA546" s="8">
        <f>+VLOOKUP($B546,NIFTY_ENERGY!$B$63:$K$1238,10,0)</f>
        <v>0.13997605181903139</v>
      </c>
      <c r="AB546" s="8">
        <f>+VLOOKUP($B546,NIFTY_AUTO!$B$63:$K$1238,10,0)</f>
        <v>-5.4354743029714769E-2</v>
      </c>
      <c r="AC546" s="8"/>
      <c r="AD546" s="16">
        <f t="shared" si="307"/>
        <v>5.4300168411653242E-2</v>
      </c>
      <c r="AE546" s="8">
        <f t="shared" si="308"/>
        <v>5.9772967298801584E-2</v>
      </c>
      <c r="AF546" s="8">
        <f t="shared" si="309"/>
        <v>7.5048006285286378E-2</v>
      </c>
      <c r="AG546" s="8">
        <f t="shared" si="310"/>
        <v>8.6546095207813006E-2</v>
      </c>
      <c r="AH546" s="8">
        <f t="shared" si="311"/>
        <v>5.7296048696812527E-2</v>
      </c>
      <c r="AI546" s="8">
        <f t="shared" si="312"/>
        <v>0.11415520978887424</v>
      </c>
      <c r="AJ546" s="8">
        <f t="shared" si="313"/>
        <v>9.1787846037951731E-2</v>
      </c>
      <c r="AK546" s="8">
        <f t="shared" si="314"/>
        <v>9.621328438355653E-2</v>
      </c>
      <c r="AL546" s="9">
        <v>0</v>
      </c>
      <c r="AM546" s="17">
        <f t="shared" si="291"/>
        <v>18.41614914375463</v>
      </c>
      <c r="AN546" s="13">
        <f t="shared" si="292"/>
        <v>16.72997084118408</v>
      </c>
      <c r="AO546" s="13">
        <f t="shared" si="293"/>
        <v>13.324804341885043</v>
      </c>
      <c r="AP546" s="13">
        <f t="shared" si="294"/>
        <v>11.554536314998581</v>
      </c>
      <c r="AQ546" s="13">
        <f t="shared" si="295"/>
        <v>17.453210522275189</v>
      </c>
      <c r="AR546" s="13">
        <f t="shared" si="296"/>
        <v>8.7600031733064334</v>
      </c>
      <c r="AS546" s="13">
        <f t="shared" si="297"/>
        <v>10.89468860165351</v>
      </c>
      <c r="AT546" s="13">
        <f t="shared" si="298"/>
        <v>10.393575132655034</v>
      </c>
      <c r="AU546" s="9">
        <v>0</v>
      </c>
      <c r="AV546" s="18">
        <f t="shared" si="315"/>
        <v>1</v>
      </c>
      <c r="AW546" s="18">
        <f t="shared" si="316"/>
        <v>3</v>
      </c>
      <c r="AX546" s="18">
        <f t="shared" si="317"/>
        <v>4</v>
      </c>
      <c r="AY546" s="18">
        <f t="shared" si="318"/>
        <v>5</v>
      </c>
      <c r="AZ546" s="18">
        <f t="shared" si="319"/>
        <v>2</v>
      </c>
      <c r="BA546" s="18">
        <f t="shared" si="320"/>
        <v>8</v>
      </c>
      <c r="BB546" s="18">
        <f t="shared" si="321"/>
        <v>6</v>
      </c>
      <c r="BC546" s="18">
        <f t="shared" si="322"/>
        <v>7</v>
      </c>
      <c r="BD546" s="18">
        <f t="shared" si="323"/>
        <v>9</v>
      </c>
      <c r="BE546" s="8">
        <f t="shared" si="325"/>
        <v>4.0097304334305991E-3</v>
      </c>
    </row>
    <row r="547" spans="1:57" x14ac:dyDescent="0.25">
      <c r="A547" t="str">
        <f t="shared" si="324"/>
        <v/>
      </c>
      <c r="B547" s="1">
        <v>43538</v>
      </c>
      <c r="C547" s="9">
        <f t="shared" si="299"/>
        <v>0.25375917409426091</v>
      </c>
      <c r="D547" s="9">
        <f t="shared" si="300"/>
        <v>0.26066339791856324</v>
      </c>
      <c r="E547" s="9">
        <f t="shared" si="301"/>
        <v>0.23420151935527236</v>
      </c>
      <c r="F547" s="9">
        <f t="shared" si="302"/>
        <v>0</v>
      </c>
      <c r="G547" s="9">
        <f t="shared" si="303"/>
        <v>0.25137590863190334</v>
      </c>
      <c r="H547" s="9">
        <f t="shared" si="304"/>
        <v>0</v>
      </c>
      <c r="I547" s="9">
        <f t="shared" si="305"/>
        <v>0</v>
      </c>
      <c r="J547" s="9">
        <f t="shared" si="306"/>
        <v>0</v>
      </c>
      <c r="K547" s="9">
        <v>0</v>
      </c>
      <c r="L547" s="8">
        <f>+VLOOKUP($B547,NIFTY_50!$B$3:$I$1238,8,0)</f>
        <v>1.3666381582999598E-4</v>
      </c>
      <c r="M547" s="8">
        <f>+VLOOKUP($B547,NIFTY_BANK!$B$3:$I$41238,8,0)</f>
        <v>1.3432902995744733E-3</v>
      </c>
      <c r="N547" s="8">
        <f>+VLOOKUP($B547,NIFTY_IT!$B$3:$I$1238,8,0)</f>
        <v>-5.3738211159558569E-3</v>
      </c>
      <c r="O547" s="8">
        <f>+VLOOKUP($B547,NIFTY_PHARMA!$B$3:$I$1238,8,0)</f>
        <v>9.3019422543336727E-3</v>
      </c>
      <c r="P547" s="8">
        <f>+VLOOKUP($B547,NIFTY_FMCG!$B$3:$I$1238,8,0)</f>
        <v>5.1557225236109616E-4</v>
      </c>
      <c r="Q547" s="8">
        <f>+VLOOKUP($B547,NIFTY_METAL!$B$3:$I$1238,8,0)</f>
        <v>5.4592648413296363E-3</v>
      </c>
      <c r="R547" s="8">
        <f>+VLOOKUP($B547,NIFTY_ENERGY!$B$3:$I$1238,8,0)</f>
        <v>-1.0503808799510184E-3</v>
      </c>
      <c r="S547" s="8">
        <f>+VLOOKUP($B547,NIFTY_AUTO!$B$3:$I$1238,8,0)</f>
        <v>-4.7960946900786894E-3</v>
      </c>
      <c r="T547" s="8">
        <v>0</v>
      </c>
      <c r="U547" s="8">
        <f>+VLOOKUP($B547,NIFTY_50!$B$63:$K$1238,10,0)</f>
        <v>4.1778598226544839E-2</v>
      </c>
      <c r="V547" s="8">
        <f>+VLOOKUP($B547,NIFTY_BANK!$B$63:$K$1238,10,0)</f>
        <v>7.0599427001976522E-2</v>
      </c>
      <c r="W547" s="8">
        <f>+VLOOKUP($B547,NIFTY_IT!$B$63:$K$1238,10,0)</f>
        <v>2.6047112058387611E-2</v>
      </c>
      <c r="X547" s="8">
        <f>+VLOOKUP($B547,NIFTY_PHARMA!$B$63:$K$1238,10,0)</f>
        <v>4.7153785641809165E-2</v>
      </c>
      <c r="Y547" s="8">
        <f>+VLOOKUP($B547,NIFTY_FMCG!$B$63:$K$1238,10,0)</f>
        <v>-5.1233991418552227E-3</v>
      </c>
      <c r="Z547" s="8">
        <f>+VLOOKUP($B547,NIFTY_METAL!$B$63:$K$1238,10,0)</f>
        <v>-5.4502220402506962E-2</v>
      </c>
      <c r="AA547" s="8">
        <f>+VLOOKUP($B547,NIFTY_ENERGY!$B$63:$K$1238,10,0)</f>
        <v>0.1218850528040214</v>
      </c>
      <c r="AB547" s="8">
        <f>+VLOOKUP($B547,NIFTY_AUTO!$B$63:$K$1238,10,0)</f>
        <v>-6.5372008826238726E-2</v>
      </c>
      <c r="AC547" s="8"/>
      <c r="AD547" s="16">
        <f t="shared" si="307"/>
        <v>5.3861592620429763E-2</v>
      </c>
      <c r="AE547" s="8">
        <f t="shared" si="308"/>
        <v>5.9483202277850346E-2</v>
      </c>
      <c r="AF547" s="8">
        <f t="shared" si="309"/>
        <v>7.5273598731834535E-2</v>
      </c>
      <c r="AG547" s="8">
        <f t="shared" si="310"/>
        <v>8.6854840189850763E-2</v>
      </c>
      <c r="AH547" s="8">
        <f t="shared" si="311"/>
        <v>5.6691902522313507E-2</v>
      </c>
      <c r="AI547" s="8">
        <f t="shared" si="312"/>
        <v>0.11240249107159182</v>
      </c>
      <c r="AJ547" s="8">
        <f t="shared" si="313"/>
        <v>9.0920793751886983E-2</v>
      </c>
      <c r="AK547" s="8">
        <f t="shared" si="314"/>
        <v>9.5968457140618191E-2</v>
      </c>
      <c r="AL547" s="9">
        <v>0</v>
      </c>
      <c r="AM547" s="17">
        <f t="shared" si="291"/>
        <v>18.566105295978545</v>
      </c>
      <c r="AN547" s="13">
        <f t="shared" si="292"/>
        <v>16.811468813143712</v>
      </c>
      <c r="AO547" s="13">
        <f t="shared" si="293"/>
        <v>13.284870350925342</v>
      </c>
      <c r="AP547" s="13">
        <f t="shared" si="294"/>
        <v>11.513463127836747</v>
      </c>
      <c r="AQ547" s="13">
        <f t="shared" si="295"/>
        <v>17.639203404867345</v>
      </c>
      <c r="AR547" s="13">
        <f t="shared" si="296"/>
        <v>8.8965999816060677</v>
      </c>
      <c r="AS547" s="13">
        <f t="shared" si="297"/>
        <v>10.998584138287352</v>
      </c>
      <c r="AT547" s="13">
        <f t="shared" si="298"/>
        <v>10.420090410901842</v>
      </c>
      <c r="AU547" s="9">
        <v>0</v>
      </c>
      <c r="AV547" s="18">
        <f t="shared" si="315"/>
        <v>1</v>
      </c>
      <c r="AW547" s="18">
        <f t="shared" si="316"/>
        <v>3</v>
      </c>
      <c r="AX547" s="18">
        <f t="shared" si="317"/>
        <v>4</v>
      </c>
      <c r="AY547" s="18">
        <f t="shared" si="318"/>
        <v>5</v>
      </c>
      <c r="AZ547" s="18">
        <f t="shared" si="319"/>
        <v>2</v>
      </c>
      <c r="BA547" s="18">
        <f t="shared" si="320"/>
        <v>8</v>
      </c>
      <c r="BB547" s="18">
        <f t="shared" si="321"/>
        <v>6</v>
      </c>
      <c r="BC547" s="18">
        <f t="shared" si="322"/>
        <v>7</v>
      </c>
      <c r="BD547" s="18">
        <f t="shared" si="323"/>
        <v>9</v>
      </c>
      <c r="BE547" s="8">
        <f t="shared" si="325"/>
        <v>-7.5090507649143261E-4</v>
      </c>
    </row>
    <row r="548" spans="1:57" x14ac:dyDescent="0.25">
      <c r="A548" t="str">
        <f t="shared" si="324"/>
        <v/>
      </c>
      <c r="B548" s="1">
        <v>43539</v>
      </c>
      <c r="C548" s="9">
        <f t="shared" si="299"/>
        <v>0.25406624140873396</v>
      </c>
      <c r="D548" s="9">
        <f t="shared" si="300"/>
        <v>0.26317499658355931</v>
      </c>
      <c r="E548" s="9">
        <f t="shared" si="301"/>
        <v>0.2371340838435485</v>
      </c>
      <c r="F548" s="9">
        <f t="shared" si="302"/>
        <v>0</v>
      </c>
      <c r="G548" s="9">
        <f t="shared" si="303"/>
        <v>0.24562467816415828</v>
      </c>
      <c r="H548" s="9">
        <f t="shared" si="304"/>
        <v>0</v>
      </c>
      <c r="I548" s="9">
        <f t="shared" si="305"/>
        <v>0</v>
      </c>
      <c r="J548" s="9">
        <f t="shared" si="306"/>
        <v>0</v>
      </c>
      <c r="K548" s="9">
        <v>0</v>
      </c>
      <c r="L548" s="8">
        <f>+VLOOKUP($B548,NIFTY_50!$B$3:$I$1238,8,0)</f>
        <v>7.3700218191434796E-3</v>
      </c>
      <c r="M548" s="8">
        <f>+VLOOKUP($B548,NIFTY_BANK!$B$3:$I$41238,8,0)</f>
        <v>1.5847194802770082E-2</v>
      </c>
      <c r="N548" s="8">
        <f>+VLOOKUP($B548,NIFTY_IT!$B$3:$I$1238,8,0)</f>
        <v>1.8751085321861316E-2</v>
      </c>
      <c r="O548" s="8">
        <f>+VLOOKUP($B548,NIFTY_PHARMA!$B$3:$I$1238,8,0)</f>
        <v>4.0120197280320014E-3</v>
      </c>
      <c r="P548" s="8">
        <f>+VLOOKUP($B548,NIFTY_FMCG!$B$3:$I$1238,8,0)</f>
        <v>-1.6867264247242053E-2</v>
      </c>
      <c r="Q548" s="8">
        <f>+VLOOKUP($B548,NIFTY_METAL!$B$3:$I$1238,8,0)</f>
        <v>2.0652554088038677E-3</v>
      </c>
      <c r="R548" s="8">
        <f>+VLOOKUP($B548,NIFTY_ENERGY!$B$3:$I$1238,8,0)</f>
        <v>1.3260571795856713E-3</v>
      </c>
      <c r="S548" s="8">
        <f>+VLOOKUP($B548,NIFTY_AUTO!$B$3:$I$1238,8,0)</f>
        <v>2.5843791186750398E-3</v>
      </c>
      <c r="T548" s="8">
        <v>0</v>
      </c>
      <c r="U548" s="8">
        <f>+VLOOKUP($B548,NIFTY_50!$B$63:$K$1238,10,0)</f>
        <v>4.749878537314256E-2</v>
      </c>
      <c r="V548" s="8">
        <f>+VLOOKUP($B548,NIFTY_BANK!$B$63:$K$1238,10,0)</f>
        <v>8.1206048272842057E-2</v>
      </c>
      <c r="W548" s="8">
        <f>+VLOOKUP($B548,NIFTY_IT!$B$63:$K$1238,10,0)</f>
        <v>5.5373398774005711E-2</v>
      </c>
      <c r="X548" s="8">
        <f>+VLOOKUP($B548,NIFTY_PHARMA!$B$63:$K$1238,10,0)</f>
        <v>4.3137188362517564E-2</v>
      </c>
      <c r="Y548" s="8">
        <f>+VLOOKUP($B548,NIFTY_FMCG!$B$63:$K$1238,10,0)</f>
        <v>-2.0791516015351674E-2</v>
      </c>
      <c r="Z548" s="8">
        <f>+VLOOKUP($B548,NIFTY_METAL!$B$63:$K$1238,10,0)</f>
        <v>-5.9378077951315666E-2</v>
      </c>
      <c r="AA548" s="8">
        <f>+VLOOKUP($B548,NIFTY_ENERGY!$B$63:$K$1238,10,0)</f>
        <v>0.11538835828780369</v>
      </c>
      <c r="AB548" s="8">
        <f>+VLOOKUP($B548,NIFTY_AUTO!$B$63:$K$1238,10,0)</f>
        <v>-6.9732448584614692E-2</v>
      </c>
      <c r="AC548" s="8"/>
      <c r="AD548" s="16">
        <f t="shared" si="307"/>
        <v>5.4256364575605807E-2</v>
      </c>
      <c r="AE548" s="8">
        <f t="shared" si="308"/>
        <v>6.1076043384928606E-2</v>
      </c>
      <c r="AF548" s="8">
        <f t="shared" si="309"/>
        <v>7.672509664727202E-2</v>
      </c>
      <c r="AG548" s="8">
        <f t="shared" si="310"/>
        <v>8.6624911498942081E-2</v>
      </c>
      <c r="AH548" s="8">
        <f t="shared" si="311"/>
        <v>5.9087304416487116E-2</v>
      </c>
      <c r="AI548" s="8">
        <f t="shared" si="312"/>
        <v>0.11214713535638744</v>
      </c>
      <c r="AJ548" s="8">
        <f t="shared" si="313"/>
        <v>9.0770864854672811E-2</v>
      </c>
      <c r="AK548" s="8">
        <f t="shared" si="314"/>
        <v>9.5673972104019775E-2</v>
      </c>
      <c r="AL548" s="9">
        <v>0</v>
      </c>
      <c r="AM548" s="17">
        <f t="shared" si="291"/>
        <v>18.431017408225131</v>
      </c>
      <c r="AN548" s="13">
        <f t="shared" si="292"/>
        <v>16.373031790837395</v>
      </c>
      <c r="AO548" s="13">
        <f t="shared" si="293"/>
        <v>13.03354500284693</v>
      </c>
      <c r="AP548" s="13">
        <f t="shared" si="294"/>
        <v>11.5440233380465</v>
      </c>
      <c r="AQ548" s="13">
        <f t="shared" si="295"/>
        <v>16.9241093306834</v>
      </c>
      <c r="AR548" s="13">
        <f t="shared" si="296"/>
        <v>8.9168572770240093</v>
      </c>
      <c r="AS548" s="13">
        <f t="shared" si="297"/>
        <v>11.016750821984933</v>
      </c>
      <c r="AT548" s="13">
        <f t="shared" si="298"/>
        <v>10.45216350913881</v>
      </c>
      <c r="AU548" s="9">
        <v>0</v>
      </c>
      <c r="AV548" s="18">
        <f t="shared" si="315"/>
        <v>1</v>
      </c>
      <c r="AW548" s="18">
        <f t="shared" si="316"/>
        <v>3</v>
      </c>
      <c r="AX548" s="18">
        <f t="shared" si="317"/>
        <v>4</v>
      </c>
      <c r="AY548" s="18">
        <f t="shared" si="318"/>
        <v>5</v>
      </c>
      <c r="AZ548" s="18">
        <f t="shared" si="319"/>
        <v>2</v>
      </c>
      <c r="BA548" s="18">
        <f t="shared" si="320"/>
        <v>8</v>
      </c>
      <c r="BB548" s="18">
        <f t="shared" si="321"/>
        <v>6</v>
      </c>
      <c r="BC548" s="18">
        <f t="shared" si="322"/>
        <v>7</v>
      </c>
      <c r="BD548" s="18">
        <f t="shared" si="323"/>
        <v>9</v>
      </c>
      <c r="BE548" s="8">
        <f t="shared" si="325"/>
        <v>6.1525030903053562E-3</v>
      </c>
    </row>
    <row r="549" spans="1:57" x14ac:dyDescent="0.25">
      <c r="A549" t="str">
        <f t="shared" si="324"/>
        <v/>
      </c>
      <c r="B549" s="1">
        <v>43542</v>
      </c>
      <c r="C549" s="9">
        <f t="shared" si="299"/>
        <v>0.25443264747990002</v>
      </c>
      <c r="D549" s="9">
        <f t="shared" si="300"/>
        <v>0.2646612173762703</v>
      </c>
      <c r="E549" s="9">
        <f t="shared" si="301"/>
        <v>0.23389376188986252</v>
      </c>
      <c r="F549" s="9">
        <f t="shared" si="302"/>
        <v>0</v>
      </c>
      <c r="G549" s="9">
        <f t="shared" si="303"/>
        <v>0.24701237325396708</v>
      </c>
      <c r="H549" s="9">
        <f t="shared" si="304"/>
        <v>0</v>
      </c>
      <c r="I549" s="9">
        <f t="shared" si="305"/>
        <v>0</v>
      </c>
      <c r="J549" s="9">
        <f t="shared" si="306"/>
        <v>0</v>
      </c>
      <c r="K549" s="9">
        <v>0</v>
      </c>
      <c r="L549" s="8">
        <f>+VLOOKUP($B549,NIFTY_50!$B$3:$I$1238,8,0)</f>
        <v>3.0935909721401256E-3</v>
      </c>
      <c r="M549" s="8">
        <f>+VLOOKUP($B549,NIFTY_BANK!$B$3:$I$41238,8,0)</f>
        <v>7.3056299127509661E-3</v>
      </c>
      <c r="N549" s="8">
        <f>+VLOOKUP($B549,NIFTY_IT!$B$3:$I$1238,8,0)</f>
        <v>-1.2038001878224125E-2</v>
      </c>
      <c r="O549" s="8">
        <f>+VLOOKUP($B549,NIFTY_PHARMA!$B$3:$I$1238,8,0)</f>
        <v>-1.8217800309051624E-3</v>
      </c>
      <c r="P549" s="8">
        <f>+VLOOKUP($B549,NIFTY_FMCG!$B$3:$I$1238,8,0)</f>
        <v>7.3080184553337979E-3</v>
      </c>
      <c r="Q549" s="8">
        <f>+VLOOKUP($B549,NIFTY_METAL!$B$3:$I$1238,8,0)</f>
        <v>6.6982464888223348E-3</v>
      </c>
      <c r="R549" s="8">
        <f>+VLOOKUP($B549,NIFTY_ENERGY!$B$3:$I$1238,8,0)</f>
        <v>1.7882738592314595E-2</v>
      </c>
      <c r="S549" s="8">
        <f>+VLOOKUP($B549,NIFTY_AUTO!$B$3:$I$1238,8,0)</f>
        <v>-1.3831653911443142E-2</v>
      </c>
      <c r="T549" s="8">
        <v>0</v>
      </c>
      <c r="U549" s="8">
        <f>+VLOOKUP($B549,NIFTY_50!$B$63:$K$1238,10,0)</f>
        <v>4.5125053568335183E-2</v>
      </c>
      <c r="V549" s="8">
        <f>+VLOOKUP($B549,NIFTY_BANK!$B$63:$K$1238,10,0)</f>
        <v>8.4169768191542316E-2</v>
      </c>
      <c r="W549" s="8">
        <f>+VLOOKUP($B549,NIFTY_IT!$B$63:$K$1238,10,0)</f>
        <v>5.2608314258693278E-2</v>
      </c>
      <c r="X549" s="8">
        <f>+VLOOKUP($B549,NIFTY_PHARMA!$B$63:$K$1238,10,0)</f>
        <v>4.32370558001689E-2</v>
      </c>
      <c r="Y549" s="8">
        <f>+VLOOKUP($B549,NIFTY_FMCG!$B$63:$K$1238,10,0)</f>
        <v>-2.5985198815259625E-2</v>
      </c>
      <c r="Z549" s="8">
        <f>+VLOOKUP($B549,NIFTY_METAL!$B$63:$K$1238,10,0)</f>
        <v>-5.6911075471404282E-2</v>
      </c>
      <c r="AA549" s="8">
        <f>+VLOOKUP($B549,NIFTY_ENERGY!$B$63:$K$1238,10,0)</f>
        <v>0.12934485738980128</v>
      </c>
      <c r="AB549" s="8">
        <f>+VLOOKUP($B549,NIFTY_AUTO!$B$63:$K$1238,10,0)</f>
        <v>-9.2624925060740382E-2</v>
      </c>
      <c r="AC549" s="8"/>
      <c r="AD549" s="16">
        <f t="shared" si="307"/>
        <v>5.4110618328134331E-2</v>
      </c>
      <c r="AE549" s="8">
        <f t="shared" si="308"/>
        <v>6.1282856964197066E-2</v>
      </c>
      <c r="AF549" s="8">
        <f t="shared" si="309"/>
        <v>7.7118194322209885E-2</v>
      </c>
      <c r="AG549" s="8">
        <f t="shared" si="310"/>
        <v>8.6622016140405794E-2</v>
      </c>
      <c r="AH549" s="8">
        <f t="shared" si="311"/>
        <v>5.8138537706053421E-2</v>
      </c>
      <c r="AI549" s="8">
        <f t="shared" si="312"/>
        <v>0.11229402371968446</v>
      </c>
      <c r="AJ549" s="8">
        <f t="shared" si="313"/>
        <v>9.2095863733211228E-2</v>
      </c>
      <c r="AK549" s="8">
        <f t="shared" si="314"/>
        <v>9.5694391001997739E-2</v>
      </c>
      <c r="AL549" s="9">
        <v>0</v>
      </c>
      <c r="AM549" s="17">
        <f t="shared" si="291"/>
        <v>18.480661114161745</v>
      </c>
      <c r="AN549" s="13">
        <f t="shared" si="292"/>
        <v>16.317777100115034</v>
      </c>
      <c r="AO549" s="13">
        <f t="shared" si="293"/>
        <v>12.967108589470721</v>
      </c>
      <c r="AP549" s="13">
        <f t="shared" si="294"/>
        <v>11.544409199378343</v>
      </c>
      <c r="AQ549" s="13">
        <f t="shared" si="295"/>
        <v>17.200295010101009</v>
      </c>
      <c r="AR549" s="13">
        <f t="shared" si="296"/>
        <v>8.9051934099027754</v>
      </c>
      <c r="AS549" s="13">
        <f t="shared" si="297"/>
        <v>10.858250951387561</v>
      </c>
      <c r="AT549" s="13">
        <f t="shared" si="298"/>
        <v>10.449933267030497</v>
      </c>
      <c r="AU549" s="9">
        <v>0</v>
      </c>
      <c r="AV549" s="18">
        <f t="shared" si="315"/>
        <v>1</v>
      </c>
      <c r="AW549" s="18">
        <f t="shared" si="316"/>
        <v>3</v>
      </c>
      <c r="AX549" s="18">
        <f t="shared" si="317"/>
        <v>4</v>
      </c>
      <c r="AY549" s="18">
        <f t="shared" si="318"/>
        <v>5</v>
      </c>
      <c r="AZ549" s="18">
        <f t="shared" si="319"/>
        <v>2</v>
      </c>
      <c r="BA549" s="18">
        <f t="shared" si="320"/>
        <v>8</v>
      </c>
      <c r="BB549" s="18">
        <f t="shared" si="321"/>
        <v>6</v>
      </c>
      <c r="BC549" s="18">
        <f t="shared" si="322"/>
        <v>7</v>
      </c>
      <c r="BD549" s="18">
        <f t="shared" si="323"/>
        <v>9</v>
      </c>
      <c r="BE549" s="8">
        <f t="shared" si="325"/>
        <v>1.6490452924861165E-3</v>
      </c>
    </row>
    <row r="550" spans="1:57" x14ac:dyDescent="0.25">
      <c r="A550" t="str">
        <f t="shared" si="324"/>
        <v/>
      </c>
      <c r="B550" s="1">
        <v>43543</v>
      </c>
      <c r="C550" s="9">
        <f t="shared" si="299"/>
        <v>0.25413517665277441</v>
      </c>
      <c r="D550" s="9">
        <f t="shared" si="300"/>
        <v>0.26426735563340942</v>
      </c>
      <c r="E550" s="9">
        <f t="shared" si="301"/>
        <v>0.23425571821207058</v>
      </c>
      <c r="F550" s="9">
        <f t="shared" si="302"/>
        <v>0</v>
      </c>
      <c r="G550" s="9">
        <f t="shared" si="303"/>
        <v>0.24734174950174551</v>
      </c>
      <c r="H550" s="9">
        <f t="shared" si="304"/>
        <v>0</v>
      </c>
      <c r="I550" s="9">
        <f t="shared" si="305"/>
        <v>0</v>
      </c>
      <c r="J550" s="9">
        <f t="shared" si="306"/>
        <v>0</v>
      </c>
      <c r="K550" s="9">
        <v>0</v>
      </c>
      <c r="L550" s="8">
        <f>+VLOOKUP($B550,NIFTY_50!$B$3:$I$1238,8,0)</f>
        <v>6.1244787213623475E-3</v>
      </c>
      <c r="M550" s="8">
        <f>+VLOOKUP($B550,NIFTY_BANK!$B$3:$I$41238,8,0)</f>
        <v>5.8031294663825062E-3</v>
      </c>
      <c r="N550" s="8">
        <f>+VLOOKUP($B550,NIFTY_IT!$B$3:$I$1238,8,0)</f>
        <v>8.860994371543196E-3</v>
      </c>
      <c r="O550" s="8">
        <f>+VLOOKUP($B550,NIFTY_PHARMA!$B$3:$I$1238,8,0)</f>
        <v>4.3074650052417063E-3</v>
      </c>
      <c r="P550" s="8">
        <f>+VLOOKUP($B550,NIFTY_FMCG!$B$3:$I$1238,8,0)</f>
        <v>8.6453468910225872E-3</v>
      </c>
      <c r="Q550" s="8">
        <f>+VLOOKUP($B550,NIFTY_METAL!$B$3:$I$1238,8,0)</f>
        <v>-3.3020737022848579E-4</v>
      </c>
      <c r="R550" s="8">
        <f>+VLOOKUP($B550,NIFTY_ENERGY!$B$3:$I$1238,8,0)</f>
        <v>1.5964464907259224E-2</v>
      </c>
      <c r="S550" s="8">
        <f>+VLOOKUP($B550,NIFTY_AUTO!$B$3:$I$1238,8,0)</f>
        <v>-6.9548686978747609E-3</v>
      </c>
      <c r="T550" s="8">
        <v>0</v>
      </c>
      <c r="U550" s="8">
        <f>+VLOOKUP($B550,NIFTY_50!$B$63:$K$1238,10,0)</f>
        <v>5.3023731475478675E-2</v>
      </c>
      <c r="V550" s="8">
        <f>+VLOOKUP($B550,NIFTY_BANK!$B$63:$K$1238,10,0)</f>
        <v>9.1392882152586008E-2</v>
      </c>
      <c r="W550" s="8">
        <f>+VLOOKUP($B550,NIFTY_IT!$B$63:$K$1238,10,0)</f>
        <v>6.5561144672555249E-2</v>
      </c>
      <c r="X550" s="8">
        <f>+VLOOKUP($B550,NIFTY_PHARMA!$B$63:$K$1238,10,0)</f>
        <v>4.413923964851274E-2</v>
      </c>
      <c r="Y550" s="8">
        <f>+VLOOKUP($B550,NIFTY_FMCG!$B$63:$K$1238,10,0)</f>
        <v>-1.0624204525690017E-2</v>
      </c>
      <c r="Z550" s="8">
        <f>+VLOOKUP($B550,NIFTY_METAL!$B$63:$K$1238,10,0)</f>
        <v>-4.7358318386355736E-2</v>
      </c>
      <c r="AA550" s="8">
        <f>+VLOOKUP($B550,NIFTY_ENERGY!$B$63:$K$1238,10,0)</f>
        <v>0.15038094379779143</v>
      </c>
      <c r="AB550" s="8">
        <f>+VLOOKUP($B550,NIFTY_AUTO!$B$63:$K$1238,10,0)</f>
        <v>-0.10052968381708327</v>
      </c>
      <c r="AC550" s="8"/>
      <c r="AD550" s="16">
        <f t="shared" si="307"/>
        <v>5.4325170277035782E-2</v>
      </c>
      <c r="AE550" s="8">
        <f t="shared" si="308"/>
        <v>6.1398301930840553E-2</v>
      </c>
      <c r="AF550" s="8">
        <f t="shared" si="309"/>
        <v>7.739427549325989E-2</v>
      </c>
      <c r="AG550" s="8">
        <f t="shared" si="310"/>
        <v>8.6653170961238382E-2</v>
      </c>
      <c r="AH550" s="8">
        <f t="shared" si="311"/>
        <v>5.8431575011730519E-2</v>
      </c>
      <c r="AI550" s="8">
        <f t="shared" si="312"/>
        <v>0.11188549065190456</v>
      </c>
      <c r="AJ550" s="8">
        <f t="shared" si="313"/>
        <v>9.2990774985163699E-2</v>
      </c>
      <c r="AK550" s="8">
        <f t="shared" si="314"/>
        <v>9.5785809692631965E-2</v>
      </c>
      <c r="AL550" s="9">
        <v>0</v>
      </c>
      <c r="AM550" s="17">
        <f t="shared" si="291"/>
        <v>18.407673549855726</v>
      </c>
      <c r="AN550" s="13">
        <f t="shared" si="292"/>
        <v>16.287095384598853</v>
      </c>
      <c r="AO550" s="13">
        <f t="shared" si="293"/>
        <v>12.920852267518002</v>
      </c>
      <c r="AP550" s="13">
        <f t="shared" si="294"/>
        <v>11.540258583812461</v>
      </c>
      <c r="AQ550" s="13">
        <f t="shared" si="295"/>
        <v>17.114034660185755</v>
      </c>
      <c r="AR550" s="13">
        <f t="shared" si="296"/>
        <v>8.9377093863866222</v>
      </c>
      <c r="AS550" s="13">
        <f t="shared" si="297"/>
        <v>10.75375487686328</v>
      </c>
      <c r="AT550" s="13">
        <f t="shared" si="298"/>
        <v>10.439959772840151</v>
      </c>
      <c r="AU550" s="9">
        <v>0</v>
      </c>
      <c r="AV550" s="18">
        <f t="shared" si="315"/>
        <v>1</v>
      </c>
      <c r="AW550" s="18">
        <f t="shared" si="316"/>
        <v>3</v>
      </c>
      <c r="AX550" s="18">
        <f t="shared" si="317"/>
        <v>4</v>
      </c>
      <c r="AY550" s="18">
        <f t="shared" si="318"/>
        <v>5</v>
      </c>
      <c r="AZ550" s="18">
        <f t="shared" si="319"/>
        <v>2</v>
      </c>
      <c r="BA550" s="18">
        <f t="shared" si="320"/>
        <v>8</v>
      </c>
      <c r="BB550" s="18">
        <f t="shared" si="321"/>
        <v>6</v>
      </c>
      <c r="BC550" s="18">
        <f t="shared" si="322"/>
        <v>7</v>
      </c>
      <c r="BD550" s="18">
        <f t="shared" si="323"/>
        <v>9</v>
      </c>
      <c r="BE550" s="8">
        <f t="shared" si="325"/>
        <v>7.3021696054758663E-3</v>
      </c>
    </row>
    <row r="551" spans="1:57" x14ac:dyDescent="0.25">
      <c r="A551" t="str">
        <f t="shared" si="324"/>
        <v/>
      </c>
      <c r="B551" s="1">
        <v>43544</v>
      </c>
      <c r="C551" s="9">
        <f t="shared" si="299"/>
        <v>0.25368587776414081</v>
      </c>
      <c r="D551" s="9">
        <f t="shared" si="300"/>
        <v>0.26463085310707868</v>
      </c>
      <c r="E551" s="9">
        <f t="shared" si="301"/>
        <v>0.23563840152015589</v>
      </c>
      <c r="F551" s="9">
        <f t="shared" si="302"/>
        <v>0</v>
      </c>
      <c r="G551" s="9">
        <f t="shared" si="303"/>
        <v>0.24604486760862465</v>
      </c>
      <c r="H551" s="9">
        <f t="shared" si="304"/>
        <v>0</v>
      </c>
      <c r="I551" s="9">
        <f t="shared" si="305"/>
        <v>0</v>
      </c>
      <c r="J551" s="9">
        <f t="shared" si="306"/>
        <v>0</v>
      </c>
      <c r="K551" s="9">
        <v>0</v>
      </c>
      <c r="L551" s="8">
        <f>+VLOOKUP($B551,NIFTY_50!$B$3:$I$1238,8,0)</f>
        <v>-9.8418369116581861E-4</v>
      </c>
      <c r="M551" s="8">
        <f>+VLOOKUP($B551,NIFTY_BANK!$B$3:$I$41238,8,0)</f>
        <v>2.1617281731802773E-3</v>
      </c>
      <c r="N551" s="8">
        <f>+VLOOKUP($B551,NIFTY_IT!$B$3:$I$1238,8,0)</f>
        <v>6.6922439022816249E-3</v>
      </c>
      <c r="O551" s="8">
        <f>+VLOOKUP($B551,NIFTY_PHARMA!$B$3:$I$1238,8,0)</f>
        <v>2.1526080089997457E-3</v>
      </c>
      <c r="P551" s="8">
        <f>+VLOOKUP($B551,NIFTY_FMCG!$B$3:$I$1238,8,0)</f>
        <v>-4.462239367268972E-3</v>
      </c>
      <c r="Q551" s="8">
        <f>+VLOOKUP($B551,NIFTY_METAL!$B$3:$I$1238,8,0)</f>
        <v>-1.0338904670674554E-2</v>
      </c>
      <c r="R551" s="8">
        <f>+VLOOKUP($B551,NIFTY_ENERGY!$B$3:$I$1238,8,0)</f>
        <v>-1.1841700865980909E-2</v>
      </c>
      <c r="S551" s="8">
        <f>+VLOOKUP($B551,NIFTY_AUTO!$B$3:$I$1238,8,0)</f>
        <v>-1.4234771595823426E-2</v>
      </c>
      <c r="T551" s="8">
        <v>0</v>
      </c>
      <c r="U551" s="8">
        <f>+VLOOKUP($B551,NIFTY_50!$B$63:$K$1238,10,0)</f>
        <v>7.1326948112330202E-2</v>
      </c>
      <c r="V551" s="8">
        <f>+VLOOKUP($B551,NIFTY_BANK!$B$63:$K$1238,10,0)</f>
        <v>0.11025636731405131</v>
      </c>
      <c r="W551" s="8">
        <f>+VLOOKUP($B551,NIFTY_IT!$B$63:$K$1238,10,0)</f>
        <v>9.7931777151363475E-2</v>
      </c>
      <c r="X551" s="8">
        <f>+VLOOKUP($B551,NIFTY_PHARMA!$B$63:$K$1238,10,0)</f>
        <v>5.5897789504276929E-2</v>
      </c>
      <c r="Y551" s="8">
        <f>+VLOOKUP($B551,NIFTY_FMCG!$B$63:$K$1238,10,0)</f>
        <v>3.2301538420784759E-3</v>
      </c>
      <c r="Z551" s="8">
        <f>+VLOOKUP($B551,NIFTY_METAL!$B$63:$K$1238,10,0)</f>
        <v>-5.2556683426619899E-2</v>
      </c>
      <c r="AA551" s="8">
        <f>+VLOOKUP($B551,NIFTY_ENERGY!$B$63:$K$1238,10,0)</f>
        <v>0.15802892000211877</v>
      </c>
      <c r="AB551" s="8">
        <f>+VLOOKUP($B551,NIFTY_AUTO!$B$63:$K$1238,10,0)</f>
        <v>-9.5547404214302856E-2</v>
      </c>
      <c r="AC551" s="8"/>
      <c r="AD551" s="16">
        <f t="shared" si="307"/>
        <v>5.0909653084972008E-2</v>
      </c>
      <c r="AE551" s="8">
        <f t="shared" si="308"/>
        <v>5.9150569886207607E-2</v>
      </c>
      <c r="AF551" s="8">
        <f t="shared" si="309"/>
        <v>7.3668313746255862E-2</v>
      </c>
      <c r="AG551" s="8">
        <f t="shared" si="310"/>
        <v>8.6099007473571257E-2</v>
      </c>
      <c r="AH551" s="8">
        <f t="shared" si="311"/>
        <v>5.5708949708709779E-2</v>
      </c>
      <c r="AI551" s="8">
        <f t="shared" si="312"/>
        <v>0.11221924602857702</v>
      </c>
      <c r="AJ551" s="8">
        <f t="shared" si="313"/>
        <v>9.1752406034801684E-2</v>
      </c>
      <c r="AK551" s="8">
        <f t="shared" si="314"/>
        <v>9.4912502993257042E-2</v>
      </c>
      <c r="AL551" s="9">
        <v>0</v>
      </c>
      <c r="AM551" s="17">
        <f t="shared" si="291"/>
        <v>19.642640234277877</v>
      </c>
      <c r="AN551" s="13">
        <f t="shared" si="292"/>
        <v>16.90600786981047</v>
      </c>
      <c r="AO551" s="13">
        <f t="shared" si="293"/>
        <v>13.574357130589599</v>
      </c>
      <c r="AP551" s="13">
        <f t="shared" si="294"/>
        <v>11.614535746035836</v>
      </c>
      <c r="AQ551" s="13">
        <f t="shared" si="295"/>
        <v>17.95043714212504</v>
      </c>
      <c r="AR551" s="13">
        <f t="shared" si="296"/>
        <v>8.9111274169971395</v>
      </c>
      <c r="AS551" s="13">
        <f t="shared" si="297"/>
        <v>10.898896750682484</v>
      </c>
      <c r="AT551" s="13">
        <f t="shared" si="298"/>
        <v>10.536019686163412</v>
      </c>
      <c r="AU551" s="9">
        <v>0</v>
      </c>
      <c r="AV551" s="18">
        <f t="shared" si="315"/>
        <v>1</v>
      </c>
      <c r="AW551" s="18">
        <f t="shared" si="316"/>
        <v>3</v>
      </c>
      <c r="AX551" s="18">
        <f t="shared" si="317"/>
        <v>4</v>
      </c>
      <c r="AY551" s="18">
        <f t="shared" si="318"/>
        <v>5</v>
      </c>
      <c r="AZ551" s="18">
        <f t="shared" si="319"/>
        <v>2</v>
      </c>
      <c r="BA551" s="18">
        <f t="shared" si="320"/>
        <v>8</v>
      </c>
      <c r="BB551" s="18">
        <f t="shared" si="321"/>
        <v>6</v>
      </c>
      <c r="BC551" s="18">
        <f t="shared" si="322"/>
        <v>7</v>
      </c>
      <c r="BD551" s="18">
        <f t="shared" si="323"/>
        <v>9</v>
      </c>
      <c r="BE551" s="8">
        <f t="shared" si="325"/>
        <v>7.8515680169485044E-4</v>
      </c>
    </row>
    <row r="552" spans="1:57" x14ac:dyDescent="0.25">
      <c r="A552" t="str">
        <f t="shared" si="324"/>
        <v/>
      </c>
      <c r="B552" s="1">
        <v>43546</v>
      </c>
      <c r="C552" s="9">
        <f t="shared" si="299"/>
        <v>0.25358049436411484</v>
      </c>
      <c r="D552" s="9">
        <f t="shared" si="300"/>
        <v>0.26377556367047583</v>
      </c>
      <c r="E552" s="9">
        <f t="shared" si="301"/>
        <v>0.23612825377329277</v>
      </c>
      <c r="F552" s="9">
        <f t="shared" si="302"/>
        <v>0</v>
      </c>
      <c r="G552" s="9">
        <f t="shared" si="303"/>
        <v>0.24651568819211656</v>
      </c>
      <c r="H552" s="9">
        <f t="shared" si="304"/>
        <v>0</v>
      </c>
      <c r="I552" s="9">
        <f t="shared" si="305"/>
        <v>0</v>
      </c>
      <c r="J552" s="9">
        <f t="shared" si="306"/>
        <v>0</v>
      </c>
      <c r="K552" s="9">
        <v>0</v>
      </c>
      <c r="L552" s="8">
        <f>+VLOOKUP($B552,NIFTY_50!$B$3:$I$1238,8,0)</f>
        <v>-5.5680688826105218E-3</v>
      </c>
      <c r="M552" s="8">
        <f>+VLOOKUP($B552,NIFTY_BANK!$B$3:$I$41238,8,0)</f>
        <v>-8.3701503744276762E-3</v>
      </c>
      <c r="N552" s="8">
        <f>+VLOOKUP($B552,NIFTY_IT!$B$3:$I$1238,8,0)</f>
        <v>-3.0866868599451758E-3</v>
      </c>
      <c r="O552" s="8">
        <f>+VLOOKUP($B552,NIFTY_PHARMA!$B$3:$I$1238,8,0)</f>
        <v>-7.0322197636137895E-3</v>
      </c>
      <c r="P552" s="8">
        <f>+VLOOKUP($B552,NIFTY_FMCG!$B$3:$I$1238,8,0)</f>
        <v>-3.2511094204609181E-3</v>
      </c>
      <c r="Q552" s="8">
        <f>+VLOOKUP($B552,NIFTY_METAL!$B$3:$I$1238,8,0)</f>
        <v>-4.3055972764594053E-3</v>
      </c>
      <c r="R552" s="8">
        <f>+VLOOKUP($B552,NIFTY_ENERGY!$B$3:$I$1238,8,0)</f>
        <v>-1.4947491675509683E-2</v>
      </c>
      <c r="S552" s="8">
        <f>+VLOOKUP($B552,NIFTY_AUTO!$B$3:$I$1238,8,0)</f>
        <v>-1.2847686824312365E-2</v>
      </c>
      <c r="T552" s="8">
        <v>0</v>
      </c>
      <c r="U552" s="8">
        <f>+VLOOKUP($B552,NIFTY_50!$B$63:$K$1238,10,0)</f>
        <v>7.4403338491114468E-2</v>
      </c>
      <c r="V552" s="8">
        <f>+VLOOKUP($B552,NIFTY_BANK!$B$63:$K$1238,10,0)</f>
        <v>0.10734706482373979</v>
      </c>
      <c r="W552" s="8">
        <f>+VLOOKUP($B552,NIFTY_IT!$B$63:$K$1238,10,0)</f>
        <v>9.1477601726588365E-2</v>
      </c>
      <c r="X552" s="8">
        <f>+VLOOKUP($B552,NIFTY_PHARMA!$B$63:$K$1238,10,0)</f>
        <v>5.4203647573154878E-2</v>
      </c>
      <c r="Y552" s="8">
        <f>+VLOOKUP($B552,NIFTY_FMCG!$B$63:$K$1238,10,0)</f>
        <v>8.2768660092584767E-3</v>
      </c>
      <c r="Z552" s="8">
        <f>+VLOOKUP($B552,NIFTY_METAL!$B$63:$K$1238,10,0)</f>
        <v>-3.4516238652361753E-2</v>
      </c>
      <c r="AA552" s="8">
        <f>+VLOOKUP($B552,NIFTY_ENERGY!$B$63:$K$1238,10,0)</f>
        <v>0.15460579222199566</v>
      </c>
      <c r="AB552" s="8">
        <f>+VLOOKUP($B552,NIFTY_AUTO!$B$63:$K$1238,10,0)</f>
        <v>-9.4512178564640004E-2</v>
      </c>
      <c r="AC552" s="8"/>
      <c r="AD552" s="16">
        <f t="shared" si="307"/>
        <v>5.0450832482438604E-2</v>
      </c>
      <c r="AE552" s="8">
        <f t="shared" si="308"/>
        <v>5.9536502281614702E-2</v>
      </c>
      <c r="AF552" s="8">
        <f t="shared" si="309"/>
        <v>7.3801663285693306E-2</v>
      </c>
      <c r="AG552" s="8">
        <f t="shared" si="310"/>
        <v>8.6231873779278018E-2</v>
      </c>
      <c r="AH552" s="8">
        <f t="shared" si="311"/>
        <v>5.5181222528826131E-2</v>
      </c>
      <c r="AI552" s="8">
        <f t="shared" si="312"/>
        <v>0.11004633085123734</v>
      </c>
      <c r="AJ552" s="8">
        <f t="shared" si="313"/>
        <v>9.2258380418331079E-2</v>
      </c>
      <c r="AK552" s="8">
        <f t="shared" si="314"/>
        <v>9.4771487902211973E-2</v>
      </c>
      <c r="AL552" s="9">
        <v>0</v>
      </c>
      <c r="AM552" s="17">
        <f t="shared" si="291"/>
        <v>19.821278476387665</v>
      </c>
      <c r="AN552" s="13">
        <f t="shared" si="292"/>
        <v>16.796418359780048</v>
      </c>
      <c r="AO552" s="13">
        <f t="shared" si="293"/>
        <v>13.549830118718384</v>
      </c>
      <c r="AP552" s="13">
        <f t="shared" si="294"/>
        <v>11.59664003776183</v>
      </c>
      <c r="AQ552" s="13">
        <f t="shared" si="295"/>
        <v>18.122106654625309</v>
      </c>
      <c r="AR552" s="13">
        <f t="shared" si="296"/>
        <v>9.0870817069931977</v>
      </c>
      <c r="AS552" s="13">
        <f t="shared" si="297"/>
        <v>10.839123724757119</v>
      </c>
      <c r="AT552" s="13">
        <f t="shared" si="298"/>
        <v>10.551696740604406</v>
      </c>
      <c r="AU552" s="9">
        <v>0</v>
      </c>
      <c r="AV552" s="18">
        <f t="shared" si="315"/>
        <v>1</v>
      </c>
      <c r="AW552" s="18">
        <f t="shared" si="316"/>
        <v>3</v>
      </c>
      <c r="AX552" s="18">
        <f t="shared" si="317"/>
        <v>4</v>
      </c>
      <c r="AY552" s="18">
        <f t="shared" si="318"/>
        <v>5</v>
      </c>
      <c r="AZ552" s="18">
        <f t="shared" si="319"/>
        <v>2</v>
      </c>
      <c r="BA552" s="18">
        <f t="shared" si="320"/>
        <v>8</v>
      </c>
      <c r="BB552" s="18">
        <f t="shared" si="321"/>
        <v>6</v>
      </c>
      <c r="BC552" s="18">
        <f t="shared" si="322"/>
        <v>7</v>
      </c>
      <c r="BD552" s="18">
        <f t="shared" si="323"/>
        <v>9</v>
      </c>
      <c r="BE552" s="8">
        <f t="shared" si="325"/>
        <v>-5.154801220764788E-3</v>
      </c>
    </row>
    <row r="553" spans="1:57" x14ac:dyDescent="0.25">
      <c r="A553" t="str">
        <f t="shared" si="324"/>
        <v/>
      </c>
      <c r="B553" s="1">
        <v>43549</v>
      </c>
      <c r="C553" s="9">
        <f t="shared" si="299"/>
        <v>0.25365773996017654</v>
      </c>
      <c r="D553" s="9">
        <f t="shared" si="300"/>
        <v>0.26352966023135233</v>
      </c>
      <c r="E553" s="9">
        <f t="shared" si="301"/>
        <v>0.23627807981956256</v>
      </c>
      <c r="F553" s="9">
        <f t="shared" si="302"/>
        <v>0</v>
      </c>
      <c r="G553" s="9">
        <f t="shared" si="303"/>
        <v>0.24653451998890855</v>
      </c>
      <c r="H553" s="9">
        <f t="shared" si="304"/>
        <v>0</v>
      </c>
      <c r="I553" s="9">
        <f t="shared" si="305"/>
        <v>0</v>
      </c>
      <c r="J553" s="9">
        <f t="shared" si="306"/>
        <v>0</v>
      </c>
      <c r="K553" s="9">
        <v>0</v>
      </c>
      <c r="L553" s="8">
        <f>+VLOOKUP($B553,NIFTY_50!$B$3:$I$1238,8,0)</f>
        <v>-8.9596662273389027E-3</v>
      </c>
      <c r="M553" s="8">
        <f>+VLOOKUP($B553,NIFTY_BANK!$B$3:$I$41238,8,0)</f>
        <v>-1.0185075635933405E-2</v>
      </c>
      <c r="N553" s="8">
        <f>+VLOOKUP($B553,NIFTY_IT!$B$3:$I$1238,8,0)</f>
        <v>-8.6328298319733321E-3</v>
      </c>
      <c r="O553" s="8">
        <f>+VLOOKUP($B553,NIFTY_PHARMA!$B$3:$I$1238,8,0)</f>
        <v>-3.1741373031790587E-3</v>
      </c>
      <c r="P553" s="8">
        <f>+VLOOKUP($B553,NIFTY_FMCG!$B$3:$I$1238,8,0)</f>
        <v>-9.1857802532214761E-3</v>
      </c>
      <c r="Q553" s="8">
        <f>+VLOOKUP($B553,NIFTY_METAL!$B$3:$I$1238,8,0)</f>
        <v>-1.1246312684365711E-2</v>
      </c>
      <c r="R553" s="8">
        <f>+VLOOKUP($B553,NIFTY_ENERGY!$B$3:$I$1238,8,0)</f>
        <v>-2.7240702562481012E-4</v>
      </c>
      <c r="S553" s="8">
        <f>+VLOOKUP($B553,NIFTY_AUTO!$B$3:$I$1238,8,0)</f>
        <v>-1.1761389535302258E-2</v>
      </c>
      <c r="T553" s="8">
        <v>0</v>
      </c>
      <c r="U553" s="8">
        <f>+VLOOKUP($B553,NIFTY_50!$B$63:$K$1238,10,0)</f>
        <v>5.8192798594574935E-2</v>
      </c>
      <c r="V553" s="8">
        <f>+VLOOKUP($B553,NIFTY_BANK!$B$63:$K$1238,10,0)</f>
        <v>8.5019342789808494E-2</v>
      </c>
      <c r="W553" s="8">
        <f>+VLOOKUP($B553,NIFTY_IT!$B$63:$K$1238,10,0)</f>
        <v>8.8845178650883927E-2</v>
      </c>
      <c r="X553" s="8">
        <f>+VLOOKUP($B553,NIFTY_PHARMA!$B$63:$K$1238,10,0)</f>
        <v>5.5878915582882716E-2</v>
      </c>
      <c r="Y553" s="8">
        <f>+VLOOKUP($B553,NIFTY_FMCG!$B$63:$K$1238,10,0)</f>
        <v>-2.4936450389632103E-3</v>
      </c>
      <c r="Z553" s="8">
        <f>+VLOOKUP($B553,NIFTY_METAL!$B$63:$K$1238,10,0)</f>
        <v>-4.8024012006002925E-2</v>
      </c>
      <c r="AA553" s="8">
        <f>+VLOOKUP($B553,NIFTY_ENERGY!$B$63:$K$1238,10,0)</f>
        <v>0.14819713162254589</v>
      </c>
      <c r="AB553" s="8">
        <f>+VLOOKUP($B553,NIFTY_AUTO!$B$63:$K$1238,10,0)</f>
        <v>-0.10712582637910484</v>
      </c>
      <c r="AC553" s="8"/>
      <c r="AD553" s="16">
        <f t="shared" si="307"/>
        <v>5.118050480505839E-2</v>
      </c>
      <c r="AE553" s="8">
        <f t="shared" si="308"/>
        <v>6.0059628429368767E-2</v>
      </c>
      <c r="AF553" s="8">
        <f t="shared" si="309"/>
        <v>7.4089978910728174E-2</v>
      </c>
      <c r="AG553" s="8">
        <f t="shared" si="310"/>
        <v>8.6141866544575743E-2</v>
      </c>
      <c r="AH553" s="8">
        <f t="shared" si="311"/>
        <v>5.59339659325611E-2</v>
      </c>
      <c r="AI553" s="8">
        <f t="shared" si="312"/>
        <v>0.11050946443247139</v>
      </c>
      <c r="AJ553" s="8">
        <f t="shared" si="313"/>
        <v>9.2250254065500123E-2</v>
      </c>
      <c r="AK553" s="8">
        <f t="shared" si="314"/>
        <v>9.5229123934730139E-2</v>
      </c>
      <c r="AL553" s="9">
        <v>0</v>
      </c>
      <c r="AM553" s="17">
        <f t="shared" si="291"/>
        <v>19.538689659449503</v>
      </c>
      <c r="AN553" s="13">
        <f t="shared" si="292"/>
        <v>16.650119658599262</v>
      </c>
      <c r="AO553" s="13">
        <f t="shared" si="293"/>
        <v>13.497101965772064</v>
      </c>
      <c r="AP553" s="13">
        <f t="shared" si="294"/>
        <v>11.608757043620956</v>
      </c>
      <c r="AQ553" s="13">
        <f t="shared" si="295"/>
        <v>17.878224497896106</v>
      </c>
      <c r="AR553" s="13">
        <f t="shared" si="296"/>
        <v>9.0489987001164618</v>
      </c>
      <c r="AS553" s="13">
        <f t="shared" si="297"/>
        <v>10.84007854645011</v>
      </c>
      <c r="AT553" s="13">
        <f t="shared" si="298"/>
        <v>10.500989179375399</v>
      </c>
      <c r="AU553" s="9">
        <v>0</v>
      </c>
      <c r="AV553" s="18">
        <f t="shared" si="315"/>
        <v>1</v>
      </c>
      <c r="AW553" s="18">
        <f t="shared" si="316"/>
        <v>3</v>
      </c>
      <c r="AX553" s="18">
        <f t="shared" si="317"/>
        <v>4</v>
      </c>
      <c r="AY553" s="18">
        <f t="shared" si="318"/>
        <v>5</v>
      </c>
      <c r="AZ553" s="18">
        <f t="shared" si="319"/>
        <v>2</v>
      </c>
      <c r="BA553" s="18">
        <f t="shared" si="320"/>
        <v>8</v>
      </c>
      <c r="BB553" s="18">
        <f t="shared" si="321"/>
        <v>6</v>
      </c>
      <c r="BC553" s="18">
        <f t="shared" si="322"/>
        <v>7</v>
      </c>
      <c r="BD553" s="18">
        <f t="shared" si="323"/>
        <v>9</v>
      </c>
      <c r="BE553" s="8">
        <f t="shared" si="325"/>
        <v>-9.261464632211126E-3</v>
      </c>
    </row>
    <row r="554" spans="1:57" x14ac:dyDescent="0.25">
      <c r="A554" t="str">
        <f t="shared" si="324"/>
        <v/>
      </c>
      <c r="B554" s="1">
        <v>43550</v>
      </c>
      <c r="C554" s="9">
        <f t="shared" si="299"/>
        <v>0.25458783467735902</v>
      </c>
      <c r="D554" s="9">
        <f t="shared" si="300"/>
        <v>0.26689204767144131</v>
      </c>
      <c r="E554" s="9">
        <f t="shared" si="301"/>
        <v>0.23356406176601202</v>
      </c>
      <c r="F554" s="9">
        <f t="shared" si="302"/>
        <v>0</v>
      </c>
      <c r="G554" s="9">
        <f t="shared" si="303"/>
        <v>0.24495605588518762</v>
      </c>
      <c r="H554" s="9">
        <f t="shared" si="304"/>
        <v>0</v>
      </c>
      <c r="I554" s="9">
        <f t="shared" si="305"/>
        <v>0</v>
      </c>
      <c r="J554" s="9">
        <f t="shared" si="306"/>
        <v>0</v>
      </c>
      <c r="K554" s="9">
        <v>0</v>
      </c>
      <c r="L554" s="8">
        <f>+VLOOKUP($B554,NIFTY_50!$B$3:$I$1238,8,0)</f>
        <v>1.1361384503600025E-2</v>
      </c>
      <c r="M554" s="8">
        <f>+VLOOKUP($B554,NIFTY_BANK!$B$3:$I$41238,8,0)</f>
        <v>2.0523407510621094E-2</v>
      </c>
      <c r="N554" s="8">
        <f>+VLOOKUP($B554,NIFTY_IT!$B$3:$I$1238,8,0)</f>
        <v>-3.9080616338617036E-3</v>
      </c>
      <c r="O554" s="8">
        <f>+VLOOKUP($B554,NIFTY_PHARMA!$B$3:$I$1238,8,0)</f>
        <v>8.1623528513710131E-3</v>
      </c>
      <c r="P554" s="8">
        <f>+VLOOKUP($B554,NIFTY_FMCG!$B$3:$I$1238,8,0)</f>
        <v>1.2148475424820226E-3</v>
      </c>
      <c r="Q554" s="8">
        <f>+VLOOKUP($B554,NIFTY_METAL!$B$3:$I$1238,8,0)</f>
        <v>1.049277032868301E-2</v>
      </c>
      <c r="R554" s="8">
        <f>+VLOOKUP($B554,NIFTY_ENERGY!$B$3:$I$1238,8,0)</f>
        <v>2.4365397358170338E-2</v>
      </c>
      <c r="S554" s="8">
        <f>+VLOOKUP($B554,NIFTY_AUTO!$B$3:$I$1238,8,0)</f>
        <v>5.9112343798364275E-3</v>
      </c>
      <c r="T554" s="8">
        <v>0</v>
      </c>
      <c r="U554" s="8">
        <f>+VLOOKUP($B554,NIFTY_50!$B$63:$K$1238,10,0)</f>
        <v>6.5256312733074973E-2</v>
      </c>
      <c r="V554" s="8">
        <f>+VLOOKUP($B554,NIFTY_BANK!$B$63:$K$1238,10,0)</f>
        <v>0.1117470994529095</v>
      </c>
      <c r="W554" s="8">
        <f>+VLOOKUP($B554,NIFTY_IT!$B$63:$K$1238,10,0)</f>
        <v>6.9810860705701971E-2</v>
      </c>
      <c r="X554" s="8">
        <f>+VLOOKUP($B554,NIFTY_PHARMA!$B$63:$K$1238,10,0)</f>
        <v>6.6843608458587056E-2</v>
      </c>
      <c r="Y554" s="8">
        <f>+VLOOKUP($B554,NIFTY_FMCG!$B$63:$K$1238,10,0)</f>
        <v>-1.3816146819191855E-2</v>
      </c>
      <c r="Z554" s="8">
        <f>+VLOOKUP($B554,NIFTY_METAL!$B$63:$K$1238,10,0)</f>
        <v>-3.5092262868242186E-2</v>
      </c>
      <c r="AA554" s="8">
        <f>+VLOOKUP($B554,NIFTY_ENERGY!$B$63:$K$1238,10,0)</f>
        <v>0.15798482281617954</v>
      </c>
      <c r="AB554" s="8">
        <f>+VLOOKUP($B554,NIFTY_AUTO!$B$63:$K$1238,10,0)</f>
        <v>-9.7652464585533783E-2</v>
      </c>
      <c r="AC554" s="8"/>
      <c r="AD554" s="16">
        <f t="shared" si="307"/>
        <v>5.2090179209240563E-2</v>
      </c>
      <c r="AE554" s="8">
        <f t="shared" si="308"/>
        <v>6.2731824914745604E-2</v>
      </c>
      <c r="AF554" s="8">
        <f t="shared" si="309"/>
        <v>7.3209881132298246E-2</v>
      </c>
      <c r="AG554" s="8">
        <f t="shared" si="310"/>
        <v>8.6375348601069102E-2</v>
      </c>
      <c r="AH554" s="8">
        <f t="shared" si="311"/>
        <v>5.4461231983004205E-2</v>
      </c>
      <c r="AI554" s="8">
        <f t="shared" si="312"/>
        <v>0.11103718474600474</v>
      </c>
      <c r="AJ554" s="8">
        <f t="shared" si="313"/>
        <v>9.3890162064547464E-2</v>
      </c>
      <c r="AK554" s="8">
        <f t="shared" si="314"/>
        <v>9.5486682784286819E-2</v>
      </c>
      <c r="AL554" s="9">
        <v>0</v>
      </c>
      <c r="AM554" s="17">
        <f t="shared" si="291"/>
        <v>19.197476667974382</v>
      </c>
      <c r="AN554" s="13">
        <f t="shared" si="292"/>
        <v>15.940872138807206</v>
      </c>
      <c r="AO554" s="13">
        <f t="shared" si="293"/>
        <v>13.659358334333188</v>
      </c>
      <c r="AP554" s="13">
        <f t="shared" si="294"/>
        <v>11.577377297990118</v>
      </c>
      <c r="AQ554" s="13">
        <f t="shared" si="295"/>
        <v>18.361685250015487</v>
      </c>
      <c r="AR554" s="13">
        <f t="shared" si="296"/>
        <v>9.0059920222894636</v>
      </c>
      <c r="AS554" s="13">
        <f t="shared" si="297"/>
        <v>10.65074314508608</v>
      </c>
      <c r="AT554" s="13">
        <f t="shared" si="298"/>
        <v>10.472664573122639</v>
      </c>
      <c r="AU554" s="9">
        <v>0</v>
      </c>
      <c r="AV554" s="18">
        <f t="shared" si="315"/>
        <v>1</v>
      </c>
      <c r="AW554" s="18">
        <f t="shared" si="316"/>
        <v>3</v>
      </c>
      <c r="AX554" s="18">
        <f t="shared" si="317"/>
        <v>4</v>
      </c>
      <c r="AY554" s="18">
        <f t="shared" si="318"/>
        <v>5</v>
      </c>
      <c r="AZ554" s="18">
        <f t="shared" si="319"/>
        <v>2</v>
      </c>
      <c r="BA554" s="18">
        <f t="shared" si="320"/>
        <v>8</v>
      </c>
      <c r="BB554" s="18">
        <f t="shared" si="321"/>
        <v>6</v>
      </c>
      <c r="BC554" s="18">
        <f t="shared" si="322"/>
        <v>7</v>
      </c>
      <c r="BD554" s="18">
        <f t="shared" si="323"/>
        <v>9</v>
      </c>
      <c r="BE554" s="8">
        <f t="shared" si="325"/>
        <v>7.6665422811454812E-3</v>
      </c>
    </row>
    <row r="555" spans="1:57" x14ac:dyDescent="0.25">
      <c r="A555" t="str">
        <f t="shared" si="324"/>
        <v/>
      </c>
      <c r="B555" s="1">
        <v>43551</v>
      </c>
      <c r="C555" s="9">
        <f t="shared" si="299"/>
        <v>0.25384816025616558</v>
      </c>
      <c r="D555" s="9">
        <f t="shared" si="300"/>
        <v>0.26823477777219057</v>
      </c>
      <c r="E555" s="9">
        <f t="shared" si="301"/>
        <v>0.23340105675753123</v>
      </c>
      <c r="F555" s="9">
        <f t="shared" si="302"/>
        <v>0</v>
      </c>
      <c r="G555" s="9">
        <f t="shared" si="303"/>
        <v>0.24451600521411249</v>
      </c>
      <c r="H555" s="9">
        <f t="shared" si="304"/>
        <v>0</v>
      </c>
      <c r="I555" s="9">
        <f t="shared" si="305"/>
        <v>0</v>
      </c>
      <c r="J555" s="9">
        <f t="shared" si="306"/>
        <v>0</v>
      </c>
      <c r="K555" s="9">
        <v>0</v>
      </c>
      <c r="L555" s="8">
        <f>+VLOOKUP($B555,NIFTY_50!$B$3:$I$1238,8,0)</f>
        <v>-3.3265843728910172E-3</v>
      </c>
      <c r="M555" s="8">
        <f>+VLOOKUP($B555,NIFTY_BANK!$B$3:$I$41238,8,0)</f>
        <v>4.60642892161367E-3</v>
      </c>
      <c r="N555" s="8">
        <f>+VLOOKUP($B555,NIFTY_IT!$B$3:$I$1238,8,0)</f>
        <v>-1.1200395920972772E-3</v>
      </c>
      <c r="O555" s="8">
        <f>+VLOOKUP($B555,NIFTY_PHARMA!$B$3:$I$1238,8,0)</f>
        <v>-1.0405624661979473E-2</v>
      </c>
      <c r="P555" s="8">
        <f>+VLOOKUP($B555,NIFTY_FMCG!$B$3:$I$1238,8,0)</f>
        <v>-2.2181201556856767E-3</v>
      </c>
      <c r="Q555" s="8">
        <f>+VLOOKUP($B555,NIFTY_METAL!$B$3:$I$1238,8,0)</f>
        <v>5.0325437831300057E-4</v>
      </c>
      <c r="R555" s="8">
        <f>+VLOOKUP($B555,NIFTY_ENERGY!$B$3:$I$1238,8,0)</f>
        <v>-1.2771025339527786E-2</v>
      </c>
      <c r="S555" s="8">
        <f>+VLOOKUP($B555,NIFTY_AUTO!$B$3:$I$1238,8,0)</f>
        <v>-8.6759781592204988E-3</v>
      </c>
      <c r="T555" s="8">
        <v>0</v>
      </c>
      <c r="U555" s="8">
        <f>+VLOOKUP($B555,NIFTY_50!$B$63:$K$1238,10,0)</f>
        <v>5.3881711617970618E-2</v>
      </c>
      <c r="V555" s="8">
        <f>+VLOOKUP($B555,NIFTY_BANK!$B$63:$K$1238,10,0)</f>
        <v>0.10671053723007162</v>
      </c>
      <c r="W555" s="8">
        <f>+VLOOKUP($B555,NIFTY_IT!$B$63:$K$1238,10,0)</f>
        <v>6.6287589150412218E-2</v>
      </c>
      <c r="X555" s="8">
        <f>+VLOOKUP($B555,NIFTY_PHARMA!$B$63:$K$1238,10,0)</f>
        <v>3.796147126228111E-2</v>
      </c>
      <c r="Y555" s="8">
        <f>+VLOOKUP($B555,NIFTY_FMCG!$B$63:$K$1238,10,0)</f>
        <v>-2.1367535358826628E-2</v>
      </c>
      <c r="Z555" s="8">
        <f>+VLOOKUP($B555,NIFTY_METAL!$B$63:$K$1238,10,0)</f>
        <v>-4.1803226013752304E-2</v>
      </c>
      <c r="AA555" s="8">
        <f>+VLOOKUP($B555,NIFTY_ENERGY!$B$63:$K$1238,10,0)</f>
        <v>0.13641804339656782</v>
      </c>
      <c r="AB555" s="8">
        <f>+VLOOKUP($B555,NIFTY_AUTO!$B$63:$K$1238,10,0)</f>
        <v>-0.10933129512782136</v>
      </c>
      <c r="AC555" s="8"/>
      <c r="AD555" s="16">
        <f t="shared" si="307"/>
        <v>5.1866439165764777E-2</v>
      </c>
      <c r="AE555" s="8">
        <f t="shared" si="308"/>
        <v>6.2354660512549301E-2</v>
      </c>
      <c r="AF555" s="8">
        <f t="shared" si="309"/>
        <v>7.323662524205013E-2</v>
      </c>
      <c r="AG555" s="8">
        <f t="shared" si="310"/>
        <v>8.5585764141208234E-2</v>
      </c>
      <c r="AH555" s="8">
        <f t="shared" si="311"/>
        <v>5.4192213932512098E-2</v>
      </c>
      <c r="AI555" s="8">
        <f t="shared" si="312"/>
        <v>0.11074977417165063</v>
      </c>
      <c r="AJ555" s="8">
        <f t="shared" si="313"/>
        <v>9.5026517587211368E-2</v>
      </c>
      <c r="AK555" s="8">
        <f t="shared" si="314"/>
        <v>9.5549545631766791E-2</v>
      </c>
      <c r="AL555" s="9">
        <v>0</v>
      </c>
      <c r="AM555" s="17">
        <f t="shared" si="291"/>
        <v>19.280290223973289</v>
      </c>
      <c r="AN555" s="13">
        <f t="shared" si="292"/>
        <v>16.037293632586504</v>
      </c>
      <c r="AO555" s="13">
        <f t="shared" si="293"/>
        <v>13.65437029211761</v>
      </c>
      <c r="AP555" s="13">
        <f t="shared" si="294"/>
        <v>11.684186149814551</v>
      </c>
      <c r="AQ555" s="13">
        <f t="shared" si="295"/>
        <v>18.452835332495241</v>
      </c>
      <c r="AR555" s="13">
        <f t="shared" si="296"/>
        <v>9.029363784075116</v>
      </c>
      <c r="AS555" s="13">
        <f t="shared" si="297"/>
        <v>10.523378372592068</v>
      </c>
      <c r="AT555" s="13">
        <f t="shared" si="298"/>
        <v>10.465774519261931</v>
      </c>
      <c r="AU555" s="9">
        <v>0</v>
      </c>
      <c r="AV555" s="18">
        <f t="shared" si="315"/>
        <v>1</v>
      </c>
      <c r="AW555" s="18">
        <f t="shared" si="316"/>
        <v>3</v>
      </c>
      <c r="AX555" s="18">
        <f t="shared" si="317"/>
        <v>4</v>
      </c>
      <c r="AY555" s="18">
        <f t="shared" si="318"/>
        <v>5</v>
      </c>
      <c r="AZ555" s="18">
        <f t="shared" si="319"/>
        <v>2</v>
      </c>
      <c r="BA555" s="18">
        <f t="shared" si="320"/>
        <v>8</v>
      </c>
      <c r="BB555" s="18">
        <f t="shared" si="321"/>
        <v>6</v>
      </c>
      <c r="BC555" s="18">
        <f t="shared" si="322"/>
        <v>7</v>
      </c>
      <c r="BD555" s="18">
        <f t="shared" si="323"/>
        <v>9</v>
      </c>
      <c r="BE555" s="8">
        <f t="shared" si="325"/>
        <v>-4.2243162630863182E-4</v>
      </c>
    </row>
    <row r="556" spans="1:57" x14ac:dyDescent="0.25">
      <c r="A556" t="str">
        <f t="shared" si="324"/>
        <v/>
      </c>
      <c r="B556" s="1">
        <v>43552</v>
      </c>
      <c r="C556" s="9">
        <f t="shared" si="299"/>
        <v>0.25340380558663783</v>
      </c>
      <c r="D556" s="9">
        <f t="shared" si="300"/>
        <v>0.26840944894237734</v>
      </c>
      <c r="E556" s="9">
        <f t="shared" si="301"/>
        <v>0.23389225669753905</v>
      </c>
      <c r="F556" s="9">
        <f t="shared" si="302"/>
        <v>0</v>
      </c>
      <c r="G556" s="9">
        <f t="shared" si="303"/>
        <v>0.24429448877344564</v>
      </c>
      <c r="H556" s="9">
        <f t="shared" si="304"/>
        <v>0</v>
      </c>
      <c r="I556" s="9">
        <f t="shared" si="305"/>
        <v>0</v>
      </c>
      <c r="J556" s="9">
        <f t="shared" si="306"/>
        <v>0</v>
      </c>
      <c r="K556" s="9">
        <v>0</v>
      </c>
      <c r="L556" s="8">
        <f>+VLOOKUP($B556,NIFTY_50!$B$3:$I$1238,8,0)</f>
        <v>1.0917383497669464E-2</v>
      </c>
      <c r="M556" s="8">
        <f>+VLOOKUP($B556,NIFTY_BANK!$B$3:$I$41238,8,0)</f>
        <v>1.3349522648385292E-2</v>
      </c>
      <c r="N556" s="8">
        <f>+VLOOKUP($B556,NIFTY_IT!$B$3:$I$1238,8,0)</f>
        <v>1.4821309829589291E-2</v>
      </c>
      <c r="O556" s="8">
        <f>+VLOOKUP($B556,NIFTY_PHARMA!$B$3:$I$1238,8,0)</f>
        <v>5.5307799930046642E-3</v>
      </c>
      <c r="P556" s="8">
        <f>+VLOOKUP($B556,NIFTY_FMCG!$B$3:$I$1238,8,0)</f>
        <v>1.1772636565427819E-2</v>
      </c>
      <c r="Q556" s="8">
        <f>+VLOOKUP($B556,NIFTY_METAL!$B$3:$I$1238,8,0)</f>
        <v>-2.8168069481238067E-3</v>
      </c>
      <c r="R556" s="8">
        <f>+VLOOKUP($B556,NIFTY_ENERGY!$B$3:$I$1238,8,0)</f>
        <v>3.3312717007243364E-3</v>
      </c>
      <c r="S556" s="8">
        <f>+VLOOKUP($B556,NIFTY_AUTO!$B$3:$I$1238,8,0)</f>
        <v>2.30057149117191E-3</v>
      </c>
      <c r="T556" s="8">
        <v>0</v>
      </c>
      <c r="U556" s="8">
        <f>+VLOOKUP($B556,NIFTY_50!$B$63:$K$1238,10,0)</f>
        <v>6.5127433245416588E-2</v>
      </c>
      <c r="V556" s="8">
        <f>+VLOOKUP($B556,NIFTY_BANK!$B$63:$K$1238,10,0)</f>
        <v>0.12004145772122432</v>
      </c>
      <c r="W556" s="8">
        <f>+VLOOKUP($B556,NIFTY_IT!$B$63:$K$1238,10,0)</f>
        <v>7.8007382118099988E-2</v>
      </c>
      <c r="X556" s="8">
        <f>+VLOOKUP($B556,NIFTY_PHARMA!$B$63:$K$1238,10,0)</f>
        <v>3.7288441372467007E-2</v>
      </c>
      <c r="Y556" s="8">
        <f>+VLOOKUP($B556,NIFTY_FMCG!$B$63:$K$1238,10,0)</f>
        <v>-8.9590436696033171E-3</v>
      </c>
      <c r="Z556" s="8">
        <f>+VLOOKUP($B556,NIFTY_METAL!$B$63:$K$1238,10,0)</f>
        <v>-5.7344829772395856E-2</v>
      </c>
      <c r="AA556" s="8">
        <f>+VLOOKUP($B556,NIFTY_ENERGY!$B$63:$K$1238,10,0)</f>
        <v>0.14298370753792322</v>
      </c>
      <c r="AB556" s="8">
        <f>+VLOOKUP($B556,NIFTY_AUTO!$B$63:$K$1238,10,0)</f>
        <v>-0.10841801516964333</v>
      </c>
      <c r="AC556" s="8"/>
      <c r="AD556" s="16">
        <f t="shared" si="307"/>
        <v>5.28066918814614E-2</v>
      </c>
      <c r="AE556" s="8">
        <f t="shared" si="308"/>
        <v>6.3414304468439986E-2</v>
      </c>
      <c r="AF556" s="8">
        <f t="shared" si="309"/>
        <v>7.4449523454180655E-2</v>
      </c>
      <c r="AG556" s="8">
        <f t="shared" si="310"/>
        <v>8.5546184011648957E-2</v>
      </c>
      <c r="AH556" s="8">
        <f t="shared" si="311"/>
        <v>5.5500601130206037E-2</v>
      </c>
      <c r="AI556" s="8">
        <f t="shared" si="312"/>
        <v>0.10983493597070529</v>
      </c>
      <c r="AJ556" s="8">
        <f t="shared" si="313"/>
        <v>9.4919105265065473E-2</v>
      </c>
      <c r="AK556" s="8">
        <f t="shared" si="314"/>
        <v>9.5588221007834512E-2</v>
      </c>
      <c r="AL556" s="9">
        <v>0</v>
      </c>
      <c r="AM556" s="17">
        <f t="shared" si="291"/>
        <v>18.936993861398566</v>
      </c>
      <c r="AN556" s="13">
        <f t="shared" si="292"/>
        <v>15.769312750212055</v>
      </c>
      <c r="AO556" s="13">
        <f t="shared" si="293"/>
        <v>13.431919421424393</v>
      </c>
      <c r="AP556" s="13">
        <f t="shared" si="294"/>
        <v>11.689592137316476</v>
      </c>
      <c r="AQ556" s="13">
        <f t="shared" si="295"/>
        <v>18.017822863827558</v>
      </c>
      <c r="AR556" s="13">
        <f t="shared" si="296"/>
        <v>9.104571247409984</v>
      </c>
      <c r="AS556" s="13">
        <f t="shared" si="297"/>
        <v>10.535286834062113</v>
      </c>
      <c r="AT556" s="13">
        <f t="shared" si="298"/>
        <v>10.461540025083623</v>
      </c>
      <c r="AU556" s="9">
        <v>0</v>
      </c>
      <c r="AV556" s="18">
        <f t="shared" si="315"/>
        <v>1</v>
      </c>
      <c r="AW556" s="18">
        <f t="shared" si="316"/>
        <v>3</v>
      </c>
      <c r="AX556" s="18">
        <f t="shared" si="317"/>
        <v>4</v>
      </c>
      <c r="AY556" s="18">
        <f t="shared" si="318"/>
        <v>5</v>
      </c>
      <c r="AZ556" s="18">
        <f t="shared" si="319"/>
        <v>2</v>
      </c>
      <c r="BA556" s="18">
        <f t="shared" si="320"/>
        <v>8</v>
      </c>
      <c r="BB556" s="18">
        <f t="shared" si="321"/>
        <v>6</v>
      </c>
      <c r="BC556" s="18">
        <f t="shared" si="322"/>
        <v>7</v>
      </c>
      <c r="BD556" s="18">
        <f t="shared" si="323"/>
        <v>9</v>
      </c>
      <c r="BE556" s="8">
        <f t="shared" si="325"/>
        <v>1.2690071397221794E-2</v>
      </c>
    </row>
    <row r="557" spans="1:57" x14ac:dyDescent="0.25">
      <c r="A557" t="str">
        <f t="shared" si="324"/>
        <v>Y</v>
      </c>
      <c r="B557" s="1">
        <v>43553</v>
      </c>
      <c r="C557" s="9">
        <f t="shared" si="299"/>
        <v>0.25</v>
      </c>
      <c r="D557" s="9">
        <f t="shared" si="300"/>
        <v>0.25</v>
      </c>
      <c r="E557" s="9">
        <f t="shared" si="301"/>
        <v>0.25</v>
      </c>
      <c r="F557" s="9">
        <f t="shared" si="302"/>
        <v>0</v>
      </c>
      <c r="G557" s="9">
        <f t="shared" si="303"/>
        <v>0.25</v>
      </c>
      <c r="H557" s="9">
        <f t="shared" si="304"/>
        <v>0</v>
      </c>
      <c r="I557" s="9">
        <f t="shared" si="305"/>
        <v>0</v>
      </c>
      <c r="J557" s="9">
        <f t="shared" si="306"/>
        <v>0</v>
      </c>
      <c r="K557" s="9">
        <v>0</v>
      </c>
      <c r="L557" s="8">
        <f>+VLOOKUP($B557,NIFTY_50!$B$3:$I$1238,8,0)</f>
        <v>4.6585998271391205E-3</v>
      </c>
      <c r="M557" s="8">
        <f>+VLOOKUP($B557,NIFTY_BANK!$B$3:$I$41238,8,0)</f>
        <v>2.0545322158871393E-4</v>
      </c>
      <c r="N557" s="8">
        <f>+VLOOKUP($B557,NIFTY_IT!$B$3:$I$1238,8,0)</f>
        <v>3.947516340919055E-3</v>
      </c>
      <c r="O557" s="8">
        <f>+VLOOKUP($B557,NIFTY_PHARMA!$B$3:$I$1238,8,0)</f>
        <v>1.5995608409244078E-2</v>
      </c>
      <c r="P557" s="8">
        <f>+VLOOKUP($B557,NIFTY_FMCG!$B$3:$I$1238,8,0)</f>
        <v>2.5840476800609302E-3</v>
      </c>
      <c r="Q557" s="8">
        <f>+VLOOKUP($B557,NIFTY_METAL!$B$3:$I$1238,8,0)</f>
        <v>2.3691024649426629E-2</v>
      </c>
      <c r="R557" s="8">
        <f>+VLOOKUP($B557,NIFTY_ENERGY!$B$3:$I$1238,8,0)</f>
        <v>6.0728127193383497E-3</v>
      </c>
      <c r="S557" s="8">
        <f>+VLOOKUP($B557,NIFTY_AUTO!$B$3:$I$1238,8,0)</f>
        <v>1.227798524455781E-2</v>
      </c>
      <c r="T557" s="8">
        <v>0</v>
      </c>
      <c r="U557" s="8">
        <f>+VLOOKUP($B557,NIFTY_50!$B$63:$K$1238,10,0)</f>
        <v>6.5425614797297804E-2</v>
      </c>
      <c r="V557" s="8">
        <f>+VLOOKUP($B557,NIFTY_BANK!$B$63:$K$1238,10,0)</f>
        <v>0.1107752515296212</v>
      </c>
      <c r="W557" s="8">
        <f>+VLOOKUP($B557,NIFTY_IT!$B$63:$K$1238,10,0)</f>
        <v>8.1468974250738846E-2</v>
      </c>
      <c r="X557" s="8">
        <f>+VLOOKUP($B557,NIFTY_PHARMA!$B$63:$K$1238,10,0)</f>
        <v>5.23083331925982E-2</v>
      </c>
      <c r="Y557" s="8">
        <f>+VLOOKUP($B557,NIFTY_FMCG!$B$63:$K$1238,10,0)</f>
        <v>-2.5346687084374375E-3</v>
      </c>
      <c r="Z557" s="8">
        <f>+VLOOKUP($B557,NIFTY_METAL!$B$63:$K$1238,10,0)</f>
        <v>-2.9056694043537168E-2</v>
      </c>
      <c r="AA557" s="8">
        <f>+VLOOKUP($B557,NIFTY_ENERGY!$B$63:$K$1238,10,0)</f>
        <v>0.14887092277669356</v>
      </c>
      <c r="AB557" s="8">
        <f>+VLOOKUP($B557,NIFTY_AUTO!$B$63:$K$1238,10,0)</f>
        <v>-9.2252067803255122E-2</v>
      </c>
      <c r="AC557" s="8"/>
      <c r="AD557" s="16">
        <f t="shared" si="307"/>
        <v>5.2825101279803222E-2</v>
      </c>
      <c r="AE557" s="8">
        <f t="shared" si="308"/>
        <v>6.3077532738261152E-2</v>
      </c>
      <c r="AF557" s="8">
        <f t="shared" si="309"/>
        <v>7.4494273373784253E-2</v>
      </c>
      <c r="AG557" s="8">
        <f t="shared" si="310"/>
        <v>8.6885946640980316E-2</v>
      </c>
      <c r="AH557" s="8">
        <f t="shared" si="311"/>
        <v>5.5433622752846134E-2</v>
      </c>
      <c r="AI557" s="8">
        <f t="shared" si="312"/>
        <v>0.11235913633555329</v>
      </c>
      <c r="AJ557" s="8">
        <f t="shared" si="313"/>
        <v>9.4983502781813903E-2</v>
      </c>
      <c r="AK557" s="8">
        <f t="shared" si="314"/>
        <v>9.6511816740402975E-2</v>
      </c>
      <c r="AL557" s="9">
        <v>0</v>
      </c>
      <c r="AM557" s="17">
        <f t="shared" si="291"/>
        <v>18.930394372614916</v>
      </c>
      <c r="AN557" s="13">
        <f t="shared" si="292"/>
        <v>15.853505306706879</v>
      </c>
      <c r="AO557" s="13">
        <f t="shared" si="293"/>
        <v>13.423850649329459</v>
      </c>
      <c r="AP557" s="13">
        <f t="shared" si="294"/>
        <v>11.509341138125363</v>
      </c>
      <c r="AQ557" s="13">
        <f t="shared" si="295"/>
        <v>18.039593126694157</v>
      </c>
      <c r="AR557" s="13">
        <f t="shared" si="296"/>
        <v>8.9000328109817843</v>
      </c>
      <c r="AS557" s="13">
        <f t="shared" si="297"/>
        <v>10.528144053574174</v>
      </c>
      <c r="AT557" s="13">
        <f t="shared" si="298"/>
        <v>10.361425510098885</v>
      </c>
      <c r="AU557" s="9">
        <v>0</v>
      </c>
      <c r="AV557" s="18">
        <f t="shared" si="315"/>
        <v>1</v>
      </c>
      <c r="AW557" s="18">
        <f t="shared" si="316"/>
        <v>3</v>
      </c>
      <c r="AX557" s="18">
        <f t="shared" si="317"/>
        <v>4</v>
      </c>
      <c r="AY557" s="18">
        <f t="shared" si="318"/>
        <v>5</v>
      </c>
      <c r="AZ557" s="18">
        <f t="shared" si="319"/>
        <v>2</v>
      </c>
      <c r="BA557" s="18">
        <f t="shared" si="320"/>
        <v>8</v>
      </c>
      <c r="BB557" s="18">
        <f t="shared" si="321"/>
        <v>6</v>
      </c>
      <c r="BC557" s="18">
        <f t="shared" si="322"/>
        <v>7</v>
      </c>
      <c r="BD557" s="18">
        <f t="shared" si="323"/>
        <v>9</v>
      </c>
      <c r="BE557" s="8">
        <f t="shared" si="325"/>
        <v>2.7902146231870316E-3</v>
      </c>
    </row>
    <row r="558" spans="1:57" x14ac:dyDescent="0.25">
      <c r="A558" t="str">
        <f t="shared" si="324"/>
        <v/>
      </c>
      <c r="B558" s="1">
        <v>43556</v>
      </c>
      <c r="C558" s="9">
        <f t="shared" si="299"/>
        <v>0.25034979335492274</v>
      </c>
      <c r="D558" s="9">
        <f t="shared" si="300"/>
        <v>0.24855693851564098</v>
      </c>
      <c r="E558" s="9">
        <f t="shared" si="301"/>
        <v>0.25276906254792952</v>
      </c>
      <c r="F558" s="9">
        <f t="shared" si="302"/>
        <v>0</v>
      </c>
      <c r="G558" s="9">
        <f t="shared" si="303"/>
        <v>0.24832420558150683</v>
      </c>
      <c r="H558" s="9">
        <f t="shared" si="304"/>
        <v>0</v>
      </c>
      <c r="I558" s="9">
        <f t="shared" si="305"/>
        <v>0</v>
      </c>
      <c r="J558" s="9">
        <f t="shared" si="306"/>
        <v>0</v>
      </c>
      <c r="K558" s="9">
        <v>0</v>
      </c>
      <c r="L558" s="8">
        <f>+VLOOKUP($B558,NIFTY_50!$B$3:$I$1238,8,0)</f>
        <v>3.8928414731715932E-3</v>
      </c>
      <c r="M558" s="8">
        <f>+VLOOKUP($B558,NIFTY_BANK!$B$3:$I$41238,8,0)</f>
        <v>-3.2964360366518619E-3</v>
      </c>
      <c r="N558" s="8">
        <f>+VLOOKUP($B558,NIFTY_IT!$B$3:$I$1238,8,0)</f>
        <v>1.3594015945534332E-2</v>
      </c>
      <c r="O558" s="8">
        <f>+VLOOKUP($B558,NIFTY_PHARMA!$B$3:$I$1238,8,0)</f>
        <v>3.0867004402694853E-3</v>
      </c>
      <c r="P558" s="8">
        <f>+VLOOKUP($B558,NIFTY_FMCG!$B$3:$I$1238,8,0)</f>
        <v>-4.229685964368346E-3</v>
      </c>
      <c r="Q558" s="8">
        <f>+VLOOKUP($B558,NIFTY_METAL!$B$3:$I$1238,8,0)</f>
        <v>1.9102212440254229E-2</v>
      </c>
      <c r="R558" s="8">
        <f>+VLOOKUP($B558,NIFTY_ENERGY!$B$3:$I$1238,8,0)</f>
        <v>2.9179810725550315E-3</v>
      </c>
      <c r="S558" s="8">
        <f>+VLOOKUP($B558,NIFTY_AUTO!$B$3:$I$1238,8,0)</f>
        <v>9.4777063950524099E-3</v>
      </c>
      <c r="T558" s="8">
        <v>0</v>
      </c>
      <c r="U558" s="8">
        <f>+VLOOKUP($B558,NIFTY_50!$B$63:$K$1238,10,0)</f>
        <v>8.1227704424368774E-2</v>
      </c>
      <c r="V558" s="8">
        <f>+VLOOKUP($B558,NIFTY_BANK!$B$63:$K$1238,10,0)</f>
        <v>0.11598288113576238</v>
      </c>
      <c r="W558" s="8">
        <f>+VLOOKUP($B558,NIFTY_IT!$B$63:$K$1238,10,0)</f>
        <v>9.6458804881256466E-2</v>
      </c>
      <c r="X558" s="8">
        <f>+VLOOKUP($B558,NIFTY_PHARMA!$B$63:$K$1238,10,0)</f>
        <v>6.0571609567927398E-2</v>
      </c>
      <c r="Y558" s="8">
        <f>+VLOOKUP($B558,NIFTY_FMCG!$B$63:$K$1238,10,0)</f>
        <v>-6.7891585417534372E-5</v>
      </c>
      <c r="Z558" s="8">
        <f>+VLOOKUP($B558,NIFTY_METAL!$B$63:$K$1238,10,0)</f>
        <v>2.4385411679241908E-2</v>
      </c>
      <c r="AA558" s="8">
        <f>+VLOOKUP($B558,NIFTY_ENERGY!$B$63:$K$1238,10,0)</f>
        <v>0.16912708487293626</v>
      </c>
      <c r="AB558" s="8">
        <f>+VLOOKUP($B558,NIFTY_AUTO!$B$63:$K$1238,10,0)</f>
        <v>-5.4848837143996354E-2</v>
      </c>
      <c r="AC558" s="8"/>
      <c r="AD558" s="16">
        <f t="shared" si="307"/>
        <v>5.1524345280477106E-2</v>
      </c>
      <c r="AE558" s="8">
        <f t="shared" si="308"/>
        <v>6.2528298757101919E-2</v>
      </c>
      <c r="AF558" s="8">
        <f t="shared" si="309"/>
        <v>7.5459368009802436E-2</v>
      </c>
      <c r="AG558" s="8">
        <f t="shared" si="310"/>
        <v>8.6725375470138172E-2</v>
      </c>
      <c r="AH558" s="8">
        <f t="shared" si="311"/>
        <v>5.5191059381140217E-2</v>
      </c>
      <c r="AI558" s="8">
        <f t="shared" si="312"/>
        <v>0.1087341493745493</v>
      </c>
      <c r="AJ558" s="8">
        <f t="shared" si="313"/>
        <v>9.3459453111322602E-2</v>
      </c>
      <c r="AK558" s="8">
        <f t="shared" si="314"/>
        <v>9.2575699093040462E-2</v>
      </c>
      <c r="AL558" s="9">
        <v>0</v>
      </c>
      <c r="AM558" s="17">
        <f t="shared" si="291"/>
        <v>19.408300960573413</v>
      </c>
      <c r="AN558" s="13">
        <f t="shared" si="292"/>
        <v>15.992758796854691</v>
      </c>
      <c r="AO558" s="13">
        <f t="shared" si="293"/>
        <v>13.252165057492881</v>
      </c>
      <c r="AP558" s="13">
        <f t="shared" si="294"/>
        <v>11.530650568867543</v>
      </c>
      <c r="AQ558" s="13">
        <f t="shared" si="295"/>
        <v>18.118876702368901</v>
      </c>
      <c r="AR558" s="13">
        <f t="shared" si="296"/>
        <v>9.1967427505720067</v>
      </c>
      <c r="AS558" s="13">
        <f t="shared" si="297"/>
        <v>10.699827216074841</v>
      </c>
      <c r="AT558" s="13">
        <f t="shared" si="298"/>
        <v>10.801970817362985</v>
      </c>
      <c r="AU558" s="9">
        <v>0</v>
      </c>
      <c r="AV558" s="18">
        <f t="shared" si="315"/>
        <v>1</v>
      </c>
      <c r="AW558" s="18">
        <f t="shared" si="316"/>
        <v>3</v>
      </c>
      <c r="AX558" s="18">
        <f t="shared" si="317"/>
        <v>4</v>
      </c>
      <c r="AY558" s="18">
        <f t="shared" si="318"/>
        <v>5</v>
      </c>
      <c r="AZ558" s="18">
        <f t="shared" si="319"/>
        <v>2</v>
      </c>
      <c r="BA558" s="18">
        <f t="shared" si="320"/>
        <v>8</v>
      </c>
      <c r="BB558" s="18">
        <f t="shared" si="321"/>
        <v>7</v>
      </c>
      <c r="BC558" s="18">
        <f t="shared" si="322"/>
        <v>6</v>
      </c>
      <c r="BD558" s="18">
        <f t="shared" si="323"/>
        <v>9</v>
      </c>
      <c r="BE558" s="8">
        <f t="shared" si="325"/>
        <v>2.4901838544214294E-3</v>
      </c>
    </row>
    <row r="559" spans="1:57" x14ac:dyDescent="0.25">
      <c r="A559" t="str">
        <f t="shared" si="324"/>
        <v/>
      </c>
      <c r="B559" s="1">
        <v>43557</v>
      </c>
      <c r="C559" s="9">
        <f t="shared" si="299"/>
        <v>0.2506573720584212</v>
      </c>
      <c r="D559" s="9">
        <f t="shared" si="300"/>
        <v>0.24815327734215392</v>
      </c>
      <c r="E559" s="9">
        <f t="shared" si="301"/>
        <v>0.25447951765886356</v>
      </c>
      <c r="F559" s="9">
        <f t="shared" si="302"/>
        <v>0</v>
      </c>
      <c r="G559" s="9">
        <f t="shared" si="303"/>
        <v>0.24670983294056148</v>
      </c>
      <c r="H559" s="9">
        <f t="shared" si="304"/>
        <v>0</v>
      </c>
      <c r="I559" s="9">
        <f t="shared" si="305"/>
        <v>0</v>
      </c>
      <c r="J559" s="9">
        <f t="shared" si="306"/>
        <v>0</v>
      </c>
      <c r="K559" s="9">
        <v>0</v>
      </c>
      <c r="L559" s="8">
        <f>+VLOOKUP($B559,NIFTY_50!$B$3:$I$1238,8,0)</f>
        <v>3.7749107689935002E-3</v>
      </c>
      <c r="M559" s="8">
        <f>+VLOOKUP($B559,NIFTY_BANK!$B$3:$I$41238,8,0)</f>
        <v>9.1504130051278665E-4</v>
      </c>
      <c r="N559" s="8">
        <f>+VLOOKUP($B559,NIFTY_IT!$B$3:$I$1238,8,0)</f>
        <v>9.3272687673802146E-3</v>
      </c>
      <c r="O559" s="8">
        <f>+VLOOKUP($B559,NIFTY_PHARMA!$B$3:$I$1238,8,0)</f>
        <v>-8.3676429805660257E-3</v>
      </c>
      <c r="P559" s="8">
        <f>+VLOOKUP($B559,NIFTY_FMCG!$B$3:$I$1238,8,0)</f>
        <v>-3.9744114145096043E-3</v>
      </c>
      <c r="Q559" s="8">
        <f>+VLOOKUP($B559,NIFTY_METAL!$B$3:$I$1238,8,0)</f>
        <v>-4.2549076491635862E-3</v>
      </c>
      <c r="R559" s="8">
        <f>+VLOOKUP($B559,NIFTY_ENERGY!$B$3:$I$1238,8,0)</f>
        <v>-5.2020009557152136E-4</v>
      </c>
      <c r="S559" s="8">
        <f>+VLOOKUP($B559,NIFTY_AUTO!$B$3:$I$1238,8,0)</f>
        <v>1.0690071128488743E-2</v>
      </c>
      <c r="T559" s="8">
        <v>0</v>
      </c>
      <c r="U559" s="8">
        <f>+VLOOKUP($B559,NIFTY_50!$B$63:$K$1238,10,0)</f>
        <v>9.7538007449225805E-2</v>
      </c>
      <c r="V559" s="8">
        <f>+VLOOKUP($B559,NIFTY_BANK!$B$63:$K$1238,10,0)</f>
        <v>0.12590574502454577</v>
      </c>
      <c r="W559" s="8">
        <f>+VLOOKUP($B559,NIFTY_IT!$B$63:$K$1238,10,0)</f>
        <v>0.11634077285882349</v>
      </c>
      <c r="X559" s="8">
        <f>+VLOOKUP($B559,NIFTY_PHARMA!$B$63:$K$1238,10,0)</f>
        <v>6.5882852000046066E-2</v>
      </c>
      <c r="Y559" s="8">
        <f>+VLOOKUP($B559,NIFTY_FMCG!$B$63:$K$1238,10,0)</f>
        <v>-3.844089939448514E-3</v>
      </c>
      <c r="Z559" s="8">
        <f>+VLOOKUP($B559,NIFTY_METAL!$B$63:$K$1238,10,0)</f>
        <v>4.3473854884475083E-2</v>
      </c>
      <c r="AA559" s="8">
        <f>+VLOOKUP($B559,NIFTY_ENERGY!$B$63:$K$1238,10,0)</f>
        <v>0.18749371164101003</v>
      </c>
      <c r="AB559" s="8">
        <f>+VLOOKUP($B559,NIFTY_AUTO!$B$63:$K$1238,10,0)</f>
        <v>-3.0003364756739592E-2</v>
      </c>
      <c r="AC559" s="8"/>
      <c r="AD559" s="16">
        <f t="shared" si="307"/>
        <v>5.0023477679384115E-2</v>
      </c>
      <c r="AE559" s="8">
        <f t="shared" si="308"/>
        <v>6.1761727435860857E-2</v>
      </c>
      <c r="AF559" s="8">
        <f t="shared" si="309"/>
        <v>7.513341542547837E-2</v>
      </c>
      <c r="AG559" s="8">
        <f t="shared" si="310"/>
        <v>8.6044386465534861E-2</v>
      </c>
      <c r="AH559" s="8">
        <f t="shared" si="311"/>
        <v>5.5333139337417958E-2</v>
      </c>
      <c r="AI559" s="8">
        <f t="shared" si="312"/>
        <v>0.10636232121158987</v>
      </c>
      <c r="AJ559" s="8">
        <f t="shared" si="313"/>
        <v>9.161984203620617E-2</v>
      </c>
      <c r="AK559" s="8">
        <f t="shared" si="314"/>
        <v>9.2123810074754439E-2</v>
      </c>
      <c r="AL559" s="9">
        <v>0</v>
      </c>
      <c r="AM559" s="17">
        <f t="shared" si="291"/>
        <v>19.990613335788211</v>
      </c>
      <c r="AN559" s="13">
        <f t="shared" si="292"/>
        <v>16.191256972831489</v>
      </c>
      <c r="AO559" s="13">
        <f t="shared" si="293"/>
        <v>13.30965715237393</v>
      </c>
      <c r="AP559" s="13">
        <f t="shared" si="294"/>
        <v>11.621908657580477</v>
      </c>
      <c r="AQ559" s="13">
        <f t="shared" si="295"/>
        <v>18.072352517395835</v>
      </c>
      <c r="AR559" s="13">
        <f t="shared" si="296"/>
        <v>9.4018256522501886</v>
      </c>
      <c r="AS559" s="13">
        <f t="shared" si="297"/>
        <v>10.914666275071962</v>
      </c>
      <c r="AT559" s="13">
        <f t="shared" si="298"/>
        <v>10.85495703215644</v>
      </c>
      <c r="AU559" s="9">
        <v>0</v>
      </c>
      <c r="AV559" s="18">
        <f t="shared" si="315"/>
        <v>1</v>
      </c>
      <c r="AW559" s="18">
        <f t="shared" si="316"/>
        <v>3</v>
      </c>
      <c r="AX559" s="18">
        <f t="shared" si="317"/>
        <v>4</v>
      </c>
      <c r="AY559" s="18">
        <f t="shared" si="318"/>
        <v>5</v>
      </c>
      <c r="AZ559" s="18">
        <f t="shared" si="319"/>
        <v>2</v>
      </c>
      <c r="BA559" s="18">
        <f t="shared" si="320"/>
        <v>8</v>
      </c>
      <c r="BB559" s="18">
        <f t="shared" si="321"/>
        <v>6</v>
      </c>
      <c r="BC559" s="18">
        <f t="shared" si="322"/>
        <v>7</v>
      </c>
      <c r="BD559" s="18">
        <f t="shared" si="323"/>
        <v>9</v>
      </c>
      <c r="BE559" s="8">
        <f t="shared" si="325"/>
        <v>2.5431904205227328E-3</v>
      </c>
    </row>
    <row r="560" spans="1:57" x14ac:dyDescent="0.25">
      <c r="A560" t="str">
        <f t="shared" si="324"/>
        <v/>
      </c>
      <c r="B560" s="1">
        <v>43558</v>
      </c>
      <c r="C560" s="9">
        <f t="shared" si="299"/>
        <v>0.25039606667570385</v>
      </c>
      <c r="D560" s="9">
        <f t="shared" si="300"/>
        <v>0.24722510529912775</v>
      </c>
      <c r="E560" s="9">
        <f t="shared" si="301"/>
        <v>0.25531905517838932</v>
      </c>
      <c r="F560" s="9">
        <f t="shared" si="302"/>
        <v>0</v>
      </c>
      <c r="G560" s="9">
        <f t="shared" si="303"/>
        <v>0.24705977284677913</v>
      </c>
      <c r="H560" s="9">
        <f t="shared" si="304"/>
        <v>0</v>
      </c>
      <c r="I560" s="9">
        <f t="shared" si="305"/>
        <v>0</v>
      </c>
      <c r="J560" s="9">
        <f t="shared" si="306"/>
        <v>0</v>
      </c>
      <c r="K560" s="9">
        <v>0</v>
      </c>
      <c r="L560" s="8">
        <f>+VLOOKUP($B560,NIFTY_50!$B$3:$I$1238,8,0)</f>
        <v>-5.9121333196735515E-3</v>
      </c>
      <c r="M560" s="8">
        <f>+VLOOKUP($B560,NIFTY_BANK!$B$3:$I$41238,8,0)</f>
        <v>-8.5968192263027321E-3</v>
      </c>
      <c r="N560" s="8">
        <f>+VLOOKUP($B560,NIFTY_IT!$B$3:$I$1238,8,0)</f>
        <v>-1.5917790398037868E-3</v>
      </c>
      <c r="O560" s="8">
        <f>+VLOOKUP($B560,NIFTY_PHARMA!$B$3:$I$1238,8,0)</f>
        <v>-1.254712567024685E-2</v>
      </c>
      <c r="P560" s="8">
        <f>+VLOOKUP($B560,NIFTY_FMCG!$B$3:$I$1238,8,0)</f>
        <v>-3.463222176592784E-3</v>
      </c>
      <c r="Q560" s="8">
        <f>+VLOOKUP($B560,NIFTY_METAL!$B$3:$I$1238,8,0)</f>
        <v>-1.3272474183418925E-3</v>
      </c>
      <c r="R560" s="8">
        <f>+VLOOKUP($B560,NIFTY_ENERGY!$B$3:$I$1238,8,0)</f>
        <v>-1.6028686416316162E-2</v>
      </c>
      <c r="S560" s="8">
        <f>+VLOOKUP($B560,NIFTY_AUTO!$B$3:$I$1238,8,0)</f>
        <v>-2.7809461096151011E-3</v>
      </c>
      <c r="T560" s="8">
        <v>0</v>
      </c>
      <c r="U560" s="8">
        <f>+VLOOKUP($B560,NIFTY_50!$B$63:$K$1238,10,0)</f>
        <v>8.5445147217160011E-2</v>
      </c>
      <c r="V560" s="8">
        <f>+VLOOKUP($B560,NIFTY_BANK!$B$63:$K$1238,10,0)</f>
        <v>0.1065747380033093</v>
      </c>
      <c r="W560" s="8">
        <f>+VLOOKUP($B560,NIFTY_IT!$B$63:$K$1238,10,0)</f>
        <v>0.12843070376038712</v>
      </c>
      <c r="X560" s="8">
        <f>+VLOOKUP($B560,NIFTY_PHARMA!$B$63:$K$1238,10,0)</f>
        <v>4.4634475224879289E-2</v>
      </c>
      <c r="Y560" s="8">
        <f>+VLOOKUP($B560,NIFTY_FMCG!$B$63:$K$1238,10,0)</f>
        <v>-7.3268809083743003E-3</v>
      </c>
      <c r="Z560" s="8">
        <f>+VLOOKUP($B560,NIFTY_METAL!$B$63:$K$1238,10,0)</f>
        <v>2.7750941133357854E-2</v>
      </c>
      <c r="AA560" s="8">
        <f>+VLOOKUP($B560,NIFTY_ENERGY!$B$63:$K$1238,10,0)</f>
        <v>0.15777199397566766</v>
      </c>
      <c r="AB560" s="8">
        <f>+VLOOKUP($B560,NIFTY_AUTO!$B$63:$K$1238,10,0)</f>
        <v>-3.7312628059959052E-2</v>
      </c>
      <c r="AC560" s="8"/>
      <c r="AD560" s="16">
        <f t="shared" si="307"/>
        <v>5.0427266073378205E-2</v>
      </c>
      <c r="AE560" s="8">
        <f t="shared" si="308"/>
        <v>6.2256767503962897E-2</v>
      </c>
      <c r="AF560" s="8">
        <f t="shared" si="309"/>
        <v>7.385836353472891E-2</v>
      </c>
      <c r="AG560" s="8">
        <f t="shared" si="310"/>
        <v>8.6845379867768926E-2</v>
      </c>
      <c r="AH560" s="8">
        <f t="shared" si="311"/>
        <v>5.5437199183413916E-2</v>
      </c>
      <c r="AI560" s="8">
        <f t="shared" si="312"/>
        <v>0.10554815085060325</v>
      </c>
      <c r="AJ560" s="8">
        <f t="shared" si="313"/>
        <v>9.3281391930608859E-2</v>
      </c>
      <c r="AK560" s="8">
        <f t="shared" si="314"/>
        <v>9.2000738750357428E-2</v>
      </c>
      <c r="AL560" s="9">
        <v>0</v>
      </c>
      <c r="AM560" s="17">
        <f t="shared" si="291"/>
        <v>19.830541646752582</v>
      </c>
      <c r="AN560" s="13">
        <f t="shared" si="292"/>
        <v>16.062510793486762</v>
      </c>
      <c r="AO560" s="13">
        <f t="shared" si="293"/>
        <v>13.539428063956365</v>
      </c>
      <c r="AP560" s="13">
        <f t="shared" si="294"/>
        <v>11.514717323162193</v>
      </c>
      <c r="AQ560" s="13">
        <f t="shared" si="295"/>
        <v>18.038429334994017</v>
      </c>
      <c r="AR560" s="13">
        <f t="shared" si="296"/>
        <v>9.474348834546964</v>
      </c>
      <c r="AS560" s="13">
        <f t="shared" si="297"/>
        <v>10.720251695470951</v>
      </c>
      <c r="AT560" s="13">
        <f t="shared" si="298"/>
        <v>10.86947793662271</v>
      </c>
      <c r="AU560" s="9">
        <v>0</v>
      </c>
      <c r="AV560" s="18">
        <f t="shared" si="315"/>
        <v>1</v>
      </c>
      <c r="AW560" s="18">
        <f t="shared" si="316"/>
        <v>3</v>
      </c>
      <c r="AX560" s="18">
        <f t="shared" si="317"/>
        <v>4</v>
      </c>
      <c r="AY560" s="18">
        <f t="shared" si="318"/>
        <v>5</v>
      </c>
      <c r="AZ560" s="18">
        <f t="shared" si="319"/>
        <v>2</v>
      </c>
      <c r="BA560" s="18">
        <f t="shared" si="320"/>
        <v>8</v>
      </c>
      <c r="BB560" s="18">
        <f t="shared" si="321"/>
        <v>7</v>
      </c>
      <c r="BC560" s="18">
        <f t="shared" si="322"/>
        <v>6</v>
      </c>
      <c r="BD560" s="18">
        <f t="shared" si="323"/>
        <v>9</v>
      </c>
      <c r="BE560" s="8">
        <f t="shared" si="325"/>
        <v>-4.8747347937854761E-3</v>
      </c>
    </row>
    <row r="561" spans="1:57" x14ac:dyDescent="0.25">
      <c r="A561" t="str">
        <f t="shared" si="324"/>
        <v/>
      </c>
      <c r="B561" s="1">
        <v>43559</v>
      </c>
      <c r="C561" s="9">
        <f t="shared" si="299"/>
        <v>0.25085795911176179</v>
      </c>
      <c r="D561" s="9">
        <f t="shared" si="300"/>
        <v>0.24710567532450903</v>
      </c>
      <c r="E561" s="9">
        <f t="shared" si="301"/>
        <v>0.25329395968990187</v>
      </c>
      <c r="F561" s="9">
        <f t="shared" si="302"/>
        <v>0</v>
      </c>
      <c r="G561" s="9">
        <f t="shared" si="303"/>
        <v>0.24874240587382734</v>
      </c>
      <c r="H561" s="9">
        <f t="shared" si="304"/>
        <v>0</v>
      </c>
      <c r="I561" s="9">
        <f t="shared" si="305"/>
        <v>0</v>
      </c>
      <c r="J561" s="9">
        <f t="shared" si="306"/>
        <v>0</v>
      </c>
      <c r="K561" s="9">
        <v>0</v>
      </c>
      <c r="L561" s="8">
        <f>+VLOOKUP($B561,NIFTY_50!$B$3:$I$1238,8,0)</f>
        <v>-3.9462553514916232E-3</v>
      </c>
      <c r="M561" s="8">
        <f>+VLOOKUP($B561,NIFTY_BANK!$B$3:$I$41238,8,0)</f>
        <v>-6.2605297524697123E-3</v>
      </c>
      <c r="N561" s="8">
        <f>+VLOOKUP($B561,NIFTY_IT!$B$3:$I$1238,8,0)</f>
        <v>-1.3666020378438892E-2</v>
      </c>
      <c r="O561" s="8">
        <f>+VLOOKUP($B561,NIFTY_PHARMA!$B$3:$I$1238,8,0)</f>
        <v>9.0519917649749537E-3</v>
      </c>
      <c r="P561" s="8">
        <f>+VLOOKUP($B561,NIFTY_FMCG!$B$3:$I$1238,8,0)</f>
        <v>9.9102405819340156E-4</v>
      </c>
      <c r="Q561" s="8">
        <f>+VLOOKUP($B561,NIFTY_METAL!$B$3:$I$1238,8,0)</f>
        <v>-4.2463533225283179E-3</v>
      </c>
      <c r="R561" s="8">
        <f>+VLOOKUP($B561,NIFTY_ENERGY!$B$3:$I$1238,8,0)</f>
        <v>-8.4908648627037842E-3</v>
      </c>
      <c r="S561" s="8">
        <f>+VLOOKUP($B561,NIFTY_AUTO!$B$3:$I$1238,8,0)</f>
        <v>6.5678927912367069E-3</v>
      </c>
      <c r="T561" s="8">
        <v>0</v>
      </c>
      <c r="U561" s="8">
        <f>+VLOOKUP($B561,NIFTY_50!$B$63:$K$1238,10,0)</f>
        <v>7.6700272934885572E-2</v>
      </c>
      <c r="V561" s="8">
        <f>+VLOOKUP($B561,NIFTY_BANK!$B$63:$K$1238,10,0)</f>
        <v>9.5235043243708573E-2</v>
      </c>
      <c r="W561" s="8">
        <f>+VLOOKUP($B561,NIFTY_IT!$B$63:$K$1238,10,0)</f>
        <v>0.10168981562467194</v>
      </c>
      <c r="X561" s="8">
        <f>+VLOOKUP($B561,NIFTY_PHARMA!$B$63:$K$1238,10,0)</f>
        <v>6.0777656266997937E-2</v>
      </c>
      <c r="Y561" s="8">
        <f>+VLOOKUP($B561,NIFTY_FMCG!$B$63:$K$1238,10,0)</f>
        <v>-9.3750206389147106E-3</v>
      </c>
      <c r="Z561" s="8">
        <f>+VLOOKUP($B561,NIFTY_METAL!$B$63:$K$1238,10,0)</f>
        <v>2.4957458876914362E-2</v>
      </c>
      <c r="AA561" s="8">
        <f>+VLOOKUP($B561,NIFTY_ENERGY!$B$63:$K$1238,10,0)</f>
        <v>0.14030862167142377</v>
      </c>
      <c r="AB561" s="8">
        <f>+VLOOKUP($B561,NIFTY_AUTO!$B$63:$K$1238,10,0)</f>
        <v>-3.2159863945578238E-2</v>
      </c>
      <c r="AC561" s="8"/>
      <c r="AD561" s="16">
        <f t="shared" si="307"/>
        <v>5.0619540569567717E-2</v>
      </c>
      <c r="AE561" s="8">
        <f t="shared" si="308"/>
        <v>6.2705490628115382E-2</v>
      </c>
      <c r="AF561" s="8">
        <f t="shared" si="309"/>
        <v>7.4992782672549163E-2</v>
      </c>
      <c r="AG561" s="8">
        <f t="shared" si="310"/>
        <v>8.6928419212854602E-2</v>
      </c>
      <c r="AH561" s="8">
        <f t="shared" si="311"/>
        <v>5.535732311254439E-2</v>
      </c>
      <c r="AI561" s="8">
        <f t="shared" si="312"/>
        <v>0.10563572537930829</v>
      </c>
      <c r="AJ561" s="8">
        <f t="shared" si="313"/>
        <v>9.3808876406589373E-2</v>
      </c>
      <c r="AK561" s="8">
        <f t="shared" si="314"/>
        <v>9.2256574715273931E-2</v>
      </c>
      <c r="AL561" s="9">
        <v>0</v>
      </c>
      <c r="AM561" s="17">
        <f t="shared" si="291"/>
        <v>19.755216834211971</v>
      </c>
      <c r="AN561" s="13">
        <f t="shared" si="292"/>
        <v>15.947566791728891</v>
      </c>
      <c r="AO561" s="13">
        <f t="shared" si="293"/>
        <v>13.334616537253076</v>
      </c>
      <c r="AP561" s="13">
        <f t="shared" si="294"/>
        <v>11.503717760602326</v>
      </c>
      <c r="AQ561" s="13">
        <f t="shared" si="295"/>
        <v>18.064457307065709</v>
      </c>
      <c r="AR561" s="13">
        <f t="shared" si="296"/>
        <v>9.4664943740318925</v>
      </c>
      <c r="AS561" s="13">
        <f t="shared" si="297"/>
        <v>10.659972044284686</v>
      </c>
      <c r="AT561" s="13">
        <f t="shared" si="298"/>
        <v>10.8393358748278</v>
      </c>
      <c r="AU561" s="9">
        <v>0</v>
      </c>
      <c r="AV561" s="18">
        <f t="shared" si="315"/>
        <v>1</v>
      </c>
      <c r="AW561" s="18">
        <f t="shared" si="316"/>
        <v>3</v>
      </c>
      <c r="AX561" s="18">
        <f t="shared" si="317"/>
        <v>4</v>
      </c>
      <c r="AY561" s="18">
        <f t="shared" si="318"/>
        <v>5</v>
      </c>
      <c r="AZ561" s="18">
        <f t="shared" si="319"/>
        <v>2</v>
      </c>
      <c r="BA561" s="18">
        <f t="shared" si="320"/>
        <v>8</v>
      </c>
      <c r="BB561" s="18">
        <f t="shared" si="321"/>
        <v>7</v>
      </c>
      <c r="BC561" s="18">
        <f t="shared" si="322"/>
        <v>6</v>
      </c>
      <c r="BD561" s="18">
        <f t="shared" si="323"/>
        <v>9</v>
      </c>
      <c r="BE561" s="8">
        <f t="shared" si="325"/>
        <v>-5.7802401777627748E-3</v>
      </c>
    </row>
    <row r="562" spans="1:57" x14ac:dyDescent="0.25">
      <c r="A562" t="str">
        <f t="shared" si="324"/>
        <v/>
      </c>
      <c r="B562" s="1">
        <v>43560</v>
      </c>
      <c r="C562" s="9">
        <f t="shared" si="299"/>
        <v>0.2511351890880878</v>
      </c>
      <c r="D562" s="9">
        <f t="shared" si="300"/>
        <v>0.24741612927504764</v>
      </c>
      <c r="E562" s="9">
        <f t="shared" si="301"/>
        <v>0.25495094328765672</v>
      </c>
      <c r="F562" s="9">
        <f t="shared" si="302"/>
        <v>0</v>
      </c>
      <c r="G562" s="9">
        <f t="shared" si="303"/>
        <v>0.2464977383492078</v>
      </c>
      <c r="H562" s="9">
        <f t="shared" si="304"/>
        <v>0</v>
      </c>
      <c r="I562" s="9">
        <f t="shared" si="305"/>
        <v>0</v>
      </c>
      <c r="J562" s="9">
        <f t="shared" si="306"/>
        <v>0</v>
      </c>
      <c r="K562" s="9">
        <v>0</v>
      </c>
      <c r="L562" s="8">
        <f>+VLOOKUP($B562,NIFTY_50!$B$3:$I$1238,8,0)</f>
        <v>5.8587687532334343E-3</v>
      </c>
      <c r="M562" s="8">
        <f>+VLOOKUP($B562,NIFTY_BANK!$B$3:$I$41238,8,0)</f>
        <v>6.0107206511308409E-3</v>
      </c>
      <c r="N562" s="8">
        <f>+VLOOKUP($B562,NIFTY_IT!$B$3:$I$1238,8,0)</f>
        <v>1.1321198109852215E-2</v>
      </c>
      <c r="O562" s="8">
        <f>+VLOOKUP($B562,NIFTY_PHARMA!$B$3:$I$1238,8,0)</f>
        <v>8.7980655051067558E-4</v>
      </c>
      <c r="P562" s="8">
        <f>+VLOOKUP($B562,NIFTY_FMCG!$B$3:$I$1238,8,0)</f>
        <v>-4.3185204692203216E-3</v>
      </c>
      <c r="Q562" s="8">
        <f>+VLOOKUP($B562,NIFTY_METAL!$B$3:$I$1238,8,0)</f>
        <v>1.9678374947101007E-2</v>
      </c>
      <c r="R562" s="8">
        <f>+VLOOKUP($B562,NIFTY_ENERGY!$B$3:$I$1238,8,0)</f>
        <v>3.1543490937062657E-3</v>
      </c>
      <c r="S562" s="8">
        <f>+VLOOKUP($B562,NIFTY_AUTO!$B$3:$I$1238,8,0)</f>
        <v>3.3093769585361699E-3</v>
      </c>
      <c r="T562" s="8">
        <v>0</v>
      </c>
      <c r="U562" s="8">
        <f>+VLOOKUP($B562,NIFTY_50!$B$63:$K$1238,10,0)</f>
        <v>7.9965562411186797E-2</v>
      </c>
      <c r="V562" s="8">
        <f>+VLOOKUP($B562,NIFTY_BANK!$B$63:$K$1238,10,0)</f>
        <v>9.3609480361329878E-2</v>
      </c>
      <c r="W562" s="8">
        <f>+VLOOKUP($B562,NIFTY_IT!$B$63:$K$1238,10,0)</f>
        <v>0.11461461461461453</v>
      </c>
      <c r="X562" s="8">
        <f>+VLOOKUP($B562,NIFTY_PHARMA!$B$63:$K$1238,10,0)</f>
        <v>4.5889618996587611E-2</v>
      </c>
      <c r="Y562" s="8">
        <f>+VLOOKUP($B562,NIFTY_FMCG!$B$63:$K$1238,10,0)</f>
        <v>-1.3307677061310752E-2</v>
      </c>
      <c r="Z562" s="8">
        <f>+VLOOKUP($B562,NIFTY_METAL!$B$63:$K$1238,10,0)</f>
        <v>4.0544131814104878E-2</v>
      </c>
      <c r="AA562" s="8">
        <f>+VLOOKUP($B562,NIFTY_ENERGY!$B$63:$K$1238,10,0)</f>
        <v>0.14639506321621121</v>
      </c>
      <c r="AB562" s="8">
        <f>+VLOOKUP($B562,NIFTY_AUTO!$B$63:$K$1238,10,0)</f>
        <v>-3.3302669970032617E-2</v>
      </c>
      <c r="AC562" s="8"/>
      <c r="AD562" s="16">
        <f t="shared" si="307"/>
        <v>5.0804253398142103E-2</v>
      </c>
      <c r="AE562" s="8">
        <f t="shared" si="308"/>
        <v>6.25802596473745E-2</v>
      </c>
      <c r="AF562" s="8">
        <f t="shared" si="309"/>
        <v>7.5573311627191664E-2</v>
      </c>
      <c r="AG562" s="8">
        <f t="shared" si="310"/>
        <v>8.5758474034926382E-2</v>
      </c>
      <c r="AH562" s="8">
        <f t="shared" si="311"/>
        <v>5.5512848892563645E-2</v>
      </c>
      <c r="AI562" s="8">
        <f t="shared" si="312"/>
        <v>0.10727432250392571</v>
      </c>
      <c r="AJ562" s="8">
        <f t="shared" si="313"/>
        <v>9.3707830193690958E-2</v>
      </c>
      <c r="AK562" s="8">
        <f t="shared" si="314"/>
        <v>9.2200271986649041E-2</v>
      </c>
      <c r="AL562" s="9">
        <v>0</v>
      </c>
      <c r="AM562" s="17">
        <f t="shared" si="291"/>
        <v>19.683391312991319</v>
      </c>
      <c r="AN562" s="13">
        <f t="shared" si="292"/>
        <v>15.979479881272018</v>
      </c>
      <c r="AO562" s="13">
        <f t="shared" si="293"/>
        <v>13.232184463915894</v>
      </c>
      <c r="AP562" s="13">
        <f t="shared" si="294"/>
        <v>11.660655244317145</v>
      </c>
      <c r="AQ562" s="13">
        <f t="shared" si="295"/>
        <v>18.013847603738409</v>
      </c>
      <c r="AR562" s="13">
        <f t="shared" si="296"/>
        <v>9.3218952742712951</v>
      </c>
      <c r="AS562" s="13">
        <f t="shared" si="297"/>
        <v>10.67146681267759</v>
      </c>
      <c r="AT562" s="13">
        <f t="shared" si="298"/>
        <v>10.845954989642589</v>
      </c>
      <c r="AU562" s="9">
        <v>0</v>
      </c>
      <c r="AV562" s="18">
        <f t="shared" si="315"/>
        <v>1</v>
      </c>
      <c r="AW562" s="18">
        <f t="shared" si="316"/>
        <v>3</v>
      </c>
      <c r="AX562" s="18">
        <f t="shared" si="317"/>
        <v>4</v>
      </c>
      <c r="AY562" s="18">
        <f t="shared" si="318"/>
        <v>5</v>
      </c>
      <c r="AZ562" s="18">
        <f t="shared" si="319"/>
        <v>2</v>
      </c>
      <c r="BA562" s="18">
        <f t="shared" si="320"/>
        <v>8</v>
      </c>
      <c r="BB562" s="18">
        <f t="shared" si="321"/>
        <v>7</v>
      </c>
      <c r="BC562" s="18">
        <f t="shared" si="322"/>
        <v>6</v>
      </c>
      <c r="BD562" s="18">
        <f t="shared" si="323"/>
        <v>9</v>
      </c>
      <c r="BE562" s="8">
        <f t="shared" si="325"/>
        <v>4.7483938843776276E-3</v>
      </c>
    </row>
    <row r="563" spans="1:57" x14ac:dyDescent="0.25">
      <c r="A563" t="str">
        <f t="shared" si="324"/>
        <v/>
      </c>
      <c r="B563" s="1">
        <v>43563</v>
      </c>
      <c r="C563" s="9">
        <f t="shared" si="299"/>
        <v>0.25034828834442147</v>
      </c>
      <c r="D563" s="9">
        <f t="shared" si="300"/>
        <v>0.24597429672840651</v>
      </c>
      <c r="E563" s="9">
        <f t="shared" si="301"/>
        <v>0.25718593012010238</v>
      </c>
      <c r="F563" s="9">
        <f t="shared" si="302"/>
        <v>0</v>
      </c>
      <c r="G563" s="9">
        <f t="shared" si="303"/>
        <v>0.24649148480706967</v>
      </c>
      <c r="H563" s="9">
        <f t="shared" si="304"/>
        <v>0</v>
      </c>
      <c r="I563" s="9">
        <f t="shared" si="305"/>
        <v>0</v>
      </c>
      <c r="J563" s="9">
        <f t="shared" si="306"/>
        <v>0</v>
      </c>
      <c r="K563" s="9">
        <v>0</v>
      </c>
      <c r="L563" s="8">
        <f>+VLOOKUP($B563,NIFTY_50!$B$3:$I$1238,8,0)</f>
        <v>-5.2674664300808027E-3</v>
      </c>
      <c r="M563" s="8">
        <f>+VLOOKUP($B563,NIFTY_BANK!$B$3:$I$41238,8,0)</f>
        <v>-7.9558844792942951E-3</v>
      </c>
      <c r="N563" s="8">
        <f>+VLOOKUP($B563,NIFTY_IT!$B$3:$I$1238,8,0)</f>
        <v>6.6067744558988561E-3</v>
      </c>
      <c r="O563" s="8">
        <f>+VLOOKUP($B563,NIFTY_PHARMA!$B$3:$I$1238,8,0)</f>
        <v>-2.982241372801675E-3</v>
      </c>
      <c r="P563" s="8">
        <f>+VLOOKUP($B563,NIFTY_FMCG!$B$3:$I$1238,8,0)</f>
        <v>-2.1661145362356082E-3</v>
      </c>
      <c r="Q563" s="8">
        <f>+VLOOKUP($B563,NIFTY_METAL!$B$3:$I$1238,8,0)</f>
        <v>-9.784985713601646E-3</v>
      </c>
      <c r="R563" s="8">
        <f>+VLOOKUP($B563,NIFTY_ENERGY!$B$3:$I$1238,8,0)</f>
        <v>-1.1634701897479949E-2</v>
      </c>
      <c r="S563" s="8">
        <f>+VLOOKUP($B563,NIFTY_AUTO!$B$3:$I$1238,8,0)</f>
        <v>-4.4718959437686223E-3</v>
      </c>
      <c r="T563" s="8">
        <v>0</v>
      </c>
      <c r="U563" s="8">
        <f>+VLOOKUP($B563,NIFTY_50!$B$63:$K$1238,10,0)</f>
        <v>6.9031749906726336E-2</v>
      </c>
      <c r="V563" s="8">
        <f>+VLOOKUP($B563,NIFTY_BANK!$B$63:$K$1238,10,0)</f>
        <v>7.6654738026868285E-2</v>
      </c>
      <c r="W563" s="8">
        <f>+VLOOKUP($B563,NIFTY_IT!$B$63:$K$1238,10,0)</f>
        <v>0.11881461109443592</v>
      </c>
      <c r="X563" s="8">
        <f>+VLOOKUP($B563,NIFTY_PHARMA!$B$63:$K$1238,10,0)</f>
        <v>3.7859139748728454E-2</v>
      </c>
      <c r="Y563" s="8">
        <f>+VLOOKUP($B563,NIFTY_FMCG!$B$63:$K$1238,10,0)</f>
        <v>-2.5276879781930051E-2</v>
      </c>
      <c r="Z563" s="8">
        <f>+VLOOKUP($B563,NIFTY_METAL!$B$63:$K$1238,10,0)</f>
        <v>4.2413039825239363E-2</v>
      </c>
      <c r="AA563" s="8">
        <f>+VLOOKUP($B563,NIFTY_ENERGY!$B$63:$K$1238,10,0)</f>
        <v>0.13671147144584306</v>
      </c>
      <c r="AB563" s="8">
        <f>+VLOOKUP($B563,NIFTY_AUTO!$B$63:$K$1238,10,0)</f>
        <v>-4.2752410997968004E-2</v>
      </c>
      <c r="AC563" s="8"/>
      <c r="AD563" s="16">
        <f t="shared" si="307"/>
        <v>5.1079891331514325E-2</v>
      </c>
      <c r="AE563" s="8">
        <f t="shared" si="308"/>
        <v>6.2957739196390472E-2</v>
      </c>
      <c r="AF563" s="8">
        <f t="shared" si="309"/>
        <v>7.5716149817724981E-2</v>
      </c>
      <c r="AG563" s="8">
        <f t="shared" si="310"/>
        <v>8.5745718986287134E-2</v>
      </c>
      <c r="AH563" s="8">
        <f t="shared" si="311"/>
        <v>5.4565563480461175E-2</v>
      </c>
      <c r="AI563" s="8">
        <f t="shared" si="312"/>
        <v>0.10708494144689626</v>
      </c>
      <c r="AJ563" s="8">
        <f t="shared" si="313"/>
        <v>9.4572674443745453E-2</v>
      </c>
      <c r="AK563" s="8">
        <f t="shared" si="314"/>
        <v>9.2092788381112414E-2</v>
      </c>
      <c r="AL563" s="9">
        <v>0</v>
      </c>
      <c r="AM563" s="17">
        <f t="shared" si="291"/>
        <v>19.577175556421722</v>
      </c>
      <c r="AN563" s="13">
        <f t="shared" si="292"/>
        <v>15.883670741107752</v>
      </c>
      <c r="AO563" s="13">
        <f t="shared" si="293"/>
        <v>13.207222004913703</v>
      </c>
      <c r="AP563" s="13">
        <f t="shared" si="294"/>
        <v>11.662389817501266</v>
      </c>
      <c r="AQ563" s="13">
        <f t="shared" si="295"/>
        <v>18.326576987665121</v>
      </c>
      <c r="AR563" s="13">
        <f t="shared" si="296"/>
        <v>9.3383811625456499</v>
      </c>
      <c r="AS563" s="13">
        <f t="shared" si="297"/>
        <v>10.573878827914809</v>
      </c>
      <c r="AT563" s="13">
        <f t="shared" si="298"/>
        <v>10.858613552471096</v>
      </c>
      <c r="AU563" s="9">
        <v>0</v>
      </c>
      <c r="AV563" s="18">
        <f t="shared" si="315"/>
        <v>1</v>
      </c>
      <c r="AW563" s="18">
        <f t="shared" si="316"/>
        <v>3</v>
      </c>
      <c r="AX563" s="18">
        <f t="shared" si="317"/>
        <v>4</v>
      </c>
      <c r="AY563" s="18">
        <f t="shared" si="318"/>
        <v>5</v>
      </c>
      <c r="AZ563" s="18">
        <f t="shared" si="319"/>
        <v>2</v>
      </c>
      <c r="BA563" s="18">
        <f t="shared" si="320"/>
        <v>8</v>
      </c>
      <c r="BB563" s="18">
        <f t="shared" si="321"/>
        <v>7</v>
      </c>
      <c r="BC563" s="18">
        <f t="shared" si="322"/>
        <v>6</v>
      </c>
      <c r="BD563" s="18">
        <f t="shared" si="323"/>
        <v>9</v>
      </c>
      <c r="BE563" s="8">
        <f t="shared" si="325"/>
        <v>-2.1407992753271318E-3</v>
      </c>
    </row>
    <row r="564" spans="1:57" x14ac:dyDescent="0.25">
      <c r="A564" t="str">
        <f t="shared" si="324"/>
        <v/>
      </c>
      <c r="B564" s="1">
        <v>43564</v>
      </c>
      <c r="C564" s="9">
        <f t="shared" si="299"/>
        <v>0.25006725820267683</v>
      </c>
      <c r="D564" s="9">
        <f t="shared" si="300"/>
        <v>0.24647636590256608</v>
      </c>
      <c r="E564" s="9">
        <f t="shared" si="301"/>
        <v>0.25690021048895956</v>
      </c>
      <c r="F564" s="9">
        <f t="shared" si="302"/>
        <v>0</v>
      </c>
      <c r="G564" s="9">
        <f t="shared" si="303"/>
        <v>0.24655616540579753</v>
      </c>
      <c r="H564" s="9">
        <f t="shared" si="304"/>
        <v>0</v>
      </c>
      <c r="I564" s="9">
        <f t="shared" si="305"/>
        <v>0</v>
      </c>
      <c r="J564" s="9">
        <f t="shared" si="306"/>
        <v>0</v>
      </c>
      <c r="K564" s="9">
        <v>0</v>
      </c>
      <c r="L564" s="8">
        <f>+VLOOKUP($B564,NIFTY_50!$B$3:$I$1238,8,0)</f>
        <v>5.8124003619286491E-3</v>
      </c>
      <c r="M564" s="8">
        <f>+VLOOKUP($B564,NIFTY_BANK!$B$3:$I$41238,8,0)</f>
        <v>8.9980666972688805E-3</v>
      </c>
      <c r="N564" s="8">
        <f>+VLOOKUP($B564,NIFTY_IT!$B$3:$I$1238,8,0)</f>
        <v>5.8240918378487105E-3</v>
      </c>
      <c r="O564" s="8">
        <f>+VLOOKUP($B564,NIFTY_PHARMA!$B$3:$I$1238,8,0)</f>
        <v>9.6712426573200005E-3</v>
      </c>
      <c r="P564" s="8">
        <f>+VLOOKUP($B564,NIFTY_FMCG!$B$3:$I$1238,8,0)</f>
        <v>7.206977481550636E-3</v>
      </c>
      <c r="Q564" s="8">
        <f>+VLOOKUP($B564,NIFTY_METAL!$B$3:$I$1238,8,0)</f>
        <v>1.030080278556933E-2</v>
      </c>
      <c r="R564" s="8">
        <f>+VLOOKUP($B564,NIFTY_ENERGY!$B$3:$I$1238,8,0)</f>
        <v>5.3149224503075132E-3</v>
      </c>
      <c r="S564" s="8">
        <f>+VLOOKUP($B564,NIFTY_AUTO!$B$3:$I$1238,8,0)</f>
        <v>1.1317922193682994E-2</v>
      </c>
      <c r="T564" s="8">
        <v>0</v>
      </c>
      <c r="U564" s="8">
        <f>+VLOOKUP($B564,NIFTY_50!$B$63:$K$1238,10,0)</f>
        <v>7.8578953204701651E-2</v>
      </c>
      <c r="V564" s="8">
        <f>+VLOOKUP($B564,NIFTY_BANK!$B$63:$K$1238,10,0)</f>
        <v>9.3913409896271283E-2</v>
      </c>
      <c r="W564" s="8">
        <f>+VLOOKUP($B564,NIFTY_IT!$B$63:$K$1238,10,0)</f>
        <v>0.1255546052746408</v>
      </c>
      <c r="X564" s="8">
        <f>+VLOOKUP($B564,NIFTY_PHARMA!$B$63:$K$1238,10,0)</f>
        <v>4.4600886421632291E-2</v>
      </c>
      <c r="Y564" s="8">
        <f>+VLOOKUP($B564,NIFTY_FMCG!$B$63:$K$1238,10,0)</f>
        <v>-1.806902800470378E-2</v>
      </c>
      <c r="Z564" s="8">
        <f>+VLOOKUP($B564,NIFTY_METAL!$B$63:$K$1238,10,0)</f>
        <v>5.4266825912157035E-2</v>
      </c>
      <c r="AA564" s="8">
        <f>+VLOOKUP($B564,NIFTY_ENERGY!$B$63:$K$1238,10,0)</f>
        <v>0.14735925110053527</v>
      </c>
      <c r="AB564" s="8">
        <f>+VLOOKUP($B564,NIFTY_AUTO!$B$63:$K$1238,10,0)</f>
        <v>-3.476299484515899E-2</v>
      </c>
      <c r="AC564" s="8"/>
      <c r="AD564" s="16">
        <f t="shared" si="307"/>
        <v>5.1109797046927807E-2</v>
      </c>
      <c r="AE564" s="8">
        <f t="shared" si="308"/>
        <v>6.2872773972507706E-2</v>
      </c>
      <c r="AF564" s="8">
        <f t="shared" si="309"/>
        <v>7.5785660641525698E-2</v>
      </c>
      <c r="AG564" s="8">
        <f t="shared" si="310"/>
        <v>8.6177027220936051E-2</v>
      </c>
      <c r="AH564" s="8">
        <f t="shared" si="311"/>
        <v>5.5084059119532139E-2</v>
      </c>
      <c r="AI564" s="8">
        <f t="shared" si="312"/>
        <v>0.10748229428726738</v>
      </c>
      <c r="AJ564" s="8">
        <f t="shared" si="313"/>
        <v>9.4414489353730202E-2</v>
      </c>
      <c r="AK564" s="8">
        <f t="shared" si="314"/>
        <v>9.279097618018696E-2</v>
      </c>
      <c r="AL564" s="9">
        <v>0</v>
      </c>
      <c r="AM564" s="17">
        <f t="shared" si="291"/>
        <v>19.565720425025827</v>
      </c>
      <c r="AN564" s="13">
        <f t="shared" si="292"/>
        <v>15.905135670286612</v>
      </c>
      <c r="AO564" s="13">
        <f t="shared" si="293"/>
        <v>13.195108303272663</v>
      </c>
      <c r="AP564" s="13">
        <f t="shared" si="294"/>
        <v>11.604020610228913</v>
      </c>
      <c r="AQ564" s="13">
        <f t="shared" si="295"/>
        <v>18.154072448255945</v>
      </c>
      <c r="AR564" s="13">
        <f t="shared" si="296"/>
        <v>9.3038579668508472</v>
      </c>
      <c r="AS564" s="13">
        <f t="shared" si="297"/>
        <v>10.591594646595324</v>
      </c>
      <c r="AT564" s="13">
        <f t="shared" si="298"/>
        <v>10.776910009634356</v>
      </c>
      <c r="AU564" s="9">
        <v>0</v>
      </c>
      <c r="AV564" s="18">
        <f t="shared" si="315"/>
        <v>1</v>
      </c>
      <c r="AW564" s="18">
        <f t="shared" si="316"/>
        <v>3</v>
      </c>
      <c r="AX564" s="18">
        <f t="shared" si="317"/>
        <v>4</v>
      </c>
      <c r="AY564" s="18">
        <f t="shared" si="318"/>
        <v>5</v>
      </c>
      <c r="AZ564" s="18">
        <f t="shared" si="319"/>
        <v>2</v>
      </c>
      <c r="BA564" s="18">
        <f t="shared" si="320"/>
        <v>8</v>
      </c>
      <c r="BB564" s="18">
        <f t="shared" si="321"/>
        <v>7</v>
      </c>
      <c r="BC564" s="18">
        <f t="shared" si="322"/>
        <v>6</v>
      </c>
      <c r="BD564" s="18">
        <f t="shared" si="323"/>
        <v>9</v>
      </c>
      <c r="BE564" s="8">
        <f t="shared" si="325"/>
        <v>6.9427506663778905E-3</v>
      </c>
    </row>
    <row r="565" spans="1:57" x14ac:dyDescent="0.25">
      <c r="A565" t="str">
        <f t="shared" si="324"/>
        <v/>
      </c>
      <c r="B565" s="1">
        <v>43565</v>
      </c>
      <c r="C565" s="9">
        <f t="shared" si="299"/>
        <v>0.24983049294314438</v>
      </c>
      <c r="D565" s="9">
        <f t="shared" si="300"/>
        <v>0.24554918838710435</v>
      </c>
      <c r="E565" s="9">
        <f t="shared" si="301"/>
        <v>0.25663475084401183</v>
      </c>
      <c r="F565" s="9">
        <f t="shared" si="302"/>
        <v>0</v>
      </c>
      <c r="G565" s="9">
        <f t="shared" si="303"/>
        <v>0.24798556782573949</v>
      </c>
      <c r="H565" s="9">
        <f t="shared" si="304"/>
        <v>0</v>
      </c>
      <c r="I565" s="9">
        <f t="shared" si="305"/>
        <v>0</v>
      </c>
      <c r="J565" s="9">
        <f t="shared" si="306"/>
        <v>0</v>
      </c>
      <c r="K565" s="9">
        <v>0</v>
      </c>
      <c r="L565" s="8">
        <f>+VLOOKUP($B565,NIFTY_50!$B$3:$I$1238,8,0)</f>
        <v>-7.5094564318731738E-3</v>
      </c>
      <c r="M565" s="8">
        <f>+VLOOKUP($B565,NIFTY_BANK!$B$3:$I$41238,8,0)</f>
        <v>-1.0305889150673098E-2</v>
      </c>
      <c r="N565" s="8">
        <f>+VLOOKUP($B565,NIFTY_IT!$B$3:$I$1238,8,0)</f>
        <v>-7.5953999603017852E-3</v>
      </c>
      <c r="O565" s="8">
        <f>+VLOOKUP($B565,NIFTY_PHARMA!$B$3:$I$1238,8,0)</f>
        <v>7.9928856888775712E-3</v>
      </c>
      <c r="P565" s="8">
        <f>+VLOOKUP($B565,NIFTY_FMCG!$B$3:$I$1238,8,0)</f>
        <v>-8.0948058329233241E-4</v>
      </c>
      <c r="Q565" s="8">
        <f>+VLOOKUP($B565,NIFTY_METAL!$B$3:$I$1238,8,0)</f>
        <v>-9.0788696887017517E-3</v>
      </c>
      <c r="R565" s="8">
        <f>+VLOOKUP($B565,NIFTY_ENERGY!$B$3:$I$1238,8,0)</f>
        <v>-2.5733978497969323E-3</v>
      </c>
      <c r="S565" s="8">
        <f>+VLOOKUP($B565,NIFTY_AUTO!$B$3:$I$1238,8,0)</f>
        <v>2.5165839402514489E-3</v>
      </c>
      <c r="T565" s="8">
        <v>0</v>
      </c>
      <c r="U565" s="8">
        <f>+VLOOKUP($B565,NIFTY_50!$B$63:$K$1238,10,0)</f>
        <v>7.3122154340687029E-2</v>
      </c>
      <c r="V565" s="8">
        <f>+VLOOKUP($B565,NIFTY_BANK!$B$63:$K$1238,10,0)</f>
        <v>8.5583469015331204E-2</v>
      </c>
      <c r="W565" s="8">
        <f>+VLOOKUP($B565,NIFTY_IT!$B$63:$K$1238,10,0)</f>
        <v>0.11826645511669032</v>
      </c>
      <c r="X565" s="8">
        <f>+VLOOKUP($B565,NIFTY_PHARMA!$B$63:$K$1238,10,0)</f>
        <v>5.6776505344034334E-2</v>
      </c>
      <c r="Y565" s="8">
        <f>+VLOOKUP($B565,NIFTY_FMCG!$B$63:$K$1238,10,0)</f>
        <v>-2.4841469421194695E-2</v>
      </c>
      <c r="Z565" s="8">
        <f>+VLOOKUP($B565,NIFTY_METAL!$B$63:$K$1238,10,0)</f>
        <v>4.5082036180058793E-2</v>
      </c>
      <c r="AA565" s="8">
        <f>+VLOOKUP($B565,NIFTY_ENERGY!$B$63:$K$1238,10,0)</f>
        <v>0.14990798239288838</v>
      </c>
      <c r="AB565" s="8">
        <f>+VLOOKUP($B565,NIFTY_AUTO!$B$63:$K$1238,10,0)</f>
        <v>-2.4581516189272623E-2</v>
      </c>
      <c r="AC565" s="8"/>
      <c r="AD565" s="16">
        <f t="shared" si="307"/>
        <v>5.171905948683328E-2</v>
      </c>
      <c r="AE565" s="8">
        <f t="shared" si="308"/>
        <v>6.3825971144165938E-2</v>
      </c>
      <c r="AF565" s="8">
        <f t="shared" si="309"/>
        <v>7.6321110380056859E-2</v>
      </c>
      <c r="AG565" s="8">
        <f t="shared" si="310"/>
        <v>8.6353940439131457E-2</v>
      </c>
      <c r="AH565" s="8">
        <f t="shared" si="311"/>
        <v>5.4705959517487752E-2</v>
      </c>
      <c r="AI565" s="8">
        <f t="shared" si="312"/>
        <v>0.10793625287969931</v>
      </c>
      <c r="AJ565" s="8">
        <f t="shared" si="313"/>
        <v>9.4273289790020601E-2</v>
      </c>
      <c r="AK565" s="8">
        <f t="shared" si="314"/>
        <v>9.2532121572761694E-2</v>
      </c>
      <c r="AL565" s="9">
        <v>0</v>
      </c>
      <c r="AM565" s="17">
        <f t="shared" si="291"/>
        <v>19.335231729312124</v>
      </c>
      <c r="AN565" s="13">
        <f t="shared" si="292"/>
        <v>15.66760336072702</v>
      </c>
      <c r="AO565" s="13">
        <f t="shared" si="293"/>
        <v>13.102534738033707</v>
      </c>
      <c r="AP565" s="13">
        <f t="shared" si="294"/>
        <v>11.580247466586343</v>
      </c>
      <c r="AQ565" s="13">
        <f t="shared" si="295"/>
        <v>18.279544108541444</v>
      </c>
      <c r="AR565" s="13">
        <f t="shared" si="296"/>
        <v>9.2647277751484776</v>
      </c>
      <c r="AS565" s="13">
        <f t="shared" si="297"/>
        <v>10.607458403407239</v>
      </c>
      <c r="AT565" s="13">
        <f t="shared" si="298"/>
        <v>10.807057949208051</v>
      </c>
      <c r="AU565" s="9">
        <v>0</v>
      </c>
      <c r="AV565" s="18">
        <f t="shared" si="315"/>
        <v>1</v>
      </c>
      <c r="AW565" s="18">
        <f t="shared" si="316"/>
        <v>3</v>
      </c>
      <c r="AX565" s="18">
        <f t="shared" si="317"/>
        <v>4</v>
      </c>
      <c r="AY565" s="18">
        <f t="shared" si="318"/>
        <v>5</v>
      </c>
      <c r="AZ565" s="18">
        <f t="shared" si="319"/>
        <v>2</v>
      </c>
      <c r="BA565" s="18">
        <f t="shared" si="320"/>
        <v>8</v>
      </c>
      <c r="BB565" s="18">
        <f t="shared" si="321"/>
        <v>7</v>
      </c>
      <c r="BC565" s="18">
        <f t="shared" si="322"/>
        <v>6</v>
      </c>
      <c r="BD565" s="18">
        <f t="shared" si="323"/>
        <v>9</v>
      </c>
      <c r="BE565" s="8">
        <f t="shared" si="325"/>
        <v>-6.5688695628999391E-3</v>
      </c>
    </row>
    <row r="566" spans="1:57" x14ac:dyDescent="0.25">
      <c r="A566" t="str">
        <f t="shared" si="324"/>
        <v/>
      </c>
      <c r="B566" s="1">
        <v>43566</v>
      </c>
      <c r="C566" s="9">
        <f t="shared" si="299"/>
        <v>0.25024305128685009</v>
      </c>
      <c r="D566" s="9">
        <f t="shared" si="300"/>
        <v>0.24554824418665799</v>
      </c>
      <c r="E566" s="9">
        <f t="shared" si="301"/>
        <v>0.25478708131913036</v>
      </c>
      <c r="F566" s="9">
        <f t="shared" si="302"/>
        <v>0</v>
      </c>
      <c r="G566" s="9">
        <f t="shared" si="303"/>
        <v>0.24942162320736155</v>
      </c>
      <c r="H566" s="9">
        <f t="shared" si="304"/>
        <v>0</v>
      </c>
      <c r="I566" s="9">
        <f t="shared" si="305"/>
        <v>0</v>
      </c>
      <c r="J566" s="9">
        <f t="shared" si="306"/>
        <v>0</v>
      </c>
      <c r="K566" s="9">
        <v>0</v>
      </c>
      <c r="L566" s="8">
        <f>+VLOOKUP($B566,NIFTY_50!$B$3:$I$1238,8,0)</f>
        <v>1.0704142675863615E-3</v>
      </c>
      <c r="M566" s="8">
        <f>+VLOOKUP($B566,NIFTY_BANK!$B$3:$I$41238,8,0)</f>
        <v>-5.8382404751122774E-4</v>
      </c>
      <c r="N566" s="8">
        <f>+VLOOKUP($B566,NIFTY_IT!$B$3:$I$1238,8,0)</f>
        <v>-7.7754130688192369E-3</v>
      </c>
      <c r="O566" s="8">
        <f>+VLOOKUP($B566,NIFTY_PHARMA!$B$3:$I$1238,8,0)</f>
        <v>-1.7804185843811604E-3</v>
      </c>
      <c r="P566" s="8">
        <f>+VLOOKUP($B566,NIFTY_FMCG!$B$3:$I$1238,8,0)</f>
        <v>5.2075432697837876E-3</v>
      </c>
      <c r="Q566" s="8">
        <f>+VLOOKUP($B566,NIFTY_METAL!$B$3:$I$1238,8,0)</f>
        <v>-1.2157026922581471E-2</v>
      </c>
      <c r="R566" s="8">
        <f>+VLOOKUP($B566,NIFTY_ENERGY!$B$3:$I$1238,8,0)</f>
        <v>8.2517517423830178E-3</v>
      </c>
      <c r="S566" s="8">
        <f>+VLOOKUP($B566,NIFTY_AUTO!$B$3:$I$1238,8,0)</f>
        <v>5.2692463416044166E-3</v>
      </c>
      <c r="T566" s="8">
        <v>0</v>
      </c>
      <c r="U566" s="8">
        <f>+VLOOKUP($B566,NIFTY_50!$B$63:$K$1238,10,0)</f>
        <v>8.000856802264944E-2</v>
      </c>
      <c r="V566" s="8">
        <f>+VLOOKUP($B566,NIFTY_BANK!$B$63:$K$1238,10,0)</f>
        <v>9.3138091437064752E-2</v>
      </c>
      <c r="W566" s="8">
        <f>+VLOOKUP($B566,NIFTY_IT!$B$63:$K$1238,10,0)</f>
        <v>0.11608523861750886</v>
      </c>
      <c r="X566" s="8">
        <f>+VLOOKUP($B566,NIFTY_PHARMA!$B$63:$K$1238,10,0)</f>
        <v>4.9372576626104836E-2</v>
      </c>
      <c r="Y566" s="8">
        <f>+VLOOKUP($B566,NIFTY_FMCG!$B$63:$K$1238,10,0)</f>
        <v>-1.8402221614512104E-2</v>
      </c>
      <c r="Z566" s="8">
        <f>+VLOOKUP($B566,NIFTY_METAL!$B$63:$K$1238,10,0)</f>
        <v>4.3581063840645085E-2</v>
      </c>
      <c r="AA566" s="8">
        <f>+VLOOKUP($B566,NIFTY_ENERGY!$B$63:$K$1238,10,0)</f>
        <v>0.1654465856965639</v>
      </c>
      <c r="AB566" s="8">
        <f>+VLOOKUP($B566,NIFTY_AUTO!$B$63:$K$1238,10,0)</f>
        <v>-1.8040159553431301E-2</v>
      </c>
      <c r="AC566" s="8"/>
      <c r="AD566" s="16">
        <f t="shared" si="307"/>
        <v>5.130357960957637E-2</v>
      </c>
      <c r="AE566" s="8">
        <f t="shared" si="308"/>
        <v>6.3230798984183559E-2</v>
      </c>
      <c r="AF566" s="8">
        <f t="shared" si="309"/>
        <v>7.6541120133790608E-2</v>
      </c>
      <c r="AG566" s="8">
        <f t="shared" si="310"/>
        <v>8.6286086125429387E-2</v>
      </c>
      <c r="AH566" s="8">
        <f t="shared" si="311"/>
        <v>5.4975798371841779E-2</v>
      </c>
      <c r="AI566" s="8">
        <f t="shared" si="312"/>
        <v>0.1080974315412999</v>
      </c>
      <c r="AJ566" s="8">
        <f t="shared" si="313"/>
        <v>9.4138467020754527E-2</v>
      </c>
      <c r="AK566" s="8">
        <f t="shared" si="314"/>
        <v>9.2691467564375518E-2</v>
      </c>
      <c r="AL566" s="9">
        <v>0</v>
      </c>
      <c r="AM566" s="17">
        <f t="shared" si="291"/>
        <v>19.491817288580368</v>
      </c>
      <c r="AN566" s="13">
        <f t="shared" si="292"/>
        <v>15.815077716322046</v>
      </c>
      <c r="AO566" s="13">
        <f t="shared" si="293"/>
        <v>13.064872819368762</v>
      </c>
      <c r="AP566" s="13">
        <f t="shared" si="294"/>
        <v>11.589354030339891</v>
      </c>
      <c r="AQ566" s="13">
        <f t="shared" si="295"/>
        <v>18.18982224207576</v>
      </c>
      <c r="AR566" s="13">
        <f t="shared" si="296"/>
        <v>9.2509136039734496</v>
      </c>
      <c r="AS566" s="13">
        <f t="shared" si="297"/>
        <v>10.6226501413023</v>
      </c>
      <c r="AT566" s="13">
        <f t="shared" si="298"/>
        <v>10.788479525426503</v>
      </c>
      <c r="AU566" s="9">
        <v>0</v>
      </c>
      <c r="AV566" s="18">
        <f t="shared" si="315"/>
        <v>1</v>
      </c>
      <c r="AW566" s="18">
        <f t="shared" si="316"/>
        <v>3</v>
      </c>
      <c r="AX566" s="18">
        <f t="shared" si="317"/>
        <v>4</v>
      </c>
      <c r="AY566" s="18">
        <f t="shared" si="318"/>
        <v>5</v>
      </c>
      <c r="AZ566" s="18">
        <f t="shared" si="319"/>
        <v>2</v>
      </c>
      <c r="BA566" s="18">
        <f t="shared" si="320"/>
        <v>8</v>
      </c>
      <c r="BB566" s="18">
        <f t="shared" si="321"/>
        <v>7</v>
      </c>
      <c r="BC566" s="18">
        <f t="shared" si="322"/>
        <v>6</v>
      </c>
      <c r="BD566" s="18">
        <f t="shared" si="323"/>
        <v>9</v>
      </c>
      <c r="BE566" s="8">
        <f t="shared" si="325"/>
        <v>-5.7998101779403797E-4</v>
      </c>
    </row>
    <row r="567" spans="1:57" x14ac:dyDescent="0.25">
      <c r="A567" t="str">
        <f t="shared" si="324"/>
        <v/>
      </c>
      <c r="B567" s="1">
        <v>43567</v>
      </c>
      <c r="C567" s="9">
        <f t="shared" si="299"/>
        <v>0.24974997119856807</v>
      </c>
      <c r="D567" s="9">
        <f t="shared" si="300"/>
        <v>0.24532969113548653</v>
      </c>
      <c r="E567" s="9">
        <f t="shared" si="301"/>
        <v>0.25384398337606168</v>
      </c>
      <c r="F567" s="9">
        <f t="shared" si="302"/>
        <v>0</v>
      </c>
      <c r="G567" s="9">
        <f t="shared" si="303"/>
        <v>0.25107635428988373</v>
      </c>
      <c r="H567" s="9">
        <f t="shared" si="304"/>
        <v>0</v>
      </c>
      <c r="I567" s="9">
        <f t="shared" si="305"/>
        <v>0</v>
      </c>
      <c r="J567" s="9">
        <f t="shared" si="306"/>
        <v>0</v>
      </c>
      <c r="K567" s="9">
        <v>0</v>
      </c>
      <c r="L567" s="8">
        <f>+VLOOKUP($B567,NIFTY_50!$B$3:$I$1238,8,0)</f>
        <v>4.0313192546155285E-3</v>
      </c>
      <c r="M567" s="8">
        <f>+VLOOKUP($B567,NIFTY_BANK!$B$3:$I$41238,8,0)</f>
        <v>5.1181591413445027E-3</v>
      </c>
      <c r="N567" s="8">
        <f>+VLOOKUP($B567,NIFTY_IT!$B$3:$I$1238,8,0)</f>
        <v>2.2897998393676122E-3</v>
      </c>
      <c r="O567" s="8">
        <f>+VLOOKUP($B567,NIFTY_PHARMA!$B$3:$I$1238,8,0)</f>
        <v>3.7588580738250332E-3</v>
      </c>
      <c r="P567" s="8">
        <f>+VLOOKUP($B567,NIFTY_FMCG!$B$3:$I$1238,8,0)</f>
        <v>1.2687741595262425E-2</v>
      </c>
      <c r="Q567" s="8">
        <f>+VLOOKUP($B567,NIFTY_METAL!$B$3:$I$1238,8,0)</f>
        <v>1.3529152879427908E-3</v>
      </c>
      <c r="R567" s="8">
        <f>+VLOOKUP($B567,NIFTY_ENERGY!$B$3:$I$1238,8,0)</f>
        <v>6.5597509769999007E-4</v>
      </c>
      <c r="S567" s="8">
        <f>+VLOOKUP($B567,NIFTY_AUTO!$B$3:$I$1238,8,0)</f>
        <v>1.0057479531188074E-2</v>
      </c>
      <c r="T567" s="8">
        <v>0</v>
      </c>
      <c r="U567" s="8">
        <f>+VLOOKUP($B567,NIFTY_50!$B$63:$K$1238,10,0)</f>
        <v>6.9501598265789832E-2</v>
      </c>
      <c r="V567" s="8">
        <f>+VLOOKUP($B567,NIFTY_BANK!$B$63:$K$1238,10,0)</f>
        <v>9.2617902794631446E-2</v>
      </c>
      <c r="W567" s="8">
        <f>+VLOOKUP($B567,NIFTY_IT!$B$63:$K$1238,10,0)</f>
        <v>8.5452126752396218E-2</v>
      </c>
      <c r="X567" s="8">
        <f>+VLOOKUP($B567,NIFTY_PHARMA!$B$63:$K$1238,10,0)</f>
        <v>4.4192744392135275E-2</v>
      </c>
      <c r="Y567" s="8">
        <f>+VLOOKUP($B567,NIFTY_FMCG!$B$63:$K$1238,10,0)</f>
        <v>-1.5392900272644727E-2</v>
      </c>
      <c r="Z567" s="8">
        <f>+VLOOKUP($B567,NIFTY_METAL!$B$63:$K$1238,10,0)</f>
        <v>2.8563774570538714E-2</v>
      </c>
      <c r="AA567" s="8">
        <f>+VLOOKUP($B567,NIFTY_ENERGY!$B$63:$K$1238,10,0)</f>
        <v>0.14172185898069567</v>
      </c>
      <c r="AB567" s="8">
        <f>+VLOOKUP($B567,NIFTY_AUTO!$B$63:$K$1238,10,0)</f>
        <v>-1.2482561540884674E-2</v>
      </c>
      <c r="AC567" s="8"/>
      <c r="AD567" s="16">
        <f t="shared" si="307"/>
        <v>4.9789279372109356E-2</v>
      </c>
      <c r="AE567" s="8">
        <f t="shared" si="308"/>
        <v>6.3201521134874344E-2</v>
      </c>
      <c r="AF567" s="8">
        <f t="shared" si="309"/>
        <v>7.0855023235924783E-2</v>
      </c>
      <c r="AG567" s="8">
        <f t="shared" si="310"/>
        <v>8.5971731121039688E-2</v>
      </c>
      <c r="AH567" s="8">
        <f t="shared" si="311"/>
        <v>5.5613606044726309E-2</v>
      </c>
      <c r="AI567" s="8">
        <f t="shared" si="312"/>
        <v>0.10701169619044854</v>
      </c>
      <c r="AJ567" s="8">
        <f t="shared" si="313"/>
        <v>9.2210818902533215E-2</v>
      </c>
      <c r="AK567" s="8">
        <f t="shared" si="314"/>
        <v>9.3143967054815827E-2</v>
      </c>
      <c r="AL567" s="9">
        <v>0</v>
      </c>
      <c r="AM567" s="17">
        <f t="shared" si="291"/>
        <v>20.084644980023022</v>
      </c>
      <c r="AN567" s="13">
        <f t="shared" si="292"/>
        <v>15.822403987175619</v>
      </c>
      <c r="AO567" s="13">
        <f t="shared" si="293"/>
        <v>14.113325411951624</v>
      </c>
      <c r="AP567" s="13">
        <f t="shared" si="294"/>
        <v>11.631730418363903</v>
      </c>
      <c r="AQ567" s="13">
        <f t="shared" si="295"/>
        <v>17.981211274013894</v>
      </c>
      <c r="AR567" s="13">
        <f t="shared" si="296"/>
        <v>9.3447729136103188</v>
      </c>
      <c r="AS567" s="13">
        <f t="shared" si="297"/>
        <v>10.84471444784586</v>
      </c>
      <c r="AT567" s="13">
        <f t="shared" si="298"/>
        <v>10.736068385529398</v>
      </c>
      <c r="AU567" s="9">
        <v>0</v>
      </c>
      <c r="AV567" s="18">
        <f t="shared" si="315"/>
        <v>1</v>
      </c>
      <c r="AW567" s="18">
        <f t="shared" si="316"/>
        <v>3</v>
      </c>
      <c r="AX567" s="18">
        <f t="shared" si="317"/>
        <v>4</v>
      </c>
      <c r="AY567" s="18">
        <f t="shared" si="318"/>
        <v>5</v>
      </c>
      <c r="AZ567" s="18">
        <f t="shared" si="319"/>
        <v>2</v>
      </c>
      <c r="BA567" s="18">
        <f t="shared" si="320"/>
        <v>8</v>
      </c>
      <c r="BB567" s="18">
        <f t="shared" si="321"/>
        <v>6</v>
      </c>
      <c r="BC567" s="18">
        <f t="shared" si="322"/>
        <v>7</v>
      </c>
      <c r="BD567" s="18">
        <f t="shared" si="323"/>
        <v>9</v>
      </c>
      <c r="BE567" s="8">
        <f t="shared" si="325"/>
        <v>6.0135731430148564E-3</v>
      </c>
    </row>
    <row r="568" spans="1:57" x14ac:dyDescent="0.25">
      <c r="A568" t="str">
        <f t="shared" si="324"/>
        <v/>
      </c>
      <c r="B568" s="1">
        <v>43570</v>
      </c>
      <c r="C568" s="9">
        <f t="shared" si="299"/>
        <v>0.24933259591847459</v>
      </c>
      <c r="D568" s="9">
        <f t="shared" si="300"/>
        <v>0.24528723184916257</v>
      </c>
      <c r="E568" s="9">
        <f t="shared" si="301"/>
        <v>0.25561699403219512</v>
      </c>
      <c r="F568" s="9">
        <f t="shared" si="302"/>
        <v>0</v>
      </c>
      <c r="G568" s="9">
        <f t="shared" si="303"/>
        <v>0.24976317820016783</v>
      </c>
      <c r="H568" s="9">
        <f t="shared" si="304"/>
        <v>0</v>
      </c>
      <c r="I568" s="9">
        <f t="shared" si="305"/>
        <v>0</v>
      </c>
      <c r="J568" s="9">
        <f t="shared" si="306"/>
        <v>0</v>
      </c>
      <c r="K568" s="9">
        <v>0</v>
      </c>
      <c r="L568" s="8">
        <f>+VLOOKUP($B568,NIFTY_50!$B$3:$I$1238,8,0)</f>
        <v>4.0280157513450376E-3</v>
      </c>
      <c r="M568" s="8">
        <f>+VLOOKUP($B568,NIFTY_BANK!$B$3:$I$41238,8,0)</f>
        <v>5.5346701827576616E-3</v>
      </c>
      <c r="N568" s="8">
        <f>+VLOOKUP($B568,NIFTY_IT!$B$3:$I$1238,8,0)</f>
        <v>1.2733249115397527E-2</v>
      </c>
      <c r="O568" s="8">
        <f>+VLOOKUP($B568,NIFTY_PHARMA!$B$3:$I$1238,8,0)</f>
        <v>-9.2293493308726049E-4</v>
      </c>
      <c r="P568" s="8">
        <f>+VLOOKUP($B568,NIFTY_FMCG!$B$3:$I$1238,8,0)</f>
        <v>4.4868456819835423E-4</v>
      </c>
      <c r="Q568" s="8">
        <f>+VLOOKUP($B568,NIFTY_METAL!$B$3:$I$1238,8,0)</f>
        <v>2.2708034900377649E-2</v>
      </c>
      <c r="R568" s="8">
        <f>+VLOOKUP($B568,NIFTY_ENERGY!$B$3:$I$1238,8,0)</f>
        <v>-3.4199662950880061E-3</v>
      </c>
      <c r="S568" s="8">
        <f>+VLOOKUP($B568,NIFTY_AUTO!$B$3:$I$1238,8,0)</f>
        <v>1.5283482104711421E-2</v>
      </c>
      <c r="T568" s="8">
        <v>0</v>
      </c>
      <c r="U568" s="8">
        <f>+VLOOKUP($B568,NIFTY_50!$B$63:$K$1238,10,0)</f>
        <v>7.3464459197634779E-2</v>
      </c>
      <c r="V568" s="8">
        <f>+VLOOKUP($B568,NIFTY_BANK!$B$63:$K$1238,10,0)</f>
        <v>9.5349243369706294E-2</v>
      </c>
      <c r="W568" s="8">
        <f>+VLOOKUP($B568,NIFTY_IT!$B$63:$K$1238,10,0)</f>
        <v>9.5588735228926192E-2</v>
      </c>
      <c r="X568" s="8">
        <f>+VLOOKUP($B568,NIFTY_PHARMA!$B$63:$K$1238,10,0)</f>
        <v>4.015263634556332E-2</v>
      </c>
      <c r="Y568" s="8">
        <f>+VLOOKUP($B568,NIFTY_FMCG!$B$63:$K$1238,10,0)</f>
        <v>-7.6809755764791765E-3</v>
      </c>
      <c r="Z568" s="8">
        <f>+VLOOKUP($B568,NIFTY_METAL!$B$63:$K$1238,10,0)</f>
        <v>5.8745218314487424E-2</v>
      </c>
      <c r="AA568" s="8">
        <f>+VLOOKUP($B568,NIFTY_ENERGY!$B$63:$K$1238,10,0)</f>
        <v>0.13142614410290254</v>
      </c>
      <c r="AB568" s="8">
        <f>+VLOOKUP($B568,NIFTY_AUTO!$B$63:$K$1238,10,0)</f>
        <v>5.0582231370006614E-3</v>
      </c>
      <c r="AC568" s="8"/>
      <c r="AD568" s="16">
        <f t="shared" si="307"/>
        <v>4.9865300993879695E-2</v>
      </c>
      <c r="AE568" s="8">
        <f t="shared" si="308"/>
        <v>6.331150428276483E-2</v>
      </c>
      <c r="AF568" s="8">
        <f t="shared" si="309"/>
        <v>7.1720583240398345E-2</v>
      </c>
      <c r="AG568" s="8">
        <f t="shared" si="310"/>
        <v>8.5959134370483081E-2</v>
      </c>
      <c r="AH568" s="8">
        <f t="shared" si="311"/>
        <v>5.5154021979254189E-2</v>
      </c>
      <c r="AI568" s="8">
        <f t="shared" si="312"/>
        <v>0.10899206835784314</v>
      </c>
      <c r="AJ568" s="8">
        <f t="shared" si="313"/>
        <v>9.2314596925978196E-2</v>
      </c>
      <c r="AK568" s="8">
        <f t="shared" si="314"/>
        <v>9.4356114981272374E-2</v>
      </c>
      <c r="AL568" s="9">
        <v>0</v>
      </c>
      <c r="AM568" s="17">
        <f t="shared" si="291"/>
        <v>20.054025145115173</v>
      </c>
      <c r="AN568" s="13">
        <f t="shared" si="292"/>
        <v>15.794917706168421</v>
      </c>
      <c r="AO568" s="13">
        <f t="shared" si="293"/>
        <v>13.942998715558771</v>
      </c>
      <c r="AP568" s="13">
        <f t="shared" si="294"/>
        <v>11.633434972599993</v>
      </c>
      <c r="AQ568" s="13">
        <f t="shared" si="295"/>
        <v>18.131044013003134</v>
      </c>
      <c r="AR568" s="13">
        <f t="shared" si="296"/>
        <v>9.1749795656395516</v>
      </c>
      <c r="AS568" s="13">
        <f t="shared" si="297"/>
        <v>10.832523060267954</v>
      </c>
      <c r="AT568" s="13">
        <f t="shared" si="298"/>
        <v>10.598147244600714</v>
      </c>
      <c r="AU568" s="9">
        <v>0</v>
      </c>
      <c r="AV568" s="18">
        <f t="shared" si="315"/>
        <v>1</v>
      </c>
      <c r="AW568" s="18">
        <f t="shared" si="316"/>
        <v>3</v>
      </c>
      <c r="AX568" s="18">
        <f t="shared" si="317"/>
        <v>4</v>
      </c>
      <c r="AY568" s="18">
        <f t="shared" si="318"/>
        <v>5</v>
      </c>
      <c r="AZ568" s="18">
        <f t="shared" si="319"/>
        <v>2</v>
      </c>
      <c r="BA568" s="18">
        <f t="shared" si="320"/>
        <v>8</v>
      </c>
      <c r="BB568" s="18">
        <f t="shared" si="321"/>
        <v>6</v>
      </c>
      <c r="BC568" s="18">
        <f t="shared" si="322"/>
        <v>7</v>
      </c>
      <c r="BD568" s="18">
        <f t="shared" si="323"/>
        <v>9</v>
      </c>
      <c r="BE568" s="8">
        <f t="shared" si="325"/>
        <v>5.7087285067401209E-3</v>
      </c>
    </row>
    <row r="569" spans="1:57" x14ac:dyDescent="0.25">
      <c r="A569" t="str">
        <f t="shared" si="324"/>
        <v/>
      </c>
      <c r="B569" s="1">
        <v>43571</v>
      </c>
      <c r="C569" s="9">
        <f t="shared" si="299"/>
        <v>0.2497280514663002</v>
      </c>
      <c r="D569" s="9">
        <f t="shared" si="300"/>
        <v>0.2471155708845679</v>
      </c>
      <c r="E569" s="9">
        <f t="shared" si="301"/>
        <v>0.25346604492430375</v>
      </c>
      <c r="F569" s="9">
        <f t="shared" si="302"/>
        <v>0</v>
      </c>
      <c r="G569" s="9">
        <f t="shared" si="303"/>
        <v>0.24969033272482818</v>
      </c>
      <c r="H569" s="9">
        <f t="shared" si="304"/>
        <v>0</v>
      </c>
      <c r="I569" s="9">
        <f t="shared" si="305"/>
        <v>0</v>
      </c>
      <c r="J569" s="9">
        <f t="shared" si="306"/>
        <v>0</v>
      </c>
      <c r="K569" s="9">
        <v>0</v>
      </c>
      <c r="L569" s="8">
        <f>+VLOOKUP($B569,NIFTY_50!$B$3:$I$1238,8,0)</f>
        <v>8.2803337795702703E-3</v>
      </c>
      <c r="M569" s="8">
        <f>+VLOOKUP($B569,NIFTY_BANK!$B$3:$I$41238,8,0)</f>
        <v>1.4187365571306287E-2</v>
      </c>
      <c r="N569" s="8">
        <f>+VLOOKUP($B569,NIFTY_IT!$B$3:$I$1238,8,0)</f>
        <v>-1.7872990064355943E-3</v>
      </c>
      <c r="O569" s="8">
        <f>+VLOOKUP($B569,NIFTY_PHARMA!$B$3:$I$1238,8,0)</f>
        <v>5.309123729091425E-6</v>
      </c>
      <c r="P569" s="8">
        <f>+VLOOKUP($B569,NIFTY_FMCG!$B$3:$I$1238,8,0)</f>
        <v>6.3900692039255969E-3</v>
      </c>
      <c r="Q569" s="8">
        <f>+VLOOKUP($B569,NIFTY_METAL!$B$3:$I$1238,8,0)</f>
        <v>2.7217597529725079E-3</v>
      </c>
      <c r="R569" s="8">
        <f>+VLOOKUP($B569,NIFTY_ENERGY!$B$3:$I$1238,8,0)</f>
        <v>5.5291989487695758E-3</v>
      </c>
      <c r="S569" s="8">
        <f>+VLOOKUP($B569,NIFTY_AUTO!$B$3:$I$1238,8,0)</f>
        <v>8.0737465774944894E-3</v>
      </c>
      <c r="T569" s="8">
        <v>0</v>
      </c>
      <c r="U569" s="8">
        <f>+VLOOKUP($B569,NIFTY_50!$B$63:$K$1238,10,0)</f>
        <v>8.0874261820049087E-2</v>
      </c>
      <c r="V569" s="8">
        <f>+VLOOKUP($B569,NIFTY_BANK!$B$63:$K$1238,10,0)</f>
        <v>0.10907142532806602</v>
      </c>
      <c r="W569" s="8">
        <f>+VLOOKUP($B569,NIFTY_IT!$B$63:$K$1238,10,0)</f>
        <v>8.6799209472812944E-2</v>
      </c>
      <c r="X569" s="8">
        <f>+VLOOKUP($B569,NIFTY_PHARMA!$B$63:$K$1238,10,0)</f>
        <v>5.4565813784222428E-2</v>
      </c>
      <c r="Y569" s="8">
        <f>+VLOOKUP($B569,NIFTY_FMCG!$B$63:$K$1238,10,0)</f>
        <v>1.7405590936081516E-4</v>
      </c>
      <c r="Z569" s="8">
        <f>+VLOOKUP($B569,NIFTY_METAL!$B$63:$K$1238,10,0)</f>
        <v>6.3060022611835853E-2</v>
      </c>
      <c r="AA569" s="8">
        <f>+VLOOKUP($B569,NIFTY_ENERGY!$B$63:$K$1238,10,0)</f>
        <v>0.13649307382079612</v>
      </c>
      <c r="AB569" s="8">
        <f>+VLOOKUP($B569,NIFTY_AUTO!$B$63:$K$1238,10,0)</f>
        <v>1.1866144038205739E-2</v>
      </c>
      <c r="AC569" s="8"/>
      <c r="AD569" s="16">
        <f t="shared" si="307"/>
        <v>5.0359711644820615E-2</v>
      </c>
      <c r="AE569" s="8">
        <f t="shared" si="308"/>
        <v>6.45448758805892E-2</v>
      </c>
      <c r="AF569" s="8">
        <f t="shared" si="309"/>
        <v>7.1633224337333851E-2</v>
      </c>
      <c r="AG569" s="8">
        <f t="shared" si="310"/>
        <v>8.47345497887768E-2</v>
      </c>
      <c r="AH569" s="8">
        <f t="shared" si="311"/>
        <v>5.5507536965994073E-2</v>
      </c>
      <c r="AI569" s="8">
        <f t="shared" si="312"/>
        <v>0.10897787141551551</v>
      </c>
      <c r="AJ569" s="8">
        <f t="shared" si="313"/>
        <v>9.2370674123141872E-2</v>
      </c>
      <c r="AK569" s="8">
        <f t="shared" si="314"/>
        <v>9.4676960290562093E-2</v>
      </c>
      <c r="AL569" s="9">
        <v>0</v>
      </c>
      <c r="AM569" s="17">
        <f t="shared" si="291"/>
        <v>19.857143087967778</v>
      </c>
      <c r="AN569" s="13">
        <f t="shared" si="292"/>
        <v>15.493096645658488</v>
      </c>
      <c r="AO569" s="13">
        <f t="shared" si="293"/>
        <v>13.960002627981934</v>
      </c>
      <c r="AP569" s="13">
        <f t="shared" si="294"/>
        <v>11.801561494015884</v>
      </c>
      <c r="AQ569" s="13">
        <f t="shared" si="295"/>
        <v>18.015571481988765</v>
      </c>
      <c r="AR569" s="13">
        <f t="shared" si="296"/>
        <v>9.1761748234846419</v>
      </c>
      <c r="AS569" s="13">
        <f t="shared" si="297"/>
        <v>10.825946757375318</v>
      </c>
      <c r="AT569" s="13">
        <f t="shared" si="298"/>
        <v>10.562231792518643</v>
      </c>
      <c r="AU569" s="9">
        <v>0</v>
      </c>
      <c r="AV569" s="18">
        <f t="shared" si="315"/>
        <v>1</v>
      </c>
      <c r="AW569" s="18">
        <f t="shared" si="316"/>
        <v>3</v>
      </c>
      <c r="AX569" s="18">
        <f t="shared" si="317"/>
        <v>4</v>
      </c>
      <c r="AY569" s="18">
        <f t="shared" si="318"/>
        <v>5</v>
      </c>
      <c r="AZ569" s="18">
        <f t="shared" si="319"/>
        <v>2</v>
      </c>
      <c r="BA569" s="18">
        <f t="shared" si="320"/>
        <v>8</v>
      </c>
      <c r="BB569" s="18">
        <f t="shared" si="321"/>
        <v>6</v>
      </c>
      <c r="BC569" s="18">
        <f t="shared" si="322"/>
        <v>7</v>
      </c>
      <c r="BD569" s="18">
        <f t="shared" si="323"/>
        <v>9</v>
      </c>
      <c r="BE569" s="8">
        <f t="shared" si="325"/>
        <v>6.6836767383792002E-3</v>
      </c>
    </row>
    <row r="570" spans="1:57" x14ac:dyDescent="0.25">
      <c r="A570" t="str">
        <f t="shared" si="324"/>
        <v/>
      </c>
      <c r="B570" s="1">
        <v>43573</v>
      </c>
      <c r="C570" s="9">
        <f t="shared" si="299"/>
        <v>0.25020128605576725</v>
      </c>
      <c r="D570" s="9">
        <f t="shared" si="300"/>
        <v>0.24580295307285033</v>
      </c>
      <c r="E570" s="9">
        <f t="shared" si="301"/>
        <v>0.25459990352819406</v>
      </c>
      <c r="F570" s="9">
        <f t="shared" si="302"/>
        <v>0</v>
      </c>
      <c r="G570" s="9">
        <f t="shared" si="303"/>
        <v>0.24939585734318839</v>
      </c>
      <c r="H570" s="9">
        <f t="shared" si="304"/>
        <v>0</v>
      </c>
      <c r="I570" s="9">
        <f t="shared" si="305"/>
        <v>0</v>
      </c>
      <c r="J570" s="9">
        <f t="shared" si="306"/>
        <v>0</v>
      </c>
      <c r="K570" s="9">
        <v>0</v>
      </c>
      <c r="L570" s="8">
        <f>+VLOOKUP($B570,NIFTY_50!$B$3:$I$1238,8,0)</f>
        <v>-2.9141904531629903E-3</v>
      </c>
      <c r="M570" s="8">
        <f>+VLOOKUP($B570,NIFTY_BANK!$B$3:$I$41238,8,0)</f>
        <v>-1.0086353862505115E-2</v>
      </c>
      <c r="N570" s="8">
        <f>+VLOOKUP($B570,NIFTY_IT!$B$3:$I$1238,8,0)</f>
        <v>-3.4815261518572616E-4</v>
      </c>
      <c r="O570" s="8">
        <f>+VLOOKUP($B570,NIFTY_PHARMA!$B$3:$I$1238,8,0)</f>
        <v>-8.3883709571230813E-4</v>
      </c>
      <c r="P570" s="8">
        <f>+VLOOKUP($B570,NIFTY_FMCG!$B$3:$I$1238,8,0)</f>
        <v>-5.9737953198492066E-3</v>
      </c>
      <c r="Q570" s="8">
        <f>+VLOOKUP($B570,NIFTY_METAL!$B$3:$I$1238,8,0)</f>
        <v>-1.271468935521769E-2</v>
      </c>
      <c r="R570" s="8">
        <f>+VLOOKUP($B570,NIFTY_ENERGY!$B$3:$I$1238,8,0)</f>
        <v>8.1895633981443616E-3</v>
      </c>
      <c r="S570" s="8">
        <f>+VLOOKUP($B570,NIFTY_AUTO!$B$3:$I$1238,8,0)</f>
        <v>-1.2133288065407921E-3</v>
      </c>
      <c r="T570" s="8">
        <v>0</v>
      </c>
      <c r="U570" s="8">
        <f>+VLOOKUP($B570,NIFTY_50!$B$63:$K$1238,10,0)</f>
        <v>7.7551469475884538E-2</v>
      </c>
      <c r="V570" s="8">
        <f>+VLOOKUP($B570,NIFTY_BANK!$B$63:$K$1238,10,0)</f>
        <v>0.10076593326947525</v>
      </c>
      <c r="W570" s="8">
        <f>+VLOOKUP($B570,NIFTY_IT!$B$63:$K$1238,10,0)</f>
        <v>7.9654871416101392E-2</v>
      </c>
      <c r="X570" s="8">
        <f>+VLOOKUP($B570,NIFTY_PHARMA!$B$63:$K$1238,10,0)</f>
        <v>8.2892192966304457E-2</v>
      </c>
      <c r="Y570" s="8">
        <f>+VLOOKUP($B570,NIFTY_FMCG!$B$63:$K$1238,10,0)</f>
        <v>6.0903034837522796E-4</v>
      </c>
      <c r="Z570" s="8">
        <f>+VLOOKUP($B570,NIFTY_METAL!$B$63:$K$1238,10,0)</f>
        <v>5.1655338000067719E-2</v>
      </c>
      <c r="AA570" s="8">
        <f>+VLOOKUP($B570,NIFTY_ENERGY!$B$63:$K$1238,10,0)</f>
        <v>0.11834673968851628</v>
      </c>
      <c r="AB570" s="8">
        <f>+VLOOKUP($B570,NIFTY_AUTO!$B$63:$K$1238,10,0)</f>
        <v>1.4454820911722122E-2</v>
      </c>
      <c r="AC570" s="8"/>
      <c r="AD570" s="16">
        <f t="shared" si="307"/>
        <v>5.0521132369778669E-2</v>
      </c>
      <c r="AE570" s="8">
        <f t="shared" si="308"/>
        <v>6.5466727381869205E-2</v>
      </c>
      <c r="AF570" s="8">
        <f t="shared" si="309"/>
        <v>7.1484757137020322E-2</v>
      </c>
      <c r="AG570" s="8">
        <f t="shared" si="310"/>
        <v>7.9957229029412519E-2</v>
      </c>
      <c r="AH570" s="8">
        <f t="shared" si="311"/>
        <v>5.5459082568219568E-2</v>
      </c>
      <c r="AI570" s="8">
        <f t="shared" si="312"/>
        <v>0.10979749579617054</v>
      </c>
      <c r="AJ570" s="8">
        <f t="shared" si="313"/>
        <v>8.9796275950481702E-2</v>
      </c>
      <c r="AK570" s="8">
        <f t="shared" si="314"/>
        <v>9.4602213252694953E-2</v>
      </c>
      <c r="AL570" s="9">
        <v>0</v>
      </c>
      <c r="AM570" s="17">
        <f t="shared" si="291"/>
        <v>19.793697272672215</v>
      </c>
      <c r="AN570" s="13">
        <f t="shared" si="292"/>
        <v>15.274934917198056</v>
      </c>
      <c r="AO570" s="13">
        <f t="shared" si="293"/>
        <v>13.988996256687606</v>
      </c>
      <c r="AP570" s="13">
        <f t="shared" si="294"/>
        <v>12.506686539026344</v>
      </c>
      <c r="AQ570" s="13">
        <f t="shared" si="295"/>
        <v>18.031311620957879</v>
      </c>
      <c r="AR570" s="13">
        <f t="shared" si="296"/>
        <v>9.1076758422287938</v>
      </c>
      <c r="AS570" s="13">
        <f t="shared" si="297"/>
        <v>11.13631928958225</v>
      </c>
      <c r="AT570" s="13">
        <f t="shared" si="298"/>
        <v>10.570577216083397</v>
      </c>
      <c r="AU570" s="9">
        <v>0</v>
      </c>
      <c r="AV570" s="18">
        <f t="shared" si="315"/>
        <v>1</v>
      </c>
      <c r="AW570" s="18">
        <f t="shared" si="316"/>
        <v>3</v>
      </c>
      <c r="AX570" s="18">
        <f t="shared" si="317"/>
        <v>4</v>
      </c>
      <c r="AY570" s="18">
        <f t="shared" si="318"/>
        <v>5</v>
      </c>
      <c r="AZ570" s="18">
        <f t="shared" si="319"/>
        <v>2</v>
      </c>
      <c r="BA570" s="18">
        <f t="shared" si="320"/>
        <v>8</v>
      </c>
      <c r="BB570" s="18">
        <f t="shared" si="321"/>
        <v>6</v>
      </c>
      <c r="BC570" s="18">
        <f t="shared" si="322"/>
        <v>7</v>
      </c>
      <c r="BD570" s="18">
        <f t="shared" si="323"/>
        <v>9</v>
      </c>
      <c r="BE570" s="8">
        <f t="shared" si="325"/>
        <v>-4.8000940037911544E-3</v>
      </c>
    </row>
    <row r="571" spans="1:57" x14ac:dyDescent="0.25">
      <c r="A571" t="str">
        <f t="shared" si="324"/>
        <v/>
      </c>
      <c r="B571" s="1">
        <v>43577</v>
      </c>
      <c r="C571" s="9">
        <f t="shared" si="299"/>
        <v>0.24875718404427696</v>
      </c>
      <c r="D571" s="9">
        <f t="shared" si="300"/>
        <v>0.24333314823018823</v>
      </c>
      <c r="E571" s="9">
        <f t="shared" si="301"/>
        <v>0.25772529515807785</v>
      </c>
      <c r="F571" s="9">
        <f t="shared" si="302"/>
        <v>0</v>
      </c>
      <c r="G571" s="9">
        <f t="shared" si="303"/>
        <v>0.25018437256745696</v>
      </c>
      <c r="H571" s="9">
        <f t="shared" si="304"/>
        <v>0</v>
      </c>
      <c r="I571" s="9">
        <f t="shared" si="305"/>
        <v>0</v>
      </c>
      <c r="J571" s="9">
        <f t="shared" si="306"/>
        <v>0</v>
      </c>
      <c r="K571" s="9">
        <v>0</v>
      </c>
      <c r="L571" s="8">
        <f>+VLOOKUP($B571,NIFTY_50!$B$3:$I$1238,8,0)</f>
        <v>-1.3473385065686405E-2</v>
      </c>
      <c r="M571" s="8">
        <f>+VLOOKUP($B571,NIFTY_BANK!$B$3:$I$41238,8,0)</f>
        <v>-1.7716405169504457E-2</v>
      </c>
      <c r="N571" s="8">
        <f>+VLOOKUP($B571,NIFTY_IT!$B$3:$I$1238,8,0)</f>
        <v>4.4342726362467388E-3</v>
      </c>
      <c r="O571" s="8">
        <f>+VLOOKUP($B571,NIFTY_PHARMA!$B$3:$I$1238,8,0)</f>
        <v>-1.3225432788871228E-2</v>
      </c>
      <c r="P571" s="8">
        <f>+VLOOKUP($B571,NIFTY_FMCG!$B$3:$I$1238,8,0)</f>
        <v>-4.6091243318242547E-3</v>
      </c>
      <c r="Q571" s="8">
        <f>+VLOOKUP($B571,NIFTY_METAL!$B$3:$I$1238,8,0)</f>
        <v>-1.7926909658022128E-2</v>
      </c>
      <c r="R571" s="8">
        <f>+VLOOKUP($B571,NIFTY_ENERGY!$B$3:$I$1238,8,0)</f>
        <v>-2.3992654372943623E-2</v>
      </c>
      <c r="S571" s="8">
        <f>+VLOOKUP($B571,NIFTY_AUTO!$B$3:$I$1238,8,0)</f>
        <v>-1.7692654901283356E-2</v>
      </c>
      <c r="T571" s="8">
        <v>0</v>
      </c>
      <c r="U571" s="8">
        <f>+VLOOKUP($B571,NIFTY_50!$B$63:$K$1238,10,0)</f>
        <v>5.7709237035719285E-2</v>
      </c>
      <c r="V571" s="8">
        <f>+VLOOKUP($B571,NIFTY_BANK!$B$63:$K$1238,10,0)</f>
        <v>7.8244399569979972E-2</v>
      </c>
      <c r="W571" s="8">
        <f>+VLOOKUP($B571,NIFTY_IT!$B$63:$K$1238,10,0)</f>
        <v>7.9123904212101914E-2</v>
      </c>
      <c r="X571" s="8">
        <f>+VLOOKUP($B571,NIFTY_PHARMA!$B$63:$K$1238,10,0)</f>
        <v>6.3053110009502422E-2</v>
      </c>
      <c r="Y571" s="8">
        <f>+VLOOKUP($B571,NIFTY_FMCG!$B$63:$K$1238,10,0)</f>
        <v>-2.1945218960144341E-3</v>
      </c>
      <c r="Z571" s="8">
        <f>+VLOOKUP($B571,NIFTY_METAL!$B$63:$K$1238,10,0)</f>
        <v>3.6764206667119215E-2</v>
      </c>
      <c r="AA571" s="8">
        <f>+VLOOKUP($B571,NIFTY_ENERGY!$B$63:$K$1238,10,0)</f>
        <v>6.5521239520577756E-2</v>
      </c>
      <c r="AB571" s="8">
        <f>+VLOOKUP($B571,NIFTY_AUTO!$B$63:$K$1238,10,0)</f>
        <v>7.6656167648925244E-3</v>
      </c>
      <c r="AC571" s="8"/>
      <c r="AD571" s="16">
        <f t="shared" si="307"/>
        <v>5.2431746313088855E-2</v>
      </c>
      <c r="AE571" s="8">
        <f t="shared" si="308"/>
        <v>6.8198891068087561E-2</v>
      </c>
      <c r="AF571" s="8">
        <f t="shared" si="309"/>
        <v>7.1461340918198793E-2</v>
      </c>
      <c r="AG571" s="8">
        <f t="shared" si="310"/>
        <v>8.115187821247058E-2</v>
      </c>
      <c r="AH571" s="8">
        <f t="shared" si="311"/>
        <v>5.5621381722238836E-2</v>
      </c>
      <c r="AI571" s="8">
        <f t="shared" si="312"/>
        <v>0.11128832053945445</v>
      </c>
      <c r="AJ571" s="8">
        <f t="shared" si="313"/>
        <v>9.0495880373028137E-2</v>
      </c>
      <c r="AK571" s="8">
        <f t="shared" si="314"/>
        <v>9.5620800730839617E-2</v>
      </c>
      <c r="AL571" s="9">
        <v>0</v>
      </c>
      <c r="AM571" s="17">
        <f t="shared" si="291"/>
        <v>19.072414525898864</v>
      </c>
      <c r="AN571" s="13">
        <f t="shared" si="292"/>
        <v>14.662995018520645</v>
      </c>
      <c r="AO571" s="13">
        <f t="shared" si="293"/>
        <v>13.993580125297282</v>
      </c>
      <c r="AP571" s="13">
        <f t="shared" si="294"/>
        <v>12.322573697947146</v>
      </c>
      <c r="AQ571" s="13">
        <f t="shared" si="295"/>
        <v>17.978697562634888</v>
      </c>
      <c r="AR571" s="13">
        <f t="shared" si="296"/>
        <v>8.9856688927700681</v>
      </c>
      <c r="AS571" s="13">
        <f t="shared" si="297"/>
        <v>11.050226771406107</v>
      </c>
      <c r="AT571" s="13">
        <f t="shared" si="298"/>
        <v>10.457975590634016</v>
      </c>
      <c r="AU571" s="9">
        <v>0</v>
      </c>
      <c r="AV571" s="18">
        <f t="shared" si="315"/>
        <v>1</v>
      </c>
      <c r="AW571" s="18">
        <f t="shared" si="316"/>
        <v>3</v>
      </c>
      <c r="AX571" s="18">
        <f t="shared" si="317"/>
        <v>4</v>
      </c>
      <c r="AY571" s="18">
        <f t="shared" si="318"/>
        <v>5</v>
      </c>
      <c r="AZ571" s="18">
        <f t="shared" si="319"/>
        <v>2</v>
      </c>
      <c r="BA571" s="18">
        <f t="shared" si="320"/>
        <v>8</v>
      </c>
      <c r="BB571" s="18">
        <f t="shared" si="321"/>
        <v>6</v>
      </c>
      <c r="BC571" s="18">
        <f t="shared" si="322"/>
        <v>7</v>
      </c>
      <c r="BD571" s="18">
        <f t="shared" si="323"/>
        <v>9</v>
      </c>
      <c r="BE571" s="8">
        <f t="shared" si="325"/>
        <v>-7.7463341083891437E-3</v>
      </c>
    </row>
    <row r="572" spans="1:57" x14ac:dyDescent="0.25">
      <c r="A572" t="str">
        <f t="shared" si="324"/>
        <v/>
      </c>
      <c r="B572" s="1">
        <v>43578</v>
      </c>
      <c r="C572" s="9">
        <f t="shared" si="299"/>
        <v>0.24866373100352673</v>
      </c>
      <c r="D572" s="9">
        <f t="shared" si="300"/>
        <v>0.24192148975818051</v>
      </c>
      <c r="E572" s="9">
        <f t="shared" si="301"/>
        <v>0.25829104050383028</v>
      </c>
      <c r="F572" s="9">
        <f t="shared" si="302"/>
        <v>0</v>
      </c>
      <c r="G572" s="9">
        <f t="shared" si="303"/>
        <v>0.25112373873446248</v>
      </c>
      <c r="H572" s="9">
        <f t="shared" si="304"/>
        <v>0</v>
      </c>
      <c r="I572" s="9">
        <f t="shared" si="305"/>
        <v>0</v>
      </c>
      <c r="J572" s="9">
        <f t="shared" si="306"/>
        <v>0</v>
      </c>
      <c r="K572" s="9">
        <v>0</v>
      </c>
      <c r="L572" s="8">
        <f>+VLOOKUP($B572,NIFTY_50!$B$3:$I$1238,8,0)</f>
        <v>-1.5955909939668889E-3</v>
      </c>
      <c r="M572" s="8">
        <f>+VLOOKUP($B572,NIFTY_BANK!$B$3:$I$41238,8,0)</f>
        <v>-7.0146305150743382E-3</v>
      </c>
      <c r="N572" s="8">
        <f>+VLOOKUP($B572,NIFTY_IT!$B$3:$I$1238,8,0)</f>
        <v>9.7210010773585154E-4</v>
      </c>
      <c r="O572" s="8">
        <f>+VLOOKUP($B572,NIFTY_PHARMA!$B$3:$I$1238,8,0)</f>
        <v>1.1130316785939121E-2</v>
      </c>
      <c r="P572" s="8">
        <f>+VLOOKUP($B572,NIFTY_FMCG!$B$3:$I$1238,8,0)</f>
        <v>2.5297438038536235E-3</v>
      </c>
      <c r="Q572" s="8">
        <f>+VLOOKUP($B572,NIFTY_METAL!$B$3:$I$1238,8,0)</f>
        <v>-3.9618872990405674E-3</v>
      </c>
      <c r="R572" s="8">
        <f>+VLOOKUP($B572,NIFTY_ENERGY!$B$3:$I$1238,8,0)</f>
        <v>4.1644976574701786E-3</v>
      </c>
      <c r="S572" s="8">
        <f>+VLOOKUP($B572,NIFTY_AUTO!$B$3:$I$1238,8,0)</f>
        <v>-1.4862887030712812E-2</v>
      </c>
      <c r="T572" s="8">
        <v>0</v>
      </c>
      <c r="U572" s="8">
        <f>+VLOOKUP($B572,NIFTY_50!$B$63:$K$1238,10,0)</f>
        <v>5.9801789842301778E-2</v>
      </c>
      <c r="V572" s="8">
        <f>+VLOOKUP($B572,NIFTY_BANK!$B$63:$K$1238,10,0)</f>
        <v>7.2681458032002544E-2</v>
      </c>
      <c r="W572" s="8">
        <f>+VLOOKUP($B572,NIFTY_IT!$B$63:$K$1238,10,0)</f>
        <v>8.044724847285889E-2</v>
      </c>
      <c r="X572" s="8">
        <f>+VLOOKUP($B572,NIFTY_PHARMA!$B$63:$K$1238,10,0)</f>
        <v>5.579920383239978E-2</v>
      </c>
      <c r="Y572" s="8">
        <f>+VLOOKUP($B572,NIFTY_FMCG!$B$63:$K$1238,10,0)</f>
        <v>-4.1137290380099945E-4</v>
      </c>
      <c r="Z572" s="8">
        <f>+VLOOKUP($B572,NIFTY_METAL!$B$63:$K$1238,10,0)</f>
        <v>5.6011664034159026E-2</v>
      </c>
      <c r="AA572" s="8">
        <f>+VLOOKUP($B572,NIFTY_ENERGY!$B$63:$K$1238,10,0)</f>
        <v>7.0960578199781299E-2</v>
      </c>
      <c r="AB572" s="8">
        <f>+VLOOKUP($B572,NIFTY_AUTO!$B$63:$K$1238,10,0)</f>
        <v>8.9335631084197509E-4</v>
      </c>
      <c r="AC572" s="8"/>
      <c r="AD572" s="16">
        <f t="shared" si="307"/>
        <v>5.229847664927971E-2</v>
      </c>
      <c r="AE572" s="8">
        <f t="shared" si="308"/>
        <v>6.8625795901460146E-2</v>
      </c>
      <c r="AF572" s="8">
        <f t="shared" si="309"/>
        <v>7.1445180428731755E-2</v>
      </c>
      <c r="AG572" s="8">
        <f t="shared" si="310"/>
        <v>7.9978859655710027E-2</v>
      </c>
      <c r="AH572" s="8">
        <f t="shared" si="311"/>
        <v>5.5673814608265371E-2</v>
      </c>
      <c r="AI572" s="8">
        <f t="shared" si="312"/>
        <v>0.10900033517307983</v>
      </c>
      <c r="AJ572" s="8">
        <f t="shared" si="313"/>
        <v>9.0522067738424125E-2</v>
      </c>
      <c r="AK572" s="8">
        <f t="shared" si="314"/>
        <v>9.6431269252232013E-2</v>
      </c>
      <c r="AL572" s="9">
        <v>0</v>
      </c>
      <c r="AM572" s="17">
        <f t="shared" si="291"/>
        <v>19.121015831993123</v>
      </c>
      <c r="AN572" s="13">
        <f t="shared" si="292"/>
        <v>14.571779997071379</v>
      </c>
      <c r="AO572" s="13">
        <f t="shared" si="293"/>
        <v>13.996745392749389</v>
      </c>
      <c r="AP572" s="13">
        <f t="shared" si="294"/>
        <v>12.503304051905243</v>
      </c>
      <c r="AQ572" s="13">
        <f t="shared" si="295"/>
        <v>17.961765455380515</v>
      </c>
      <c r="AR572" s="13">
        <f t="shared" si="296"/>
        <v>9.1742837158446946</v>
      </c>
      <c r="AS572" s="13">
        <f t="shared" si="297"/>
        <v>11.047030022443108</v>
      </c>
      <c r="AT572" s="13">
        <f t="shared" si="298"/>
        <v>10.370080242170554</v>
      </c>
      <c r="AU572" s="9">
        <v>0</v>
      </c>
      <c r="AV572" s="18">
        <f t="shared" si="315"/>
        <v>1</v>
      </c>
      <c r="AW572" s="18">
        <f t="shared" si="316"/>
        <v>3</v>
      </c>
      <c r="AX572" s="18">
        <f t="shared" si="317"/>
        <v>4</v>
      </c>
      <c r="AY572" s="18">
        <f t="shared" si="318"/>
        <v>5</v>
      </c>
      <c r="AZ572" s="18">
        <f t="shared" si="319"/>
        <v>2</v>
      </c>
      <c r="BA572" s="18">
        <f t="shared" si="320"/>
        <v>8</v>
      </c>
      <c r="BB572" s="18">
        <f t="shared" si="321"/>
        <v>6</v>
      </c>
      <c r="BC572" s="18">
        <f t="shared" si="322"/>
        <v>7</v>
      </c>
      <c r="BD572" s="18">
        <f t="shared" si="323"/>
        <v>9</v>
      </c>
      <c r="BE572" s="8">
        <f t="shared" si="325"/>
        <v>-1.2203696959372456E-3</v>
      </c>
    </row>
    <row r="573" spans="1:57" x14ac:dyDescent="0.25">
      <c r="A573" t="str">
        <f t="shared" si="324"/>
        <v/>
      </c>
      <c r="B573" s="1">
        <v>43579</v>
      </c>
      <c r="C573" s="9">
        <f t="shared" si="299"/>
        <v>0.2492147094688047</v>
      </c>
      <c r="D573" s="9">
        <f t="shared" si="300"/>
        <v>0.24244612704364002</v>
      </c>
      <c r="E573" s="9">
        <f t="shared" si="301"/>
        <v>0.2587730808104704</v>
      </c>
      <c r="F573" s="9">
        <f t="shared" si="302"/>
        <v>0</v>
      </c>
      <c r="G573" s="9">
        <f t="shared" si="303"/>
        <v>0.24956608267708491</v>
      </c>
      <c r="H573" s="9">
        <f t="shared" si="304"/>
        <v>0</v>
      </c>
      <c r="I573" s="9">
        <f t="shared" si="305"/>
        <v>0</v>
      </c>
      <c r="J573" s="9">
        <f t="shared" si="306"/>
        <v>0</v>
      </c>
      <c r="K573" s="9">
        <v>0</v>
      </c>
      <c r="L573" s="8">
        <f>+VLOOKUP($B573,NIFTY_50!$B$3:$I$1238,8,0)</f>
        <v>1.2975176983314407E-2</v>
      </c>
      <c r="M573" s="8">
        <f>+VLOOKUP($B573,NIFTY_BANK!$B$3:$I$41238,8,0)</f>
        <v>1.2927539968181412E-2</v>
      </c>
      <c r="N573" s="8">
        <f>+VLOOKUP($B573,NIFTY_IT!$B$3:$I$1238,8,0)</f>
        <v>1.2621935755243952E-2</v>
      </c>
      <c r="O573" s="8">
        <f>+VLOOKUP($B573,NIFTY_PHARMA!$B$3:$I$1238,8,0)</f>
        <v>7.4769938650307566E-3</v>
      </c>
      <c r="P573" s="8">
        <f>+VLOOKUP($B573,NIFTY_FMCG!$B$3:$I$1238,8,0)</f>
        <v>4.4662986287937745E-3</v>
      </c>
      <c r="Q573" s="8">
        <f>+VLOOKUP($B573,NIFTY_METAL!$B$3:$I$1238,8,0)</f>
        <v>1.8902038132806442E-3</v>
      </c>
      <c r="R573" s="8">
        <f>+VLOOKUP($B573,NIFTY_ENERGY!$B$3:$I$1238,8,0)</f>
        <v>1.8428301073657005E-2</v>
      </c>
      <c r="S573" s="8">
        <f>+VLOOKUP($B573,NIFTY_AUTO!$B$3:$I$1238,8,0)</f>
        <v>-4.2439737875594741E-3</v>
      </c>
      <c r="T573" s="8">
        <v>0</v>
      </c>
      <c r="U573" s="8">
        <f>+VLOOKUP($B573,NIFTY_50!$B$63:$K$1238,10,0)</f>
        <v>8.2597054886211385E-2</v>
      </c>
      <c r="V573" s="8">
        <f>+VLOOKUP($B573,NIFTY_BANK!$B$63:$K$1238,10,0)</f>
        <v>9.577901525646082E-2</v>
      </c>
      <c r="W573" s="8">
        <f>+VLOOKUP($B573,NIFTY_IT!$B$63:$K$1238,10,0)</f>
        <v>9.9511376038955657E-2</v>
      </c>
      <c r="X573" s="8">
        <f>+VLOOKUP($B573,NIFTY_PHARMA!$B$63:$K$1238,10,0)</f>
        <v>5.7320426549819947E-2</v>
      </c>
      <c r="Y573" s="8">
        <f>+VLOOKUP($B573,NIFTY_FMCG!$B$63:$K$1238,10,0)</f>
        <v>2.1334449208773032E-2</v>
      </c>
      <c r="Z573" s="8">
        <f>+VLOOKUP($B573,NIFTY_METAL!$B$63:$K$1238,10,0)</f>
        <v>5.2072905519693347E-2</v>
      </c>
      <c r="AA573" s="8">
        <f>+VLOOKUP($B573,NIFTY_ENERGY!$B$63:$K$1238,10,0)</f>
        <v>9.8045091516384186E-2</v>
      </c>
      <c r="AB573" s="8">
        <f>+VLOOKUP($B573,NIFTY_AUTO!$B$63:$K$1238,10,0)</f>
        <v>3.9246422247378732E-3</v>
      </c>
      <c r="AC573" s="8"/>
      <c r="AD573" s="16">
        <f t="shared" si="307"/>
        <v>5.2769729056030397E-2</v>
      </c>
      <c r="AE573" s="8">
        <f t="shared" si="308"/>
        <v>6.8901393586925763E-2</v>
      </c>
      <c r="AF573" s="8">
        <f t="shared" si="309"/>
        <v>7.2029693723227733E-2</v>
      </c>
      <c r="AG573" s="8">
        <f t="shared" si="310"/>
        <v>8.0083856050965796E-2</v>
      </c>
      <c r="AH573" s="8">
        <f t="shared" si="311"/>
        <v>5.315001464651211E-2</v>
      </c>
      <c r="AI573" s="8">
        <f t="shared" si="312"/>
        <v>0.10890376086332958</v>
      </c>
      <c r="AJ573" s="8">
        <f t="shared" si="313"/>
        <v>9.1754293410909279E-2</v>
      </c>
      <c r="AK573" s="8">
        <f t="shared" si="314"/>
        <v>9.6248296168636768E-2</v>
      </c>
      <c r="AL573" s="9">
        <v>0</v>
      </c>
      <c r="AM573" s="17">
        <f t="shared" si="291"/>
        <v>18.950258375179633</v>
      </c>
      <c r="AN573" s="13">
        <f t="shared" si="292"/>
        <v>14.513494545482645</v>
      </c>
      <c r="AO573" s="13">
        <f t="shared" si="293"/>
        <v>13.883163294327955</v>
      </c>
      <c r="AP573" s="13">
        <f t="shared" si="294"/>
        <v>12.486911211712815</v>
      </c>
      <c r="AQ573" s="13">
        <f t="shared" si="295"/>
        <v>18.814670262101679</v>
      </c>
      <c r="AR573" s="13">
        <f t="shared" si="296"/>
        <v>9.1824193404575354</v>
      </c>
      <c r="AS573" s="13">
        <f t="shared" si="297"/>
        <v>10.898672561529457</v>
      </c>
      <c r="AT573" s="13">
        <f t="shared" si="298"/>
        <v>10.389794311245767</v>
      </c>
      <c r="AU573" s="9">
        <v>0</v>
      </c>
      <c r="AV573" s="18">
        <f t="shared" si="315"/>
        <v>1</v>
      </c>
      <c r="AW573" s="18">
        <f t="shared" si="316"/>
        <v>3</v>
      </c>
      <c r="AX573" s="18">
        <f t="shared" si="317"/>
        <v>4</v>
      </c>
      <c r="AY573" s="18">
        <f t="shared" si="318"/>
        <v>5</v>
      </c>
      <c r="AZ573" s="18">
        <f t="shared" si="319"/>
        <v>2</v>
      </c>
      <c r="BA573" s="18">
        <f t="shared" si="320"/>
        <v>8</v>
      </c>
      <c r="BB573" s="18">
        <f t="shared" si="321"/>
        <v>6</v>
      </c>
      <c r="BC573" s="18">
        <f t="shared" si="322"/>
        <v>7</v>
      </c>
      <c r="BD573" s="18">
        <f t="shared" si="323"/>
        <v>9</v>
      </c>
      <c r="BE573" s="8">
        <f t="shared" si="325"/>
        <v>1.0735632176474668E-2</v>
      </c>
    </row>
    <row r="574" spans="1:57" x14ac:dyDescent="0.25">
      <c r="A574" t="str">
        <f t="shared" si="324"/>
        <v/>
      </c>
      <c r="B574" s="1">
        <v>43580</v>
      </c>
      <c r="C574" s="9">
        <f t="shared" si="299"/>
        <v>0.24907070735017442</v>
      </c>
      <c r="D574" s="9">
        <f t="shared" si="300"/>
        <v>0.24161415214335505</v>
      </c>
      <c r="E574" s="9">
        <f t="shared" si="301"/>
        <v>0.26021812902693031</v>
      </c>
      <c r="F574" s="9">
        <f t="shared" si="302"/>
        <v>0</v>
      </c>
      <c r="G574" s="9">
        <f t="shared" si="303"/>
        <v>0.24909701147954025</v>
      </c>
      <c r="H574" s="9">
        <f t="shared" si="304"/>
        <v>0</v>
      </c>
      <c r="I574" s="9">
        <f t="shared" si="305"/>
        <v>0</v>
      </c>
      <c r="J574" s="9">
        <f t="shared" si="306"/>
        <v>0</v>
      </c>
      <c r="K574" s="9">
        <v>0</v>
      </c>
      <c r="L574" s="8">
        <f>+VLOOKUP($B574,NIFTY_50!$B$3:$I$1238,8,0)</f>
        <v>-7.1933243221347087E-3</v>
      </c>
      <c r="M574" s="8">
        <f>+VLOOKUP($B574,NIFTY_BANK!$B$3:$I$41238,8,0)</f>
        <v>-1.0028197503081038E-2</v>
      </c>
      <c r="N574" s="8">
        <f>+VLOOKUP($B574,NIFTY_IT!$B$3:$I$1238,8,0)</f>
        <v>-1.0720601575410216E-3</v>
      </c>
      <c r="O574" s="8">
        <f>+VLOOKUP($B574,NIFTY_PHARMA!$B$3:$I$1238,8,0)</f>
        <v>-1.739084469817187E-3</v>
      </c>
      <c r="P574" s="8">
        <f>+VLOOKUP($B574,NIFTY_FMCG!$B$3:$I$1238,8,0)</f>
        <v>-8.4864313405427216E-3</v>
      </c>
      <c r="Q574" s="8">
        <f>+VLOOKUP($B574,NIFTY_METAL!$B$3:$I$1238,8,0)</f>
        <v>-1.858748256910836E-2</v>
      </c>
      <c r="R574" s="8">
        <f>+VLOOKUP($B574,NIFTY_ENERGY!$B$3:$I$1238,8,0)</f>
        <v>-3.8146052772795036E-3</v>
      </c>
      <c r="S574" s="8">
        <f>+VLOOKUP($B574,NIFTY_AUTO!$B$3:$I$1238,8,0)</f>
        <v>-6.7256145870079331E-3</v>
      </c>
      <c r="T574" s="8">
        <v>0</v>
      </c>
      <c r="U574" s="8">
        <f>+VLOOKUP($B574,NIFTY_50!$B$63:$K$1238,10,0)</f>
        <v>7.2996737267046363E-2</v>
      </c>
      <c r="V574" s="8">
        <f>+VLOOKUP($B574,NIFTY_BANK!$B$63:$K$1238,10,0)</f>
        <v>8.4167693571575164E-2</v>
      </c>
      <c r="W574" s="8">
        <f>+VLOOKUP($B574,NIFTY_IT!$B$63:$K$1238,10,0)</f>
        <v>9.2232782746344721E-2</v>
      </c>
      <c r="X574" s="8">
        <f>+VLOOKUP($B574,NIFTY_PHARMA!$B$63:$K$1238,10,0)</f>
        <v>6.1616729439541107E-2</v>
      </c>
      <c r="Y574" s="8">
        <f>+VLOOKUP($B574,NIFTY_FMCG!$B$63:$K$1238,10,0)</f>
        <v>1.1138022588995211E-2</v>
      </c>
      <c r="Z574" s="8">
        <f>+VLOOKUP($B574,NIFTY_METAL!$B$63:$K$1238,10,0)</f>
        <v>3.3730775876965602E-2</v>
      </c>
      <c r="AA574" s="8">
        <f>+VLOOKUP($B574,NIFTY_ENERGY!$B$63:$K$1238,10,0)</f>
        <v>8.3596835307930384E-2</v>
      </c>
      <c r="AB574" s="8">
        <f>+VLOOKUP($B574,NIFTY_AUTO!$B$63:$K$1238,10,0)</f>
        <v>5.9328238015754486E-3</v>
      </c>
      <c r="AC574" s="8"/>
      <c r="AD574" s="16">
        <f t="shared" si="307"/>
        <v>5.3439440014491232E-2</v>
      </c>
      <c r="AE574" s="8">
        <f t="shared" si="308"/>
        <v>6.9845806281923661E-2</v>
      </c>
      <c r="AF574" s="8">
        <f t="shared" si="309"/>
        <v>7.1963855284610814E-2</v>
      </c>
      <c r="AG574" s="8">
        <f t="shared" si="310"/>
        <v>7.9843415900901216E-2</v>
      </c>
      <c r="AH574" s="8">
        <f t="shared" si="311"/>
        <v>5.3855392852750254E-2</v>
      </c>
      <c r="AI574" s="8">
        <f t="shared" si="312"/>
        <v>0.11059635781514837</v>
      </c>
      <c r="AJ574" s="8">
        <f t="shared" si="313"/>
        <v>9.1561220021941045E-2</v>
      </c>
      <c r="AK574" s="8">
        <f t="shared" si="314"/>
        <v>9.6085946919149484E-2</v>
      </c>
      <c r="AL574" s="9">
        <v>0</v>
      </c>
      <c r="AM574" s="17">
        <f t="shared" si="291"/>
        <v>18.71277093713611</v>
      </c>
      <c r="AN574" s="13">
        <f t="shared" si="292"/>
        <v>14.317251861387753</v>
      </c>
      <c r="AO574" s="13">
        <f t="shared" si="293"/>
        <v>13.895864751062691</v>
      </c>
      <c r="AP574" s="13">
        <f t="shared" si="294"/>
        <v>12.524514247250696</v>
      </c>
      <c r="AQ574" s="13">
        <f t="shared" si="295"/>
        <v>18.568242603561895</v>
      </c>
      <c r="AR574" s="13">
        <f t="shared" si="296"/>
        <v>9.0418890798502414</v>
      </c>
      <c r="AS574" s="13">
        <f t="shared" si="297"/>
        <v>10.921654383377236</v>
      </c>
      <c r="AT574" s="13">
        <f t="shared" si="298"/>
        <v>10.40734917085679</v>
      </c>
      <c r="AU574" s="9">
        <v>0</v>
      </c>
      <c r="AV574" s="18">
        <f t="shared" si="315"/>
        <v>1</v>
      </c>
      <c r="AW574" s="18">
        <f t="shared" si="316"/>
        <v>3</v>
      </c>
      <c r="AX574" s="18">
        <f t="shared" si="317"/>
        <v>4</v>
      </c>
      <c r="AY574" s="18">
        <f t="shared" si="318"/>
        <v>5</v>
      </c>
      <c r="AZ574" s="18">
        <f t="shared" si="319"/>
        <v>2</v>
      </c>
      <c r="BA574" s="18">
        <f t="shared" si="320"/>
        <v>8</v>
      </c>
      <c r="BB574" s="18">
        <f t="shared" si="321"/>
        <v>6</v>
      </c>
      <c r="BC574" s="18">
        <f t="shared" si="322"/>
        <v>7</v>
      </c>
      <c r="BD574" s="18">
        <f t="shared" si="323"/>
        <v>9</v>
      </c>
      <c r="BE574" s="8">
        <f t="shared" si="325"/>
        <v>-6.6193256122547249E-3</v>
      </c>
    </row>
    <row r="575" spans="1:57" x14ac:dyDescent="0.25">
      <c r="A575" t="str">
        <f t="shared" si="324"/>
        <v/>
      </c>
      <c r="B575" s="1">
        <v>43581</v>
      </c>
      <c r="C575" s="9">
        <f t="shared" si="299"/>
        <v>0.24921900168404423</v>
      </c>
      <c r="D575" s="9">
        <f t="shared" si="300"/>
        <v>0.24309928315359777</v>
      </c>
      <c r="E575" s="9">
        <f t="shared" si="301"/>
        <v>0.2602647853438092</v>
      </c>
      <c r="F575" s="9">
        <f t="shared" si="302"/>
        <v>0</v>
      </c>
      <c r="G575" s="9">
        <f t="shared" si="303"/>
        <v>0.24741692981854874</v>
      </c>
      <c r="H575" s="9">
        <f t="shared" si="304"/>
        <v>0</v>
      </c>
      <c r="I575" s="9">
        <f t="shared" si="305"/>
        <v>0</v>
      </c>
      <c r="J575" s="9">
        <f t="shared" si="306"/>
        <v>0</v>
      </c>
      <c r="K575" s="9">
        <v>0</v>
      </c>
      <c r="L575" s="8">
        <f>+VLOOKUP($B575,NIFTY_50!$B$3:$I$1238,8,0)</f>
        <v>9.6935181844732821E-3</v>
      </c>
      <c r="M575" s="8">
        <f>+VLOOKUP($B575,NIFTY_BANK!$B$3:$I$41238,8,0)</f>
        <v>1.5295309584981709E-2</v>
      </c>
      <c r="N575" s="8">
        <f>+VLOOKUP($B575,NIFTY_IT!$B$3:$I$1238,8,0)</f>
        <v>9.2736412112910394E-3</v>
      </c>
      <c r="O575" s="8">
        <f>+VLOOKUP($B575,NIFTY_PHARMA!$B$3:$I$1238,8,0)</f>
        <v>2.0280538625689903E-3</v>
      </c>
      <c r="P575" s="8">
        <f>+VLOOKUP($B575,NIFTY_FMCG!$B$3:$I$1238,8,0)</f>
        <v>2.2866982974059091E-3</v>
      </c>
      <c r="Q575" s="8">
        <f>+VLOOKUP($B575,NIFTY_METAL!$B$3:$I$1238,8,0)</f>
        <v>1.8571762896593347E-2</v>
      </c>
      <c r="R575" s="8">
        <f>+VLOOKUP($B575,NIFTY_ENERGY!$B$3:$I$1238,8,0)</f>
        <v>1.157074654247392E-2</v>
      </c>
      <c r="S575" s="8">
        <f>+VLOOKUP($B575,NIFTY_AUTO!$B$3:$I$1238,8,0)</f>
        <v>-1.0957277099174489E-2</v>
      </c>
      <c r="T575" s="8">
        <v>0</v>
      </c>
      <c r="U575" s="8">
        <f>+VLOOKUP($B575,NIFTY_50!$B$63:$K$1238,10,0)</f>
        <v>9.0357171016321125E-2</v>
      </c>
      <c r="V575" s="8">
        <f>+VLOOKUP($B575,NIFTY_BANK!$B$63:$K$1238,10,0)</f>
        <v>0.10688430517088143</v>
      </c>
      <c r="W575" s="8">
        <f>+VLOOKUP($B575,NIFTY_IT!$B$63:$K$1238,10,0)</f>
        <v>9.7421422539613056E-2</v>
      </c>
      <c r="X575" s="8">
        <f>+VLOOKUP($B575,NIFTY_PHARMA!$B$63:$K$1238,10,0)</f>
        <v>6.4188505230007964E-2</v>
      </c>
      <c r="Y575" s="8">
        <f>+VLOOKUP($B575,NIFTY_FMCG!$B$63:$K$1238,10,0)</f>
        <v>1.6791340785388575E-2</v>
      </c>
      <c r="Z575" s="8">
        <f>+VLOOKUP($B575,NIFTY_METAL!$B$63:$K$1238,10,0)</f>
        <v>6.6175569981277604E-2</v>
      </c>
      <c r="AA575" s="8">
        <f>+VLOOKUP($B575,NIFTY_ENERGY!$B$63:$K$1238,10,0)</f>
        <v>9.7624924432450078E-2</v>
      </c>
      <c r="AB575" s="8">
        <f>+VLOOKUP($B575,NIFTY_AUTO!$B$63:$K$1238,10,0)</f>
        <v>2.8329983776846923E-2</v>
      </c>
      <c r="AC575" s="8"/>
      <c r="AD575" s="16">
        <f t="shared" si="307"/>
        <v>5.354301823314328E-2</v>
      </c>
      <c r="AE575" s="8">
        <f t="shared" si="308"/>
        <v>7.0835354552752042E-2</v>
      </c>
      <c r="AF575" s="8">
        <f t="shared" si="309"/>
        <v>7.2318326201039437E-2</v>
      </c>
      <c r="AG575" s="8">
        <f t="shared" si="310"/>
        <v>7.983626442219359E-2</v>
      </c>
      <c r="AH575" s="8">
        <f t="shared" si="311"/>
        <v>5.3777656865106702E-2</v>
      </c>
      <c r="AI575" s="8">
        <f t="shared" si="312"/>
        <v>0.11120436782619314</v>
      </c>
      <c r="AJ575" s="8">
        <f t="shared" si="313"/>
        <v>9.2070243530764304E-2</v>
      </c>
      <c r="AK575" s="8">
        <f t="shared" si="314"/>
        <v>9.1001926418094653E-2</v>
      </c>
      <c r="AL575" s="9">
        <v>0</v>
      </c>
      <c r="AM575" s="17">
        <f t="shared" si="291"/>
        <v>18.676571343917949</v>
      </c>
      <c r="AN575" s="13">
        <f t="shared" si="292"/>
        <v>14.117244225202354</v>
      </c>
      <c r="AO575" s="13">
        <f t="shared" si="293"/>
        <v>13.827753662606574</v>
      </c>
      <c r="AP575" s="13">
        <f t="shared" si="294"/>
        <v>12.525636153412147</v>
      </c>
      <c r="AQ575" s="13">
        <f t="shared" si="295"/>
        <v>18.595083131054817</v>
      </c>
      <c r="AR575" s="13">
        <f t="shared" si="296"/>
        <v>8.9924525407396754</v>
      </c>
      <c r="AS575" s="13">
        <f t="shared" si="297"/>
        <v>10.86127245515388</v>
      </c>
      <c r="AT575" s="13">
        <f t="shared" si="298"/>
        <v>10.98877836284092</v>
      </c>
      <c r="AU575" s="9">
        <v>0</v>
      </c>
      <c r="AV575" s="18">
        <f t="shared" si="315"/>
        <v>1</v>
      </c>
      <c r="AW575" s="18">
        <f t="shared" si="316"/>
        <v>3</v>
      </c>
      <c r="AX575" s="18">
        <f t="shared" si="317"/>
        <v>4</v>
      </c>
      <c r="AY575" s="18">
        <f t="shared" si="318"/>
        <v>5</v>
      </c>
      <c r="AZ575" s="18">
        <f t="shared" si="319"/>
        <v>2</v>
      </c>
      <c r="BA575" s="18">
        <f t="shared" si="320"/>
        <v>8</v>
      </c>
      <c r="BB575" s="18">
        <f t="shared" si="321"/>
        <v>7</v>
      </c>
      <c r="BC575" s="18">
        <f t="shared" si="322"/>
        <v>6</v>
      </c>
      <c r="BD575" s="18">
        <f t="shared" si="323"/>
        <v>9</v>
      </c>
      <c r="BE575" s="8">
        <f t="shared" si="325"/>
        <v>9.0927139653723815E-3</v>
      </c>
    </row>
    <row r="576" spans="1:57" x14ac:dyDescent="0.25">
      <c r="A576" t="str">
        <f t="shared" si="324"/>
        <v>Y</v>
      </c>
      <c r="B576" s="1">
        <v>43585</v>
      </c>
      <c r="C576" s="9">
        <f t="shared" si="299"/>
        <v>0.25</v>
      </c>
      <c r="D576" s="9">
        <f t="shared" si="300"/>
        <v>0.25</v>
      </c>
      <c r="E576" s="9">
        <f t="shared" si="301"/>
        <v>0.25</v>
      </c>
      <c r="F576" s="9">
        <f t="shared" si="302"/>
        <v>0</v>
      </c>
      <c r="G576" s="9">
        <f t="shared" si="303"/>
        <v>0.25</v>
      </c>
      <c r="H576" s="9">
        <f t="shared" si="304"/>
        <v>0</v>
      </c>
      <c r="I576" s="9">
        <f t="shared" si="305"/>
        <v>0</v>
      </c>
      <c r="J576" s="9">
        <f t="shared" si="306"/>
        <v>0</v>
      </c>
      <c r="K576" s="9">
        <v>0</v>
      </c>
      <c r="L576" s="8">
        <f>+VLOOKUP($B576,NIFTY_50!$B$3:$I$1238,8,0)</f>
        <v>-5.5297265337550527E-4</v>
      </c>
      <c r="M576" s="8">
        <f>+VLOOKUP($B576,NIFTY_BANK!$B$3:$I$41238,8,0)</f>
        <v>-8.2862711779699838E-3</v>
      </c>
      <c r="N576" s="8">
        <f>+VLOOKUP($B576,NIFTY_IT!$B$3:$I$1238,8,0)</f>
        <v>1.2175504182205366E-2</v>
      </c>
      <c r="O576" s="8">
        <f>+VLOOKUP($B576,NIFTY_PHARMA!$B$3:$I$1238,8,0)</f>
        <v>-6.2568037456272041E-3</v>
      </c>
      <c r="P576" s="8">
        <f>+VLOOKUP($B576,NIFTY_FMCG!$B$3:$I$1238,8,0)</f>
        <v>-3.4115453791381256E-3</v>
      </c>
      <c r="Q576" s="8">
        <f>+VLOOKUP($B576,NIFTY_METAL!$B$3:$I$1238,8,0)</f>
        <v>1.3933336615626901E-2</v>
      </c>
      <c r="R576" s="8">
        <f>+VLOOKUP($B576,NIFTY_ENERGY!$B$3:$I$1238,8,0)</f>
        <v>4.1688220795423891E-3</v>
      </c>
      <c r="S576" s="8">
        <f>+VLOOKUP($B576,NIFTY_AUTO!$B$3:$I$1238,8,0)</f>
        <v>-1.6859356236313405E-2</v>
      </c>
      <c r="T576" s="8">
        <v>0</v>
      </c>
      <c r="U576" s="8">
        <f>+VLOOKUP($B576,NIFTY_50!$B$63:$K$1238,10,0)</f>
        <v>0.10191763861727421</v>
      </c>
      <c r="V576" s="8">
        <f>+VLOOKUP($B576,NIFTY_BANK!$B$63:$K$1238,10,0)</f>
        <v>0.11675024059160211</v>
      </c>
      <c r="W576" s="8">
        <f>+VLOOKUP($B576,NIFTY_IT!$B$63:$K$1238,10,0)</f>
        <v>0.10484353660512635</v>
      </c>
      <c r="X576" s="8">
        <f>+VLOOKUP($B576,NIFTY_PHARMA!$B$63:$K$1238,10,0)</f>
        <v>8.5250291439190162E-2</v>
      </c>
      <c r="Y576" s="8">
        <f>+VLOOKUP($B576,NIFTY_FMCG!$B$63:$K$1238,10,0)</f>
        <v>2.6089485905048448E-2</v>
      </c>
      <c r="Z576" s="8">
        <f>+VLOOKUP($B576,NIFTY_METAL!$B$63:$K$1238,10,0)</f>
        <v>9.2655147409935745E-2</v>
      </c>
      <c r="AA576" s="8">
        <f>+VLOOKUP($B576,NIFTY_ENERGY!$B$63:$K$1238,10,0)</f>
        <v>0.11335656762291624</v>
      </c>
      <c r="AB576" s="8">
        <f>+VLOOKUP($B576,NIFTY_AUTO!$B$63:$K$1238,10,0)</f>
        <v>2.5494289573867235E-2</v>
      </c>
      <c r="AC576" s="8"/>
      <c r="AD576" s="16">
        <f t="shared" si="307"/>
        <v>5.2088960143444468E-2</v>
      </c>
      <c r="AE576" s="8">
        <f t="shared" si="308"/>
        <v>6.9025487129798432E-2</v>
      </c>
      <c r="AF576" s="8">
        <f t="shared" si="309"/>
        <v>7.2987685143015318E-2</v>
      </c>
      <c r="AG576" s="8">
        <f t="shared" si="310"/>
        <v>7.5584829394729366E-2</v>
      </c>
      <c r="AH576" s="8">
        <f t="shared" si="311"/>
        <v>5.2365693684645963E-2</v>
      </c>
      <c r="AI576" s="8">
        <f t="shared" si="312"/>
        <v>0.11126923464461663</v>
      </c>
      <c r="AJ576" s="8">
        <f t="shared" si="313"/>
        <v>9.1352470418608347E-2</v>
      </c>
      <c r="AK576" s="8">
        <f t="shared" si="314"/>
        <v>9.1478769613287089E-2</v>
      </c>
      <c r="AL576" s="9">
        <v>0</v>
      </c>
      <c r="AM576" s="17">
        <f t="shared" ref="AM576:AM639" si="326">1/AD576</f>
        <v>19.19792595678938</v>
      </c>
      <c r="AN576" s="13">
        <f t="shared" ref="AN576:AN639" si="327">1/AE576</f>
        <v>14.487402285471132</v>
      </c>
      <c r="AO576" s="13">
        <f t="shared" ref="AO576:AO639" si="328">1/AF576</f>
        <v>13.700941440197145</v>
      </c>
      <c r="AP576" s="13">
        <f t="shared" ref="AP576:AP639" si="329">1/AG576</f>
        <v>13.230168117171557</v>
      </c>
      <c r="AQ576" s="13">
        <f t="shared" ref="AQ576:AQ639" si="330">1/AH576</f>
        <v>19.096471938711431</v>
      </c>
      <c r="AR576" s="13">
        <f t="shared" ref="AR576:AR639" si="331">1/AI576</f>
        <v>8.9872101951083341</v>
      </c>
      <c r="AS576" s="13">
        <f t="shared" ref="AS576:AS639" si="332">1/AJ576</f>
        <v>10.94661146455763</v>
      </c>
      <c r="AT576" s="13">
        <f t="shared" ref="AT576:AT639" si="333">1/AK576</f>
        <v>10.931498141343084</v>
      </c>
      <c r="AU576" s="9">
        <v>0</v>
      </c>
      <c r="AV576" s="18">
        <f t="shared" si="315"/>
        <v>1</v>
      </c>
      <c r="AW576" s="18">
        <f t="shared" si="316"/>
        <v>3</v>
      </c>
      <c r="AX576" s="18">
        <f t="shared" si="317"/>
        <v>4</v>
      </c>
      <c r="AY576" s="18">
        <f t="shared" si="318"/>
        <v>5</v>
      </c>
      <c r="AZ576" s="18">
        <f t="shared" si="319"/>
        <v>2</v>
      </c>
      <c r="BA576" s="18">
        <f t="shared" si="320"/>
        <v>8</v>
      </c>
      <c r="BB576" s="18">
        <f t="shared" si="321"/>
        <v>6</v>
      </c>
      <c r="BC576" s="18">
        <f t="shared" si="322"/>
        <v>7</v>
      </c>
      <c r="BD576" s="18">
        <f t="shared" si="323"/>
        <v>9</v>
      </c>
      <c r="BE576" s="8">
        <f t="shared" si="325"/>
        <v>1.7258302277767658E-4</v>
      </c>
    </row>
    <row r="577" spans="1:57" x14ac:dyDescent="0.25">
      <c r="A577" t="str">
        <f t="shared" si="324"/>
        <v/>
      </c>
      <c r="B577" s="1">
        <v>43587</v>
      </c>
      <c r="C577" s="9">
        <f t="shared" ref="C577:C640" si="334">+IF($A577="Y",IF(AV577&lt;=4,0.25,0),C576*(1+L577)/SUMPRODUCT($C576:$J576,1+$L577:$S577))</f>
        <v>0.25138982135981314</v>
      </c>
      <c r="D577" s="9">
        <f t="shared" ref="D577:D640" si="335">+IF($A577="Y",IF(AW577&lt;=4,0.25,0),D576*(1+M577)/SUMPRODUCT($C576:$J576,1+$L577:$S577))</f>
        <v>0.2514159341100366</v>
      </c>
      <c r="E577" s="9">
        <f t="shared" ref="E577:E640" si="336">+IF($A577="Y",IF(AX577&lt;=4,0.25,0),E576*(1+N577)/SUMPRODUCT($C576:$J576,1+$L577:$S577))</f>
        <v>0.24734237129144826</v>
      </c>
      <c r="F577" s="9">
        <f t="shared" ref="F577:F640" si="337">+IF($A577="Y",IF(AY577&lt;=4,0.25,0),F576*(1+O577)/SUMPRODUCT($C576:$J576,1+$L577:$S577))</f>
        <v>0</v>
      </c>
      <c r="G577" s="9">
        <f t="shared" ref="G577:G640" si="338">+IF($A577="Y",IF(AZ577&lt;=4,0.25,0),G576*(1+P577)/SUMPRODUCT($C576:$J576,1+$L577:$S577))</f>
        <v>0.24985187323870203</v>
      </c>
      <c r="H577" s="9">
        <f t="shared" ref="H577:H640" si="339">+IF($A577="Y",IF(BA577&lt;=4,0.25,0),H576*(1+Q577)/SUMPRODUCT($C576:$J576,1+$L577:$S577))</f>
        <v>0</v>
      </c>
      <c r="I577" s="9">
        <f t="shared" ref="I577:I640" si="340">+IF($A577="Y",IF(BB577&lt;=4,0.25,0),I576*(1+R577)/SUMPRODUCT($C576:$J576,1+$L577:$S577))</f>
        <v>0</v>
      </c>
      <c r="J577" s="9">
        <f t="shared" ref="J577:J640" si="341">+IF($A577="Y",IF(BC577&lt;=4,0.25,0),J576*(1+S577)/SUMPRODUCT($C576:$J576,1+$L577:$S577))</f>
        <v>0</v>
      </c>
      <c r="K577" s="9">
        <v>0</v>
      </c>
      <c r="L577" s="8">
        <f>+VLOOKUP($B577,NIFTY_50!$B$3:$I$1238,8,0)</f>
        <v>-1.9918029647221225E-3</v>
      </c>
      <c r="M577" s="8">
        <f>+VLOOKUP($B577,NIFTY_BANK!$B$3:$I$41238,8,0)</f>
        <v>-1.8881363220986103E-3</v>
      </c>
      <c r="N577" s="8">
        <f>+VLOOKUP($B577,NIFTY_IT!$B$3:$I$1238,8,0)</f>
        <v>-1.8060028493780522E-2</v>
      </c>
      <c r="O577" s="8">
        <f>+VLOOKUP($B577,NIFTY_PHARMA!$B$3:$I$1238,8,0)</f>
        <v>-1.1826641850571695E-2</v>
      </c>
      <c r="P577" s="8">
        <f>+VLOOKUP($B577,NIFTY_FMCG!$B$3:$I$1238,8,0)</f>
        <v>-8.0973995365380969E-3</v>
      </c>
      <c r="Q577" s="8">
        <f>+VLOOKUP($B577,NIFTY_METAL!$B$3:$I$1238,8,0)</f>
        <v>-1.1653879770806563E-3</v>
      </c>
      <c r="R577" s="8">
        <f>+VLOOKUP($B577,NIFTY_ENERGY!$B$3:$I$1238,8,0)</f>
        <v>-5.7575757575811792E-5</v>
      </c>
      <c r="S577" s="8">
        <f>+VLOOKUP($B577,NIFTY_AUTO!$B$3:$I$1238,8,0)</f>
        <v>-2.0058438914568599E-3</v>
      </c>
      <c r="T577" s="8">
        <v>0</v>
      </c>
      <c r="U577" s="8">
        <f>+VLOOKUP($B577,NIFTY_50!$B$63:$K$1238,10,0)</f>
        <v>0.10068812076378575</v>
      </c>
      <c r="V577" s="8">
        <f>+VLOOKUP($B577,NIFTY_BANK!$B$63:$K$1238,10,0)</f>
        <v>0.11798264429843375</v>
      </c>
      <c r="W577" s="8">
        <f>+VLOOKUP($B577,NIFTY_IT!$B$63:$K$1238,10,0)</f>
        <v>7.6973075180713391E-2</v>
      </c>
      <c r="X577" s="8">
        <f>+VLOOKUP($B577,NIFTY_PHARMA!$B$63:$K$1238,10,0)</f>
        <v>6.1026162226358593E-2</v>
      </c>
      <c r="Y577" s="8">
        <f>+VLOOKUP($B577,NIFTY_FMCG!$B$63:$K$1238,10,0)</f>
        <v>1.1168087530116999E-2</v>
      </c>
      <c r="Z577" s="8">
        <f>+VLOOKUP($B577,NIFTY_METAL!$B$63:$K$1238,10,0)</f>
        <v>9.0918733537221463E-2</v>
      </c>
      <c r="AA577" s="8">
        <f>+VLOOKUP($B577,NIFTY_ENERGY!$B$63:$K$1238,10,0)</f>
        <v>0.12771607258808637</v>
      </c>
      <c r="AB577" s="8">
        <f>+VLOOKUP($B577,NIFTY_AUTO!$B$63:$K$1238,10,0)</f>
        <v>2.6279331810429296E-2</v>
      </c>
      <c r="AC577" s="8"/>
      <c r="AD577" s="16">
        <f t="shared" ref="AD577:AD640" si="342">+_xlfn.STDEV.S(L517:L577)*SQRT(60)</f>
        <v>5.2153976599527398E-2</v>
      </c>
      <c r="AE577" s="8">
        <f t="shared" ref="AE577:AE640" si="343">+_xlfn.STDEV.S(M517:M577)*SQRT(60)</f>
        <v>6.8956941927472801E-2</v>
      </c>
      <c r="AF577" s="8">
        <f t="shared" ref="AF577:AF640" si="344">+_xlfn.STDEV.S(N517:N577)*SQRT(60)</f>
        <v>7.5326577779841822E-2</v>
      </c>
      <c r="AG577" s="8">
        <f t="shared" ref="AG577:AG640" si="345">+_xlfn.STDEV.S(O517:O577)*SQRT(60)</f>
        <v>7.6105493765172991E-2</v>
      </c>
      <c r="AH577" s="8">
        <f t="shared" ref="AH577:AH640" si="346">+_xlfn.STDEV.S(P517:P577)*SQRT(60)</f>
        <v>5.2673284813592902E-2</v>
      </c>
      <c r="AI577" s="8">
        <f t="shared" ref="AI577:AI640" si="347">+_xlfn.STDEV.S(Q517:Q577)*SQRT(60)</f>
        <v>0.111296559254059</v>
      </c>
      <c r="AJ577" s="8">
        <f t="shared" ref="AJ577:AJ640" si="348">+_xlfn.STDEV.S(R517:R577)*SQRT(60)</f>
        <v>9.0179977460802627E-2</v>
      </c>
      <c r="AK577" s="8">
        <f t="shared" ref="AK577:AK640" si="349">+_xlfn.STDEV.S(S517:S577)*SQRT(60)</f>
        <v>9.1454772725470146E-2</v>
      </c>
      <c r="AL577" s="9">
        <v>0</v>
      </c>
      <c r="AM577" s="17">
        <f t="shared" si="326"/>
        <v>19.173993340501319</v>
      </c>
      <c r="AN577" s="13">
        <f t="shared" si="327"/>
        <v>14.501803183960437</v>
      </c>
      <c r="AO577" s="13">
        <f t="shared" si="328"/>
        <v>13.275526772538582</v>
      </c>
      <c r="AP577" s="13">
        <f t="shared" si="329"/>
        <v>13.139655897714114</v>
      </c>
      <c r="AQ577" s="13">
        <f t="shared" si="330"/>
        <v>18.984956103249125</v>
      </c>
      <c r="AR577" s="13">
        <f t="shared" si="331"/>
        <v>8.9850037296955332</v>
      </c>
      <c r="AS577" s="13">
        <f t="shared" si="332"/>
        <v>11.088936016142355</v>
      </c>
      <c r="AT577" s="13">
        <f t="shared" si="333"/>
        <v>10.934366465507601</v>
      </c>
      <c r="AU577" s="9">
        <v>0</v>
      </c>
      <c r="AV577" s="18">
        <f t="shared" ref="AV577:AV640" si="350">+RANK(AM577,$AM577:$AU577)</f>
        <v>1</v>
      </c>
      <c r="AW577" s="18">
        <f t="shared" ref="AW577:AW640" si="351">+RANK(AN577,$AM577:$AU577)</f>
        <v>3</v>
      </c>
      <c r="AX577" s="18">
        <f t="shared" ref="AX577:AX640" si="352">+RANK(AO577,$AM577:$AU577)</f>
        <v>4</v>
      </c>
      <c r="AY577" s="18">
        <f t="shared" ref="AY577:AY640" si="353">+RANK(AP577,$AM577:$AU577)</f>
        <v>5</v>
      </c>
      <c r="AZ577" s="18">
        <f t="shared" ref="AZ577:AZ640" si="354">+RANK(AQ577,$AM577:$AU577)</f>
        <v>2</v>
      </c>
      <c r="BA577" s="18">
        <f t="shared" ref="BA577:BA640" si="355">+RANK(AR577,$AM577:$AU577)</f>
        <v>8</v>
      </c>
      <c r="BB577" s="18">
        <f t="shared" ref="BB577:BB640" si="356">+RANK(AS577,$AM577:$AU577)</f>
        <v>6</v>
      </c>
      <c r="BC577" s="18">
        <f t="shared" ref="BC577:BC640" si="357">+RANK(AT577,$AM577:$AU577)</f>
        <v>7</v>
      </c>
      <c r="BD577" s="18">
        <f t="shared" ref="BD577:BD640" si="358">+RANK(AU577,$AM577:$AU577)</f>
        <v>9</v>
      </c>
      <c r="BE577" s="8">
        <f t="shared" si="325"/>
        <v>-7.509341829284838E-3</v>
      </c>
    </row>
    <row r="578" spans="1:57" x14ac:dyDescent="0.25">
      <c r="A578" t="str">
        <f t="shared" si="324"/>
        <v/>
      </c>
      <c r="B578" s="1">
        <v>43588</v>
      </c>
      <c r="C578" s="9">
        <f t="shared" si="334"/>
        <v>0.25256255156697244</v>
      </c>
      <c r="D578" s="9">
        <f t="shared" si="335"/>
        <v>0.25494830974655042</v>
      </c>
      <c r="E578" s="9">
        <f t="shared" si="336"/>
        <v>0.24404891907775011</v>
      </c>
      <c r="F578" s="9">
        <f t="shared" si="337"/>
        <v>0</v>
      </c>
      <c r="G578" s="9">
        <f t="shared" si="338"/>
        <v>0.24844021960872709</v>
      </c>
      <c r="H578" s="9">
        <f t="shared" si="339"/>
        <v>0</v>
      </c>
      <c r="I578" s="9">
        <f t="shared" si="340"/>
        <v>0</v>
      </c>
      <c r="J578" s="9">
        <f t="shared" si="341"/>
        <v>0</v>
      </c>
      <c r="K578" s="9">
        <v>0</v>
      </c>
      <c r="L578" s="8">
        <f>+VLOOKUP($B578,NIFTY_50!$B$3:$I$1238,8,0)</f>
        <v>-1.0661208128105448E-3</v>
      </c>
      <c r="M578" s="8">
        <f>+VLOOKUP($B578,NIFTY_BANK!$B$3:$I$41238,8,0)</f>
        <v>8.265283453276151E-3</v>
      </c>
      <c r="N578" s="8">
        <f>+VLOOKUP($B578,NIFTY_IT!$B$3:$I$1238,8,0)</f>
        <v>-1.8943896803769844E-2</v>
      </c>
      <c r="O578" s="8">
        <f>+VLOOKUP($B578,NIFTY_PHARMA!$B$3:$I$1238,8,0)</f>
        <v>-7.6254130207826787E-3</v>
      </c>
      <c r="P578" s="8">
        <f>+VLOOKUP($B578,NIFTY_FMCG!$B$3:$I$1238,8,0)</f>
        <v>-1.1322228222489961E-2</v>
      </c>
      <c r="Q578" s="8">
        <f>+VLOOKUP($B578,NIFTY_METAL!$B$3:$I$1238,8,0)</f>
        <v>-1.3774104683195176E-3</v>
      </c>
      <c r="R578" s="8">
        <f>+VLOOKUP($B578,NIFTY_ENERGY!$B$3:$I$1238,8,0)</f>
        <v>4.1972113545931666E-3</v>
      </c>
      <c r="S578" s="8">
        <f>+VLOOKUP($B578,NIFTY_AUTO!$B$3:$I$1238,8,0)</f>
        <v>5.7116458779555845E-3</v>
      </c>
      <c r="T578" s="8">
        <v>0</v>
      </c>
      <c r="U578" s="8">
        <f>+VLOOKUP($B578,NIFTY_50!$B$63:$K$1238,10,0)</f>
        <v>9.9555943596387531E-2</v>
      </c>
      <c r="V578" s="8">
        <f>+VLOOKUP($B578,NIFTY_BANK!$B$63:$K$1238,10,0)</f>
        <v>0.11662969935322742</v>
      </c>
      <c r="W578" s="8">
        <f>+VLOOKUP($B578,NIFTY_IT!$B$63:$K$1238,10,0)</f>
        <v>5.4915700875767026E-2</v>
      </c>
      <c r="X578" s="8">
        <f>+VLOOKUP($B578,NIFTY_PHARMA!$B$63:$K$1238,10,0)</f>
        <v>5.5623611842557263E-2</v>
      </c>
      <c r="Y578" s="8">
        <f>+VLOOKUP($B578,NIFTY_FMCG!$B$63:$K$1238,10,0)</f>
        <v>9.7305681368864416E-3</v>
      </c>
      <c r="Z578" s="8">
        <f>+VLOOKUP($B578,NIFTY_METAL!$B$63:$K$1238,10,0)</f>
        <v>6.9117468468624654E-2</v>
      </c>
      <c r="AA578" s="8">
        <f>+VLOOKUP($B578,NIFTY_ENERGY!$B$63:$K$1238,10,0)</f>
        <v>0.14427888184816196</v>
      </c>
      <c r="AB578" s="8">
        <f>+VLOOKUP($B578,NIFTY_AUTO!$B$63:$K$1238,10,0)</f>
        <v>3.2401704769412731E-2</v>
      </c>
      <c r="AC578" s="8"/>
      <c r="AD578" s="16">
        <f t="shared" si="342"/>
        <v>5.2196156404405544E-2</v>
      </c>
      <c r="AE578" s="8">
        <f t="shared" si="343"/>
        <v>6.8832510600985386E-2</v>
      </c>
      <c r="AF578" s="8">
        <f t="shared" si="344"/>
        <v>7.7944936147054569E-2</v>
      </c>
      <c r="AG578" s="8">
        <f t="shared" si="345"/>
        <v>7.650907289509952E-2</v>
      </c>
      <c r="AH578" s="8">
        <f t="shared" si="346"/>
        <v>5.2961411138107442E-2</v>
      </c>
      <c r="AI578" s="8">
        <f t="shared" si="347"/>
        <v>0.1099264279852272</v>
      </c>
      <c r="AJ578" s="8">
        <f t="shared" si="348"/>
        <v>8.9333290819031339E-2</v>
      </c>
      <c r="AK578" s="8">
        <f t="shared" si="349"/>
        <v>9.1597273177231736E-2</v>
      </c>
      <c r="AL578" s="9">
        <v>0</v>
      </c>
      <c r="AM578" s="17">
        <f t="shared" si="326"/>
        <v>19.158498803095707</v>
      </c>
      <c r="AN578" s="13">
        <f t="shared" si="327"/>
        <v>14.528018682870536</v>
      </c>
      <c r="AO578" s="13">
        <f t="shared" si="328"/>
        <v>12.829569814687552</v>
      </c>
      <c r="AP578" s="13">
        <f t="shared" si="329"/>
        <v>13.070345282723338</v>
      </c>
      <c r="AQ578" s="13">
        <f t="shared" si="330"/>
        <v>18.881672117691512</v>
      </c>
      <c r="AR578" s="13">
        <f t="shared" si="331"/>
        <v>9.0969934921781324</v>
      </c>
      <c r="AS578" s="13">
        <f t="shared" si="332"/>
        <v>11.194035178058867</v>
      </c>
      <c r="AT578" s="13">
        <f t="shared" si="333"/>
        <v>10.917355564341944</v>
      </c>
      <c r="AU578" s="9">
        <v>0</v>
      </c>
      <c r="AV578" s="18">
        <f t="shared" si="350"/>
        <v>1</v>
      </c>
      <c r="AW578" s="18">
        <f t="shared" si="351"/>
        <v>3</v>
      </c>
      <c r="AX578" s="18">
        <f t="shared" si="352"/>
        <v>5</v>
      </c>
      <c r="AY578" s="18">
        <f t="shared" si="353"/>
        <v>4</v>
      </c>
      <c r="AZ578" s="18">
        <f t="shared" si="354"/>
        <v>2</v>
      </c>
      <c r="BA578" s="18">
        <f t="shared" si="355"/>
        <v>8</v>
      </c>
      <c r="BB578" s="18">
        <f t="shared" si="356"/>
        <v>6</v>
      </c>
      <c r="BC578" s="18">
        <f t="shared" si="357"/>
        <v>7</v>
      </c>
      <c r="BD578" s="18">
        <f t="shared" si="358"/>
        <v>9</v>
      </c>
      <c r="BE578" s="8">
        <f t="shared" si="325"/>
        <v>-5.7044962481609058E-3</v>
      </c>
    </row>
    <row r="579" spans="1:57" x14ac:dyDescent="0.25">
      <c r="A579" t="str">
        <f t="shared" si="324"/>
        <v/>
      </c>
      <c r="B579" s="1">
        <v>43591</v>
      </c>
      <c r="C579" s="9">
        <f t="shared" si="334"/>
        <v>0.25173940160072689</v>
      </c>
      <c r="D579" s="9">
        <f t="shared" si="335"/>
        <v>0.25373920287706686</v>
      </c>
      <c r="E579" s="9">
        <f t="shared" si="336"/>
        <v>0.24592533181303219</v>
      </c>
      <c r="F579" s="9">
        <f t="shared" si="337"/>
        <v>0</v>
      </c>
      <c r="G579" s="9">
        <f t="shared" si="338"/>
        <v>0.24859606370917403</v>
      </c>
      <c r="H579" s="9">
        <f t="shared" si="339"/>
        <v>0</v>
      </c>
      <c r="I579" s="9">
        <f t="shared" si="340"/>
        <v>0</v>
      </c>
      <c r="J579" s="9">
        <f t="shared" si="341"/>
        <v>0</v>
      </c>
      <c r="K579" s="9">
        <v>0</v>
      </c>
      <c r="L579" s="8">
        <f>+VLOOKUP($B579,NIFTY_50!$B$3:$I$1238,8,0)</f>
        <v>-9.7333987918631903E-3</v>
      </c>
      <c r="M579" s="8">
        <f>+VLOOKUP($B579,NIFTY_BANK!$B$3:$I$41238,8,0)</f>
        <v>-1.120712822764125E-2</v>
      </c>
      <c r="N579" s="8">
        <f>+VLOOKUP($B579,NIFTY_IT!$B$3:$I$1238,8,0)</f>
        <v>1.1433578057471472E-3</v>
      </c>
      <c r="O579" s="8">
        <f>+VLOOKUP($B579,NIFTY_PHARMA!$B$3:$I$1238,8,0)</f>
        <v>-3.3295554989182241E-3</v>
      </c>
      <c r="P579" s="8">
        <f>+VLOOKUP($B579,NIFTY_FMCG!$B$3:$I$1238,8,0)</f>
        <v>-5.8721603466154182E-3</v>
      </c>
      <c r="Q579" s="8">
        <f>+VLOOKUP($B579,NIFTY_METAL!$B$3:$I$1238,8,0)</f>
        <v>-2.0283975659229236E-2</v>
      </c>
      <c r="R579" s="8">
        <f>+VLOOKUP($B579,NIFTY_ENERGY!$B$3:$I$1238,8,0)</f>
        <v>-3.9322078909723723E-3</v>
      </c>
      <c r="S579" s="8">
        <f>+VLOOKUP($B579,NIFTY_AUTO!$B$3:$I$1238,8,0)</f>
        <v>-1.3482154042558259E-2</v>
      </c>
      <c r="T579" s="8">
        <v>0</v>
      </c>
      <c r="U579" s="8">
        <f>+VLOOKUP($B579,NIFTY_50!$B$63:$K$1238,10,0)</f>
        <v>7.084327782881461E-2</v>
      </c>
      <c r="V579" s="8">
        <f>+VLOOKUP($B579,NIFTY_BANK!$B$63:$K$1238,10,0)</f>
        <v>8.5105759384805912E-2</v>
      </c>
      <c r="W579" s="8">
        <f>+VLOOKUP($B579,NIFTY_IT!$B$63:$K$1238,10,0)</f>
        <v>3.9488880142974248E-2</v>
      </c>
      <c r="X579" s="8">
        <f>+VLOOKUP($B579,NIFTY_PHARMA!$B$63:$K$1238,10,0)</f>
        <v>4.1290147132974964E-2</v>
      </c>
      <c r="Y579" s="8">
        <f>+VLOOKUP($B579,NIFTY_FMCG!$B$63:$K$1238,10,0)</f>
        <v>-7.5401292929158092E-3</v>
      </c>
      <c r="Z579" s="8">
        <f>+VLOOKUP($B579,NIFTY_METAL!$B$63:$K$1238,10,0)</f>
        <v>3.5289881166726822E-2</v>
      </c>
      <c r="AA579" s="8">
        <f>+VLOOKUP($B579,NIFTY_ENERGY!$B$63:$K$1238,10,0)</f>
        <v>0.11560912461679385</v>
      </c>
      <c r="AB579" s="8">
        <f>+VLOOKUP($B579,NIFTY_AUTO!$B$63:$K$1238,10,0)</f>
        <v>6.0899931860216583E-3</v>
      </c>
      <c r="AC579" s="8"/>
      <c r="AD579" s="16">
        <f t="shared" si="342"/>
        <v>5.1074645099996402E-2</v>
      </c>
      <c r="AE579" s="8">
        <f t="shared" si="343"/>
        <v>6.8185744518980601E-2</v>
      </c>
      <c r="AF579" s="8">
        <f t="shared" si="344"/>
        <v>7.6449977228402535E-2</v>
      </c>
      <c r="AG579" s="8">
        <f t="shared" si="345"/>
        <v>7.6022193949628947E-2</v>
      </c>
      <c r="AH579" s="8">
        <f t="shared" si="346"/>
        <v>5.2059457507501843E-2</v>
      </c>
      <c r="AI579" s="8">
        <f t="shared" si="347"/>
        <v>0.11143359479814781</v>
      </c>
      <c r="AJ579" s="8">
        <f t="shared" si="348"/>
        <v>8.7363283518760049E-2</v>
      </c>
      <c r="AK579" s="8">
        <f t="shared" si="349"/>
        <v>9.1867949282239555E-2</v>
      </c>
      <c r="AL579" s="9">
        <v>0</v>
      </c>
      <c r="AM579" s="17">
        <f t="shared" si="326"/>
        <v>19.579186464089016</v>
      </c>
      <c r="AN579" s="13">
        <f t="shared" si="327"/>
        <v>14.66582211655156</v>
      </c>
      <c r="AO579" s="13">
        <f t="shared" si="328"/>
        <v>13.080448631297722</v>
      </c>
      <c r="AP579" s="13">
        <f t="shared" si="329"/>
        <v>13.154053415803595</v>
      </c>
      <c r="AQ579" s="13">
        <f t="shared" si="330"/>
        <v>19.208805621070841</v>
      </c>
      <c r="AR579" s="13">
        <f t="shared" si="331"/>
        <v>8.9739544148370367</v>
      </c>
      <c r="AS579" s="13">
        <f t="shared" si="332"/>
        <v>11.446456219623018</v>
      </c>
      <c r="AT579" s="13">
        <f t="shared" si="333"/>
        <v>10.885189098188848</v>
      </c>
      <c r="AU579" s="9">
        <v>0</v>
      </c>
      <c r="AV579" s="18">
        <f t="shared" si="350"/>
        <v>1</v>
      </c>
      <c r="AW579" s="18">
        <f t="shared" si="351"/>
        <v>3</v>
      </c>
      <c r="AX579" s="18">
        <f t="shared" si="352"/>
        <v>5</v>
      </c>
      <c r="AY579" s="18">
        <f t="shared" si="353"/>
        <v>4</v>
      </c>
      <c r="AZ579" s="18">
        <f t="shared" si="354"/>
        <v>2</v>
      </c>
      <c r="BA579" s="18">
        <f t="shared" si="355"/>
        <v>8</v>
      </c>
      <c r="BB579" s="18">
        <f t="shared" si="356"/>
        <v>6</v>
      </c>
      <c r="BC579" s="18">
        <f t="shared" si="357"/>
        <v>7</v>
      </c>
      <c r="BD579" s="18">
        <f t="shared" si="358"/>
        <v>9</v>
      </c>
      <c r="BE579" s="8">
        <f t="shared" si="325"/>
        <v>-6.4953760025209381E-3</v>
      </c>
    </row>
    <row r="580" spans="1:57" x14ac:dyDescent="0.25">
      <c r="A580" t="str">
        <f t="shared" ref="A580:A643" si="359">+IF(MONTH(B580)&lt;&gt;MONTH(B581),"Y","")</f>
        <v/>
      </c>
      <c r="B580" s="1">
        <v>43592</v>
      </c>
      <c r="C580" s="9">
        <f t="shared" si="334"/>
        <v>0.25076319234612554</v>
      </c>
      <c r="D580" s="9">
        <f t="shared" si="335"/>
        <v>0.25211835139232036</v>
      </c>
      <c r="E580" s="9">
        <f t="shared" si="336"/>
        <v>0.24748394102874477</v>
      </c>
      <c r="F580" s="9">
        <f t="shared" si="337"/>
        <v>0</v>
      </c>
      <c r="G580" s="9">
        <f t="shared" si="338"/>
        <v>0.24963451523280933</v>
      </c>
      <c r="H580" s="9">
        <f t="shared" si="339"/>
        <v>0</v>
      </c>
      <c r="I580" s="9">
        <f t="shared" si="340"/>
        <v>0</v>
      </c>
      <c r="J580" s="9">
        <f t="shared" si="341"/>
        <v>0</v>
      </c>
      <c r="K580" s="9">
        <v>0</v>
      </c>
      <c r="L580" s="8">
        <f>+VLOOKUP($B580,NIFTY_50!$B$3:$I$1238,8,0)</f>
        <v>-8.652167352833473E-3</v>
      </c>
      <c r="M580" s="8">
        <f>+VLOOKUP($B580,NIFTY_BANK!$B$3:$I$41238,8,0)</f>
        <v>-1.1150144588930155E-2</v>
      </c>
      <c r="N580" s="8">
        <f>+VLOOKUP($B580,NIFTY_IT!$B$3:$I$1238,8,0)</f>
        <v>1.5144603028298675E-3</v>
      </c>
      <c r="O580" s="8">
        <f>+VLOOKUP($B580,NIFTY_PHARMA!$B$3:$I$1238,8,0)</f>
        <v>-4.5213417122336175E-3</v>
      </c>
      <c r="P580" s="8">
        <f>+VLOOKUP($B580,NIFTY_FMCG!$B$3:$I$1238,8,0)</f>
        <v>-6.3565375128693535E-4</v>
      </c>
      <c r="Q580" s="8">
        <f>+VLOOKUP($B580,NIFTY_METAL!$B$3:$I$1238,8,0)</f>
        <v>-1.2703933747411966E-2</v>
      </c>
      <c r="R580" s="8">
        <f>+VLOOKUP($B580,NIFTY_ENERGY!$B$3:$I$1238,8,0)</f>
        <v>-1.6478672253478877E-2</v>
      </c>
      <c r="S580" s="8">
        <f>+VLOOKUP($B580,NIFTY_AUTO!$B$3:$I$1238,8,0)</f>
        <v>-7.5225707357485794E-3</v>
      </c>
      <c r="T580" s="8">
        <v>0</v>
      </c>
      <c r="U580" s="8">
        <f>+VLOOKUP($B580,NIFTY_50!$B$63:$K$1238,10,0)</f>
        <v>5.5468093797762963E-2</v>
      </c>
      <c r="V580" s="8">
        <f>+VLOOKUP($B580,NIFTY_BANK!$B$63:$K$1238,10,0)</f>
        <v>8.13059907442788E-2</v>
      </c>
      <c r="W580" s="8">
        <f>+VLOOKUP($B580,NIFTY_IT!$B$63:$K$1238,10,0)</f>
        <v>2.6166506617146812E-2</v>
      </c>
      <c r="X580" s="8">
        <f>+VLOOKUP($B580,NIFTY_PHARMA!$B$63:$K$1238,10,0)</f>
        <v>1.991738715989122E-2</v>
      </c>
      <c r="Y580" s="8">
        <f>+VLOOKUP($B580,NIFTY_FMCG!$B$63:$K$1238,10,0)</f>
        <v>-2.1286494326140271E-2</v>
      </c>
      <c r="Z580" s="8">
        <f>+VLOOKUP($B580,NIFTY_METAL!$B$63:$K$1238,10,0)</f>
        <v>5.8512244064425678E-2</v>
      </c>
      <c r="AA580" s="8">
        <f>+VLOOKUP($B580,NIFTY_ENERGY!$B$63:$K$1238,10,0)</f>
        <v>8.3832195382535168E-2</v>
      </c>
      <c r="AB580" s="8">
        <f>+VLOOKUP($B580,NIFTY_AUTO!$B$63:$K$1238,10,0)</f>
        <v>-2.7839478750185109E-2</v>
      </c>
      <c r="AC580" s="8"/>
      <c r="AD580" s="16">
        <f t="shared" si="342"/>
        <v>5.1764770241332213E-2</v>
      </c>
      <c r="AE580" s="8">
        <f t="shared" si="343"/>
        <v>6.8732013211245863E-2</v>
      </c>
      <c r="AF580" s="8">
        <f t="shared" si="344"/>
        <v>7.5174095910925512E-2</v>
      </c>
      <c r="AG580" s="8">
        <f t="shared" si="345"/>
        <v>7.4534397044760337E-2</v>
      </c>
      <c r="AH580" s="8">
        <f t="shared" si="346"/>
        <v>5.0248605075430004E-2</v>
      </c>
      <c r="AI580" s="8">
        <f t="shared" si="347"/>
        <v>0.10658902642379528</v>
      </c>
      <c r="AJ580" s="8">
        <f t="shared" si="348"/>
        <v>8.8570216123135981E-2</v>
      </c>
      <c r="AK580" s="8">
        <f t="shared" si="349"/>
        <v>8.8051407131716025E-2</v>
      </c>
      <c r="AL580" s="9">
        <v>0</v>
      </c>
      <c r="AM580" s="17">
        <f t="shared" si="326"/>
        <v>19.318157799945915</v>
      </c>
      <c r="AN580" s="13">
        <f t="shared" si="327"/>
        <v>14.549261010681134</v>
      </c>
      <c r="AO580" s="13">
        <f t="shared" si="328"/>
        <v>13.302454627254971</v>
      </c>
      <c r="AP580" s="13">
        <f t="shared" si="329"/>
        <v>13.416624265430999</v>
      </c>
      <c r="AQ580" s="13">
        <f t="shared" si="330"/>
        <v>19.901049959473774</v>
      </c>
      <c r="AR580" s="13">
        <f t="shared" si="331"/>
        <v>9.3818288200140341</v>
      </c>
      <c r="AS580" s="13">
        <f t="shared" si="332"/>
        <v>11.290477135222703</v>
      </c>
      <c r="AT580" s="13">
        <f t="shared" si="333"/>
        <v>11.357001921662658</v>
      </c>
      <c r="AU580" s="9">
        <v>0</v>
      </c>
      <c r="AV580" s="18">
        <f t="shared" si="350"/>
        <v>2</v>
      </c>
      <c r="AW580" s="18">
        <f t="shared" si="351"/>
        <v>3</v>
      </c>
      <c r="AX580" s="18">
        <f t="shared" si="352"/>
        <v>5</v>
      </c>
      <c r="AY580" s="18">
        <f t="shared" si="353"/>
        <v>4</v>
      </c>
      <c r="AZ580" s="18">
        <f t="shared" si="354"/>
        <v>1</v>
      </c>
      <c r="BA580" s="18">
        <f t="shared" si="355"/>
        <v>8</v>
      </c>
      <c r="BB580" s="18">
        <f t="shared" si="356"/>
        <v>7</v>
      </c>
      <c r="BC580" s="18">
        <f t="shared" si="357"/>
        <v>6</v>
      </c>
      <c r="BD580" s="18">
        <f t="shared" si="358"/>
        <v>9</v>
      </c>
      <c r="BE580" s="8">
        <f t="shared" ref="BE580:BE643" si="360">+SUMPRODUCT(C579:J579,L580:S580)</f>
        <v>-4.7928970998716239E-3</v>
      </c>
    </row>
    <row r="581" spans="1:57" x14ac:dyDescent="0.25">
      <c r="A581" t="str">
        <f t="shared" si="359"/>
        <v/>
      </c>
      <c r="B581" s="1">
        <v>43593</v>
      </c>
      <c r="C581" s="9">
        <f t="shared" si="334"/>
        <v>0.24975384665538655</v>
      </c>
      <c r="D581" s="9">
        <f t="shared" si="335"/>
        <v>0.25161441708668142</v>
      </c>
      <c r="E581" s="9">
        <f t="shared" si="336"/>
        <v>0.24834549798836683</v>
      </c>
      <c r="F581" s="9">
        <f t="shared" si="337"/>
        <v>0</v>
      </c>
      <c r="G581" s="9">
        <f t="shared" si="338"/>
        <v>0.2502862382695652</v>
      </c>
      <c r="H581" s="9">
        <f t="shared" si="339"/>
        <v>0</v>
      </c>
      <c r="I581" s="9">
        <f t="shared" si="340"/>
        <v>0</v>
      </c>
      <c r="J581" s="9">
        <f t="shared" si="341"/>
        <v>0</v>
      </c>
      <c r="K581" s="9">
        <v>0</v>
      </c>
      <c r="L581" s="8">
        <f>+VLOOKUP($B581,NIFTY_50!$B$3:$I$1238,8,0)</f>
        <v>-1.2041329286217373E-2</v>
      </c>
      <c r="M581" s="8">
        <f>+VLOOKUP($B581,NIFTY_BANK!$B$3:$I$41238,8,0)</f>
        <v>-1.0031343681072946E-2</v>
      </c>
      <c r="N581" s="8">
        <f>+VLOOKUP($B581,NIFTY_IT!$B$3:$I$1238,8,0)</f>
        <v>-4.5953860217219367E-3</v>
      </c>
      <c r="O581" s="8">
        <f>+VLOOKUP($B581,NIFTY_PHARMA!$B$3:$I$1238,8,0)</f>
        <v>-1.5833715922258018E-2</v>
      </c>
      <c r="P581" s="8">
        <f>+VLOOKUP($B581,NIFTY_FMCG!$B$3:$I$1238,8,0)</f>
        <v>-5.4589345012441282E-3</v>
      </c>
      <c r="Q581" s="8">
        <f>+VLOOKUP($B581,NIFTY_METAL!$B$3:$I$1238,8,0)</f>
        <v>-7.0124815461012346E-3</v>
      </c>
      <c r="R581" s="8">
        <f>+VLOOKUP($B581,NIFTY_ENERGY!$B$3:$I$1238,8,0)</f>
        <v>-1.8815614372320044E-2</v>
      </c>
      <c r="S581" s="8">
        <f>+VLOOKUP($B581,NIFTY_AUTO!$B$3:$I$1238,8,0)</f>
        <v>-1.3447067783701527E-2</v>
      </c>
      <c r="T581" s="8">
        <v>0</v>
      </c>
      <c r="U581" s="8">
        <f>+VLOOKUP($B581,NIFTY_50!$B$63:$K$1238,10,0)</f>
        <v>4.0981465783866744E-2</v>
      </c>
      <c r="V581" s="8">
        <f>+VLOOKUP($B581,NIFTY_BANK!$B$63:$K$1238,10,0)</f>
        <v>6.6495994350157961E-2</v>
      </c>
      <c r="W581" s="8">
        <f>+VLOOKUP($B581,NIFTY_IT!$B$63:$K$1238,10,0)</f>
        <v>1.9473430319648655E-2</v>
      </c>
      <c r="X581" s="8">
        <f>+VLOOKUP($B581,NIFTY_PHARMA!$B$63:$K$1238,10,0)</f>
        <v>2.1726301932613934E-2</v>
      </c>
      <c r="Y581" s="8">
        <f>+VLOOKUP($B581,NIFTY_FMCG!$B$63:$K$1238,10,0)</f>
        <v>-2.043393793174697E-2</v>
      </c>
      <c r="Z581" s="8">
        <f>+VLOOKUP($B581,NIFTY_METAL!$B$63:$K$1238,10,0)</f>
        <v>5.9063500867791552E-2</v>
      </c>
      <c r="AA581" s="8">
        <f>+VLOOKUP($B581,NIFTY_ENERGY!$B$63:$K$1238,10,0)</f>
        <v>4.6692977815166792E-2</v>
      </c>
      <c r="AB581" s="8">
        <f>+VLOOKUP($B581,NIFTY_AUTO!$B$63:$K$1238,10,0)</f>
        <v>-3.5691527058977601E-2</v>
      </c>
      <c r="AC581" s="8"/>
      <c r="AD581" s="16">
        <f t="shared" si="342"/>
        <v>5.3324665272309432E-2</v>
      </c>
      <c r="AE581" s="8">
        <f t="shared" si="343"/>
        <v>6.9599777464954105E-2</v>
      </c>
      <c r="AF581" s="8">
        <f t="shared" si="344"/>
        <v>7.5325563353276698E-2</v>
      </c>
      <c r="AG581" s="8">
        <f t="shared" si="345"/>
        <v>7.4133841859774979E-2</v>
      </c>
      <c r="AH581" s="8">
        <f t="shared" si="346"/>
        <v>5.015261735473682E-2</v>
      </c>
      <c r="AI581" s="8">
        <f t="shared" si="347"/>
        <v>0.10654876752598508</v>
      </c>
      <c r="AJ581" s="8">
        <f t="shared" si="348"/>
        <v>8.9550479807128852E-2</v>
      </c>
      <c r="AK581" s="8">
        <f t="shared" si="349"/>
        <v>8.8865589571869436E-2</v>
      </c>
      <c r="AL581" s="9">
        <v>0</v>
      </c>
      <c r="AM581" s="17">
        <f t="shared" si="326"/>
        <v>18.753047860560741</v>
      </c>
      <c r="AN581" s="13">
        <f t="shared" si="327"/>
        <v>14.367862030931558</v>
      </c>
      <c r="AO581" s="13">
        <f t="shared" si="328"/>
        <v>13.275705557089598</v>
      </c>
      <c r="AP581" s="13">
        <f t="shared" si="329"/>
        <v>13.489116102892813</v>
      </c>
      <c r="AQ581" s="13">
        <f t="shared" si="330"/>
        <v>19.93913882752825</v>
      </c>
      <c r="AR581" s="13">
        <f t="shared" si="331"/>
        <v>9.3853736952529303</v>
      </c>
      <c r="AS581" s="13">
        <f t="shared" si="332"/>
        <v>11.166886008358304</v>
      </c>
      <c r="AT581" s="13">
        <f t="shared" si="333"/>
        <v>11.252949592949664</v>
      </c>
      <c r="AU581" s="9">
        <v>0</v>
      </c>
      <c r="AV581" s="18">
        <f t="shared" si="350"/>
        <v>2</v>
      </c>
      <c r="AW581" s="18">
        <f t="shared" si="351"/>
        <v>3</v>
      </c>
      <c r="AX581" s="18">
        <f t="shared" si="352"/>
        <v>5</v>
      </c>
      <c r="AY581" s="18">
        <f t="shared" si="353"/>
        <v>4</v>
      </c>
      <c r="AZ581" s="18">
        <f t="shared" si="354"/>
        <v>1</v>
      </c>
      <c r="BA581" s="18">
        <f t="shared" si="355"/>
        <v>8</v>
      </c>
      <c r="BB581" s="18">
        <f t="shared" si="356"/>
        <v>7</v>
      </c>
      <c r="BC581" s="18">
        <f t="shared" si="357"/>
        <v>6</v>
      </c>
      <c r="BD581" s="18">
        <f t="shared" si="358"/>
        <v>9</v>
      </c>
      <c r="BE581" s="8">
        <f t="shared" si="360"/>
        <v>-8.0486307141345286E-3</v>
      </c>
    </row>
    <row r="582" spans="1:57" x14ac:dyDescent="0.25">
      <c r="A582" t="str">
        <f t="shared" si="359"/>
        <v/>
      </c>
      <c r="B582" s="1">
        <v>43594</v>
      </c>
      <c r="C582" s="9">
        <f t="shared" si="334"/>
        <v>0.24859700552234329</v>
      </c>
      <c r="D582" s="9">
        <f t="shared" si="335"/>
        <v>0.25077321474543568</v>
      </c>
      <c r="E582" s="9">
        <f t="shared" si="336"/>
        <v>0.24955827509557119</v>
      </c>
      <c r="F582" s="9">
        <f t="shared" si="337"/>
        <v>0</v>
      </c>
      <c r="G582" s="9">
        <f t="shared" si="338"/>
        <v>0.2510715046366499</v>
      </c>
      <c r="H582" s="9">
        <f t="shared" si="339"/>
        <v>0</v>
      </c>
      <c r="I582" s="9">
        <f t="shared" si="340"/>
        <v>0</v>
      </c>
      <c r="J582" s="9">
        <f t="shared" si="341"/>
        <v>0</v>
      </c>
      <c r="K582" s="9">
        <v>0</v>
      </c>
      <c r="L582" s="8">
        <f>+VLOOKUP($B582,NIFTY_50!$B$3:$I$1238,8,0)</f>
        <v>-5.0750696556612906E-3</v>
      </c>
      <c r="M582" s="8">
        <f>+VLOOKUP($B582,NIFTY_BANK!$B$3:$I$41238,8,0)</f>
        <v>-3.7869381673703018E-3</v>
      </c>
      <c r="N582" s="8">
        <f>+VLOOKUP($B582,NIFTY_IT!$B$3:$I$1238,8,0)</f>
        <v>4.4360462220451868E-3</v>
      </c>
      <c r="O582" s="8">
        <f>+VLOOKUP($B582,NIFTY_PHARMA!$B$3:$I$1238,8,0)</f>
        <v>-2.937795376165564E-3</v>
      </c>
      <c r="P582" s="8">
        <f>+VLOOKUP($B582,NIFTY_FMCG!$B$3:$I$1238,8,0)</f>
        <v>2.6908697530589887E-3</v>
      </c>
      <c r="Q582" s="8">
        <f>+VLOOKUP($B582,NIFTY_METAL!$B$3:$I$1238,8,0)</f>
        <v>-1.4326744382497036E-2</v>
      </c>
      <c r="R582" s="8">
        <f>+VLOOKUP($B582,NIFTY_ENERGY!$B$3:$I$1238,8,0)</f>
        <v>-1.8231423225206767E-2</v>
      </c>
      <c r="S582" s="8">
        <f>+VLOOKUP($B582,NIFTY_AUTO!$B$3:$I$1238,8,0)</f>
        <v>9.387467730579413E-4</v>
      </c>
      <c r="T582" s="8">
        <v>0</v>
      </c>
      <c r="U582" s="8">
        <f>+VLOOKUP($B582,NIFTY_50!$B$63:$K$1238,10,0)</f>
        <v>3.3605106842198973E-2</v>
      </c>
      <c r="V582" s="8">
        <f>+VLOOKUP($B582,NIFTY_BANK!$B$63:$K$1238,10,0)</f>
        <v>5.9141894344686863E-2</v>
      </c>
      <c r="W582" s="8">
        <f>+VLOOKUP($B582,NIFTY_IT!$B$63:$K$1238,10,0)</f>
        <v>2.504336444560229E-2</v>
      </c>
      <c r="X582" s="8">
        <f>+VLOOKUP($B582,NIFTY_PHARMA!$B$63:$K$1238,10,0)</f>
        <v>2.0032725041474464E-2</v>
      </c>
      <c r="Y582" s="8">
        <f>+VLOOKUP($B582,NIFTY_FMCG!$B$63:$K$1238,10,0)</f>
        <v>-9.5783412886825126E-3</v>
      </c>
      <c r="Z582" s="8">
        <f>+VLOOKUP($B582,NIFTY_METAL!$B$63:$K$1238,10,0)</f>
        <v>5.3751399776035713E-2</v>
      </c>
      <c r="AA582" s="8">
        <f>+VLOOKUP($B582,NIFTY_ENERGY!$B$63:$K$1238,10,0)</f>
        <v>2.8719089147605681E-2</v>
      </c>
      <c r="AB582" s="8">
        <f>+VLOOKUP($B582,NIFTY_AUTO!$B$63:$K$1238,10,0)</f>
        <v>-4.307830379178812E-2</v>
      </c>
      <c r="AC582" s="8"/>
      <c r="AD582" s="16">
        <f t="shared" si="342"/>
        <v>5.360999893470586E-2</v>
      </c>
      <c r="AE582" s="8">
        <f t="shared" si="343"/>
        <v>6.9735524891247222E-2</v>
      </c>
      <c r="AF582" s="8">
        <f t="shared" si="344"/>
        <v>7.5419673975029369E-2</v>
      </c>
      <c r="AG582" s="8">
        <f t="shared" si="345"/>
        <v>7.4189516381279783E-2</v>
      </c>
      <c r="AH582" s="8">
        <f t="shared" si="346"/>
        <v>4.9584806834348821E-2</v>
      </c>
      <c r="AI582" s="8">
        <f t="shared" si="347"/>
        <v>0.10714568560641327</v>
      </c>
      <c r="AJ582" s="8">
        <f t="shared" si="348"/>
        <v>9.1507462002295314E-2</v>
      </c>
      <c r="AK582" s="8">
        <f t="shared" si="349"/>
        <v>8.8395163779739688E-2</v>
      </c>
      <c r="AL582" s="9">
        <v>0</v>
      </c>
      <c r="AM582" s="17">
        <f t="shared" si="326"/>
        <v>18.653236707166272</v>
      </c>
      <c r="AN582" s="13">
        <f t="shared" si="327"/>
        <v>14.339893498464424</v>
      </c>
      <c r="AO582" s="13">
        <f t="shared" si="328"/>
        <v>13.259139787996022</v>
      </c>
      <c r="AP582" s="13">
        <f t="shared" si="329"/>
        <v>13.478993377726475</v>
      </c>
      <c r="AQ582" s="13">
        <f t="shared" si="330"/>
        <v>20.167467896784689</v>
      </c>
      <c r="AR582" s="13">
        <f t="shared" si="331"/>
        <v>9.333086949234513</v>
      </c>
      <c r="AS582" s="13">
        <f t="shared" si="332"/>
        <v>10.928070543306257</v>
      </c>
      <c r="AT582" s="13">
        <f t="shared" si="333"/>
        <v>11.312836101438409</v>
      </c>
      <c r="AU582" s="9">
        <v>0</v>
      </c>
      <c r="AV582" s="18">
        <f t="shared" si="350"/>
        <v>2</v>
      </c>
      <c r="AW582" s="18">
        <f t="shared" si="351"/>
        <v>3</v>
      </c>
      <c r="AX582" s="18">
        <f t="shared" si="352"/>
        <v>5</v>
      </c>
      <c r="AY582" s="18">
        <f t="shared" si="353"/>
        <v>4</v>
      </c>
      <c r="AZ582" s="18">
        <f t="shared" si="354"/>
        <v>1</v>
      </c>
      <c r="BA582" s="18">
        <f t="shared" si="355"/>
        <v>8</v>
      </c>
      <c r="BB582" s="18">
        <f t="shared" si="356"/>
        <v>7</v>
      </c>
      <c r="BC582" s="18">
        <f t="shared" si="357"/>
        <v>6</v>
      </c>
      <c r="BD582" s="18">
        <f t="shared" si="358"/>
        <v>9</v>
      </c>
      <c r="BE582" s="8">
        <f t="shared" si="360"/>
        <v>-4.452066317919063E-4</v>
      </c>
    </row>
    <row r="583" spans="1:57" x14ac:dyDescent="0.25">
      <c r="A583" t="str">
        <f t="shared" si="359"/>
        <v/>
      </c>
      <c r="B583" s="1">
        <v>43595</v>
      </c>
      <c r="C583" s="9">
        <f t="shared" si="334"/>
        <v>0.24883254085472828</v>
      </c>
      <c r="D583" s="9">
        <f t="shared" si="335"/>
        <v>0.25287799051754384</v>
      </c>
      <c r="E583" s="9">
        <f t="shared" si="336"/>
        <v>0.24745875741802845</v>
      </c>
      <c r="F583" s="9">
        <f t="shared" si="337"/>
        <v>0</v>
      </c>
      <c r="G583" s="9">
        <f t="shared" si="338"/>
        <v>0.25083071120969958</v>
      </c>
      <c r="H583" s="9">
        <f t="shared" si="339"/>
        <v>0</v>
      </c>
      <c r="I583" s="9">
        <f t="shared" si="340"/>
        <v>0</v>
      </c>
      <c r="J583" s="9">
        <f t="shared" si="341"/>
        <v>0</v>
      </c>
      <c r="K583" s="9">
        <v>0</v>
      </c>
      <c r="L583" s="8">
        <f>+VLOOKUP($B583,NIFTY_50!$B$3:$I$1238,8,0)</f>
        <v>-2.0262259109168346E-3</v>
      </c>
      <c r="M583" s="8">
        <f>+VLOOKUP($B583,NIFTY_BANK!$B$3:$I$41238,8,0)</f>
        <v>5.3973397589026639E-3</v>
      </c>
      <c r="N583" s="8">
        <f>+VLOOKUP($B583,NIFTY_IT!$B$3:$I$1238,8,0)</f>
        <v>-1.1358811369348909E-2</v>
      </c>
      <c r="O583" s="8">
        <f>+VLOOKUP($B583,NIFTY_PHARMA!$B$3:$I$1238,8,0)</f>
        <v>-3.5981240740120546E-3</v>
      </c>
      <c r="P583" s="8">
        <f>+VLOOKUP($B583,NIFTY_FMCG!$B$3:$I$1238,8,0)</f>
        <v>-3.9270834746970573E-3</v>
      </c>
      <c r="Q583" s="8">
        <f>+VLOOKUP($B583,NIFTY_METAL!$B$3:$I$1238,8,0)</f>
        <v>-1.5289157039525492E-2</v>
      </c>
      <c r="R583" s="8">
        <f>+VLOOKUP($B583,NIFTY_ENERGY!$B$3:$I$1238,8,0)</f>
        <v>-9.0563431177228537E-3</v>
      </c>
      <c r="S583" s="8">
        <f>+VLOOKUP($B583,NIFTY_AUTO!$B$3:$I$1238,8,0)</f>
        <v>-1.2710557166656367E-3</v>
      </c>
      <c r="T583" s="8">
        <v>0</v>
      </c>
      <c r="U583" s="8">
        <f>+VLOOKUP($B583,NIFTY_50!$B$63:$K$1238,10,0)</f>
        <v>1.9566190129672867E-2</v>
      </c>
      <c r="V583" s="8">
        <f>+VLOOKUP($B583,NIFTY_BANK!$B$63:$K$1238,10,0)</f>
        <v>5.9781369116152394E-2</v>
      </c>
      <c r="W583" s="8">
        <f>+VLOOKUP($B583,NIFTY_IT!$B$63:$K$1238,10,0)</f>
        <v>-6.6020578489748294E-3</v>
      </c>
      <c r="X583" s="8">
        <f>+VLOOKUP($B583,NIFTY_PHARMA!$B$63:$K$1238,10,0)</f>
        <v>4.2326735452291597E-3</v>
      </c>
      <c r="Y583" s="8">
        <f>+VLOOKUP($B583,NIFTY_FMCG!$B$63:$K$1238,10,0)</f>
        <v>-2.2310100236438091E-2</v>
      </c>
      <c r="Z583" s="8">
        <f>+VLOOKUP($B583,NIFTY_METAL!$B$63:$K$1238,10,0)</f>
        <v>1.3960712331668512E-2</v>
      </c>
      <c r="AA583" s="8">
        <f>+VLOOKUP($B583,NIFTY_ENERGY!$B$63:$K$1238,10,0)</f>
        <v>6.4764861976789323E-3</v>
      </c>
      <c r="AB583" s="8">
        <f>+VLOOKUP($B583,NIFTY_AUTO!$B$63:$K$1238,10,0)</f>
        <v>-5.5349347526670867E-2</v>
      </c>
      <c r="AC583" s="8"/>
      <c r="AD583" s="16">
        <f t="shared" si="342"/>
        <v>5.2472226608255984E-2</v>
      </c>
      <c r="AE583" s="8">
        <f t="shared" si="343"/>
        <v>6.9771243306396127E-2</v>
      </c>
      <c r="AF583" s="8">
        <f t="shared" si="344"/>
        <v>7.364746632118592E-2</v>
      </c>
      <c r="AG583" s="8">
        <f t="shared" si="345"/>
        <v>7.3339778908991515E-2</v>
      </c>
      <c r="AH583" s="8">
        <f t="shared" si="346"/>
        <v>4.8846213805128824E-2</v>
      </c>
      <c r="AI583" s="8">
        <f t="shared" si="347"/>
        <v>0.10591366495618135</v>
      </c>
      <c r="AJ583" s="8">
        <f t="shared" si="348"/>
        <v>9.1138172748594107E-2</v>
      </c>
      <c r="AK583" s="8">
        <f t="shared" si="349"/>
        <v>8.7513161212915011E-2</v>
      </c>
      <c r="AL583" s="9">
        <v>0</v>
      </c>
      <c r="AM583" s="17">
        <f t="shared" si="326"/>
        <v>19.057700895099046</v>
      </c>
      <c r="AN583" s="13">
        <f t="shared" si="327"/>
        <v>14.33255238993752</v>
      </c>
      <c r="AO583" s="13">
        <f t="shared" si="328"/>
        <v>13.578199630641379</v>
      </c>
      <c r="AP583" s="13">
        <f t="shared" si="329"/>
        <v>13.635165184243544</v>
      </c>
      <c r="AQ583" s="13">
        <f t="shared" si="330"/>
        <v>20.472415814856884</v>
      </c>
      <c r="AR583" s="13">
        <f t="shared" si="331"/>
        <v>9.4416523157207379</v>
      </c>
      <c r="AS583" s="13">
        <f t="shared" si="332"/>
        <v>10.972350770719462</v>
      </c>
      <c r="AT583" s="13">
        <f t="shared" si="333"/>
        <v>11.426852671531902</v>
      </c>
      <c r="AU583" s="9">
        <v>0</v>
      </c>
      <c r="AV583" s="18">
        <f t="shared" si="350"/>
        <v>2</v>
      </c>
      <c r="AW583" s="18">
        <f t="shared" si="351"/>
        <v>3</v>
      </c>
      <c r="AX583" s="18">
        <f t="shared" si="352"/>
        <v>5</v>
      </c>
      <c r="AY583" s="18">
        <f t="shared" si="353"/>
        <v>4</v>
      </c>
      <c r="AZ583" s="18">
        <f t="shared" si="354"/>
        <v>1</v>
      </c>
      <c r="BA583" s="18">
        <f t="shared" si="355"/>
        <v>8</v>
      </c>
      <c r="BB583" s="18">
        <f t="shared" si="356"/>
        <v>7</v>
      </c>
      <c r="BC583" s="18">
        <f t="shared" si="357"/>
        <v>6</v>
      </c>
      <c r="BD583" s="18">
        <f t="shared" si="358"/>
        <v>9</v>
      </c>
      <c r="BE583" s="8">
        <f t="shared" si="360"/>
        <v>-2.9708695808489216E-3</v>
      </c>
    </row>
    <row r="584" spans="1:57" x14ac:dyDescent="0.25">
      <c r="A584" t="str">
        <f t="shared" si="359"/>
        <v/>
      </c>
      <c r="B584" s="1">
        <v>43598</v>
      </c>
      <c r="C584" s="9">
        <f t="shared" si="334"/>
        <v>0.24809638764599068</v>
      </c>
      <c r="D584" s="9">
        <f t="shared" si="335"/>
        <v>0.25174313258898823</v>
      </c>
      <c r="E584" s="9">
        <f t="shared" si="336"/>
        <v>0.24970846664911353</v>
      </c>
      <c r="F584" s="9">
        <f t="shared" si="337"/>
        <v>0</v>
      </c>
      <c r="G584" s="9">
        <f t="shared" si="338"/>
        <v>0.25045201311590742</v>
      </c>
      <c r="H584" s="9">
        <f t="shared" si="339"/>
        <v>0</v>
      </c>
      <c r="I584" s="9">
        <f t="shared" si="340"/>
        <v>0</v>
      </c>
      <c r="J584" s="9">
        <f t="shared" si="341"/>
        <v>0</v>
      </c>
      <c r="K584" s="9">
        <v>0</v>
      </c>
      <c r="L584" s="8">
        <f>+VLOOKUP($B584,NIFTY_50!$B$3:$I$1238,8,0)</f>
        <v>-1.1588009469008398E-2</v>
      </c>
      <c r="M584" s="8">
        <f>+VLOOKUP($B584,NIFTY_BANK!$B$3:$I$41238,8,0)</f>
        <v>-1.3104113221191094E-2</v>
      </c>
      <c r="N584" s="8">
        <f>+VLOOKUP($B584,NIFTY_IT!$B$3:$I$1238,8,0)</f>
        <v>3.5737573356064978E-4</v>
      </c>
      <c r="O584" s="8">
        <f>+VLOOKUP($B584,NIFTY_PHARMA!$B$3:$I$1238,8,0)</f>
        <v>-4.3724705408850095E-2</v>
      </c>
      <c r="P584" s="8">
        <f>+VLOOKUP($B584,NIFTY_FMCG!$B$3:$I$1238,8,0)</f>
        <v>-1.0151895241841902E-2</v>
      </c>
      <c r="Q584" s="8">
        <f>+VLOOKUP($B584,NIFTY_METAL!$B$3:$I$1238,8,0)</f>
        <v>-1.7980852915578827E-2</v>
      </c>
      <c r="R584" s="8">
        <f>+VLOOKUP($B584,NIFTY_ENERGY!$B$3:$I$1238,8,0)</f>
        <v>-2.076630404967128E-2</v>
      </c>
      <c r="S584" s="8">
        <f>+VLOOKUP($B584,NIFTY_AUTO!$B$3:$I$1238,8,0)</f>
        <v>-1.909627835713934E-2</v>
      </c>
      <c r="T584" s="8">
        <v>0</v>
      </c>
      <c r="U584" s="8">
        <f>+VLOOKUP($B584,NIFTY_50!$B$63:$K$1238,10,0)</f>
        <v>7.1187236887275684E-3</v>
      </c>
      <c r="V584" s="8">
        <f>+VLOOKUP($B584,NIFTY_BANK!$B$63:$K$1238,10,0)</f>
        <v>4.647435019708146E-2</v>
      </c>
      <c r="W584" s="8">
        <f>+VLOOKUP($B584,NIFTY_IT!$B$63:$K$1238,10,0)</f>
        <v>-8.1158285076636805E-3</v>
      </c>
      <c r="X584" s="8">
        <f>+VLOOKUP($B584,NIFTY_PHARMA!$B$63:$K$1238,10,0)</f>
        <v>-5.5503718467560637E-2</v>
      </c>
      <c r="Y584" s="8">
        <f>+VLOOKUP($B584,NIFTY_FMCG!$B$63:$K$1238,10,0)</f>
        <v>-3.9823169663949609E-2</v>
      </c>
      <c r="Z584" s="8">
        <f>+VLOOKUP($B584,NIFTY_METAL!$B$63:$K$1238,10,0)</f>
        <v>-5.2718809507018571E-3</v>
      </c>
      <c r="AA584" s="8">
        <f>+VLOOKUP($B584,NIFTY_ENERGY!$B$63:$K$1238,10,0)</f>
        <v>-3.4810937202383041E-3</v>
      </c>
      <c r="AB584" s="8">
        <f>+VLOOKUP($B584,NIFTY_AUTO!$B$63:$K$1238,10,0)</f>
        <v>-9.1344558013895516E-2</v>
      </c>
      <c r="AC584" s="8"/>
      <c r="AD584" s="16">
        <f t="shared" si="342"/>
        <v>5.3787439795942034E-2</v>
      </c>
      <c r="AE584" s="8">
        <f t="shared" si="343"/>
        <v>7.1146013246061707E-2</v>
      </c>
      <c r="AF584" s="8">
        <f t="shared" si="344"/>
        <v>7.3622640896624958E-2</v>
      </c>
      <c r="AG584" s="8">
        <f t="shared" si="345"/>
        <v>8.344788946792471E-2</v>
      </c>
      <c r="AH584" s="8">
        <f t="shared" si="346"/>
        <v>4.9077252757890585E-2</v>
      </c>
      <c r="AI584" s="8">
        <f t="shared" si="347"/>
        <v>0.10745329900056999</v>
      </c>
      <c r="AJ584" s="8">
        <f t="shared" si="348"/>
        <v>9.2836664489545098E-2</v>
      </c>
      <c r="AK584" s="8">
        <f t="shared" si="349"/>
        <v>8.6835176885589921E-2</v>
      </c>
      <c r="AL584" s="9">
        <v>0</v>
      </c>
      <c r="AM584" s="17">
        <f t="shared" si="326"/>
        <v>18.591701032690619</v>
      </c>
      <c r="AN584" s="13">
        <f t="shared" si="327"/>
        <v>14.055601352411058</v>
      </c>
      <c r="AO584" s="13">
        <f t="shared" si="328"/>
        <v>13.58277817559031</v>
      </c>
      <c r="AP584" s="13">
        <f t="shared" si="329"/>
        <v>11.98352656221911</v>
      </c>
      <c r="AQ584" s="13">
        <f t="shared" si="330"/>
        <v>20.376038669752578</v>
      </c>
      <c r="AR584" s="13">
        <f t="shared" si="331"/>
        <v>9.3063685275469812</v>
      </c>
      <c r="AS584" s="13">
        <f t="shared" si="332"/>
        <v>10.7716062990675</v>
      </c>
      <c r="AT584" s="13">
        <f t="shared" si="333"/>
        <v>11.516070282410485</v>
      </c>
      <c r="AU584" s="9">
        <v>0</v>
      </c>
      <c r="AV584" s="18">
        <f t="shared" si="350"/>
        <v>2</v>
      </c>
      <c r="AW584" s="18">
        <f t="shared" si="351"/>
        <v>3</v>
      </c>
      <c r="AX584" s="18">
        <f t="shared" si="352"/>
        <v>4</v>
      </c>
      <c r="AY584" s="18">
        <f t="shared" si="353"/>
        <v>5</v>
      </c>
      <c r="AZ584" s="18">
        <f t="shared" si="354"/>
        <v>1</v>
      </c>
      <c r="BA584" s="18">
        <f t="shared" si="355"/>
        <v>8</v>
      </c>
      <c r="BB584" s="18">
        <f t="shared" si="356"/>
        <v>7</v>
      </c>
      <c r="BC584" s="18">
        <f t="shared" si="357"/>
        <v>6</v>
      </c>
      <c r="BD584" s="18">
        <f t="shared" si="358"/>
        <v>9</v>
      </c>
      <c r="BE584" s="8">
        <f t="shared" si="360"/>
        <v>-8.655187007190486E-3</v>
      </c>
    </row>
    <row r="585" spans="1:57" x14ac:dyDescent="0.25">
      <c r="A585" t="str">
        <f t="shared" si="359"/>
        <v/>
      </c>
      <c r="B585" s="1">
        <v>43599</v>
      </c>
      <c r="C585" s="9">
        <f t="shared" si="334"/>
        <v>0.24933668210917012</v>
      </c>
      <c r="D585" s="9">
        <f t="shared" si="335"/>
        <v>0.25282096342601551</v>
      </c>
      <c r="E585" s="9">
        <f t="shared" si="336"/>
        <v>0.24629668597859897</v>
      </c>
      <c r="F585" s="9">
        <f t="shared" si="337"/>
        <v>0</v>
      </c>
      <c r="G585" s="9">
        <f t="shared" si="338"/>
        <v>0.25154566848621546</v>
      </c>
      <c r="H585" s="9">
        <f t="shared" si="339"/>
        <v>0</v>
      </c>
      <c r="I585" s="9">
        <f t="shared" si="340"/>
        <v>0</v>
      </c>
      <c r="J585" s="9">
        <f t="shared" si="341"/>
        <v>0</v>
      </c>
      <c r="K585" s="9">
        <v>0</v>
      </c>
      <c r="L585" s="8">
        <f>+VLOOKUP($B585,NIFTY_50!$B$3:$I$1238,8,0)</f>
        <v>6.6243877935450168E-3</v>
      </c>
      <c r="M585" s="8">
        <f>+VLOOKUP($B585,NIFTY_BANK!$B$3:$I$41238,8,0)</f>
        <v>5.9054534289137983E-3</v>
      </c>
      <c r="N585" s="8">
        <f>+VLOOKUP($B585,NIFTY_IT!$B$3:$I$1238,8,0)</f>
        <v>-1.2068090227071782E-2</v>
      </c>
      <c r="O585" s="8">
        <f>+VLOOKUP($B585,NIFTY_PHARMA!$B$3:$I$1238,8,0)</f>
        <v>1.5245221254457153E-2</v>
      </c>
      <c r="P585" s="8">
        <f>+VLOOKUP($B585,NIFTY_FMCG!$B$3:$I$1238,8,0)</f>
        <v>5.9908468394067604E-3</v>
      </c>
      <c r="Q585" s="8">
        <f>+VLOOKUP($B585,NIFTY_METAL!$B$3:$I$1238,8,0)</f>
        <v>6.0442774341067373E-3</v>
      </c>
      <c r="R585" s="8">
        <f>+VLOOKUP($B585,NIFTY_ENERGY!$B$3:$I$1238,8,0)</f>
        <v>1.4974855161777212E-2</v>
      </c>
      <c r="S585" s="8">
        <f>+VLOOKUP($B585,NIFTY_AUTO!$B$3:$I$1238,8,0)</f>
        <v>2.1225271299276649E-3</v>
      </c>
      <c r="T585" s="8">
        <v>0</v>
      </c>
      <c r="U585" s="8">
        <f>+VLOOKUP($B585,NIFTY_50!$B$63:$K$1238,10,0)</f>
        <v>2.5444095178917214E-2</v>
      </c>
      <c r="V585" s="8">
        <f>+VLOOKUP($B585,NIFTY_BANK!$B$63:$K$1238,10,0)</f>
        <v>5.6231314848466996E-2</v>
      </c>
      <c r="W585" s="8">
        <f>+VLOOKUP($B585,NIFTY_IT!$B$63:$K$1238,10,0)</f>
        <v>-1.6045768361652391E-2</v>
      </c>
      <c r="X585" s="8">
        <f>+VLOOKUP($B585,NIFTY_PHARMA!$B$63:$K$1238,10,0)</f>
        <v>-3.349527259776186E-2</v>
      </c>
      <c r="Y585" s="8">
        <f>+VLOOKUP($B585,NIFTY_FMCG!$B$63:$K$1238,10,0)</f>
        <v>-1.7936413825768716E-2</v>
      </c>
      <c r="Z585" s="8">
        <f>+VLOOKUP($B585,NIFTY_METAL!$B$63:$K$1238,10,0)</f>
        <v>3.5540959678890705E-2</v>
      </c>
      <c r="AA585" s="8">
        <f>+VLOOKUP($B585,NIFTY_ENERGY!$B$63:$K$1238,10,0)</f>
        <v>2.5686625171094324E-2</v>
      </c>
      <c r="AB585" s="8">
        <f>+VLOOKUP($B585,NIFTY_AUTO!$B$63:$K$1238,10,0)</f>
        <v>-5.5205543712553595E-2</v>
      </c>
      <c r="AC585" s="8"/>
      <c r="AD585" s="16">
        <f t="shared" si="342"/>
        <v>5.2891152286929193E-2</v>
      </c>
      <c r="AE585" s="8">
        <f t="shared" si="343"/>
        <v>7.119782927619496E-2</v>
      </c>
      <c r="AF585" s="8">
        <f t="shared" si="344"/>
        <v>7.4475587537580878E-2</v>
      </c>
      <c r="AG585" s="8">
        <f t="shared" si="345"/>
        <v>8.4651136615936748E-2</v>
      </c>
      <c r="AH585" s="8">
        <f t="shared" si="346"/>
        <v>4.6853864318997872E-2</v>
      </c>
      <c r="AI585" s="8">
        <f t="shared" si="347"/>
        <v>0.10211260164649653</v>
      </c>
      <c r="AJ585" s="8">
        <f t="shared" si="348"/>
        <v>9.2927802663353945E-2</v>
      </c>
      <c r="AK585" s="8">
        <f t="shared" si="349"/>
        <v>7.9531107256014311E-2</v>
      </c>
      <c r="AL585" s="9">
        <v>0</v>
      </c>
      <c r="AM585" s="17">
        <f t="shared" si="326"/>
        <v>18.906753904227692</v>
      </c>
      <c r="AN585" s="13">
        <f t="shared" si="327"/>
        <v>14.045372031227792</v>
      </c>
      <c r="AO585" s="13">
        <f t="shared" si="328"/>
        <v>13.427218677467879</v>
      </c>
      <c r="AP585" s="13">
        <f t="shared" si="329"/>
        <v>11.813190465912021</v>
      </c>
      <c r="AQ585" s="13">
        <f t="shared" si="330"/>
        <v>21.342956755746808</v>
      </c>
      <c r="AR585" s="13">
        <f t="shared" si="331"/>
        <v>9.7931105845476214</v>
      </c>
      <c r="AS585" s="13">
        <f t="shared" si="332"/>
        <v>10.761042135287136</v>
      </c>
      <c r="AT585" s="13">
        <f t="shared" si="333"/>
        <v>12.573696437809595</v>
      </c>
      <c r="AU585" s="9">
        <v>0</v>
      </c>
      <c r="AV585" s="18">
        <f t="shared" si="350"/>
        <v>2</v>
      </c>
      <c r="AW585" s="18">
        <f t="shared" si="351"/>
        <v>3</v>
      </c>
      <c r="AX585" s="18">
        <f t="shared" si="352"/>
        <v>4</v>
      </c>
      <c r="AY585" s="18">
        <f t="shared" si="353"/>
        <v>6</v>
      </c>
      <c r="AZ585" s="18">
        <f t="shared" si="354"/>
        <v>1</v>
      </c>
      <c r="BA585" s="18">
        <f t="shared" si="355"/>
        <v>8</v>
      </c>
      <c r="BB585" s="18">
        <f t="shared" si="356"/>
        <v>7</v>
      </c>
      <c r="BC585" s="18">
        <f t="shared" si="357"/>
        <v>5</v>
      </c>
      <c r="BD585" s="18">
        <f t="shared" si="358"/>
        <v>9</v>
      </c>
      <c r="BE585" s="8">
        <f t="shared" si="360"/>
        <v>1.6170593727111023E-3</v>
      </c>
    </row>
    <row r="586" spans="1:57" x14ac:dyDescent="0.25">
      <c r="A586" t="str">
        <f t="shared" si="359"/>
        <v/>
      </c>
      <c r="B586" s="1">
        <v>43600</v>
      </c>
      <c r="C586" s="9">
        <f t="shared" si="334"/>
        <v>0.24876746142924874</v>
      </c>
      <c r="D586" s="9">
        <f t="shared" si="335"/>
        <v>0.25184214640137609</v>
      </c>
      <c r="E586" s="9">
        <f t="shared" si="336"/>
        <v>0.24738745074465932</v>
      </c>
      <c r="F586" s="9">
        <f t="shared" si="337"/>
        <v>0</v>
      </c>
      <c r="G586" s="9">
        <f t="shared" si="338"/>
        <v>0.25200294142471591</v>
      </c>
      <c r="H586" s="9">
        <f t="shared" si="339"/>
        <v>0</v>
      </c>
      <c r="I586" s="9">
        <f t="shared" si="340"/>
        <v>0</v>
      </c>
      <c r="J586" s="9">
        <f t="shared" si="341"/>
        <v>0</v>
      </c>
      <c r="K586" s="9">
        <v>0</v>
      </c>
      <c r="L586" s="8">
        <f>+VLOOKUP($B586,NIFTY_50!$B$3:$I$1238,8,0)</f>
        <v>-5.7966236115504222E-3</v>
      </c>
      <c r="M586" s="8">
        <f>+VLOOKUP($B586,NIFTY_BANK!$B$3:$I$41238,8,0)</f>
        <v>-7.3796706117408295E-3</v>
      </c>
      <c r="N586" s="8">
        <f>+VLOOKUP($B586,NIFTY_IT!$B$3:$I$1238,8,0)</f>
        <v>8.913419295490943E-4</v>
      </c>
      <c r="O586" s="8">
        <f>+VLOOKUP($B586,NIFTY_PHARMA!$B$3:$I$1238,8,0)</f>
        <v>-1.0150969034650292E-2</v>
      </c>
      <c r="P586" s="8">
        <f>+VLOOKUP($B586,NIFTY_FMCG!$B$3:$I$1238,8,0)</f>
        <v>-1.7102729253534177E-3</v>
      </c>
      <c r="Q586" s="8">
        <f>+VLOOKUP($B586,NIFTY_METAL!$B$3:$I$1238,8,0)</f>
        <v>-2.0966207406885373E-2</v>
      </c>
      <c r="R586" s="8">
        <f>+VLOOKUP($B586,NIFTY_ENERGY!$B$3:$I$1238,8,0)</f>
        <v>-8.1172520828869388E-3</v>
      </c>
      <c r="S586" s="8">
        <f>+VLOOKUP($B586,NIFTY_AUTO!$B$3:$I$1238,8,0)</f>
        <v>-1.2400226258563185E-2</v>
      </c>
      <c r="T586" s="8">
        <v>0</v>
      </c>
      <c r="U586" s="8">
        <f>+VLOOKUP($B586,NIFTY_50!$B$63:$K$1238,10,0)</f>
        <v>2.4630813312761735E-2</v>
      </c>
      <c r="V586" s="8">
        <f>+VLOOKUP($B586,NIFTY_BANK!$B$63:$K$1238,10,0)</f>
        <v>5.1001182614827556E-2</v>
      </c>
      <c r="W586" s="8">
        <f>+VLOOKUP($B586,NIFTY_IT!$B$63:$K$1238,10,0)</f>
        <v>-2.0016709060472482E-2</v>
      </c>
      <c r="X586" s="8">
        <f>+VLOOKUP($B586,NIFTY_PHARMA!$B$63:$K$1238,10,0)</f>
        <v>-2.7410047522063774E-2</v>
      </c>
      <c r="Y586" s="8">
        <f>+VLOOKUP($B586,NIFTY_FMCG!$B$63:$K$1238,10,0)</f>
        <v>-1.8278756075819524E-2</v>
      </c>
      <c r="Z586" s="8">
        <f>+VLOOKUP($B586,NIFTY_METAL!$B$63:$K$1238,10,0)</f>
        <v>1.95215030089535E-2</v>
      </c>
      <c r="AA586" s="8">
        <f>+VLOOKUP($B586,NIFTY_ENERGY!$B$63:$K$1238,10,0)</f>
        <v>3.4640890339973751E-2</v>
      </c>
      <c r="AB586" s="8">
        <f>+VLOOKUP($B586,NIFTY_AUTO!$B$63:$K$1238,10,0)</f>
        <v>-5.5701116546278295E-2</v>
      </c>
      <c r="AC586" s="8"/>
      <c r="AD586" s="16">
        <f t="shared" si="342"/>
        <v>5.2978071097667584E-2</v>
      </c>
      <c r="AE586" s="8">
        <f t="shared" si="343"/>
        <v>7.1599651844617515E-2</v>
      </c>
      <c r="AF586" s="8">
        <f t="shared" si="344"/>
        <v>7.4302646427026914E-2</v>
      </c>
      <c r="AG586" s="8">
        <f t="shared" si="345"/>
        <v>8.3709479367854361E-2</v>
      </c>
      <c r="AH586" s="8">
        <f t="shared" si="346"/>
        <v>4.6863185754100548E-2</v>
      </c>
      <c r="AI586" s="8">
        <f t="shared" si="347"/>
        <v>0.10417176598363648</v>
      </c>
      <c r="AJ586" s="8">
        <f t="shared" si="348"/>
        <v>9.1722216880141219E-2</v>
      </c>
      <c r="AK586" s="8">
        <f t="shared" si="349"/>
        <v>7.9604441081548044E-2</v>
      </c>
      <c r="AL586" s="9">
        <v>0</v>
      </c>
      <c r="AM586" s="17">
        <f t="shared" si="326"/>
        <v>18.875734417669769</v>
      </c>
      <c r="AN586" s="13">
        <f t="shared" si="327"/>
        <v>13.966548359343381</v>
      </c>
      <c r="AO586" s="13">
        <f t="shared" si="328"/>
        <v>13.458470836326216</v>
      </c>
      <c r="AP586" s="13">
        <f t="shared" si="329"/>
        <v>11.946078359961874</v>
      </c>
      <c r="AQ586" s="13">
        <f t="shared" si="330"/>
        <v>21.338711483405707</v>
      </c>
      <c r="AR586" s="13">
        <f t="shared" si="331"/>
        <v>9.5995300699527562</v>
      </c>
      <c r="AS586" s="13">
        <f t="shared" si="332"/>
        <v>10.902483978410142</v>
      </c>
      <c r="AT586" s="13">
        <f t="shared" si="333"/>
        <v>12.562113198880251</v>
      </c>
      <c r="AU586" s="9">
        <v>0</v>
      </c>
      <c r="AV586" s="18">
        <f t="shared" si="350"/>
        <v>2</v>
      </c>
      <c r="AW586" s="18">
        <f t="shared" si="351"/>
        <v>3</v>
      </c>
      <c r="AX586" s="18">
        <f t="shared" si="352"/>
        <v>4</v>
      </c>
      <c r="AY586" s="18">
        <f t="shared" si="353"/>
        <v>6</v>
      </c>
      <c r="AZ586" s="18">
        <f t="shared" si="354"/>
        <v>1</v>
      </c>
      <c r="BA586" s="18">
        <f t="shared" si="355"/>
        <v>8</v>
      </c>
      <c r="BB586" s="18">
        <f t="shared" si="356"/>
        <v>7</v>
      </c>
      <c r="BC586" s="18">
        <f t="shared" si="357"/>
        <v>5</v>
      </c>
      <c r="BD586" s="18">
        <f t="shared" si="358"/>
        <v>9</v>
      </c>
      <c r="BE586" s="8">
        <f t="shared" si="360"/>
        <v>-3.5217235155468158E-3</v>
      </c>
    </row>
    <row r="587" spans="1:57" x14ac:dyDescent="0.25">
      <c r="A587" t="str">
        <f t="shared" si="359"/>
        <v/>
      </c>
      <c r="B587" s="1">
        <v>43601</v>
      </c>
      <c r="C587" s="9">
        <f t="shared" si="334"/>
        <v>0.24921120161605864</v>
      </c>
      <c r="D587" s="9">
        <f t="shared" si="335"/>
        <v>0.25213500408072487</v>
      </c>
      <c r="E587" s="9">
        <f t="shared" si="336"/>
        <v>0.24807240207504819</v>
      </c>
      <c r="F587" s="9">
        <f t="shared" si="337"/>
        <v>0</v>
      </c>
      <c r="G587" s="9">
        <f t="shared" si="338"/>
        <v>0.25058139222816844</v>
      </c>
      <c r="H587" s="9">
        <f t="shared" si="339"/>
        <v>0</v>
      </c>
      <c r="I587" s="9">
        <f t="shared" si="340"/>
        <v>0</v>
      </c>
      <c r="J587" s="9">
        <f t="shared" si="341"/>
        <v>0</v>
      </c>
      <c r="K587" s="9">
        <v>0</v>
      </c>
      <c r="L587" s="8">
        <f>+VLOOKUP($B587,NIFTY_50!$B$3:$I$1238,8,0)</f>
        <v>8.9719458635835192E-3</v>
      </c>
      <c r="M587" s="8">
        <f>+VLOOKUP($B587,NIFTY_BANK!$B$3:$I$41238,8,0)</f>
        <v>8.3465978484402736E-3</v>
      </c>
      <c r="N587" s="8">
        <f>+VLOOKUP($B587,NIFTY_IT!$B$3:$I$1238,8,0)</f>
        <v>9.9639977688759096E-3</v>
      </c>
      <c r="O587" s="8">
        <f>+VLOOKUP($B587,NIFTY_PHARMA!$B$3:$I$1238,8,0)</f>
        <v>-2.1405927347817322E-3</v>
      </c>
      <c r="P587" s="8">
        <f>+VLOOKUP($B587,NIFTY_FMCG!$B$3:$I$1238,8,0)</f>
        <v>1.4939129898476899E-3</v>
      </c>
      <c r="Q587" s="8">
        <f>+VLOOKUP($B587,NIFTY_METAL!$B$3:$I$1238,8,0)</f>
        <v>1.1679383818024691E-2</v>
      </c>
      <c r="R587" s="8">
        <f>+VLOOKUP($B587,NIFTY_ENERGY!$B$3:$I$1238,8,0)</f>
        <v>1.6802734004176978E-2</v>
      </c>
      <c r="S587" s="8">
        <f>+VLOOKUP($B587,NIFTY_AUTO!$B$3:$I$1238,8,0)</f>
        <v>4.4610753673544057E-3</v>
      </c>
      <c r="T587" s="8">
        <v>0</v>
      </c>
      <c r="U587" s="8">
        <f>+VLOOKUP($B587,NIFTY_50!$B$63:$K$1238,10,0)</f>
        <v>3.9302398581900766E-2</v>
      </c>
      <c r="V587" s="8">
        <f>+VLOOKUP($B587,NIFTY_BANK!$B$63:$K$1238,10,0)</f>
        <v>6.8289477337726723E-2</v>
      </c>
      <c r="W587" s="8">
        <f>+VLOOKUP($B587,NIFTY_IT!$B$63:$K$1238,10,0)</f>
        <v>-2.9174365457551588E-4</v>
      </c>
      <c r="X587" s="8">
        <f>+VLOOKUP($B587,NIFTY_PHARMA!$B$63:$K$1238,10,0)</f>
        <v>-3.6788527728959797E-2</v>
      </c>
      <c r="Y587" s="8">
        <f>+VLOOKUP($B587,NIFTY_FMCG!$B$63:$K$1238,10,0)</f>
        <v>-1.0002032244953218E-2</v>
      </c>
      <c r="Z587" s="8">
        <f>+VLOOKUP($B587,NIFTY_METAL!$B$63:$K$1238,10,0)</f>
        <v>1.5498834877797574E-2</v>
      </c>
      <c r="AA587" s="8">
        <f>+VLOOKUP($B587,NIFTY_ENERGY!$B$63:$K$1238,10,0)</f>
        <v>4.9236090703039803E-2</v>
      </c>
      <c r="AB587" s="8">
        <f>+VLOOKUP($B587,NIFTY_AUTO!$B$63:$K$1238,10,0)</f>
        <v>-4.6653217525760793E-2</v>
      </c>
      <c r="AC587" s="8"/>
      <c r="AD587" s="16">
        <f t="shared" si="342"/>
        <v>5.3329516882712855E-2</v>
      </c>
      <c r="AE587" s="8">
        <f t="shared" si="343"/>
        <v>7.1416179016107445E-2</v>
      </c>
      <c r="AF587" s="8">
        <f t="shared" si="344"/>
        <v>7.4335670579035271E-2</v>
      </c>
      <c r="AG587" s="8">
        <f t="shared" si="345"/>
        <v>8.3337888917362032E-2</v>
      </c>
      <c r="AH587" s="8">
        <f t="shared" si="346"/>
        <v>4.6418562352438249E-2</v>
      </c>
      <c r="AI587" s="8">
        <f t="shared" si="347"/>
        <v>0.10365844646237192</v>
      </c>
      <c r="AJ587" s="8">
        <f t="shared" si="348"/>
        <v>9.3097813619000519E-2</v>
      </c>
      <c r="AK587" s="8">
        <f t="shared" si="349"/>
        <v>7.9664741571939326E-2</v>
      </c>
      <c r="AL587" s="9">
        <v>0</v>
      </c>
      <c r="AM587" s="17">
        <f t="shared" si="326"/>
        <v>18.7513418169396</v>
      </c>
      <c r="AN587" s="13">
        <f t="shared" si="327"/>
        <v>14.002429334317322</v>
      </c>
      <c r="AO587" s="13">
        <f t="shared" si="328"/>
        <v>13.452491814636671</v>
      </c>
      <c r="AP587" s="13">
        <f t="shared" si="329"/>
        <v>11.999344031759689</v>
      </c>
      <c r="AQ587" s="13">
        <f t="shared" si="330"/>
        <v>21.543105803393598</v>
      </c>
      <c r="AR587" s="13">
        <f t="shared" si="331"/>
        <v>9.6470672109001807</v>
      </c>
      <c r="AS587" s="13">
        <f t="shared" si="332"/>
        <v>10.741390813885966</v>
      </c>
      <c r="AT587" s="13">
        <f t="shared" si="333"/>
        <v>12.55260458099866</v>
      </c>
      <c r="AU587" s="9">
        <v>0</v>
      </c>
      <c r="AV587" s="18">
        <f t="shared" si="350"/>
        <v>2</v>
      </c>
      <c r="AW587" s="18">
        <f t="shared" si="351"/>
        <v>3</v>
      </c>
      <c r="AX587" s="18">
        <f t="shared" si="352"/>
        <v>4</v>
      </c>
      <c r="AY587" s="18">
        <f t="shared" si="353"/>
        <v>6</v>
      </c>
      <c r="AZ587" s="18">
        <f t="shared" si="354"/>
        <v>1</v>
      </c>
      <c r="BA587" s="18">
        <f t="shared" si="355"/>
        <v>8</v>
      </c>
      <c r="BB587" s="18">
        <f t="shared" si="356"/>
        <v>7</v>
      </c>
      <c r="BC587" s="18">
        <f t="shared" si="357"/>
        <v>5</v>
      </c>
      <c r="BD587" s="18">
        <f t="shared" si="358"/>
        <v>9</v>
      </c>
      <c r="BE587" s="8">
        <f t="shared" si="360"/>
        <v>7.1753917888065207E-3</v>
      </c>
    </row>
    <row r="588" spans="1:57" x14ac:dyDescent="0.25">
      <c r="A588" t="str">
        <f t="shared" si="359"/>
        <v/>
      </c>
      <c r="B588" s="1">
        <v>43602</v>
      </c>
      <c r="C588" s="9">
        <f t="shared" si="334"/>
        <v>0.24919456787743549</v>
      </c>
      <c r="D588" s="9">
        <f t="shared" si="335"/>
        <v>0.25393083688697049</v>
      </c>
      <c r="E588" s="9">
        <f t="shared" si="336"/>
        <v>0.24340102881810227</v>
      </c>
      <c r="F588" s="9">
        <f t="shared" si="337"/>
        <v>0</v>
      </c>
      <c r="G588" s="9">
        <f t="shared" si="338"/>
        <v>0.25347356641749164</v>
      </c>
      <c r="H588" s="9">
        <f t="shared" si="339"/>
        <v>0</v>
      </c>
      <c r="I588" s="9">
        <f t="shared" si="340"/>
        <v>0</v>
      </c>
      <c r="J588" s="9">
        <f t="shared" si="341"/>
        <v>0</v>
      </c>
      <c r="K588" s="9">
        <v>0</v>
      </c>
      <c r="L588" s="8">
        <f>+VLOOKUP($B588,NIFTY_50!$B$3:$I$1238,8,0)</f>
        <v>1.3329365467127374E-2</v>
      </c>
      <c r="M588" s="8">
        <f>+VLOOKUP($B588,NIFTY_BANK!$B$3:$I$41238,8,0)</f>
        <v>2.0614930359414085E-2</v>
      </c>
      <c r="N588" s="8">
        <f>+VLOOKUP($B588,NIFTY_IT!$B$3:$I$1238,8,0)</f>
        <v>-5.6859545625705943E-3</v>
      </c>
      <c r="O588" s="8">
        <f>+VLOOKUP($B588,NIFTY_PHARMA!$B$3:$I$1238,8,0)</f>
        <v>-1.4969658460946556E-2</v>
      </c>
      <c r="P588" s="8">
        <f>+VLOOKUP($B588,NIFTY_FMCG!$B$3:$I$1238,8,0)</f>
        <v>2.5093486881045068E-2</v>
      </c>
      <c r="Q588" s="8">
        <f>+VLOOKUP($B588,NIFTY_METAL!$B$3:$I$1238,8,0)</f>
        <v>-1.2807513741394105E-3</v>
      </c>
      <c r="R588" s="8">
        <f>+VLOOKUP($B588,NIFTY_ENERGY!$B$3:$I$1238,8,0)</f>
        <v>4.9578422440355041E-4</v>
      </c>
      <c r="S588" s="8">
        <f>+VLOOKUP($B588,NIFTY_AUTO!$B$3:$I$1238,8,0)</f>
        <v>2.4563159695383918E-2</v>
      </c>
      <c r="T588" s="8">
        <v>0</v>
      </c>
      <c r="U588" s="8">
        <f>+VLOOKUP($B588,NIFTY_50!$B$63:$K$1238,10,0)</f>
        <v>5.6838974767571715E-2</v>
      </c>
      <c r="V588" s="8">
        <f>+VLOOKUP($B588,NIFTY_BANK!$B$63:$K$1238,10,0)</f>
        <v>9.5395642244489487E-2</v>
      </c>
      <c r="W588" s="8">
        <f>+VLOOKUP($B588,NIFTY_IT!$B$63:$K$1238,10,0)</f>
        <v>-1.2358454398394225E-2</v>
      </c>
      <c r="X588" s="8">
        <f>+VLOOKUP($B588,NIFTY_PHARMA!$B$63:$K$1238,10,0)</f>
        <v>-4.4209395062077439E-2</v>
      </c>
      <c r="Y588" s="8">
        <f>+VLOOKUP($B588,NIFTY_FMCG!$B$63:$K$1238,10,0)</f>
        <v>1.7787930770929217E-2</v>
      </c>
      <c r="Z588" s="8">
        <f>+VLOOKUP($B588,NIFTY_METAL!$B$63:$K$1238,10,0)</f>
        <v>2.3908523908523938E-2</v>
      </c>
      <c r="AA588" s="8">
        <f>+VLOOKUP($B588,NIFTY_ENERGY!$B$63:$K$1238,10,0)</f>
        <v>6.6032525735533643E-2</v>
      </c>
      <c r="AB588" s="8">
        <f>+VLOOKUP($B588,NIFTY_AUTO!$B$63:$K$1238,10,0)</f>
        <v>-1.1225856154960856E-2</v>
      </c>
      <c r="AC588" s="8"/>
      <c r="AD588" s="16">
        <f t="shared" si="342"/>
        <v>5.4615795159262889E-2</v>
      </c>
      <c r="AE588" s="8">
        <f t="shared" si="343"/>
        <v>7.3732054666163782E-2</v>
      </c>
      <c r="AF588" s="8">
        <f t="shared" si="344"/>
        <v>7.4262547377121083E-2</v>
      </c>
      <c r="AG588" s="8">
        <f t="shared" si="345"/>
        <v>8.4298347205201907E-2</v>
      </c>
      <c r="AH588" s="8">
        <f t="shared" si="346"/>
        <v>5.2643814330003265E-2</v>
      </c>
      <c r="AI588" s="8">
        <f t="shared" si="347"/>
        <v>0.10319930002652418</v>
      </c>
      <c r="AJ588" s="8">
        <f t="shared" si="348"/>
        <v>9.1668823102796448E-2</v>
      </c>
      <c r="AK588" s="8">
        <f t="shared" si="349"/>
        <v>8.2667169617099565E-2</v>
      </c>
      <c r="AL588" s="9">
        <v>0</v>
      </c>
      <c r="AM588" s="17">
        <f t="shared" si="326"/>
        <v>18.309721520742137</v>
      </c>
      <c r="AN588" s="13">
        <f t="shared" si="327"/>
        <v>13.562622180104631</v>
      </c>
      <c r="AO588" s="13">
        <f t="shared" si="328"/>
        <v>13.465737916608036</v>
      </c>
      <c r="AP588" s="13">
        <f t="shared" si="329"/>
        <v>11.862628783999359</v>
      </c>
      <c r="AQ588" s="13">
        <f t="shared" si="330"/>
        <v>18.995584053453939</v>
      </c>
      <c r="AR588" s="13">
        <f t="shared" si="331"/>
        <v>9.6899882047938402</v>
      </c>
      <c r="AS588" s="13">
        <f t="shared" si="332"/>
        <v>10.908834281406783</v>
      </c>
      <c r="AT588" s="13">
        <f t="shared" si="333"/>
        <v>12.096700596280627</v>
      </c>
      <c r="AU588" s="9">
        <v>0</v>
      </c>
      <c r="AV588" s="18">
        <f t="shared" si="350"/>
        <v>2</v>
      </c>
      <c r="AW588" s="18">
        <f t="shared" si="351"/>
        <v>3</v>
      </c>
      <c r="AX588" s="18">
        <f t="shared" si="352"/>
        <v>4</v>
      </c>
      <c r="AY588" s="18">
        <f t="shared" si="353"/>
        <v>6</v>
      </c>
      <c r="AZ588" s="18">
        <f t="shared" si="354"/>
        <v>1</v>
      </c>
      <c r="BA588" s="18">
        <f t="shared" si="355"/>
        <v>8</v>
      </c>
      <c r="BB588" s="18">
        <f t="shared" si="356"/>
        <v>7</v>
      </c>
      <c r="BC588" s="18">
        <f t="shared" si="357"/>
        <v>5</v>
      </c>
      <c r="BD588" s="18">
        <f t="shared" si="358"/>
        <v>9</v>
      </c>
      <c r="BE588" s="8">
        <f t="shared" si="360"/>
        <v>1.3397005207222226E-2</v>
      </c>
    </row>
    <row r="589" spans="1:57" x14ac:dyDescent="0.25">
      <c r="A589" t="str">
        <f t="shared" si="359"/>
        <v/>
      </c>
      <c r="B589" s="1">
        <v>43605</v>
      </c>
      <c r="C589" s="9">
        <f t="shared" si="334"/>
        <v>0.25151205250056075</v>
      </c>
      <c r="D589" s="9">
        <f t="shared" si="335"/>
        <v>0.25815878944662529</v>
      </c>
      <c r="E589" s="9">
        <f t="shared" si="336"/>
        <v>0.23878490754432935</v>
      </c>
      <c r="F589" s="9">
        <f t="shared" si="337"/>
        <v>0</v>
      </c>
      <c r="G589" s="9">
        <f t="shared" si="338"/>
        <v>0.25154425050848456</v>
      </c>
      <c r="H589" s="9">
        <f t="shared" si="339"/>
        <v>0</v>
      </c>
      <c r="I589" s="9">
        <f t="shared" si="340"/>
        <v>0</v>
      </c>
      <c r="J589" s="9">
        <f t="shared" si="341"/>
        <v>0</v>
      </c>
      <c r="K589" s="9">
        <v>0</v>
      </c>
      <c r="L589" s="8">
        <f>+VLOOKUP($B589,NIFTY_50!$B$3:$I$1238,8,0)</f>
        <v>3.691544338419317E-2</v>
      </c>
      <c r="M589" s="8">
        <f>+VLOOKUP($B589,NIFTY_BANK!$B$3:$I$41238,8,0)</f>
        <v>4.4466666553480971E-2</v>
      </c>
      <c r="N589" s="8">
        <f>+VLOOKUP($B589,NIFTY_IT!$B$3:$I$1238,8,0)</f>
        <v>7.8770970877464208E-3</v>
      </c>
      <c r="O589" s="8">
        <f>+VLOOKUP($B589,NIFTY_PHARMA!$B$3:$I$1238,8,0)</f>
        <v>6.7464004402912892E-3</v>
      </c>
      <c r="P589" s="8">
        <f>+VLOOKUP($B589,NIFTY_FMCG!$B$3:$I$1238,8,0)</f>
        <v>1.9541321300373893E-2</v>
      </c>
      <c r="Q589" s="8">
        <f>+VLOOKUP($B589,NIFTY_METAL!$B$3:$I$1238,8,0)</f>
        <v>3.2736663995012849E-2</v>
      </c>
      <c r="R589" s="8">
        <f>+VLOOKUP($B589,NIFTY_ENERGY!$B$3:$I$1238,8,0)</f>
        <v>4.5161580961023073E-2</v>
      </c>
      <c r="S589" s="8">
        <f>+VLOOKUP($B589,NIFTY_AUTO!$B$3:$I$1238,8,0)</f>
        <v>4.1597872800915203E-2</v>
      </c>
      <c r="T589" s="8">
        <v>0</v>
      </c>
      <c r="U589" s="8">
        <f>+VLOOKUP($B589,NIFTY_50!$B$63:$K$1238,10,0)</f>
        <v>0.10070677132527783</v>
      </c>
      <c r="V589" s="8">
        <f>+VLOOKUP($B589,NIFTY_BANK!$B$63:$K$1238,10,0)</f>
        <v>0.14049001505342873</v>
      </c>
      <c r="W589" s="8">
        <f>+VLOOKUP($B589,NIFTY_IT!$B$63:$K$1238,10,0)</f>
        <v>6.7174600372597038E-3</v>
      </c>
      <c r="X589" s="8">
        <f>+VLOOKUP($B589,NIFTY_PHARMA!$B$63:$K$1238,10,0)</f>
        <v>-4.6514365142530378E-2</v>
      </c>
      <c r="Y589" s="8">
        <f>+VLOOKUP($B589,NIFTY_FMCG!$B$63:$K$1238,10,0)</f>
        <v>3.7220578273735372E-2</v>
      </c>
      <c r="Z589" s="8">
        <f>+VLOOKUP($B589,NIFTY_METAL!$B$63:$K$1238,10,0)</f>
        <v>6.0541766502661298E-2</v>
      </c>
      <c r="AA589" s="8">
        <f>+VLOOKUP($B589,NIFTY_ENERGY!$B$63:$K$1238,10,0)</f>
        <v>0.13291152485856395</v>
      </c>
      <c r="AB589" s="8">
        <f>+VLOOKUP($B589,NIFTY_AUTO!$B$63:$K$1238,10,0)</f>
        <v>2.4168982227437796E-2</v>
      </c>
      <c r="AC589" s="8"/>
      <c r="AD589" s="16">
        <f t="shared" si="342"/>
        <v>6.4971021819508784E-2</v>
      </c>
      <c r="AE589" s="8">
        <f t="shared" si="343"/>
        <v>8.5138493328774573E-2</v>
      </c>
      <c r="AF589" s="8">
        <f t="shared" si="344"/>
        <v>7.3831894137055543E-2</v>
      </c>
      <c r="AG589" s="8">
        <f t="shared" si="345"/>
        <v>8.4047803611914995E-2</v>
      </c>
      <c r="AH589" s="8">
        <f t="shared" si="346"/>
        <v>5.5992410469114517E-2</v>
      </c>
      <c r="AI589" s="8">
        <f t="shared" si="347"/>
        <v>0.10797431465411741</v>
      </c>
      <c r="AJ589" s="8">
        <f t="shared" si="348"/>
        <v>9.9844590778578587E-2</v>
      </c>
      <c r="AK589" s="8">
        <f t="shared" si="349"/>
        <v>9.230891792613069E-2</v>
      </c>
      <c r="AL589" s="9">
        <v>0</v>
      </c>
      <c r="AM589" s="17">
        <f t="shared" si="326"/>
        <v>15.391477184675137</v>
      </c>
      <c r="AN589" s="13">
        <f t="shared" si="327"/>
        <v>11.745568436809842</v>
      </c>
      <c r="AO589" s="13">
        <f t="shared" si="328"/>
        <v>13.544282070614104</v>
      </c>
      <c r="AP589" s="13">
        <f t="shared" si="329"/>
        <v>11.897990869784437</v>
      </c>
      <c r="AQ589" s="13">
        <f t="shared" si="330"/>
        <v>17.859563316203385</v>
      </c>
      <c r="AR589" s="13">
        <f t="shared" si="331"/>
        <v>9.2614618875181414</v>
      </c>
      <c r="AS589" s="13">
        <f t="shared" si="332"/>
        <v>10.015565111761143</v>
      </c>
      <c r="AT589" s="13">
        <f t="shared" si="333"/>
        <v>10.83318949530142</v>
      </c>
      <c r="AU589" s="9">
        <v>0</v>
      </c>
      <c r="AV589" s="18">
        <f t="shared" si="350"/>
        <v>2</v>
      </c>
      <c r="AW589" s="18">
        <f t="shared" si="351"/>
        <v>5</v>
      </c>
      <c r="AX589" s="18">
        <f t="shared" si="352"/>
        <v>3</v>
      </c>
      <c r="AY589" s="18">
        <f t="shared" si="353"/>
        <v>4</v>
      </c>
      <c r="AZ589" s="18">
        <f t="shared" si="354"/>
        <v>1</v>
      </c>
      <c r="BA589" s="18">
        <f t="shared" si="355"/>
        <v>8</v>
      </c>
      <c r="BB589" s="18">
        <f t="shared" si="356"/>
        <v>7</v>
      </c>
      <c r="BC589" s="18">
        <f t="shared" si="357"/>
        <v>6</v>
      </c>
      <c r="BD589" s="18">
        <f t="shared" si="358"/>
        <v>9</v>
      </c>
      <c r="BE589" s="8">
        <f t="shared" si="360"/>
        <v>2.7361087751400656E-2</v>
      </c>
    </row>
    <row r="590" spans="1:57" x14ac:dyDescent="0.25">
      <c r="A590" t="str">
        <f t="shared" si="359"/>
        <v/>
      </c>
      <c r="B590" s="1">
        <v>43606</v>
      </c>
      <c r="C590" s="9">
        <f t="shared" si="334"/>
        <v>0.2513438712078126</v>
      </c>
      <c r="D590" s="9">
        <f t="shared" si="335"/>
        <v>0.25678775431664369</v>
      </c>
      <c r="E590" s="9">
        <f t="shared" si="336"/>
        <v>0.23801541181050276</v>
      </c>
      <c r="F590" s="9">
        <f t="shared" si="337"/>
        <v>0</v>
      </c>
      <c r="G590" s="9">
        <f t="shared" si="338"/>
        <v>0.25385296266504098</v>
      </c>
      <c r="H590" s="9">
        <f t="shared" si="339"/>
        <v>0</v>
      </c>
      <c r="I590" s="9">
        <f t="shared" si="340"/>
        <v>0</v>
      </c>
      <c r="J590" s="9">
        <f t="shared" si="341"/>
        <v>0</v>
      </c>
      <c r="K590" s="9">
        <v>0</v>
      </c>
      <c r="L590" s="8">
        <f>+VLOOKUP($B590,NIFTY_50!$B$3:$I$1238,8,0)</f>
        <v>-1.0073341364952526E-2</v>
      </c>
      <c r="M590" s="8">
        <f>+VLOOKUP($B590,NIFTY_BANK!$B$3:$I$41238,8,0)</f>
        <v>-1.4671794588373754E-2</v>
      </c>
      <c r="N590" s="8">
        <f>+VLOOKUP($B590,NIFTY_IT!$B$3:$I$1238,8,0)</f>
        <v>-1.2603173807943291E-2</v>
      </c>
      <c r="O590" s="8">
        <f>+VLOOKUP($B590,NIFTY_PHARMA!$B$3:$I$1238,8,0)</f>
        <v>-2.0808963137569636E-3</v>
      </c>
      <c r="P590" s="8">
        <f>+VLOOKUP($B590,NIFTY_FMCG!$B$3:$I$1238,8,0)</f>
        <v>-3.1917348797694256E-4</v>
      </c>
      <c r="Q590" s="8">
        <f>+VLOOKUP($B590,NIFTY_METAL!$B$3:$I$1238,8,0)</f>
        <v>-1.548729800113835E-2</v>
      </c>
      <c r="R590" s="8">
        <f>+VLOOKUP($B590,NIFTY_ENERGY!$B$3:$I$1238,8,0)</f>
        <v>-9.4209502229009034E-3</v>
      </c>
      <c r="S590" s="8">
        <f>+VLOOKUP($B590,NIFTY_AUTO!$B$3:$I$1238,8,0)</f>
        <v>-2.5249047149760728E-2</v>
      </c>
      <c r="T590" s="8">
        <v>0</v>
      </c>
      <c r="U590" s="8">
        <f>+VLOOKUP($B590,NIFTY_50!$B$63:$K$1238,10,0)</f>
        <v>9.1818656521577058E-2</v>
      </c>
      <c r="V590" s="8">
        <f>+VLOOKUP($B590,NIFTY_BANK!$B$63:$K$1238,10,0)</f>
        <v>0.13115313919964167</v>
      </c>
      <c r="W590" s="8">
        <f>+VLOOKUP($B590,NIFTY_IT!$B$63:$K$1238,10,0)</f>
        <v>-3.0760767849464798E-3</v>
      </c>
      <c r="X590" s="8">
        <f>+VLOOKUP($B590,NIFTY_PHARMA!$B$63:$K$1238,10,0)</f>
        <v>-1.7938750245855117E-2</v>
      </c>
      <c r="Y590" s="8">
        <f>+VLOOKUP($B590,NIFTY_FMCG!$B$63:$K$1238,10,0)</f>
        <v>4.1925545308453716E-2</v>
      </c>
      <c r="Z590" s="8">
        <f>+VLOOKUP($B590,NIFTY_METAL!$B$63:$K$1238,10,0)</f>
        <v>6.6172350677972558E-2</v>
      </c>
      <c r="AA590" s="8">
        <f>+VLOOKUP($B590,NIFTY_ENERGY!$B$63:$K$1238,10,0)</f>
        <v>0.10048602964062536</v>
      </c>
      <c r="AB590" s="8">
        <f>+VLOOKUP($B590,NIFTY_AUTO!$B$63:$K$1238,10,0)</f>
        <v>9.4558287376038663E-3</v>
      </c>
      <c r="AC590" s="8"/>
      <c r="AD590" s="16">
        <f t="shared" si="342"/>
        <v>6.5905296392507182E-2</v>
      </c>
      <c r="AE590" s="8">
        <f t="shared" si="343"/>
        <v>8.6348350383879821E-2</v>
      </c>
      <c r="AF590" s="8">
        <f t="shared" si="344"/>
        <v>7.4853280220885013E-2</v>
      </c>
      <c r="AG590" s="8">
        <f t="shared" si="345"/>
        <v>7.8282475387913802E-2</v>
      </c>
      <c r="AH590" s="8">
        <f t="shared" si="346"/>
        <v>5.5730732990799038E-2</v>
      </c>
      <c r="AI590" s="8">
        <f t="shared" si="347"/>
        <v>0.10704631959451499</v>
      </c>
      <c r="AJ590" s="8">
        <f t="shared" si="348"/>
        <v>9.8880296092229106E-2</v>
      </c>
      <c r="AK590" s="8">
        <f t="shared" si="349"/>
        <v>9.5112135530799932E-2</v>
      </c>
      <c r="AL590" s="9">
        <v>0</v>
      </c>
      <c r="AM590" s="17">
        <f t="shared" si="326"/>
        <v>15.173287349234814</v>
      </c>
      <c r="AN590" s="13">
        <f t="shared" si="327"/>
        <v>11.580997153440556</v>
      </c>
      <c r="AO590" s="13">
        <f t="shared" si="328"/>
        <v>13.359467975873519</v>
      </c>
      <c r="AP590" s="13">
        <f t="shared" si="329"/>
        <v>12.77425113404618</v>
      </c>
      <c r="AQ590" s="13">
        <f t="shared" si="330"/>
        <v>17.943420915800566</v>
      </c>
      <c r="AR590" s="13">
        <f t="shared" si="331"/>
        <v>9.3417504103638471</v>
      </c>
      <c r="AS590" s="13">
        <f t="shared" si="332"/>
        <v>10.11323832472412</v>
      </c>
      <c r="AT590" s="13">
        <f t="shared" si="333"/>
        <v>10.513905448754985</v>
      </c>
      <c r="AU590" s="9">
        <v>0</v>
      </c>
      <c r="AV590" s="18">
        <f t="shared" si="350"/>
        <v>2</v>
      </c>
      <c r="AW590" s="18">
        <f t="shared" si="351"/>
        <v>5</v>
      </c>
      <c r="AX590" s="18">
        <f t="shared" si="352"/>
        <v>3</v>
      </c>
      <c r="AY590" s="18">
        <f t="shared" si="353"/>
        <v>4</v>
      </c>
      <c r="AZ590" s="18">
        <f t="shared" si="354"/>
        <v>1</v>
      </c>
      <c r="BA590" s="18">
        <f t="shared" si="355"/>
        <v>8</v>
      </c>
      <c r="BB590" s="18">
        <f t="shared" si="356"/>
        <v>7</v>
      </c>
      <c r="BC590" s="18">
        <f t="shared" si="357"/>
        <v>6</v>
      </c>
      <c r="BD590" s="18">
        <f t="shared" si="358"/>
        <v>9</v>
      </c>
      <c r="BE590" s="8">
        <f t="shared" si="360"/>
        <v>-9.4109534404923159E-3</v>
      </c>
    </row>
    <row r="591" spans="1:57" x14ac:dyDescent="0.25">
      <c r="A591" t="str">
        <f t="shared" si="359"/>
        <v/>
      </c>
      <c r="B591" s="1">
        <v>43607</v>
      </c>
      <c r="C591" s="9">
        <f t="shared" si="334"/>
        <v>0.25233195695872362</v>
      </c>
      <c r="D591" s="9">
        <f t="shared" si="335"/>
        <v>0.25901782139979956</v>
      </c>
      <c r="E591" s="9">
        <f t="shared" si="336"/>
        <v>0.23684091762713627</v>
      </c>
      <c r="F591" s="9">
        <f t="shared" si="337"/>
        <v>0</v>
      </c>
      <c r="G591" s="9">
        <f t="shared" si="338"/>
        <v>0.25180930401434048</v>
      </c>
      <c r="H591" s="9">
        <f t="shared" si="339"/>
        <v>0</v>
      </c>
      <c r="I591" s="9">
        <f t="shared" si="340"/>
        <v>0</v>
      </c>
      <c r="J591" s="9">
        <f t="shared" si="341"/>
        <v>0</v>
      </c>
      <c r="K591" s="9">
        <v>0</v>
      </c>
      <c r="L591" s="8">
        <f>+VLOOKUP($B591,NIFTY_50!$B$3:$I$1238,8,0)</f>
        <v>2.4596254195454748E-3</v>
      </c>
      <c r="M591" s="8">
        <f>+VLOOKUP($B591,NIFTY_BANK!$B$3:$I$41238,8,0)</f>
        <v>7.2059231104246724E-3</v>
      </c>
      <c r="N591" s="8">
        <f>+VLOOKUP($B591,NIFTY_IT!$B$3:$I$1238,8,0)</f>
        <v>-6.3931197853739352E-3</v>
      </c>
      <c r="O591" s="8">
        <f>+VLOOKUP($B591,NIFTY_PHARMA!$B$3:$I$1238,8,0)</f>
        <v>2.662504049715908E-3</v>
      </c>
      <c r="P591" s="8">
        <f>+VLOOKUP($B591,NIFTY_FMCG!$B$3:$I$1238,8,0)</f>
        <v>-9.5045828298605528E-3</v>
      </c>
      <c r="Q591" s="8">
        <f>+VLOOKUP($B591,NIFTY_METAL!$B$3:$I$1238,8,0)</f>
        <v>3.5736182885170997E-3</v>
      </c>
      <c r="R591" s="8">
        <f>+VLOOKUP($B591,NIFTY_ENERGY!$B$3:$I$1238,8,0)</f>
        <v>5.2556659248854665E-3</v>
      </c>
      <c r="S591" s="8">
        <f>+VLOOKUP($B591,NIFTY_AUTO!$B$3:$I$1238,8,0)</f>
        <v>4.5191821620205186E-3</v>
      </c>
      <c r="T591" s="8">
        <v>0</v>
      </c>
      <c r="U591" s="8">
        <f>+VLOOKUP($B591,NIFTY_50!$B$63:$K$1238,10,0)</f>
        <v>0.10308760026125485</v>
      </c>
      <c r="V591" s="8">
        <f>+VLOOKUP($B591,NIFTY_BANK!$B$63:$K$1238,10,0)</f>
        <v>0.14528827485297846</v>
      </c>
      <c r="W591" s="8">
        <f>+VLOOKUP($B591,NIFTY_IT!$B$63:$K$1238,10,0)</f>
        <v>4.5660642442046928E-4</v>
      </c>
      <c r="X591" s="8">
        <f>+VLOOKUP($B591,NIFTY_PHARMA!$B$63:$K$1238,10,0)</f>
        <v>-7.35950174656963E-3</v>
      </c>
      <c r="Y591" s="8">
        <f>+VLOOKUP($B591,NIFTY_FMCG!$B$63:$K$1238,10,0)</f>
        <v>4.4277347087793517E-2</v>
      </c>
      <c r="Z591" s="8">
        <f>+VLOOKUP($B591,NIFTY_METAL!$B$63:$K$1238,10,0)</f>
        <v>8.0109351432880782E-2</v>
      </c>
      <c r="AA591" s="8">
        <f>+VLOOKUP($B591,NIFTY_ENERGY!$B$63:$K$1238,10,0)</f>
        <v>0.12042220343914978</v>
      </c>
      <c r="AB591" s="8">
        <f>+VLOOKUP($B591,NIFTY_AUTO!$B$63:$K$1238,10,0)</f>
        <v>2.2168647817841558E-2</v>
      </c>
      <c r="AC591" s="8"/>
      <c r="AD591" s="16">
        <f t="shared" si="342"/>
        <v>6.5246063870795373E-2</v>
      </c>
      <c r="AE591" s="8">
        <f t="shared" si="343"/>
        <v>8.6176234016362832E-2</v>
      </c>
      <c r="AF591" s="8">
        <f t="shared" si="344"/>
        <v>7.4469281150175745E-2</v>
      </c>
      <c r="AG591" s="8">
        <f t="shared" si="345"/>
        <v>7.7937430245986317E-2</v>
      </c>
      <c r="AH591" s="8">
        <f t="shared" si="346"/>
        <v>5.5275091518394569E-2</v>
      </c>
      <c r="AI591" s="8">
        <f t="shared" si="347"/>
        <v>0.1065429000886859</v>
      </c>
      <c r="AJ591" s="8">
        <f t="shared" si="348"/>
        <v>9.788305241168721E-2</v>
      </c>
      <c r="AK591" s="8">
        <f t="shared" si="349"/>
        <v>9.4841441552034764E-2</v>
      </c>
      <c r="AL591" s="9">
        <v>0</v>
      </c>
      <c r="AM591" s="17">
        <f t="shared" si="326"/>
        <v>15.326595056833881</v>
      </c>
      <c r="AN591" s="13">
        <f t="shared" si="327"/>
        <v>11.604127418820873</v>
      </c>
      <c r="AO591" s="13">
        <f t="shared" si="328"/>
        <v>13.428355753607809</v>
      </c>
      <c r="AP591" s="13">
        <f t="shared" si="329"/>
        <v>12.830805388935682</v>
      </c>
      <c r="AQ591" s="13">
        <f t="shared" si="330"/>
        <v>18.091331421264453</v>
      </c>
      <c r="AR591" s="13">
        <f t="shared" si="331"/>
        <v>9.3858905583347543</v>
      </c>
      <c r="AS591" s="13">
        <f t="shared" si="332"/>
        <v>10.216273148022509</v>
      </c>
      <c r="AT591" s="13">
        <f t="shared" si="333"/>
        <v>10.543913964565268</v>
      </c>
      <c r="AU591" s="9">
        <v>0</v>
      </c>
      <c r="AV591" s="18">
        <f t="shared" si="350"/>
        <v>2</v>
      </c>
      <c r="AW591" s="18">
        <f t="shared" si="351"/>
        <v>5</v>
      </c>
      <c r="AX591" s="18">
        <f t="shared" si="352"/>
        <v>3</v>
      </c>
      <c r="AY591" s="18">
        <f t="shared" si="353"/>
        <v>4</v>
      </c>
      <c r="AZ591" s="18">
        <f t="shared" si="354"/>
        <v>1</v>
      </c>
      <c r="BA591" s="18">
        <f t="shared" si="355"/>
        <v>8</v>
      </c>
      <c r="BB591" s="18">
        <f t="shared" si="356"/>
        <v>7</v>
      </c>
      <c r="BC591" s="18">
        <f t="shared" si="357"/>
        <v>6</v>
      </c>
      <c r="BD591" s="18">
        <f t="shared" si="358"/>
        <v>9</v>
      </c>
      <c r="BE591" s="8">
        <f t="shared" si="360"/>
        <v>-1.465822960750975E-3</v>
      </c>
    </row>
    <row r="592" spans="1:57" x14ac:dyDescent="0.25">
      <c r="A592" t="str">
        <f t="shared" si="359"/>
        <v/>
      </c>
      <c r="B592" s="1">
        <v>43608</v>
      </c>
      <c r="C592" s="9">
        <f t="shared" si="334"/>
        <v>0.25287541546696179</v>
      </c>
      <c r="D592" s="9">
        <f t="shared" si="335"/>
        <v>0.26036825416427195</v>
      </c>
      <c r="E592" s="9">
        <f t="shared" si="336"/>
        <v>0.23705516833408352</v>
      </c>
      <c r="F592" s="9">
        <f t="shared" si="337"/>
        <v>0</v>
      </c>
      <c r="G592" s="9">
        <f t="shared" si="338"/>
        <v>0.24970116203468268</v>
      </c>
      <c r="H592" s="9">
        <f t="shared" si="339"/>
        <v>0</v>
      </c>
      <c r="I592" s="9">
        <f t="shared" si="340"/>
        <v>0</v>
      </c>
      <c r="J592" s="9">
        <f t="shared" si="341"/>
        <v>0</v>
      </c>
      <c r="K592" s="9">
        <v>0</v>
      </c>
      <c r="L592" s="8">
        <f>+VLOOKUP($B592,NIFTY_50!$B$3:$I$1238,8,0)</f>
        <v>-6.8879441808160635E-3</v>
      </c>
      <c r="M592" s="8">
        <f>+VLOOKUP($B592,NIFTY_BANK!$B$3:$I$41238,8,0)</f>
        <v>-3.8556284969273324E-3</v>
      </c>
      <c r="N592" s="8">
        <f>+VLOOKUP($B592,NIFTY_IT!$B$3:$I$1238,8,0)</f>
        <v>-8.1257998934006759E-3</v>
      </c>
      <c r="O592" s="8">
        <f>+VLOOKUP($B592,NIFTY_PHARMA!$B$3:$I$1238,8,0)</f>
        <v>-1.556836273697737E-3</v>
      </c>
      <c r="P592" s="8">
        <f>+VLOOKUP($B592,NIFTY_FMCG!$B$3:$I$1238,8,0)</f>
        <v>-1.731870079163178E-2</v>
      </c>
      <c r="Q592" s="8">
        <f>+VLOOKUP($B592,NIFTY_METAL!$B$3:$I$1238,8,0)</f>
        <v>-1.4819598875874918E-2</v>
      </c>
      <c r="R592" s="8">
        <f>+VLOOKUP($B592,NIFTY_ENERGY!$B$3:$I$1238,8,0)</f>
        <v>-2.6496495475190063E-3</v>
      </c>
      <c r="S592" s="8">
        <f>+VLOOKUP($B592,NIFTY_AUTO!$B$3:$I$1238,8,0)</f>
        <v>-3.5954429428063372E-3</v>
      </c>
      <c r="T592" s="8">
        <v>0</v>
      </c>
      <c r="U592" s="8">
        <f>+VLOOKUP($B592,NIFTY_50!$B$63:$K$1238,10,0)</f>
        <v>9.9270582355354131E-2</v>
      </c>
      <c r="V592" s="8">
        <f>+VLOOKUP($B592,NIFTY_BANK!$B$63:$K$1238,10,0)</f>
        <v>0.13956420965454175</v>
      </c>
      <c r="W592" s="8">
        <f>+VLOOKUP($B592,NIFTY_IT!$B$63:$K$1238,10,0)</f>
        <v>1.3392245736459474E-2</v>
      </c>
      <c r="X592" s="8">
        <f>+VLOOKUP($B592,NIFTY_PHARMA!$B$63:$K$1238,10,0)</f>
        <v>-6.4424099991815531E-3</v>
      </c>
      <c r="Y592" s="8">
        <f>+VLOOKUP($B592,NIFTY_FMCG!$B$63:$K$1238,10,0)</f>
        <v>2.4615904335446359E-2</v>
      </c>
      <c r="Z592" s="8">
        <f>+VLOOKUP($B592,NIFTY_METAL!$B$63:$K$1238,10,0)</f>
        <v>4.9187641744432575E-2</v>
      </c>
      <c r="AA592" s="8">
        <f>+VLOOKUP($B592,NIFTY_ENERGY!$B$63:$K$1238,10,0)</f>
        <v>0.11921754487008251</v>
      </c>
      <c r="AB592" s="8">
        <f>+VLOOKUP($B592,NIFTY_AUTO!$B$63:$K$1238,10,0)</f>
        <v>1.7774419699259303E-2</v>
      </c>
      <c r="AC592" s="8"/>
      <c r="AD592" s="16">
        <f t="shared" si="342"/>
        <v>6.5603414296851556E-2</v>
      </c>
      <c r="AE592" s="8">
        <f t="shared" si="343"/>
        <v>8.6384980012889065E-2</v>
      </c>
      <c r="AF592" s="8">
        <f t="shared" si="344"/>
        <v>7.1941950558008769E-2</v>
      </c>
      <c r="AG592" s="8">
        <f t="shared" si="345"/>
        <v>7.7914316617682333E-2</v>
      </c>
      <c r="AH592" s="8">
        <f t="shared" si="346"/>
        <v>5.8093157392982861E-2</v>
      </c>
      <c r="AI592" s="8">
        <f t="shared" si="347"/>
        <v>0.10692937938929684</v>
      </c>
      <c r="AJ592" s="8">
        <f t="shared" si="348"/>
        <v>9.7927436221115854E-2</v>
      </c>
      <c r="AK592" s="8">
        <f t="shared" si="349"/>
        <v>9.492495717305155E-2</v>
      </c>
      <c r="AL592" s="9">
        <v>0</v>
      </c>
      <c r="AM592" s="17">
        <f t="shared" si="326"/>
        <v>15.243109077754085</v>
      </c>
      <c r="AN592" s="13">
        <f t="shared" si="327"/>
        <v>11.57608648923453</v>
      </c>
      <c r="AO592" s="13">
        <f t="shared" si="328"/>
        <v>13.900095733346465</v>
      </c>
      <c r="AP592" s="13">
        <f t="shared" si="329"/>
        <v>12.834611704379039</v>
      </c>
      <c r="AQ592" s="13">
        <f t="shared" si="330"/>
        <v>17.213731270195879</v>
      </c>
      <c r="AR592" s="13">
        <f t="shared" si="331"/>
        <v>9.351966743950781</v>
      </c>
      <c r="AS592" s="13">
        <f t="shared" si="332"/>
        <v>10.211642810111396</v>
      </c>
      <c r="AT592" s="13">
        <f t="shared" si="333"/>
        <v>10.534637357559873</v>
      </c>
      <c r="AU592" s="9">
        <v>0</v>
      </c>
      <c r="AV592" s="18">
        <f t="shared" si="350"/>
        <v>2</v>
      </c>
      <c r="AW592" s="18">
        <f t="shared" si="351"/>
        <v>5</v>
      </c>
      <c r="AX592" s="18">
        <f t="shared" si="352"/>
        <v>3</v>
      </c>
      <c r="AY592" s="18">
        <f t="shared" si="353"/>
        <v>4</v>
      </c>
      <c r="AZ592" s="18">
        <f t="shared" si="354"/>
        <v>1</v>
      </c>
      <c r="BA592" s="18">
        <f t="shared" si="355"/>
        <v>8</v>
      </c>
      <c r="BB592" s="18">
        <f t="shared" si="356"/>
        <v>7</v>
      </c>
      <c r="BC592" s="18">
        <f t="shared" si="357"/>
        <v>6</v>
      </c>
      <c r="BD592" s="18">
        <f t="shared" si="358"/>
        <v>9</v>
      </c>
      <c r="BE592" s="8">
        <f t="shared" si="360"/>
        <v>-9.0222568239497793E-3</v>
      </c>
    </row>
    <row r="593" spans="1:57" x14ac:dyDescent="0.25">
      <c r="A593" t="str">
        <f t="shared" si="359"/>
        <v/>
      </c>
      <c r="B593" s="1">
        <v>43609</v>
      </c>
      <c r="C593" s="9">
        <f t="shared" si="334"/>
        <v>0.25352581960973664</v>
      </c>
      <c r="D593" s="9">
        <f t="shared" si="335"/>
        <v>0.26370350072590087</v>
      </c>
      <c r="E593" s="9">
        <f t="shared" si="336"/>
        <v>0.23437817185387244</v>
      </c>
      <c r="F593" s="9">
        <f t="shared" si="337"/>
        <v>0</v>
      </c>
      <c r="G593" s="9">
        <f t="shared" si="338"/>
        <v>0.24839250781049019</v>
      </c>
      <c r="H593" s="9">
        <f t="shared" si="339"/>
        <v>0</v>
      </c>
      <c r="I593" s="9">
        <f t="shared" si="340"/>
        <v>0</v>
      </c>
      <c r="J593" s="9">
        <f t="shared" si="341"/>
        <v>0</v>
      </c>
      <c r="K593" s="9">
        <v>0</v>
      </c>
      <c r="L593" s="8">
        <f>+VLOOKUP($B593,NIFTY_50!$B$3:$I$1238,8,0)</f>
        <v>1.6046083700421709E-2</v>
      </c>
      <c r="M593" s="8">
        <f>+VLOOKUP($B593,NIFTY_BANK!$B$3:$I$41238,8,0)</f>
        <v>2.6421367288081532E-2</v>
      </c>
      <c r="N593" s="8">
        <f>+VLOOKUP($B593,NIFTY_IT!$B$3:$I$1238,8,0)</f>
        <v>1.9949996299597483E-3</v>
      </c>
      <c r="O593" s="8">
        <f>+VLOOKUP($B593,NIFTY_PHARMA!$B$3:$I$1238,8,0)</f>
        <v>1.3044859725098945E-2</v>
      </c>
      <c r="P593" s="8">
        <f>+VLOOKUP($B593,NIFTY_FMCG!$B$3:$I$1238,8,0)</f>
        <v>8.128166654330915E-3</v>
      </c>
      <c r="Q593" s="8">
        <f>+VLOOKUP($B593,NIFTY_METAL!$B$3:$I$1238,8,0)</f>
        <v>2.9163713678242553E-2</v>
      </c>
      <c r="R593" s="8">
        <f>+VLOOKUP($B593,NIFTY_ENERGY!$B$3:$I$1238,8,0)</f>
        <v>8.5683640128710881E-3</v>
      </c>
      <c r="S593" s="8">
        <f>+VLOOKUP($B593,NIFTY_AUTO!$B$3:$I$1238,8,0)</f>
        <v>2.9615791843639272E-2</v>
      </c>
      <c r="T593" s="8">
        <v>0</v>
      </c>
      <c r="U593" s="8">
        <f>+VLOOKUP($B593,NIFTY_50!$B$63:$K$1238,10,0)</f>
        <v>0.10327000731222258</v>
      </c>
      <c r="V593" s="8">
        <f>+VLOOKUP($B593,NIFTY_BANK!$B$63:$K$1238,10,0)</f>
        <v>0.15792880859193859</v>
      </c>
      <c r="W593" s="8">
        <f>+VLOOKUP($B593,NIFTY_IT!$B$63:$K$1238,10,0)</f>
        <v>-2.5369247475087731E-3</v>
      </c>
      <c r="X593" s="8">
        <f>+VLOOKUP($B593,NIFTY_PHARMA!$B$63:$K$1238,10,0)</f>
        <v>2.440058793797828E-4</v>
      </c>
      <c r="Y593" s="8">
        <f>+VLOOKUP($B593,NIFTY_FMCG!$B$63:$K$1238,10,0)</f>
        <v>3.1390474092533038E-2</v>
      </c>
      <c r="Z593" s="8">
        <f>+VLOOKUP($B593,NIFTY_METAL!$B$63:$K$1238,10,0)</f>
        <v>5.0379746835442996E-2</v>
      </c>
      <c r="AA593" s="8">
        <f>+VLOOKUP($B593,NIFTY_ENERGY!$B$63:$K$1238,10,0)</f>
        <v>0.1081908693623268</v>
      </c>
      <c r="AB593" s="8">
        <f>+VLOOKUP($B593,NIFTY_AUTO!$B$63:$K$1238,10,0)</f>
        <v>4.1710275195468771E-2</v>
      </c>
      <c r="AC593" s="8"/>
      <c r="AD593" s="16">
        <f t="shared" si="342"/>
        <v>6.6306302089461297E-2</v>
      </c>
      <c r="AE593" s="8">
        <f t="shared" si="343"/>
        <v>8.933901422453662E-2</v>
      </c>
      <c r="AF593" s="8">
        <f t="shared" si="344"/>
        <v>6.9712896637302568E-2</v>
      </c>
      <c r="AG593" s="8">
        <f t="shared" si="345"/>
        <v>7.8749367884400068E-2</v>
      </c>
      <c r="AH593" s="8">
        <f t="shared" si="346"/>
        <v>5.8585389943881114E-2</v>
      </c>
      <c r="AI593" s="8">
        <f t="shared" si="347"/>
        <v>0.10723141309256329</v>
      </c>
      <c r="AJ593" s="8">
        <f t="shared" si="348"/>
        <v>9.6716643014132783E-2</v>
      </c>
      <c r="AK593" s="8">
        <f t="shared" si="349"/>
        <v>9.9126332594451139E-2</v>
      </c>
      <c r="AL593" s="9">
        <v>0</v>
      </c>
      <c r="AM593" s="17">
        <f t="shared" si="326"/>
        <v>15.081522698261583</v>
      </c>
      <c r="AN593" s="13">
        <f t="shared" si="327"/>
        <v>11.193318044529686</v>
      </c>
      <c r="AO593" s="13">
        <f t="shared" si="328"/>
        <v>14.344548114285521</v>
      </c>
      <c r="AP593" s="13">
        <f t="shared" si="329"/>
        <v>12.698514627672282</v>
      </c>
      <c r="AQ593" s="13">
        <f t="shared" si="330"/>
        <v>17.069102056978693</v>
      </c>
      <c r="AR593" s="13">
        <f t="shared" si="331"/>
        <v>9.3256254968568726</v>
      </c>
      <c r="AS593" s="13">
        <f t="shared" si="332"/>
        <v>10.339482108098752</v>
      </c>
      <c r="AT593" s="13">
        <f t="shared" si="333"/>
        <v>10.088136762723105</v>
      </c>
      <c r="AU593" s="9">
        <v>0</v>
      </c>
      <c r="AV593" s="18">
        <f t="shared" si="350"/>
        <v>2</v>
      </c>
      <c r="AW593" s="18">
        <f t="shared" si="351"/>
        <v>5</v>
      </c>
      <c r="AX593" s="18">
        <f t="shared" si="352"/>
        <v>3</v>
      </c>
      <c r="AY593" s="18">
        <f t="shared" si="353"/>
        <v>4</v>
      </c>
      <c r="AZ593" s="18">
        <f t="shared" si="354"/>
        <v>1</v>
      </c>
      <c r="BA593" s="18">
        <f t="shared" si="355"/>
        <v>8</v>
      </c>
      <c r="BB593" s="18">
        <f t="shared" si="356"/>
        <v>6</v>
      </c>
      <c r="BC593" s="18">
        <f t="shared" si="357"/>
        <v>7</v>
      </c>
      <c r="BD593" s="18">
        <f t="shared" si="358"/>
        <v>9</v>
      </c>
      <c r="BE593" s="8">
        <f t="shared" si="360"/>
        <v>1.3439482987697107E-2</v>
      </c>
    </row>
    <row r="594" spans="1:57" x14ac:dyDescent="0.25">
      <c r="A594" t="str">
        <f t="shared" si="359"/>
        <v/>
      </c>
      <c r="B594" s="1">
        <v>43612</v>
      </c>
      <c r="C594" s="9">
        <f t="shared" si="334"/>
        <v>0.25363796630318552</v>
      </c>
      <c r="D594" s="9">
        <f t="shared" si="335"/>
        <v>0.26568862459768094</v>
      </c>
      <c r="E594" s="9">
        <f t="shared" si="336"/>
        <v>0.2326985431002831</v>
      </c>
      <c r="F594" s="9">
        <f t="shared" si="337"/>
        <v>0</v>
      </c>
      <c r="G594" s="9">
        <f t="shared" si="338"/>
        <v>0.24797486599885038</v>
      </c>
      <c r="H594" s="9">
        <f t="shared" si="339"/>
        <v>0</v>
      </c>
      <c r="I594" s="9">
        <f t="shared" si="340"/>
        <v>0</v>
      </c>
      <c r="J594" s="9">
        <f t="shared" si="341"/>
        <v>0</v>
      </c>
      <c r="K594" s="9">
        <v>0</v>
      </c>
      <c r="L594" s="8">
        <f>+VLOOKUP($B594,NIFTY_50!$B$3:$I$1238,8,0)</f>
        <v>6.809297456117358E-3</v>
      </c>
      <c r="M594" s="8">
        <f>+VLOOKUP($B594,NIFTY_BANK!$B$3:$I$41238,8,0)</f>
        <v>1.3939905582850631E-2</v>
      </c>
      <c r="N594" s="8">
        <f>+VLOOKUP($B594,NIFTY_IT!$B$3:$I$1238,8,0)</f>
        <v>-8.4779236794196855E-4</v>
      </c>
      <c r="O594" s="8">
        <f>+VLOOKUP($B594,NIFTY_PHARMA!$B$3:$I$1238,8,0)</f>
        <v>-9.6939634893622451E-3</v>
      </c>
      <c r="P594" s="8">
        <f>+VLOOKUP($B594,NIFTY_FMCG!$B$3:$I$1238,8,0)</f>
        <v>4.6720551035528413E-3</v>
      </c>
      <c r="Q594" s="8">
        <f>+VLOOKUP($B594,NIFTY_METAL!$B$3:$I$1238,8,0)</f>
        <v>2.1141066694212007E-2</v>
      </c>
      <c r="R594" s="8">
        <f>+VLOOKUP($B594,NIFTY_ENERGY!$B$3:$I$1238,8,0)</f>
        <v>7.0909124439826332E-3</v>
      </c>
      <c r="S594" s="8">
        <f>+VLOOKUP($B594,NIFTY_AUTO!$B$3:$I$1238,8,0)</f>
        <v>2.3048964274119399E-4</v>
      </c>
      <c r="T594" s="8">
        <v>0</v>
      </c>
      <c r="U594" s="8">
        <f>+VLOOKUP($B594,NIFTY_50!$B$63:$K$1238,10,0)</f>
        <v>0.10518218510915345</v>
      </c>
      <c r="V594" s="8">
        <f>+VLOOKUP($B594,NIFTY_BANK!$B$63:$K$1238,10,0)</f>
        <v>0.16986478094364998</v>
      </c>
      <c r="W594" s="8">
        <f>+VLOOKUP($B594,NIFTY_IT!$B$63:$K$1238,10,0)</f>
        <v>-2.0687797086388349E-3</v>
      </c>
      <c r="X594" s="8">
        <f>+VLOOKUP($B594,NIFTY_PHARMA!$B$63:$K$1238,10,0)</f>
        <v>-2.0829624354637755E-2</v>
      </c>
      <c r="Y594" s="8">
        <f>+VLOOKUP($B594,NIFTY_FMCG!$B$63:$K$1238,10,0)</f>
        <v>3.2196349560366766E-2</v>
      </c>
      <c r="Z594" s="8">
        <f>+VLOOKUP($B594,NIFTY_METAL!$B$63:$K$1238,10,0)</f>
        <v>6.0636947231013982E-2</v>
      </c>
      <c r="AA594" s="8">
        <f>+VLOOKUP($B594,NIFTY_ENERGY!$B$63:$K$1238,10,0)</f>
        <v>0.10717520004325265</v>
      </c>
      <c r="AB594" s="8">
        <f>+VLOOKUP($B594,NIFTY_AUTO!$B$63:$K$1238,10,0)</f>
        <v>3.7447512796150439E-2</v>
      </c>
      <c r="AC594" s="8"/>
      <c r="AD594" s="16">
        <f t="shared" si="342"/>
        <v>6.6418540210251606E-2</v>
      </c>
      <c r="AE594" s="8">
        <f t="shared" si="343"/>
        <v>9.0055350475997539E-2</v>
      </c>
      <c r="AF594" s="8">
        <f t="shared" si="344"/>
        <v>6.9705606773134587E-2</v>
      </c>
      <c r="AG594" s="8">
        <f t="shared" si="345"/>
        <v>7.8455959939765216E-2</v>
      </c>
      <c r="AH594" s="8">
        <f t="shared" si="346"/>
        <v>5.8635423188240346E-2</v>
      </c>
      <c r="AI594" s="8">
        <f t="shared" si="347"/>
        <v>0.10862425688035052</v>
      </c>
      <c r="AJ594" s="8">
        <f t="shared" si="348"/>
        <v>9.6661236796348499E-2</v>
      </c>
      <c r="AK594" s="8">
        <f t="shared" si="349"/>
        <v>9.9061260208229321E-2</v>
      </c>
      <c r="AL594" s="9">
        <v>0</v>
      </c>
      <c r="AM594" s="17">
        <f t="shared" si="326"/>
        <v>15.056037016689075</v>
      </c>
      <c r="AN594" s="13">
        <f t="shared" si="327"/>
        <v>11.104281919001915</v>
      </c>
      <c r="AO594" s="13">
        <f t="shared" si="328"/>
        <v>14.346048277789507</v>
      </c>
      <c r="AP594" s="13">
        <f t="shared" si="329"/>
        <v>12.746004264911841</v>
      </c>
      <c r="AQ594" s="13">
        <f t="shared" si="330"/>
        <v>17.054537097645703</v>
      </c>
      <c r="AR594" s="13">
        <f t="shared" si="331"/>
        <v>9.2060468694529138</v>
      </c>
      <c r="AS594" s="13">
        <f t="shared" si="332"/>
        <v>10.34540869890645</v>
      </c>
      <c r="AT594" s="13">
        <f t="shared" si="333"/>
        <v>10.094763562445847</v>
      </c>
      <c r="AU594" s="9">
        <v>0</v>
      </c>
      <c r="AV594" s="18">
        <f t="shared" si="350"/>
        <v>2</v>
      </c>
      <c r="AW594" s="18">
        <f t="shared" si="351"/>
        <v>5</v>
      </c>
      <c r="AX594" s="18">
        <f t="shared" si="352"/>
        <v>3</v>
      </c>
      <c r="AY594" s="18">
        <f t="shared" si="353"/>
        <v>4</v>
      </c>
      <c r="AZ594" s="18">
        <f t="shared" si="354"/>
        <v>1</v>
      </c>
      <c r="BA594" s="18">
        <f t="shared" si="355"/>
        <v>8</v>
      </c>
      <c r="BB594" s="18">
        <f t="shared" si="356"/>
        <v>6</v>
      </c>
      <c r="BC594" s="18">
        <f t="shared" si="357"/>
        <v>7</v>
      </c>
      <c r="BD594" s="18">
        <f t="shared" si="358"/>
        <v>9</v>
      </c>
      <c r="BE594" s="8">
        <f t="shared" si="360"/>
        <v>6.364134079005275E-3</v>
      </c>
    </row>
    <row r="595" spans="1:57" x14ac:dyDescent="0.25">
      <c r="A595" t="str">
        <f t="shared" si="359"/>
        <v/>
      </c>
      <c r="B595" s="1">
        <v>43613</v>
      </c>
      <c r="C595" s="9">
        <f t="shared" si="334"/>
        <v>0.25310557322022131</v>
      </c>
      <c r="D595" s="9">
        <f t="shared" si="335"/>
        <v>0.264625386811015</v>
      </c>
      <c r="E595" s="9">
        <f t="shared" si="336"/>
        <v>0.23519716148696432</v>
      </c>
      <c r="F595" s="9">
        <f t="shared" si="337"/>
        <v>0</v>
      </c>
      <c r="G595" s="9">
        <f t="shared" si="338"/>
        <v>0.24707187848179946</v>
      </c>
      <c r="H595" s="9">
        <f t="shared" si="339"/>
        <v>0</v>
      </c>
      <c r="I595" s="9">
        <f t="shared" si="340"/>
        <v>0</v>
      </c>
      <c r="J595" s="9">
        <f t="shared" si="341"/>
        <v>0</v>
      </c>
      <c r="K595" s="9">
        <v>0</v>
      </c>
      <c r="L595" s="8">
        <f>+VLOOKUP($B595,NIFTY_50!$B$3:$I$1238,8,0)</f>
        <v>3.3543680161018941E-4</v>
      </c>
      <c r="M595" s="8">
        <f>+VLOOKUP($B595,NIFTY_BANK!$B$3:$I$41238,8,0)</f>
        <v>-1.5719966569397448E-3</v>
      </c>
      <c r="N595" s="8">
        <f>+VLOOKUP($B595,NIFTY_IT!$B$3:$I$1238,8,0)</f>
        <v>1.3203356763827667E-2</v>
      </c>
      <c r="O595" s="8">
        <f>+VLOOKUP($B595,NIFTY_PHARMA!$B$3:$I$1238,8,0)</f>
        <v>-1.3079178885629927E-3</v>
      </c>
      <c r="P595" s="8">
        <f>+VLOOKUP($B595,NIFTY_FMCG!$B$3:$I$1238,8,0)</f>
        <v>-1.2107462448597284E-3</v>
      </c>
      <c r="Q595" s="8">
        <f>+VLOOKUP($B595,NIFTY_METAL!$B$3:$I$1238,8,0)</f>
        <v>9.1883872272988665E-3</v>
      </c>
      <c r="R595" s="8">
        <f>+VLOOKUP($B595,NIFTY_ENERGY!$B$3:$I$1238,8,0)</f>
        <v>6.4275315654060972E-3</v>
      </c>
      <c r="S595" s="8">
        <f>+VLOOKUP($B595,NIFTY_AUTO!$B$3:$I$1238,8,0)</f>
        <v>-7.563045071021679E-3</v>
      </c>
      <c r="T595" s="8">
        <v>0</v>
      </c>
      <c r="U595" s="8">
        <f>+VLOOKUP($B595,NIFTY_50!$B$63:$K$1238,10,0)</f>
        <v>0.10536850249961782</v>
      </c>
      <c r="V595" s="8">
        <f>+VLOOKUP($B595,NIFTY_BANK!$B$63:$K$1238,10,0)</f>
        <v>0.17606182923266189</v>
      </c>
      <c r="W595" s="8">
        <f>+VLOOKUP($B595,NIFTY_IT!$B$63:$K$1238,10,0)</f>
        <v>4.9315575050845606E-3</v>
      </c>
      <c r="X595" s="8">
        <f>+VLOOKUP($B595,NIFTY_PHARMA!$B$63:$K$1238,10,0)</f>
        <v>-2.9495246563162603E-2</v>
      </c>
      <c r="Y595" s="8">
        <f>+VLOOKUP($B595,NIFTY_FMCG!$B$63:$K$1238,10,0)</f>
        <v>2.8307661792265737E-2</v>
      </c>
      <c r="Z595" s="8">
        <f>+VLOOKUP($B595,NIFTY_METAL!$B$63:$K$1238,10,0)</f>
        <v>5.3039898670044439E-2</v>
      </c>
      <c r="AA595" s="8">
        <f>+VLOOKUP($B595,NIFTY_ENERGY!$B$63:$K$1238,10,0)</f>
        <v>0.11578088996112235</v>
      </c>
      <c r="AB595" s="8">
        <f>+VLOOKUP($B595,NIFTY_AUTO!$B$63:$K$1238,10,0)</f>
        <v>1.4404000507310721E-2</v>
      </c>
      <c r="AC595" s="8"/>
      <c r="AD595" s="16">
        <f t="shared" si="342"/>
        <v>6.6414917445762764E-2</v>
      </c>
      <c r="AE595" s="8">
        <f t="shared" si="343"/>
        <v>8.9652120684562367E-2</v>
      </c>
      <c r="AF595" s="8">
        <f t="shared" si="344"/>
        <v>7.0672023637723416E-2</v>
      </c>
      <c r="AG595" s="8">
        <f t="shared" si="345"/>
        <v>7.8055088571237219E-2</v>
      </c>
      <c r="AH595" s="8">
        <f t="shared" si="346"/>
        <v>5.8625051031835837E-2</v>
      </c>
      <c r="AI595" s="8">
        <f t="shared" si="347"/>
        <v>0.10782865010211252</v>
      </c>
      <c r="AJ595" s="8">
        <f t="shared" si="348"/>
        <v>9.6720338361757363E-2</v>
      </c>
      <c r="AK595" s="8">
        <f t="shared" si="349"/>
        <v>9.8327722041929966E-2</v>
      </c>
      <c r="AL595" s="9">
        <v>0</v>
      </c>
      <c r="AM595" s="17">
        <f t="shared" si="326"/>
        <v>15.05685828513816</v>
      </c>
      <c r="AN595" s="13">
        <f t="shared" si="327"/>
        <v>11.154225827166572</v>
      </c>
      <c r="AO595" s="13">
        <f t="shared" si="328"/>
        <v>14.14987074837657</v>
      </c>
      <c r="AP595" s="13">
        <f t="shared" si="329"/>
        <v>12.811464547725762</v>
      </c>
      <c r="AQ595" s="13">
        <f t="shared" si="330"/>
        <v>17.057554448131029</v>
      </c>
      <c r="AR595" s="13">
        <f t="shared" si="331"/>
        <v>9.27397309576825</v>
      </c>
      <c r="AS595" s="13">
        <f t="shared" si="332"/>
        <v>10.339087072459973</v>
      </c>
      <c r="AT595" s="13">
        <f t="shared" si="333"/>
        <v>10.170071870205325</v>
      </c>
      <c r="AU595" s="9">
        <v>0</v>
      </c>
      <c r="AV595" s="18">
        <f t="shared" si="350"/>
        <v>2</v>
      </c>
      <c r="AW595" s="18">
        <f t="shared" si="351"/>
        <v>5</v>
      </c>
      <c r="AX595" s="18">
        <f t="shared" si="352"/>
        <v>3</v>
      </c>
      <c r="AY595" s="18">
        <f t="shared" si="353"/>
        <v>4</v>
      </c>
      <c r="AZ595" s="18">
        <f t="shared" si="354"/>
        <v>1</v>
      </c>
      <c r="BA595" s="18">
        <f t="shared" si="355"/>
        <v>8</v>
      </c>
      <c r="BB595" s="18">
        <f t="shared" si="356"/>
        <v>6</v>
      </c>
      <c r="BC595" s="18">
        <f t="shared" si="357"/>
        <v>7</v>
      </c>
      <c r="BD595" s="18">
        <f t="shared" si="358"/>
        <v>9</v>
      </c>
      <c r="BE595" s="8">
        <f t="shared" si="360"/>
        <v>2.4395851236774448E-3</v>
      </c>
    </row>
    <row r="596" spans="1:57" x14ac:dyDescent="0.25">
      <c r="A596" t="str">
        <f t="shared" si="359"/>
        <v/>
      </c>
      <c r="B596" s="1">
        <v>43614</v>
      </c>
      <c r="C596" s="9">
        <f t="shared" si="334"/>
        <v>0.25239510861947717</v>
      </c>
      <c r="D596" s="9">
        <f t="shared" si="335"/>
        <v>0.26284823753081332</v>
      </c>
      <c r="E596" s="9">
        <f t="shared" si="336"/>
        <v>0.23742424812911686</v>
      </c>
      <c r="F596" s="9">
        <f t="shared" si="337"/>
        <v>0</v>
      </c>
      <c r="G596" s="9">
        <f t="shared" si="338"/>
        <v>0.24733240572059279</v>
      </c>
      <c r="H596" s="9">
        <f t="shared" si="339"/>
        <v>0</v>
      </c>
      <c r="I596" s="9">
        <f t="shared" si="340"/>
        <v>0</v>
      </c>
      <c r="J596" s="9">
        <f t="shared" si="341"/>
        <v>0</v>
      </c>
      <c r="K596" s="9">
        <v>0</v>
      </c>
      <c r="L596" s="8">
        <f>+VLOOKUP($B596,NIFTY_50!$B$3:$I$1238,8,0)</f>
        <v>-5.6711725872367058E-3</v>
      </c>
      <c r="M596" s="8">
        <f>+VLOOKUP($B596,NIFTY_BANK!$B$3:$I$41238,8,0)</f>
        <v>-9.5686738675672123E-3</v>
      </c>
      <c r="N596" s="8">
        <f>+VLOOKUP($B596,NIFTY_IT!$B$3:$I$1238,8,0)</f>
        <v>6.5695769268592219E-3</v>
      </c>
      <c r="O596" s="8">
        <f>+VLOOKUP($B596,NIFTY_PHARMA!$B$3:$I$1238,8,0)</f>
        <v>-3.4297057148059418E-3</v>
      </c>
      <c r="P596" s="8">
        <f>+VLOOKUP($B596,NIFTY_FMCG!$B$3:$I$1238,8,0)</f>
        <v>-1.8208151598243516E-3</v>
      </c>
      <c r="Q596" s="8">
        <f>+VLOOKUP($B596,NIFTY_METAL!$B$3:$I$1238,8,0)</f>
        <v>-1.859369518368148E-2</v>
      </c>
      <c r="R596" s="8">
        <f>+VLOOKUP($B596,NIFTY_ENERGY!$B$3:$I$1238,8,0)</f>
        <v>-9.8253573063964428E-3</v>
      </c>
      <c r="S596" s="8">
        <f>+VLOOKUP($B596,NIFTY_AUTO!$B$3:$I$1238,8,0)</f>
        <v>-1.3848205567859928E-2</v>
      </c>
      <c r="T596" s="8">
        <v>0</v>
      </c>
      <c r="U596" s="8">
        <f>+VLOOKUP($B596,NIFTY_50!$B$63:$K$1238,10,0)</f>
        <v>9.0164612457606097E-2</v>
      </c>
      <c r="V596" s="8">
        <f>+VLOOKUP($B596,NIFTY_BANK!$B$63:$K$1238,10,0)</f>
        <v>0.1522980200115982</v>
      </c>
      <c r="W596" s="8">
        <f>+VLOOKUP($B596,NIFTY_IT!$B$63:$K$1238,10,0)</f>
        <v>-8.6292544849003727E-3</v>
      </c>
      <c r="X596" s="8">
        <f>+VLOOKUP($B596,NIFTY_PHARMA!$B$63:$K$1238,10,0)</f>
        <v>-3.7606905469476759E-2</v>
      </c>
      <c r="Y596" s="8">
        <f>+VLOOKUP($B596,NIFTY_FMCG!$B$63:$K$1238,10,0)</f>
        <v>2.3430587120081947E-2</v>
      </c>
      <c r="Z596" s="8">
        <f>+VLOOKUP($B596,NIFTY_METAL!$B$63:$K$1238,10,0)</f>
        <v>2.9872725360260866E-2</v>
      </c>
      <c r="AA596" s="8">
        <f>+VLOOKUP($B596,NIFTY_ENERGY!$B$63:$K$1238,10,0)</f>
        <v>0.10587314865931274</v>
      </c>
      <c r="AB596" s="8">
        <f>+VLOOKUP($B596,NIFTY_AUTO!$B$63:$K$1238,10,0)</f>
        <v>-1.0697071594526819E-2</v>
      </c>
      <c r="AC596" s="8"/>
      <c r="AD596" s="16">
        <f t="shared" si="342"/>
        <v>6.6478228644899648E-2</v>
      </c>
      <c r="AE596" s="8">
        <f t="shared" si="343"/>
        <v>9.0087552392241158E-2</v>
      </c>
      <c r="AF596" s="8">
        <f t="shared" si="344"/>
        <v>6.8002117561141079E-2</v>
      </c>
      <c r="AG596" s="8">
        <f t="shared" si="345"/>
        <v>7.7917299195424145E-2</v>
      </c>
      <c r="AH596" s="8">
        <f t="shared" si="346"/>
        <v>5.861606629553754E-2</v>
      </c>
      <c r="AI596" s="8">
        <f t="shared" si="347"/>
        <v>0.10951818918258435</v>
      </c>
      <c r="AJ596" s="8">
        <f t="shared" si="348"/>
        <v>9.7377650698541471E-2</v>
      </c>
      <c r="AK596" s="8">
        <f t="shared" si="349"/>
        <v>9.869492206519398E-2</v>
      </c>
      <c r="AL596" s="9">
        <v>0</v>
      </c>
      <c r="AM596" s="17">
        <f t="shared" si="326"/>
        <v>15.042518737098181</v>
      </c>
      <c r="AN596" s="13">
        <f t="shared" si="327"/>
        <v>11.100312678559636</v>
      </c>
      <c r="AO596" s="13">
        <f t="shared" si="328"/>
        <v>14.705424417127812</v>
      </c>
      <c r="AP596" s="13">
        <f t="shared" si="329"/>
        <v>12.834120411333855</v>
      </c>
      <c r="AQ596" s="13">
        <f t="shared" si="330"/>
        <v>17.060169049183198</v>
      </c>
      <c r="AR596" s="13">
        <f t="shared" si="331"/>
        <v>9.1309033454966997</v>
      </c>
      <c r="AS596" s="13">
        <f t="shared" si="332"/>
        <v>10.269296833785477</v>
      </c>
      <c r="AT596" s="13">
        <f t="shared" si="333"/>
        <v>10.132233544289537</v>
      </c>
      <c r="AU596" s="9">
        <v>0</v>
      </c>
      <c r="AV596" s="18">
        <f t="shared" si="350"/>
        <v>2</v>
      </c>
      <c r="AW596" s="18">
        <f t="shared" si="351"/>
        <v>5</v>
      </c>
      <c r="AX596" s="18">
        <f t="shared" si="352"/>
        <v>3</v>
      </c>
      <c r="AY596" s="18">
        <f t="shared" si="353"/>
        <v>4</v>
      </c>
      <c r="AZ596" s="18">
        <f t="shared" si="354"/>
        <v>1</v>
      </c>
      <c r="BA596" s="18">
        <f t="shared" si="355"/>
        <v>8</v>
      </c>
      <c r="BB596" s="18">
        <f t="shared" si="356"/>
        <v>6</v>
      </c>
      <c r="BC596" s="18">
        <f t="shared" si="357"/>
        <v>7</v>
      </c>
      <c r="BD596" s="18">
        <f t="shared" si="358"/>
        <v>9</v>
      </c>
      <c r="BE596" s="8">
        <f t="shared" si="360"/>
        <v>-2.8722457885351732E-3</v>
      </c>
    </row>
    <row r="597" spans="1:57" x14ac:dyDescent="0.25">
      <c r="A597" t="str">
        <f t="shared" si="359"/>
        <v/>
      </c>
      <c r="B597" s="1">
        <v>43615</v>
      </c>
      <c r="C597" s="9">
        <f t="shared" si="334"/>
        <v>0.25275695267287457</v>
      </c>
      <c r="D597" s="9">
        <f t="shared" si="335"/>
        <v>0.2633737607985922</v>
      </c>
      <c r="E597" s="9">
        <f t="shared" si="336"/>
        <v>0.23803722923887391</v>
      </c>
      <c r="F597" s="9">
        <f t="shared" si="337"/>
        <v>0</v>
      </c>
      <c r="G597" s="9">
        <f t="shared" si="338"/>
        <v>0.24583205728965932</v>
      </c>
      <c r="H597" s="9">
        <f t="shared" si="339"/>
        <v>0</v>
      </c>
      <c r="I597" s="9">
        <f t="shared" si="340"/>
        <v>0</v>
      </c>
      <c r="J597" s="9">
        <f t="shared" si="341"/>
        <v>0</v>
      </c>
      <c r="K597" s="9">
        <v>0</v>
      </c>
      <c r="L597" s="8">
        <f>+VLOOKUP($B597,NIFTY_50!$B$3:$I$1238,8,0)</f>
        <v>7.1494212172562577E-3</v>
      </c>
      <c r="M597" s="8">
        <f>+VLOOKUP($B597,NIFTY_BANK!$B$3:$I$41238,8,0)</f>
        <v>7.7183497334285533E-3</v>
      </c>
      <c r="N597" s="8">
        <f>+VLOOKUP($B597,NIFTY_IT!$B$3:$I$1238,8,0)</f>
        <v>8.3041296893908711E-3</v>
      </c>
      <c r="O597" s="8">
        <f>+VLOOKUP($B597,NIFTY_PHARMA!$B$3:$I$1238,8,0)</f>
        <v>-1.1727060043724702E-3</v>
      </c>
      <c r="P597" s="8">
        <f>+VLOOKUP($B597,NIFTY_FMCG!$B$3:$I$1238,8,0)</f>
        <v>-3.9314724363803677E-4</v>
      </c>
      <c r="Q597" s="8">
        <f>+VLOOKUP($B597,NIFTY_METAL!$B$3:$I$1238,8,0)</f>
        <v>-4.3577435059408698E-3</v>
      </c>
      <c r="R597" s="8">
        <f>+VLOOKUP($B597,NIFTY_ENERGY!$B$3:$I$1238,8,0)</f>
        <v>1.2149369561955004E-2</v>
      </c>
      <c r="S597" s="8">
        <f>+VLOOKUP($B597,NIFTY_AUTO!$B$3:$I$1238,8,0)</f>
        <v>-5.5784300703943801E-3</v>
      </c>
      <c r="T597" s="8">
        <v>0</v>
      </c>
      <c r="U597" s="8">
        <f>+VLOOKUP($B597,NIFTY_50!$B$63:$K$1238,10,0)</f>
        <v>0.10249831569038248</v>
      </c>
      <c r="V597" s="8">
        <f>+VLOOKUP($B597,NIFTY_BANK!$B$63:$K$1238,10,0)</f>
        <v>0.17007971298132474</v>
      </c>
      <c r="W597" s="8">
        <f>+VLOOKUP($B597,NIFTY_IT!$B$63:$K$1238,10,0)</f>
        <v>4.8469004853157749E-4</v>
      </c>
      <c r="X597" s="8">
        <f>+VLOOKUP($B597,NIFTY_PHARMA!$B$63:$K$1238,10,0)</f>
        <v>-4.0178040534801118E-2</v>
      </c>
      <c r="Y597" s="8">
        <f>+VLOOKUP($B597,NIFTY_FMCG!$B$63:$K$1238,10,0)</f>
        <v>2.5595096680243401E-2</v>
      </c>
      <c r="Z597" s="8">
        <f>+VLOOKUP($B597,NIFTY_METAL!$B$63:$K$1238,10,0)</f>
        <v>2.4379137623034008E-2</v>
      </c>
      <c r="AA597" s="8">
        <f>+VLOOKUP($B597,NIFTY_ENERGY!$B$63:$K$1238,10,0)</f>
        <v>0.12443860747434599</v>
      </c>
      <c r="AB597" s="8">
        <f>+VLOOKUP($B597,NIFTY_AUTO!$B$63:$K$1238,10,0)</f>
        <v>-1.9454465359383666E-2</v>
      </c>
      <c r="AC597" s="8"/>
      <c r="AD597" s="16">
        <f t="shared" si="342"/>
        <v>6.6473375932341996E-2</v>
      </c>
      <c r="AE597" s="8">
        <f t="shared" si="343"/>
        <v>8.9668926525919707E-2</v>
      </c>
      <c r="AF597" s="8">
        <f t="shared" si="344"/>
        <v>6.8505477919262439E-2</v>
      </c>
      <c r="AG597" s="8">
        <f t="shared" si="345"/>
        <v>7.7891024666611963E-2</v>
      </c>
      <c r="AH597" s="8">
        <f t="shared" si="346"/>
        <v>5.8548611998409585E-2</v>
      </c>
      <c r="AI597" s="8">
        <f t="shared" si="347"/>
        <v>0.10962660318461105</v>
      </c>
      <c r="AJ597" s="8">
        <f t="shared" si="348"/>
        <v>9.7708009997215128E-2</v>
      </c>
      <c r="AK597" s="8">
        <f t="shared" si="349"/>
        <v>9.8781986956733139E-2</v>
      </c>
      <c r="AL597" s="9">
        <v>0</v>
      </c>
      <c r="AM597" s="17">
        <f t="shared" si="326"/>
        <v>15.043616876293767</v>
      </c>
      <c r="AN597" s="13">
        <f t="shared" si="327"/>
        <v>11.15213529082385</v>
      </c>
      <c r="AO597" s="13">
        <f t="shared" si="328"/>
        <v>14.597372799567303</v>
      </c>
      <c r="AP597" s="13">
        <f t="shared" si="329"/>
        <v>12.838449670936869</v>
      </c>
      <c r="AQ597" s="13">
        <f t="shared" si="330"/>
        <v>17.079824198516679</v>
      </c>
      <c r="AR597" s="13">
        <f t="shared" si="331"/>
        <v>9.121873440847212</v>
      </c>
      <c r="AS597" s="13">
        <f t="shared" si="332"/>
        <v>10.234575446050963</v>
      </c>
      <c r="AT597" s="13">
        <f t="shared" si="333"/>
        <v>10.12330315281068</v>
      </c>
      <c r="AU597" s="9">
        <v>0</v>
      </c>
      <c r="AV597" s="18">
        <f t="shared" si="350"/>
        <v>2</v>
      </c>
      <c r="AW597" s="18">
        <f t="shared" si="351"/>
        <v>5</v>
      </c>
      <c r="AX597" s="18">
        <f t="shared" si="352"/>
        <v>3</v>
      </c>
      <c r="AY597" s="18">
        <f t="shared" si="353"/>
        <v>4</v>
      </c>
      <c r="AZ597" s="18">
        <f t="shared" si="354"/>
        <v>1</v>
      </c>
      <c r="BA597" s="18">
        <f t="shared" si="355"/>
        <v>8</v>
      </c>
      <c r="BB597" s="18">
        <f t="shared" si="356"/>
        <v>6</v>
      </c>
      <c r="BC597" s="18">
        <f t="shared" si="357"/>
        <v>7</v>
      </c>
      <c r="BD597" s="18">
        <f t="shared" si="358"/>
        <v>9</v>
      </c>
      <c r="BE597" s="8">
        <f t="shared" si="360"/>
        <v>5.7075972630727945E-3</v>
      </c>
    </row>
    <row r="598" spans="1:57" x14ac:dyDescent="0.25">
      <c r="A598" t="str">
        <f t="shared" si="359"/>
        <v>Y</v>
      </c>
      <c r="B598" s="1">
        <v>43616</v>
      </c>
      <c r="C598" s="9">
        <f t="shared" si="334"/>
        <v>0.25</v>
      </c>
      <c r="D598" s="9">
        <f t="shared" si="335"/>
        <v>0</v>
      </c>
      <c r="E598" s="9">
        <f t="shared" si="336"/>
        <v>0.25</v>
      </c>
      <c r="F598" s="9">
        <f t="shared" si="337"/>
        <v>0.25</v>
      </c>
      <c r="G598" s="9">
        <f t="shared" si="338"/>
        <v>0.25</v>
      </c>
      <c r="H598" s="9">
        <f t="shared" si="339"/>
        <v>0</v>
      </c>
      <c r="I598" s="9">
        <f t="shared" si="340"/>
        <v>0</v>
      </c>
      <c r="J598" s="9">
        <f t="shared" si="341"/>
        <v>0</v>
      </c>
      <c r="K598" s="9">
        <v>0</v>
      </c>
      <c r="L598" s="8">
        <f>+VLOOKUP($B598,NIFTY_50!$B$3:$I$1238,8,0)</f>
        <v>-1.9337178446161563E-3</v>
      </c>
      <c r="M598" s="8">
        <f>+VLOOKUP($B598,NIFTY_BANK!$B$3:$I$41238,8,0)</f>
        <v>-5.1272945197876618E-3</v>
      </c>
      <c r="N598" s="8">
        <f>+VLOOKUP($B598,NIFTY_IT!$B$3:$I$1238,8,0)</f>
        <v>1.020794069017672E-2</v>
      </c>
      <c r="O598" s="8">
        <f>+VLOOKUP($B598,NIFTY_PHARMA!$B$3:$I$1238,8,0)</f>
        <v>-2.3127662336129839E-3</v>
      </c>
      <c r="P598" s="8">
        <f>+VLOOKUP($B598,NIFTY_FMCG!$B$3:$I$1238,8,0)</f>
        <v>-5.0662613657573852E-3</v>
      </c>
      <c r="Q598" s="8">
        <f>+VLOOKUP($B598,NIFTY_METAL!$B$3:$I$1238,8,0)</f>
        <v>-8.2407249102410818E-3</v>
      </c>
      <c r="R598" s="8">
        <f>+VLOOKUP($B598,NIFTY_ENERGY!$B$3:$I$1238,8,0)</f>
        <v>2.1816355307031632E-3</v>
      </c>
      <c r="S598" s="8">
        <f>+VLOOKUP($B598,NIFTY_AUTO!$B$3:$I$1238,8,0)</f>
        <v>-7.3096397391844148E-3</v>
      </c>
      <c r="T598" s="8">
        <v>0</v>
      </c>
      <c r="U598" s="8">
        <f>+VLOOKUP($B598,NIFTY_50!$B$63:$K$1238,10,0)</f>
        <v>0.10328362628566667</v>
      </c>
      <c r="V598" s="8">
        <f>+VLOOKUP($B598,NIFTY_BANK!$B$63:$K$1238,10,0)</f>
        <v>0.17075446000455252</v>
      </c>
      <c r="W598" s="8">
        <f>+VLOOKUP($B598,NIFTY_IT!$B$63:$K$1238,10,0)</f>
        <v>1.6258858892850503E-2</v>
      </c>
      <c r="X598" s="8">
        <f>+VLOOKUP($B598,NIFTY_PHARMA!$B$63:$K$1238,10,0)</f>
        <v>-4.6367102027926266E-2</v>
      </c>
      <c r="Y598" s="8">
        <f>+VLOOKUP($B598,NIFTY_FMCG!$B$63:$K$1238,10,0)</f>
        <v>2.3256930030388867E-2</v>
      </c>
      <c r="Z598" s="8">
        <f>+VLOOKUP($B598,NIFTY_METAL!$B$63:$K$1238,10,0)</f>
        <v>1.8810263975973518E-2</v>
      </c>
      <c r="AA598" s="8">
        <f>+VLOOKUP($B598,NIFTY_ENERGY!$B$63:$K$1238,10,0)</f>
        <v>0.12739421541896845</v>
      </c>
      <c r="AB598" s="8">
        <f>+VLOOKUP($B598,NIFTY_AUTO!$B$63:$K$1238,10,0)</f>
        <v>-2.9043770523927925E-2</v>
      </c>
      <c r="AC598" s="8"/>
      <c r="AD598" s="16">
        <f t="shared" si="342"/>
        <v>6.6431344232485964E-2</v>
      </c>
      <c r="AE598" s="8">
        <f t="shared" si="343"/>
        <v>8.9617358044744244E-2</v>
      </c>
      <c r="AF598" s="8">
        <f t="shared" si="344"/>
        <v>6.9005577806076815E-2</v>
      </c>
      <c r="AG598" s="8">
        <f t="shared" si="345"/>
        <v>7.7757935296701497E-2</v>
      </c>
      <c r="AH598" s="8">
        <f t="shared" si="346"/>
        <v>5.8717408770976705E-2</v>
      </c>
      <c r="AI598" s="8">
        <f t="shared" si="347"/>
        <v>0.1099218557974346</v>
      </c>
      <c r="AJ598" s="8">
        <f t="shared" si="348"/>
        <v>9.7676922566444488E-2</v>
      </c>
      <c r="AK598" s="8">
        <f t="shared" si="349"/>
        <v>9.8988672194755739E-2</v>
      </c>
      <c r="AL598" s="9">
        <v>0</v>
      </c>
      <c r="AM598" s="17">
        <f t="shared" si="326"/>
        <v>15.053135105927668</v>
      </c>
      <c r="AN598" s="13">
        <f t="shared" si="327"/>
        <v>11.158552559658354</v>
      </c>
      <c r="AO598" s="13">
        <f t="shared" si="328"/>
        <v>14.491582156014312</v>
      </c>
      <c r="AP598" s="13">
        <f t="shared" si="329"/>
        <v>12.860423777769986</v>
      </c>
      <c r="AQ598" s="13">
        <f t="shared" si="330"/>
        <v>17.030724293376647</v>
      </c>
      <c r="AR598" s="13">
        <f t="shared" si="331"/>
        <v>9.0973718806459445</v>
      </c>
      <c r="AS598" s="13">
        <f t="shared" si="332"/>
        <v>10.237832783068615</v>
      </c>
      <c r="AT598" s="13">
        <f t="shared" si="333"/>
        <v>10.102166013829796</v>
      </c>
      <c r="AU598" s="9">
        <v>0</v>
      </c>
      <c r="AV598" s="18">
        <f t="shared" si="350"/>
        <v>2</v>
      </c>
      <c r="AW598" s="18">
        <f t="shared" si="351"/>
        <v>5</v>
      </c>
      <c r="AX598" s="18">
        <f t="shared" si="352"/>
        <v>3</v>
      </c>
      <c r="AY598" s="18">
        <f t="shared" si="353"/>
        <v>4</v>
      </c>
      <c r="AZ598" s="18">
        <f t="shared" si="354"/>
        <v>1</v>
      </c>
      <c r="BA598" s="18">
        <f t="shared" si="355"/>
        <v>8</v>
      </c>
      <c r="BB598" s="18">
        <f t="shared" si="356"/>
        <v>6</v>
      </c>
      <c r="BC598" s="18">
        <f t="shared" si="357"/>
        <v>7</v>
      </c>
      <c r="BD598" s="18">
        <f t="shared" si="358"/>
        <v>9</v>
      </c>
      <c r="BE598" s="8">
        <f t="shared" si="360"/>
        <v>-6.5473500631966011E-4</v>
      </c>
    </row>
    <row r="599" spans="1:57" x14ac:dyDescent="0.25">
      <c r="A599" t="str">
        <f t="shared" si="359"/>
        <v/>
      </c>
      <c r="B599" s="1">
        <v>43619</v>
      </c>
      <c r="C599" s="9">
        <f t="shared" si="334"/>
        <v>0.25033005353555637</v>
      </c>
      <c r="D599" s="9">
        <f t="shared" si="335"/>
        <v>0</v>
      </c>
      <c r="E599" s="9">
        <f t="shared" si="336"/>
        <v>0.24995171149865708</v>
      </c>
      <c r="F599" s="9">
        <f t="shared" si="337"/>
        <v>0.2492775822062257</v>
      </c>
      <c r="G599" s="9">
        <f t="shared" si="338"/>
        <v>0.25044065275956073</v>
      </c>
      <c r="H599" s="9">
        <f t="shared" si="339"/>
        <v>0</v>
      </c>
      <c r="I599" s="9">
        <f t="shared" si="340"/>
        <v>0</v>
      </c>
      <c r="J599" s="9">
        <f t="shared" si="341"/>
        <v>0</v>
      </c>
      <c r="K599" s="9">
        <v>0</v>
      </c>
      <c r="L599" s="8">
        <f>+VLOOKUP($B599,NIFTY_50!$B$3:$I$1238,8,0)</f>
        <v>1.3901935786895692E-2</v>
      </c>
      <c r="M599" s="8">
        <f>+VLOOKUP($B599,NIFTY_BANK!$B$3:$I$41238,8,0)</f>
        <v>8.8684128329838963E-3</v>
      </c>
      <c r="N599" s="8">
        <f>+VLOOKUP($B599,NIFTY_IT!$B$3:$I$1238,8,0)</f>
        <v>1.2369551967278625E-2</v>
      </c>
      <c r="O599" s="8">
        <f>+VLOOKUP($B599,NIFTY_PHARMA!$B$3:$I$1238,8,0)</f>
        <v>9.6391527007368971E-3</v>
      </c>
      <c r="P599" s="8">
        <f>+VLOOKUP($B599,NIFTY_FMCG!$B$3:$I$1238,8,0)</f>
        <v>1.4349891458740771E-2</v>
      </c>
      <c r="Q599" s="8">
        <f>+VLOOKUP($B599,NIFTY_METAL!$B$3:$I$1238,8,0)</f>
        <v>1.7532064542821635E-2</v>
      </c>
      <c r="R599" s="8">
        <f>+VLOOKUP($B599,NIFTY_ENERGY!$B$3:$I$1238,8,0)</f>
        <v>1.2064962395118561E-2</v>
      </c>
      <c r="S599" s="8">
        <f>+VLOOKUP($B599,NIFTY_AUTO!$B$3:$I$1238,8,0)</f>
        <v>1.867775671212768E-2</v>
      </c>
      <c r="T599" s="8">
        <v>0</v>
      </c>
      <c r="U599" s="8">
        <f>+VLOOKUP($B599,NIFTY_50!$B$63:$K$1238,10,0)</f>
        <v>0.12008802409080377</v>
      </c>
      <c r="V599" s="8">
        <f>+VLOOKUP($B599,NIFTY_BANK!$B$63:$K$1238,10,0)</f>
        <v>0.18155162953202519</v>
      </c>
      <c r="W599" s="8">
        <f>+VLOOKUP($B599,NIFTY_IT!$B$63:$K$1238,10,0)</f>
        <v>3.9953597762522275E-2</v>
      </c>
      <c r="X599" s="8">
        <f>+VLOOKUP($B599,NIFTY_PHARMA!$B$63:$K$1238,10,0)</f>
        <v>-3.9195934652807907E-2</v>
      </c>
      <c r="Y599" s="8">
        <f>+VLOOKUP($B599,NIFTY_FMCG!$B$63:$K$1238,10,0)</f>
        <v>3.4716372465429801E-2</v>
      </c>
      <c r="Z599" s="8">
        <f>+VLOOKUP($B599,NIFTY_METAL!$B$63:$K$1238,10,0)</f>
        <v>2.7737150020894275E-2</v>
      </c>
      <c r="AA599" s="8">
        <f>+VLOOKUP($B599,NIFTY_ENERGY!$B$63:$K$1238,10,0)</f>
        <v>0.13102878159057951</v>
      </c>
      <c r="AB599" s="8">
        <f>+VLOOKUP($B599,NIFTY_AUTO!$B$63:$K$1238,10,0)</f>
        <v>-3.2255554957121291E-3</v>
      </c>
      <c r="AC599" s="8"/>
      <c r="AD599" s="16">
        <f t="shared" si="342"/>
        <v>6.7459075437198215E-2</v>
      </c>
      <c r="AE599" s="8">
        <f t="shared" si="343"/>
        <v>8.9774640832839439E-2</v>
      </c>
      <c r="AF599" s="8">
        <f t="shared" si="344"/>
        <v>6.9120428936455078E-2</v>
      </c>
      <c r="AG599" s="8">
        <f t="shared" si="345"/>
        <v>7.8388940144282868E-2</v>
      </c>
      <c r="AH599" s="8">
        <f t="shared" si="346"/>
        <v>6.0272482759834954E-2</v>
      </c>
      <c r="AI599" s="8">
        <f t="shared" si="347"/>
        <v>0.11093322661128426</v>
      </c>
      <c r="AJ599" s="8">
        <f t="shared" si="348"/>
        <v>9.7955107754425286E-2</v>
      </c>
      <c r="AK599" s="8">
        <f t="shared" si="349"/>
        <v>0.10048919026070369</v>
      </c>
      <c r="AL599" s="9">
        <v>0</v>
      </c>
      <c r="AM599" s="17">
        <f t="shared" si="326"/>
        <v>14.823802335253783</v>
      </c>
      <c r="AN599" s="13">
        <f t="shared" si="327"/>
        <v>11.13900307172492</v>
      </c>
      <c r="AO599" s="13">
        <f t="shared" si="328"/>
        <v>14.467502811930411</v>
      </c>
      <c r="AP599" s="13">
        <f t="shared" si="329"/>
        <v>12.756901651679403</v>
      </c>
      <c r="AQ599" s="13">
        <f t="shared" si="330"/>
        <v>16.591319192618212</v>
      </c>
      <c r="AR599" s="13">
        <f t="shared" si="331"/>
        <v>9.0144317491462811</v>
      </c>
      <c r="AS599" s="13">
        <f t="shared" si="332"/>
        <v>10.208758102813922</v>
      </c>
      <c r="AT599" s="13">
        <f t="shared" si="333"/>
        <v>9.9513191160726286</v>
      </c>
      <c r="AU599" s="9">
        <v>0</v>
      </c>
      <c r="AV599" s="18">
        <f t="shared" si="350"/>
        <v>2</v>
      </c>
      <c r="AW599" s="18">
        <f t="shared" si="351"/>
        <v>5</v>
      </c>
      <c r="AX599" s="18">
        <f t="shared" si="352"/>
        <v>3</v>
      </c>
      <c r="AY599" s="18">
        <f t="shared" si="353"/>
        <v>4</v>
      </c>
      <c r="AZ599" s="18">
        <f t="shared" si="354"/>
        <v>1</v>
      </c>
      <c r="BA599" s="18">
        <f t="shared" si="355"/>
        <v>8</v>
      </c>
      <c r="BB599" s="18">
        <f t="shared" si="356"/>
        <v>6</v>
      </c>
      <c r="BC599" s="18">
        <f t="shared" si="357"/>
        <v>7</v>
      </c>
      <c r="BD599" s="18">
        <f t="shared" si="358"/>
        <v>9</v>
      </c>
      <c r="BE599" s="8">
        <f t="shared" si="360"/>
        <v>1.2565132978412996E-2</v>
      </c>
    </row>
    <row r="600" spans="1:57" x14ac:dyDescent="0.25">
      <c r="A600" t="str">
        <f t="shared" si="359"/>
        <v/>
      </c>
      <c r="B600" s="1">
        <v>43620</v>
      </c>
      <c r="C600" s="9">
        <f t="shared" si="334"/>
        <v>0.25120085386175212</v>
      </c>
      <c r="D600" s="9">
        <f t="shared" si="335"/>
        <v>0</v>
      </c>
      <c r="E600" s="9">
        <f t="shared" si="336"/>
        <v>0.2482804868298793</v>
      </c>
      <c r="F600" s="9">
        <f t="shared" si="337"/>
        <v>0.24848264848412341</v>
      </c>
      <c r="G600" s="9">
        <f t="shared" si="338"/>
        <v>0.25203601082424526</v>
      </c>
      <c r="H600" s="9">
        <f t="shared" si="339"/>
        <v>0</v>
      </c>
      <c r="I600" s="9">
        <f t="shared" si="340"/>
        <v>0</v>
      </c>
      <c r="J600" s="9">
        <f t="shared" si="341"/>
        <v>0</v>
      </c>
      <c r="K600" s="9">
        <v>0</v>
      </c>
      <c r="L600" s="8">
        <f>+VLOOKUP($B600,NIFTY_50!$B$3:$I$1238,8,0)</f>
        <v>-5.5341624926066313E-3</v>
      </c>
      <c r="M600" s="8">
        <f>+VLOOKUP($B600,NIFTY_BANK!$B$3:$I$41238,8,0)</f>
        <v>-2.0408388921973053E-3</v>
      </c>
      <c r="N600" s="8">
        <f>+VLOOKUP($B600,NIFTY_IT!$B$3:$I$1238,8,0)</f>
        <v>-1.5607666001448472E-2</v>
      </c>
      <c r="O600" s="8">
        <f>+VLOOKUP($B600,NIFTY_PHARMA!$B$3:$I$1238,8,0)</f>
        <v>-1.2141836328280586E-2</v>
      </c>
      <c r="P600" s="8">
        <f>+VLOOKUP($B600,NIFTY_FMCG!$B$3:$I$1238,8,0)</f>
        <v>-2.6685381662056029E-3</v>
      </c>
      <c r="Q600" s="8">
        <f>+VLOOKUP($B600,NIFTY_METAL!$B$3:$I$1238,8,0)</f>
        <v>1.7450232952138656E-3</v>
      </c>
      <c r="R600" s="8">
        <f>+VLOOKUP($B600,NIFTY_ENERGY!$B$3:$I$1238,8,0)</f>
        <v>-7.0464763143529563E-3</v>
      </c>
      <c r="S600" s="8">
        <f>+VLOOKUP($B600,NIFTY_AUTO!$B$3:$I$1238,8,0)</f>
        <v>-3.3620710357580297E-3</v>
      </c>
      <c r="T600" s="8">
        <v>0</v>
      </c>
      <c r="U600" s="8">
        <f>+VLOOKUP($B600,NIFTY_50!$B$63:$K$1238,10,0)</f>
        <v>0.10660928798269431</v>
      </c>
      <c r="V600" s="8">
        <f>+VLOOKUP($B600,NIFTY_BANK!$B$63:$K$1238,10,0)</f>
        <v>0.16806562662929525</v>
      </c>
      <c r="W600" s="8">
        <f>+VLOOKUP($B600,NIFTY_IT!$B$63:$K$1238,10,0)</f>
        <v>1.6209940498350006E-2</v>
      </c>
      <c r="X600" s="8">
        <f>+VLOOKUP($B600,NIFTY_PHARMA!$B$63:$K$1238,10,0)</f>
        <v>-6.0149454174630579E-2</v>
      </c>
      <c r="Y600" s="8">
        <f>+VLOOKUP($B600,NIFTY_FMCG!$B$63:$K$1238,10,0)</f>
        <v>2.4878754042946039E-2</v>
      </c>
      <c r="Z600" s="8">
        <f>+VLOOKUP($B600,NIFTY_METAL!$B$63:$K$1238,10,0)</f>
        <v>1.1530434187566385E-2</v>
      </c>
      <c r="AA600" s="8">
        <f>+VLOOKUP($B600,NIFTY_ENERGY!$B$63:$K$1238,10,0)</f>
        <v>0.1200846690470021</v>
      </c>
      <c r="AB600" s="8">
        <f>+VLOOKUP($B600,NIFTY_AUTO!$B$63:$K$1238,10,0)</f>
        <v>-1.3484040814628506E-2</v>
      </c>
      <c r="AC600" s="8"/>
      <c r="AD600" s="16">
        <f t="shared" si="342"/>
        <v>6.7687870841212097E-2</v>
      </c>
      <c r="AE600" s="8">
        <f t="shared" si="343"/>
        <v>8.9644859306419647E-2</v>
      </c>
      <c r="AF600" s="8">
        <f t="shared" si="344"/>
        <v>7.0634730196877993E-2</v>
      </c>
      <c r="AG600" s="8">
        <f t="shared" si="345"/>
        <v>7.8485794494692618E-2</v>
      </c>
      <c r="AH600" s="8">
        <f t="shared" si="346"/>
        <v>6.0016663297263483E-2</v>
      </c>
      <c r="AI600" s="8">
        <f t="shared" si="347"/>
        <v>0.10957174034453498</v>
      </c>
      <c r="AJ600" s="8">
        <f t="shared" si="348"/>
        <v>9.8371667707899513E-2</v>
      </c>
      <c r="AK600" s="8">
        <f t="shared" si="349"/>
        <v>0.10029557411464565</v>
      </c>
      <c r="AL600" s="9">
        <v>0</v>
      </c>
      <c r="AM600" s="17">
        <f t="shared" si="326"/>
        <v>14.773695605611294</v>
      </c>
      <c r="AN600" s="13">
        <f t="shared" si="327"/>
        <v>11.155129337443089</v>
      </c>
      <c r="AO600" s="13">
        <f t="shared" si="328"/>
        <v>14.157341540241337</v>
      </c>
      <c r="AP600" s="13">
        <f t="shared" si="329"/>
        <v>12.741159166932077</v>
      </c>
      <c r="AQ600" s="13">
        <f t="shared" si="330"/>
        <v>16.662039258113772</v>
      </c>
      <c r="AR600" s="13">
        <f t="shared" si="331"/>
        <v>9.1264407853304323</v>
      </c>
      <c r="AS600" s="13">
        <f t="shared" si="332"/>
        <v>10.165528584605843</v>
      </c>
      <c r="AT600" s="13">
        <f t="shared" si="333"/>
        <v>9.9705296951281426</v>
      </c>
      <c r="AU600" s="9">
        <v>0</v>
      </c>
      <c r="AV600" s="18">
        <f t="shared" si="350"/>
        <v>2</v>
      </c>
      <c r="AW600" s="18">
        <f t="shared" si="351"/>
        <v>5</v>
      </c>
      <c r="AX600" s="18">
        <f t="shared" si="352"/>
        <v>3</v>
      </c>
      <c r="AY600" s="18">
        <f t="shared" si="353"/>
        <v>4</v>
      </c>
      <c r="AZ600" s="18">
        <f t="shared" si="354"/>
        <v>1</v>
      </c>
      <c r="BA600" s="18">
        <f t="shared" si="355"/>
        <v>8</v>
      </c>
      <c r="BB600" s="18">
        <f t="shared" si="356"/>
        <v>6</v>
      </c>
      <c r="BC600" s="18">
        <f t="shared" si="357"/>
        <v>7</v>
      </c>
      <c r="BD600" s="18">
        <f t="shared" si="358"/>
        <v>9</v>
      </c>
      <c r="BE600" s="8">
        <f t="shared" si="360"/>
        <v>-8.9815280663259663E-3</v>
      </c>
    </row>
    <row r="601" spans="1:57" x14ac:dyDescent="0.25">
      <c r="A601" t="str">
        <f t="shared" si="359"/>
        <v/>
      </c>
      <c r="B601" s="1">
        <v>43622</v>
      </c>
      <c r="C601" s="9">
        <f t="shared" si="334"/>
        <v>0.25020041811150839</v>
      </c>
      <c r="D601" s="9">
        <f t="shared" si="335"/>
        <v>0</v>
      </c>
      <c r="E601" s="9">
        <f t="shared" si="336"/>
        <v>0.2495551446995441</v>
      </c>
      <c r="F601" s="9">
        <f t="shared" si="337"/>
        <v>0.24662746456851789</v>
      </c>
      <c r="G601" s="9">
        <f t="shared" si="338"/>
        <v>0.25361697262042965</v>
      </c>
      <c r="H601" s="9">
        <f t="shared" si="339"/>
        <v>0</v>
      </c>
      <c r="I601" s="9">
        <f t="shared" si="340"/>
        <v>0</v>
      </c>
      <c r="J601" s="9">
        <f t="shared" si="341"/>
        <v>0</v>
      </c>
      <c r="K601" s="9">
        <v>0</v>
      </c>
      <c r="L601" s="8">
        <f>+VLOOKUP($B601,NIFTY_50!$B$3:$I$1238,8,0)</f>
        <v>-1.479830139789462E-2</v>
      </c>
      <c r="M601" s="8">
        <f>+VLOOKUP($B601,NIFTY_BANK!$B$3:$I$41238,8,0)</f>
        <v>-2.3161506914579522E-2</v>
      </c>
      <c r="N601" s="8">
        <f>+VLOOKUP($B601,NIFTY_IT!$B$3:$I$1238,8,0)</f>
        <v>-5.78074162382336E-3</v>
      </c>
      <c r="O601" s="8">
        <f>+VLOOKUP($B601,NIFTY_PHARMA!$B$3:$I$1238,8,0)</f>
        <v>-1.8243912272692286E-2</v>
      </c>
      <c r="P601" s="8">
        <f>+VLOOKUP($B601,NIFTY_FMCG!$B$3:$I$1238,8,0)</f>
        <v>-4.6542894468001306E-3</v>
      </c>
      <c r="Q601" s="8">
        <f>+VLOOKUP($B601,NIFTY_METAL!$B$3:$I$1238,8,0)</f>
        <v>-1.1280611554593367E-2</v>
      </c>
      <c r="R601" s="8">
        <f>+VLOOKUP($B601,NIFTY_ENERGY!$B$3:$I$1238,8,0)</f>
        <v>-1.8477290958746062E-2</v>
      </c>
      <c r="S601" s="8">
        <f>+VLOOKUP($B601,NIFTY_AUTO!$B$3:$I$1238,8,0)</f>
        <v>-8.8853280643840238E-3</v>
      </c>
      <c r="T601" s="8">
        <v>0</v>
      </c>
      <c r="U601" s="8">
        <f>+VLOOKUP($B601,NIFTY_50!$B$63:$K$1238,10,0)</f>
        <v>7.7934370577340539E-2</v>
      </c>
      <c r="V601" s="8">
        <f>+VLOOKUP($B601,NIFTY_BANK!$B$63:$K$1238,10,0)</f>
        <v>0.11988618732999323</v>
      </c>
      <c r="W601" s="8">
        <f>+VLOOKUP($B601,NIFTY_IT!$B$63:$K$1238,10,0)</f>
        <v>2.2216405666460215E-2</v>
      </c>
      <c r="X601" s="8">
        <f>+VLOOKUP($B601,NIFTY_PHARMA!$B$63:$K$1238,10,0)</f>
        <v>-8.5652123494557975E-2</v>
      </c>
      <c r="Y601" s="8">
        <f>+VLOOKUP($B601,NIFTY_FMCG!$B$63:$K$1238,10,0)</f>
        <v>1.3767656462906341E-2</v>
      </c>
      <c r="Z601" s="8">
        <f>+VLOOKUP($B601,NIFTY_METAL!$B$63:$K$1238,10,0)</f>
        <v>-2.5714952336510777E-2</v>
      </c>
      <c r="AA601" s="8">
        <f>+VLOOKUP($B601,NIFTY_ENERGY!$B$63:$K$1238,10,0)</f>
        <v>8.1142528096580735E-2</v>
      </c>
      <c r="AB601" s="8">
        <f>+VLOOKUP($B601,NIFTY_AUTO!$B$63:$K$1238,10,0)</f>
        <v>-5.1880921098125921E-2</v>
      </c>
      <c r="AC601" s="8"/>
      <c r="AD601" s="16">
        <f t="shared" si="342"/>
        <v>6.8907671138060622E-2</v>
      </c>
      <c r="AE601" s="8">
        <f t="shared" si="343"/>
        <v>9.1693377243242946E-2</v>
      </c>
      <c r="AF601" s="8">
        <f t="shared" si="344"/>
        <v>6.9881879008776945E-2</v>
      </c>
      <c r="AG601" s="8">
        <f t="shared" si="345"/>
        <v>7.9650315306605643E-2</v>
      </c>
      <c r="AH601" s="8">
        <f t="shared" si="346"/>
        <v>5.993347439623059E-2</v>
      </c>
      <c r="AI601" s="8">
        <f t="shared" si="347"/>
        <v>0.10690314948238321</v>
      </c>
      <c r="AJ601" s="8">
        <f t="shared" si="348"/>
        <v>9.9248357631388257E-2</v>
      </c>
      <c r="AK601" s="8">
        <f t="shared" si="349"/>
        <v>9.5518112676297437E-2</v>
      </c>
      <c r="AL601" s="9">
        <v>0</v>
      </c>
      <c r="AM601" s="17">
        <f t="shared" si="326"/>
        <v>14.512172353009007</v>
      </c>
      <c r="AN601" s="13">
        <f t="shared" si="327"/>
        <v>10.905913055718447</v>
      </c>
      <c r="AO601" s="13">
        <f t="shared" si="328"/>
        <v>14.309861357254048</v>
      </c>
      <c r="AP601" s="13">
        <f t="shared" si="329"/>
        <v>12.554878108775885</v>
      </c>
      <c r="AQ601" s="13">
        <f t="shared" si="330"/>
        <v>16.685166512937773</v>
      </c>
      <c r="AR601" s="13">
        <f t="shared" si="331"/>
        <v>9.354261355646889</v>
      </c>
      <c r="AS601" s="13">
        <f t="shared" si="332"/>
        <v>10.07573348179759</v>
      </c>
      <c r="AT601" s="13">
        <f t="shared" si="333"/>
        <v>10.469218580447803</v>
      </c>
      <c r="AU601" s="9">
        <v>0</v>
      </c>
      <c r="AV601" s="18">
        <f t="shared" si="350"/>
        <v>2</v>
      </c>
      <c r="AW601" s="18">
        <f t="shared" si="351"/>
        <v>5</v>
      </c>
      <c r="AX601" s="18">
        <f t="shared" si="352"/>
        <v>3</v>
      </c>
      <c r="AY601" s="18">
        <f t="shared" si="353"/>
        <v>4</v>
      </c>
      <c r="AZ601" s="18">
        <f t="shared" si="354"/>
        <v>1</v>
      </c>
      <c r="BA601" s="18">
        <f t="shared" si="355"/>
        <v>8</v>
      </c>
      <c r="BB601" s="18">
        <f t="shared" si="356"/>
        <v>7</v>
      </c>
      <c r="BC601" s="18">
        <f t="shared" si="357"/>
        <v>6</v>
      </c>
      <c r="BD601" s="18">
        <f t="shared" si="358"/>
        <v>9</v>
      </c>
      <c r="BE601" s="8">
        <f t="shared" si="360"/>
        <v>-1.0858935477078771E-2</v>
      </c>
    </row>
    <row r="602" spans="1:57" x14ac:dyDescent="0.25">
      <c r="A602" t="str">
        <f t="shared" si="359"/>
        <v/>
      </c>
      <c r="B602" s="1">
        <v>43623</v>
      </c>
      <c r="C602" s="9">
        <f t="shared" si="334"/>
        <v>0.25116992924431536</v>
      </c>
      <c r="D602" s="9">
        <f t="shared" si="335"/>
        <v>0</v>
      </c>
      <c r="E602" s="9">
        <f t="shared" si="336"/>
        <v>0.25148036035948673</v>
      </c>
      <c r="F602" s="9">
        <f t="shared" si="337"/>
        <v>0.24405331985793488</v>
      </c>
      <c r="G602" s="9">
        <f t="shared" si="338"/>
        <v>0.25329639053826303</v>
      </c>
      <c r="H602" s="9">
        <f t="shared" si="339"/>
        <v>0</v>
      </c>
      <c r="I602" s="9">
        <f t="shared" si="340"/>
        <v>0</v>
      </c>
      <c r="J602" s="9">
        <f t="shared" si="341"/>
        <v>0</v>
      </c>
      <c r="K602" s="9">
        <v>0</v>
      </c>
      <c r="L602" s="8">
        <f>+VLOOKUP($B602,NIFTY_50!$B$3:$I$1238,8,0)</f>
        <v>2.271240105540917E-3</v>
      </c>
      <c r="M602" s="8">
        <f>+VLOOKUP($B602,NIFTY_BANK!$B$3:$I$41238,8,0)</f>
        <v>6.7779527763194292E-3</v>
      </c>
      <c r="N602" s="8">
        <f>+VLOOKUP($B602,NIFTY_IT!$B$3:$I$1238,8,0)</f>
        <v>6.1047582765534347E-3</v>
      </c>
      <c r="O602" s="8">
        <f>+VLOOKUP($B602,NIFTY_PHARMA!$B$3:$I$1238,8,0)</f>
        <v>-1.2018214540227778E-2</v>
      </c>
      <c r="P602" s="8">
        <f>+VLOOKUP($B602,NIFTY_FMCG!$B$3:$I$1238,8,0)</f>
        <v>-2.8595287682899873E-3</v>
      </c>
      <c r="Q602" s="8">
        <f>+VLOOKUP($B602,NIFTY_METAL!$B$3:$I$1238,8,0)</f>
        <v>-5.5079454679188844E-3</v>
      </c>
      <c r="R602" s="8">
        <f>+VLOOKUP($B602,NIFTY_ENERGY!$B$3:$I$1238,8,0)</f>
        <v>-6.330140714008059E-3</v>
      </c>
      <c r="S602" s="8">
        <f>+VLOOKUP($B602,NIFTY_AUTO!$B$3:$I$1238,8,0)</f>
        <v>-4.1877115888385719E-3</v>
      </c>
      <c r="T602" s="8">
        <v>0</v>
      </c>
      <c r="U602" s="8">
        <f>+VLOOKUP($B602,NIFTY_50!$B$63:$K$1238,10,0)</f>
        <v>7.3975391296480453E-2</v>
      </c>
      <c r="V602" s="8">
        <f>+VLOOKUP($B602,NIFTY_BANK!$B$63:$K$1238,10,0)</f>
        <v>0.12455453536839856</v>
      </c>
      <c r="W602" s="8">
        <f>+VLOOKUP($B602,NIFTY_IT!$B$63:$K$1238,10,0)</f>
        <v>2.381943495571992E-2</v>
      </c>
      <c r="X602" s="8">
        <f>+VLOOKUP($B602,NIFTY_PHARMA!$B$63:$K$1238,10,0)</f>
        <v>-0.1065428727471327</v>
      </c>
      <c r="Y602" s="8">
        <f>+VLOOKUP($B602,NIFTY_FMCG!$B$63:$K$1238,10,0)</f>
        <v>8.7898809503774711E-3</v>
      </c>
      <c r="Z602" s="8">
        <f>+VLOOKUP($B602,NIFTY_METAL!$B$63:$K$1238,10,0)</f>
        <v>-3.7847946248303788E-2</v>
      </c>
      <c r="AA602" s="8">
        <f>+VLOOKUP($B602,NIFTY_ENERGY!$B$63:$K$1238,10,0)</f>
        <v>5.6505706874611539E-2</v>
      </c>
      <c r="AB602" s="8">
        <f>+VLOOKUP($B602,NIFTY_AUTO!$B$63:$K$1238,10,0)</f>
        <v>-5.3139538243707873E-2</v>
      </c>
      <c r="AC602" s="8"/>
      <c r="AD602" s="16">
        <f t="shared" si="342"/>
        <v>6.8753124345937167E-2</v>
      </c>
      <c r="AE602" s="8">
        <f t="shared" si="343"/>
        <v>9.1817621118757339E-2</v>
      </c>
      <c r="AF602" s="8">
        <f t="shared" si="344"/>
        <v>6.9992335771841649E-2</v>
      </c>
      <c r="AG602" s="8">
        <f t="shared" si="345"/>
        <v>7.9320158984743622E-2</v>
      </c>
      <c r="AH602" s="8">
        <f t="shared" si="346"/>
        <v>5.998374469767602E-2</v>
      </c>
      <c r="AI602" s="8">
        <f t="shared" si="347"/>
        <v>0.10676240682351429</v>
      </c>
      <c r="AJ602" s="8">
        <f t="shared" si="348"/>
        <v>9.8289899399032862E-2</v>
      </c>
      <c r="AK602" s="8">
        <f t="shared" si="349"/>
        <v>9.5555748056712561E-2</v>
      </c>
      <c r="AL602" s="9">
        <v>0</v>
      </c>
      <c r="AM602" s="17">
        <f t="shared" si="326"/>
        <v>14.544793556848637</v>
      </c>
      <c r="AN602" s="13">
        <f t="shared" si="327"/>
        <v>10.89115561714015</v>
      </c>
      <c r="AO602" s="13">
        <f t="shared" si="328"/>
        <v>14.287278585183412</v>
      </c>
      <c r="AP602" s="13">
        <f t="shared" si="329"/>
        <v>12.607135598307856</v>
      </c>
      <c r="AQ602" s="13">
        <f t="shared" si="330"/>
        <v>16.671183252064345</v>
      </c>
      <c r="AR602" s="13">
        <f t="shared" si="331"/>
        <v>9.3665928837017489</v>
      </c>
      <c r="AS602" s="13">
        <f t="shared" si="332"/>
        <v>10.173985385214868</v>
      </c>
      <c r="AT602" s="13">
        <f t="shared" si="333"/>
        <v>10.46509519664372</v>
      </c>
      <c r="AU602" s="9">
        <v>0</v>
      </c>
      <c r="AV602" s="18">
        <f t="shared" si="350"/>
        <v>2</v>
      </c>
      <c r="AW602" s="18">
        <f t="shared" si="351"/>
        <v>5</v>
      </c>
      <c r="AX602" s="18">
        <f t="shared" si="352"/>
        <v>3</v>
      </c>
      <c r="AY602" s="18">
        <f t="shared" si="353"/>
        <v>4</v>
      </c>
      <c r="AZ602" s="18">
        <f t="shared" si="354"/>
        <v>1</v>
      </c>
      <c r="BA602" s="18">
        <f t="shared" si="355"/>
        <v>8</v>
      </c>
      <c r="BB602" s="18">
        <f t="shared" si="356"/>
        <v>7</v>
      </c>
      <c r="BC602" s="18">
        <f t="shared" si="357"/>
        <v>6</v>
      </c>
      <c r="BD602" s="18">
        <f t="shared" si="358"/>
        <v>9</v>
      </c>
      <c r="BE602" s="8">
        <f t="shared" si="360"/>
        <v>-1.5975077509326097E-3</v>
      </c>
    </row>
    <row r="603" spans="1:57" x14ac:dyDescent="0.25">
      <c r="A603" t="str">
        <f t="shared" si="359"/>
        <v/>
      </c>
      <c r="B603" s="1">
        <v>43626</v>
      </c>
      <c r="C603" s="9">
        <f t="shared" si="334"/>
        <v>0.2496901760793763</v>
      </c>
      <c r="D603" s="9">
        <f t="shared" si="335"/>
        <v>0</v>
      </c>
      <c r="E603" s="9">
        <f t="shared" si="336"/>
        <v>0.2528094355056541</v>
      </c>
      <c r="F603" s="9">
        <f t="shared" si="337"/>
        <v>0.24353789377514948</v>
      </c>
      <c r="G603" s="9">
        <f t="shared" si="338"/>
        <v>0.25396249463982024</v>
      </c>
      <c r="H603" s="9">
        <f t="shared" si="339"/>
        <v>0</v>
      </c>
      <c r="I603" s="9">
        <f t="shared" si="340"/>
        <v>0</v>
      </c>
      <c r="J603" s="9">
        <f t="shared" si="341"/>
        <v>0</v>
      </c>
      <c r="K603" s="9">
        <v>0</v>
      </c>
      <c r="L603" s="8">
        <f>+VLOOKUP($B603,NIFTY_50!$B$3:$I$1238,8,0)</f>
        <v>4.3847641030609896E-3</v>
      </c>
      <c r="M603" s="8">
        <f>+VLOOKUP($B603,NIFTY_BANK!$B$3:$I$41238,8,0)</f>
        <v>-1.0477507158019872E-3</v>
      </c>
      <c r="N603" s="8">
        <f>+VLOOKUP($B603,NIFTY_IT!$B$3:$I$1238,8,0)</f>
        <v>1.5676744352057792E-2</v>
      </c>
      <c r="O603" s="8">
        <f>+VLOOKUP($B603,NIFTY_PHARMA!$B$3:$I$1238,8,0)</f>
        <v>8.2033351264121368E-3</v>
      </c>
      <c r="P603" s="8">
        <f>+VLOOKUP($B603,NIFTY_FMCG!$B$3:$I$1238,8,0)</f>
        <v>1.2994032654409571E-2</v>
      </c>
      <c r="Q603" s="8">
        <f>+VLOOKUP($B603,NIFTY_METAL!$B$3:$I$1238,8,0)</f>
        <v>1.8232167735943161E-3</v>
      </c>
      <c r="R603" s="8">
        <f>+VLOOKUP($B603,NIFTY_ENERGY!$B$3:$I$1238,8,0)</f>
        <v>-6.5368134728592819E-3</v>
      </c>
      <c r="S603" s="8">
        <f>+VLOOKUP($B603,NIFTY_AUTO!$B$3:$I$1238,8,0)</f>
        <v>3.0090332031249556E-3</v>
      </c>
      <c r="T603" s="8">
        <v>0</v>
      </c>
      <c r="U603" s="8">
        <f>+VLOOKUP($B603,NIFTY_50!$B$63:$K$1238,10,0)</f>
        <v>7.817728020835224E-2</v>
      </c>
      <c r="V603" s="8">
        <f>+VLOOKUP($B603,NIFTY_BANK!$B$63:$K$1238,10,0)</f>
        <v>0.11775426262218813</v>
      </c>
      <c r="W603" s="8">
        <f>+VLOOKUP($B603,NIFTY_IT!$B$63:$K$1238,10,0)</f>
        <v>5.0076690561605908E-2</v>
      </c>
      <c r="X603" s="8">
        <f>+VLOOKUP($B603,NIFTY_PHARMA!$B$63:$K$1238,10,0)</f>
        <v>-8.8324222139923525E-2</v>
      </c>
      <c r="Y603" s="8">
        <f>+VLOOKUP($B603,NIFTY_FMCG!$B$63:$K$1238,10,0)</f>
        <v>1.5277194895005897E-2</v>
      </c>
      <c r="Z603" s="8">
        <f>+VLOOKUP($B603,NIFTY_METAL!$B$63:$K$1238,10,0)</f>
        <v>-2.6930851863608218E-2</v>
      </c>
      <c r="AA603" s="8">
        <f>+VLOOKUP($B603,NIFTY_ENERGY!$B$63:$K$1238,10,0)</f>
        <v>5.0604788136835444E-2</v>
      </c>
      <c r="AB603" s="8">
        <f>+VLOOKUP($B603,NIFTY_AUTO!$B$63:$K$1238,10,0)</f>
        <v>-4.8525307734173406E-2</v>
      </c>
      <c r="AC603" s="8"/>
      <c r="AD603" s="16">
        <f t="shared" si="342"/>
        <v>6.8820636494081683E-2</v>
      </c>
      <c r="AE603" s="8">
        <f t="shared" si="343"/>
        <v>9.1814577772934378E-2</v>
      </c>
      <c r="AF603" s="8">
        <f t="shared" si="344"/>
        <v>7.0837717069078363E-2</v>
      </c>
      <c r="AG603" s="8">
        <f t="shared" si="345"/>
        <v>7.9258534081433185E-2</v>
      </c>
      <c r="AH603" s="8">
        <f t="shared" si="346"/>
        <v>6.1003624687311499E-2</v>
      </c>
      <c r="AI603" s="8">
        <f t="shared" si="347"/>
        <v>0.10640919888021011</v>
      </c>
      <c r="AJ603" s="8">
        <f t="shared" si="348"/>
        <v>9.8555303556469534E-2</v>
      </c>
      <c r="AK603" s="8">
        <f t="shared" si="349"/>
        <v>9.5624823818840146E-2</v>
      </c>
      <c r="AL603" s="9">
        <v>0</v>
      </c>
      <c r="AM603" s="17">
        <f t="shared" si="326"/>
        <v>14.530525303787277</v>
      </c>
      <c r="AN603" s="13">
        <f t="shared" si="327"/>
        <v>10.891516622481117</v>
      </c>
      <c r="AO603" s="13">
        <f t="shared" si="328"/>
        <v>14.116773399470743</v>
      </c>
      <c r="AP603" s="13">
        <f t="shared" si="329"/>
        <v>12.616937867820802</v>
      </c>
      <c r="AQ603" s="13">
        <f t="shared" si="330"/>
        <v>16.392468564380174</v>
      </c>
      <c r="AR603" s="13">
        <f t="shared" si="331"/>
        <v>9.3976837578276253</v>
      </c>
      <c r="AS603" s="13">
        <f t="shared" si="332"/>
        <v>10.146587387121455</v>
      </c>
      <c r="AT603" s="13">
        <f t="shared" si="333"/>
        <v>10.457535607014405</v>
      </c>
      <c r="AU603" s="9">
        <v>0</v>
      </c>
      <c r="AV603" s="18">
        <f t="shared" si="350"/>
        <v>2</v>
      </c>
      <c r="AW603" s="18">
        <f t="shared" si="351"/>
        <v>5</v>
      </c>
      <c r="AX603" s="18">
        <f t="shared" si="352"/>
        <v>3</v>
      </c>
      <c r="AY603" s="18">
        <f t="shared" si="353"/>
        <v>4</v>
      </c>
      <c r="AZ603" s="18">
        <f t="shared" si="354"/>
        <v>1</v>
      </c>
      <c r="BA603" s="18">
        <f t="shared" si="355"/>
        <v>8</v>
      </c>
      <c r="BB603" s="18">
        <f t="shared" si="356"/>
        <v>7</v>
      </c>
      <c r="BC603" s="18">
        <f t="shared" si="357"/>
        <v>6</v>
      </c>
      <c r="BD603" s="18">
        <f t="shared" si="358"/>
        <v>9</v>
      </c>
      <c r="BE603" s="8">
        <f t="shared" si="360"/>
        <v>1.0337106949844247E-2</v>
      </c>
    </row>
    <row r="604" spans="1:57" x14ac:dyDescent="0.25">
      <c r="A604" t="str">
        <f t="shared" si="359"/>
        <v/>
      </c>
      <c r="B604" s="1">
        <v>43627</v>
      </c>
      <c r="C604" s="9">
        <f t="shared" si="334"/>
        <v>0.25016004303293754</v>
      </c>
      <c r="D604" s="9">
        <f t="shared" si="335"/>
        <v>0</v>
      </c>
      <c r="E604" s="9">
        <f t="shared" si="336"/>
        <v>0.25369892927385185</v>
      </c>
      <c r="F604" s="9">
        <f t="shared" si="337"/>
        <v>0.24302704990022581</v>
      </c>
      <c r="G604" s="9">
        <f t="shared" si="338"/>
        <v>0.25311397779298478</v>
      </c>
      <c r="H604" s="9">
        <f t="shared" si="339"/>
        <v>0</v>
      </c>
      <c r="I604" s="9">
        <f t="shared" si="340"/>
        <v>0</v>
      </c>
      <c r="J604" s="9">
        <f t="shared" si="341"/>
        <v>0</v>
      </c>
      <c r="K604" s="9">
        <v>0</v>
      </c>
      <c r="L604" s="8">
        <f>+VLOOKUP($B604,NIFTY_50!$B$3:$I$1238,8,0)</f>
        <v>3.5981782649903149E-3</v>
      </c>
      <c r="M604" s="8">
        <f>+VLOOKUP($B604,NIFTY_BANK!$B$3:$I$41238,8,0)</f>
        <v>7.4579493458788448E-3</v>
      </c>
      <c r="N604" s="8">
        <f>+VLOOKUP($B604,NIFTY_IT!$B$3:$I$1238,8,0)</f>
        <v>5.2376179533564216E-3</v>
      </c>
      <c r="O604" s="8">
        <f>+VLOOKUP($B604,NIFTY_PHARMA!$B$3:$I$1238,8,0)</f>
        <v>-3.8803400147946476E-4</v>
      </c>
      <c r="P604" s="8">
        <f>+VLOOKUP($B604,NIFTY_FMCG!$B$3:$I$1238,8,0)</f>
        <v>-1.6336801609966312E-3</v>
      </c>
      <c r="Q604" s="8">
        <f>+VLOOKUP($B604,NIFTY_METAL!$B$3:$I$1238,8,0)</f>
        <v>1.3185681174349817E-2</v>
      </c>
      <c r="R604" s="8">
        <f>+VLOOKUP($B604,NIFTY_ENERGY!$B$3:$I$1238,8,0)</f>
        <v>6.5178092471032123E-3</v>
      </c>
      <c r="S604" s="8">
        <f>+VLOOKUP($B604,NIFTY_AUTO!$B$3:$I$1238,8,0)</f>
        <v>2.8722167793444608E-3</v>
      </c>
      <c r="T604" s="8">
        <v>0</v>
      </c>
      <c r="U604" s="8">
        <f>+VLOOKUP($B604,NIFTY_50!$B$63:$K$1238,10,0)</f>
        <v>8.4292368196893674E-2</v>
      </c>
      <c r="V604" s="8">
        <f>+VLOOKUP($B604,NIFTY_BANK!$B$63:$K$1238,10,0)</f>
        <v>0.12620399253650705</v>
      </c>
      <c r="W604" s="8">
        <f>+VLOOKUP($B604,NIFTY_IT!$B$63:$K$1238,10,0)</f>
        <v>6.7455398573532888E-2</v>
      </c>
      <c r="X604" s="8">
        <f>+VLOOKUP($B604,NIFTY_PHARMA!$B$63:$K$1238,10,0)</f>
        <v>-8.6273879525817887E-2</v>
      </c>
      <c r="Y604" s="8">
        <f>+VLOOKUP($B604,NIFTY_FMCG!$B$63:$K$1238,10,0)</f>
        <v>1.220707445964786E-2</v>
      </c>
      <c r="Z604" s="8">
        <f>+VLOOKUP($B604,NIFTY_METAL!$B$63:$K$1238,10,0)</f>
        <v>9.1589070370945436E-4</v>
      </c>
      <c r="AA604" s="8">
        <f>+VLOOKUP($B604,NIFTY_ENERGY!$B$63:$K$1238,10,0)</f>
        <v>5.7163142279295753E-2</v>
      </c>
      <c r="AB604" s="8">
        <f>+VLOOKUP($B604,NIFTY_AUTO!$B$63:$K$1238,10,0)</f>
        <v>-3.9888844872183249E-2</v>
      </c>
      <c r="AC604" s="8"/>
      <c r="AD604" s="16">
        <f t="shared" si="342"/>
        <v>6.8775264259373511E-2</v>
      </c>
      <c r="AE604" s="8">
        <f t="shared" si="343"/>
        <v>9.1956184947522571E-2</v>
      </c>
      <c r="AF604" s="8">
        <f t="shared" si="344"/>
        <v>6.992575916709988E-2</v>
      </c>
      <c r="AG604" s="8">
        <f t="shared" si="345"/>
        <v>7.9256690623033074E-2</v>
      </c>
      <c r="AH604" s="8">
        <f t="shared" si="346"/>
        <v>6.1022175813212537E-2</v>
      </c>
      <c r="AI604" s="8">
        <f t="shared" si="347"/>
        <v>0.10620121004766862</v>
      </c>
      <c r="AJ604" s="8">
        <f t="shared" si="348"/>
        <v>9.8710770838141296E-2</v>
      </c>
      <c r="AK604" s="8">
        <f t="shared" si="349"/>
        <v>9.5533117332478629E-2</v>
      </c>
      <c r="AL604" s="9">
        <v>0</v>
      </c>
      <c r="AM604" s="17">
        <f t="shared" si="326"/>
        <v>14.540111343355662</v>
      </c>
      <c r="AN604" s="13">
        <f t="shared" si="327"/>
        <v>10.874744320577008</v>
      </c>
      <c r="AO604" s="13">
        <f t="shared" si="328"/>
        <v>14.30088156226269</v>
      </c>
      <c r="AP604" s="13">
        <f t="shared" si="329"/>
        <v>12.617231329482061</v>
      </c>
      <c r="AQ604" s="13">
        <f t="shared" si="330"/>
        <v>16.387485150660257</v>
      </c>
      <c r="AR604" s="13">
        <f t="shared" si="331"/>
        <v>9.4160885695289913</v>
      </c>
      <c r="AS604" s="13">
        <f t="shared" si="332"/>
        <v>10.130606736317832</v>
      </c>
      <c r="AT604" s="13">
        <f t="shared" si="333"/>
        <v>10.467574260345293</v>
      </c>
      <c r="AU604" s="9">
        <v>0</v>
      </c>
      <c r="AV604" s="18">
        <f t="shared" si="350"/>
        <v>2</v>
      </c>
      <c r="AW604" s="18">
        <f t="shared" si="351"/>
        <v>5</v>
      </c>
      <c r="AX604" s="18">
        <f t="shared" si="352"/>
        <v>3</v>
      </c>
      <c r="AY604" s="18">
        <f t="shared" si="353"/>
        <v>4</v>
      </c>
      <c r="AZ604" s="18">
        <f t="shared" si="354"/>
        <v>1</v>
      </c>
      <c r="BA604" s="18">
        <f t="shared" si="355"/>
        <v>8</v>
      </c>
      <c r="BB604" s="18">
        <f t="shared" si="356"/>
        <v>7</v>
      </c>
      <c r="BC604" s="18">
        <f t="shared" si="357"/>
        <v>6</v>
      </c>
      <c r="BD604" s="18">
        <f t="shared" si="358"/>
        <v>9</v>
      </c>
      <c r="BE604" s="8">
        <f t="shared" si="360"/>
        <v>1.7131545301689928E-3</v>
      </c>
    </row>
    <row r="605" spans="1:57" x14ac:dyDescent="0.25">
      <c r="A605" t="str">
        <f t="shared" si="359"/>
        <v/>
      </c>
      <c r="B605" s="1">
        <v>43628</v>
      </c>
      <c r="C605" s="9">
        <f t="shared" si="334"/>
        <v>0.24964545519091874</v>
      </c>
      <c r="D605" s="9">
        <f t="shared" si="335"/>
        <v>0</v>
      </c>
      <c r="E605" s="9">
        <f t="shared" si="336"/>
        <v>0.25409751709244061</v>
      </c>
      <c r="F605" s="9">
        <f t="shared" si="337"/>
        <v>0.24183445364663486</v>
      </c>
      <c r="G605" s="9">
        <f t="shared" si="338"/>
        <v>0.25442257407000579</v>
      </c>
      <c r="H605" s="9">
        <f t="shared" si="339"/>
        <v>0</v>
      </c>
      <c r="I605" s="9">
        <f t="shared" si="340"/>
        <v>0</v>
      </c>
      <c r="J605" s="9">
        <f t="shared" si="341"/>
        <v>0</v>
      </c>
      <c r="K605" s="9">
        <v>0</v>
      </c>
      <c r="L605" s="8">
        <f>+VLOOKUP($B605,NIFTY_50!$B$3:$I$1238,8,0)</f>
        <v>-4.9642307949454567E-3</v>
      </c>
      <c r="M605" s="8">
        <f>+VLOOKUP($B605,NIFTY_BANK!$B$3:$I$41238,8,0)</f>
        <v>-9.5872600586269785E-3</v>
      </c>
      <c r="N605" s="8">
        <f>+VLOOKUP($B605,NIFTY_IT!$B$3:$I$1238,8,0)</f>
        <v>-1.3466601005586165E-3</v>
      </c>
      <c r="O605" s="8">
        <f>+VLOOKUP($B605,NIFTY_PHARMA!$B$3:$I$1238,8,0)</f>
        <v>-7.8061503002365695E-3</v>
      </c>
      <c r="P605" s="8">
        <f>+VLOOKUP($B605,NIFTY_FMCG!$B$3:$I$1238,8,0)</f>
        <v>2.2417382296371358E-3</v>
      </c>
      <c r="Q605" s="8">
        <f>+VLOOKUP($B605,NIFTY_METAL!$B$3:$I$1238,8,0)</f>
        <v>3.8805009065798757E-3</v>
      </c>
      <c r="R605" s="8">
        <f>+VLOOKUP($B605,NIFTY_ENERGY!$B$3:$I$1238,8,0)</f>
        <v>-1.7344263608161103E-3</v>
      </c>
      <c r="S605" s="8">
        <f>+VLOOKUP($B605,NIFTY_AUTO!$B$3:$I$1238,8,0)</f>
        <v>-1.1322472012378237E-2</v>
      </c>
      <c r="T605" s="8">
        <v>0</v>
      </c>
      <c r="U605" s="8">
        <f>+VLOOKUP($B605,NIFTY_50!$B$63:$K$1238,10,0)</f>
        <v>6.6094797211688761E-2</v>
      </c>
      <c r="V605" s="8">
        <f>+VLOOKUP($B605,NIFTY_BANK!$B$63:$K$1238,10,0)</f>
        <v>0.10723665508739866</v>
      </c>
      <c r="W605" s="8">
        <f>+VLOOKUP($B605,NIFTY_IT!$B$63:$K$1238,10,0)</f>
        <v>6.7417227150144532E-2</v>
      </c>
      <c r="X605" s="8">
        <f>+VLOOKUP($B605,NIFTY_PHARMA!$B$63:$K$1238,10,0)</f>
        <v>-0.10659690553301182</v>
      </c>
      <c r="Y605" s="8">
        <f>+VLOOKUP($B605,NIFTY_FMCG!$B$63:$K$1238,10,0)</f>
        <v>4.0602979865416167E-3</v>
      </c>
      <c r="Z605" s="8">
        <f>+VLOOKUP($B605,NIFTY_METAL!$B$63:$K$1238,10,0)</f>
        <v>-2.2038067253247973E-2</v>
      </c>
      <c r="AA605" s="8">
        <f>+VLOOKUP($B605,NIFTY_ENERGY!$B$63:$K$1238,10,0)</f>
        <v>2.7331898205244398E-2</v>
      </c>
      <c r="AB605" s="8">
        <f>+VLOOKUP($B605,NIFTY_AUTO!$B$63:$K$1238,10,0)</f>
        <v>-7.2386623703417086E-2</v>
      </c>
      <c r="AC605" s="8"/>
      <c r="AD605" s="16">
        <f t="shared" si="342"/>
        <v>6.8204588727633422E-2</v>
      </c>
      <c r="AE605" s="8">
        <f t="shared" si="343"/>
        <v>9.2505148542836646E-2</v>
      </c>
      <c r="AF605" s="8">
        <f t="shared" si="344"/>
        <v>6.9927004954650221E-2</v>
      </c>
      <c r="AG605" s="8">
        <f t="shared" si="345"/>
        <v>7.7793670124213274E-2</v>
      </c>
      <c r="AH605" s="8">
        <f t="shared" si="346"/>
        <v>6.0197695124488991E-2</v>
      </c>
      <c r="AI605" s="8">
        <f t="shared" si="347"/>
        <v>0.10264790327294691</v>
      </c>
      <c r="AJ605" s="8">
        <f t="shared" si="348"/>
        <v>9.5119900655729728E-2</v>
      </c>
      <c r="AK605" s="8">
        <f t="shared" si="349"/>
        <v>9.3007918790665889E-2</v>
      </c>
      <c r="AL605" s="9">
        <v>0</v>
      </c>
      <c r="AM605" s="17">
        <f t="shared" si="326"/>
        <v>14.661770104550827</v>
      </c>
      <c r="AN605" s="13">
        <f t="shared" si="327"/>
        <v>10.810209115408608</v>
      </c>
      <c r="AO605" s="13">
        <f t="shared" si="328"/>
        <v>14.300626784294998</v>
      </c>
      <c r="AP605" s="13">
        <f t="shared" si="329"/>
        <v>12.854516291663556</v>
      </c>
      <c r="AQ605" s="13">
        <f t="shared" si="330"/>
        <v>16.611931701570921</v>
      </c>
      <c r="AR605" s="13">
        <f t="shared" si="331"/>
        <v>9.7420401987261265</v>
      </c>
      <c r="AS605" s="13">
        <f t="shared" si="332"/>
        <v>10.513047144774989</v>
      </c>
      <c r="AT605" s="13">
        <f t="shared" si="333"/>
        <v>10.751772677020252</v>
      </c>
      <c r="AU605" s="9">
        <v>0</v>
      </c>
      <c r="AV605" s="18">
        <f t="shared" si="350"/>
        <v>2</v>
      </c>
      <c r="AW605" s="18">
        <f t="shared" si="351"/>
        <v>5</v>
      </c>
      <c r="AX605" s="18">
        <f t="shared" si="352"/>
        <v>3</v>
      </c>
      <c r="AY605" s="18">
        <f t="shared" si="353"/>
        <v>4</v>
      </c>
      <c r="AZ605" s="18">
        <f t="shared" si="354"/>
        <v>1</v>
      </c>
      <c r="BA605" s="18">
        <f t="shared" si="355"/>
        <v>8</v>
      </c>
      <c r="BB605" s="18">
        <f t="shared" si="356"/>
        <v>7</v>
      </c>
      <c r="BC605" s="18">
        <f t="shared" si="357"/>
        <v>6</v>
      </c>
      <c r="BD605" s="18">
        <f t="shared" si="358"/>
        <v>9</v>
      </c>
      <c r="BE605" s="8">
        <f t="shared" si="360"/>
        <v>-2.913188812966724E-3</v>
      </c>
    </row>
    <row r="606" spans="1:57" x14ac:dyDescent="0.25">
      <c r="A606" t="str">
        <f t="shared" si="359"/>
        <v/>
      </c>
      <c r="B606" s="1">
        <v>43629</v>
      </c>
      <c r="C606" s="9">
        <f t="shared" si="334"/>
        <v>0.25047094018579397</v>
      </c>
      <c r="D606" s="9">
        <f t="shared" si="335"/>
        <v>0</v>
      </c>
      <c r="E606" s="9">
        <f t="shared" si="336"/>
        <v>0.25307370829605375</v>
      </c>
      <c r="F606" s="9">
        <f t="shared" si="337"/>
        <v>0.24156709285312328</v>
      </c>
      <c r="G606" s="9">
        <f t="shared" si="338"/>
        <v>0.25488825866502907</v>
      </c>
      <c r="H606" s="9">
        <f t="shared" si="339"/>
        <v>0</v>
      </c>
      <c r="I606" s="9">
        <f t="shared" si="340"/>
        <v>0</v>
      </c>
      <c r="J606" s="9">
        <f t="shared" si="341"/>
        <v>0</v>
      </c>
      <c r="K606" s="9">
        <v>0</v>
      </c>
      <c r="L606" s="8">
        <f>+VLOOKUP($B606,NIFTY_50!$B$3:$I$1238,8,0)</f>
        <v>6.5932035410121159E-4</v>
      </c>
      <c r="M606" s="8">
        <f>+VLOOKUP($B606,NIFTY_BANK!$B$3:$I$41238,8,0)</f>
        <v>3.3585547880399247E-4</v>
      </c>
      <c r="N606" s="8">
        <f>+VLOOKUP($B606,NIFTY_IT!$B$3:$I$1238,8,0)</f>
        <v>-6.6571492059820381E-3</v>
      </c>
      <c r="O606" s="8">
        <f>+VLOOKUP($B606,NIFTY_PHARMA!$B$3:$I$1238,8,0)</f>
        <v>-3.7412200534284734E-3</v>
      </c>
      <c r="P606" s="8">
        <f>+VLOOKUP($B606,NIFTY_FMCG!$B$3:$I$1238,8,0)</f>
        <v>-8.1305496350303486E-4</v>
      </c>
      <c r="Q606" s="8">
        <f>+VLOOKUP($B606,NIFTY_METAL!$B$3:$I$1238,8,0)</f>
        <v>-2.0762297019006892E-3</v>
      </c>
      <c r="R606" s="8">
        <f>+VLOOKUP($B606,NIFTY_ENERGY!$B$3:$I$1238,8,0)</f>
        <v>4.4130354277238659E-4</v>
      </c>
      <c r="S606" s="8">
        <f>+VLOOKUP($B606,NIFTY_AUTO!$B$3:$I$1238,8,0)</f>
        <v>-3.6823596560675576E-3</v>
      </c>
      <c r="T606" s="8">
        <v>0</v>
      </c>
      <c r="U606" s="8">
        <f>+VLOOKUP($B606,NIFTY_50!$B$63:$K$1238,10,0)</f>
        <v>5.4228754468551799E-2</v>
      </c>
      <c r="V606" s="8">
        <f>+VLOOKUP($B606,NIFTY_BANK!$B$63:$K$1238,10,0)</f>
        <v>8.903201763483648E-2</v>
      </c>
      <c r="W606" s="8">
        <f>+VLOOKUP($B606,NIFTY_IT!$B$63:$K$1238,10,0)</f>
        <v>6.0583507479906817E-2</v>
      </c>
      <c r="X606" s="8">
        <f>+VLOOKUP($B606,NIFTY_PHARMA!$B$63:$K$1238,10,0)</f>
        <v>-0.12143118989088708</v>
      </c>
      <c r="Y606" s="8">
        <f>+VLOOKUP($B606,NIFTY_FMCG!$B$63:$K$1238,10,0)</f>
        <v>-4.141951654812237E-3</v>
      </c>
      <c r="Z606" s="8">
        <f>+VLOOKUP($B606,NIFTY_METAL!$B$63:$K$1238,10,0)</f>
        <v>-2.8622599037150365E-2</v>
      </c>
      <c r="AA606" s="8">
        <f>+VLOOKUP($B606,NIFTY_ENERGY!$B$63:$K$1238,10,0)</f>
        <v>1.3632540498963452E-2</v>
      </c>
      <c r="AB606" s="8">
        <f>+VLOOKUP($B606,NIFTY_AUTO!$B$63:$K$1238,10,0)</f>
        <v>-7.7923184405139234E-2</v>
      </c>
      <c r="AC606" s="8"/>
      <c r="AD606" s="16">
        <f t="shared" si="342"/>
        <v>6.7324421224490644E-2</v>
      </c>
      <c r="AE606" s="8">
        <f t="shared" si="343"/>
        <v>9.1213966022389042E-2</v>
      </c>
      <c r="AF606" s="8">
        <f t="shared" si="344"/>
        <v>7.0339021156463261E-2</v>
      </c>
      <c r="AG606" s="8">
        <f t="shared" si="345"/>
        <v>7.6352452346369865E-2</v>
      </c>
      <c r="AH606" s="8">
        <f t="shared" si="346"/>
        <v>5.9748538353895105E-2</v>
      </c>
      <c r="AI606" s="8">
        <f t="shared" si="347"/>
        <v>0.10253972711239127</v>
      </c>
      <c r="AJ606" s="8">
        <f t="shared" si="348"/>
        <v>9.4148804148078941E-2</v>
      </c>
      <c r="AK606" s="8">
        <f t="shared" si="349"/>
        <v>9.2974567258466617E-2</v>
      </c>
      <c r="AL606" s="9">
        <v>0</v>
      </c>
      <c r="AM606" s="17">
        <f t="shared" si="326"/>
        <v>14.853451122372656</v>
      </c>
      <c r="AN606" s="13">
        <f t="shared" si="327"/>
        <v>10.963233412683138</v>
      </c>
      <c r="AO606" s="13">
        <f t="shared" si="328"/>
        <v>14.216859768002511</v>
      </c>
      <c r="AP606" s="13">
        <f t="shared" si="329"/>
        <v>13.097156270286378</v>
      </c>
      <c r="AQ606" s="13">
        <f t="shared" si="330"/>
        <v>16.736811101167437</v>
      </c>
      <c r="AR606" s="13">
        <f t="shared" si="331"/>
        <v>9.7523177422144354</v>
      </c>
      <c r="AS606" s="13">
        <f t="shared" si="332"/>
        <v>10.621483820731084</v>
      </c>
      <c r="AT606" s="13">
        <f t="shared" si="333"/>
        <v>10.755629517694111</v>
      </c>
      <c r="AU606" s="9">
        <v>0</v>
      </c>
      <c r="AV606" s="18">
        <f t="shared" si="350"/>
        <v>2</v>
      </c>
      <c r="AW606" s="18">
        <f t="shared" si="351"/>
        <v>5</v>
      </c>
      <c r="AX606" s="18">
        <f t="shared" si="352"/>
        <v>3</v>
      </c>
      <c r="AY606" s="18">
        <f t="shared" si="353"/>
        <v>4</v>
      </c>
      <c r="AZ606" s="18">
        <f t="shared" si="354"/>
        <v>1</v>
      </c>
      <c r="BA606" s="18">
        <f t="shared" si="355"/>
        <v>8</v>
      </c>
      <c r="BB606" s="18">
        <f t="shared" si="356"/>
        <v>7</v>
      </c>
      <c r="BC606" s="18">
        <f t="shared" si="357"/>
        <v>6</v>
      </c>
      <c r="BD606" s="18">
        <f t="shared" si="358"/>
        <v>9</v>
      </c>
      <c r="BE606" s="8">
        <f t="shared" si="360"/>
        <v>-2.6385841985052593E-3</v>
      </c>
    </row>
    <row r="607" spans="1:57" x14ac:dyDescent="0.25">
      <c r="A607" t="str">
        <f t="shared" si="359"/>
        <v/>
      </c>
      <c r="B607" s="1">
        <v>43630</v>
      </c>
      <c r="C607" s="9">
        <f t="shared" si="334"/>
        <v>0.25052907186184686</v>
      </c>
      <c r="D607" s="9">
        <f t="shared" si="335"/>
        <v>0</v>
      </c>
      <c r="E607" s="9">
        <f t="shared" si="336"/>
        <v>0.25431873655778886</v>
      </c>
      <c r="F607" s="9">
        <f t="shared" si="337"/>
        <v>0.24153554935507532</v>
      </c>
      <c r="G607" s="9">
        <f t="shared" si="338"/>
        <v>0.2536166422252889</v>
      </c>
      <c r="H607" s="9">
        <f t="shared" si="339"/>
        <v>0</v>
      </c>
      <c r="I607" s="9">
        <f t="shared" si="340"/>
        <v>0</v>
      </c>
      <c r="J607" s="9">
        <f t="shared" si="341"/>
        <v>0</v>
      </c>
      <c r="K607" s="9">
        <v>0</v>
      </c>
      <c r="L607" s="8">
        <f>+VLOOKUP($B607,NIFTY_50!$B$3:$I$1238,8,0)</f>
        <v>-7.6170571719944569E-3</v>
      </c>
      <c r="M607" s="8">
        <f>+VLOOKUP($B607,NIFTY_BANK!$B$3:$I$41238,8,0)</f>
        <v>-1.1678358476373774E-2</v>
      </c>
      <c r="N607" s="8">
        <f>+VLOOKUP($B607,NIFTY_IT!$B$3:$I$1238,8,0)</f>
        <v>-2.9663042545627905E-3</v>
      </c>
      <c r="O607" s="8">
        <f>+VLOOKUP($B607,NIFTY_PHARMA!$B$3:$I$1238,8,0)</f>
        <v>-7.9768793220880152E-3</v>
      </c>
      <c r="P607" s="8">
        <f>+VLOOKUP($B607,NIFTY_FMCG!$B$3:$I$1238,8,0)</f>
        <v>-1.2797093022298145E-2</v>
      </c>
      <c r="Q607" s="8">
        <f>+VLOOKUP($B607,NIFTY_METAL!$B$3:$I$1238,8,0)</f>
        <v>-3.7382229063414041E-3</v>
      </c>
      <c r="R607" s="8">
        <f>+VLOOKUP($B607,NIFTY_ENERGY!$B$3:$I$1238,8,0)</f>
        <v>-5.6603831786367076E-3</v>
      </c>
      <c r="S607" s="8">
        <f>+VLOOKUP($B607,NIFTY_AUTO!$B$3:$I$1238,8,0)</f>
        <v>-1.0515033356125025E-2</v>
      </c>
      <c r="T607" s="8">
        <v>0</v>
      </c>
      <c r="U607" s="8">
        <f>+VLOOKUP($B607,NIFTY_50!$B$63:$K$1238,10,0)</f>
        <v>4.2462770131461713E-2</v>
      </c>
      <c r="V607" s="8">
        <f>+VLOOKUP($B607,NIFTY_BANK!$B$63:$K$1238,10,0)</f>
        <v>5.9895860380899002E-2</v>
      </c>
      <c r="W607" s="8">
        <f>+VLOOKUP($B607,NIFTY_IT!$B$63:$K$1238,10,0)</f>
        <v>6.0308025210358052E-2</v>
      </c>
      <c r="X607" s="8">
        <f>+VLOOKUP($B607,NIFTY_PHARMA!$B$63:$K$1238,10,0)</f>
        <v>-0.11172220543391664</v>
      </c>
      <c r="Y607" s="8">
        <f>+VLOOKUP($B607,NIFTY_FMCG!$B$63:$K$1238,10,0)</f>
        <v>-1.5943333026836037E-2</v>
      </c>
      <c r="Z607" s="8">
        <f>+VLOOKUP($B607,NIFTY_METAL!$B$63:$K$1238,10,0)</f>
        <v>-1.36816545256635E-2</v>
      </c>
      <c r="AA607" s="8">
        <f>+VLOOKUP($B607,NIFTY_ENERGY!$B$63:$K$1238,10,0)</f>
        <v>4.7126881023327183E-3</v>
      </c>
      <c r="AB607" s="8">
        <f>+VLOOKUP($B607,NIFTY_AUTO!$B$63:$K$1238,10,0)</f>
        <v>-8.3940211347525717E-2</v>
      </c>
      <c r="AC607" s="8"/>
      <c r="AD607" s="16">
        <f t="shared" si="342"/>
        <v>6.7793261628130694E-2</v>
      </c>
      <c r="AE607" s="8">
        <f t="shared" si="343"/>
        <v>9.1016636686303262E-2</v>
      </c>
      <c r="AF607" s="8">
        <f t="shared" si="344"/>
        <v>7.0353161377206666E-2</v>
      </c>
      <c r="AG607" s="8">
        <f t="shared" si="345"/>
        <v>7.4713746008669854E-2</v>
      </c>
      <c r="AH607" s="8">
        <f t="shared" si="346"/>
        <v>6.1069775000174367E-2</v>
      </c>
      <c r="AI607" s="8">
        <f t="shared" si="347"/>
        <v>0.10090515108750901</v>
      </c>
      <c r="AJ607" s="8">
        <f t="shared" si="348"/>
        <v>9.4286389277642088E-2</v>
      </c>
      <c r="AK607" s="8">
        <f t="shared" si="349"/>
        <v>9.3389811111329574E-2</v>
      </c>
      <c r="AL607" s="9">
        <v>0</v>
      </c>
      <c r="AM607" s="17">
        <f t="shared" si="326"/>
        <v>14.750728553013767</v>
      </c>
      <c r="AN607" s="13">
        <f t="shared" si="327"/>
        <v>10.987002337238485</v>
      </c>
      <c r="AO607" s="13">
        <f t="shared" si="328"/>
        <v>14.214002333717223</v>
      </c>
      <c r="AP607" s="13">
        <f t="shared" si="329"/>
        <v>13.384417907301275</v>
      </c>
      <c r="AQ607" s="13">
        <f t="shared" si="330"/>
        <v>16.374712367896308</v>
      </c>
      <c r="AR607" s="13">
        <f t="shared" si="331"/>
        <v>9.9102968403739844</v>
      </c>
      <c r="AS607" s="13">
        <f t="shared" si="332"/>
        <v>10.605984677760141</v>
      </c>
      <c r="AT607" s="13">
        <f t="shared" si="333"/>
        <v>10.707806216760675</v>
      </c>
      <c r="AU607" s="9">
        <v>0</v>
      </c>
      <c r="AV607" s="18">
        <f t="shared" si="350"/>
        <v>2</v>
      </c>
      <c r="AW607" s="18">
        <f t="shared" si="351"/>
        <v>5</v>
      </c>
      <c r="AX607" s="18">
        <f t="shared" si="352"/>
        <v>3</v>
      </c>
      <c r="AY607" s="18">
        <f t="shared" si="353"/>
        <v>4</v>
      </c>
      <c r="AZ607" s="18">
        <f t="shared" si="354"/>
        <v>1</v>
      </c>
      <c r="BA607" s="18">
        <f t="shared" si="355"/>
        <v>8</v>
      </c>
      <c r="BB607" s="18">
        <f t="shared" si="356"/>
        <v>7</v>
      </c>
      <c r="BC607" s="18">
        <f t="shared" si="357"/>
        <v>6</v>
      </c>
      <c r="BD607" s="18">
        <f t="shared" si="358"/>
        <v>9</v>
      </c>
      <c r="BE607" s="8">
        <f t="shared" si="360"/>
        <v>-7.8473253932599268E-3</v>
      </c>
    </row>
    <row r="608" spans="1:57" x14ac:dyDescent="0.25">
      <c r="A608" t="str">
        <f t="shared" si="359"/>
        <v/>
      </c>
      <c r="B608" s="1">
        <v>43633</v>
      </c>
      <c r="C608" s="9">
        <f t="shared" si="334"/>
        <v>0.24964378338057119</v>
      </c>
      <c r="D608" s="9">
        <f t="shared" si="335"/>
        <v>0</v>
      </c>
      <c r="E608" s="9">
        <f t="shared" si="336"/>
        <v>0.25607057776110881</v>
      </c>
      <c r="F608" s="9">
        <f t="shared" si="337"/>
        <v>0.24053247047748502</v>
      </c>
      <c r="G608" s="9">
        <f t="shared" si="338"/>
        <v>0.253753168380835</v>
      </c>
      <c r="H608" s="9">
        <f t="shared" si="339"/>
        <v>0</v>
      </c>
      <c r="I608" s="9">
        <f t="shared" si="340"/>
        <v>0</v>
      </c>
      <c r="J608" s="9">
        <f t="shared" si="341"/>
        <v>0</v>
      </c>
      <c r="K608" s="9">
        <v>0</v>
      </c>
      <c r="L608" s="8">
        <f>+VLOOKUP($B608,NIFTY_50!$B$3:$I$1238,8,0)</f>
        <v>-1.2784078895063056E-2</v>
      </c>
      <c r="M608" s="8">
        <f>+VLOOKUP($B608,NIFTY_BANK!$B$3:$I$41238,8,0)</f>
        <v>-1.1141833813228086E-2</v>
      </c>
      <c r="N608" s="8">
        <f>+VLOOKUP($B608,NIFTY_IT!$B$3:$I$1238,8,0)</f>
        <v>-2.4587846227609456E-3</v>
      </c>
      <c r="O608" s="8">
        <f>+VLOOKUP($B608,NIFTY_PHARMA!$B$3:$I$1238,8,0)</f>
        <v>-1.3397579033964102E-2</v>
      </c>
      <c r="P608" s="8">
        <f>+VLOOKUP($B608,NIFTY_FMCG!$B$3:$I$1238,8,0)</f>
        <v>-8.74988737273108E-3</v>
      </c>
      <c r="Q608" s="8">
        <f>+VLOOKUP($B608,NIFTY_METAL!$B$3:$I$1238,8,0)</f>
        <v>-2.8659716798533075E-2</v>
      </c>
      <c r="R608" s="8">
        <f>+VLOOKUP($B608,NIFTY_ENERGY!$B$3:$I$1238,8,0)</f>
        <v>-2.0310347822849906E-2</v>
      </c>
      <c r="S608" s="8">
        <f>+VLOOKUP($B608,NIFTY_AUTO!$B$3:$I$1238,8,0)</f>
        <v>-1.6870860102594754E-2</v>
      </c>
      <c r="T608" s="8">
        <v>0</v>
      </c>
      <c r="U608" s="8">
        <f>+VLOOKUP($B608,NIFTY_50!$B$63:$K$1238,10,0)</f>
        <v>2.8995217420051622E-2</v>
      </c>
      <c r="V608" s="8">
        <f>+VLOOKUP($B608,NIFTY_BANK!$B$63:$K$1238,10,0)</f>
        <v>4.6680680839882305E-2</v>
      </c>
      <c r="W608" s="8">
        <f>+VLOOKUP($B608,NIFTY_IT!$B$63:$K$1238,10,0)</f>
        <v>6.3415561140071297E-2</v>
      </c>
      <c r="X608" s="8">
        <f>+VLOOKUP($B608,NIFTY_PHARMA!$B$63:$K$1238,10,0)</f>
        <v>-0.13169985519711702</v>
      </c>
      <c r="Y608" s="8">
        <f>+VLOOKUP($B608,NIFTY_FMCG!$B$63:$K$1238,10,0)</f>
        <v>-2.505637191349408E-2</v>
      </c>
      <c r="Z608" s="8">
        <f>+VLOOKUP($B608,NIFTY_METAL!$B$63:$K$1238,10,0)</f>
        <v>-4.715111340583944E-2</v>
      </c>
      <c r="AA608" s="8">
        <f>+VLOOKUP($B608,NIFTY_ENERGY!$B$63:$K$1238,10,0)</f>
        <v>-1.4658392069866188E-2</v>
      </c>
      <c r="AB608" s="8">
        <f>+VLOOKUP($B608,NIFTY_AUTO!$B$63:$K$1238,10,0)</f>
        <v>-9.5054724657612666E-2</v>
      </c>
      <c r="AC608" s="8"/>
      <c r="AD608" s="16">
        <f t="shared" si="342"/>
        <v>6.9102774258197344E-2</v>
      </c>
      <c r="AE608" s="8">
        <f t="shared" si="343"/>
        <v>9.1811301778649934E-2</v>
      </c>
      <c r="AF608" s="8">
        <f t="shared" si="344"/>
        <v>7.0148125899195848E-2</v>
      </c>
      <c r="AG608" s="8">
        <f t="shared" si="345"/>
        <v>7.4703932152684754E-2</v>
      </c>
      <c r="AH608" s="8">
        <f t="shared" si="346"/>
        <v>6.1644852404140374E-2</v>
      </c>
      <c r="AI608" s="8">
        <f t="shared" si="347"/>
        <v>0.10461646363950189</v>
      </c>
      <c r="AJ608" s="8">
        <f t="shared" si="348"/>
        <v>9.6441745984363392E-2</v>
      </c>
      <c r="AK608" s="8">
        <f t="shared" si="349"/>
        <v>9.4593451776569915E-2</v>
      </c>
      <c r="AL608" s="9">
        <v>0</v>
      </c>
      <c r="AM608" s="17">
        <f t="shared" si="326"/>
        <v>14.471199032669439</v>
      </c>
      <c r="AN608" s="13">
        <f t="shared" si="327"/>
        <v>10.891905251609698</v>
      </c>
      <c r="AO608" s="13">
        <f t="shared" si="328"/>
        <v>14.255548344042982</v>
      </c>
      <c r="AP608" s="13">
        <f t="shared" si="329"/>
        <v>13.386176218356685</v>
      </c>
      <c r="AQ608" s="13">
        <f t="shared" si="330"/>
        <v>16.221954648281955</v>
      </c>
      <c r="AR608" s="13">
        <f t="shared" si="331"/>
        <v>9.5587249388002853</v>
      </c>
      <c r="AS608" s="13">
        <f t="shared" si="332"/>
        <v>10.368953711830718</v>
      </c>
      <c r="AT608" s="13">
        <f t="shared" si="333"/>
        <v>10.571556288716515</v>
      </c>
      <c r="AU608" s="9">
        <v>0</v>
      </c>
      <c r="AV608" s="18">
        <f t="shared" si="350"/>
        <v>2</v>
      </c>
      <c r="AW608" s="18">
        <f t="shared" si="351"/>
        <v>5</v>
      </c>
      <c r="AX608" s="18">
        <f t="shared" si="352"/>
        <v>3</v>
      </c>
      <c r="AY608" s="18">
        <f t="shared" si="353"/>
        <v>4</v>
      </c>
      <c r="AZ608" s="18">
        <f t="shared" si="354"/>
        <v>1</v>
      </c>
      <c r="BA608" s="18">
        <f t="shared" si="355"/>
        <v>8</v>
      </c>
      <c r="BB608" s="18">
        <f t="shared" si="356"/>
        <v>7</v>
      </c>
      <c r="BC608" s="18">
        <f t="shared" si="357"/>
        <v>6</v>
      </c>
      <c r="BD608" s="18">
        <f t="shared" si="358"/>
        <v>9</v>
      </c>
      <c r="BE608" s="8">
        <f t="shared" si="360"/>
        <v>-9.2832070862351249E-3</v>
      </c>
    </row>
    <row r="609" spans="1:57" x14ac:dyDescent="0.25">
      <c r="A609" t="str">
        <f t="shared" si="359"/>
        <v/>
      </c>
      <c r="B609" s="1">
        <v>43634</v>
      </c>
      <c r="C609" s="9">
        <f t="shared" si="334"/>
        <v>0.25028502725952001</v>
      </c>
      <c r="D609" s="9">
        <f t="shared" si="335"/>
        <v>0</v>
      </c>
      <c r="E609" s="9">
        <f t="shared" si="336"/>
        <v>0.2577927784314864</v>
      </c>
      <c r="F609" s="9">
        <f t="shared" si="337"/>
        <v>0.23899127616027932</v>
      </c>
      <c r="G609" s="9">
        <f t="shared" si="338"/>
        <v>0.25293091814871432</v>
      </c>
      <c r="H609" s="9">
        <f t="shared" si="339"/>
        <v>0</v>
      </c>
      <c r="I609" s="9">
        <f t="shared" si="340"/>
        <v>0</v>
      </c>
      <c r="J609" s="9">
        <f t="shared" si="341"/>
        <v>0</v>
      </c>
      <c r="K609" s="9">
        <v>0</v>
      </c>
      <c r="L609" s="8">
        <f>+VLOOKUP($B609,NIFTY_50!$B$3:$I$1238,8,0)</f>
        <v>1.657792266206437E-3</v>
      </c>
      <c r="M609" s="8">
        <f>+VLOOKUP($B609,NIFTY_BANK!$B$3:$I$41238,8,0)</f>
        <v>2.5682739712451497E-3</v>
      </c>
      <c r="N609" s="8">
        <f>+VLOOKUP($B609,NIFTY_IT!$B$3:$I$1238,8,0)</f>
        <v>5.8108724319394511E-3</v>
      </c>
      <c r="O609" s="8">
        <f>+VLOOKUP($B609,NIFTY_PHARMA!$B$3:$I$1238,8,0)</f>
        <v>-7.3101156703552217E-3</v>
      </c>
      <c r="P609" s="8">
        <f>+VLOOKUP($B609,NIFTY_FMCG!$B$3:$I$1238,8,0)</f>
        <v>-4.1459202326967759E-3</v>
      </c>
      <c r="Q609" s="8">
        <f>+VLOOKUP($B609,NIFTY_METAL!$B$3:$I$1238,8,0)</f>
        <v>5.0340849501835372E-3</v>
      </c>
      <c r="R609" s="8">
        <f>+VLOOKUP($B609,NIFTY_ENERGY!$B$3:$I$1238,8,0)</f>
        <v>7.2292361328811783E-3</v>
      </c>
      <c r="S609" s="8">
        <f>+VLOOKUP($B609,NIFTY_AUTO!$B$3:$I$1238,8,0)</f>
        <v>-4.6541963754258564E-3</v>
      </c>
      <c r="T609" s="8">
        <v>0</v>
      </c>
      <c r="U609" s="8">
        <f>+VLOOKUP($B609,NIFTY_50!$B$63:$K$1238,10,0)</f>
        <v>2.3160363529756589E-2</v>
      </c>
      <c r="V609" s="8">
        <f>+VLOOKUP($B609,NIFTY_BANK!$B$63:$K$1238,10,0)</f>
        <v>3.2998711772223688E-2</v>
      </c>
      <c r="W609" s="8">
        <f>+VLOOKUP($B609,NIFTY_IT!$B$63:$K$1238,10,0)</f>
        <v>4.9908018473492577E-2</v>
      </c>
      <c r="X609" s="8">
        <f>+VLOOKUP($B609,NIFTY_PHARMA!$B$63:$K$1238,10,0)</f>
        <v>-0.14149158240030368</v>
      </c>
      <c r="Y609" s="8">
        <f>+VLOOKUP($B609,NIFTY_FMCG!$B$63:$K$1238,10,0)</f>
        <v>-1.2440991673733248E-2</v>
      </c>
      <c r="Z609" s="8">
        <f>+VLOOKUP($B609,NIFTY_METAL!$B$63:$K$1238,10,0)</f>
        <v>-4.4328097731239025E-2</v>
      </c>
      <c r="AA609" s="8">
        <f>+VLOOKUP($B609,NIFTY_ENERGY!$B$63:$K$1238,10,0)</f>
        <v>-8.8494472211488873E-3</v>
      </c>
      <c r="AB609" s="8">
        <f>+VLOOKUP($B609,NIFTY_AUTO!$B$63:$K$1238,10,0)</f>
        <v>-0.10158835397602883</v>
      </c>
      <c r="AC609" s="8"/>
      <c r="AD609" s="16">
        <f t="shared" si="342"/>
        <v>6.8766912308432973E-2</v>
      </c>
      <c r="AE609" s="8">
        <f t="shared" si="343"/>
        <v>9.0573612245317181E-2</v>
      </c>
      <c r="AF609" s="8">
        <f t="shared" si="344"/>
        <v>6.8024418732729977E-2</v>
      </c>
      <c r="AG609" s="8">
        <f t="shared" si="345"/>
        <v>7.4596256597831909E-2</v>
      </c>
      <c r="AH609" s="8">
        <f t="shared" si="346"/>
        <v>5.9497147455883713E-2</v>
      </c>
      <c r="AI609" s="8">
        <f t="shared" si="347"/>
        <v>0.10473635983050962</v>
      </c>
      <c r="AJ609" s="8">
        <f t="shared" si="348"/>
        <v>9.6710415082683063E-2</v>
      </c>
      <c r="AK609" s="8">
        <f t="shared" si="349"/>
        <v>9.4548478409369099E-2</v>
      </c>
      <c r="AL609" s="9">
        <v>0</v>
      </c>
      <c r="AM609" s="17">
        <f t="shared" si="326"/>
        <v>14.541877284162558</v>
      </c>
      <c r="AN609" s="13">
        <f t="shared" si="327"/>
        <v>11.04074327179881</v>
      </c>
      <c r="AO609" s="13">
        <f t="shared" si="328"/>
        <v>14.700603380809921</v>
      </c>
      <c r="AP609" s="13">
        <f t="shared" si="329"/>
        <v>13.405498420534206</v>
      </c>
      <c r="AQ609" s="13">
        <f t="shared" si="330"/>
        <v>16.807528474226192</v>
      </c>
      <c r="AR609" s="13">
        <f t="shared" si="331"/>
        <v>9.5477826575055431</v>
      </c>
      <c r="AS609" s="13">
        <f t="shared" si="332"/>
        <v>10.340147947302727</v>
      </c>
      <c r="AT609" s="13">
        <f t="shared" si="333"/>
        <v>10.576584804149602</v>
      </c>
      <c r="AU609" s="9">
        <v>0</v>
      </c>
      <c r="AV609" s="18">
        <f t="shared" si="350"/>
        <v>3</v>
      </c>
      <c r="AW609" s="18">
        <f t="shared" si="351"/>
        <v>5</v>
      </c>
      <c r="AX609" s="18">
        <f t="shared" si="352"/>
        <v>2</v>
      </c>
      <c r="AY609" s="18">
        <f t="shared" si="353"/>
        <v>4</v>
      </c>
      <c r="AZ609" s="18">
        <f t="shared" si="354"/>
        <v>1</v>
      </c>
      <c r="BA609" s="18">
        <f t="shared" si="355"/>
        <v>8</v>
      </c>
      <c r="BB609" s="18">
        <f t="shared" si="356"/>
        <v>7</v>
      </c>
      <c r="BC609" s="18">
        <f t="shared" si="357"/>
        <v>6</v>
      </c>
      <c r="BD609" s="18">
        <f t="shared" si="358"/>
        <v>9</v>
      </c>
      <c r="BE609" s="8">
        <f t="shared" si="360"/>
        <v>-9.0850958223007302E-4</v>
      </c>
    </row>
    <row r="610" spans="1:57" x14ac:dyDescent="0.25">
      <c r="A610" t="str">
        <f t="shared" si="359"/>
        <v/>
      </c>
      <c r="B610" s="1">
        <v>43635</v>
      </c>
      <c r="C610" s="9">
        <f t="shared" si="334"/>
        <v>0.25139186167580413</v>
      </c>
      <c r="D610" s="9">
        <f t="shared" si="335"/>
        <v>0</v>
      </c>
      <c r="E610" s="9">
        <f t="shared" si="336"/>
        <v>0.25830254966609678</v>
      </c>
      <c r="F610" s="9">
        <f t="shared" si="337"/>
        <v>0.23621511276720461</v>
      </c>
      <c r="G610" s="9">
        <f t="shared" si="338"/>
        <v>0.25409047589089451</v>
      </c>
      <c r="H610" s="9">
        <f t="shared" si="339"/>
        <v>0</v>
      </c>
      <c r="I610" s="9">
        <f t="shared" si="340"/>
        <v>0</v>
      </c>
      <c r="J610" s="9">
        <f t="shared" si="341"/>
        <v>0</v>
      </c>
      <c r="K610" s="9">
        <v>0</v>
      </c>
      <c r="L610" s="8">
        <f>+VLOOKUP($B610,NIFTY_50!$B$3:$I$1238,8,0)</f>
        <v>-4.2766112131609191E-6</v>
      </c>
      <c r="M610" s="8">
        <f>+VLOOKUP($B610,NIFTY_BANK!$B$3:$I$41238,8,0)</f>
        <v>3.6572106355636791E-4</v>
      </c>
      <c r="N610" s="8">
        <f>+VLOOKUP($B610,NIFTY_IT!$B$3:$I$1238,8,0)</f>
        <v>-2.4383519681421273E-3</v>
      </c>
      <c r="O610" s="8">
        <f>+VLOOKUP($B610,NIFTY_PHARMA!$B$3:$I$1238,8,0)</f>
        <v>-1.5972059947328199E-2</v>
      </c>
      <c r="P610" s="8">
        <f>+VLOOKUP($B610,NIFTY_FMCG!$B$3:$I$1238,8,0)</f>
        <v>1.5719682563841708E-4</v>
      </c>
      <c r="Q610" s="8">
        <f>+VLOOKUP($B610,NIFTY_METAL!$B$3:$I$1238,8,0)</f>
        <v>3.9653553167067201E-3</v>
      </c>
      <c r="R610" s="8">
        <f>+VLOOKUP($B610,NIFTY_ENERGY!$B$3:$I$1238,8,0)</f>
        <v>-1.072043862627603E-3</v>
      </c>
      <c r="S610" s="8">
        <f>+VLOOKUP($B610,NIFTY_AUTO!$B$3:$I$1238,8,0)</f>
        <v>-1.1088703264264921E-2</v>
      </c>
      <c r="T610" s="8">
        <v>0</v>
      </c>
      <c r="U610" s="8">
        <f>+VLOOKUP($B610,NIFTY_50!$B$63:$K$1238,10,0)</f>
        <v>2.000052345971981E-2</v>
      </c>
      <c r="V610" s="8">
        <f>+VLOOKUP($B610,NIFTY_BANK!$B$63:$K$1238,10,0)</f>
        <v>2.5881788478887335E-2</v>
      </c>
      <c r="W610" s="8">
        <f>+VLOOKUP($B610,NIFTY_IT!$B$63:$K$1238,10,0)</f>
        <v>6.0109574236056673E-2</v>
      </c>
      <c r="X610" s="8">
        <f>+VLOOKUP($B610,NIFTY_PHARMA!$B$63:$K$1238,10,0)</f>
        <v>-0.15366188844045869</v>
      </c>
      <c r="Y610" s="8">
        <f>+VLOOKUP($B610,NIFTY_FMCG!$B$63:$K$1238,10,0)</f>
        <v>-1.9451616217524004E-2</v>
      </c>
      <c r="Z610" s="8">
        <f>+VLOOKUP($B610,NIFTY_METAL!$B$63:$K$1238,10,0)</f>
        <v>-4.6922467309470361E-2</v>
      </c>
      <c r="AA610" s="8">
        <f>+VLOOKUP($B610,NIFTY_ENERGY!$B$63:$K$1238,10,0)</f>
        <v>-2.7306428949712691E-2</v>
      </c>
      <c r="AB610" s="8">
        <f>+VLOOKUP($B610,NIFTY_AUTO!$B$63:$K$1238,10,0)</f>
        <v>-9.9089491772969884E-2</v>
      </c>
      <c r="AC610" s="8"/>
      <c r="AD610" s="16">
        <f t="shared" si="342"/>
        <v>6.8714810474750615E-2</v>
      </c>
      <c r="AE610" s="8">
        <f t="shared" si="343"/>
        <v>9.0320909620330569E-2</v>
      </c>
      <c r="AF610" s="8">
        <f t="shared" si="344"/>
        <v>6.6863884567831752E-2</v>
      </c>
      <c r="AG610" s="8">
        <f t="shared" si="345"/>
        <v>7.5787333168216744E-2</v>
      </c>
      <c r="AH610" s="8">
        <f t="shared" si="346"/>
        <v>5.901837349055257E-2</v>
      </c>
      <c r="AI610" s="8">
        <f t="shared" si="347"/>
        <v>0.10457948693568606</v>
      </c>
      <c r="AJ610" s="8">
        <f t="shared" si="348"/>
        <v>9.5003898018920535E-2</v>
      </c>
      <c r="AK610" s="8">
        <f t="shared" si="349"/>
        <v>9.423461345554518E-2</v>
      </c>
      <c r="AL610" s="9">
        <v>0</v>
      </c>
      <c r="AM610" s="17">
        <f t="shared" si="326"/>
        <v>14.552903414722389</v>
      </c>
      <c r="AN610" s="13">
        <f t="shared" si="327"/>
        <v>11.071633403644414</v>
      </c>
      <c r="AO610" s="13">
        <f t="shared" si="328"/>
        <v>14.955756855339818</v>
      </c>
      <c r="AP610" s="13">
        <f t="shared" si="329"/>
        <v>13.194817104599931</v>
      </c>
      <c r="AQ610" s="13">
        <f t="shared" si="330"/>
        <v>16.943875963645052</v>
      </c>
      <c r="AR610" s="13">
        <f t="shared" si="331"/>
        <v>9.5621046660419804</v>
      </c>
      <c r="AS610" s="13">
        <f t="shared" si="332"/>
        <v>10.525883893741335</v>
      </c>
      <c r="AT610" s="13">
        <f t="shared" si="333"/>
        <v>10.611811980018851</v>
      </c>
      <c r="AU610" s="9">
        <v>0</v>
      </c>
      <c r="AV610" s="18">
        <f t="shared" si="350"/>
        <v>3</v>
      </c>
      <c r="AW610" s="18">
        <f t="shared" si="351"/>
        <v>5</v>
      </c>
      <c r="AX610" s="18">
        <f t="shared" si="352"/>
        <v>2</v>
      </c>
      <c r="AY610" s="18">
        <f t="shared" si="353"/>
        <v>4</v>
      </c>
      <c r="AZ610" s="18">
        <f t="shared" si="354"/>
        <v>1</v>
      </c>
      <c r="BA610" s="18">
        <f t="shared" si="355"/>
        <v>8</v>
      </c>
      <c r="BB610" s="18">
        <f t="shared" si="356"/>
        <v>7</v>
      </c>
      <c r="BC610" s="18">
        <f t="shared" si="357"/>
        <v>6</v>
      </c>
      <c r="BD610" s="18">
        <f t="shared" si="358"/>
        <v>9</v>
      </c>
      <c r="BE610" s="8">
        <f t="shared" si="360"/>
        <v>-4.4070829526969679E-3</v>
      </c>
    </row>
    <row r="611" spans="1:57" x14ac:dyDescent="0.25">
      <c r="A611" t="str">
        <f t="shared" si="359"/>
        <v/>
      </c>
      <c r="B611" s="1">
        <v>43636</v>
      </c>
      <c r="C611" s="9">
        <f t="shared" si="334"/>
        <v>0.25155127707186747</v>
      </c>
      <c r="D611" s="9">
        <f t="shared" si="335"/>
        <v>0</v>
      </c>
      <c r="E611" s="9">
        <f t="shared" si="336"/>
        <v>0.25593869952684967</v>
      </c>
      <c r="F611" s="9">
        <f t="shared" si="337"/>
        <v>0.24071242618987518</v>
      </c>
      <c r="G611" s="9">
        <f t="shared" si="338"/>
        <v>0.2517975972114076</v>
      </c>
      <c r="H611" s="9">
        <f t="shared" si="339"/>
        <v>0</v>
      </c>
      <c r="I611" s="9">
        <f t="shared" si="340"/>
        <v>0</v>
      </c>
      <c r="J611" s="9">
        <f t="shared" si="341"/>
        <v>0</v>
      </c>
      <c r="K611" s="9">
        <v>0</v>
      </c>
      <c r="L611" s="8">
        <f>+VLOOKUP($B611,NIFTY_50!$B$3:$I$1238,8,0)</f>
        <v>1.2000222384733972E-2</v>
      </c>
      <c r="M611" s="8">
        <f>+VLOOKUP($B611,NIFTY_BANK!$B$3:$I$41238,8,0)</f>
        <v>1.3800099466110716E-2</v>
      </c>
      <c r="N611" s="8">
        <f>+VLOOKUP($B611,NIFTY_IT!$B$3:$I$1238,8,0)</f>
        <v>2.1034594999600476E-3</v>
      </c>
      <c r="O611" s="8">
        <f>+VLOOKUP($B611,NIFTY_PHARMA!$B$3:$I$1238,8,0)</f>
        <v>3.0614209614273857E-2</v>
      </c>
      <c r="P611" s="8">
        <f>+VLOOKUP($B611,NIFTY_FMCG!$B$3:$I$1238,8,0)</f>
        <v>2.2325200943709156E-3</v>
      </c>
      <c r="Q611" s="8">
        <f>+VLOOKUP($B611,NIFTY_METAL!$B$3:$I$1238,8,0)</f>
        <v>1.8639781034542446E-2</v>
      </c>
      <c r="R611" s="8">
        <f>+VLOOKUP($B611,NIFTY_ENERGY!$B$3:$I$1238,8,0)</f>
        <v>1.2201685009583185E-2</v>
      </c>
      <c r="S611" s="8">
        <f>+VLOOKUP($B611,NIFTY_AUTO!$B$3:$I$1238,8,0)</f>
        <v>2.4864259797740651E-2</v>
      </c>
      <c r="T611" s="8">
        <v>0</v>
      </c>
      <c r="U611" s="8">
        <f>+VLOOKUP($B611,NIFTY_50!$B$63:$K$1238,10,0)</f>
        <v>2.5957302903125035E-2</v>
      </c>
      <c r="V611" s="8">
        <f>+VLOOKUP($B611,NIFTY_BANK!$B$63:$K$1238,10,0)</f>
        <v>3.4038400489118326E-2</v>
      </c>
      <c r="W611" s="8">
        <f>+VLOOKUP($B611,NIFTY_IT!$B$63:$K$1238,10,0)</f>
        <v>5.3008767033116078E-2</v>
      </c>
      <c r="X611" s="8">
        <f>+VLOOKUP($B611,NIFTY_PHARMA!$B$63:$K$1238,10,0)</f>
        <v>-0.13149297968543805</v>
      </c>
      <c r="Y611" s="8">
        <f>+VLOOKUP($B611,NIFTY_FMCG!$B$63:$K$1238,10,0)</f>
        <v>-2.5685806431473557E-2</v>
      </c>
      <c r="Z611" s="8">
        <f>+VLOOKUP($B611,NIFTY_METAL!$B$63:$K$1238,10,0)</f>
        <v>-2.8836625487216772E-2</v>
      </c>
      <c r="AA611" s="8">
        <f>+VLOOKUP($B611,NIFTY_ENERGY!$B$63:$K$1238,10,0)</f>
        <v>-3.0908948469015818E-2</v>
      </c>
      <c r="AB611" s="8">
        <f>+VLOOKUP($B611,NIFTY_AUTO!$B$63:$K$1238,10,0)</f>
        <v>-7.0222538680175695E-2</v>
      </c>
      <c r="AC611" s="8"/>
      <c r="AD611" s="16">
        <f t="shared" si="342"/>
        <v>6.9450614688064724E-2</v>
      </c>
      <c r="AE611" s="8">
        <f t="shared" si="343"/>
        <v>9.1136284147252403E-2</v>
      </c>
      <c r="AF611" s="8">
        <f t="shared" si="344"/>
        <v>6.6403106719387789E-2</v>
      </c>
      <c r="AG611" s="8">
        <f t="shared" si="345"/>
        <v>8.2415122569766575E-2</v>
      </c>
      <c r="AH611" s="8">
        <f t="shared" si="346"/>
        <v>5.83863993039382E-2</v>
      </c>
      <c r="AI611" s="8">
        <f t="shared" si="347"/>
        <v>0.10632398637325169</v>
      </c>
      <c r="AJ611" s="8">
        <f t="shared" si="348"/>
        <v>9.4428093352878009E-2</v>
      </c>
      <c r="AK611" s="8">
        <f t="shared" si="349"/>
        <v>9.7660595580671361E-2</v>
      </c>
      <c r="AL611" s="9">
        <v>0</v>
      </c>
      <c r="AM611" s="17">
        <f t="shared" si="326"/>
        <v>14.398720651954902</v>
      </c>
      <c r="AN611" s="13">
        <f t="shared" si="327"/>
        <v>10.972578148833252</v>
      </c>
      <c r="AO611" s="13">
        <f t="shared" si="328"/>
        <v>15.059536359132862</v>
      </c>
      <c r="AP611" s="13">
        <f t="shared" si="329"/>
        <v>12.133695477471063</v>
      </c>
      <c r="AQ611" s="13">
        <f t="shared" si="330"/>
        <v>17.127276419194246</v>
      </c>
      <c r="AR611" s="13">
        <f t="shared" si="331"/>
        <v>9.4052154561764407</v>
      </c>
      <c r="AS611" s="13">
        <f t="shared" si="332"/>
        <v>10.590068744298348</v>
      </c>
      <c r="AT611" s="13">
        <f t="shared" si="333"/>
        <v>10.23954435311591</v>
      </c>
      <c r="AU611" s="9">
        <v>0</v>
      </c>
      <c r="AV611" s="18">
        <f t="shared" si="350"/>
        <v>3</v>
      </c>
      <c r="AW611" s="18">
        <f t="shared" si="351"/>
        <v>5</v>
      </c>
      <c r="AX611" s="18">
        <f t="shared" si="352"/>
        <v>2</v>
      </c>
      <c r="AY611" s="18">
        <f t="shared" si="353"/>
        <v>4</v>
      </c>
      <c r="AZ611" s="18">
        <f t="shared" si="354"/>
        <v>1</v>
      </c>
      <c r="BA611" s="18">
        <f t="shared" si="355"/>
        <v>8</v>
      </c>
      <c r="BB611" s="18">
        <f t="shared" si="356"/>
        <v>6</v>
      </c>
      <c r="BC611" s="18">
        <f t="shared" si="357"/>
        <v>7</v>
      </c>
      <c r="BD611" s="18">
        <f t="shared" si="358"/>
        <v>9</v>
      </c>
      <c r="BE611" s="8">
        <f t="shared" si="360"/>
        <v>1.1358888267310213E-2</v>
      </c>
    </row>
    <row r="612" spans="1:57" x14ac:dyDescent="0.25">
      <c r="A612" t="str">
        <f t="shared" si="359"/>
        <v/>
      </c>
      <c r="B612" s="1">
        <v>43637</v>
      </c>
      <c r="C612" s="9">
        <f t="shared" si="334"/>
        <v>0.25171511079129638</v>
      </c>
      <c r="D612" s="9">
        <f t="shared" si="335"/>
        <v>0</v>
      </c>
      <c r="E612" s="9">
        <f t="shared" si="336"/>
        <v>0.25643657122471247</v>
      </c>
      <c r="F612" s="9">
        <f t="shared" si="337"/>
        <v>0.23952500676811564</v>
      </c>
      <c r="G612" s="9">
        <f t="shared" si="338"/>
        <v>0.25232331121587559</v>
      </c>
      <c r="H612" s="9">
        <f t="shared" si="339"/>
        <v>0</v>
      </c>
      <c r="I612" s="9">
        <f t="shared" si="340"/>
        <v>0</v>
      </c>
      <c r="J612" s="9">
        <f t="shared" si="341"/>
        <v>0</v>
      </c>
      <c r="K612" s="9">
        <v>0</v>
      </c>
      <c r="L612" s="8">
        <f>+VLOOKUP($B612,NIFTY_50!$B$3:$I$1238,8,0)</f>
        <v>-9.098400490206382E-3</v>
      </c>
      <c r="M612" s="8">
        <f>+VLOOKUP($B612,NIFTY_BANK!$B$3:$I$41238,8,0)</f>
        <v>-4.9624607307731106E-3</v>
      </c>
      <c r="N612" s="8">
        <f>+VLOOKUP($B612,NIFTY_IT!$B$3:$I$1238,8,0)</f>
        <v>-7.8170246277644573E-3</v>
      </c>
      <c r="O612" s="8">
        <f>+VLOOKUP($B612,NIFTY_PHARMA!$B$3:$I$1238,8,0)</f>
        <v>-1.4628222692738779E-2</v>
      </c>
      <c r="P612" s="8">
        <f>+VLOOKUP($B612,NIFTY_FMCG!$B$3:$I$1238,8,0)</f>
        <v>-7.6758472182643089E-3</v>
      </c>
      <c r="Q612" s="8">
        <f>+VLOOKUP($B612,NIFTY_METAL!$B$3:$I$1238,8,0)</f>
        <v>-3.3672324070610493E-3</v>
      </c>
      <c r="R612" s="8">
        <f>+VLOOKUP($B612,NIFTY_ENERGY!$B$3:$I$1238,8,0)</f>
        <v>-8.0592002984889444E-3</v>
      </c>
      <c r="S612" s="8">
        <f>+VLOOKUP($B612,NIFTY_AUTO!$B$3:$I$1238,8,0)</f>
        <v>-1.2202700412406009E-2</v>
      </c>
      <c r="T612" s="8">
        <v>0</v>
      </c>
      <c r="U612" s="8">
        <f>+VLOOKUP($B612,NIFTY_50!$B$63:$K$1238,10,0)</f>
        <v>1.7624261677538167E-2</v>
      </c>
      <c r="V612" s="8">
        <f>+VLOOKUP($B612,NIFTY_BANK!$B$63:$K$1238,10,0)</f>
        <v>2.6687606009613729E-2</v>
      </c>
      <c r="W612" s="8">
        <f>+VLOOKUP($B612,NIFTY_IT!$B$63:$K$1238,10,0)</f>
        <v>3.783194704873627E-2</v>
      </c>
      <c r="X612" s="8">
        <f>+VLOOKUP($B612,NIFTY_PHARMA!$B$63:$K$1238,10,0)</f>
        <v>-0.14603594365589079</v>
      </c>
      <c r="Y612" s="8">
        <f>+VLOOKUP($B612,NIFTY_FMCG!$B$63:$K$1238,10,0)</f>
        <v>-2.8830904353020936E-2</v>
      </c>
      <c r="Z612" s="8">
        <f>+VLOOKUP($B612,NIFTY_METAL!$B$63:$K$1238,10,0)</f>
        <v>-2.1995260505323633E-2</v>
      </c>
      <c r="AA612" s="8">
        <f>+VLOOKUP($B612,NIFTY_ENERGY!$B$63:$K$1238,10,0)</f>
        <v>-2.7199434056618843E-2</v>
      </c>
      <c r="AB612" s="8">
        <f>+VLOOKUP($B612,NIFTY_AUTO!$B$63:$K$1238,10,0)</f>
        <v>-6.8305881517092826E-2</v>
      </c>
      <c r="AC612" s="8"/>
      <c r="AD612" s="16">
        <f t="shared" si="342"/>
        <v>7.0082645212896102E-2</v>
      </c>
      <c r="AE612" s="8">
        <f t="shared" si="343"/>
        <v>9.1289245916385625E-2</v>
      </c>
      <c r="AF612" s="8">
        <f t="shared" si="344"/>
        <v>6.6692373829610102E-2</v>
      </c>
      <c r="AG612" s="8">
        <f t="shared" si="345"/>
        <v>8.3194889061433006E-2</v>
      </c>
      <c r="AH612" s="8">
        <f t="shared" si="346"/>
        <v>5.8696227296820259E-2</v>
      </c>
      <c r="AI612" s="8">
        <f t="shared" si="347"/>
        <v>0.10589540614895479</v>
      </c>
      <c r="AJ612" s="8">
        <f t="shared" si="348"/>
        <v>9.4045188248103553E-2</v>
      </c>
      <c r="AK612" s="8">
        <f t="shared" si="349"/>
        <v>9.7408078849235469E-2</v>
      </c>
      <c r="AL612" s="9">
        <v>0</v>
      </c>
      <c r="AM612" s="17">
        <f t="shared" si="326"/>
        <v>14.268867805463302</v>
      </c>
      <c r="AN612" s="13">
        <f t="shared" si="327"/>
        <v>10.954192796333622</v>
      </c>
      <c r="AO612" s="13">
        <f t="shared" si="328"/>
        <v>14.994218117874516</v>
      </c>
      <c r="AP612" s="13">
        <f t="shared" si="329"/>
        <v>12.019969150527711</v>
      </c>
      <c r="AQ612" s="13">
        <f t="shared" si="330"/>
        <v>17.03687010313477</v>
      </c>
      <c r="AR612" s="13">
        <f t="shared" si="331"/>
        <v>9.4432802740600295</v>
      </c>
      <c r="AS612" s="13">
        <f t="shared" si="332"/>
        <v>10.633186222796096</v>
      </c>
      <c r="AT612" s="13">
        <f t="shared" si="333"/>
        <v>10.266088930341827</v>
      </c>
      <c r="AU612" s="9">
        <v>0</v>
      </c>
      <c r="AV612" s="18">
        <f t="shared" si="350"/>
        <v>3</v>
      </c>
      <c r="AW612" s="18">
        <f t="shared" si="351"/>
        <v>5</v>
      </c>
      <c r="AX612" s="18">
        <f t="shared" si="352"/>
        <v>2</v>
      </c>
      <c r="AY612" s="18">
        <f t="shared" si="353"/>
        <v>4</v>
      </c>
      <c r="AZ612" s="18">
        <f t="shared" si="354"/>
        <v>1</v>
      </c>
      <c r="BA612" s="18">
        <f t="shared" si="355"/>
        <v>8</v>
      </c>
      <c r="BB612" s="18">
        <f t="shared" si="356"/>
        <v>6</v>
      </c>
      <c r="BC612" s="18">
        <f t="shared" si="357"/>
        <v>7</v>
      </c>
      <c r="BD612" s="18">
        <f t="shared" si="358"/>
        <v>9</v>
      </c>
      <c r="BE612" s="8">
        <f t="shared" si="360"/>
        <v>-9.7433482413578718E-3</v>
      </c>
    </row>
    <row r="613" spans="1:57" x14ac:dyDescent="0.25">
      <c r="A613" t="str">
        <f t="shared" si="359"/>
        <v/>
      </c>
      <c r="B613" s="1">
        <v>43640</v>
      </c>
      <c r="C613" s="9">
        <f t="shared" si="334"/>
        <v>0.25131576151266011</v>
      </c>
      <c r="D613" s="9">
        <f t="shared" si="335"/>
        <v>0</v>
      </c>
      <c r="E613" s="9">
        <f t="shared" si="336"/>
        <v>0.25653308837999161</v>
      </c>
      <c r="F613" s="9">
        <f t="shared" si="337"/>
        <v>0.23935548969738177</v>
      </c>
      <c r="G613" s="9">
        <f t="shared" si="338"/>
        <v>0.25279566040996648</v>
      </c>
      <c r="H613" s="9">
        <f t="shared" si="339"/>
        <v>0</v>
      </c>
      <c r="I613" s="9">
        <f t="shared" si="340"/>
        <v>0</v>
      </c>
      <c r="J613" s="9">
        <f t="shared" si="341"/>
        <v>0</v>
      </c>
      <c r="K613" s="9">
        <v>0</v>
      </c>
      <c r="L613" s="8">
        <f>+VLOOKUP($B613,NIFTY_50!$B$3:$I$1238,8,0)</f>
        <v>-2.0854479235080658E-3</v>
      </c>
      <c r="M613" s="8">
        <f>+VLOOKUP($B613,NIFTY_BANK!$B$3:$I$41238,8,0)</f>
        <v>-8.5868158095359082E-4</v>
      </c>
      <c r="N613" s="8">
        <f>+VLOOKUP($B613,NIFTY_IT!$B$3:$I$1238,8,0)</f>
        <v>-1.2353762338324081E-4</v>
      </c>
      <c r="O613" s="8">
        <f>+VLOOKUP($B613,NIFTY_PHARMA!$B$3:$I$1238,8,0)</f>
        <v>-1.2070959546486293E-3</v>
      </c>
      <c r="P613" s="8">
        <f>+VLOOKUP($B613,NIFTY_FMCG!$B$3:$I$1238,8,0)</f>
        <v>1.3713365178249504E-3</v>
      </c>
      <c r="Q613" s="8">
        <f>+VLOOKUP($B613,NIFTY_METAL!$B$3:$I$1238,8,0)</f>
        <v>-1.2883079653265961E-2</v>
      </c>
      <c r="R613" s="8">
        <f>+VLOOKUP($B613,NIFTY_ENERGY!$B$3:$I$1238,8,0)</f>
        <v>-1.0613488471231336E-2</v>
      </c>
      <c r="S613" s="8">
        <f>+VLOOKUP($B613,NIFTY_AUTO!$B$3:$I$1238,8,0)</f>
        <v>-4.5689956470625903E-3</v>
      </c>
      <c r="T613" s="8">
        <v>0</v>
      </c>
      <c r="U613" s="8">
        <f>+VLOOKUP($B613,NIFTY_50!$B$63:$K$1238,10,0)</f>
        <v>2.1188104984769085E-2</v>
      </c>
      <c r="V613" s="8">
        <f>+VLOOKUP($B613,NIFTY_BANK!$B$63:$K$1238,10,0)</f>
        <v>3.4464632806557871E-2</v>
      </c>
      <c r="W613" s="8">
        <f>+VLOOKUP($B613,NIFTY_IT!$B$63:$K$1238,10,0)</f>
        <v>4.0916719717576155E-2</v>
      </c>
      <c r="X613" s="8">
        <f>+VLOOKUP($B613,NIFTY_PHARMA!$B$63:$K$1238,10,0)</f>
        <v>-0.14102626816025043</v>
      </c>
      <c r="Y613" s="8">
        <f>+VLOOKUP($B613,NIFTY_FMCG!$B$63:$K$1238,10,0)</f>
        <v>-2.4327085302917051E-2</v>
      </c>
      <c r="Z613" s="8">
        <f>+VLOOKUP($B613,NIFTY_METAL!$B$63:$K$1238,10,0)</f>
        <v>-3.0420353982300918E-2</v>
      </c>
      <c r="AA613" s="8">
        <f>+VLOOKUP($B613,NIFTY_ENERGY!$B$63:$K$1238,10,0)</f>
        <v>-2.2919336565071169E-2</v>
      </c>
      <c r="AB613" s="8">
        <f>+VLOOKUP($B613,NIFTY_AUTO!$B$63:$K$1238,10,0)</f>
        <v>-6.0492287023486857E-2</v>
      </c>
      <c r="AC613" s="8"/>
      <c r="AD613" s="16">
        <f t="shared" si="342"/>
        <v>6.9874532411082324E-2</v>
      </c>
      <c r="AE613" s="8">
        <f t="shared" si="343"/>
        <v>9.0862386206649007E-2</v>
      </c>
      <c r="AF613" s="8">
        <f t="shared" si="344"/>
        <v>6.6591226425766495E-2</v>
      </c>
      <c r="AG613" s="8">
        <f t="shared" si="345"/>
        <v>8.3079994015000935E-2</v>
      </c>
      <c r="AH613" s="8">
        <f t="shared" si="346"/>
        <v>5.8654754989192946E-2</v>
      </c>
      <c r="AI613" s="8">
        <f t="shared" si="347"/>
        <v>0.10656164994483988</v>
      </c>
      <c r="AJ613" s="8">
        <f t="shared" si="348"/>
        <v>9.3470317784773563E-2</v>
      </c>
      <c r="AK613" s="8">
        <f t="shared" si="349"/>
        <v>9.6751932785190675E-2</v>
      </c>
      <c r="AL613" s="9">
        <v>0</v>
      </c>
      <c r="AM613" s="17">
        <f t="shared" si="326"/>
        <v>14.311365893897515</v>
      </c>
      <c r="AN613" s="13">
        <f t="shared" si="327"/>
        <v>11.005654173837042</v>
      </c>
      <c r="AO613" s="13">
        <f t="shared" si="328"/>
        <v>15.016993283863965</v>
      </c>
      <c r="AP613" s="13">
        <f t="shared" si="329"/>
        <v>12.036592104465486</v>
      </c>
      <c r="AQ613" s="13">
        <f t="shared" si="330"/>
        <v>17.048916156656841</v>
      </c>
      <c r="AR613" s="13">
        <f t="shared" si="331"/>
        <v>9.3842390814860295</v>
      </c>
      <c r="AS613" s="13">
        <f t="shared" si="332"/>
        <v>10.698583504365718</v>
      </c>
      <c r="AT613" s="13">
        <f t="shared" si="333"/>
        <v>10.335710835050779</v>
      </c>
      <c r="AU613" s="9">
        <v>0</v>
      </c>
      <c r="AV613" s="18">
        <f t="shared" si="350"/>
        <v>3</v>
      </c>
      <c r="AW613" s="18">
        <f t="shared" si="351"/>
        <v>5</v>
      </c>
      <c r="AX613" s="18">
        <f t="shared" si="352"/>
        <v>2</v>
      </c>
      <c r="AY613" s="18">
        <f t="shared" si="353"/>
        <v>4</v>
      </c>
      <c r="AZ613" s="18">
        <f t="shared" si="354"/>
        <v>1</v>
      </c>
      <c r="BA613" s="18">
        <f t="shared" si="355"/>
        <v>8</v>
      </c>
      <c r="BB613" s="18">
        <f t="shared" si="356"/>
        <v>6</v>
      </c>
      <c r="BC613" s="18">
        <f t="shared" si="357"/>
        <v>7</v>
      </c>
      <c r="BD613" s="18">
        <f t="shared" si="358"/>
        <v>9</v>
      </c>
      <c r="BE613" s="8">
        <f t="shared" si="360"/>
        <v>-4.9972781541109796E-4</v>
      </c>
    </row>
    <row r="614" spans="1:57" x14ac:dyDescent="0.25">
      <c r="A614" t="str">
        <f t="shared" si="359"/>
        <v/>
      </c>
      <c r="B614" s="1">
        <v>43641</v>
      </c>
      <c r="C614" s="9">
        <f t="shared" si="334"/>
        <v>0.25222587117607298</v>
      </c>
      <c r="D614" s="9">
        <f t="shared" si="335"/>
        <v>0</v>
      </c>
      <c r="E614" s="9">
        <f t="shared" si="336"/>
        <v>0.25577609677470731</v>
      </c>
      <c r="F614" s="9">
        <f t="shared" si="337"/>
        <v>0.23961386950644151</v>
      </c>
      <c r="G614" s="9">
        <f t="shared" si="338"/>
        <v>0.25238416254277812</v>
      </c>
      <c r="H614" s="9">
        <f t="shared" si="339"/>
        <v>0</v>
      </c>
      <c r="I614" s="9">
        <f t="shared" si="340"/>
        <v>0</v>
      </c>
      <c r="J614" s="9">
        <f t="shared" si="341"/>
        <v>0</v>
      </c>
      <c r="K614" s="9">
        <v>0</v>
      </c>
      <c r="L614" s="8">
        <f>+VLOOKUP($B614,NIFTY_50!$B$3:$I$1238,8,0)</f>
        <v>8.2737517788995518E-3</v>
      </c>
      <c r="M614" s="8">
        <f>+VLOOKUP($B614,NIFTY_BANK!$B$3:$I$41238,8,0)</f>
        <v>8.005999598066138E-3</v>
      </c>
      <c r="N614" s="8">
        <f>+VLOOKUP($B614,NIFTY_IT!$B$3:$I$1238,8,0)</f>
        <v>1.6710527941485864E-3</v>
      </c>
      <c r="O614" s="8">
        <f>+VLOOKUP($B614,NIFTY_PHARMA!$B$3:$I$1238,8,0)</f>
        <v>5.7200708681346413E-3</v>
      </c>
      <c r="P614" s="8">
        <f>+VLOOKUP($B614,NIFTY_FMCG!$B$3:$I$1238,8,0)</f>
        <v>3.0002511522457809E-3</v>
      </c>
      <c r="Q614" s="8">
        <f>+VLOOKUP($B614,NIFTY_METAL!$B$3:$I$1238,8,0)</f>
        <v>1.735552904976756E-2</v>
      </c>
      <c r="R614" s="8">
        <f>+VLOOKUP($B614,NIFTY_ENERGY!$B$3:$I$1238,8,0)</f>
        <v>1.9690028576678564E-2</v>
      </c>
      <c r="S614" s="8">
        <f>+VLOOKUP($B614,NIFTY_AUTO!$B$3:$I$1238,8,0)</f>
        <v>5.8667313560512024E-3</v>
      </c>
      <c r="T614" s="8">
        <v>0</v>
      </c>
      <c r="U614" s="8">
        <f>+VLOOKUP($B614,NIFTY_50!$B$63:$K$1238,10,0)</f>
        <v>3.8945769205363634E-2</v>
      </c>
      <c r="V614" s="8">
        <f>+VLOOKUP($B614,NIFTY_BANK!$B$63:$K$1238,10,0)</f>
        <v>5.3476291955247612E-2</v>
      </c>
      <c r="W614" s="8">
        <f>+VLOOKUP($B614,NIFTY_IT!$B$63:$K$1238,10,0)</f>
        <v>5.173560098204244E-2</v>
      </c>
      <c r="X614" s="8">
        <f>+VLOOKUP($B614,NIFTY_PHARMA!$B$63:$K$1238,10,0)</f>
        <v>-0.13336204969384358</v>
      </c>
      <c r="Y614" s="8">
        <f>+VLOOKUP($B614,NIFTY_FMCG!$B$63:$K$1238,10,0)</f>
        <v>-1.2327276920069075E-2</v>
      </c>
      <c r="Z614" s="8">
        <f>+VLOOKUP($B614,NIFTY_METAL!$B$63:$K$1238,10,0)</f>
        <v>-2.3731629176343416E-3</v>
      </c>
      <c r="AA614" s="8">
        <f>+VLOOKUP($B614,NIFTY_ENERGY!$B$63:$K$1238,10,0)</f>
        <v>-3.4091120207581094E-3</v>
      </c>
      <c r="AB614" s="8">
        <f>+VLOOKUP($B614,NIFTY_AUTO!$B$63:$K$1238,10,0)</f>
        <v>-4.373342396416835E-2</v>
      </c>
      <c r="AC614" s="8"/>
      <c r="AD614" s="16">
        <f t="shared" si="342"/>
        <v>6.9660187326850989E-2</v>
      </c>
      <c r="AE614" s="8">
        <f t="shared" si="343"/>
        <v>9.0488951738783421E-2</v>
      </c>
      <c r="AF614" s="8">
        <f t="shared" si="344"/>
        <v>6.5928869328365003E-2</v>
      </c>
      <c r="AG614" s="8">
        <f t="shared" si="345"/>
        <v>8.3467933404423267E-2</v>
      </c>
      <c r="AH614" s="8">
        <f t="shared" si="346"/>
        <v>5.8066531654131739E-2</v>
      </c>
      <c r="AI614" s="8">
        <f t="shared" si="347"/>
        <v>0.10742607980005127</v>
      </c>
      <c r="AJ614" s="8">
        <f t="shared" si="348"/>
        <v>9.5551649292959312E-2</v>
      </c>
      <c r="AK614" s="8">
        <f t="shared" si="349"/>
        <v>9.6360207739648721E-2</v>
      </c>
      <c r="AL614" s="9">
        <v>0</v>
      </c>
      <c r="AM614" s="17">
        <f t="shared" si="326"/>
        <v>14.355402108063858</v>
      </c>
      <c r="AN614" s="13">
        <f t="shared" si="327"/>
        <v>11.051072874473377</v>
      </c>
      <c r="AO614" s="13">
        <f t="shared" si="328"/>
        <v>15.167862124548275</v>
      </c>
      <c r="AP614" s="13">
        <f t="shared" si="329"/>
        <v>11.980648845763881</v>
      </c>
      <c r="AQ614" s="13">
        <f t="shared" si="330"/>
        <v>17.221624428275021</v>
      </c>
      <c r="AR614" s="13">
        <f t="shared" si="331"/>
        <v>9.3087265388560034</v>
      </c>
      <c r="AS614" s="13">
        <f t="shared" si="332"/>
        <v>10.465544105199287</v>
      </c>
      <c r="AT614" s="13">
        <f t="shared" si="333"/>
        <v>10.377727730743947</v>
      </c>
      <c r="AU614" s="9">
        <v>0</v>
      </c>
      <c r="AV614" s="18">
        <f t="shared" si="350"/>
        <v>3</v>
      </c>
      <c r="AW614" s="18">
        <f t="shared" si="351"/>
        <v>5</v>
      </c>
      <c r="AX614" s="18">
        <f t="shared" si="352"/>
        <v>2</v>
      </c>
      <c r="AY614" s="18">
        <f t="shared" si="353"/>
        <v>4</v>
      </c>
      <c r="AZ614" s="18">
        <f t="shared" si="354"/>
        <v>1</v>
      </c>
      <c r="BA614" s="18">
        <f t="shared" si="355"/>
        <v>8</v>
      </c>
      <c r="BB614" s="18">
        <f t="shared" si="356"/>
        <v>6</v>
      </c>
      <c r="BC614" s="18">
        <f t="shared" si="357"/>
        <v>7</v>
      </c>
      <c r="BD614" s="18">
        <f t="shared" si="358"/>
        <v>9</v>
      </c>
      <c r="BE614" s="8">
        <f t="shared" si="360"/>
        <v>4.6355853981836486E-3</v>
      </c>
    </row>
    <row r="615" spans="1:57" x14ac:dyDescent="0.25">
      <c r="A615" t="str">
        <f t="shared" si="359"/>
        <v/>
      </c>
      <c r="B615" s="1">
        <v>43642</v>
      </c>
      <c r="C615" s="9">
        <f t="shared" si="334"/>
        <v>0.2524939794697012</v>
      </c>
      <c r="D615" s="9">
        <f t="shared" si="335"/>
        <v>0</v>
      </c>
      <c r="E615" s="9">
        <f t="shared" si="336"/>
        <v>0.25317160252543414</v>
      </c>
      <c r="F615" s="9">
        <f t="shared" si="337"/>
        <v>0.2430143038210146</v>
      </c>
      <c r="G615" s="9">
        <f t="shared" si="338"/>
        <v>0.25132011418385009</v>
      </c>
      <c r="H615" s="9">
        <f t="shared" si="339"/>
        <v>0</v>
      </c>
      <c r="I615" s="9">
        <f t="shared" si="340"/>
        <v>0</v>
      </c>
      <c r="J615" s="9">
        <f t="shared" si="341"/>
        <v>0</v>
      </c>
      <c r="K615" s="9">
        <v>0</v>
      </c>
      <c r="L615" s="8">
        <f>+VLOOKUP($B615,NIFTY_50!$B$3:$I$1238,8,0)</f>
        <v>4.331811689109788E-3</v>
      </c>
      <c r="M615" s="8">
        <f>+VLOOKUP($B615,NIFTY_BANK!$B$3:$I$41238,8,0)</f>
        <v>1.0221398804747928E-2</v>
      </c>
      <c r="N615" s="8">
        <f>+VLOOKUP($B615,NIFTY_IT!$B$3:$I$1238,8,0)</f>
        <v>-6.9505903684676795E-3</v>
      </c>
      <c r="O615" s="8">
        <f>+VLOOKUP($B615,NIFTY_PHARMA!$B$3:$I$1238,8,0)</f>
        <v>1.7503019931548236E-2</v>
      </c>
      <c r="P615" s="8">
        <f>+VLOOKUP($B615,NIFTY_FMCG!$B$3:$I$1238,8,0)</f>
        <v>-9.6438215250094217E-4</v>
      </c>
      <c r="Q615" s="8">
        <f>+VLOOKUP($B615,NIFTY_METAL!$B$3:$I$1238,8,0)</f>
        <v>2.7288328547397711E-2</v>
      </c>
      <c r="R615" s="8">
        <f>+VLOOKUP($B615,NIFTY_ENERGY!$B$3:$I$1238,8,0)</f>
        <v>6.154907303554058E-3</v>
      </c>
      <c r="S615" s="8">
        <f>+VLOOKUP($B615,NIFTY_AUTO!$B$3:$I$1238,8,0)</f>
        <v>6.7273823501423635E-4</v>
      </c>
      <c r="T615" s="8">
        <v>0</v>
      </c>
      <c r="U615" s="8">
        <f>+VLOOKUP($B615,NIFTY_50!$B$63:$K$1238,10,0)</f>
        <v>3.172446824722952E-2</v>
      </c>
      <c r="V615" s="8">
        <f>+VLOOKUP($B615,NIFTY_BANK!$B$63:$K$1238,10,0)</f>
        <v>4.284162953468873E-2</v>
      </c>
      <c r="W615" s="8">
        <f>+VLOOKUP($B615,NIFTY_IT!$B$63:$K$1238,10,0)</f>
        <v>4.8523110584374196E-2</v>
      </c>
      <c r="X615" s="8">
        <f>+VLOOKUP($B615,NIFTY_PHARMA!$B$63:$K$1238,10,0)</f>
        <v>-0.1253326122228231</v>
      </c>
      <c r="Y615" s="8">
        <f>+VLOOKUP($B615,NIFTY_FMCG!$B$63:$K$1238,10,0)</f>
        <v>-1.4477031023639952E-2</v>
      </c>
      <c r="Z615" s="8">
        <f>+VLOOKUP($B615,NIFTY_METAL!$B$63:$K$1238,10,0)</f>
        <v>1.4208548614372818E-2</v>
      </c>
      <c r="AA615" s="8">
        <f>+VLOOKUP($B615,NIFTY_ENERGY!$B$63:$K$1238,10,0)</f>
        <v>-2.1125845230286489E-2</v>
      </c>
      <c r="AB615" s="8">
        <f>+VLOOKUP($B615,NIFTY_AUTO!$B$63:$K$1238,10,0)</f>
        <v>-4.8713385019155897E-2</v>
      </c>
      <c r="AC615" s="8"/>
      <c r="AD615" s="16">
        <f t="shared" si="342"/>
        <v>6.8925896763281425E-2</v>
      </c>
      <c r="AE615" s="8">
        <f t="shared" si="343"/>
        <v>8.881865545197247E-2</v>
      </c>
      <c r="AF615" s="8">
        <f t="shared" si="344"/>
        <v>6.6217465335211528E-2</v>
      </c>
      <c r="AG615" s="8">
        <f t="shared" si="345"/>
        <v>8.5134648597357462E-2</v>
      </c>
      <c r="AH615" s="8">
        <f t="shared" si="346"/>
        <v>5.8054562563984932E-2</v>
      </c>
      <c r="AI615" s="8">
        <f t="shared" si="347"/>
        <v>0.11031061736090315</v>
      </c>
      <c r="AJ615" s="8">
        <f t="shared" si="348"/>
        <v>9.2571945857698457E-2</v>
      </c>
      <c r="AK615" s="8">
        <f t="shared" si="349"/>
        <v>9.6142935842835092E-2</v>
      </c>
      <c r="AL615" s="9">
        <v>0</v>
      </c>
      <c r="AM615" s="17">
        <f t="shared" si="326"/>
        <v>14.508334993948536</v>
      </c>
      <c r="AN615" s="13">
        <f t="shared" si="327"/>
        <v>11.258895948281237</v>
      </c>
      <c r="AO615" s="13">
        <f t="shared" si="328"/>
        <v>15.101755933086796</v>
      </c>
      <c r="AP615" s="13">
        <f t="shared" si="329"/>
        <v>11.746098873673386</v>
      </c>
      <c r="AQ615" s="13">
        <f t="shared" si="330"/>
        <v>17.225175004942088</v>
      </c>
      <c r="AR615" s="13">
        <f t="shared" si="331"/>
        <v>9.0653105197326642</v>
      </c>
      <c r="AS615" s="13">
        <f t="shared" si="332"/>
        <v>10.802408772277504</v>
      </c>
      <c r="AT615" s="13">
        <f t="shared" si="333"/>
        <v>10.401180193152209</v>
      </c>
      <c r="AU615" s="9">
        <v>0</v>
      </c>
      <c r="AV615" s="18">
        <f t="shared" si="350"/>
        <v>3</v>
      </c>
      <c r="AW615" s="18">
        <f t="shared" si="351"/>
        <v>5</v>
      </c>
      <c r="AX615" s="18">
        <f t="shared" si="352"/>
        <v>2</v>
      </c>
      <c r="AY615" s="18">
        <f t="shared" si="353"/>
        <v>4</v>
      </c>
      <c r="AZ615" s="18">
        <f t="shared" si="354"/>
        <v>1</v>
      </c>
      <c r="BA615" s="18">
        <f t="shared" si="355"/>
        <v>8</v>
      </c>
      <c r="BB615" s="18">
        <f t="shared" si="356"/>
        <v>6</v>
      </c>
      <c r="BC615" s="18">
        <f t="shared" si="357"/>
        <v>7</v>
      </c>
      <c r="BD615" s="18">
        <f t="shared" si="358"/>
        <v>9</v>
      </c>
      <c r="BE615" s="8">
        <f t="shared" si="360"/>
        <v>3.2653716542463658E-3</v>
      </c>
    </row>
    <row r="616" spans="1:57" x14ac:dyDescent="0.25">
      <c r="A616" t="str">
        <f t="shared" si="359"/>
        <v/>
      </c>
      <c r="B616" s="1">
        <v>43643</v>
      </c>
      <c r="C616" s="9">
        <f t="shared" si="334"/>
        <v>0.2529030371243543</v>
      </c>
      <c r="D616" s="9">
        <f t="shared" si="335"/>
        <v>0</v>
      </c>
      <c r="E616" s="9">
        <f t="shared" si="336"/>
        <v>0.25197779761732747</v>
      </c>
      <c r="F616" s="9">
        <f t="shared" si="337"/>
        <v>0.24358253436172317</v>
      </c>
      <c r="G616" s="9">
        <f t="shared" si="338"/>
        <v>0.25153663089659506</v>
      </c>
      <c r="H616" s="9">
        <f t="shared" si="339"/>
        <v>0</v>
      </c>
      <c r="I616" s="9">
        <f t="shared" si="340"/>
        <v>0</v>
      </c>
      <c r="J616" s="9">
        <f t="shared" si="341"/>
        <v>0</v>
      </c>
      <c r="K616" s="9">
        <v>0</v>
      </c>
      <c r="L616" s="8">
        <f>+VLOOKUP($B616,NIFTY_50!$B$3:$I$1238,8,0)</f>
        <v>-5.0643381965043144E-4</v>
      </c>
      <c r="M616" s="8">
        <f>+VLOOKUP($B616,NIFTY_BANK!$B$3:$I$41238,8,0)</f>
        <v>3.4384441481467576E-3</v>
      </c>
      <c r="N616" s="8">
        <f>+VLOOKUP($B616,NIFTY_IT!$B$3:$I$1238,8,0)</f>
        <v>-6.8284503237225902E-3</v>
      </c>
      <c r="O616" s="8">
        <f>+VLOOKUP($B616,NIFTY_PHARMA!$B$3:$I$1238,8,0)</f>
        <v>2.1023212099469113E-4</v>
      </c>
      <c r="P616" s="8">
        <f>+VLOOKUP($B616,NIFTY_FMCG!$B$3:$I$1238,8,0)</f>
        <v>-1.2633746667976009E-3</v>
      </c>
      <c r="Q616" s="8">
        <f>+VLOOKUP($B616,NIFTY_METAL!$B$3:$I$1238,8,0)</f>
        <v>-2.8945235614218356E-3</v>
      </c>
      <c r="R616" s="8">
        <f>+VLOOKUP($B616,NIFTY_ENERGY!$B$3:$I$1238,8,0)</f>
        <v>-3.0817878074839156E-3</v>
      </c>
      <c r="S616" s="8">
        <f>+VLOOKUP($B616,NIFTY_AUTO!$B$3:$I$1238,8,0)</f>
        <v>1.1149799265559146E-2</v>
      </c>
      <c r="T616" s="8">
        <v>0</v>
      </c>
      <c r="U616" s="8">
        <f>+VLOOKUP($B616,NIFTY_50!$B$63:$K$1238,10,0)</f>
        <v>3.4643797973796575E-2</v>
      </c>
      <c r="V616" s="8">
        <f>+VLOOKUP($B616,NIFTY_BANK!$B$63:$K$1238,10,0)</f>
        <v>4.162919140034238E-2</v>
      </c>
      <c r="W616" s="8">
        <f>+VLOOKUP($B616,NIFTY_IT!$B$63:$K$1238,10,0)</f>
        <v>4.2530998604899839E-2</v>
      </c>
      <c r="X616" s="8">
        <f>+VLOOKUP($B616,NIFTY_PHARMA!$B$63:$K$1238,10,0)</f>
        <v>-0.11594963273871972</v>
      </c>
      <c r="Y616" s="8">
        <f>+VLOOKUP($B616,NIFTY_FMCG!$B$63:$K$1238,10,0)</f>
        <v>-1.3534015693503321E-2</v>
      </c>
      <c r="Z616" s="8">
        <f>+VLOOKUP($B616,NIFTY_METAL!$B$63:$K$1238,10,0)</f>
        <v>1.0764226551758904E-2</v>
      </c>
      <c r="AA616" s="8">
        <f>+VLOOKUP($B616,NIFTY_ENERGY!$B$63:$K$1238,10,0)</f>
        <v>-1.1518606744600479E-2</v>
      </c>
      <c r="AB616" s="8">
        <f>+VLOOKUP($B616,NIFTY_AUTO!$B$63:$K$1238,10,0)</f>
        <v>-2.9688327338457943E-2</v>
      </c>
      <c r="AC616" s="8"/>
      <c r="AD616" s="16">
        <f t="shared" si="342"/>
        <v>6.8823923424358002E-2</v>
      </c>
      <c r="AE616" s="8">
        <f t="shared" si="343"/>
        <v>8.8775513623166852E-2</v>
      </c>
      <c r="AF616" s="8">
        <f t="shared" si="344"/>
        <v>6.6624875890846383E-2</v>
      </c>
      <c r="AG616" s="8">
        <f t="shared" si="345"/>
        <v>8.4753282915566386E-2</v>
      </c>
      <c r="AH616" s="8">
        <f t="shared" si="346"/>
        <v>5.8029279184577683E-2</v>
      </c>
      <c r="AI616" s="8">
        <f t="shared" si="347"/>
        <v>0.11035676463225268</v>
      </c>
      <c r="AJ616" s="8">
        <f t="shared" si="348"/>
        <v>9.1759746900036077E-2</v>
      </c>
      <c r="AK616" s="8">
        <f t="shared" si="349"/>
        <v>9.6516994891042415E-2</v>
      </c>
      <c r="AL616" s="9">
        <v>0</v>
      </c>
      <c r="AM616" s="17">
        <f t="shared" si="326"/>
        <v>14.529831347076071</v>
      </c>
      <c r="AN616" s="13">
        <f t="shared" si="327"/>
        <v>11.264367382257984</v>
      </c>
      <c r="AO616" s="13">
        <f t="shared" si="328"/>
        <v>15.009408822589497</v>
      </c>
      <c r="AP616" s="13">
        <f t="shared" si="329"/>
        <v>11.798952979747442</v>
      </c>
      <c r="AQ616" s="13">
        <f t="shared" si="330"/>
        <v>17.232680020360615</v>
      </c>
      <c r="AR616" s="13">
        <f t="shared" si="331"/>
        <v>9.0615197295095555</v>
      </c>
      <c r="AS616" s="13">
        <f t="shared" si="332"/>
        <v>10.898024828789135</v>
      </c>
      <c r="AT616" s="13">
        <f t="shared" si="333"/>
        <v>10.360869618131971</v>
      </c>
      <c r="AU616" s="9">
        <v>0</v>
      </c>
      <c r="AV616" s="18">
        <f t="shared" si="350"/>
        <v>3</v>
      </c>
      <c r="AW616" s="18">
        <f t="shared" si="351"/>
        <v>5</v>
      </c>
      <c r="AX616" s="18">
        <f t="shared" si="352"/>
        <v>2</v>
      </c>
      <c r="AY616" s="18">
        <f t="shared" si="353"/>
        <v>4</v>
      </c>
      <c r="AZ616" s="18">
        <f t="shared" si="354"/>
        <v>1</v>
      </c>
      <c r="BA616" s="18">
        <f t="shared" si="355"/>
        <v>8</v>
      </c>
      <c r="BB616" s="18">
        <f t="shared" si="356"/>
        <v>6</v>
      </c>
      <c r="BC616" s="18">
        <f t="shared" si="357"/>
        <v>7</v>
      </c>
      <c r="BD616" s="18">
        <f t="shared" si="358"/>
        <v>9</v>
      </c>
      <c r="BE616" s="8">
        <f t="shared" si="360"/>
        <v>-2.1230632546759623E-3</v>
      </c>
    </row>
    <row r="617" spans="1:57" x14ac:dyDescent="0.25">
      <c r="A617" t="str">
        <f t="shared" si="359"/>
        <v>Y</v>
      </c>
      <c r="B617" s="1">
        <v>43644</v>
      </c>
      <c r="C617" s="9">
        <f t="shared" si="334"/>
        <v>0.25</v>
      </c>
      <c r="D617" s="9">
        <f t="shared" si="335"/>
        <v>0</v>
      </c>
      <c r="E617" s="9">
        <f t="shared" si="336"/>
        <v>0.25</v>
      </c>
      <c r="F617" s="9">
        <f t="shared" si="337"/>
        <v>0.25</v>
      </c>
      <c r="G617" s="9">
        <f t="shared" si="338"/>
        <v>0.25</v>
      </c>
      <c r="H617" s="9">
        <f t="shared" si="339"/>
        <v>0</v>
      </c>
      <c r="I617" s="9">
        <f t="shared" si="340"/>
        <v>0</v>
      </c>
      <c r="J617" s="9">
        <f t="shared" si="341"/>
        <v>0</v>
      </c>
      <c r="K617" s="9">
        <v>0</v>
      </c>
      <c r="L617" s="8">
        <f>+VLOOKUP($B617,NIFTY_50!$B$3:$I$1238,8,0)</f>
        <v>-4.4504308979820273E-3</v>
      </c>
      <c r="M617" s="8">
        <f>+VLOOKUP($B617,NIFTY_BANK!$B$3:$I$41238,8,0)</f>
        <v>-5.2543213035065595E-3</v>
      </c>
      <c r="N617" s="8">
        <f>+VLOOKUP($B617,NIFTY_IT!$B$3:$I$1238,8,0)</f>
        <v>-3.4611488387797928E-3</v>
      </c>
      <c r="O617" s="8">
        <f>+VLOOKUP($B617,NIFTY_PHARMA!$B$3:$I$1238,8,0)</f>
        <v>-2.8251730959446553E-3</v>
      </c>
      <c r="P617" s="8">
        <f>+VLOOKUP($B617,NIFTY_FMCG!$B$3:$I$1238,8,0)</f>
        <v>2.0093736858526334E-3</v>
      </c>
      <c r="Q617" s="8">
        <f>+VLOOKUP($B617,NIFTY_METAL!$B$3:$I$1238,8,0)</f>
        <v>-1.1279941609714017E-2</v>
      </c>
      <c r="R617" s="8">
        <f>+VLOOKUP($B617,NIFTY_ENERGY!$B$3:$I$1238,8,0)</f>
        <v>-5.897658282740692E-3</v>
      </c>
      <c r="S617" s="8">
        <f>+VLOOKUP($B617,NIFTY_AUTO!$B$3:$I$1238,8,0)</f>
        <v>-5.44442980888038E-3</v>
      </c>
      <c r="T617" s="8">
        <v>0</v>
      </c>
      <c r="U617" s="8">
        <f>+VLOOKUP($B617,NIFTY_50!$B$63:$K$1238,10,0)</f>
        <v>1.8915298184961182E-2</v>
      </c>
      <c r="V617" s="8">
        <f>+VLOOKUP($B617,NIFTY_BANK!$B$63:$K$1238,10,0)</f>
        <v>2.2506167705712121E-2</v>
      </c>
      <c r="W617" s="8">
        <f>+VLOOKUP($B617,NIFTY_IT!$B$63:$K$1238,10,0)</f>
        <v>2.3749337530313053E-2</v>
      </c>
      <c r="X617" s="8">
        <f>+VLOOKUP($B617,NIFTY_PHARMA!$B$63:$K$1238,10,0)</f>
        <v>-0.12329608452725183</v>
      </c>
      <c r="Y617" s="8">
        <f>+VLOOKUP($B617,NIFTY_FMCG!$B$63:$K$1238,10,0)</f>
        <v>-2.3053077959544699E-2</v>
      </c>
      <c r="Z617" s="8">
        <f>+VLOOKUP($B617,NIFTY_METAL!$B$63:$K$1238,10,0)</f>
        <v>2.1858291017924358E-3</v>
      </c>
      <c r="AA617" s="8">
        <f>+VLOOKUP($B617,NIFTY_ENERGY!$B$63:$K$1238,10,0)</f>
        <v>-2.0610943269553594E-2</v>
      </c>
      <c r="AB617" s="8">
        <f>+VLOOKUP($B617,NIFTY_AUTO!$B$63:$K$1238,10,0)</f>
        <v>-3.7186143243161163E-2</v>
      </c>
      <c r="AC617" s="8"/>
      <c r="AD617" s="16">
        <f t="shared" si="342"/>
        <v>6.8204313376561312E-2</v>
      </c>
      <c r="AE617" s="8">
        <f t="shared" si="343"/>
        <v>8.8045943341251723E-2</v>
      </c>
      <c r="AF617" s="8">
        <f t="shared" si="344"/>
        <v>6.5207437302255256E-2</v>
      </c>
      <c r="AG617" s="8">
        <f t="shared" si="345"/>
        <v>8.4419342806639028E-2</v>
      </c>
      <c r="AH617" s="8">
        <f t="shared" si="346"/>
        <v>5.6810673345129695E-2</v>
      </c>
      <c r="AI617" s="8">
        <f t="shared" si="347"/>
        <v>0.1109116726186988</v>
      </c>
      <c r="AJ617" s="8">
        <f t="shared" si="348"/>
        <v>9.1868943735994343E-2</v>
      </c>
      <c r="AK617" s="8">
        <f t="shared" si="349"/>
        <v>9.6604452380438091E-2</v>
      </c>
      <c r="AL617" s="9">
        <v>0</v>
      </c>
      <c r="AM617" s="17">
        <f t="shared" si="326"/>
        <v>14.6618292963221</v>
      </c>
      <c r="AN617" s="13">
        <f t="shared" si="327"/>
        <v>11.357706693244946</v>
      </c>
      <c r="AO617" s="13">
        <f t="shared" si="328"/>
        <v>15.335673987074694</v>
      </c>
      <c r="AP617" s="13">
        <f t="shared" si="329"/>
        <v>11.845626449503188</v>
      </c>
      <c r="AQ617" s="13">
        <f t="shared" si="330"/>
        <v>17.602326132008937</v>
      </c>
      <c r="AR617" s="13">
        <f t="shared" si="331"/>
        <v>9.0161835665203753</v>
      </c>
      <c r="AS617" s="13">
        <f t="shared" si="332"/>
        <v>10.885071269282472</v>
      </c>
      <c r="AT617" s="13">
        <f t="shared" si="333"/>
        <v>10.351489764280212</v>
      </c>
      <c r="AU617" s="9">
        <v>0</v>
      </c>
      <c r="AV617" s="18">
        <f t="shared" si="350"/>
        <v>3</v>
      </c>
      <c r="AW617" s="18">
        <f t="shared" si="351"/>
        <v>5</v>
      </c>
      <c r="AX617" s="18">
        <f t="shared" si="352"/>
        <v>2</v>
      </c>
      <c r="AY617" s="18">
        <f t="shared" si="353"/>
        <v>4</v>
      </c>
      <c r="AZ617" s="18">
        <f t="shared" si="354"/>
        <v>1</v>
      </c>
      <c r="BA617" s="18">
        <f t="shared" si="355"/>
        <v>8</v>
      </c>
      <c r="BB617" s="18">
        <f t="shared" si="356"/>
        <v>6</v>
      </c>
      <c r="BC617" s="18">
        <f t="shared" si="357"/>
        <v>7</v>
      </c>
      <c r="BD617" s="18">
        <f t="shared" si="358"/>
        <v>9</v>
      </c>
      <c r="BE617" s="8">
        <f t="shared" si="360"/>
        <v>-2.180391887802335E-3</v>
      </c>
    </row>
    <row r="618" spans="1:57" x14ac:dyDescent="0.25">
      <c r="A618" t="str">
        <f t="shared" si="359"/>
        <v/>
      </c>
      <c r="B618" s="1">
        <v>43647</v>
      </c>
      <c r="C618" s="9">
        <f t="shared" si="334"/>
        <v>0.25030087213948493</v>
      </c>
      <c r="D618" s="9">
        <f t="shared" si="335"/>
        <v>0</v>
      </c>
      <c r="E618" s="9">
        <f t="shared" si="336"/>
        <v>0.24837366574116085</v>
      </c>
      <c r="F618" s="9">
        <f t="shared" si="337"/>
        <v>0.25218615499605584</v>
      </c>
      <c r="G618" s="9">
        <f t="shared" si="338"/>
        <v>0.24913930712329832</v>
      </c>
      <c r="H618" s="9">
        <f t="shared" si="339"/>
        <v>0</v>
      </c>
      <c r="I618" s="9">
        <f t="shared" si="340"/>
        <v>0</v>
      </c>
      <c r="J618" s="9">
        <f t="shared" si="341"/>
        <v>0</v>
      </c>
      <c r="K618" s="9">
        <v>0</v>
      </c>
      <c r="L618" s="8">
        <f>+VLOOKUP($B618,NIFTY_50!$B$3:$I$1238,8,0)</f>
        <v>6.5103890540638698E-3</v>
      </c>
      <c r="M618" s="8">
        <f>+VLOOKUP($B618,NIFTY_BANK!$B$3:$I$41238,8,0)</f>
        <v>8.5837737741598641E-3</v>
      </c>
      <c r="N618" s="8">
        <f>+VLOOKUP($B618,NIFTY_IT!$B$3:$I$1238,8,0)</f>
        <v>-1.2392973340988878E-3</v>
      </c>
      <c r="O618" s="8">
        <f>+VLOOKUP($B618,NIFTY_PHARMA!$B$3:$I$1238,8,0)</f>
        <v>1.4091492408696782E-2</v>
      </c>
      <c r="P618" s="8">
        <f>+VLOOKUP($B618,NIFTY_FMCG!$B$3:$I$1238,8,0)</f>
        <v>1.8395013885106337E-3</v>
      </c>
      <c r="Q618" s="8">
        <f>+VLOOKUP($B618,NIFTY_METAL!$B$3:$I$1238,8,0)</f>
        <v>-7.5498288705455607E-4</v>
      </c>
      <c r="R618" s="8">
        <f>+VLOOKUP($B618,NIFTY_ENERGY!$B$3:$I$1238,8,0)</f>
        <v>-5.1599072712316119E-3</v>
      </c>
      <c r="S618" s="8">
        <f>+VLOOKUP($B618,NIFTY_AUTO!$B$3:$I$1238,8,0)</f>
        <v>1.2752190008892494E-2</v>
      </c>
      <c r="T618" s="8">
        <v>0</v>
      </c>
      <c r="U618" s="8">
        <f>+VLOOKUP($B618,NIFTY_50!$B$63:$K$1238,10,0)</f>
        <v>2.079336539371468E-2</v>
      </c>
      <c r="V618" s="8">
        <f>+VLOOKUP($B618,NIFTY_BANK!$B$63:$K$1238,10,0)</f>
        <v>3.1071292413267226E-2</v>
      </c>
      <c r="W618" s="8">
        <f>+VLOOKUP($B618,NIFTY_IT!$B$63:$K$1238,10,0)</f>
        <v>1.8460219347077755E-2</v>
      </c>
      <c r="X618" s="8">
        <f>+VLOOKUP($B618,NIFTY_PHARMA!$B$63:$K$1238,10,0)</f>
        <v>-0.12493914866982991</v>
      </c>
      <c r="Y618" s="8">
        <f>+VLOOKUP($B618,NIFTY_FMCG!$B$63:$K$1238,10,0)</f>
        <v>-2.3778585421517451E-2</v>
      </c>
      <c r="Z618" s="8">
        <f>+VLOOKUP($B618,NIFTY_METAL!$B$63:$K$1238,10,0)</f>
        <v>-2.1746628779790833E-2</v>
      </c>
      <c r="AA618" s="8">
        <f>+VLOOKUP($B618,NIFTY_ENERGY!$B$63:$K$1238,10,0)</f>
        <v>-3.1545741324921162E-2</v>
      </c>
      <c r="AB618" s="8">
        <f>+VLOOKUP($B618,NIFTY_AUTO!$B$63:$K$1238,10,0)</f>
        <v>-3.6735110103355062E-2</v>
      </c>
      <c r="AC618" s="8"/>
      <c r="AD618" s="16">
        <f t="shared" si="342"/>
        <v>6.8346006567000364E-2</v>
      </c>
      <c r="AE618" s="8">
        <f t="shared" si="343"/>
        <v>8.8416088677843813E-2</v>
      </c>
      <c r="AF618" s="8">
        <f t="shared" si="344"/>
        <v>6.5129686852984522E-2</v>
      </c>
      <c r="AG618" s="8">
        <f t="shared" si="345"/>
        <v>8.4031506873273751E-2</v>
      </c>
      <c r="AH618" s="8">
        <f t="shared" si="346"/>
        <v>5.6776931781462696E-2</v>
      </c>
      <c r="AI618" s="8">
        <f t="shared" si="347"/>
        <v>0.10834007012889567</v>
      </c>
      <c r="AJ618" s="8">
        <f t="shared" si="348"/>
        <v>9.1768504089016406E-2</v>
      </c>
      <c r="AK618" s="8">
        <f t="shared" si="349"/>
        <v>9.6668520627859272E-2</v>
      </c>
      <c r="AL618" s="9">
        <v>0</v>
      </c>
      <c r="AM618" s="17">
        <f t="shared" si="326"/>
        <v>14.631432767321799</v>
      </c>
      <c r="AN618" s="13">
        <f t="shared" si="327"/>
        <v>11.310158761304605</v>
      </c>
      <c r="AO618" s="13">
        <f t="shared" si="328"/>
        <v>15.35398139188467</v>
      </c>
      <c r="AP618" s="13">
        <f t="shared" si="329"/>
        <v>11.900298319154031</v>
      </c>
      <c r="AQ618" s="13">
        <f t="shared" si="330"/>
        <v>17.612786894667909</v>
      </c>
      <c r="AR618" s="13">
        <f t="shared" si="331"/>
        <v>9.2301952436459374</v>
      </c>
      <c r="AS618" s="13">
        <f t="shared" si="332"/>
        <v>10.896984863455872</v>
      </c>
      <c r="AT618" s="13">
        <f t="shared" si="333"/>
        <v>10.344629187506218</v>
      </c>
      <c r="AU618" s="9">
        <v>0</v>
      </c>
      <c r="AV618" s="18">
        <f t="shared" si="350"/>
        <v>3</v>
      </c>
      <c r="AW618" s="18">
        <f t="shared" si="351"/>
        <v>5</v>
      </c>
      <c r="AX618" s="18">
        <f t="shared" si="352"/>
        <v>2</v>
      </c>
      <c r="AY618" s="18">
        <f t="shared" si="353"/>
        <v>4</v>
      </c>
      <c r="AZ618" s="18">
        <f t="shared" si="354"/>
        <v>1</v>
      </c>
      <c r="BA618" s="18">
        <f t="shared" si="355"/>
        <v>8</v>
      </c>
      <c r="BB618" s="18">
        <f t="shared" si="356"/>
        <v>6</v>
      </c>
      <c r="BC618" s="18">
        <f t="shared" si="357"/>
        <v>7</v>
      </c>
      <c r="BD618" s="18">
        <f t="shared" si="358"/>
        <v>9</v>
      </c>
      <c r="BE618" s="8">
        <f t="shared" si="360"/>
        <v>5.3005213792930994E-3</v>
      </c>
    </row>
    <row r="619" spans="1:57" x14ac:dyDescent="0.25">
      <c r="A619" t="str">
        <f t="shared" si="359"/>
        <v/>
      </c>
      <c r="B619" s="1">
        <v>43648</v>
      </c>
      <c r="C619" s="9">
        <f t="shared" si="334"/>
        <v>0.25075465303798949</v>
      </c>
      <c r="D619" s="9">
        <f t="shared" si="335"/>
        <v>0</v>
      </c>
      <c r="E619" s="9">
        <f t="shared" si="336"/>
        <v>0.2503414843683513</v>
      </c>
      <c r="F619" s="9">
        <f t="shared" si="337"/>
        <v>0.24932094819006048</v>
      </c>
      <c r="G619" s="9">
        <f t="shared" si="338"/>
        <v>0.24958291440359887</v>
      </c>
      <c r="H619" s="9">
        <f t="shared" si="339"/>
        <v>0</v>
      </c>
      <c r="I619" s="9">
        <f t="shared" si="340"/>
        <v>0</v>
      </c>
      <c r="J619" s="9">
        <f t="shared" si="341"/>
        <v>0</v>
      </c>
      <c r="K619" s="9">
        <v>0</v>
      </c>
      <c r="L619" s="8">
        <f>+VLOOKUP($B619,NIFTY_50!$B$3:$I$1238,8,0)</f>
        <v>3.767192556634269E-3</v>
      </c>
      <c r="M619" s="8">
        <f>+VLOOKUP($B619,NIFTY_BANK!$B$3:$I$41238,8,0)</f>
        <v>-2.8337190251241928E-3</v>
      </c>
      <c r="N619" s="8">
        <f>+VLOOKUP($B619,NIFTY_IT!$B$3:$I$1238,8,0)</f>
        <v>9.8889845256868725E-3</v>
      </c>
      <c r="O619" s="8">
        <f>+VLOOKUP($B619,NIFTY_PHARMA!$B$3:$I$1238,8,0)</f>
        <v>-9.4329241453514623E-3</v>
      </c>
      <c r="P619" s="8">
        <f>+VLOOKUP($B619,NIFTY_FMCG!$B$3:$I$1238,8,0)</f>
        <v>3.7347468277455498E-3</v>
      </c>
      <c r="Q619" s="8">
        <f>+VLOOKUP($B619,NIFTY_METAL!$B$3:$I$1238,8,0)</f>
        <v>5.1713427021944369E-3</v>
      </c>
      <c r="R619" s="8">
        <f>+VLOOKUP($B619,NIFTY_ENERGY!$B$3:$I$1238,8,0)</f>
        <v>9.8784765722876866E-3</v>
      </c>
      <c r="S619" s="8">
        <f>+VLOOKUP($B619,NIFTY_AUTO!$B$3:$I$1238,8,0)</f>
        <v>2.0550120498434854E-3</v>
      </c>
      <c r="T619" s="8">
        <v>0</v>
      </c>
      <c r="U619" s="8">
        <f>+VLOOKUP($B619,NIFTY_50!$B$63:$K$1238,10,0)</f>
        <v>2.0665601179177484E-2</v>
      </c>
      <c r="V619" s="8">
        <f>+VLOOKUP($B619,NIFTY_BANK!$B$63:$K$1238,10,0)</f>
        <v>3.1549964552454179E-2</v>
      </c>
      <c r="W619" s="8">
        <f>+VLOOKUP($B619,NIFTY_IT!$B$63:$K$1238,10,0)</f>
        <v>1.4737400296073844E-2</v>
      </c>
      <c r="X619" s="8">
        <f>+VLOOKUP($B619,NIFTY_PHARMA!$B$63:$K$1238,10,0)</f>
        <v>-0.13586086993621604</v>
      </c>
      <c r="Y619" s="8">
        <f>+VLOOKUP($B619,NIFTY_FMCG!$B$63:$K$1238,10,0)</f>
        <v>-1.5970509867304417E-2</v>
      </c>
      <c r="Z619" s="8">
        <f>+VLOOKUP($B619,NIFTY_METAL!$B$63:$K$1238,10,0)</f>
        <v>-3.511910518002781E-2</v>
      </c>
      <c r="AA619" s="8">
        <f>+VLOOKUP($B619,NIFTY_ENERGY!$B$63:$K$1238,10,0)</f>
        <v>-2.4824432467744462E-2</v>
      </c>
      <c r="AB619" s="8">
        <f>+VLOOKUP($B619,NIFTY_AUTO!$B$63:$K$1238,10,0)</f>
        <v>-4.3818001390481864E-2</v>
      </c>
      <c r="AC619" s="8"/>
      <c r="AD619" s="16">
        <f t="shared" si="342"/>
        <v>6.8339653454979554E-2</v>
      </c>
      <c r="AE619" s="8">
        <f t="shared" si="343"/>
        <v>8.8397067369669916E-2</v>
      </c>
      <c r="AF619" s="8">
        <f t="shared" si="344"/>
        <v>6.4475779081243967E-2</v>
      </c>
      <c r="AG619" s="8">
        <f t="shared" si="345"/>
        <v>8.4171907406701205E-2</v>
      </c>
      <c r="AH619" s="8">
        <f t="shared" si="346"/>
        <v>5.6784698946022408E-2</v>
      </c>
      <c r="AI619" s="8">
        <f t="shared" si="347"/>
        <v>0.10671864400570211</v>
      </c>
      <c r="AJ619" s="8">
        <f t="shared" si="348"/>
        <v>9.2282666822839393E-2</v>
      </c>
      <c r="AK619" s="8">
        <f t="shared" si="349"/>
        <v>9.6178583531624187E-2</v>
      </c>
      <c r="AL619" s="9">
        <v>0</v>
      </c>
      <c r="AM619" s="17">
        <f t="shared" si="326"/>
        <v>14.632792960514131</v>
      </c>
      <c r="AN619" s="13">
        <f t="shared" si="327"/>
        <v>11.312592484749239</v>
      </c>
      <c r="AO619" s="13">
        <f t="shared" si="328"/>
        <v>15.509700142435355</v>
      </c>
      <c r="AP619" s="13">
        <f t="shared" si="329"/>
        <v>11.88044836822109</v>
      </c>
      <c r="AQ619" s="13">
        <f t="shared" si="330"/>
        <v>17.610377770084963</v>
      </c>
      <c r="AR619" s="13">
        <f t="shared" si="331"/>
        <v>9.3704339041879958</v>
      </c>
      <c r="AS619" s="13">
        <f t="shared" si="332"/>
        <v>10.836271148511132</v>
      </c>
      <c r="AT619" s="13">
        <f t="shared" si="333"/>
        <v>10.397325093389352</v>
      </c>
      <c r="AU619" s="9">
        <v>0</v>
      </c>
      <c r="AV619" s="18">
        <f t="shared" si="350"/>
        <v>3</v>
      </c>
      <c r="AW619" s="18">
        <f t="shared" si="351"/>
        <v>5</v>
      </c>
      <c r="AX619" s="18">
        <f t="shared" si="352"/>
        <v>2</v>
      </c>
      <c r="AY619" s="18">
        <f t="shared" si="353"/>
        <v>4</v>
      </c>
      <c r="AZ619" s="18">
        <f t="shared" si="354"/>
        <v>1</v>
      </c>
      <c r="BA619" s="18">
        <f t="shared" si="355"/>
        <v>8</v>
      </c>
      <c r="BB619" s="18">
        <f t="shared" si="356"/>
        <v>6</v>
      </c>
      <c r="BC619" s="18">
        <f t="shared" si="357"/>
        <v>7</v>
      </c>
      <c r="BD619" s="18">
        <f t="shared" si="358"/>
        <v>9</v>
      </c>
      <c r="BE619" s="8">
        <f t="shared" si="360"/>
        <v>1.950714285905218E-3</v>
      </c>
    </row>
    <row r="620" spans="1:57" x14ac:dyDescent="0.25">
      <c r="A620" t="str">
        <f t="shared" si="359"/>
        <v/>
      </c>
      <c r="B620" s="1">
        <v>43649</v>
      </c>
      <c r="C620" s="9">
        <f t="shared" si="334"/>
        <v>0.25128787201890829</v>
      </c>
      <c r="D620" s="9">
        <f t="shared" si="335"/>
        <v>0</v>
      </c>
      <c r="E620" s="9">
        <f t="shared" si="336"/>
        <v>0.24845358134833681</v>
      </c>
      <c r="F620" s="9">
        <f t="shared" si="337"/>
        <v>0.24942460943756492</v>
      </c>
      <c r="G620" s="9">
        <f t="shared" si="338"/>
        <v>0.25083393719518998</v>
      </c>
      <c r="H620" s="9">
        <f t="shared" si="339"/>
        <v>0</v>
      </c>
      <c r="I620" s="9">
        <f t="shared" si="340"/>
        <v>0</v>
      </c>
      <c r="J620" s="9">
        <f t="shared" si="341"/>
        <v>0</v>
      </c>
      <c r="K620" s="9">
        <v>0</v>
      </c>
      <c r="L620" s="8">
        <f>+VLOOKUP($B620,NIFTY_50!$B$3:$I$1238,8,0)</f>
        <v>5.4154807183715015E-4</v>
      </c>
      <c r="M620" s="8">
        <f>+VLOOKUP($B620,NIFTY_BANK!$B$3:$I$41238,8,0)</f>
        <v>3.1646277726453675E-3</v>
      </c>
      <c r="N620" s="8">
        <f>+VLOOKUP($B620,NIFTY_IT!$B$3:$I$1238,8,0)</f>
        <v>-9.1109300054125208E-3</v>
      </c>
      <c r="O620" s="8">
        <f>+VLOOKUP($B620,NIFTY_PHARMA!$B$3:$I$1238,8,0)</f>
        <v>-1.1664290607468208E-3</v>
      </c>
      <c r="P620" s="8">
        <f>+VLOOKUP($B620,NIFTY_FMCG!$B$3:$I$1238,8,0)</f>
        <v>3.4229804163112831E-3</v>
      </c>
      <c r="Q620" s="8">
        <f>+VLOOKUP($B620,NIFTY_METAL!$B$3:$I$1238,8,0)</f>
        <v>-4.0088863647746997E-4</v>
      </c>
      <c r="R620" s="8">
        <f>+VLOOKUP($B620,NIFTY_ENERGY!$B$3:$I$1238,8,0)</f>
        <v>3.3371170534124417E-3</v>
      </c>
      <c r="S620" s="8">
        <f>+VLOOKUP($B620,NIFTY_AUTO!$B$3:$I$1238,8,0)</f>
        <v>-7.6438820977786648E-4</v>
      </c>
      <c r="T620" s="8">
        <v>0</v>
      </c>
      <c r="U620" s="8">
        <f>+VLOOKUP($B620,NIFTY_50!$B$63:$K$1238,10,0)</f>
        <v>1.7377830140354433E-2</v>
      </c>
      <c r="V620" s="8">
        <f>+VLOOKUP($B620,NIFTY_BANK!$B$63:$K$1238,10,0)</f>
        <v>3.3868403930256807E-2</v>
      </c>
      <c r="W620" s="8">
        <f>+VLOOKUP($B620,NIFTY_IT!$B$63:$K$1238,10,0)</f>
        <v>-3.7996297315553429E-3</v>
      </c>
      <c r="X620" s="8">
        <f>+VLOOKUP($B620,NIFTY_PHARMA!$B$63:$K$1238,10,0)</f>
        <v>-0.12958550922614409</v>
      </c>
      <c r="Y620" s="8">
        <f>+VLOOKUP($B620,NIFTY_FMCG!$B$63:$K$1238,10,0)</f>
        <v>-8.662211973138878E-3</v>
      </c>
      <c r="Z620" s="8">
        <f>+VLOOKUP($B620,NIFTY_METAL!$B$63:$K$1238,10,0)</f>
        <v>-3.1384545660548269E-2</v>
      </c>
      <c r="AA620" s="8">
        <f>+VLOOKUP($B620,NIFTY_ENERGY!$B$63:$K$1238,10,0)</f>
        <v>-2.106091324477255E-2</v>
      </c>
      <c r="AB620" s="8">
        <f>+VLOOKUP($B620,NIFTY_AUTO!$B$63:$K$1238,10,0)</f>
        <v>-5.4654704090871586E-2</v>
      </c>
      <c r="AC620" s="8"/>
      <c r="AD620" s="16">
        <f t="shared" si="342"/>
        <v>6.8253900275757978E-2</v>
      </c>
      <c r="AE620" s="8">
        <f t="shared" si="343"/>
        <v>8.8433921413717975E-2</v>
      </c>
      <c r="AF620" s="8">
        <f t="shared" si="344"/>
        <v>6.4479975883576887E-2</v>
      </c>
      <c r="AG620" s="8">
        <f t="shared" si="345"/>
        <v>8.395830974238358E-2</v>
      </c>
      <c r="AH620" s="8">
        <f t="shared" si="346"/>
        <v>5.6771828276889438E-2</v>
      </c>
      <c r="AI620" s="8">
        <f t="shared" si="347"/>
        <v>0.10665121108741839</v>
      </c>
      <c r="AJ620" s="8">
        <f t="shared" si="348"/>
        <v>9.2354506658988839E-2</v>
      </c>
      <c r="AK620" s="8">
        <f t="shared" si="349"/>
        <v>9.5495444590778508E-2</v>
      </c>
      <c r="AL620" s="9">
        <v>0</v>
      </c>
      <c r="AM620" s="17">
        <f t="shared" si="326"/>
        <v>14.651177382681736</v>
      </c>
      <c r="AN620" s="13">
        <f t="shared" si="327"/>
        <v>11.307878063234668</v>
      </c>
      <c r="AO620" s="13">
        <f t="shared" si="328"/>
        <v>15.508690663991098</v>
      </c>
      <c r="AP620" s="13">
        <f t="shared" si="329"/>
        <v>11.910673321894938</v>
      </c>
      <c r="AQ620" s="13">
        <f t="shared" si="330"/>
        <v>17.614370196477854</v>
      </c>
      <c r="AR620" s="13">
        <f t="shared" si="331"/>
        <v>9.376358597375269</v>
      </c>
      <c r="AS620" s="13">
        <f t="shared" si="332"/>
        <v>10.827841934042429</v>
      </c>
      <c r="AT620" s="13">
        <f t="shared" si="333"/>
        <v>10.471703695241654</v>
      </c>
      <c r="AU620" s="9">
        <v>0</v>
      </c>
      <c r="AV620" s="18">
        <f t="shared" si="350"/>
        <v>3</v>
      </c>
      <c r="AW620" s="18">
        <f t="shared" si="351"/>
        <v>5</v>
      </c>
      <c r="AX620" s="18">
        <f t="shared" si="352"/>
        <v>2</v>
      </c>
      <c r="AY620" s="18">
        <f t="shared" si="353"/>
        <v>4</v>
      </c>
      <c r="AZ620" s="18">
        <f t="shared" si="354"/>
        <v>1</v>
      </c>
      <c r="BA620" s="18">
        <f t="shared" si="355"/>
        <v>8</v>
      </c>
      <c r="BB620" s="18">
        <f t="shared" si="356"/>
        <v>6</v>
      </c>
      <c r="BC620" s="18">
        <f t="shared" si="357"/>
        <v>7</v>
      </c>
      <c r="BD620" s="18">
        <f t="shared" si="358"/>
        <v>9</v>
      </c>
      <c r="BE620" s="8">
        <f t="shared" si="360"/>
        <v>-1.5815458138466296E-3</v>
      </c>
    </row>
    <row r="621" spans="1:57" x14ac:dyDescent="0.25">
      <c r="A621" t="str">
        <f t="shared" si="359"/>
        <v/>
      </c>
      <c r="B621" s="1">
        <v>43650</v>
      </c>
      <c r="C621" s="9">
        <f t="shared" si="334"/>
        <v>0.251892896863114</v>
      </c>
      <c r="D621" s="9">
        <f t="shared" si="335"/>
        <v>0</v>
      </c>
      <c r="E621" s="9">
        <f t="shared" si="336"/>
        <v>0.2486564357550867</v>
      </c>
      <c r="F621" s="9">
        <f t="shared" si="337"/>
        <v>0.24799809531322667</v>
      </c>
      <c r="G621" s="9">
        <f t="shared" si="338"/>
        <v>0.25145257206857274</v>
      </c>
      <c r="H621" s="9">
        <f t="shared" si="339"/>
        <v>0</v>
      </c>
      <c r="I621" s="9">
        <f t="shared" si="340"/>
        <v>0</v>
      </c>
      <c r="J621" s="9">
        <f t="shared" si="341"/>
        <v>0</v>
      </c>
      <c r="K621" s="9">
        <v>0</v>
      </c>
      <c r="L621" s="8">
        <f>+VLOOKUP($B621,NIFTY_50!$B$3:$I$1238,8,0)</f>
        <v>2.5174649128327786E-3</v>
      </c>
      <c r="M621" s="8">
        <f>+VLOOKUP($B621,NIFTY_BANK!$B$3:$I$41238,8,0)</f>
        <v>2.8535193405199166E-3</v>
      </c>
      <c r="N621" s="8">
        <f>+VLOOKUP($B621,NIFTY_IT!$B$3:$I$1238,8,0)</f>
        <v>9.2606253904370384E-4</v>
      </c>
      <c r="O621" s="8">
        <f>+VLOOKUP($B621,NIFTY_PHARMA!$B$3:$I$1238,8,0)</f>
        <v>-5.6103408220260498E-3</v>
      </c>
      <c r="P621" s="8">
        <f>+VLOOKUP($B621,NIFTY_FMCG!$B$3:$I$1238,8,0)</f>
        <v>2.5760876674834066E-3</v>
      </c>
      <c r="Q621" s="8">
        <f>+VLOOKUP($B621,NIFTY_METAL!$B$3:$I$1238,8,0)</f>
        <v>-9.9092625703925963E-3</v>
      </c>
      <c r="R621" s="8">
        <f>+VLOOKUP($B621,NIFTY_ENERGY!$B$3:$I$1238,8,0)</f>
        <v>1.7402862353559367E-3</v>
      </c>
      <c r="S621" s="8">
        <f>+VLOOKUP($B621,NIFTY_AUTO!$B$3:$I$1238,8,0)</f>
        <v>4.6893463523851597E-3</v>
      </c>
      <c r="T621" s="8">
        <v>0</v>
      </c>
      <c r="U621" s="8">
        <f>+VLOOKUP($B621,NIFTY_50!$B$63:$K$1238,10,0)</f>
        <v>2.6004921010481796E-2</v>
      </c>
      <c r="V621" s="8">
        <f>+VLOOKUP($B621,NIFTY_BANK!$B$63:$K$1238,10,0)</f>
        <v>4.5809200054497179E-2</v>
      </c>
      <c r="W621" s="8">
        <f>+VLOOKUP($B621,NIFTY_IT!$B$63:$K$1238,10,0)</f>
        <v>-1.2873560338159118E-3</v>
      </c>
      <c r="X621" s="8">
        <f>+VLOOKUP($B621,NIFTY_PHARMA!$B$63:$K$1238,10,0)</f>
        <v>-0.12347091053669257</v>
      </c>
      <c r="Y621" s="8">
        <f>+VLOOKUP($B621,NIFTY_FMCG!$B$63:$K$1238,10,0)</f>
        <v>-2.6544095565417258E-3</v>
      </c>
      <c r="Z621" s="8">
        <f>+VLOOKUP($B621,NIFTY_METAL!$B$63:$K$1238,10,0)</f>
        <v>-3.9708265802269049E-2</v>
      </c>
      <c r="AA621" s="8">
        <f>+VLOOKUP($B621,NIFTY_ENERGY!$B$63:$K$1238,10,0)</f>
        <v>-3.3828146863361663E-3</v>
      </c>
      <c r="AB621" s="8">
        <f>+VLOOKUP($B621,NIFTY_AUTO!$B$63:$K$1238,10,0)</f>
        <v>-4.7573004427726606E-2</v>
      </c>
      <c r="AC621" s="8"/>
      <c r="AD621" s="16">
        <f t="shared" si="342"/>
        <v>6.7995680657093549E-2</v>
      </c>
      <c r="AE621" s="8">
        <f t="shared" si="343"/>
        <v>8.7969776415742218E-2</v>
      </c>
      <c r="AF621" s="8">
        <f t="shared" si="344"/>
        <v>6.4467275733084528E-2</v>
      </c>
      <c r="AG621" s="8">
        <f t="shared" si="345"/>
        <v>8.3384518218350856E-2</v>
      </c>
      <c r="AH621" s="8">
        <f t="shared" si="346"/>
        <v>5.6731733120364503E-2</v>
      </c>
      <c r="AI621" s="8">
        <f t="shared" si="347"/>
        <v>0.10706227414451421</v>
      </c>
      <c r="AJ621" s="8">
        <f t="shared" si="348"/>
        <v>9.0995682385351745E-2</v>
      </c>
      <c r="AK621" s="8">
        <f t="shared" si="349"/>
        <v>9.5631438207288297E-2</v>
      </c>
      <c r="AL621" s="9">
        <v>0</v>
      </c>
      <c r="AM621" s="17">
        <f t="shared" si="326"/>
        <v>14.706816526229986</v>
      </c>
      <c r="AN621" s="13">
        <f t="shared" si="327"/>
        <v>11.36754054340247</v>
      </c>
      <c r="AO621" s="13">
        <f t="shared" si="328"/>
        <v>15.511745899428494</v>
      </c>
      <c r="AP621" s="13">
        <f t="shared" si="329"/>
        <v>11.99263390095267</v>
      </c>
      <c r="AQ621" s="13">
        <f t="shared" si="330"/>
        <v>17.626819153900282</v>
      </c>
      <c r="AR621" s="13">
        <f t="shared" si="331"/>
        <v>9.3403582913826906</v>
      </c>
      <c r="AS621" s="13">
        <f t="shared" si="332"/>
        <v>10.989532401825006</v>
      </c>
      <c r="AT621" s="13">
        <f t="shared" si="333"/>
        <v>10.456812307187363</v>
      </c>
      <c r="AU621" s="9">
        <v>0</v>
      </c>
      <c r="AV621" s="18">
        <f t="shared" si="350"/>
        <v>3</v>
      </c>
      <c r="AW621" s="18">
        <f t="shared" si="351"/>
        <v>5</v>
      </c>
      <c r="AX621" s="18">
        <f t="shared" si="352"/>
        <v>2</v>
      </c>
      <c r="AY621" s="18">
        <f t="shared" si="353"/>
        <v>4</v>
      </c>
      <c r="AZ621" s="18">
        <f t="shared" si="354"/>
        <v>1</v>
      </c>
      <c r="BA621" s="18">
        <f t="shared" si="355"/>
        <v>8</v>
      </c>
      <c r="BB621" s="18">
        <f t="shared" si="356"/>
        <v>6</v>
      </c>
      <c r="BC621" s="18">
        <f t="shared" si="357"/>
        <v>7</v>
      </c>
      <c r="BD621" s="18">
        <f t="shared" si="358"/>
        <v>9</v>
      </c>
      <c r="BE621" s="8">
        <f t="shared" si="360"/>
        <v>1.0950509905531948E-4</v>
      </c>
    </row>
    <row r="622" spans="1:57" x14ac:dyDescent="0.25">
      <c r="A622" t="str">
        <f t="shared" si="359"/>
        <v/>
      </c>
      <c r="B622" s="1">
        <v>43651</v>
      </c>
      <c r="C622" s="9">
        <f t="shared" si="334"/>
        <v>0.25205373183846214</v>
      </c>
      <c r="D622" s="9">
        <f t="shared" si="335"/>
        <v>0</v>
      </c>
      <c r="E622" s="9">
        <f t="shared" si="336"/>
        <v>0.24547801000753169</v>
      </c>
      <c r="F622" s="9">
        <f t="shared" si="337"/>
        <v>0.24725290540317252</v>
      </c>
      <c r="G622" s="9">
        <f t="shared" si="338"/>
        <v>0.25521535275083362</v>
      </c>
      <c r="H622" s="9">
        <f t="shared" si="339"/>
        <v>0</v>
      </c>
      <c r="I622" s="9">
        <f t="shared" si="340"/>
        <v>0</v>
      </c>
      <c r="J622" s="9">
        <f t="shared" si="341"/>
        <v>0</v>
      </c>
      <c r="K622" s="9">
        <v>0</v>
      </c>
      <c r="L622" s="8">
        <f>+VLOOKUP($B622,NIFTY_50!$B$3:$I$1238,8,0)</f>
        <v>-1.1350367254692739E-2</v>
      </c>
      <c r="M622" s="8">
        <f>+VLOOKUP($B622,NIFTY_BANK!$B$3:$I$41238,8,0)</f>
        <v>1.2550898660235177E-4</v>
      </c>
      <c r="N622" s="8">
        <f>+VLOOKUP($B622,NIFTY_IT!$B$3:$I$1238,8,0)</f>
        <v>-2.4610472701726227E-2</v>
      </c>
      <c r="O622" s="8">
        <f>+VLOOKUP($B622,NIFTY_PHARMA!$B$3:$I$1238,8,0)</f>
        <v>-1.4950042252821039E-2</v>
      </c>
      <c r="P622" s="8">
        <f>+VLOOKUP($B622,NIFTY_FMCG!$B$3:$I$1238,8,0)</f>
        <v>2.8036648382623319E-3</v>
      </c>
      <c r="Q622" s="8">
        <f>+VLOOKUP($B622,NIFTY_METAL!$B$3:$I$1238,8,0)</f>
        <v>-3.7552742616033807E-2</v>
      </c>
      <c r="R622" s="8">
        <f>+VLOOKUP($B622,NIFTY_ENERGY!$B$3:$I$1238,8,0)</f>
        <v>-2.3775507370253024E-2</v>
      </c>
      <c r="S622" s="8">
        <f>+VLOOKUP($B622,NIFTY_AUTO!$B$3:$I$1238,8,0)</f>
        <v>-2.8239984152924169E-2</v>
      </c>
      <c r="T622" s="8">
        <v>0</v>
      </c>
      <c r="U622" s="8">
        <f>+VLOOKUP($B622,NIFTY_50!$B$63:$K$1238,10,0)</f>
        <v>1.8378168649767268E-2</v>
      </c>
      <c r="V622" s="8">
        <f>+VLOOKUP($B622,NIFTY_BANK!$B$63:$K$1238,10,0)</f>
        <v>5.2529852967239332E-2</v>
      </c>
      <c r="W622" s="8">
        <f>+VLOOKUP($B622,NIFTY_IT!$B$63:$K$1238,10,0)</f>
        <v>-1.2369163152278873E-2</v>
      </c>
      <c r="X622" s="8">
        <f>+VLOOKUP($B622,NIFTY_PHARMA!$B$63:$K$1238,10,0)</f>
        <v>-0.144320659800937</v>
      </c>
      <c r="Y622" s="8">
        <f>+VLOOKUP($B622,NIFTY_FMCG!$B$63:$K$1238,10,0)</f>
        <v>-8.4837009603755398E-4</v>
      </c>
      <c r="Z622" s="8">
        <f>+VLOOKUP($B622,NIFTY_METAL!$B$63:$K$1238,10,0)</f>
        <v>-7.1828510042644678E-2</v>
      </c>
      <c r="AA622" s="8">
        <f>+VLOOKUP($B622,NIFTY_ENERGY!$B$63:$K$1238,10,0)</f>
        <v>-1.8746200513628519E-2</v>
      </c>
      <c r="AB622" s="8">
        <f>+VLOOKUP($B622,NIFTY_AUTO!$B$63:$K$1238,10,0)</f>
        <v>-8.0508648309874808E-2</v>
      </c>
      <c r="AC622" s="8"/>
      <c r="AD622" s="16">
        <f t="shared" si="342"/>
        <v>6.8866267069714229E-2</v>
      </c>
      <c r="AE622" s="8">
        <f t="shared" si="343"/>
        <v>8.7684939850054947E-2</v>
      </c>
      <c r="AF622" s="8">
        <f t="shared" si="344"/>
        <v>6.7625923883444225E-2</v>
      </c>
      <c r="AG622" s="8">
        <f t="shared" si="345"/>
        <v>8.3571834566071937E-2</v>
      </c>
      <c r="AH622" s="8">
        <f t="shared" si="346"/>
        <v>5.6792400557099679E-2</v>
      </c>
      <c r="AI622" s="8">
        <f t="shared" si="347"/>
        <v>0.11312970051973638</v>
      </c>
      <c r="AJ622" s="8">
        <f t="shared" si="348"/>
        <v>9.3647910856599001E-2</v>
      </c>
      <c r="AK622" s="8">
        <f t="shared" si="349"/>
        <v>9.9143579533225529E-2</v>
      </c>
      <c r="AL622" s="9">
        <v>0</v>
      </c>
      <c r="AM622" s="17">
        <f t="shared" si="326"/>
        <v>14.520897422647968</v>
      </c>
      <c r="AN622" s="13">
        <f t="shared" si="327"/>
        <v>11.404466966733892</v>
      </c>
      <c r="AO622" s="13">
        <f t="shared" si="328"/>
        <v>14.787228662835526</v>
      </c>
      <c r="AP622" s="13">
        <f t="shared" si="329"/>
        <v>11.965753835514995</v>
      </c>
      <c r="AQ622" s="13">
        <f t="shared" si="330"/>
        <v>17.607989628728397</v>
      </c>
      <c r="AR622" s="13">
        <f t="shared" si="331"/>
        <v>8.8394117142168334</v>
      </c>
      <c r="AS622" s="13">
        <f t="shared" si="332"/>
        <v>10.678294805009353</v>
      </c>
      <c r="AT622" s="13">
        <f t="shared" si="333"/>
        <v>10.086381838421262</v>
      </c>
      <c r="AU622" s="9">
        <v>0</v>
      </c>
      <c r="AV622" s="18">
        <f t="shared" si="350"/>
        <v>3</v>
      </c>
      <c r="AW622" s="18">
        <f t="shared" si="351"/>
        <v>5</v>
      </c>
      <c r="AX622" s="18">
        <f t="shared" si="352"/>
        <v>2</v>
      </c>
      <c r="AY622" s="18">
        <f t="shared" si="353"/>
        <v>4</v>
      </c>
      <c r="AZ622" s="18">
        <f t="shared" si="354"/>
        <v>1</v>
      </c>
      <c r="BA622" s="18">
        <f t="shared" si="355"/>
        <v>8</v>
      </c>
      <c r="BB622" s="18">
        <f t="shared" si="356"/>
        <v>6</v>
      </c>
      <c r="BC622" s="18">
        <f t="shared" si="357"/>
        <v>7</v>
      </c>
      <c r="BD622" s="18">
        <f t="shared" si="358"/>
        <v>9</v>
      </c>
      <c r="BE622" s="8">
        <f t="shared" si="360"/>
        <v>-1.1981222581256482E-2</v>
      </c>
    </row>
    <row r="623" spans="1:57" x14ac:dyDescent="0.25">
      <c r="A623" t="str">
        <f t="shared" si="359"/>
        <v/>
      </c>
      <c r="B623" s="1">
        <v>43654</v>
      </c>
      <c r="C623" s="9">
        <f t="shared" si="334"/>
        <v>0.25048466355104188</v>
      </c>
      <c r="D623" s="9">
        <f t="shared" si="335"/>
        <v>0</v>
      </c>
      <c r="E623" s="9">
        <f t="shared" si="336"/>
        <v>0.24648990270682311</v>
      </c>
      <c r="F623" s="9">
        <f t="shared" si="337"/>
        <v>0.2471308302139732</v>
      </c>
      <c r="G623" s="9">
        <f t="shared" si="338"/>
        <v>0.25589460352816185</v>
      </c>
      <c r="H623" s="9">
        <f t="shared" si="339"/>
        <v>0</v>
      </c>
      <c r="I623" s="9">
        <f t="shared" si="340"/>
        <v>0</v>
      </c>
      <c r="J623" s="9">
        <f t="shared" si="341"/>
        <v>0</v>
      </c>
      <c r="K623" s="9">
        <v>0</v>
      </c>
      <c r="L623" s="8">
        <f>+VLOOKUP($B623,NIFTY_50!$B$3:$I$1238,8,0)</f>
        <v>-2.1382337875651358E-2</v>
      </c>
      <c r="M623" s="8">
        <f>+VLOOKUP($B623,NIFTY_BANK!$B$3:$I$41238,8,0)</f>
        <v>-2.770223473271527E-2</v>
      </c>
      <c r="N623" s="8">
        <f>+VLOOKUP($B623,NIFTY_IT!$B$3:$I$1238,8,0)</f>
        <v>-1.1192890055015892E-2</v>
      </c>
      <c r="O623" s="8">
        <f>+VLOOKUP($B623,NIFTY_PHARMA!$B$3:$I$1238,8,0)</f>
        <v>-1.5738346054374519E-2</v>
      </c>
      <c r="P623" s="8">
        <f>+VLOOKUP($B623,NIFTY_FMCG!$B$3:$I$1238,8,0)</f>
        <v>-1.263126287606442E-2</v>
      </c>
      <c r="Q623" s="8">
        <f>+VLOOKUP($B623,NIFTY_METAL!$B$3:$I$1238,8,0)</f>
        <v>-2.106093818500665E-2</v>
      </c>
      <c r="R623" s="8">
        <f>+VLOOKUP($B623,NIFTY_ENERGY!$B$3:$I$1238,8,0)</f>
        <v>-2.7717721134880802E-2</v>
      </c>
      <c r="S623" s="8">
        <f>+VLOOKUP($B623,NIFTY_AUTO!$B$3:$I$1238,8,0)</f>
        <v>-3.2589723662585501E-2</v>
      </c>
      <c r="T623" s="8">
        <v>0</v>
      </c>
      <c r="U623" s="8">
        <f>+VLOOKUP($B623,NIFTY_50!$B$63:$K$1238,10,0)</f>
        <v>-9.2019938367643439E-3</v>
      </c>
      <c r="V623" s="8">
        <f>+VLOOKUP($B623,NIFTY_BANK!$B$63:$K$1238,10,0)</f>
        <v>1.7257970426779012E-2</v>
      </c>
      <c r="W623" s="8">
        <f>+VLOOKUP($B623,NIFTY_IT!$B$63:$K$1238,10,0)</f>
        <v>-3.4355855191059437E-2</v>
      </c>
      <c r="X623" s="8">
        <f>+VLOOKUP($B623,NIFTY_PHARMA!$B$63:$K$1238,10,0)</f>
        <v>-0.15852796997265828</v>
      </c>
      <c r="Y623" s="8">
        <f>+VLOOKUP($B623,NIFTY_FMCG!$B$63:$K$1238,10,0)</f>
        <v>-9.190084083410488E-3</v>
      </c>
      <c r="Z623" s="8">
        <f>+VLOOKUP($B623,NIFTY_METAL!$B$63:$K$1238,10,0)</f>
        <v>-0.10891183935383975</v>
      </c>
      <c r="AA623" s="8">
        <f>+VLOOKUP($B623,NIFTY_ENERGY!$B$63:$K$1238,10,0)</f>
        <v>-4.8944281434255998E-2</v>
      </c>
      <c r="AB623" s="8">
        <f>+VLOOKUP($B623,NIFTY_AUTO!$B$63:$K$1238,10,0)</f>
        <v>-0.11340868225019263</v>
      </c>
      <c r="AC623" s="8"/>
      <c r="AD623" s="16">
        <f t="shared" si="342"/>
        <v>7.1914177377918623E-2</v>
      </c>
      <c r="AE623" s="8">
        <f t="shared" si="343"/>
        <v>9.1989853367409835E-2</v>
      </c>
      <c r="AF623" s="8">
        <f t="shared" si="344"/>
        <v>6.7487578827786748E-2</v>
      </c>
      <c r="AG623" s="8">
        <f t="shared" si="345"/>
        <v>8.4520677729787941E-2</v>
      </c>
      <c r="AH623" s="8">
        <f t="shared" si="346"/>
        <v>5.8011634538304303E-2</v>
      </c>
      <c r="AI623" s="8">
        <f t="shared" si="347"/>
        <v>0.11285604213029075</v>
      </c>
      <c r="AJ623" s="8">
        <f t="shared" si="348"/>
        <v>9.7457164564581769E-2</v>
      </c>
      <c r="AK623" s="8">
        <f t="shared" si="349"/>
        <v>0.10376169951043758</v>
      </c>
      <c r="AL623" s="9">
        <v>0</v>
      </c>
      <c r="AM623" s="17">
        <f t="shared" si="326"/>
        <v>13.905463935780928</v>
      </c>
      <c r="AN623" s="13">
        <f t="shared" si="327"/>
        <v>10.870764148367259</v>
      </c>
      <c r="AO623" s="13">
        <f t="shared" si="328"/>
        <v>14.817541499774011</v>
      </c>
      <c r="AP623" s="13">
        <f t="shared" si="329"/>
        <v>11.831424295921922</v>
      </c>
      <c r="AQ623" s="13">
        <f t="shared" si="330"/>
        <v>17.237921461077146</v>
      </c>
      <c r="AR623" s="13">
        <f t="shared" si="331"/>
        <v>8.8608459159458537</v>
      </c>
      <c r="AS623" s="13">
        <f t="shared" si="332"/>
        <v>10.260918265658466</v>
      </c>
      <c r="AT623" s="13">
        <f t="shared" si="333"/>
        <v>9.6374674346906595</v>
      </c>
      <c r="AU623" s="9">
        <v>0</v>
      </c>
      <c r="AV623" s="18">
        <f t="shared" si="350"/>
        <v>3</v>
      </c>
      <c r="AW623" s="18">
        <f t="shared" si="351"/>
        <v>5</v>
      </c>
      <c r="AX623" s="18">
        <f t="shared" si="352"/>
        <v>2</v>
      </c>
      <c r="AY623" s="18">
        <f t="shared" si="353"/>
        <v>4</v>
      </c>
      <c r="AZ623" s="18">
        <f t="shared" si="354"/>
        <v>1</v>
      </c>
      <c r="BA623" s="18">
        <f t="shared" si="355"/>
        <v>8</v>
      </c>
      <c r="BB623" s="18">
        <f t="shared" si="356"/>
        <v>6</v>
      </c>
      <c r="BC623" s="18">
        <f t="shared" si="357"/>
        <v>7</v>
      </c>
      <c r="BD623" s="18">
        <f t="shared" si="358"/>
        <v>9</v>
      </c>
      <c r="BE623" s="8">
        <f t="shared" si="360"/>
        <v>-1.5252150432715158E-2</v>
      </c>
    </row>
    <row r="624" spans="1:57" x14ac:dyDescent="0.25">
      <c r="A624" t="str">
        <f t="shared" si="359"/>
        <v/>
      </c>
      <c r="B624" s="1">
        <v>43655</v>
      </c>
      <c r="C624" s="9">
        <f t="shared" si="334"/>
        <v>0.2498535591658467</v>
      </c>
      <c r="D624" s="9">
        <f t="shared" si="335"/>
        <v>0</v>
      </c>
      <c r="E624" s="9">
        <f t="shared" si="336"/>
        <v>0.24398301847241441</v>
      </c>
      <c r="F624" s="9">
        <f t="shared" si="337"/>
        <v>0.25321207317132016</v>
      </c>
      <c r="G624" s="9">
        <f t="shared" si="338"/>
        <v>0.25295134919041873</v>
      </c>
      <c r="H624" s="9">
        <f t="shared" si="339"/>
        <v>0</v>
      </c>
      <c r="I624" s="9">
        <f t="shared" si="340"/>
        <v>0</v>
      </c>
      <c r="J624" s="9">
        <f t="shared" si="341"/>
        <v>0</v>
      </c>
      <c r="K624" s="9">
        <v>0</v>
      </c>
      <c r="L624" s="8">
        <f>+VLOOKUP($B624,NIFTY_50!$B$3:$I$1238,8,0)</f>
        <v>-2.335923035662324E-4</v>
      </c>
      <c r="M624" s="8">
        <f>+VLOOKUP($B624,NIFTY_BANK!$B$3:$I$41238,8,0)</f>
        <v>-1.1338442712272023E-3</v>
      </c>
      <c r="N624" s="8">
        <f>+VLOOKUP($B624,NIFTY_IT!$B$3:$I$1238,8,0)</f>
        <v>-7.901925078043659E-3</v>
      </c>
      <c r="O624" s="8">
        <f>+VLOOKUP($B624,NIFTY_PHARMA!$B$3:$I$1238,8,0)</f>
        <v>2.6955490755279365E-2</v>
      </c>
      <c r="P624" s="8">
        <f>+VLOOKUP($B624,NIFTY_FMCG!$B$3:$I$1238,8,0)</f>
        <v>-9.2364667262495592E-3</v>
      </c>
      <c r="Q624" s="8">
        <f>+VLOOKUP($B624,NIFTY_METAL!$B$3:$I$1238,8,0)</f>
        <v>-1.1285468615648275E-3</v>
      </c>
      <c r="R624" s="8">
        <f>+VLOOKUP($B624,NIFTY_ENERGY!$B$3:$I$1238,8,0)</f>
        <v>1.3494842310930677E-2</v>
      </c>
      <c r="S624" s="8">
        <f>+VLOOKUP($B624,NIFTY_AUTO!$B$3:$I$1238,8,0)</f>
        <v>0</v>
      </c>
      <c r="T624" s="8">
        <v>0</v>
      </c>
      <c r="U624" s="8">
        <f>+VLOOKUP($B624,NIFTY_50!$B$63:$K$1238,10,0)</f>
        <v>-4.1880305054073919E-3</v>
      </c>
      <c r="V624" s="8">
        <f>+VLOOKUP($B624,NIFTY_BANK!$B$63:$K$1238,10,0)</f>
        <v>2.4253400032836048E-2</v>
      </c>
      <c r="W624" s="8">
        <f>+VLOOKUP($B624,NIFTY_IT!$B$63:$K$1238,10,0)</f>
        <v>-4.8274140969850055E-2</v>
      </c>
      <c r="X624" s="8">
        <f>+VLOOKUP($B624,NIFTY_PHARMA!$B$63:$K$1238,10,0)</f>
        <v>-0.13326085310312741</v>
      </c>
      <c r="Y624" s="8">
        <f>+VLOOKUP($B624,NIFTY_FMCG!$B$63:$K$1238,10,0)</f>
        <v>-1.6210666527984974E-2</v>
      </c>
      <c r="Z624" s="8">
        <f>+VLOOKUP($B624,NIFTY_METAL!$B$63:$K$1238,10,0)</f>
        <v>-0.10112196537382712</v>
      </c>
      <c r="AA624" s="8">
        <f>+VLOOKUP($B624,NIFTY_ENERGY!$B$63:$K$1238,10,0)</f>
        <v>-2.4763346743163162E-2</v>
      </c>
      <c r="AB624" s="8">
        <f>+VLOOKUP($B624,NIFTY_AUTO!$B$63:$K$1238,10,0)</f>
        <v>-0.1094261285669047</v>
      </c>
      <c r="AC624" s="8"/>
      <c r="AD624" s="16">
        <f t="shared" si="342"/>
        <v>7.1726165969307476E-2</v>
      </c>
      <c r="AE624" s="8">
        <f t="shared" si="343"/>
        <v>9.1621998946291916E-2</v>
      </c>
      <c r="AF624" s="8">
        <f t="shared" si="344"/>
        <v>6.7486103957601171E-2</v>
      </c>
      <c r="AG624" s="8">
        <f t="shared" si="345"/>
        <v>8.9512094016612004E-2</v>
      </c>
      <c r="AH624" s="8">
        <f t="shared" si="346"/>
        <v>5.8680484124081778E-2</v>
      </c>
      <c r="AI624" s="8">
        <f t="shared" si="347"/>
        <v>0.11256853663702771</v>
      </c>
      <c r="AJ624" s="8">
        <f t="shared" si="348"/>
        <v>9.7835153627551991E-2</v>
      </c>
      <c r="AK624" s="8">
        <f t="shared" si="349"/>
        <v>0.10374492404533785</v>
      </c>
      <c r="AL624" s="9">
        <v>0</v>
      </c>
      <c r="AM624" s="17">
        <f t="shared" si="326"/>
        <v>13.941913477264524</v>
      </c>
      <c r="AN624" s="13">
        <f t="shared" si="327"/>
        <v>10.914409328552109</v>
      </c>
      <c r="AO624" s="13">
        <f t="shared" si="328"/>
        <v>14.8178653286647</v>
      </c>
      <c r="AP624" s="13">
        <f t="shared" si="329"/>
        <v>11.171674743911321</v>
      </c>
      <c r="AQ624" s="13">
        <f t="shared" si="330"/>
        <v>17.041440862782721</v>
      </c>
      <c r="AR624" s="13">
        <f t="shared" si="331"/>
        <v>8.8834769454670628</v>
      </c>
      <c r="AS624" s="13">
        <f t="shared" si="332"/>
        <v>10.22127489886604</v>
      </c>
      <c r="AT624" s="13">
        <f t="shared" si="333"/>
        <v>9.639025804896125</v>
      </c>
      <c r="AU624" s="9">
        <v>0</v>
      </c>
      <c r="AV624" s="18">
        <f t="shared" si="350"/>
        <v>3</v>
      </c>
      <c r="AW624" s="18">
        <f t="shared" si="351"/>
        <v>5</v>
      </c>
      <c r="AX624" s="18">
        <f t="shared" si="352"/>
        <v>2</v>
      </c>
      <c r="AY624" s="18">
        <f t="shared" si="353"/>
        <v>4</v>
      </c>
      <c r="AZ624" s="18">
        <f t="shared" si="354"/>
        <v>1</v>
      </c>
      <c r="BA624" s="18">
        <f t="shared" si="355"/>
        <v>8</v>
      </c>
      <c r="BB624" s="18">
        <f t="shared" si="356"/>
        <v>6</v>
      </c>
      <c r="BC624" s="18">
        <f t="shared" si="357"/>
        <v>7</v>
      </c>
      <c r="BD624" s="18">
        <f t="shared" si="358"/>
        <v>9</v>
      </c>
      <c r="BE624" s="8">
        <f t="shared" si="360"/>
        <v>2.2917147850120912E-3</v>
      </c>
    </row>
    <row r="625" spans="1:57" x14ac:dyDescent="0.25">
      <c r="A625" t="str">
        <f t="shared" si="359"/>
        <v/>
      </c>
      <c r="B625" s="1">
        <v>43656</v>
      </c>
      <c r="C625" s="9">
        <f t="shared" si="334"/>
        <v>0.2496521457813396</v>
      </c>
      <c r="D625" s="9">
        <f t="shared" si="335"/>
        <v>0</v>
      </c>
      <c r="E625" s="9">
        <f t="shared" si="336"/>
        <v>0.24361518903404847</v>
      </c>
      <c r="F625" s="9">
        <f t="shared" si="337"/>
        <v>0.25418118762544084</v>
      </c>
      <c r="G625" s="9">
        <f t="shared" si="338"/>
        <v>0.25255147755917107</v>
      </c>
      <c r="H625" s="9">
        <f t="shared" si="339"/>
        <v>0</v>
      </c>
      <c r="I625" s="9">
        <f t="shared" si="340"/>
        <v>0</v>
      </c>
      <c r="J625" s="9">
        <f t="shared" si="341"/>
        <v>0</v>
      </c>
      <c r="K625" s="9">
        <v>0</v>
      </c>
      <c r="L625" s="8">
        <f>+VLOOKUP($B625,NIFTY_50!$B$3:$I$1238,8,0)</f>
        <v>-4.93254527990028E-3</v>
      </c>
      <c r="M625" s="8">
        <f>+VLOOKUP($B625,NIFTY_BANK!$B$3:$I$41238,8,0)</f>
        <v>-1.5391334073732166E-3</v>
      </c>
      <c r="N625" s="8">
        <f>+VLOOKUP($B625,NIFTY_IT!$B$3:$I$1238,8,0)</f>
        <v>-5.6311252417319269E-3</v>
      </c>
      <c r="O625" s="8">
        <f>+VLOOKUP($B625,NIFTY_PHARMA!$B$3:$I$1238,8,0)</f>
        <v>-3.1827060490141612E-4</v>
      </c>
      <c r="P625" s="8">
        <f>+VLOOKUP($B625,NIFTY_FMCG!$B$3:$I$1238,8,0)</f>
        <v>-5.7040445000733353E-3</v>
      </c>
      <c r="Q625" s="8">
        <f>+VLOOKUP($B625,NIFTY_METAL!$B$3:$I$1238,8,0)</f>
        <v>-1.1334086547945876E-2</v>
      </c>
      <c r="R625" s="8">
        <f>+VLOOKUP($B625,NIFTY_ENERGY!$B$3:$I$1238,8,0)</f>
        <v>-7.7690457097032706E-3</v>
      </c>
      <c r="S625" s="8">
        <f>+VLOOKUP($B625,NIFTY_AUTO!$B$3:$I$1238,8,0)</f>
        <v>-1.0818748106883769E-2</v>
      </c>
      <c r="T625" s="8">
        <v>0</v>
      </c>
      <c r="U625" s="8">
        <f>+VLOOKUP($B625,NIFTY_50!$B$63:$K$1238,10,0)</f>
        <v>-1.4826143018090487E-2</v>
      </c>
      <c r="V625" s="8">
        <f>+VLOOKUP($B625,NIFTY_BANK!$B$63:$K$1238,10,0)</f>
        <v>1.355688495492946E-2</v>
      </c>
      <c r="W625" s="8">
        <f>+VLOOKUP($B625,NIFTY_IT!$B$63:$K$1238,10,0)</f>
        <v>-5.9113239380706672E-2</v>
      </c>
      <c r="X625" s="8">
        <f>+VLOOKUP($B625,NIFTY_PHARMA!$B$63:$K$1238,10,0)</f>
        <v>-0.14183622084364578</v>
      </c>
      <c r="Y625" s="8">
        <f>+VLOOKUP($B625,NIFTY_FMCG!$B$63:$K$1238,10,0)</f>
        <v>-2.8821506200188196E-2</v>
      </c>
      <c r="Z625" s="8">
        <f>+VLOOKUP($B625,NIFTY_METAL!$B$63:$K$1238,10,0)</f>
        <v>-0.12037081358798851</v>
      </c>
      <c r="AA625" s="8">
        <f>+VLOOKUP($B625,NIFTY_ENERGY!$B$63:$K$1238,10,0)</f>
        <v>-3.7455852379692844E-2</v>
      </c>
      <c r="AB625" s="8">
        <f>+VLOOKUP($B625,NIFTY_AUTO!$B$63:$K$1238,10,0)</f>
        <v>-0.12891984042306437</v>
      </c>
      <c r="AC625" s="8"/>
      <c r="AD625" s="16">
        <f t="shared" si="342"/>
        <v>7.1642999946309696E-2</v>
      </c>
      <c r="AE625" s="8">
        <f t="shared" si="343"/>
        <v>9.1235394377958273E-2</v>
      </c>
      <c r="AF625" s="8">
        <f t="shared" si="344"/>
        <v>6.7322318537396966E-2</v>
      </c>
      <c r="AG625" s="8">
        <f t="shared" si="345"/>
        <v>8.8723596404523555E-2</v>
      </c>
      <c r="AH625" s="8">
        <f t="shared" si="346"/>
        <v>5.8438610272006926E-2</v>
      </c>
      <c r="AI625" s="8">
        <f t="shared" si="347"/>
        <v>0.11231782945631309</v>
      </c>
      <c r="AJ625" s="8">
        <f t="shared" si="348"/>
        <v>9.7940361034684745E-2</v>
      </c>
      <c r="AK625" s="8">
        <f t="shared" si="349"/>
        <v>0.10326561628986625</v>
      </c>
      <c r="AL625" s="9">
        <v>0</v>
      </c>
      <c r="AM625" s="17">
        <f t="shared" si="326"/>
        <v>13.958097800893521</v>
      </c>
      <c r="AN625" s="13">
        <f t="shared" si="327"/>
        <v>10.960658490249173</v>
      </c>
      <c r="AO625" s="13">
        <f t="shared" si="328"/>
        <v>14.853915042223459</v>
      </c>
      <c r="AP625" s="13">
        <f t="shared" si="329"/>
        <v>11.270958803795912</v>
      </c>
      <c r="AQ625" s="13">
        <f t="shared" si="330"/>
        <v>17.111974349585392</v>
      </c>
      <c r="AR625" s="13">
        <f t="shared" si="331"/>
        <v>8.9033059563259975</v>
      </c>
      <c r="AS625" s="13">
        <f t="shared" si="332"/>
        <v>10.210295218800129</v>
      </c>
      <c r="AT625" s="13">
        <f t="shared" si="333"/>
        <v>9.6837653802694916</v>
      </c>
      <c r="AU625" s="9">
        <v>0</v>
      </c>
      <c r="AV625" s="18">
        <f t="shared" si="350"/>
        <v>3</v>
      </c>
      <c r="AW625" s="18">
        <f t="shared" si="351"/>
        <v>5</v>
      </c>
      <c r="AX625" s="18">
        <f t="shared" si="352"/>
        <v>2</v>
      </c>
      <c r="AY625" s="18">
        <f t="shared" si="353"/>
        <v>4</v>
      </c>
      <c r="AZ625" s="18">
        <f t="shared" si="354"/>
        <v>1</v>
      </c>
      <c r="BA625" s="18">
        <f t="shared" si="355"/>
        <v>8</v>
      </c>
      <c r="BB625" s="18">
        <f t="shared" si="356"/>
        <v>6</v>
      </c>
      <c r="BC625" s="18">
        <f t="shared" si="357"/>
        <v>7</v>
      </c>
      <c r="BD625" s="18">
        <f t="shared" si="358"/>
        <v>9</v>
      </c>
      <c r="BE625" s="8">
        <f t="shared" si="360"/>
        <v>-4.1297486396360576E-3</v>
      </c>
    </row>
    <row r="626" spans="1:57" x14ac:dyDescent="0.25">
      <c r="A626" t="str">
        <f t="shared" si="359"/>
        <v/>
      </c>
      <c r="B626" s="1">
        <v>43657</v>
      </c>
      <c r="C626" s="9">
        <f t="shared" si="334"/>
        <v>0.24973820234178298</v>
      </c>
      <c r="D626" s="9">
        <f t="shared" si="335"/>
        <v>0</v>
      </c>
      <c r="E626" s="9">
        <f t="shared" si="336"/>
        <v>0.24266073417294712</v>
      </c>
      <c r="F626" s="9">
        <f t="shared" si="337"/>
        <v>0.25559373174744854</v>
      </c>
      <c r="G626" s="9">
        <f t="shared" si="338"/>
        <v>0.25200733173782142</v>
      </c>
      <c r="H626" s="9">
        <f t="shared" si="339"/>
        <v>0</v>
      </c>
      <c r="I626" s="9">
        <f t="shared" si="340"/>
        <v>0</v>
      </c>
      <c r="J626" s="9">
        <f t="shared" si="341"/>
        <v>0</v>
      </c>
      <c r="K626" s="9">
        <v>0</v>
      </c>
      <c r="L626" s="8">
        <f>+VLOOKUP($B626,NIFTY_50!$B$3:$I$1238,8,0)</f>
        <v>7.3050465696717914E-3</v>
      </c>
      <c r="M626" s="8">
        <f>+VLOOKUP($B626,NIFTY_BANK!$B$3:$I$41238,8,0)</f>
        <v>6.3707936216708116E-3</v>
      </c>
      <c r="N626" s="8">
        <f>+VLOOKUP($B626,NIFTY_IT!$B$3:$I$1238,8,0)</f>
        <v>3.0128027636036059E-3</v>
      </c>
      <c r="O626" s="8">
        <f>+VLOOKUP($B626,NIFTY_PHARMA!$B$3:$I$1238,8,0)</f>
        <v>1.2553842312254204E-2</v>
      </c>
      <c r="P626" s="8">
        <f>+VLOOKUP($B626,NIFTY_FMCG!$B$3:$I$1238,8,0)</f>
        <v>4.7883570207227777E-3</v>
      </c>
      <c r="Q626" s="8">
        <f>+VLOOKUP($B626,NIFTY_METAL!$B$3:$I$1238,8,0)</f>
        <v>1.7703930780532895E-2</v>
      </c>
      <c r="R626" s="8">
        <f>+VLOOKUP($B626,NIFTY_ENERGY!$B$3:$I$1238,8,0)</f>
        <v>5.2533233331608642E-3</v>
      </c>
      <c r="S626" s="8">
        <f>+VLOOKUP($B626,NIFTY_AUTO!$B$3:$I$1238,8,0)</f>
        <v>1.8612329669890793E-2</v>
      </c>
      <c r="T626" s="8">
        <v>0</v>
      </c>
      <c r="U626" s="8">
        <f>+VLOOKUP($B626,NIFTY_50!$B$63:$K$1238,10,0)</f>
        <v>-1.2085322375976482E-4</v>
      </c>
      <c r="V626" s="8">
        <f>+VLOOKUP($B626,NIFTY_BANK!$B$63:$K$1238,10,0)</f>
        <v>3.063566359655745E-2</v>
      </c>
      <c r="W626" s="8">
        <f>+VLOOKUP($B626,NIFTY_IT!$B$63:$K$1238,10,0)</f>
        <v>-4.9055731085713927E-2</v>
      </c>
      <c r="X626" s="8">
        <f>+VLOOKUP($B626,NIFTY_PHARMA!$B$63:$K$1238,10,0)</f>
        <v>-0.1379532095366659</v>
      </c>
      <c r="Y626" s="8">
        <f>+VLOOKUP($B626,NIFTY_FMCG!$B$63:$K$1238,10,0)</f>
        <v>-2.338060240140416E-2</v>
      </c>
      <c r="Z626" s="8">
        <f>+VLOOKUP($B626,NIFTY_METAL!$B$63:$K$1238,10,0)</f>
        <v>-9.6596032461677139E-2</v>
      </c>
      <c r="AA626" s="8">
        <f>+VLOOKUP($B626,NIFTY_ENERGY!$B$63:$K$1238,10,0)</f>
        <v>-2.9902850832038586E-2</v>
      </c>
      <c r="AB626" s="8">
        <f>+VLOOKUP($B626,NIFTY_AUTO!$B$63:$K$1238,10,0)</f>
        <v>-0.11493435132164964</v>
      </c>
      <c r="AC626" s="8"/>
      <c r="AD626" s="16">
        <f t="shared" si="342"/>
        <v>7.1638729792090503E-2</v>
      </c>
      <c r="AE626" s="8">
        <f t="shared" si="343"/>
        <v>9.0796955237692212E-2</v>
      </c>
      <c r="AF626" s="8">
        <f t="shared" si="344"/>
        <v>6.7098649605167315E-2</v>
      </c>
      <c r="AG626" s="8">
        <f t="shared" si="345"/>
        <v>8.9372831094255048E-2</v>
      </c>
      <c r="AH626" s="8">
        <f t="shared" si="346"/>
        <v>5.8667575532181965E-2</v>
      </c>
      <c r="AI626" s="8">
        <f t="shared" si="347"/>
        <v>0.11376074978407084</v>
      </c>
      <c r="AJ626" s="8">
        <f t="shared" si="348"/>
        <v>9.8085935045493997E-2</v>
      </c>
      <c r="AK626" s="8">
        <f t="shared" si="349"/>
        <v>0.10521205943417339</v>
      </c>
      <c r="AL626" s="9">
        <v>0</v>
      </c>
      <c r="AM626" s="17">
        <f t="shared" si="326"/>
        <v>13.958929798199858</v>
      </c>
      <c r="AN626" s="13">
        <f t="shared" si="327"/>
        <v>11.013585173447243</v>
      </c>
      <c r="AO626" s="13">
        <f t="shared" si="328"/>
        <v>14.90342959037717</v>
      </c>
      <c r="AP626" s="13">
        <f t="shared" si="329"/>
        <v>11.189082719617245</v>
      </c>
      <c r="AQ626" s="13">
        <f t="shared" si="330"/>
        <v>17.045190480923356</v>
      </c>
      <c r="AR626" s="13">
        <f t="shared" si="331"/>
        <v>8.7903780688690869</v>
      </c>
      <c r="AS626" s="13">
        <f t="shared" si="332"/>
        <v>10.195141633060665</v>
      </c>
      <c r="AT626" s="13">
        <f t="shared" si="333"/>
        <v>9.5046138758043845</v>
      </c>
      <c r="AU626" s="9">
        <v>0</v>
      </c>
      <c r="AV626" s="18">
        <f t="shared" si="350"/>
        <v>3</v>
      </c>
      <c r="AW626" s="18">
        <f t="shared" si="351"/>
        <v>5</v>
      </c>
      <c r="AX626" s="18">
        <f t="shared" si="352"/>
        <v>2</v>
      </c>
      <c r="AY626" s="18">
        <f t="shared" si="353"/>
        <v>4</v>
      </c>
      <c r="AZ626" s="18">
        <f t="shared" si="354"/>
        <v>1</v>
      </c>
      <c r="BA626" s="18">
        <f t="shared" si="355"/>
        <v>8</v>
      </c>
      <c r="BB626" s="18">
        <f t="shared" si="356"/>
        <v>6</v>
      </c>
      <c r="BC626" s="18">
        <f t="shared" si="357"/>
        <v>7</v>
      </c>
      <c r="BD626" s="18">
        <f t="shared" si="358"/>
        <v>9</v>
      </c>
      <c r="BE626" s="8">
        <f t="shared" si="360"/>
        <v>6.9579422547844244E-3</v>
      </c>
    </row>
    <row r="627" spans="1:57" x14ac:dyDescent="0.25">
      <c r="A627" t="str">
        <f t="shared" si="359"/>
        <v/>
      </c>
      <c r="B627" s="1">
        <v>43658</v>
      </c>
      <c r="C627" s="9">
        <f t="shared" si="334"/>
        <v>0.24901437253173536</v>
      </c>
      <c r="D627" s="9">
        <f t="shared" si="335"/>
        <v>0</v>
      </c>
      <c r="E627" s="9">
        <f t="shared" si="336"/>
        <v>0.24280300117495188</v>
      </c>
      <c r="F627" s="9">
        <f t="shared" si="337"/>
        <v>0.25660268280454057</v>
      </c>
      <c r="G627" s="9">
        <f t="shared" si="338"/>
        <v>0.25157994348877222</v>
      </c>
      <c r="H627" s="9">
        <f t="shared" si="339"/>
        <v>0</v>
      </c>
      <c r="I627" s="9">
        <f t="shared" si="340"/>
        <v>0</v>
      </c>
      <c r="J627" s="9">
        <f t="shared" si="341"/>
        <v>0</v>
      </c>
      <c r="K627" s="9">
        <v>0</v>
      </c>
      <c r="L627" s="8">
        <f>+VLOOKUP($B627,NIFTY_50!$B$3:$I$1238,8,0)</f>
        <v>-2.6245586165812851E-3</v>
      </c>
      <c r="M627" s="8">
        <f>+VLOOKUP($B627,NIFTY_BANK!$B$3:$I$41238,8,0)</f>
        <v>-3.747165615930137E-3</v>
      </c>
      <c r="N627" s="8">
        <f>+VLOOKUP($B627,NIFTY_IT!$B$3:$I$1238,8,0)</f>
        <v>8.6103205536902649E-4</v>
      </c>
      <c r="O627" s="8">
        <f>+VLOOKUP($B627,NIFTY_PHARMA!$B$3:$I$1238,8,0)</f>
        <v>4.2231552209912593E-3</v>
      </c>
      <c r="P627" s="8">
        <f>+VLOOKUP($B627,NIFTY_FMCG!$B$3:$I$1238,8,0)</f>
        <v>-1.4218098461612483E-3</v>
      </c>
      <c r="Q627" s="8">
        <f>+VLOOKUP($B627,NIFTY_METAL!$B$3:$I$1238,8,0)</f>
        <v>7.5037875412173882E-3</v>
      </c>
      <c r="R627" s="8">
        <f>+VLOOKUP($B627,NIFTY_ENERGY!$B$3:$I$1238,8,0)</f>
        <v>-7.4030480490621109E-3</v>
      </c>
      <c r="S627" s="8">
        <f>+VLOOKUP($B627,NIFTY_AUTO!$B$3:$I$1238,8,0)</f>
        <v>3.528973526163437E-4</v>
      </c>
      <c r="T627" s="8">
        <v>0</v>
      </c>
      <c r="U627" s="8">
        <f>+VLOOKUP($B627,NIFTY_50!$B$63:$K$1238,10,0)</f>
        <v>-3.8114291134547784E-3</v>
      </c>
      <c r="V627" s="8">
        <f>+VLOOKUP($B627,NIFTY_BANK!$B$63:$K$1238,10,0)</f>
        <v>2.7373506434209327E-2</v>
      </c>
      <c r="W627" s="8">
        <f>+VLOOKUP($B627,NIFTY_IT!$B$63:$K$1238,10,0)</f>
        <v>-4.0778594938502999E-2</v>
      </c>
      <c r="X627" s="8">
        <f>+VLOOKUP($B627,NIFTY_PHARMA!$B$63:$K$1238,10,0)</f>
        <v>-0.13276861726199662</v>
      </c>
      <c r="Y627" s="8">
        <f>+VLOOKUP($B627,NIFTY_FMCG!$B$63:$K$1238,10,0)</f>
        <v>-2.9821416430219072E-2</v>
      </c>
      <c r="Z627" s="8">
        <f>+VLOOKUP($B627,NIFTY_METAL!$B$63:$K$1238,10,0)</f>
        <v>-7.8615788358408323E-2</v>
      </c>
      <c r="AA627" s="8">
        <f>+VLOOKUP($B627,NIFTY_ENERGY!$B$63:$K$1238,10,0)</f>
        <v>-4.4965236414044041E-2</v>
      </c>
      <c r="AB627" s="8">
        <f>+VLOOKUP($B627,NIFTY_AUTO!$B$63:$K$1238,10,0)</f>
        <v>-0.11926283508150126</v>
      </c>
      <c r="AC627" s="8"/>
      <c r="AD627" s="16">
        <f t="shared" si="342"/>
        <v>7.1679292594763439E-2</v>
      </c>
      <c r="AE627" s="8">
        <f t="shared" si="343"/>
        <v>9.089102873328532E-2</v>
      </c>
      <c r="AF627" s="8">
        <f t="shared" si="344"/>
        <v>6.6744949950758456E-2</v>
      </c>
      <c r="AG627" s="8">
        <f t="shared" si="345"/>
        <v>8.9610117727921254E-2</v>
      </c>
      <c r="AH627" s="8">
        <f t="shared" si="346"/>
        <v>5.8406323237055163E-2</v>
      </c>
      <c r="AI627" s="8">
        <f t="shared" si="347"/>
        <v>0.11359993270151457</v>
      </c>
      <c r="AJ627" s="8">
        <f t="shared" si="348"/>
        <v>9.7930748386276092E-2</v>
      </c>
      <c r="AK627" s="8">
        <f t="shared" si="349"/>
        <v>0.10498937590225212</v>
      </c>
      <c r="AL627" s="9">
        <v>0</v>
      </c>
      <c r="AM627" s="17">
        <f t="shared" si="326"/>
        <v>13.951030538951711</v>
      </c>
      <c r="AN627" s="13">
        <f t="shared" si="327"/>
        <v>11.002185957587129</v>
      </c>
      <c r="AO627" s="13">
        <f t="shared" si="328"/>
        <v>14.982406919740846</v>
      </c>
      <c r="AP627" s="13">
        <f t="shared" si="329"/>
        <v>11.159454148205119</v>
      </c>
      <c r="AQ627" s="13">
        <f t="shared" si="330"/>
        <v>17.121433854709117</v>
      </c>
      <c r="AR627" s="13">
        <f t="shared" si="331"/>
        <v>8.8028221163432736</v>
      </c>
      <c r="AS627" s="13">
        <f t="shared" si="332"/>
        <v>10.211297436997214</v>
      </c>
      <c r="AT627" s="13">
        <f t="shared" si="333"/>
        <v>9.524773258305931</v>
      </c>
      <c r="AU627" s="9">
        <v>0</v>
      </c>
      <c r="AV627" s="18">
        <f t="shared" si="350"/>
        <v>3</v>
      </c>
      <c r="AW627" s="18">
        <f t="shared" si="351"/>
        <v>5</v>
      </c>
      <c r="AX627" s="18">
        <f t="shared" si="352"/>
        <v>2</v>
      </c>
      <c r="AY627" s="18">
        <f t="shared" si="353"/>
        <v>4</v>
      </c>
      <c r="AZ627" s="18">
        <f t="shared" si="354"/>
        <v>1</v>
      </c>
      <c r="BA627" s="18">
        <f t="shared" si="355"/>
        <v>8</v>
      </c>
      <c r="BB627" s="18">
        <f t="shared" si="356"/>
        <v>6</v>
      </c>
      <c r="BC627" s="18">
        <f t="shared" si="357"/>
        <v>7</v>
      </c>
      <c r="BD627" s="18">
        <f t="shared" si="358"/>
        <v>9</v>
      </c>
      <c r="BE627" s="8">
        <f t="shared" si="360"/>
        <v>2.7459161696886074E-4</v>
      </c>
    </row>
    <row r="628" spans="1:57" x14ac:dyDescent="0.25">
      <c r="A628" t="str">
        <f t="shared" si="359"/>
        <v/>
      </c>
      <c r="B628" s="1">
        <v>43661</v>
      </c>
      <c r="C628" s="9">
        <f t="shared" si="334"/>
        <v>0.24756360099623745</v>
      </c>
      <c r="D628" s="9">
        <f t="shared" si="335"/>
        <v>0</v>
      </c>
      <c r="E628" s="9">
        <f t="shared" si="336"/>
        <v>0.24751051339767427</v>
      </c>
      <c r="F628" s="9">
        <f t="shared" si="337"/>
        <v>0.25705237955217153</v>
      </c>
      <c r="G628" s="9">
        <f t="shared" si="338"/>
        <v>0.24787350605391686</v>
      </c>
      <c r="H628" s="9">
        <f t="shared" si="339"/>
        <v>0</v>
      </c>
      <c r="I628" s="9">
        <f t="shared" si="340"/>
        <v>0</v>
      </c>
      <c r="J628" s="9">
        <f t="shared" si="341"/>
        <v>0</v>
      </c>
      <c r="K628" s="9">
        <v>0</v>
      </c>
      <c r="L628" s="8">
        <f>+VLOOKUP($B628,NIFTY_50!$B$3:$I$1238,8,0)</f>
        <v>3.1032244103008644E-3</v>
      </c>
      <c r="M628" s="8">
        <f>+VLOOKUP($B628,NIFTY_BANK!$B$3:$I$41238,8,0)</f>
        <v>-5.0814585583363048E-3</v>
      </c>
      <c r="N628" s="8">
        <f>+VLOOKUP($B628,NIFTY_IT!$B$3:$I$1238,8,0)</f>
        <v>2.8543940528258149E-2</v>
      </c>
      <c r="O628" s="8">
        <f>+VLOOKUP($B628,NIFTY_PHARMA!$B$3:$I$1238,8,0)</f>
        <v>1.0749849588055582E-2</v>
      </c>
      <c r="P628" s="8">
        <f>+VLOOKUP($B628,NIFTY_FMCG!$B$3:$I$1238,8,0)</f>
        <v>-5.8833584028441521E-3</v>
      </c>
      <c r="Q628" s="8">
        <f>+VLOOKUP($B628,NIFTY_METAL!$B$3:$I$1238,8,0)</f>
        <v>-1.1676042882922122E-3</v>
      </c>
      <c r="R628" s="8">
        <f>+VLOOKUP($B628,NIFTY_ENERGY!$B$3:$I$1238,8,0)</f>
        <v>-1.3640001166365101E-3</v>
      </c>
      <c r="S628" s="8">
        <f>+VLOOKUP($B628,NIFTY_AUTO!$B$3:$I$1238,8,0)</f>
        <v>2.691526265246047E-3</v>
      </c>
      <c r="T628" s="8">
        <v>0</v>
      </c>
      <c r="U628" s="8">
        <f>+VLOOKUP($B628,NIFTY_50!$B$63:$K$1238,10,0)</f>
        <v>-4.7322743688511526E-3</v>
      </c>
      <c r="V628" s="8">
        <f>+VLOOKUP($B628,NIFTY_BANK!$B$63:$K$1238,10,0)</f>
        <v>1.6948048586187481E-2</v>
      </c>
      <c r="W628" s="8">
        <f>+VLOOKUP($B628,NIFTY_IT!$B$63:$K$1238,10,0)</f>
        <v>-1.5652594729465674E-2</v>
      </c>
      <c r="X628" s="8">
        <f>+VLOOKUP($B628,NIFTY_PHARMA!$B$63:$K$1238,10,0)</f>
        <v>-0.126728513915631</v>
      </c>
      <c r="Y628" s="8">
        <f>+VLOOKUP($B628,NIFTY_FMCG!$B$63:$K$1238,10,0)</f>
        <v>-4.7612965346485958E-2</v>
      </c>
      <c r="Z628" s="8">
        <f>+VLOOKUP($B628,NIFTY_METAL!$B$63:$K$1238,10,0)</f>
        <v>-8.0935017580414104E-2</v>
      </c>
      <c r="AA628" s="8">
        <f>+VLOOKUP($B628,NIFTY_ENERGY!$B$63:$K$1238,10,0)</f>
        <v>-4.6893118322794081E-2</v>
      </c>
      <c r="AB628" s="8">
        <f>+VLOOKUP($B628,NIFTY_AUTO!$B$63:$K$1238,10,0)</f>
        <v>-0.12568570598522355</v>
      </c>
      <c r="AC628" s="8"/>
      <c r="AD628" s="16">
        <f t="shared" si="342"/>
        <v>7.1632722365944618E-2</v>
      </c>
      <c r="AE628" s="8">
        <f t="shared" si="343"/>
        <v>9.0936824593425378E-2</v>
      </c>
      <c r="AF628" s="8">
        <f t="shared" si="344"/>
        <v>7.2711792221579447E-2</v>
      </c>
      <c r="AG628" s="8">
        <f t="shared" si="345"/>
        <v>9.0345406386753979E-2</v>
      </c>
      <c r="AH628" s="8">
        <f t="shared" si="346"/>
        <v>5.7112917897595351E-2</v>
      </c>
      <c r="AI628" s="8">
        <f t="shared" si="347"/>
        <v>0.11356999925123569</v>
      </c>
      <c r="AJ628" s="8">
        <f t="shared" si="348"/>
        <v>9.7923774883762638E-2</v>
      </c>
      <c r="AK628" s="8">
        <f t="shared" si="349"/>
        <v>0.10439664166030241</v>
      </c>
      <c r="AL628" s="9">
        <v>0</v>
      </c>
      <c r="AM628" s="17">
        <f t="shared" si="326"/>
        <v>13.960100453691769</v>
      </c>
      <c r="AN628" s="13">
        <f t="shared" si="327"/>
        <v>10.996645247631605</v>
      </c>
      <c r="AO628" s="13">
        <f t="shared" si="328"/>
        <v>13.752927406226407</v>
      </c>
      <c r="AP628" s="13">
        <f t="shared" si="329"/>
        <v>11.068631378104193</v>
      </c>
      <c r="AQ628" s="13">
        <f t="shared" si="330"/>
        <v>17.509173700300529</v>
      </c>
      <c r="AR628" s="13">
        <f t="shared" si="331"/>
        <v>8.8051422610986734</v>
      </c>
      <c r="AS628" s="13">
        <f t="shared" si="332"/>
        <v>10.212024620037562</v>
      </c>
      <c r="AT628" s="13">
        <f t="shared" si="333"/>
        <v>9.5788521938657087</v>
      </c>
      <c r="AU628" s="9">
        <v>0</v>
      </c>
      <c r="AV628" s="18">
        <f t="shared" si="350"/>
        <v>2</v>
      </c>
      <c r="AW628" s="18">
        <f t="shared" si="351"/>
        <v>5</v>
      </c>
      <c r="AX628" s="18">
        <f t="shared" si="352"/>
        <v>3</v>
      </c>
      <c r="AY628" s="18">
        <f t="shared" si="353"/>
        <v>4</v>
      </c>
      <c r="AZ628" s="18">
        <f t="shared" si="354"/>
        <v>1</v>
      </c>
      <c r="BA628" s="18">
        <f t="shared" si="355"/>
        <v>8</v>
      </c>
      <c r="BB628" s="18">
        <f t="shared" si="356"/>
        <v>6</v>
      </c>
      <c r="BC628" s="18">
        <f t="shared" si="357"/>
        <v>7</v>
      </c>
      <c r="BD628" s="18">
        <f t="shared" si="358"/>
        <v>9</v>
      </c>
      <c r="BE628" s="8">
        <f t="shared" si="360"/>
        <v>8.9816071745052774E-3</v>
      </c>
    </row>
    <row r="629" spans="1:57" x14ac:dyDescent="0.25">
      <c r="A629" t="str">
        <f t="shared" si="359"/>
        <v/>
      </c>
      <c r="B629" s="1">
        <v>43662</v>
      </c>
      <c r="C629" s="9">
        <f t="shared" si="334"/>
        <v>0.24757379144913877</v>
      </c>
      <c r="D629" s="9">
        <f t="shared" si="335"/>
        <v>0</v>
      </c>
      <c r="E629" s="9">
        <f t="shared" si="336"/>
        <v>0.24466347588773074</v>
      </c>
      <c r="F629" s="9">
        <f t="shared" si="337"/>
        <v>0.25902883904554824</v>
      </c>
      <c r="G629" s="9">
        <f t="shared" si="338"/>
        <v>0.24873389361758222</v>
      </c>
      <c r="H629" s="9">
        <f t="shared" si="339"/>
        <v>0</v>
      </c>
      <c r="I629" s="9">
        <f t="shared" si="340"/>
        <v>0</v>
      </c>
      <c r="J629" s="9">
        <f t="shared" si="341"/>
        <v>0</v>
      </c>
      <c r="K629" s="9">
        <v>0</v>
      </c>
      <c r="L629" s="8">
        <f>+VLOOKUP($B629,NIFTY_50!$B$3:$I$1238,8,0)</f>
        <v>6.4072969836086457E-3</v>
      </c>
      <c r="M629" s="8">
        <f>+VLOOKUP($B629,NIFTY_BANK!$B$3:$I$41238,8,0)</f>
        <v>4.1007096181921998E-3</v>
      </c>
      <c r="N629" s="8">
        <f>+VLOOKUP($B629,NIFTY_IT!$B$3:$I$1238,8,0)</f>
        <v>-5.2100459390691523E-3</v>
      </c>
      <c r="O629" s="8">
        <f>+VLOOKUP($B629,NIFTY_PHARMA!$B$3:$I$1238,8,0)</f>
        <v>1.4103755534904172E-2</v>
      </c>
      <c r="P629" s="8">
        <f>+VLOOKUP($B629,NIFTY_FMCG!$B$3:$I$1238,8,0)</f>
        <v>9.85904353178646E-3</v>
      </c>
      <c r="Q629" s="8">
        <f>+VLOOKUP($B629,NIFTY_METAL!$B$3:$I$1238,8,0)</f>
        <v>8.6255756287636487E-3</v>
      </c>
      <c r="R629" s="8">
        <f>+VLOOKUP($B629,NIFTY_ENERGY!$B$3:$I$1238,8,0)</f>
        <v>1.5485189631119667E-2</v>
      </c>
      <c r="S629" s="8">
        <f>+VLOOKUP($B629,NIFTY_AUTO!$B$3:$I$1238,8,0)</f>
        <v>6.8866664494902086E-3</v>
      </c>
      <c r="T629" s="8">
        <v>0</v>
      </c>
      <c r="U629" s="8">
        <f>+VLOOKUP($B629,NIFTY_50!$B$63:$K$1238,10,0)</f>
        <v>-2.3737527105689438E-3</v>
      </c>
      <c r="V629" s="8">
        <f>+VLOOKUP($B629,NIFTY_BANK!$B$63:$K$1238,10,0)</f>
        <v>1.5497811770763148E-2</v>
      </c>
      <c r="W629" s="8">
        <f>+VLOOKUP($B629,NIFTY_IT!$B$63:$K$1238,10,0)</f>
        <v>-3.3092958166032638E-2</v>
      </c>
      <c r="X629" s="8">
        <f>+VLOOKUP($B629,NIFTY_PHARMA!$B$63:$K$1238,10,0)</f>
        <v>-0.1135940113084335</v>
      </c>
      <c r="Y629" s="8">
        <f>+VLOOKUP($B629,NIFTY_FMCG!$B$63:$K$1238,10,0)</f>
        <v>-3.8654680922107998E-2</v>
      </c>
      <c r="Z629" s="8">
        <f>+VLOOKUP($B629,NIFTY_METAL!$B$63:$K$1238,10,0)</f>
        <v>-9.3590335365368427E-2</v>
      </c>
      <c r="AA629" s="8">
        <f>+VLOOKUP($B629,NIFTY_ENERGY!$B$63:$K$1238,10,0)</f>
        <v>-2.8812649516427924E-2</v>
      </c>
      <c r="AB629" s="8">
        <f>+VLOOKUP($B629,NIFTY_AUTO!$B$63:$K$1238,10,0)</f>
        <v>-0.1329166479644508</v>
      </c>
      <c r="AC629" s="8"/>
      <c r="AD629" s="16">
        <f t="shared" si="342"/>
        <v>7.1806361467592797E-2</v>
      </c>
      <c r="AE629" s="8">
        <f t="shared" si="343"/>
        <v>9.0866050576926344E-2</v>
      </c>
      <c r="AF629" s="8">
        <f t="shared" si="344"/>
        <v>7.1686891229000918E-2</v>
      </c>
      <c r="AG629" s="8">
        <f t="shared" si="345"/>
        <v>9.1767786791596181E-2</v>
      </c>
      <c r="AH629" s="8">
        <f t="shared" si="346"/>
        <v>5.8068727237961547E-2</v>
      </c>
      <c r="AI629" s="8">
        <f t="shared" si="347"/>
        <v>0.11143462103777076</v>
      </c>
      <c r="AJ629" s="8">
        <f t="shared" si="348"/>
        <v>9.918717387929292E-2</v>
      </c>
      <c r="AK629" s="8">
        <f t="shared" si="349"/>
        <v>0.10332425637798184</v>
      </c>
      <c r="AL629" s="9">
        <v>0</v>
      </c>
      <c r="AM629" s="17">
        <f t="shared" si="326"/>
        <v>13.926342730111925</v>
      </c>
      <c r="AN629" s="13">
        <f t="shared" si="327"/>
        <v>11.005210346997632</v>
      </c>
      <c r="AO629" s="13">
        <f t="shared" si="328"/>
        <v>13.949551764011357</v>
      </c>
      <c r="AP629" s="13">
        <f t="shared" si="329"/>
        <v>10.897070039086712</v>
      </c>
      <c r="AQ629" s="13">
        <f t="shared" si="330"/>
        <v>17.220973277097507</v>
      </c>
      <c r="AR629" s="13">
        <f t="shared" si="331"/>
        <v>8.9738717706147177</v>
      </c>
      <c r="AS629" s="13">
        <f t="shared" si="332"/>
        <v>10.081948712612405</v>
      </c>
      <c r="AT629" s="13">
        <f t="shared" si="333"/>
        <v>9.6782695085826678</v>
      </c>
      <c r="AU629" s="9">
        <v>0</v>
      </c>
      <c r="AV629" s="18">
        <f t="shared" si="350"/>
        <v>3</v>
      </c>
      <c r="AW629" s="18">
        <f t="shared" si="351"/>
        <v>4</v>
      </c>
      <c r="AX629" s="18">
        <f t="shared" si="352"/>
        <v>2</v>
      </c>
      <c r="AY629" s="18">
        <f t="shared" si="353"/>
        <v>5</v>
      </c>
      <c r="AZ629" s="18">
        <f t="shared" si="354"/>
        <v>1</v>
      </c>
      <c r="BA629" s="18">
        <f t="shared" si="355"/>
        <v>8</v>
      </c>
      <c r="BB629" s="18">
        <f t="shared" si="356"/>
        <v>6</v>
      </c>
      <c r="BC629" s="18">
        <f t="shared" si="357"/>
        <v>7</v>
      </c>
      <c r="BD629" s="18">
        <f t="shared" si="358"/>
        <v>9</v>
      </c>
      <c r="BE629" s="8">
        <f t="shared" si="360"/>
        <v>6.3658719761413409E-3</v>
      </c>
    </row>
    <row r="630" spans="1:57" x14ac:dyDescent="0.25">
      <c r="A630" t="str">
        <f t="shared" si="359"/>
        <v/>
      </c>
      <c r="B630" s="1">
        <v>43663</v>
      </c>
      <c r="C630" s="9">
        <f t="shared" si="334"/>
        <v>0.24721415132354871</v>
      </c>
      <c r="D630" s="9">
        <f t="shared" si="335"/>
        <v>0</v>
      </c>
      <c r="E630" s="9">
        <f t="shared" si="336"/>
        <v>0.24528264219657475</v>
      </c>
      <c r="F630" s="9">
        <f t="shared" si="337"/>
        <v>0.25756971546752155</v>
      </c>
      <c r="G630" s="9">
        <f t="shared" si="338"/>
        <v>0.24993349101235501</v>
      </c>
      <c r="H630" s="9">
        <f t="shared" si="339"/>
        <v>0</v>
      </c>
      <c r="I630" s="9">
        <f t="shared" si="340"/>
        <v>0</v>
      </c>
      <c r="J630" s="9">
        <f t="shared" si="341"/>
        <v>0</v>
      </c>
      <c r="K630" s="9">
        <v>0</v>
      </c>
      <c r="L630" s="8">
        <f>+VLOOKUP($B630,NIFTY_50!$B$3:$I$1238,8,0)</f>
        <v>2.1350299247164806E-3</v>
      </c>
      <c r="M630" s="8">
        <f>+VLOOKUP($B630,NIFTY_BANK!$B$3:$I$41238,8,0)</f>
        <v>5.3874939484737094E-3</v>
      </c>
      <c r="N630" s="8">
        <f>+VLOOKUP($B630,NIFTY_IT!$B$3:$I$1238,8,0)</f>
        <v>6.1326855129344438E-3</v>
      </c>
      <c r="O630" s="8">
        <f>+VLOOKUP($B630,NIFTY_PHARMA!$B$3:$I$1238,8,0)</f>
        <v>-2.0603860828107834E-3</v>
      </c>
      <c r="P630" s="8">
        <f>+VLOOKUP($B630,NIFTY_FMCG!$B$3:$I$1238,8,0)</f>
        <v>8.4330497912594726E-3</v>
      </c>
      <c r="Q630" s="8">
        <f>+VLOOKUP($B630,NIFTY_METAL!$B$3:$I$1238,8,0)</f>
        <v>5.0924543874142358E-4</v>
      </c>
      <c r="R630" s="8">
        <f>+VLOOKUP($B630,NIFTY_ENERGY!$B$3:$I$1238,8,0)</f>
        <v>-8.4440085238799423E-3</v>
      </c>
      <c r="S630" s="8">
        <f>+VLOOKUP($B630,NIFTY_AUTO!$B$3:$I$1238,8,0)</f>
        <v>-1.0217287209949522E-2</v>
      </c>
      <c r="T630" s="8">
        <v>0</v>
      </c>
      <c r="U630" s="8">
        <f>+VLOOKUP($B630,NIFTY_50!$B$63:$K$1238,10,0)</f>
        <v>-8.454121649423274E-3</v>
      </c>
      <c r="V630" s="8">
        <f>+VLOOKUP($B630,NIFTY_BANK!$B$63:$K$1238,10,0)</f>
        <v>6.686569706219947E-3</v>
      </c>
      <c r="W630" s="8">
        <f>+VLOOKUP($B630,NIFTY_IT!$B$63:$K$1238,10,0)</f>
        <v>-2.5421357919539367E-2</v>
      </c>
      <c r="X630" s="8">
        <f>+VLOOKUP($B630,NIFTY_PHARMA!$B$63:$K$1238,10,0)</f>
        <v>-0.11542504618913119</v>
      </c>
      <c r="Y630" s="8">
        <f>+VLOOKUP($B630,NIFTY_FMCG!$B$63:$K$1238,10,0)</f>
        <v>-3.6703141569027986E-2</v>
      </c>
      <c r="Z630" s="8">
        <f>+VLOOKUP($B630,NIFTY_METAL!$B$63:$K$1238,10,0)</f>
        <v>-9.5590336201149206E-2</v>
      </c>
      <c r="AA630" s="8">
        <f>+VLOOKUP($B630,NIFTY_ENERGY!$B$63:$K$1238,10,0)</f>
        <v>-4.2308629899003525E-2</v>
      </c>
      <c r="AB630" s="8">
        <f>+VLOOKUP($B630,NIFTY_AUTO!$B$63:$K$1238,10,0)</f>
        <v>-0.14864947598666445</v>
      </c>
      <c r="AC630" s="8"/>
      <c r="AD630" s="16">
        <f t="shared" si="342"/>
        <v>7.1355216203618163E-2</v>
      </c>
      <c r="AE630" s="8">
        <f t="shared" si="343"/>
        <v>8.993739751172887E-2</v>
      </c>
      <c r="AF630" s="8">
        <f t="shared" si="344"/>
        <v>7.197545883377994E-2</v>
      </c>
      <c r="AG630" s="8">
        <f t="shared" si="345"/>
        <v>9.1747639197905489E-2</v>
      </c>
      <c r="AH630" s="8">
        <f t="shared" si="346"/>
        <v>5.834997136594651E-2</v>
      </c>
      <c r="AI630" s="8">
        <f t="shared" si="347"/>
        <v>0.11137223111198084</v>
      </c>
      <c r="AJ630" s="8">
        <f t="shared" si="348"/>
        <v>9.9320093949996607E-2</v>
      </c>
      <c r="AK630" s="8">
        <f t="shared" si="349"/>
        <v>0.10308920498507776</v>
      </c>
      <c r="AL630" s="9">
        <v>0</v>
      </c>
      <c r="AM630" s="17">
        <f t="shared" si="326"/>
        <v>14.014392404704026</v>
      </c>
      <c r="AN630" s="13">
        <f t="shared" si="327"/>
        <v>11.118845193064304</v>
      </c>
      <c r="AO630" s="13">
        <f t="shared" si="328"/>
        <v>13.89362452428958</v>
      </c>
      <c r="AP630" s="13">
        <f t="shared" si="329"/>
        <v>10.899463013352708</v>
      </c>
      <c r="AQ630" s="13">
        <f t="shared" si="330"/>
        <v>17.137968992793844</v>
      </c>
      <c r="AR630" s="13">
        <f t="shared" si="331"/>
        <v>8.9788988692750102</v>
      </c>
      <c r="AS630" s="13">
        <f t="shared" si="332"/>
        <v>10.068456041769926</v>
      </c>
      <c r="AT630" s="13">
        <f t="shared" si="333"/>
        <v>9.7003367146419528</v>
      </c>
      <c r="AU630" s="9">
        <v>0</v>
      </c>
      <c r="AV630" s="18">
        <f t="shared" si="350"/>
        <v>2</v>
      </c>
      <c r="AW630" s="18">
        <f t="shared" si="351"/>
        <v>4</v>
      </c>
      <c r="AX630" s="18">
        <f t="shared" si="352"/>
        <v>3</v>
      </c>
      <c r="AY630" s="18">
        <f t="shared" si="353"/>
        <v>5</v>
      </c>
      <c r="AZ630" s="18">
        <f t="shared" si="354"/>
        <v>1</v>
      </c>
      <c r="BA630" s="18">
        <f t="shared" si="355"/>
        <v>8</v>
      </c>
      <c r="BB630" s="18">
        <f t="shared" si="356"/>
        <v>6</v>
      </c>
      <c r="BC630" s="18">
        <f t="shared" si="357"/>
        <v>7</v>
      </c>
      <c r="BD630" s="18">
        <f t="shared" si="358"/>
        <v>9</v>
      </c>
      <c r="BE630" s="8">
        <f t="shared" si="360"/>
        <v>3.5929075020751261E-3</v>
      </c>
    </row>
    <row r="631" spans="1:57" x14ac:dyDescent="0.25">
      <c r="A631" t="str">
        <f t="shared" si="359"/>
        <v/>
      </c>
      <c r="B631" s="1">
        <v>43664</v>
      </c>
      <c r="C631" s="9">
        <f t="shared" si="334"/>
        <v>0.24740812608674981</v>
      </c>
      <c r="D631" s="9">
        <f t="shared" si="335"/>
        <v>0</v>
      </c>
      <c r="E631" s="9">
        <f t="shared" si="336"/>
        <v>0.24459161947490965</v>
      </c>
      <c r="F631" s="9">
        <f t="shared" si="337"/>
        <v>0.25643024822930238</v>
      </c>
      <c r="G631" s="9">
        <f t="shared" si="338"/>
        <v>0.25157000620903819</v>
      </c>
      <c r="H631" s="9">
        <f t="shared" si="339"/>
        <v>0</v>
      </c>
      <c r="I631" s="9">
        <f t="shared" si="340"/>
        <v>0</v>
      </c>
      <c r="J631" s="9">
        <f t="shared" si="341"/>
        <v>0</v>
      </c>
      <c r="K631" s="9">
        <v>0</v>
      </c>
      <c r="L631" s="8">
        <f>+VLOOKUP($B631,NIFTY_50!$B$3:$I$1238,8,0)</f>
        <v>-7.7518716577540392E-3</v>
      </c>
      <c r="M631" s="8">
        <f>+VLOOKUP($B631,NIFTY_BANK!$B$3:$I$41238,8,0)</f>
        <v>-9.9201249369621491E-3</v>
      </c>
      <c r="N631" s="8">
        <f>+VLOOKUP($B631,NIFTY_IT!$B$3:$I$1238,8,0)</f>
        <v>-1.1323041592242955E-2</v>
      </c>
      <c r="O631" s="8">
        <f>+VLOOKUP($B631,NIFTY_PHARMA!$B$3:$I$1238,8,0)</f>
        <v>-1.2916003961228051E-2</v>
      </c>
      <c r="P631" s="8">
        <f>+VLOOKUP($B631,NIFTY_FMCG!$B$3:$I$1238,8,0)</f>
        <v>-2.0378702820432748E-3</v>
      </c>
      <c r="Q631" s="8">
        <f>+VLOOKUP($B631,NIFTY_METAL!$B$3:$I$1238,8,0)</f>
        <v>-2.4641954507161001E-2</v>
      </c>
      <c r="R631" s="8">
        <f>+VLOOKUP($B631,NIFTY_ENERGY!$B$3:$I$1238,8,0)</f>
        <v>-1.6841732181982261E-2</v>
      </c>
      <c r="S631" s="8">
        <f>+VLOOKUP($B631,NIFTY_AUTO!$B$3:$I$1238,8,0)</f>
        <v>-2.7385707654792313E-2</v>
      </c>
      <c r="T631" s="8">
        <v>0</v>
      </c>
      <c r="U631" s="8">
        <f>+VLOOKUP($B631,NIFTY_50!$B$63:$K$1238,10,0)</f>
        <v>-1.3264924103192355E-2</v>
      </c>
      <c r="V631" s="8">
        <f>+VLOOKUP($B631,NIFTY_BANK!$B$63:$K$1238,10,0)</f>
        <v>6.8556151855845293E-3</v>
      </c>
      <c r="W631" s="8">
        <f>+VLOOKUP($B631,NIFTY_IT!$B$63:$K$1238,10,0)</f>
        <v>-3.6120975415596446E-2</v>
      </c>
      <c r="X631" s="8">
        <f>+VLOOKUP($B631,NIFTY_PHARMA!$B$63:$K$1238,10,0)</f>
        <v>-0.12611717446519088</v>
      </c>
      <c r="Y631" s="8">
        <f>+VLOOKUP($B631,NIFTY_FMCG!$B$63:$K$1238,10,0)</f>
        <v>-3.2888891797656639E-2</v>
      </c>
      <c r="Z631" s="8">
        <f>+VLOOKUP($B631,NIFTY_METAL!$B$63:$K$1238,10,0)</f>
        <v>-0.10651639146582637</v>
      </c>
      <c r="AA631" s="8">
        <f>+VLOOKUP($B631,NIFTY_ENERGY!$B$63:$K$1238,10,0)</f>
        <v>-6.6086158084015634E-2</v>
      </c>
      <c r="AB631" s="8">
        <f>+VLOOKUP($B631,NIFTY_AUTO!$B$63:$K$1238,10,0)</f>
        <v>-0.17095841250912491</v>
      </c>
      <c r="AC631" s="8"/>
      <c r="AD631" s="16">
        <f t="shared" si="342"/>
        <v>7.1706606547905616E-2</v>
      </c>
      <c r="AE631" s="8">
        <f t="shared" si="343"/>
        <v>8.9918580522203764E-2</v>
      </c>
      <c r="AF631" s="8">
        <f t="shared" si="344"/>
        <v>7.2789081435372383E-2</v>
      </c>
      <c r="AG631" s="8">
        <f t="shared" si="345"/>
        <v>9.2382423922704127E-2</v>
      </c>
      <c r="AH631" s="8">
        <f t="shared" si="346"/>
        <v>5.8116580743746878E-2</v>
      </c>
      <c r="AI631" s="8">
        <f t="shared" si="347"/>
        <v>0.11318202826049328</v>
      </c>
      <c r="AJ631" s="8">
        <f t="shared" si="348"/>
        <v>0.10019658534723623</v>
      </c>
      <c r="AK631" s="8">
        <f t="shared" si="349"/>
        <v>0.1059777655501026</v>
      </c>
      <c r="AL631" s="9">
        <v>0</v>
      </c>
      <c r="AM631" s="17">
        <f t="shared" si="326"/>
        <v>13.945716415012916</v>
      </c>
      <c r="AN631" s="13">
        <f t="shared" si="327"/>
        <v>11.12117200018597</v>
      </c>
      <c r="AO631" s="13">
        <f t="shared" si="328"/>
        <v>13.738324214022059</v>
      </c>
      <c r="AP631" s="13">
        <f t="shared" si="329"/>
        <v>10.82456984281658</v>
      </c>
      <c r="AQ631" s="13">
        <f t="shared" si="330"/>
        <v>17.206793434894159</v>
      </c>
      <c r="AR631" s="13">
        <f t="shared" si="331"/>
        <v>8.8353249660666719</v>
      </c>
      <c r="AS631" s="13">
        <f t="shared" si="332"/>
        <v>9.9803800352522032</v>
      </c>
      <c r="AT631" s="13">
        <f t="shared" si="333"/>
        <v>9.4359415374466895</v>
      </c>
      <c r="AU631" s="9">
        <v>0</v>
      </c>
      <c r="AV631" s="18">
        <f t="shared" si="350"/>
        <v>2</v>
      </c>
      <c r="AW631" s="18">
        <f t="shared" si="351"/>
        <v>4</v>
      </c>
      <c r="AX631" s="18">
        <f t="shared" si="352"/>
        <v>3</v>
      </c>
      <c r="AY631" s="18">
        <f t="shared" si="353"/>
        <v>5</v>
      </c>
      <c r="AZ631" s="18">
        <f t="shared" si="354"/>
        <v>1</v>
      </c>
      <c r="BA631" s="18">
        <f t="shared" si="355"/>
        <v>8</v>
      </c>
      <c r="BB631" s="18">
        <f t="shared" si="356"/>
        <v>6</v>
      </c>
      <c r="BC631" s="18">
        <f t="shared" si="357"/>
        <v>7</v>
      </c>
      <c r="BD631" s="18">
        <f t="shared" si="358"/>
        <v>9</v>
      </c>
      <c r="BE631" s="8">
        <f t="shared" si="360"/>
        <v>-8.529821431580098E-3</v>
      </c>
    </row>
    <row r="632" spans="1:57" x14ac:dyDescent="0.25">
      <c r="A632" t="str">
        <f t="shared" si="359"/>
        <v/>
      </c>
      <c r="B632" s="1">
        <v>43665</v>
      </c>
      <c r="C632" s="9">
        <f t="shared" si="334"/>
        <v>0.24752687562346945</v>
      </c>
      <c r="D632" s="9">
        <f t="shared" si="335"/>
        <v>0</v>
      </c>
      <c r="E632" s="9">
        <f t="shared" si="336"/>
        <v>0.24667436953851979</v>
      </c>
      <c r="F632" s="9">
        <f t="shared" si="337"/>
        <v>0.25474473811984633</v>
      </c>
      <c r="G632" s="9">
        <f t="shared" si="338"/>
        <v>0.25105401671816441</v>
      </c>
      <c r="H632" s="9">
        <f t="shared" si="339"/>
        <v>0</v>
      </c>
      <c r="I632" s="9">
        <f t="shared" si="340"/>
        <v>0</v>
      </c>
      <c r="J632" s="9">
        <f t="shared" si="341"/>
        <v>0</v>
      </c>
      <c r="K632" s="9">
        <v>0</v>
      </c>
      <c r="L632" s="8">
        <f>+VLOOKUP($B632,NIFTY_50!$B$3:$I$1238,8,0)</f>
        <v>-1.531874897601937E-2</v>
      </c>
      <c r="M632" s="8">
        <f>+VLOOKUP($B632,NIFTY_BANK!$B$3:$I$41238,8,0)</f>
        <v>-2.1696910346821974E-2</v>
      </c>
      <c r="N632" s="8">
        <f>+VLOOKUP($B632,NIFTY_IT!$B$3:$I$1238,8,0)</f>
        <v>-7.4103945543116945E-3</v>
      </c>
      <c r="O632" s="8">
        <f>+VLOOKUP($B632,NIFTY_PHARMA!$B$3:$I$1238,8,0)</f>
        <v>-2.2260326030778876E-2</v>
      </c>
      <c r="P632" s="8">
        <f>+VLOOKUP($B632,NIFTY_FMCG!$B$3:$I$1238,8,0)</f>
        <v>-1.7809832204886744E-2</v>
      </c>
      <c r="Q632" s="8">
        <f>+VLOOKUP($B632,NIFTY_METAL!$B$3:$I$1238,8,0)</f>
        <v>-1.3226085078816618E-2</v>
      </c>
      <c r="R632" s="8">
        <f>+VLOOKUP($B632,NIFTY_ENERGY!$B$3:$I$1238,8,0)</f>
        <v>-2.1990410738923494E-3</v>
      </c>
      <c r="S632" s="8">
        <f>+VLOOKUP($B632,NIFTY_AUTO!$B$3:$I$1238,8,0)</f>
        <v>-3.3063572936131269E-2</v>
      </c>
      <c r="T632" s="8">
        <v>0</v>
      </c>
      <c r="U632" s="8">
        <f>+VLOOKUP($B632,NIFTY_50!$B$63:$K$1238,10,0)</f>
        <v>-1.5110677953676155E-2</v>
      </c>
      <c r="V632" s="8">
        <f>+VLOOKUP($B632,NIFTY_BANK!$B$63:$K$1238,10,0)</f>
        <v>2.7755368760724597E-3</v>
      </c>
      <c r="W632" s="8">
        <f>+VLOOKUP($B632,NIFTY_IT!$B$63:$K$1238,10,0)</f>
        <v>-4.7487399848922029E-2</v>
      </c>
      <c r="X632" s="8">
        <f>+VLOOKUP($B632,NIFTY_PHARMA!$B$63:$K$1238,10,0)</f>
        <v>-0.13411843260154332</v>
      </c>
      <c r="Y632" s="8">
        <f>+VLOOKUP($B632,NIFTY_FMCG!$B$63:$K$1238,10,0)</f>
        <v>-4.5714558108494563E-2</v>
      </c>
      <c r="Z632" s="8">
        <f>+VLOOKUP($B632,NIFTY_METAL!$B$63:$K$1238,10,0)</f>
        <v>-0.10223961232441636</v>
      </c>
      <c r="AA632" s="8">
        <f>+VLOOKUP($B632,NIFTY_ENERGY!$B$63:$K$1238,10,0)</f>
        <v>-4.5232465520593457E-2</v>
      </c>
      <c r="AB632" s="8">
        <f>+VLOOKUP($B632,NIFTY_AUTO!$B$63:$K$1238,10,0)</f>
        <v>-0.1839310634338942</v>
      </c>
      <c r="AC632" s="8"/>
      <c r="AD632" s="16">
        <f t="shared" si="342"/>
        <v>7.2071217984284092E-2</v>
      </c>
      <c r="AE632" s="8">
        <f t="shared" si="343"/>
        <v>9.0793130688171533E-2</v>
      </c>
      <c r="AF632" s="8">
        <f t="shared" si="344"/>
        <v>7.2924258039273243E-2</v>
      </c>
      <c r="AG632" s="8">
        <f t="shared" si="345"/>
        <v>9.3889091995097596E-2</v>
      </c>
      <c r="AH632" s="8">
        <f t="shared" si="346"/>
        <v>6.0472182827988955E-2</v>
      </c>
      <c r="AI632" s="8">
        <f t="shared" si="347"/>
        <v>0.11260426057295299</v>
      </c>
      <c r="AJ632" s="8">
        <f t="shared" si="348"/>
        <v>9.7498755696641973E-2</v>
      </c>
      <c r="AK632" s="8">
        <f t="shared" si="349"/>
        <v>0.10916072654598712</v>
      </c>
      <c r="AL632" s="9">
        <v>0</v>
      </c>
      <c r="AM632" s="17">
        <f t="shared" si="326"/>
        <v>13.875164427192846</v>
      </c>
      <c r="AN632" s="13">
        <f t="shared" si="327"/>
        <v>11.014049107244622</v>
      </c>
      <c r="AO632" s="13">
        <f t="shared" si="328"/>
        <v>13.712858065164703</v>
      </c>
      <c r="AP632" s="13">
        <f t="shared" si="329"/>
        <v>10.650864533360433</v>
      </c>
      <c r="AQ632" s="13">
        <f t="shared" si="330"/>
        <v>16.536528916848688</v>
      </c>
      <c r="AR632" s="13">
        <f t="shared" si="331"/>
        <v>8.8806586439251944</v>
      </c>
      <c r="AS632" s="13">
        <f t="shared" si="332"/>
        <v>10.256541151267655</v>
      </c>
      <c r="AT632" s="13">
        <f t="shared" si="333"/>
        <v>9.1608038132534872</v>
      </c>
      <c r="AU632" s="9">
        <v>0</v>
      </c>
      <c r="AV632" s="18">
        <f t="shared" si="350"/>
        <v>2</v>
      </c>
      <c r="AW632" s="18">
        <f t="shared" si="351"/>
        <v>4</v>
      </c>
      <c r="AX632" s="18">
        <f t="shared" si="352"/>
        <v>3</v>
      </c>
      <c r="AY632" s="18">
        <f t="shared" si="353"/>
        <v>5</v>
      </c>
      <c r="AZ632" s="18">
        <f t="shared" si="354"/>
        <v>1</v>
      </c>
      <c r="BA632" s="18">
        <f t="shared" si="355"/>
        <v>8</v>
      </c>
      <c r="BB632" s="18">
        <f t="shared" si="356"/>
        <v>6</v>
      </c>
      <c r="BC632" s="18">
        <f t="shared" si="357"/>
        <v>7</v>
      </c>
      <c r="BD632" s="18">
        <f t="shared" si="358"/>
        <v>9</v>
      </c>
      <c r="BE632" s="8">
        <f t="shared" si="360"/>
        <v>-1.5791143911240535E-2</v>
      </c>
    </row>
    <row r="633" spans="1:57" x14ac:dyDescent="0.25">
      <c r="A633" t="str">
        <f t="shared" si="359"/>
        <v/>
      </c>
      <c r="B633" s="1">
        <v>43668</v>
      </c>
      <c r="C633" s="9">
        <f t="shared" si="334"/>
        <v>0.24611391061126786</v>
      </c>
      <c r="D633" s="9">
        <f t="shared" si="335"/>
        <v>0</v>
      </c>
      <c r="E633" s="9">
        <f t="shared" si="336"/>
        <v>0.24788193229412153</v>
      </c>
      <c r="F633" s="9">
        <f t="shared" si="337"/>
        <v>0.25748160524982144</v>
      </c>
      <c r="G633" s="9">
        <f t="shared" si="338"/>
        <v>0.24852255184478908</v>
      </c>
      <c r="H633" s="9">
        <f t="shared" si="339"/>
        <v>0</v>
      </c>
      <c r="I633" s="9">
        <f t="shared" si="340"/>
        <v>0</v>
      </c>
      <c r="J633" s="9">
        <f t="shared" si="341"/>
        <v>0</v>
      </c>
      <c r="K633" s="9">
        <v>0</v>
      </c>
      <c r="L633" s="8">
        <f>+VLOOKUP($B633,NIFTY_50!$B$3:$I$1238,8,0)</f>
        <v>-6.3970926286751606E-3</v>
      </c>
      <c r="M633" s="8">
        <f>+VLOOKUP($B633,NIFTY_BANK!$B$3:$I$41238,8,0)</f>
        <v>-1.6304813346164848E-2</v>
      </c>
      <c r="N633" s="8">
        <f>+VLOOKUP($B633,NIFTY_IT!$B$3:$I$1238,8,0)</f>
        <v>4.1992635037848558E-3</v>
      </c>
      <c r="O633" s="8">
        <f>+VLOOKUP($B633,NIFTY_PHARMA!$B$3:$I$1238,8,0)</f>
        <v>1.0043407420305739E-2</v>
      </c>
      <c r="P633" s="8">
        <f>+VLOOKUP($B633,NIFTY_FMCG!$B$3:$I$1238,8,0)</f>
        <v>-1.0769079719094354E-2</v>
      </c>
      <c r="Q633" s="8">
        <f>+VLOOKUP($B633,NIFTY_METAL!$B$3:$I$1238,8,0)</f>
        <v>1.6868172948921289E-2</v>
      </c>
      <c r="R633" s="8">
        <f>+VLOOKUP($B633,NIFTY_ENERGY!$B$3:$I$1238,8,0)</f>
        <v>1.2927721686121663E-2</v>
      </c>
      <c r="S633" s="8">
        <f>+VLOOKUP($B633,NIFTY_AUTO!$B$3:$I$1238,8,0)</f>
        <v>3.8232942893885458E-3</v>
      </c>
      <c r="T633" s="8">
        <v>0</v>
      </c>
      <c r="U633" s="8">
        <f>+VLOOKUP($B633,NIFTY_50!$B$63:$K$1238,10,0)</f>
        <v>-1.9847183168552052E-2</v>
      </c>
      <c r="V633" s="8">
        <f>+VLOOKUP($B633,NIFTY_BANK!$B$63:$K$1238,10,0)</f>
        <v>-6.6062409047581427E-3</v>
      </c>
      <c r="W633" s="8">
        <f>+VLOOKUP($B633,NIFTY_IT!$B$63:$K$1238,10,0)</f>
        <v>-4.4416471301410909E-2</v>
      </c>
      <c r="X633" s="8">
        <f>+VLOOKUP($B633,NIFTY_PHARMA!$B$63:$K$1238,10,0)</f>
        <v>-0.1350492075664621</v>
      </c>
      <c r="Y633" s="8">
        <f>+VLOOKUP($B633,NIFTY_FMCG!$B$63:$K$1238,10,0)</f>
        <v>-5.837340814328873E-2</v>
      </c>
      <c r="Z633" s="8">
        <f>+VLOOKUP($B633,NIFTY_METAL!$B$63:$K$1238,10,0)</f>
        <v>-8.3464825772518125E-2</v>
      </c>
      <c r="AA633" s="8">
        <f>+VLOOKUP($B633,NIFTY_ENERGY!$B$63:$K$1238,10,0)</f>
        <v>-3.690032290905465E-2</v>
      </c>
      <c r="AB633" s="8">
        <f>+VLOOKUP($B633,NIFTY_AUTO!$B$63:$K$1238,10,0)</f>
        <v>-0.1684517845420308</v>
      </c>
      <c r="AC633" s="8"/>
      <c r="AD633" s="16">
        <f t="shared" si="342"/>
        <v>7.2320602709158452E-2</v>
      </c>
      <c r="AE633" s="8">
        <f t="shared" si="343"/>
        <v>9.1982132362665045E-2</v>
      </c>
      <c r="AF633" s="8">
        <f t="shared" si="344"/>
        <v>7.3070719063159789E-2</v>
      </c>
      <c r="AG633" s="8">
        <f t="shared" si="345"/>
        <v>9.3739852788197187E-2</v>
      </c>
      <c r="AH633" s="8">
        <f t="shared" si="346"/>
        <v>6.1187903949171514E-2</v>
      </c>
      <c r="AI633" s="8">
        <f t="shared" si="347"/>
        <v>0.11406448287316281</v>
      </c>
      <c r="AJ633" s="8">
        <f t="shared" si="348"/>
        <v>9.8318180200763258E-2</v>
      </c>
      <c r="AK633" s="8">
        <f t="shared" si="349"/>
        <v>0.10874156443338495</v>
      </c>
      <c r="AL633" s="9">
        <v>0</v>
      </c>
      <c r="AM633" s="17">
        <f t="shared" si="326"/>
        <v>13.82731839254104</v>
      </c>
      <c r="AN633" s="13">
        <f t="shared" si="327"/>
        <v>10.87167664321178</v>
      </c>
      <c r="AO633" s="13">
        <f t="shared" si="328"/>
        <v>13.685372373790859</v>
      </c>
      <c r="AP633" s="13">
        <f t="shared" si="329"/>
        <v>10.667821318852234</v>
      </c>
      <c r="AQ633" s="13">
        <f t="shared" si="330"/>
        <v>16.343099460159561</v>
      </c>
      <c r="AR633" s="13">
        <f t="shared" si="331"/>
        <v>8.7669708818298666</v>
      </c>
      <c r="AS633" s="13">
        <f t="shared" si="332"/>
        <v>10.171058882070692</v>
      </c>
      <c r="AT633" s="13">
        <f t="shared" si="333"/>
        <v>9.196115627089398</v>
      </c>
      <c r="AU633" s="9">
        <v>0</v>
      </c>
      <c r="AV633" s="18">
        <f t="shared" si="350"/>
        <v>2</v>
      </c>
      <c r="AW633" s="18">
        <f t="shared" si="351"/>
        <v>4</v>
      </c>
      <c r="AX633" s="18">
        <f t="shared" si="352"/>
        <v>3</v>
      </c>
      <c r="AY633" s="18">
        <f t="shared" si="353"/>
        <v>5</v>
      </c>
      <c r="AZ633" s="18">
        <f t="shared" si="354"/>
        <v>1</v>
      </c>
      <c r="BA633" s="18">
        <f t="shared" si="355"/>
        <v>8</v>
      </c>
      <c r="BB633" s="18">
        <f t="shared" si="356"/>
        <v>6</v>
      </c>
      <c r="BC633" s="18">
        <f t="shared" si="357"/>
        <v>7</v>
      </c>
      <c r="BD633" s="18">
        <f t="shared" si="358"/>
        <v>9</v>
      </c>
      <c r="BE633" s="8">
        <f t="shared" si="360"/>
        <v>-6.9271720084769723E-4</v>
      </c>
    </row>
    <row r="634" spans="1:57" x14ac:dyDescent="0.25">
      <c r="A634" t="str">
        <f t="shared" si="359"/>
        <v/>
      </c>
      <c r="B634" s="1">
        <v>43669</v>
      </c>
      <c r="C634" s="9">
        <f t="shared" si="334"/>
        <v>0.24554697152469784</v>
      </c>
      <c r="D634" s="9">
        <f t="shared" si="335"/>
        <v>0</v>
      </c>
      <c r="E634" s="9">
        <f t="shared" si="336"/>
        <v>0.24836535601930707</v>
      </c>
      <c r="F634" s="9">
        <f t="shared" si="337"/>
        <v>0.25542011025650474</v>
      </c>
      <c r="G634" s="9">
        <f t="shared" si="338"/>
        <v>0.25066756219949043</v>
      </c>
      <c r="H634" s="9">
        <f t="shared" si="339"/>
        <v>0</v>
      </c>
      <c r="I634" s="9">
        <f t="shared" si="340"/>
        <v>0</v>
      </c>
      <c r="J634" s="9">
        <f t="shared" si="341"/>
        <v>0</v>
      </c>
      <c r="K634" s="9">
        <v>0</v>
      </c>
      <c r="L634" s="8">
        <f>+VLOOKUP($B634,NIFTY_50!$B$3:$I$1238,8,0)</f>
        <v>-1.3352488057677414E-3</v>
      </c>
      <c r="M634" s="8">
        <f>+VLOOKUP($B634,NIFTY_BANK!$B$3:$I$41238,8,0)</f>
        <v>-5.3559934369019624E-3</v>
      </c>
      <c r="N634" s="8">
        <f>+VLOOKUP($B634,NIFTY_IT!$B$3:$I$1238,8,0)</f>
        <v>2.9226611428478932E-3</v>
      </c>
      <c r="O634" s="8">
        <f>+VLOOKUP($B634,NIFTY_PHARMA!$B$3:$I$1238,8,0)</f>
        <v>-7.0435976529551469E-3</v>
      </c>
      <c r="P634" s="8">
        <f>+VLOOKUP($B634,NIFTY_FMCG!$B$3:$I$1238,8,0)</f>
        <v>9.6099766846189372E-3</v>
      </c>
      <c r="Q634" s="8">
        <f>+VLOOKUP($B634,NIFTY_METAL!$B$3:$I$1238,8,0)</f>
        <v>-3.3535382518560253E-3</v>
      </c>
      <c r="R634" s="8">
        <f>+VLOOKUP($B634,NIFTY_ENERGY!$B$3:$I$1238,8,0)</f>
        <v>2.3832839382875726E-3</v>
      </c>
      <c r="S634" s="8">
        <f>+VLOOKUP($B634,NIFTY_AUTO!$B$3:$I$1238,8,0)</f>
        <v>-6.0385720716041869E-3</v>
      </c>
      <c r="T634" s="8">
        <v>0</v>
      </c>
      <c r="U634" s="8">
        <f>+VLOOKUP($B634,NIFTY_50!$B$63:$K$1238,10,0)</f>
        <v>-3.369392341049704E-2</v>
      </c>
      <c r="V634" s="8">
        <f>+VLOOKUP($B634,NIFTY_BANK!$B$63:$K$1238,10,0)</f>
        <v>-2.4537185875797007E-2</v>
      </c>
      <c r="W634" s="8">
        <f>+VLOOKUP($B634,NIFTY_IT!$B$63:$K$1238,10,0)</f>
        <v>-5.3569410550171503E-2</v>
      </c>
      <c r="X634" s="8">
        <f>+VLOOKUP($B634,NIFTY_PHARMA!$B$63:$K$1238,10,0)</f>
        <v>-0.14751559361454702</v>
      </c>
      <c r="Y634" s="8">
        <f>+VLOOKUP($B634,NIFTY_FMCG!$B$63:$K$1238,10,0)</f>
        <v>-5.3551520097939176E-2</v>
      </c>
      <c r="Z634" s="8">
        <f>+VLOOKUP($B634,NIFTY_METAL!$B$63:$K$1238,10,0)</f>
        <v>-8.8261832499384796E-2</v>
      </c>
      <c r="AA634" s="8">
        <f>+VLOOKUP($B634,NIFTY_ENERGY!$B$63:$K$1238,10,0)</f>
        <v>-5.2073654999003405E-2</v>
      </c>
      <c r="AB634" s="8">
        <f>+VLOOKUP($B634,NIFTY_AUTO!$B$63:$K$1238,10,0)</f>
        <v>-0.1699504397962075</v>
      </c>
      <c r="AC634" s="8"/>
      <c r="AD634" s="16">
        <f t="shared" si="342"/>
        <v>7.1078525101223894E-2</v>
      </c>
      <c r="AE634" s="8">
        <f t="shared" si="343"/>
        <v>9.1188530545370891E-2</v>
      </c>
      <c r="AF634" s="8">
        <f t="shared" si="344"/>
        <v>7.1926507586615757E-2</v>
      </c>
      <c r="AG634" s="8">
        <f t="shared" si="345"/>
        <v>9.3330159166838067E-2</v>
      </c>
      <c r="AH634" s="8">
        <f t="shared" si="346"/>
        <v>6.185267245860486E-2</v>
      </c>
      <c r="AI634" s="8">
        <f t="shared" si="347"/>
        <v>0.11403540831844892</v>
      </c>
      <c r="AJ634" s="8">
        <f t="shared" si="348"/>
        <v>9.6493952982043024E-2</v>
      </c>
      <c r="AK634" s="8">
        <f t="shared" si="349"/>
        <v>0.10877792984242568</v>
      </c>
      <c r="AL634" s="9">
        <v>0</v>
      </c>
      <c r="AM634" s="17">
        <f t="shared" si="326"/>
        <v>14.068946965006468</v>
      </c>
      <c r="AN634" s="13">
        <f t="shared" si="327"/>
        <v>10.966291418660919</v>
      </c>
      <c r="AO634" s="13">
        <f t="shared" si="328"/>
        <v>13.903080151580752</v>
      </c>
      <c r="AP634" s="13">
        <f t="shared" si="329"/>
        <v>10.71465010803623</v>
      </c>
      <c r="AQ634" s="13">
        <f t="shared" si="330"/>
        <v>16.167450172330934</v>
      </c>
      <c r="AR634" s="13">
        <f t="shared" si="331"/>
        <v>8.7692061154150984</v>
      </c>
      <c r="AS634" s="13">
        <f t="shared" si="332"/>
        <v>10.363343702854564</v>
      </c>
      <c r="AT634" s="13">
        <f t="shared" si="333"/>
        <v>9.1930412855676451</v>
      </c>
      <c r="AU634" s="9">
        <v>0</v>
      </c>
      <c r="AV634" s="18">
        <f t="shared" si="350"/>
        <v>2</v>
      </c>
      <c r="AW634" s="18">
        <f t="shared" si="351"/>
        <v>4</v>
      </c>
      <c r="AX634" s="18">
        <f t="shared" si="352"/>
        <v>3</v>
      </c>
      <c r="AY634" s="18">
        <f t="shared" si="353"/>
        <v>5</v>
      </c>
      <c r="AZ634" s="18">
        <f t="shared" si="354"/>
        <v>1</v>
      </c>
      <c r="BA634" s="18">
        <f t="shared" si="355"/>
        <v>8</v>
      </c>
      <c r="BB634" s="18">
        <f t="shared" si="356"/>
        <v>6</v>
      </c>
      <c r="BC634" s="18">
        <f t="shared" si="357"/>
        <v>7</v>
      </c>
      <c r="BD634" s="18">
        <f t="shared" si="358"/>
        <v>9</v>
      </c>
      <c r="BE634" s="8">
        <f t="shared" si="360"/>
        <v>9.7055068471721536E-4</v>
      </c>
    </row>
    <row r="635" spans="1:57" x14ac:dyDescent="0.25">
      <c r="A635" t="str">
        <f t="shared" si="359"/>
        <v/>
      </c>
      <c r="B635" s="1">
        <v>43670</v>
      </c>
      <c r="C635" s="9">
        <f t="shared" si="334"/>
        <v>0.24612676875966355</v>
      </c>
      <c r="D635" s="9">
        <f t="shared" si="335"/>
        <v>0</v>
      </c>
      <c r="E635" s="9">
        <f t="shared" si="336"/>
        <v>0.24845183656215236</v>
      </c>
      <c r="F635" s="9">
        <f t="shared" si="337"/>
        <v>0.25281605876615326</v>
      </c>
      <c r="G635" s="9">
        <f t="shared" si="338"/>
        <v>0.25260533591203066</v>
      </c>
      <c r="H635" s="9">
        <f t="shared" si="339"/>
        <v>0</v>
      </c>
      <c r="I635" s="9">
        <f t="shared" si="340"/>
        <v>0</v>
      </c>
      <c r="J635" s="9">
        <f t="shared" si="341"/>
        <v>0</v>
      </c>
      <c r="K635" s="9">
        <v>0</v>
      </c>
      <c r="L635" s="8">
        <f>+VLOOKUP($B635,NIFTY_50!$B$3:$I$1238,8,0)</f>
        <v>-5.2731212023598983E-3</v>
      </c>
      <c r="M635" s="8">
        <f>+VLOOKUP($B635,NIFTY_BANK!$B$3:$I$41238,8,0)</f>
        <v>-6.0371256621611913E-3</v>
      </c>
      <c r="N635" s="8">
        <f>+VLOOKUP($B635,NIFTY_IT!$B$3:$I$1238,8,0)</f>
        <v>-7.270837905172467E-3</v>
      </c>
      <c r="O635" s="8">
        <f>+VLOOKUP($B635,NIFTY_PHARMA!$B$3:$I$1238,8,0)</f>
        <v>-1.7733904621356378E-2</v>
      </c>
      <c r="P635" s="8">
        <f>+VLOOKUP($B635,NIFTY_FMCG!$B$3:$I$1238,8,0)</f>
        <v>5.51897319502892E-5</v>
      </c>
      <c r="Q635" s="8">
        <f>+VLOOKUP($B635,NIFTY_METAL!$B$3:$I$1238,8,0)</f>
        <v>-2.3679712100764805E-2</v>
      </c>
      <c r="R635" s="8">
        <f>+VLOOKUP($B635,NIFTY_ENERGY!$B$3:$I$1238,8,0)</f>
        <v>-1.1706935202647317E-2</v>
      </c>
      <c r="S635" s="8">
        <f>+VLOOKUP($B635,NIFTY_AUTO!$B$3:$I$1238,8,0)</f>
        <v>-1.9500741989646908E-2</v>
      </c>
      <c r="T635" s="8">
        <v>0</v>
      </c>
      <c r="U635" s="8">
        <f>+VLOOKUP($B635,NIFTY_50!$B$63:$K$1238,10,0)</f>
        <v>-3.1824975519249565E-2</v>
      </c>
      <c r="V635" s="8">
        <f>+VLOOKUP($B635,NIFTY_BANK!$B$63:$K$1238,10,0)</f>
        <v>-2.06046070291106E-2</v>
      </c>
      <c r="W635" s="8">
        <f>+VLOOKUP($B635,NIFTY_IT!$B$63:$K$1238,10,0)</f>
        <v>-5.9442419646788314E-2</v>
      </c>
      <c r="X635" s="8">
        <f>+VLOOKUP($B635,NIFTY_PHARMA!$B$63:$K$1238,10,0)</f>
        <v>-0.1611746826863506</v>
      </c>
      <c r="Y635" s="8">
        <f>+VLOOKUP($B635,NIFTY_FMCG!$B$63:$K$1238,10,0)</f>
        <v>-4.5398122569662802E-2</v>
      </c>
      <c r="Z635" s="8">
        <f>+VLOOKUP($B635,NIFTY_METAL!$B$63:$K$1238,10,0)</f>
        <v>-9.2992544548828215E-2</v>
      </c>
      <c r="AA635" s="8">
        <f>+VLOOKUP($B635,NIFTY_ENERGY!$B$63:$K$1238,10,0)</f>
        <v>-5.9583650125742182E-2</v>
      </c>
      <c r="AB635" s="8">
        <f>+VLOOKUP($B635,NIFTY_AUTO!$B$63:$K$1238,10,0)</f>
        <v>-0.18062622992815469</v>
      </c>
      <c r="AC635" s="8"/>
      <c r="AD635" s="16">
        <f t="shared" si="342"/>
        <v>7.0923601026195202E-2</v>
      </c>
      <c r="AE635" s="8">
        <f t="shared" si="343"/>
        <v>9.0849755561310086E-2</v>
      </c>
      <c r="AF635" s="8">
        <f t="shared" si="344"/>
        <v>7.2206988786148174E-2</v>
      </c>
      <c r="AG635" s="8">
        <f t="shared" si="345"/>
        <v>9.4533029512887112E-2</v>
      </c>
      <c r="AH635" s="8">
        <f t="shared" si="346"/>
        <v>6.13792542863398E-2</v>
      </c>
      <c r="AI635" s="8">
        <f t="shared" si="347"/>
        <v>0.11491106932456856</v>
      </c>
      <c r="AJ635" s="8">
        <f t="shared" si="348"/>
        <v>9.7056331250772065E-2</v>
      </c>
      <c r="AK635" s="8">
        <f t="shared" si="349"/>
        <v>0.10995262983468135</v>
      </c>
      <c r="AL635" s="9">
        <v>0</v>
      </c>
      <c r="AM635" s="17">
        <f t="shared" si="326"/>
        <v>14.099678887295303</v>
      </c>
      <c r="AN635" s="13">
        <f t="shared" si="327"/>
        <v>11.007184266171731</v>
      </c>
      <c r="AO635" s="13">
        <f t="shared" si="328"/>
        <v>13.84907495535716</v>
      </c>
      <c r="AP635" s="13">
        <f t="shared" si="329"/>
        <v>10.578313264187477</v>
      </c>
      <c r="AQ635" s="13">
        <f t="shared" si="330"/>
        <v>16.292149711283702</v>
      </c>
      <c r="AR635" s="13">
        <f t="shared" si="331"/>
        <v>8.7023818147186542</v>
      </c>
      <c r="AS635" s="13">
        <f t="shared" si="332"/>
        <v>10.303294871266269</v>
      </c>
      <c r="AT635" s="13">
        <f t="shared" si="333"/>
        <v>9.0948256672309178</v>
      </c>
      <c r="AU635" s="9">
        <v>0</v>
      </c>
      <c r="AV635" s="18">
        <f t="shared" si="350"/>
        <v>2</v>
      </c>
      <c r="AW635" s="18">
        <f t="shared" si="351"/>
        <v>4</v>
      </c>
      <c r="AX635" s="18">
        <f t="shared" si="352"/>
        <v>3</v>
      </c>
      <c r="AY635" s="18">
        <f t="shared" si="353"/>
        <v>5</v>
      </c>
      <c r="AZ635" s="18">
        <f t="shared" si="354"/>
        <v>1</v>
      </c>
      <c r="BA635" s="18">
        <f t="shared" si="355"/>
        <v>8</v>
      </c>
      <c r="BB635" s="18">
        <f t="shared" si="356"/>
        <v>6</v>
      </c>
      <c r="BC635" s="18">
        <f t="shared" si="357"/>
        <v>7</v>
      </c>
      <c r="BD635" s="18">
        <f t="shared" si="358"/>
        <v>9</v>
      </c>
      <c r="BE635" s="8">
        <f t="shared" si="360"/>
        <v>-7.616384784697742E-3</v>
      </c>
    </row>
    <row r="636" spans="1:57" x14ac:dyDescent="0.25">
      <c r="A636" t="str">
        <f t="shared" si="359"/>
        <v/>
      </c>
      <c r="B636" s="1">
        <v>43671</v>
      </c>
      <c r="C636" s="9">
        <f t="shared" si="334"/>
        <v>0.24410606186493636</v>
      </c>
      <c r="D636" s="9">
        <f t="shared" si="335"/>
        <v>0</v>
      </c>
      <c r="E636" s="9">
        <f t="shared" si="336"/>
        <v>0.24833832282395968</v>
      </c>
      <c r="F636" s="9">
        <f t="shared" si="337"/>
        <v>0.25667526760335735</v>
      </c>
      <c r="G636" s="9">
        <f t="shared" si="338"/>
        <v>0.25088034770774675</v>
      </c>
      <c r="H636" s="9">
        <f t="shared" si="339"/>
        <v>0</v>
      </c>
      <c r="I636" s="9">
        <f t="shared" si="340"/>
        <v>0</v>
      </c>
      <c r="J636" s="9">
        <f t="shared" si="341"/>
        <v>0</v>
      </c>
      <c r="K636" s="9">
        <v>0</v>
      </c>
      <c r="L636" s="8">
        <f>+VLOOKUP($B636,NIFTY_50!$B$3:$I$1238,8,0)</f>
        <v>-1.6990054385918052E-3</v>
      </c>
      <c r="M636" s="8">
        <f>+VLOOKUP($B636,NIFTY_BANK!$B$3:$I$41238,8,0)</f>
        <v>3.136198395634171E-3</v>
      </c>
      <c r="N636" s="8">
        <f>+VLOOKUP($B636,NIFTY_IT!$B$3:$I$1238,8,0)</f>
        <v>6.1050338897647993E-3</v>
      </c>
      <c r="O636" s="8">
        <f>+VLOOKUP($B636,NIFTY_PHARMA!$B$3:$I$1238,8,0)</f>
        <v>2.1930018369704651E-2</v>
      </c>
      <c r="P636" s="8">
        <f>+VLOOKUP($B636,NIFTY_FMCG!$B$3:$I$1238,8,0)</f>
        <v>-3.0870052599807352E-4</v>
      </c>
      <c r="Q636" s="8">
        <f>+VLOOKUP($B636,NIFTY_METAL!$B$3:$I$1238,8,0)</f>
        <v>-9.7863948837979553E-3</v>
      </c>
      <c r="R636" s="8">
        <f>+VLOOKUP($B636,NIFTY_ENERGY!$B$3:$I$1238,8,0)</f>
        <v>-1.4025543837598242E-2</v>
      </c>
      <c r="S636" s="8">
        <f>+VLOOKUP($B636,NIFTY_AUTO!$B$3:$I$1238,8,0)</f>
        <v>-3.7162306194664652E-3</v>
      </c>
      <c r="T636" s="8">
        <v>0</v>
      </c>
      <c r="U636" s="8">
        <f>+VLOOKUP($B636,NIFTY_50!$B$63:$K$1238,10,0)</f>
        <v>-4.2749039741719286E-2</v>
      </c>
      <c r="V636" s="8">
        <f>+VLOOKUP($B636,NIFTY_BANK!$B$63:$K$1238,10,0)</f>
        <v>-3.2333783130924387E-2</v>
      </c>
      <c r="W636" s="8">
        <f>+VLOOKUP($B636,NIFTY_IT!$B$63:$K$1238,10,0)</f>
        <v>-6.2395293390570483E-2</v>
      </c>
      <c r="X636" s="8">
        <f>+VLOOKUP($B636,NIFTY_PHARMA!$B$63:$K$1238,10,0)</f>
        <v>-0.14451419935106802</v>
      </c>
      <c r="Y636" s="8">
        <f>+VLOOKUP($B636,NIFTY_FMCG!$B$63:$K$1238,10,0)</f>
        <v>-4.787004262378558E-2</v>
      </c>
      <c r="Z636" s="8">
        <f>+VLOOKUP($B636,NIFTY_METAL!$B$63:$K$1238,10,0)</f>
        <v>-0.11824462934698765</v>
      </c>
      <c r="AA636" s="8">
        <f>+VLOOKUP($B636,NIFTY_ENERGY!$B$63:$K$1238,10,0)</f>
        <v>-8.3379484526671321E-2</v>
      </c>
      <c r="AB636" s="8">
        <f>+VLOOKUP($B636,NIFTY_AUTO!$B$63:$K$1238,10,0)</f>
        <v>-0.17462737526195571</v>
      </c>
      <c r="AC636" s="8"/>
      <c r="AD636" s="16">
        <f t="shared" si="342"/>
        <v>7.0184107882914973E-2</v>
      </c>
      <c r="AE636" s="8">
        <f t="shared" si="343"/>
        <v>8.9557141861043799E-2</v>
      </c>
      <c r="AF636" s="8">
        <f t="shared" si="344"/>
        <v>7.1825225985867894E-2</v>
      </c>
      <c r="AG636" s="8">
        <f t="shared" si="345"/>
        <v>9.7562324211037596E-2</v>
      </c>
      <c r="AH636" s="8">
        <f t="shared" si="346"/>
        <v>6.1305600007476903E-2</v>
      </c>
      <c r="AI636" s="8">
        <f t="shared" si="347"/>
        <v>0.11339179183535862</v>
      </c>
      <c r="AJ636" s="8">
        <f t="shared" si="348"/>
        <v>9.7079528615775693E-2</v>
      </c>
      <c r="AK636" s="8">
        <f t="shared" si="349"/>
        <v>0.10967340234217156</v>
      </c>
      <c r="AL636" s="9">
        <v>0</v>
      </c>
      <c r="AM636" s="17">
        <f t="shared" si="326"/>
        <v>14.248239810474695</v>
      </c>
      <c r="AN636" s="13">
        <f t="shared" si="327"/>
        <v>11.166055316410082</v>
      </c>
      <c r="AO636" s="13">
        <f t="shared" si="328"/>
        <v>13.922685049355179</v>
      </c>
      <c r="AP636" s="13">
        <f t="shared" si="329"/>
        <v>10.249858314536404</v>
      </c>
      <c r="AQ636" s="13">
        <f t="shared" si="330"/>
        <v>16.311723559969053</v>
      </c>
      <c r="AR636" s="13">
        <f t="shared" si="331"/>
        <v>8.8189804906863909</v>
      </c>
      <c r="AS636" s="13">
        <f t="shared" si="332"/>
        <v>10.3008328764948</v>
      </c>
      <c r="AT636" s="13">
        <f t="shared" si="333"/>
        <v>9.1179810112946633</v>
      </c>
      <c r="AU636" s="9">
        <v>0</v>
      </c>
      <c r="AV636" s="18">
        <f t="shared" si="350"/>
        <v>2</v>
      </c>
      <c r="AW636" s="18">
        <f t="shared" si="351"/>
        <v>4</v>
      </c>
      <c r="AX636" s="18">
        <f t="shared" si="352"/>
        <v>3</v>
      </c>
      <c r="AY636" s="18">
        <f t="shared" si="353"/>
        <v>6</v>
      </c>
      <c r="AZ636" s="18">
        <f t="shared" si="354"/>
        <v>1</v>
      </c>
      <c r="BA636" s="18">
        <f t="shared" si="355"/>
        <v>8</v>
      </c>
      <c r="BB636" s="18">
        <f t="shared" si="356"/>
        <v>5</v>
      </c>
      <c r="BC636" s="18">
        <f t="shared" si="357"/>
        <v>7</v>
      </c>
      <c r="BD636" s="18">
        <f t="shared" si="358"/>
        <v>9</v>
      </c>
      <c r="BE636" s="8">
        <f t="shared" si="360"/>
        <v>6.5649175763126573E-3</v>
      </c>
    </row>
    <row r="637" spans="1:57" x14ac:dyDescent="0.25">
      <c r="A637" t="str">
        <f t="shared" si="359"/>
        <v/>
      </c>
      <c r="B637" s="1">
        <v>43672</v>
      </c>
      <c r="C637" s="9">
        <f t="shared" si="334"/>
        <v>0.24413921909757819</v>
      </c>
      <c r="D637" s="9">
        <f t="shared" si="335"/>
        <v>0</v>
      </c>
      <c r="E637" s="9">
        <f t="shared" si="336"/>
        <v>0.24563824744557053</v>
      </c>
      <c r="F637" s="9">
        <f t="shared" si="337"/>
        <v>0.25865258226043986</v>
      </c>
      <c r="G637" s="9">
        <f t="shared" si="338"/>
        <v>0.2515699511964114</v>
      </c>
      <c r="H637" s="9">
        <f t="shared" si="339"/>
        <v>0</v>
      </c>
      <c r="I637" s="9">
        <f t="shared" si="340"/>
        <v>0</v>
      </c>
      <c r="J637" s="9">
        <f t="shared" si="341"/>
        <v>0</v>
      </c>
      <c r="K637" s="9">
        <v>0</v>
      </c>
      <c r="L637" s="8">
        <f>+VLOOKUP($B637,NIFTY_50!$B$3:$I$1238,8,0)</f>
        <v>2.8572317290473936E-3</v>
      </c>
      <c r="M637" s="8">
        <f>+VLOOKUP($B637,NIFTY_BANK!$B$3:$I$41238,8,0)</f>
        <v>9.7183319245051081E-3</v>
      </c>
      <c r="N637" s="8">
        <f>+VLOOKUP($B637,NIFTY_IT!$B$3:$I$1238,8,0)</f>
        <v>-8.181122028608101E-3</v>
      </c>
      <c r="O637" s="8">
        <f>+VLOOKUP($B637,NIFTY_PHARMA!$B$3:$I$1238,8,0)</f>
        <v>1.0445557703830266E-2</v>
      </c>
      <c r="P637" s="8">
        <f>+VLOOKUP($B637,NIFTY_FMCG!$B$3:$I$1238,8,0)</f>
        <v>5.4772448509585736E-3</v>
      </c>
      <c r="Q637" s="8">
        <f>+VLOOKUP($B637,NIFTY_METAL!$B$3:$I$1238,8,0)</f>
        <v>2.2520845741511586E-3</v>
      </c>
      <c r="R637" s="8">
        <f>+VLOOKUP($B637,NIFTY_ENERGY!$B$3:$I$1238,8,0)</f>
        <v>-9.341730045911989E-3</v>
      </c>
      <c r="S637" s="8">
        <f>+VLOOKUP($B637,NIFTY_AUTO!$B$3:$I$1238,8,0)</f>
        <v>2.1531834164223884E-2</v>
      </c>
      <c r="T637" s="8">
        <v>0</v>
      </c>
      <c r="U637" s="8">
        <f>+VLOOKUP($B637,NIFTY_50!$B$63:$K$1238,10,0)</f>
        <v>-3.9482812187450866E-2</v>
      </c>
      <c r="V637" s="8">
        <f>+VLOOKUP($B637,NIFTY_BANK!$B$63:$K$1238,10,0)</f>
        <v>-1.4765763586518266E-2</v>
      </c>
      <c r="W637" s="8">
        <f>+VLOOKUP($B637,NIFTY_IT!$B$63:$K$1238,10,0)</f>
        <v>-8.1252169957020004E-2</v>
      </c>
      <c r="X637" s="8">
        <f>+VLOOKUP($B637,NIFTY_PHARMA!$B$63:$K$1238,10,0)</f>
        <v>-0.13013560223344856</v>
      </c>
      <c r="Y637" s="8">
        <f>+VLOOKUP($B637,NIFTY_FMCG!$B$63:$K$1238,10,0)</f>
        <v>-3.9377787446970625E-2</v>
      </c>
      <c r="Z637" s="8">
        <f>+VLOOKUP($B637,NIFTY_METAL!$B$63:$K$1238,10,0)</f>
        <v>-0.12840309475251699</v>
      </c>
      <c r="AA637" s="8">
        <f>+VLOOKUP($B637,NIFTY_ENERGY!$B$63:$K$1238,10,0)</f>
        <v>-9.5712121212121248E-2</v>
      </c>
      <c r="AB637" s="8">
        <f>+VLOOKUP($B637,NIFTY_AUTO!$B$63:$K$1238,10,0)</f>
        <v>-0.14239695351232251</v>
      </c>
      <c r="AC637" s="8"/>
      <c r="AD637" s="16">
        <f t="shared" si="342"/>
        <v>7.0271513430712321E-2</v>
      </c>
      <c r="AE637" s="8">
        <f t="shared" si="343"/>
        <v>8.9766327829529827E-2</v>
      </c>
      <c r="AF637" s="8">
        <f t="shared" si="344"/>
        <v>7.0918976852534635E-2</v>
      </c>
      <c r="AG637" s="8">
        <f t="shared" si="345"/>
        <v>9.8318617077924442E-2</v>
      </c>
      <c r="AH637" s="8">
        <f t="shared" si="346"/>
        <v>6.1556370354173759E-2</v>
      </c>
      <c r="AI637" s="8">
        <f t="shared" si="347"/>
        <v>0.11234194676421168</v>
      </c>
      <c r="AJ637" s="8">
        <f t="shared" si="348"/>
        <v>9.7236174112916393E-2</v>
      </c>
      <c r="AK637" s="8">
        <f t="shared" si="349"/>
        <v>0.11143208671584126</v>
      </c>
      <c r="AL637" s="9">
        <v>0</v>
      </c>
      <c r="AM637" s="17">
        <f t="shared" si="326"/>
        <v>14.230517476843579</v>
      </c>
      <c r="AN637" s="13">
        <f t="shared" si="327"/>
        <v>11.140034622994088</v>
      </c>
      <c r="AO637" s="13">
        <f t="shared" si="328"/>
        <v>14.100598237328633</v>
      </c>
      <c r="AP637" s="13">
        <f t="shared" si="329"/>
        <v>10.171013687137497</v>
      </c>
      <c r="AQ637" s="13">
        <f t="shared" si="330"/>
        <v>16.245272329189504</v>
      </c>
      <c r="AR637" s="13">
        <f t="shared" si="331"/>
        <v>8.9013946153064705</v>
      </c>
      <c r="AS637" s="13">
        <f t="shared" si="332"/>
        <v>10.284238444416179</v>
      </c>
      <c r="AT637" s="13">
        <f t="shared" si="333"/>
        <v>8.974075865150601</v>
      </c>
      <c r="AU637" s="9">
        <v>0</v>
      </c>
      <c r="AV637" s="18">
        <f t="shared" si="350"/>
        <v>2</v>
      </c>
      <c r="AW637" s="18">
        <f t="shared" si="351"/>
        <v>4</v>
      </c>
      <c r="AX637" s="18">
        <f t="shared" si="352"/>
        <v>3</v>
      </c>
      <c r="AY637" s="18">
        <f t="shared" si="353"/>
        <v>6</v>
      </c>
      <c r="AZ637" s="18">
        <f t="shared" si="354"/>
        <v>1</v>
      </c>
      <c r="BA637" s="18">
        <f t="shared" si="355"/>
        <v>8</v>
      </c>
      <c r="BB637" s="18">
        <f t="shared" si="356"/>
        <v>5</v>
      </c>
      <c r="BC637" s="18">
        <f t="shared" si="357"/>
        <v>7</v>
      </c>
      <c r="BD637" s="18">
        <f t="shared" si="358"/>
        <v>9</v>
      </c>
      <c r="BE637" s="8">
        <f t="shared" si="360"/>
        <v>2.7210308733965124E-3</v>
      </c>
    </row>
    <row r="638" spans="1:57" x14ac:dyDescent="0.25">
      <c r="A638" t="str">
        <f t="shared" si="359"/>
        <v/>
      </c>
      <c r="B638" s="1">
        <v>43675</v>
      </c>
      <c r="C638" s="9">
        <f t="shared" si="334"/>
        <v>0.24380198635914963</v>
      </c>
      <c r="D638" s="9">
        <f t="shared" si="335"/>
        <v>0</v>
      </c>
      <c r="E638" s="9">
        <f t="shared" si="336"/>
        <v>0.24823484927547684</v>
      </c>
      <c r="F638" s="9">
        <f t="shared" si="337"/>
        <v>0.25606041266689644</v>
      </c>
      <c r="G638" s="9">
        <f t="shared" si="338"/>
        <v>0.25190275169847709</v>
      </c>
      <c r="H638" s="9">
        <f t="shared" si="339"/>
        <v>0</v>
      </c>
      <c r="I638" s="9">
        <f t="shared" si="340"/>
        <v>0</v>
      </c>
      <c r="J638" s="9">
        <f t="shared" si="341"/>
        <v>0</v>
      </c>
      <c r="K638" s="9">
        <v>0</v>
      </c>
      <c r="L638" s="8">
        <f>+VLOOKUP($B638,NIFTY_50!$B$3:$I$1238,8,0)</f>
        <v>-8.4276384002550664E-3</v>
      </c>
      <c r="M638" s="8">
        <f>+VLOOKUP($B638,NIFTY_BANK!$B$3:$I$41238,8,0)</f>
        <v>-1.0025472885186737E-3</v>
      </c>
      <c r="N638" s="8">
        <f>+VLOOKUP($B638,NIFTY_IT!$B$3:$I$1238,8,0)</f>
        <v>3.4401764393523493E-3</v>
      </c>
      <c r="O638" s="8">
        <f>+VLOOKUP($B638,NIFTY_PHARMA!$B$3:$I$1238,8,0)</f>
        <v>-1.7007177004242591E-2</v>
      </c>
      <c r="P638" s="8">
        <f>+VLOOKUP($B638,NIFTY_FMCG!$B$3:$I$1238,8,0)</f>
        <v>-5.7425117440970119E-3</v>
      </c>
      <c r="Q638" s="8">
        <f>+VLOOKUP($B638,NIFTY_METAL!$B$3:$I$1238,8,0)</f>
        <v>-2.9916990101951701E-2</v>
      </c>
      <c r="R638" s="8">
        <f>+VLOOKUP($B638,NIFTY_ENERGY!$B$3:$I$1238,8,0)</f>
        <v>-1.0492099927952636E-2</v>
      </c>
      <c r="S638" s="8">
        <f>+VLOOKUP($B638,NIFTY_AUTO!$B$3:$I$1238,8,0)</f>
        <v>-3.5718773999860343E-2</v>
      </c>
      <c r="T638" s="8">
        <v>0</v>
      </c>
      <c r="U638" s="8">
        <f>+VLOOKUP($B638,NIFTY_50!$B$63:$K$1238,10,0)</f>
        <v>-4.5676880104053352E-2</v>
      </c>
      <c r="V638" s="8">
        <f>+VLOOKUP($B638,NIFTY_BANK!$B$63:$K$1238,10,0)</f>
        <v>-1.389160041200177E-2</v>
      </c>
      <c r="W638" s="8">
        <f>+VLOOKUP($B638,NIFTY_IT!$B$63:$K$1238,10,0)</f>
        <v>-6.1135597456671409E-2</v>
      </c>
      <c r="X638" s="8">
        <f>+VLOOKUP($B638,NIFTY_PHARMA!$B$63:$K$1238,10,0)</f>
        <v>-0.13469589831347595</v>
      </c>
      <c r="Y638" s="8">
        <f>+VLOOKUP($B638,NIFTY_FMCG!$B$63:$K$1238,10,0)</f>
        <v>-3.7097162796493999E-2</v>
      </c>
      <c r="Z638" s="8">
        <f>+VLOOKUP($B638,NIFTY_METAL!$B$63:$K$1238,10,0)</f>
        <v>-0.15349214065791605</v>
      </c>
      <c r="AA638" s="8">
        <f>+VLOOKUP($B638,NIFTY_ENERGY!$B$63:$K$1238,10,0)</f>
        <v>-0.10514847824571705</v>
      </c>
      <c r="AB638" s="8">
        <f>+VLOOKUP($B638,NIFTY_AUTO!$B$63:$K$1238,10,0)</f>
        <v>-0.17136737522273626</v>
      </c>
      <c r="AC638" s="8"/>
      <c r="AD638" s="16">
        <f t="shared" si="342"/>
        <v>7.0685820848203768E-2</v>
      </c>
      <c r="AE638" s="8">
        <f t="shared" si="343"/>
        <v>8.9753753600578454E-2</v>
      </c>
      <c r="AF638" s="8">
        <f t="shared" si="344"/>
        <v>6.9032726706294303E-2</v>
      </c>
      <c r="AG638" s="8">
        <f t="shared" si="345"/>
        <v>9.895784088049317E-2</v>
      </c>
      <c r="AH638" s="8">
        <f t="shared" si="346"/>
        <v>6.1314429022981745E-2</v>
      </c>
      <c r="AI638" s="8">
        <f t="shared" si="347"/>
        <v>0.11566061236053465</v>
      </c>
      <c r="AJ638" s="8">
        <f t="shared" si="348"/>
        <v>9.7623716900868129E-2</v>
      </c>
      <c r="AK638" s="8">
        <f t="shared" si="349"/>
        <v>0.11622201158545779</v>
      </c>
      <c r="AL638" s="9">
        <v>0</v>
      </c>
      <c r="AM638" s="17">
        <f t="shared" si="326"/>
        <v>14.147108826075286</v>
      </c>
      <c r="AN638" s="13">
        <f t="shared" si="327"/>
        <v>11.141595308093667</v>
      </c>
      <c r="AO638" s="13">
        <f t="shared" si="328"/>
        <v>14.485882967575456</v>
      </c>
      <c r="AP638" s="13">
        <f t="shared" si="329"/>
        <v>10.105313445628365</v>
      </c>
      <c r="AQ638" s="13">
        <f t="shared" si="330"/>
        <v>16.309374741550346</v>
      </c>
      <c r="AR638" s="13">
        <f t="shared" si="331"/>
        <v>8.6459856954831142</v>
      </c>
      <c r="AS638" s="13">
        <f t="shared" si="332"/>
        <v>10.243412479525325</v>
      </c>
      <c r="AT638" s="13">
        <f t="shared" si="333"/>
        <v>8.6042220949230614</v>
      </c>
      <c r="AU638" s="9">
        <v>0</v>
      </c>
      <c r="AV638" s="18">
        <f t="shared" si="350"/>
        <v>3</v>
      </c>
      <c r="AW638" s="18">
        <f t="shared" si="351"/>
        <v>4</v>
      </c>
      <c r="AX638" s="18">
        <f t="shared" si="352"/>
        <v>2</v>
      </c>
      <c r="AY638" s="18">
        <f t="shared" si="353"/>
        <v>6</v>
      </c>
      <c r="AZ638" s="18">
        <f t="shared" si="354"/>
        <v>1</v>
      </c>
      <c r="BA638" s="18">
        <f t="shared" si="355"/>
        <v>7</v>
      </c>
      <c r="BB638" s="18">
        <f t="shared" si="356"/>
        <v>5</v>
      </c>
      <c r="BC638" s="18">
        <f t="shared" si="357"/>
        <v>8</v>
      </c>
      <c r="BD638" s="18">
        <f t="shared" si="358"/>
        <v>9</v>
      </c>
      <c r="BE638" s="8">
        <f t="shared" si="360"/>
        <v>-7.0560717947240024E-3</v>
      </c>
    </row>
    <row r="639" spans="1:57" x14ac:dyDescent="0.25">
      <c r="A639" t="str">
        <f t="shared" si="359"/>
        <v/>
      </c>
      <c r="B639" s="1">
        <v>43676</v>
      </c>
      <c r="C639" s="9">
        <f t="shared" si="334"/>
        <v>0.24318359459255504</v>
      </c>
      <c r="D639" s="9">
        <f t="shared" si="335"/>
        <v>0</v>
      </c>
      <c r="E639" s="9">
        <f t="shared" si="336"/>
        <v>0.2515594806449859</v>
      </c>
      <c r="F639" s="9">
        <f t="shared" si="337"/>
        <v>0.25260625029971046</v>
      </c>
      <c r="G639" s="9">
        <f t="shared" si="338"/>
        <v>0.25265067446274869</v>
      </c>
      <c r="H639" s="9">
        <f t="shared" si="339"/>
        <v>0</v>
      </c>
      <c r="I639" s="9">
        <f t="shared" si="340"/>
        <v>0</v>
      </c>
      <c r="J639" s="9">
        <f t="shared" si="341"/>
        <v>0</v>
      </c>
      <c r="K639" s="9">
        <v>0</v>
      </c>
      <c r="L639" s="8">
        <f>+VLOOKUP($B639,NIFTY_50!$B$3:$I$1238,8,0)</f>
        <v>-9.2768026311086382E-3</v>
      </c>
      <c r="M639" s="8">
        <f>+VLOOKUP($B639,NIFTY_BANK!$B$3:$I$41238,8,0)</f>
        <v>-1.7214012882348806E-2</v>
      </c>
      <c r="N639" s="8">
        <f>+VLOOKUP($B639,NIFTY_IT!$B$3:$I$1238,8,0)</f>
        <v>6.5450932903052816E-3</v>
      </c>
      <c r="O639" s="8">
        <f>+VLOOKUP($B639,NIFTY_PHARMA!$B$3:$I$1238,8,0)</f>
        <v>-2.0155974029204771E-2</v>
      </c>
      <c r="P639" s="8">
        <f>+VLOOKUP($B639,NIFTY_FMCG!$B$3:$I$1238,8,0)</f>
        <v>-3.8084621371219374E-3</v>
      </c>
      <c r="Q639" s="8">
        <f>+VLOOKUP($B639,NIFTY_METAL!$B$3:$I$1238,8,0)</f>
        <v>-3.250507293541105E-2</v>
      </c>
      <c r="R639" s="8">
        <f>+VLOOKUP($B639,NIFTY_ENERGY!$B$3:$I$1238,8,0)</f>
        <v>-1.8145243223473106E-2</v>
      </c>
      <c r="S639" s="8">
        <f>+VLOOKUP($B639,NIFTY_AUTO!$B$3:$I$1238,8,0)</f>
        <v>-2.0555483151599385E-2</v>
      </c>
      <c r="T639" s="8">
        <v>0</v>
      </c>
      <c r="U639" s="8">
        <f>+VLOOKUP($B639,NIFTY_50!$B$63:$K$1238,10,0)</f>
        <v>-5.3520886251574251E-2</v>
      </c>
      <c r="V639" s="8">
        <f>+VLOOKUP($B639,NIFTY_BANK!$B$63:$K$1238,10,0)</f>
        <v>-3.8810982785356996E-2</v>
      </c>
      <c r="W639" s="8">
        <f>+VLOOKUP($B639,NIFTY_IT!$B$63:$K$1238,10,0)</f>
        <v>-3.6742797311866471E-2</v>
      </c>
      <c r="X639" s="8">
        <f>+VLOOKUP($B639,NIFTY_PHARMA!$B$63:$K$1238,10,0)</f>
        <v>-0.14562195988265225</v>
      </c>
      <c r="Y639" s="8">
        <f>+VLOOKUP($B639,NIFTY_FMCG!$B$63:$K$1238,10,0)</f>
        <v>-2.9779281391436485E-2</v>
      </c>
      <c r="Z639" s="8">
        <f>+VLOOKUP($B639,NIFTY_METAL!$B$63:$K$1238,10,0)</f>
        <v>-0.17987829614604467</v>
      </c>
      <c r="AA639" s="8">
        <f>+VLOOKUP($B639,NIFTY_ENERGY!$B$63:$K$1238,10,0)</f>
        <v>-0.12505809286408387</v>
      </c>
      <c r="AB639" s="8">
        <f>+VLOOKUP($B639,NIFTY_AUTO!$B$63:$K$1238,10,0)</f>
        <v>-0.19300956278448245</v>
      </c>
      <c r="AC639" s="8"/>
      <c r="AD639" s="16">
        <f t="shared" si="342"/>
        <v>7.1192629090300621E-2</v>
      </c>
      <c r="AE639" s="8">
        <f t="shared" si="343"/>
        <v>9.0910747336650138E-2</v>
      </c>
      <c r="AF639" s="8">
        <f t="shared" si="344"/>
        <v>6.7004000290590171E-2</v>
      </c>
      <c r="AG639" s="8">
        <f t="shared" si="345"/>
        <v>0.10040341401640764</v>
      </c>
      <c r="AH639" s="8">
        <f t="shared" si="346"/>
        <v>6.0445786219179891E-2</v>
      </c>
      <c r="AI639" s="8">
        <f t="shared" si="347"/>
        <v>0.1193866740464402</v>
      </c>
      <c r="AJ639" s="8">
        <f t="shared" si="348"/>
        <v>9.877251087077174E-2</v>
      </c>
      <c r="AK639" s="8">
        <f t="shared" si="349"/>
        <v>0.11717647771647911</v>
      </c>
      <c r="AL639" s="9">
        <v>0</v>
      </c>
      <c r="AM639" s="17">
        <f t="shared" si="326"/>
        <v>14.04639795970453</v>
      </c>
      <c r="AN639" s="13">
        <f t="shared" si="327"/>
        <v>10.999799575917201</v>
      </c>
      <c r="AO639" s="13">
        <f t="shared" si="328"/>
        <v>14.924482055744317</v>
      </c>
      <c r="AP639" s="13">
        <f t="shared" si="329"/>
        <v>9.95982068733821</v>
      </c>
      <c r="AQ639" s="13">
        <f t="shared" si="330"/>
        <v>16.54375040096166</v>
      </c>
      <c r="AR639" s="13">
        <f t="shared" si="331"/>
        <v>8.3761442220176949</v>
      </c>
      <c r="AS639" s="13">
        <f t="shared" si="332"/>
        <v>10.1242743672715</v>
      </c>
      <c r="AT639" s="13">
        <f t="shared" si="333"/>
        <v>8.5341360270241768</v>
      </c>
      <c r="AU639" s="9">
        <v>0</v>
      </c>
      <c r="AV639" s="18">
        <f t="shared" si="350"/>
        <v>3</v>
      </c>
      <c r="AW639" s="18">
        <f t="shared" si="351"/>
        <v>4</v>
      </c>
      <c r="AX639" s="18">
        <f t="shared" si="352"/>
        <v>2</v>
      </c>
      <c r="AY639" s="18">
        <f t="shared" si="353"/>
        <v>6</v>
      </c>
      <c r="AZ639" s="18">
        <f t="shared" si="354"/>
        <v>1</v>
      </c>
      <c r="BA639" s="18">
        <f t="shared" si="355"/>
        <v>8</v>
      </c>
      <c r="BB639" s="18">
        <f t="shared" si="356"/>
        <v>5</v>
      </c>
      <c r="BC639" s="18">
        <f t="shared" si="357"/>
        <v>7</v>
      </c>
      <c r="BD639" s="18">
        <f t="shared" si="358"/>
        <v>9</v>
      </c>
      <c r="BE639" s="8">
        <f t="shared" si="360"/>
        <v>-6.7574917818151049E-3</v>
      </c>
    </row>
    <row r="640" spans="1:57" x14ac:dyDescent="0.25">
      <c r="A640" t="str">
        <f t="shared" si="359"/>
        <v>Y</v>
      </c>
      <c r="B640" s="1">
        <v>43677</v>
      </c>
      <c r="C640" s="9">
        <f t="shared" si="334"/>
        <v>0.25</v>
      </c>
      <c r="D640" s="9">
        <f t="shared" si="335"/>
        <v>0.25</v>
      </c>
      <c r="E640" s="9">
        <f t="shared" si="336"/>
        <v>0.25</v>
      </c>
      <c r="F640" s="9">
        <f t="shared" si="337"/>
        <v>0</v>
      </c>
      <c r="G640" s="9">
        <f t="shared" si="338"/>
        <v>0.25</v>
      </c>
      <c r="H640" s="9">
        <f t="shared" si="339"/>
        <v>0</v>
      </c>
      <c r="I640" s="9">
        <f t="shared" si="340"/>
        <v>0</v>
      </c>
      <c r="J640" s="9">
        <f t="shared" si="341"/>
        <v>0</v>
      </c>
      <c r="K640" s="9">
        <v>0</v>
      </c>
      <c r="L640" s="8">
        <f>+VLOOKUP($B640,NIFTY_50!$B$3:$I$1238,8,0)</f>
        <v>2.94080502282279E-3</v>
      </c>
      <c r="M640" s="8">
        <f>+VLOOKUP($B640,NIFTY_BANK!$B$3:$I$41238,8,0)</f>
        <v>2.9314105502995513E-3</v>
      </c>
      <c r="N640" s="8">
        <f>+VLOOKUP($B640,NIFTY_IT!$B$3:$I$1238,8,0)</f>
        <v>7.6475730002936171E-3</v>
      </c>
      <c r="O640" s="8">
        <f>+VLOOKUP($B640,NIFTY_PHARMA!$B$3:$I$1238,8,0)</f>
        <v>1.3931642918346032E-2</v>
      </c>
      <c r="P640" s="8">
        <f>+VLOOKUP($B640,NIFTY_FMCG!$B$3:$I$1238,8,0)</f>
        <v>6.9756726232133026E-3</v>
      </c>
      <c r="Q640" s="8">
        <f>+VLOOKUP($B640,NIFTY_METAL!$B$3:$I$1238,8,0)</f>
        <v>2.4198654531064623E-2</v>
      </c>
      <c r="R640" s="8">
        <f>+VLOOKUP($B640,NIFTY_ENERGY!$B$3:$I$1238,8,0)</f>
        <v>4.3562840173010375E-3</v>
      </c>
      <c r="S640" s="8">
        <f>+VLOOKUP($B640,NIFTY_AUTO!$B$3:$I$1238,8,0)</f>
        <v>1.2995749399371537E-2</v>
      </c>
      <c r="T640" s="8">
        <v>0</v>
      </c>
      <c r="U640" s="8">
        <f>+VLOOKUP($B640,NIFTY_50!$B$63:$K$1238,10,0)</f>
        <v>-4.140710883107368E-2</v>
      </c>
      <c r="V640" s="8">
        <f>+VLOOKUP($B640,NIFTY_BANK!$B$63:$K$1238,10,0)</f>
        <v>-2.5067145647392097E-2</v>
      </c>
      <c r="W640" s="8">
        <f>+VLOOKUP($B640,NIFTY_IT!$B$63:$K$1238,10,0)</f>
        <v>-3.048472039897332E-2</v>
      </c>
      <c r="X640" s="8">
        <f>+VLOOKUP($B640,NIFTY_PHARMA!$B$63:$K$1238,10,0)</f>
        <v>-0.13082510405614955</v>
      </c>
      <c r="Y640" s="8">
        <f>+VLOOKUP($B640,NIFTY_FMCG!$B$63:$K$1238,10,0)</f>
        <v>-1.7240417435170907E-2</v>
      </c>
      <c r="Z640" s="8">
        <f>+VLOOKUP($B640,NIFTY_METAL!$B$63:$K$1238,10,0)</f>
        <v>-0.1426418219461697</v>
      </c>
      <c r="AA640" s="8">
        <f>+VLOOKUP($B640,NIFTY_ENERGY!$B$63:$K$1238,10,0)</f>
        <v>-0.11777751520164337</v>
      </c>
      <c r="AB640" s="8">
        <f>+VLOOKUP($B640,NIFTY_AUTO!$B$63:$K$1238,10,0)</f>
        <v>-0.17135013212875461</v>
      </c>
      <c r="AC640" s="8"/>
      <c r="AD640" s="16">
        <f t="shared" si="342"/>
        <v>7.072104430601038E-2</v>
      </c>
      <c r="AE640" s="8">
        <f t="shared" si="343"/>
        <v>9.0337798484597429E-2</v>
      </c>
      <c r="AF640" s="8">
        <f t="shared" si="344"/>
        <v>6.7479797884455739E-2</v>
      </c>
      <c r="AG640" s="8">
        <f t="shared" si="345"/>
        <v>0.1017106687599775</v>
      </c>
      <c r="AH640" s="8">
        <f t="shared" si="346"/>
        <v>6.0639332889020417E-2</v>
      </c>
      <c r="AI640" s="8">
        <f t="shared" si="347"/>
        <v>0.1211329988683077</v>
      </c>
      <c r="AJ640" s="8">
        <f t="shared" si="348"/>
        <v>9.8961319111666252E-2</v>
      </c>
      <c r="AK640" s="8">
        <f t="shared" si="349"/>
        <v>0.11783815862877019</v>
      </c>
      <c r="AL640" s="9">
        <v>0</v>
      </c>
      <c r="AM640" s="17">
        <f t="shared" ref="AM640:AM703" si="361">1/AD640</f>
        <v>14.140062690151945</v>
      </c>
      <c r="AN640" s="13">
        <f t="shared" ref="AN640:AN703" si="362">1/AE640</f>
        <v>11.069563535694305</v>
      </c>
      <c r="AO640" s="13">
        <f t="shared" ref="AO640:AO703" si="363">1/AF640</f>
        <v>14.819250077071649</v>
      </c>
      <c r="AP640" s="13">
        <f t="shared" ref="AP640:AP703" si="364">1/AG640</f>
        <v>9.8318102927811406</v>
      </c>
      <c r="AQ640" s="13">
        <f t="shared" ref="AQ640:AQ703" si="365">1/AH640</f>
        <v>16.490946591219242</v>
      </c>
      <c r="AR640" s="13">
        <f t="shared" ref="AR640:AR703" si="366">1/AI640</f>
        <v>8.2553887821036369</v>
      </c>
      <c r="AS640" s="13">
        <f t="shared" ref="AS640:AS703" si="367">1/AJ640</f>
        <v>10.104958270327998</v>
      </c>
      <c r="AT640" s="13">
        <f t="shared" ref="AT640:AT703" si="368">1/AK640</f>
        <v>8.4862154300147896</v>
      </c>
      <c r="AU640" s="9">
        <v>0</v>
      </c>
      <c r="AV640" s="18">
        <f t="shared" si="350"/>
        <v>3</v>
      </c>
      <c r="AW640" s="18">
        <f t="shared" si="351"/>
        <v>4</v>
      </c>
      <c r="AX640" s="18">
        <f t="shared" si="352"/>
        <v>2</v>
      </c>
      <c r="AY640" s="18">
        <f t="shared" si="353"/>
        <v>6</v>
      </c>
      <c r="AZ640" s="18">
        <f t="shared" si="354"/>
        <v>1</v>
      </c>
      <c r="BA640" s="18">
        <f t="shared" si="355"/>
        <v>8</v>
      </c>
      <c r="BB640" s="18">
        <f t="shared" si="356"/>
        <v>5</v>
      </c>
      <c r="BC640" s="18">
        <f t="shared" si="357"/>
        <v>7</v>
      </c>
      <c r="BD640" s="18">
        <f t="shared" si="358"/>
        <v>9</v>
      </c>
      <c r="BE640" s="8">
        <f t="shared" si="360"/>
        <v>7.920603499798444E-3</v>
      </c>
    </row>
    <row r="641" spans="1:57" x14ac:dyDescent="0.25">
      <c r="A641" t="str">
        <f t="shared" si="359"/>
        <v/>
      </c>
      <c r="B641" s="1">
        <v>43678</v>
      </c>
      <c r="C641" s="9">
        <f t="shared" ref="C641:C704" si="369">+IF($A641="Y",IF(AV641&lt;=4,0.25,0),C640*(1+L641)/SUMPRODUCT($C640:$J640,1+$L641:$S641))</f>
        <v>0.25023202148662421</v>
      </c>
      <c r="D641" s="9">
        <f t="shared" ref="D641:D704" si="370">+IF($A641="Y",IF(AW641&lt;=4,0.25,0),D640*(1+M641)/SUMPRODUCT($C640:$J640,1+$L641:$S641))</f>
        <v>0.24891290703039953</v>
      </c>
      <c r="E641" s="9">
        <f t="shared" ref="E641:E704" si="371">+IF($A641="Y",IF(AX641&lt;=4,0.25,0),E640*(1+N641)/SUMPRODUCT($C640:$J640,1+$L641:$S641))</f>
        <v>0.24870371173101224</v>
      </c>
      <c r="F641" s="9">
        <f t="shared" ref="F641:F704" si="372">+IF($A641="Y",IF(AY641&lt;=4,0.25,0),F640*(1+O641)/SUMPRODUCT($C640:$J640,1+$L641:$S641))</f>
        <v>0</v>
      </c>
      <c r="G641" s="9">
        <f t="shared" ref="G641:G704" si="373">+IF($A641="Y",IF(AZ641&lt;=4,0.25,0),G640*(1+P641)/SUMPRODUCT($C640:$J640,1+$L641:$S641))</f>
        <v>0.25215135975196401</v>
      </c>
      <c r="H641" s="9">
        <f t="shared" ref="H641:H704" si="374">+IF($A641="Y",IF(BA641&lt;=4,0.25,0),H640*(1+Q641)/SUMPRODUCT($C640:$J640,1+$L641:$S641))</f>
        <v>0</v>
      </c>
      <c r="I641" s="9">
        <f t="shared" ref="I641:I704" si="375">+IF($A641="Y",IF(BB641&lt;=4,0.25,0),I640*(1+R641)/SUMPRODUCT($C640:$J640,1+$L641:$S641))</f>
        <v>0</v>
      </c>
      <c r="J641" s="9">
        <f t="shared" ref="J641:J704" si="376">+IF($A641="Y",IF(BC641&lt;=4,0.25,0),J640*(1+S641)/SUMPRODUCT($C640:$J640,1+$L641:$S641))</f>
        <v>0</v>
      </c>
      <c r="K641" s="9">
        <v>0</v>
      </c>
      <c r="L641" s="8">
        <f>+VLOOKUP($B641,NIFTY_50!$B$3:$I$1238,8,0)</f>
        <v>-1.2412304371289817E-2</v>
      </c>
      <c r="M641" s="8">
        <f>+VLOOKUP($B641,NIFTY_BANK!$B$3:$I$41238,8,0)</f>
        <v>-1.7618437456711433E-2</v>
      </c>
      <c r="N641" s="8">
        <f>+VLOOKUP($B641,NIFTY_IT!$B$3:$I$1238,8,0)</f>
        <v>-1.8444066017080485E-2</v>
      </c>
      <c r="O641" s="8">
        <f>+VLOOKUP($B641,NIFTY_PHARMA!$B$3:$I$1238,8,0)</f>
        <v>-1.3615023474178423E-2</v>
      </c>
      <c r="P641" s="8">
        <f>+VLOOKUP($B641,NIFTY_FMCG!$B$3:$I$1238,8,0)</f>
        <v>-4.8372752309834288E-3</v>
      </c>
      <c r="Q641" s="8">
        <f>+VLOOKUP($B641,NIFTY_METAL!$B$3:$I$1238,8,0)</f>
        <v>-3.1335123543844046E-2</v>
      </c>
      <c r="R641" s="8">
        <f>+VLOOKUP($B641,NIFTY_ENERGY!$B$3:$I$1238,8,0)</f>
        <v>2.0982935481765885E-3</v>
      </c>
      <c r="S641" s="8">
        <f>+VLOOKUP($B641,NIFTY_AUTO!$B$3:$I$1238,8,0)</f>
        <v>6.4947859274777642E-4</v>
      </c>
      <c r="T641" s="8">
        <v>0</v>
      </c>
      <c r="U641" s="8">
        <f>+VLOOKUP($B641,NIFTY_50!$B$63:$K$1238,10,0)</f>
        <v>-4.5043007853608041E-2</v>
      </c>
      <c r="V641" s="8">
        <f>+VLOOKUP($B641,NIFTY_BANK!$B$63:$K$1238,10,0)</f>
        <v>-3.1444404231055545E-2</v>
      </c>
      <c r="W641" s="8">
        <f>+VLOOKUP($B641,NIFTY_IT!$B$63:$K$1238,10,0)</f>
        <v>-4.9805555985931838E-2</v>
      </c>
      <c r="X641" s="8">
        <f>+VLOOKUP($B641,NIFTY_PHARMA!$B$63:$K$1238,10,0)</f>
        <v>-0.13876500295140037</v>
      </c>
      <c r="Y641" s="8">
        <f>+VLOOKUP($B641,NIFTY_FMCG!$B$63:$K$1238,10,0)</f>
        <v>-2.1372227607288297E-2</v>
      </c>
      <c r="Z641" s="8">
        <f>+VLOOKUP($B641,NIFTY_METAL!$B$63:$K$1238,10,0)</f>
        <v>-0.15882096362904308</v>
      </c>
      <c r="AA641" s="8">
        <f>+VLOOKUP($B641,NIFTY_ENERGY!$B$63:$K$1238,10,0)</f>
        <v>-0.101113904085958</v>
      </c>
      <c r="AB641" s="8">
        <f>+VLOOKUP($B641,NIFTY_AUTO!$B$63:$K$1238,10,0)</f>
        <v>-0.16452703731911644</v>
      </c>
      <c r="AC641" s="8"/>
      <c r="AD641" s="16">
        <f t="shared" ref="AD641:AD704" si="377">+_xlfn.STDEV.S(L581:L641)*SQRT(60)</f>
        <v>7.1242786791896329E-2</v>
      </c>
      <c r="AE641" s="8">
        <f t="shared" ref="AE641:AE704" si="378">+_xlfn.STDEV.S(M581:M641)*SQRT(60)</f>
        <v>9.1333422025243985E-2</v>
      </c>
      <c r="AF641" s="8">
        <f t="shared" ref="AF641:AF704" si="379">+_xlfn.STDEV.S(N581:N641)*SQRT(60)</f>
        <v>6.9757561197721807E-2</v>
      </c>
      <c r="AG641" s="8">
        <f t="shared" ref="AG641:AG704" si="380">+_xlfn.STDEV.S(O581:O641)*SQRT(60)</f>
        <v>0.10231529913149852</v>
      </c>
      <c r="AH641" s="8">
        <f t="shared" ref="AH641:AH704" si="381">+_xlfn.STDEV.S(P581:P641)*SQRT(60)</f>
        <v>6.0808649148318086E-2</v>
      </c>
      <c r="AI641" s="8">
        <f t="shared" ref="AI641:AI704" si="382">+_xlfn.STDEV.S(Q581:Q641)*SQRT(60)</f>
        <v>0.12409113623018905</v>
      </c>
      <c r="AJ641" s="8">
        <f t="shared" ref="AJ641:AJ704" si="383">+_xlfn.STDEV.S(R581:R641)*SQRT(60)</f>
        <v>9.7948023281286087E-2</v>
      </c>
      <c r="AK641" s="8">
        <f t="shared" ref="AK641:AK704" si="384">+_xlfn.STDEV.S(S581:S641)*SQRT(60)</f>
        <v>0.11780064412040334</v>
      </c>
      <c r="AL641" s="9">
        <v>0</v>
      </c>
      <c r="AM641" s="17">
        <f t="shared" si="361"/>
        <v>14.03650874748975</v>
      </c>
      <c r="AN641" s="13">
        <f t="shared" si="362"/>
        <v>10.948894477244115</v>
      </c>
      <c r="AO641" s="13">
        <f t="shared" si="363"/>
        <v>14.335363548126145</v>
      </c>
      <c r="AP641" s="13">
        <f t="shared" si="364"/>
        <v>9.773709391346955</v>
      </c>
      <c r="AQ641" s="13">
        <f t="shared" si="365"/>
        <v>16.44502902146214</v>
      </c>
      <c r="AR641" s="13">
        <f t="shared" si="366"/>
        <v>8.0585933079458627</v>
      </c>
      <c r="AS641" s="13">
        <f t="shared" si="367"/>
        <v>10.209496491095187</v>
      </c>
      <c r="AT641" s="13">
        <f t="shared" si="368"/>
        <v>8.4889179296668864</v>
      </c>
      <c r="AU641" s="9">
        <v>0</v>
      </c>
      <c r="AV641" s="18">
        <f t="shared" ref="AV641:AV704" si="385">+RANK(AM641,$AM641:$AU641)</f>
        <v>3</v>
      </c>
      <c r="AW641" s="18">
        <f t="shared" ref="AW641:AW704" si="386">+RANK(AN641,$AM641:$AU641)</f>
        <v>4</v>
      </c>
      <c r="AX641" s="18">
        <f t="shared" ref="AX641:AX704" si="387">+RANK(AO641,$AM641:$AU641)</f>
        <v>2</v>
      </c>
      <c r="AY641" s="18">
        <f t="shared" ref="AY641:AY704" si="388">+RANK(AP641,$AM641:$AU641)</f>
        <v>6</v>
      </c>
      <c r="AZ641" s="18">
        <f t="shared" ref="AZ641:AZ704" si="389">+RANK(AQ641,$AM641:$AU641)</f>
        <v>1</v>
      </c>
      <c r="BA641" s="18">
        <f t="shared" ref="BA641:BA704" si="390">+RANK(AR641,$AM641:$AU641)</f>
        <v>8</v>
      </c>
      <c r="BB641" s="18">
        <f t="shared" ref="BB641:BB704" si="391">+RANK(AS641,$AM641:$AU641)</f>
        <v>5</v>
      </c>
      <c r="BC641" s="18">
        <f t="shared" ref="BC641:BC704" si="392">+RANK(AT641,$AM641:$AU641)</f>
        <v>7</v>
      </c>
      <c r="BD641" s="18">
        <f t="shared" ref="BD641:BD704" si="393">+RANK(AU641,$AM641:$AU641)</f>
        <v>9</v>
      </c>
      <c r="BE641" s="8">
        <f t="shared" si="360"/>
        <v>-1.3328020769016291E-2</v>
      </c>
    </row>
    <row r="642" spans="1:57" x14ac:dyDescent="0.25">
      <c r="A642" t="str">
        <f t="shared" si="359"/>
        <v/>
      </c>
      <c r="B642" s="1">
        <v>43679</v>
      </c>
      <c r="C642" s="9">
        <f t="shared" si="369"/>
        <v>0.25050761935032267</v>
      </c>
      <c r="D642" s="9">
        <f t="shared" si="370"/>
        <v>0.24737047523919925</v>
      </c>
      <c r="E642" s="9">
        <f t="shared" si="371"/>
        <v>0.25004402833190326</v>
      </c>
      <c r="F642" s="9">
        <f t="shared" si="372"/>
        <v>0</v>
      </c>
      <c r="G642" s="9">
        <f t="shared" si="373"/>
        <v>0.25207787707857465</v>
      </c>
      <c r="H642" s="9">
        <f t="shared" si="374"/>
        <v>0</v>
      </c>
      <c r="I642" s="9">
        <f t="shared" si="375"/>
        <v>0</v>
      </c>
      <c r="J642" s="9">
        <f t="shared" si="376"/>
        <v>0</v>
      </c>
      <c r="K642" s="9">
        <v>0</v>
      </c>
      <c r="L642" s="8">
        <f>+VLOOKUP($B642,NIFTY_50!$B$3:$I$1238,8,0)</f>
        <v>1.5801457194899449E-3</v>
      </c>
      <c r="M642" s="8">
        <f>+VLOOKUP($B642,NIFTY_BANK!$B$3:$I$41238,8,0)</f>
        <v>-5.7213864579752638E-3</v>
      </c>
      <c r="N642" s="8">
        <f>+VLOOKUP($B642,NIFTY_IT!$B$3:$I$1238,8,0)</f>
        <v>5.8700373725713018E-3</v>
      </c>
      <c r="O642" s="8">
        <f>+VLOOKUP($B642,NIFTY_PHARMA!$B$3:$I$1238,8,0)</f>
        <v>-1.3390448992542936E-3</v>
      </c>
      <c r="P642" s="8">
        <f>+VLOOKUP($B642,NIFTY_FMCG!$B$3:$I$1238,8,0)</f>
        <v>1.8668745581296164E-4</v>
      </c>
      <c r="Q642" s="8">
        <f>+VLOOKUP($B642,NIFTY_METAL!$B$3:$I$1238,8,0)</f>
        <v>-1.912606449811538E-2</v>
      </c>
      <c r="R642" s="8">
        <f>+VLOOKUP($B642,NIFTY_ENERGY!$B$3:$I$1238,8,0)</f>
        <v>-1.0695681973954763E-2</v>
      </c>
      <c r="S642" s="8">
        <f>+VLOOKUP($B642,NIFTY_AUTO!$B$3:$I$1238,8,0)</f>
        <v>1.1325680780618574E-2</v>
      </c>
      <c r="T642" s="8">
        <v>0</v>
      </c>
      <c r="U642" s="8">
        <f>+VLOOKUP($B642,NIFTY_50!$B$63:$K$1238,10,0)</f>
        <v>-3.1876543318558603E-2</v>
      </c>
      <c r="V642" s="8">
        <f>+VLOOKUP($B642,NIFTY_BANK!$B$63:$K$1238,10,0)</f>
        <v>-2.7227671550368315E-2</v>
      </c>
      <c r="W642" s="8">
        <f>+VLOOKUP($B642,NIFTY_IT!$B$63:$K$1238,10,0)</f>
        <v>-3.9815460477162889E-2</v>
      </c>
      <c r="X642" s="8">
        <f>+VLOOKUP($B642,NIFTY_PHARMA!$B$63:$K$1238,10,0)</f>
        <v>-0.12608084768447303</v>
      </c>
      <c r="Y642" s="8">
        <f>+VLOOKUP($B642,NIFTY_FMCG!$B$63:$K$1238,10,0)</f>
        <v>-1.5816939212197734E-2</v>
      </c>
      <c r="Z642" s="8">
        <f>+VLOOKUP($B642,NIFTY_METAL!$B$63:$K$1238,10,0)</f>
        <v>-0.16908261530663971</v>
      </c>
      <c r="AA642" s="8">
        <f>+VLOOKUP($B642,NIFTY_ENERGY!$B$63:$K$1238,10,0)</f>
        <v>-9.367504301196794E-2</v>
      </c>
      <c r="AB642" s="8">
        <f>+VLOOKUP($B642,NIFTY_AUTO!$B$63:$K$1238,10,0)</f>
        <v>-0.14354796872491005</v>
      </c>
      <c r="AC642" s="8"/>
      <c r="AD642" s="16">
        <f t="shared" si="377"/>
        <v>7.0352286417364712E-2</v>
      </c>
      <c r="AE642" s="8">
        <f t="shared" si="378"/>
        <v>9.0980892104566224E-2</v>
      </c>
      <c r="AF642" s="8">
        <f t="shared" si="379"/>
        <v>6.9959630038740256E-2</v>
      </c>
      <c r="AG642" s="8">
        <f t="shared" si="380"/>
        <v>0.10141240951585748</v>
      </c>
      <c r="AH642" s="8">
        <f t="shared" si="381"/>
        <v>6.0589280849301687E-2</v>
      </c>
      <c r="AI642" s="8">
        <f t="shared" si="382"/>
        <v>0.1250892024201318</v>
      </c>
      <c r="AJ642" s="8">
        <f t="shared" si="383"/>
        <v>9.6851364053465977E-2</v>
      </c>
      <c r="AK642" s="8">
        <f t="shared" si="384"/>
        <v>0.11812928564724855</v>
      </c>
      <c r="AL642" s="9">
        <v>0</v>
      </c>
      <c r="AM642" s="17">
        <f t="shared" si="361"/>
        <v>14.21417911093185</v>
      </c>
      <c r="AN642" s="13">
        <f t="shared" si="362"/>
        <v>10.991318911785116</v>
      </c>
      <c r="AO642" s="13">
        <f t="shared" si="363"/>
        <v>14.293957807470514</v>
      </c>
      <c r="AP642" s="13">
        <f t="shared" si="364"/>
        <v>9.8607261653085345</v>
      </c>
      <c r="AQ642" s="13">
        <f t="shared" si="365"/>
        <v>16.504569553931674</v>
      </c>
      <c r="AR642" s="13">
        <f t="shared" si="366"/>
        <v>7.9942951162270779</v>
      </c>
      <c r="AS642" s="13">
        <f t="shared" si="367"/>
        <v>10.325099803942447</v>
      </c>
      <c r="AT642" s="13">
        <f t="shared" si="368"/>
        <v>8.4653013392982608</v>
      </c>
      <c r="AU642" s="9">
        <v>0</v>
      </c>
      <c r="AV642" s="18">
        <f t="shared" si="385"/>
        <v>3</v>
      </c>
      <c r="AW642" s="18">
        <f t="shared" si="386"/>
        <v>4</v>
      </c>
      <c r="AX642" s="18">
        <f t="shared" si="387"/>
        <v>2</v>
      </c>
      <c r="AY642" s="18">
        <f t="shared" si="388"/>
        <v>6</v>
      </c>
      <c r="AZ642" s="18">
        <f t="shared" si="389"/>
        <v>1</v>
      </c>
      <c r="BA642" s="18">
        <f t="shared" si="390"/>
        <v>8</v>
      </c>
      <c r="BB642" s="18">
        <f t="shared" si="391"/>
        <v>5</v>
      </c>
      <c r="BC642" s="18">
        <f t="shared" si="392"/>
        <v>7</v>
      </c>
      <c r="BD642" s="18">
        <f t="shared" si="393"/>
        <v>9</v>
      </c>
      <c r="BE642" s="8">
        <f t="shared" si="360"/>
        <v>4.7824970052253596E-4</v>
      </c>
    </row>
    <row r="643" spans="1:57" x14ac:dyDescent="0.25">
      <c r="A643" t="str">
        <f t="shared" si="359"/>
        <v/>
      </c>
      <c r="B643" s="1">
        <v>43682</v>
      </c>
      <c r="C643" s="9">
        <f t="shared" si="369"/>
        <v>0.24936445319744172</v>
      </c>
      <c r="D643" s="9">
        <f t="shared" si="370"/>
        <v>0.24437394524506481</v>
      </c>
      <c r="E643" s="9">
        <f t="shared" si="371"/>
        <v>0.25356655879911594</v>
      </c>
      <c r="F643" s="9">
        <f t="shared" si="372"/>
        <v>0</v>
      </c>
      <c r="G643" s="9">
        <f t="shared" si="373"/>
        <v>0.25269504275837745</v>
      </c>
      <c r="H643" s="9">
        <f t="shared" si="374"/>
        <v>0</v>
      </c>
      <c r="I643" s="9">
        <f t="shared" si="375"/>
        <v>0</v>
      </c>
      <c r="J643" s="9">
        <f t="shared" si="376"/>
        <v>0</v>
      </c>
      <c r="K643" s="9">
        <v>0</v>
      </c>
      <c r="L643" s="8">
        <f>+VLOOKUP($B643,NIFTY_50!$B$3:$I$1238,8,0)</f>
        <v>-1.2252951847490534E-2</v>
      </c>
      <c r="M643" s="8">
        <f>+VLOOKUP($B643,NIFTY_BANK!$B$3:$I$41238,8,0)</f>
        <v>-1.9744761114627085E-2</v>
      </c>
      <c r="N643" s="8">
        <f>+VLOOKUP($B643,NIFTY_IT!$B$3:$I$1238,8,0)</f>
        <v>6.2540120995193682E-3</v>
      </c>
      <c r="O643" s="8">
        <f>+VLOOKUP($B643,NIFTY_PHARMA!$B$3:$I$1238,8,0)</f>
        <v>-7.6574057598942646E-3</v>
      </c>
      <c r="P643" s="8">
        <f>+VLOOKUP($B643,NIFTY_FMCG!$B$3:$I$1238,8,0)</f>
        <v>-5.2954036794760073E-3</v>
      </c>
      <c r="Q643" s="8">
        <f>+VLOOKUP($B643,NIFTY_METAL!$B$3:$I$1238,8,0)</f>
        <v>-1.7791061770566441E-2</v>
      </c>
      <c r="R643" s="8">
        <f>+VLOOKUP($B643,NIFTY_ENERGY!$B$3:$I$1238,8,0)</f>
        <v>-2.7244794391001803E-2</v>
      </c>
      <c r="S643" s="8">
        <f>+VLOOKUP($B643,NIFTY_AUTO!$B$3:$I$1238,8,0)</f>
        <v>-1.2857400396610763E-2</v>
      </c>
      <c r="T643" s="8">
        <v>0</v>
      </c>
      <c r="U643" s="8">
        <f>+VLOOKUP($B643,NIFTY_50!$B$63:$K$1238,10,0)</f>
        <v>-3.8861066378806819E-2</v>
      </c>
      <c r="V643" s="8">
        <f>+VLOOKUP($B643,NIFTY_BANK!$B$63:$K$1238,10,0)</f>
        <v>-4.2810009486023648E-2</v>
      </c>
      <c r="W643" s="8">
        <f>+VLOOKUP($B643,NIFTY_IT!$B$63:$K$1238,10,0)</f>
        <v>-3.8077587035148852E-2</v>
      </c>
      <c r="X643" s="8">
        <f>+VLOOKUP($B643,NIFTY_PHARMA!$B$63:$K$1238,10,0)</f>
        <v>-0.13021755839989302</v>
      </c>
      <c r="Y643" s="8">
        <f>+VLOOKUP($B643,NIFTY_FMCG!$B$63:$K$1238,10,0)</f>
        <v>-2.3655800887537826E-2</v>
      </c>
      <c r="Z643" s="8">
        <f>+VLOOKUP($B643,NIFTY_METAL!$B$63:$K$1238,10,0)</f>
        <v>-0.17200301669466256</v>
      </c>
      <c r="AA643" s="8">
        <f>+VLOOKUP($B643,NIFTY_ENERGY!$B$63:$K$1238,10,0)</f>
        <v>-0.10199578521884567</v>
      </c>
      <c r="AB643" s="8">
        <f>+VLOOKUP($B643,NIFTY_AUTO!$B$63:$K$1238,10,0)</f>
        <v>-0.15535262540877393</v>
      </c>
      <c r="AC643" s="8"/>
      <c r="AD643" s="16">
        <f t="shared" si="377"/>
        <v>7.1175386004496258E-2</v>
      </c>
      <c r="AE643" s="8">
        <f t="shared" si="378"/>
        <v>9.2933193202078365E-2</v>
      </c>
      <c r="AF643" s="8">
        <f t="shared" si="379"/>
        <v>7.0114227926223405E-2</v>
      </c>
      <c r="AG643" s="8">
        <f t="shared" si="380"/>
        <v>0.10155827627985194</v>
      </c>
      <c r="AH643" s="8">
        <f t="shared" si="381"/>
        <v>6.072167095868803E-2</v>
      </c>
      <c r="AI643" s="8">
        <f t="shared" si="382"/>
        <v>0.12545223091932858</v>
      </c>
      <c r="AJ643" s="8">
        <f t="shared" si="383"/>
        <v>9.8798211666553074E-2</v>
      </c>
      <c r="AK643" s="8">
        <f t="shared" si="384"/>
        <v>0.11852845462102417</v>
      </c>
      <c r="AL643" s="9">
        <v>0</v>
      </c>
      <c r="AM643" s="17">
        <f t="shared" si="361"/>
        <v>14.049800867069811</v>
      </c>
      <c r="AN643" s="13">
        <f t="shared" si="362"/>
        <v>10.76041794696059</v>
      </c>
      <c r="AO643" s="13">
        <f t="shared" si="363"/>
        <v>14.262440442933128</v>
      </c>
      <c r="AP643" s="13">
        <f t="shared" si="364"/>
        <v>9.8465633391061118</v>
      </c>
      <c r="AQ643" s="13">
        <f t="shared" si="365"/>
        <v>16.468585007819527</v>
      </c>
      <c r="AR643" s="13">
        <f t="shared" si="366"/>
        <v>7.9711615542576117</v>
      </c>
      <c r="AS643" s="13">
        <f t="shared" si="367"/>
        <v>10.121640697050569</v>
      </c>
      <c r="AT643" s="13">
        <f t="shared" si="368"/>
        <v>8.4367926941875737</v>
      </c>
      <c r="AU643" s="9">
        <v>0</v>
      </c>
      <c r="AV643" s="18">
        <f t="shared" si="385"/>
        <v>3</v>
      </c>
      <c r="AW643" s="18">
        <f t="shared" si="386"/>
        <v>4</v>
      </c>
      <c r="AX643" s="18">
        <f t="shared" si="387"/>
        <v>2</v>
      </c>
      <c r="AY643" s="18">
        <f t="shared" si="388"/>
        <v>6</v>
      </c>
      <c r="AZ643" s="18">
        <f t="shared" si="389"/>
        <v>1</v>
      </c>
      <c r="BA643" s="18">
        <f t="shared" si="390"/>
        <v>8</v>
      </c>
      <c r="BB643" s="18">
        <f t="shared" si="391"/>
        <v>5</v>
      </c>
      <c r="BC643" s="18">
        <f t="shared" si="392"/>
        <v>7</v>
      </c>
      <c r="BD643" s="18">
        <f t="shared" si="393"/>
        <v>9</v>
      </c>
      <c r="BE643" s="8">
        <f t="shared" si="360"/>
        <v>-7.7248044769348545E-3</v>
      </c>
    </row>
    <row r="644" spans="1:57" x14ac:dyDescent="0.25">
      <c r="A644" t="str">
        <f t="shared" ref="A644:A707" si="394">+IF(MONTH(B644)&lt;&gt;MONTH(B645),"Y","")</f>
        <v/>
      </c>
      <c r="B644" s="1">
        <v>43683</v>
      </c>
      <c r="C644" s="9">
        <f t="shared" si="369"/>
        <v>0.24987538794640499</v>
      </c>
      <c r="D644" s="9">
        <f t="shared" si="370"/>
        <v>0.24624594676131101</v>
      </c>
      <c r="E644" s="9">
        <f t="shared" si="371"/>
        <v>0.25203742651824496</v>
      </c>
      <c r="F644" s="9">
        <f t="shared" si="372"/>
        <v>0</v>
      </c>
      <c r="G644" s="9">
        <f t="shared" si="373"/>
        <v>0.25184123877403902</v>
      </c>
      <c r="H644" s="9">
        <f t="shared" si="374"/>
        <v>0</v>
      </c>
      <c r="I644" s="9">
        <f t="shared" si="375"/>
        <v>0</v>
      </c>
      <c r="J644" s="9">
        <f t="shared" si="376"/>
        <v>0</v>
      </c>
      <c r="K644" s="9">
        <v>0</v>
      </c>
      <c r="L644" s="8">
        <f>+VLOOKUP($B644,NIFTY_50!$B$3:$I$1238,8,0)</f>
        <v>7.8848526135546493E-3</v>
      </c>
      <c r="M644" s="8">
        <f>+VLOOKUP($B644,NIFTY_BANK!$B$3:$I$41238,8,0)</f>
        <v>1.3528983056671162E-2</v>
      </c>
      <c r="N644" s="8">
        <f>+VLOOKUP($B644,NIFTY_IT!$B$3:$I$1238,8,0)</f>
        <v>-2.4164628782974429E-4</v>
      </c>
      <c r="O644" s="8">
        <f>+VLOOKUP($B644,NIFTY_PHARMA!$B$3:$I$1238,8,0)</f>
        <v>1.3511869312687885E-3</v>
      </c>
      <c r="P644" s="8">
        <f>+VLOOKUP($B644,NIFTY_FMCG!$B$3:$I$1238,8,0)</f>
        <v>2.425501823470011E-3</v>
      </c>
      <c r="Q644" s="8">
        <f>+VLOOKUP($B644,NIFTY_METAL!$B$3:$I$1238,8,0)</f>
        <v>1.3538410582317306E-2</v>
      </c>
      <c r="R644" s="8">
        <f>+VLOOKUP($B644,NIFTY_ENERGY!$B$3:$I$1238,8,0)</f>
        <v>-1.6986332590255282E-3</v>
      </c>
      <c r="S644" s="8">
        <f>+VLOOKUP($B644,NIFTY_AUTO!$B$3:$I$1238,8,0)</f>
        <v>1.4295941326008643E-2</v>
      </c>
      <c r="T644" s="8">
        <v>0</v>
      </c>
      <c r="U644" s="8">
        <f>+VLOOKUP($B644,NIFTY_50!$B$63:$K$1238,10,0)</f>
        <v>-2.931580207289719E-2</v>
      </c>
      <c r="V644" s="8">
        <f>+VLOOKUP($B644,NIFTY_BANK!$B$63:$K$1238,10,0)</f>
        <v>-3.5068266730944764E-2</v>
      </c>
      <c r="W644" s="8">
        <f>+VLOOKUP($B644,NIFTY_IT!$B$63:$K$1238,10,0)</f>
        <v>-2.7260871746000004E-2</v>
      </c>
      <c r="X644" s="8">
        <f>+VLOOKUP($B644,NIFTY_PHARMA!$B$63:$K$1238,10,0)</f>
        <v>-0.12589718936565086</v>
      </c>
      <c r="Y644" s="8">
        <f>+VLOOKUP($B644,NIFTY_FMCG!$B$63:$K$1238,10,0)</f>
        <v>-1.7429038064923796E-2</v>
      </c>
      <c r="Z644" s="8">
        <f>+VLOOKUP($B644,NIFTY_METAL!$B$63:$K$1238,10,0)</f>
        <v>-0.1477632724107919</v>
      </c>
      <c r="AA644" s="8">
        <f>+VLOOKUP($B644,NIFTY_ENERGY!$B$63:$K$1238,10,0)</f>
        <v>-9.5328146329027308E-2</v>
      </c>
      <c r="AB644" s="8">
        <f>+VLOOKUP($B644,NIFTY_AUTO!$B$63:$K$1238,10,0)</f>
        <v>-0.14218726832402506</v>
      </c>
      <c r="AC644" s="8"/>
      <c r="AD644" s="16">
        <f t="shared" si="377"/>
        <v>7.1655056995105076E-2</v>
      </c>
      <c r="AE644" s="8">
        <f t="shared" si="378"/>
        <v>9.3807839850769334E-2</v>
      </c>
      <c r="AF644" s="8">
        <f t="shared" si="379"/>
        <v>6.9269509126022991E-2</v>
      </c>
      <c r="AG644" s="8">
        <f t="shared" si="380"/>
        <v>0.10160873674203116</v>
      </c>
      <c r="AH644" s="8">
        <f t="shared" si="381"/>
        <v>6.0675555434798828E-2</v>
      </c>
      <c r="AI644" s="8">
        <f t="shared" si="382"/>
        <v>0.12587626103615304</v>
      </c>
      <c r="AJ644" s="8">
        <f t="shared" si="383"/>
        <v>9.8518133054823778E-2</v>
      </c>
      <c r="AK644" s="8">
        <f t="shared" si="384"/>
        <v>0.11970900828608882</v>
      </c>
      <c r="AL644" s="9">
        <v>0</v>
      </c>
      <c r="AM644" s="17">
        <f t="shared" si="361"/>
        <v>13.955749139496357</v>
      </c>
      <c r="AN644" s="13">
        <f t="shared" si="362"/>
        <v>10.66008983461097</v>
      </c>
      <c r="AO644" s="13">
        <f t="shared" si="363"/>
        <v>14.436366196571221</v>
      </c>
      <c r="AP644" s="13">
        <f t="shared" si="364"/>
        <v>9.841673384237076</v>
      </c>
      <c r="AQ644" s="13">
        <f t="shared" si="365"/>
        <v>16.481101702885724</v>
      </c>
      <c r="AR644" s="13">
        <f t="shared" si="366"/>
        <v>7.9443096876923365</v>
      </c>
      <c r="AS644" s="13">
        <f t="shared" si="367"/>
        <v>10.150415654380254</v>
      </c>
      <c r="AT644" s="13">
        <f t="shared" si="368"/>
        <v>8.3535902127777319</v>
      </c>
      <c r="AU644" s="9">
        <v>0</v>
      </c>
      <c r="AV644" s="18">
        <f t="shared" si="385"/>
        <v>3</v>
      </c>
      <c r="AW644" s="18">
        <f t="shared" si="386"/>
        <v>4</v>
      </c>
      <c r="AX644" s="18">
        <f t="shared" si="387"/>
        <v>2</v>
      </c>
      <c r="AY644" s="18">
        <f t="shared" si="388"/>
        <v>6</v>
      </c>
      <c r="AZ644" s="18">
        <f t="shared" si="389"/>
        <v>1</v>
      </c>
      <c r="BA644" s="18">
        <f t="shared" si="390"/>
        <v>8</v>
      </c>
      <c r="BB644" s="18">
        <f t="shared" si="391"/>
        <v>5</v>
      </c>
      <c r="BC644" s="18">
        <f t="shared" si="392"/>
        <v>7</v>
      </c>
      <c r="BD644" s="18">
        <f t="shared" si="393"/>
        <v>9</v>
      </c>
      <c r="BE644" s="8">
        <f t="shared" ref="BE644:BE707" si="395">+SUMPRODUCT(C643:J643,L644:S644)</f>
        <v>5.8239717945745492E-3</v>
      </c>
    </row>
    <row r="645" spans="1:57" x14ac:dyDescent="0.25">
      <c r="A645" t="str">
        <f t="shared" si="394"/>
        <v/>
      </c>
      <c r="B645" s="1">
        <v>43684</v>
      </c>
      <c r="C645" s="9">
        <f t="shared" si="369"/>
        <v>0.24877903620660449</v>
      </c>
      <c r="D645" s="9">
        <f t="shared" si="370"/>
        <v>0.24443618373615966</v>
      </c>
      <c r="E645" s="9">
        <f t="shared" si="371"/>
        <v>0.2541937415807291</v>
      </c>
      <c r="F645" s="9">
        <f t="shared" si="372"/>
        <v>0</v>
      </c>
      <c r="G645" s="9">
        <f t="shared" si="373"/>
        <v>0.25259103847650677</v>
      </c>
      <c r="H645" s="9">
        <f t="shared" si="374"/>
        <v>0</v>
      </c>
      <c r="I645" s="9">
        <f t="shared" si="375"/>
        <v>0</v>
      </c>
      <c r="J645" s="9">
        <f t="shared" si="376"/>
        <v>0</v>
      </c>
      <c r="K645" s="9">
        <v>0</v>
      </c>
      <c r="L645" s="8">
        <f>+VLOOKUP($B645,NIFTY_50!$B$3:$I$1238,8,0)</f>
        <v>-8.4716735551343403E-3</v>
      </c>
      <c r="M645" s="8">
        <f>+VLOOKUP($B645,NIFTY_BANK!$B$3:$I$41238,8,0)</f>
        <v>-1.1421342440430915E-2</v>
      </c>
      <c r="N645" s="8">
        <f>+VLOOKUP($B645,NIFTY_IT!$B$3:$I$1238,8,0)</f>
        <v>4.4183618222601861E-3</v>
      </c>
      <c r="O645" s="8">
        <f>+VLOOKUP($B645,NIFTY_PHARMA!$B$3:$I$1238,8,0)</f>
        <v>7.8339835006715486E-3</v>
      </c>
      <c r="P645" s="8">
        <f>+VLOOKUP($B645,NIFTY_FMCG!$B$3:$I$1238,8,0)</f>
        <v>-1.1370195182572873E-3</v>
      </c>
      <c r="Q645" s="8">
        <f>+VLOOKUP($B645,NIFTY_METAL!$B$3:$I$1238,8,0)</f>
        <v>-2.3937419578848651E-2</v>
      </c>
      <c r="R645" s="8">
        <f>+VLOOKUP($B645,NIFTY_ENERGY!$B$3:$I$1238,8,0)</f>
        <v>-1.4104452854956762E-2</v>
      </c>
      <c r="S645" s="8">
        <f>+VLOOKUP($B645,NIFTY_AUTO!$B$3:$I$1238,8,0)</f>
        <v>-2.1584599096860502E-2</v>
      </c>
      <c r="T645" s="8">
        <v>0</v>
      </c>
      <c r="U645" s="8">
        <f>+VLOOKUP($B645,NIFTY_50!$B$63:$K$1238,10,0)</f>
        <v>-2.6255359609623108E-2</v>
      </c>
      <c r="V645" s="8">
        <f>+VLOOKUP($B645,NIFTY_BANK!$B$63:$K$1238,10,0)</f>
        <v>-3.3422947353362487E-2</v>
      </c>
      <c r="W645" s="8">
        <f>+VLOOKUP($B645,NIFTY_IT!$B$63:$K$1238,10,0)</f>
        <v>-2.3312002908124518E-2</v>
      </c>
      <c r="X645" s="8">
        <f>+VLOOKUP($B645,NIFTY_PHARMA!$B$63:$K$1238,10,0)</f>
        <v>-7.8768925001461376E-2</v>
      </c>
      <c r="Y645" s="8">
        <f>+VLOOKUP($B645,NIFTY_FMCG!$B$63:$K$1238,10,0)</f>
        <v>-8.4804377000103903E-3</v>
      </c>
      <c r="Z645" s="8">
        <f>+VLOOKUP($B645,NIFTY_METAL!$B$63:$K$1238,10,0)</f>
        <v>-0.15293262669053653</v>
      </c>
      <c r="AA645" s="8">
        <f>+VLOOKUP($B645,NIFTY_ENERGY!$B$63:$K$1238,10,0)</f>
        <v>-8.9173548816577797E-2</v>
      </c>
      <c r="AB645" s="8">
        <f>+VLOOKUP($B645,NIFTY_AUTO!$B$63:$K$1238,10,0)</f>
        <v>-0.14436333633552301</v>
      </c>
      <c r="AC645" s="8"/>
      <c r="AD645" s="16">
        <f t="shared" si="377"/>
        <v>7.1235900874469307E-2</v>
      </c>
      <c r="AE645" s="8">
        <f t="shared" si="378"/>
        <v>9.3596585790614903E-2</v>
      </c>
      <c r="AF645" s="8">
        <f t="shared" si="379"/>
        <v>6.9431611661050566E-2</v>
      </c>
      <c r="AG645" s="8">
        <f t="shared" si="380"/>
        <v>9.2998610852695354E-2</v>
      </c>
      <c r="AH645" s="8">
        <f t="shared" si="381"/>
        <v>5.9858799551561807E-2</v>
      </c>
      <c r="AI645" s="8">
        <f t="shared" si="382"/>
        <v>0.12674504526212527</v>
      </c>
      <c r="AJ645" s="8">
        <f t="shared" si="383"/>
        <v>9.743509763535059E-2</v>
      </c>
      <c r="AK645" s="8">
        <f t="shared" si="384"/>
        <v>0.12008105736512667</v>
      </c>
      <c r="AL645" s="9">
        <v>0</v>
      </c>
      <c r="AM645" s="17">
        <f t="shared" si="361"/>
        <v>14.037865566720114</v>
      </c>
      <c r="AN645" s="13">
        <f t="shared" si="362"/>
        <v>10.68415040519856</v>
      </c>
      <c r="AO645" s="13">
        <f t="shared" si="363"/>
        <v>14.402661497788269</v>
      </c>
      <c r="AP645" s="13">
        <f t="shared" si="364"/>
        <v>10.752848788074314</v>
      </c>
      <c r="AQ645" s="13">
        <f t="shared" si="365"/>
        <v>16.70598153473842</v>
      </c>
      <c r="AR645" s="13">
        <f t="shared" si="366"/>
        <v>7.8898547705109081</v>
      </c>
      <c r="AS645" s="13">
        <f t="shared" si="367"/>
        <v>10.263242140347467</v>
      </c>
      <c r="AT645" s="13">
        <f t="shared" si="368"/>
        <v>8.3277081493322598</v>
      </c>
      <c r="AU645" s="9">
        <v>0</v>
      </c>
      <c r="AV645" s="18">
        <f t="shared" si="385"/>
        <v>3</v>
      </c>
      <c r="AW645" s="18">
        <f t="shared" si="386"/>
        <v>5</v>
      </c>
      <c r="AX645" s="18">
        <f t="shared" si="387"/>
        <v>2</v>
      </c>
      <c r="AY645" s="18">
        <f t="shared" si="388"/>
        <v>4</v>
      </c>
      <c r="AZ645" s="18">
        <f t="shared" si="389"/>
        <v>1</v>
      </c>
      <c r="BA645" s="18">
        <f t="shared" si="390"/>
        <v>8</v>
      </c>
      <c r="BB645" s="18">
        <f t="shared" si="391"/>
        <v>6</v>
      </c>
      <c r="BC645" s="18">
        <f t="shared" si="392"/>
        <v>7</v>
      </c>
      <c r="BD645" s="18">
        <f t="shared" si="393"/>
        <v>9</v>
      </c>
      <c r="BE645" s="8">
        <f t="shared" si="395"/>
        <v>-4.1020778595528013E-3</v>
      </c>
    </row>
    <row r="646" spans="1:57" x14ac:dyDescent="0.25">
      <c r="A646" t="str">
        <f t="shared" si="394"/>
        <v/>
      </c>
      <c r="B646" s="1">
        <v>43685</v>
      </c>
      <c r="C646" s="9">
        <f t="shared" si="369"/>
        <v>0.24907760687662972</v>
      </c>
      <c r="D646" s="9">
        <f t="shared" si="370"/>
        <v>0.24435439293621933</v>
      </c>
      <c r="E646" s="9">
        <f t="shared" si="371"/>
        <v>0.2549902761730336</v>
      </c>
      <c r="F646" s="9">
        <f t="shared" si="372"/>
        <v>0</v>
      </c>
      <c r="G646" s="9">
        <f t="shared" si="373"/>
        <v>0.25157772401411727</v>
      </c>
      <c r="H646" s="9">
        <f t="shared" si="374"/>
        <v>0</v>
      </c>
      <c r="I646" s="9">
        <f t="shared" si="375"/>
        <v>0</v>
      </c>
      <c r="J646" s="9">
        <f t="shared" si="376"/>
        <v>0</v>
      </c>
      <c r="K646" s="9">
        <v>0</v>
      </c>
      <c r="L646" s="8">
        <f>+VLOOKUP($B646,NIFTY_50!$B$3:$I$1238,8,0)</f>
        <v>1.6300492837732161E-2</v>
      </c>
      <c r="M646" s="8">
        <f>+VLOOKUP($B646,NIFTY_BANK!$B$3:$I$41238,8,0)</f>
        <v>1.4742591252272064E-2</v>
      </c>
      <c r="N646" s="8">
        <f>+VLOOKUP($B646,NIFTY_IT!$B$3:$I$1238,8,0)</f>
        <v>1.8263082071569903E-2</v>
      </c>
      <c r="O646" s="8">
        <f>+VLOOKUP($B646,NIFTY_PHARMA!$B$3:$I$1238,8,0)</f>
        <v>1.0793489641168774E-2</v>
      </c>
      <c r="P646" s="8">
        <f>+VLOOKUP($B646,NIFTY_FMCG!$B$3:$I$1238,8,0)</f>
        <v>1.1010062624611461E-2</v>
      </c>
      <c r="Q646" s="8">
        <f>+VLOOKUP($B646,NIFTY_METAL!$B$3:$I$1238,8,0)</f>
        <v>1.2283161396974274E-2</v>
      </c>
      <c r="R646" s="8">
        <f>+VLOOKUP($B646,NIFTY_ENERGY!$B$3:$I$1238,8,0)</f>
        <v>2.1955040650112334E-2</v>
      </c>
      <c r="S646" s="8">
        <f>+VLOOKUP($B646,NIFTY_AUTO!$B$3:$I$1238,8,0)</f>
        <v>3.0305037835291371E-2</v>
      </c>
      <c r="T646" s="8">
        <v>0</v>
      </c>
      <c r="U646" s="8">
        <f>+VLOOKUP($B646,NIFTY_50!$B$63:$K$1238,10,0)</f>
        <v>-1.6895308789392161E-2</v>
      </c>
      <c r="V646" s="8">
        <f>+VLOOKUP($B646,NIFTY_BANK!$B$63:$K$1238,10,0)</f>
        <v>-2.4931319634259763E-2</v>
      </c>
      <c r="W646" s="8">
        <f>+VLOOKUP($B646,NIFTY_IT!$B$63:$K$1238,10,0)</f>
        <v>6.6739623479405985E-3</v>
      </c>
      <c r="X646" s="8">
        <f>+VLOOKUP($B646,NIFTY_PHARMA!$B$63:$K$1238,10,0)</f>
        <v>-8.2808415573647709E-2</v>
      </c>
      <c r="Y646" s="8">
        <f>+VLOOKUP($B646,NIFTY_FMCG!$B$63:$K$1238,10,0)</f>
        <v>-3.533423863780194E-3</v>
      </c>
      <c r="Z646" s="8">
        <f>+VLOOKUP($B646,NIFTY_METAL!$B$63:$K$1238,10,0)</f>
        <v>-0.14767962225589337</v>
      </c>
      <c r="AA646" s="8">
        <f>+VLOOKUP($B646,NIFTY_ENERGY!$B$63:$K$1238,10,0)</f>
        <v>-8.2909612774606622E-2</v>
      </c>
      <c r="AB646" s="8">
        <f>+VLOOKUP($B646,NIFTY_AUTO!$B$63:$K$1238,10,0)</f>
        <v>-0.12030042109232608</v>
      </c>
      <c r="AC646" s="8"/>
      <c r="AD646" s="16">
        <f t="shared" si="377"/>
        <v>7.281813035452056E-2</v>
      </c>
      <c r="AE646" s="8">
        <f t="shared" si="378"/>
        <v>9.4604931747760454E-2</v>
      </c>
      <c r="AF646" s="8">
        <f t="shared" si="379"/>
        <v>7.0814017929385575E-2</v>
      </c>
      <c r="AG646" s="8">
        <f t="shared" si="380"/>
        <v>9.2310140389457174E-2</v>
      </c>
      <c r="AH646" s="8">
        <f t="shared" si="381"/>
        <v>6.0573107945733437E-2</v>
      </c>
      <c r="AI646" s="8">
        <f t="shared" si="382"/>
        <v>0.12731955098702954</v>
      </c>
      <c r="AJ646" s="8">
        <f t="shared" si="383"/>
        <v>9.8847628814068E-2</v>
      </c>
      <c r="AK646" s="8">
        <f t="shared" si="384"/>
        <v>0.12432836496811379</v>
      </c>
      <c r="AL646" s="9">
        <v>0</v>
      </c>
      <c r="AM646" s="17">
        <f t="shared" si="361"/>
        <v>13.732843663129286</v>
      </c>
      <c r="AN646" s="13">
        <f t="shared" si="362"/>
        <v>10.570273468049647</v>
      </c>
      <c r="AO646" s="13">
        <f t="shared" si="363"/>
        <v>14.121497822608815</v>
      </c>
      <c r="AP646" s="13">
        <f t="shared" si="364"/>
        <v>10.833046031356821</v>
      </c>
      <c r="AQ646" s="13">
        <f t="shared" si="365"/>
        <v>16.508976242326636</v>
      </c>
      <c r="AR646" s="13">
        <f t="shared" si="366"/>
        <v>7.8542532725541365</v>
      </c>
      <c r="AS646" s="13">
        <f t="shared" si="367"/>
        <v>10.116580559367753</v>
      </c>
      <c r="AT646" s="13">
        <f t="shared" si="368"/>
        <v>8.0432168496422172</v>
      </c>
      <c r="AU646" s="9">
        <v>0</v>
      </c>
      <c r="AV646" s="18">
        <f t="shared" si="385"/>
        <v>3</v>
      </c>
      <c r="AW646" s="18">
        <f t="shared" si="386"/>
        <v>5</v>
      </c>
      <c r="AX646" s="18">
        <f t="shared" si="387"/>
        <v>2</v>
      </c>
      <c r="AY646" s="18">
        <f t="shared" si="388"/>
        <v>4</v>
      </c>
      <c r="AZ646" s="18">
        <f t="shared" si="389"/>
        <v>1</v>
      </c>
      <c r="BA646" s="18">
        <f t="shared" si="390"/>
        <v>8</v>
      </c>
      <c r="BB646" s="18">
        <f t="shared" si="391"/>
        <v>6</v>
      </c>
      <c r="BC646" s="18">
        <f t="shared" si="392"/>
        <v>7</v>
      </c>
      <c r="BD646" s="18">
        <f t="shared" si="393"/>
        <v>9</v>
      </c>
      <c r="BE646" s="8">
        <f t="shared" si="395"/>
        <v>1.5082247958561411E-2</v>
      </c>
    </row>
    <row r="647" spans="1:57" x14ac:dyDescent="0.25">
      <c r="A647" t="str">
        <f t="shared" si="394"/>
        <v/>
      </c>
      <c r="B647" s="1">
        <v>43686</v>
      </c>
      <c r="C647" s="9">
        <f t="shared" si="369"/>
        <v>0.24950815116481159</v>
      </c>
      <c r="D647" s="9">
        <f t="shared" si="370"/>
        <v>0.245855472999296</v>
      </c>
      <c r="E647" s="9">
        <f t="shared" si="371"/>
        <v>0.25291115131453479</v>
      </c>
      <c r="F647" s="9">
        <f t="shared" si="372"/>
        <v>0</v>
      </c>
      <c r="G647" s="9">
        <f t="shared" si="373"/>
        <v>0.25172522452135782</v>
      </c>
      <c r="H647" s="9">
        <f t="shared" si="374"/>
        <v>0</v>
      </c>
      <c r="I647" s="9">
        <f t="shared" si="375"/>
        <v>0</v>
      </c>
      <c r="J647" s="9">
        <f t="shared" si="376"/>
        <v>0</v>
      </c>
      <c r="K647" s="9">
        <v>0</v>
      </c>
      <c r="L647" s="8">
        <f>+VLOOKUP($B647,NIFTY_50!$B$3:$I$1238,8,0)</f>
        <v>6.9975390779020152E-3</v>
      </c>
      <c r="M647" s="8">
        <f>+VLOOKUP($B647,NIFTY_BANK!$B$3:$I$41238,8,0)</f>
        <v>1.1435249168903372E-2</v>
      </c>
      <c r="N647" s="8">
        <f>+VLOOKUP($B647,NIFTY_IT!$B$3:$I$1238,8,0)</f>
        <v>-2.9367372596964536E-3</v>
      </c>
      <c r="O647" s="8">
        <f>+VLOOKUP($B647,NIFTY_PHARMA!$B$3:$I$1238,8,0)</f>
        <v>-5.1162615508236753E-3</v>
      </c>
      <c r="P647" s="8">
        <f>+VLOOKUP($B647,NIFTY_FMCG!$B$3:$I$1238,8,0)</f>
        <v>5.8492781084589218E-3</v>
      </c>
      <c r="Q647" s="8">
        <f>+VLOOKUP($B647,NIFTY_METAL!$B$3:$I$1238,8,0)</f>
        <v>-8.599305440714522E-3</v>
      </c>
      <c r="R647" s="8">
        <f>+VLOOKUP($B647,NIFTY_ENERGY!$B$3:$I$1238,8,0)</f>
        <v>2.326067176253499E-3</v>
      </c>
      <c r="S647" s="8">
        <f>+VLOOKUP($B647,NIFTY_AUTO!$B$3:$I$1238,8,0)</f>
        <v>1.9854396330616142E-2</v>
      </c>
      <c r="T647" s="8">
        <v>0</v>
      </c>
      <c r="U647" s="8">
        <f>+VLOOKUP($B647,NIFTY_50!$B$63:$K$1238,10,0)</f>
        <v>-4.2439723940127516E-3</v>
      </c>
      <c r="V647" s="8">
        <f>+VLOOKUP($B647,NIFTY_BANK!$B$63:$K$1238,10,0)</f>
        <v>-6.4490878498205673E-3</v>
      </c>
      <c r="W647" s="8">
        <f>+VLOOKUP($B647,NIFTY_IT!$B$63:$K$1238,10,0)</f>
        <v>2.8237665432788717E-3</v>
      </c>
      <c r="X647" s="8">
        <f>+VLOOKUP($B647,NIFTY_PHARMA!$B$63:$K$1238,10,0)</f>
        <v>-7.8143268475700189E-2</v>
      </c>
      <c r="Y647" s="8">
        <f>+VLOOKUP($B647,NIFTY_FMCG!$B$63:$K$1238,10,0)</f>
        <v>4.012321355760351E-3</v>
      </c>
      <c r="Z647" s="8">
        <f>+VLOOKUP($B647,NIFTY_METAL!$B$63:$K$1238,10,0)</f>
        <v>-0.13691333141376338</v>
      </c>
      <c r="AA647" s="8">
        <f>+VLOOKUP($B647,NIFTY_ENERGY!$B$63:$K$1238,10,0)</f>
        <v>-7.3253766130035425E-2</v>
      </c>
      <c r="AB647" s="8">
        <f>+VLOOKUP($B647,NIFTY_AUTO!$B$63:$K$1238,10,0)</f>
        <v>-9.1569776691676763E-2</v>
      </c>
      <c r="AC647" s="8"/>
      <c r="AD647" s="16">
        <f t="shared" si="377"/>
        <v>7.2946566191889411E-2</v>
      </c>
      <c r="AE647" s="8">
        <f t="shared" si="378"/>
        <v>9.5044291164969638E-2</v>
      </c>
      <c r="AF647" s="8">
        <f t="shared" si="379"/>
        <v>7.0875695216244983E-2</v>
      </c>
      <c r="AG647" s="8">
        <f t="shared" si="380"/>
        <v>9.1964326450828429E-2</v>
      </c>
      <c r="AH647" s="8">
        <f t="shared" si="381"/>
        <v>6.0826616392901087E-2</v>
      </c>
      <c r="AI647" s="8">
        <f t="shared" si="382"/>
        <v>0.12610923015661865</v>
      </c>
      <c r="AJ647" s="8">
        <f t="shared" si="383"/>
        <v>9.8673873367713522E-2</v>
      </c>
      <c r="AK647" s="8">
        <f t="shared" si="384"/>
        <v>0.12573047818915581</v>
      </c>
      <c r="AL647" s="9">
        <v>0</v>
      </c>
      <c r="AM647" s="17">
        <f t="shared" si="361"/>
        <v>13.708664467761956</v>
      </c>
      <c r="AN647" s="13">
        <f t="shared" si="362"/>
        <v>10.521410468139393</v>
      </c>
      <c r="AO647" s="13">
        <f t="shared" si="363"/>
        <v>14.109209044778387</v>
      </c>
      <c r="AP647" s="13">
        <f t="shared" si="364"/>
        <v>10.873781591111646</v>
      </c>
      <c r="AQ647" s="13">
        <f t="shared" si="365"/>
        <v>16.440171413458852</v>
      </c>
      <c r="AR647" s="13">
        <f t="shared" si="366"/>
        <v>7.9296336894458195</v>
      </c>
      <c r="AS647" s="13">
        <f t="shared" si="367"/>
        <v>10.134394909921555</v>
      </c>
      <c r="AT647" s="13">
        <f t="shared" si="368"/>
        <v>7.953521010995801</v>
      </c>
      <c r="AU647" s="9">
        <v>0</v>
      </c>
      <c r="AV647" s="18">
        <f t="shared" si="385"/>
        <v>3</v>
      </c>
      <c r="AW647" s="18">
        <f t="shared" si="386"/>
        <v>5</v>
      </c>
      <c r="AX647" s="18">
        <f t="shared" si="387"/>
        <v>2</v>
      </c>
      <c r="AY647" s="18">
        <f t="shared" si="388"/>
        <v>4</v>
      </c>
      <c r="AZ647" s="18">
        <f t="shared" si="389"/>
        <v>1</v>
      </c>
      <c r="BA647" s="18">
        <f t="shared" si="390"/>
        <v>8</v>
      </c>
      <c r="BB647" s="18">
        <f t="shared" si="391"/>
        <v>6</v>
      </c>
      <c r="BC647" s="18">
        <f t="shared" si="392"/>
        <v>7</v>
      </c>
      <c r="BD647" s="18">
        <f t="shared" si="393"/>
        <v>9</v>
      </c>
      <c r="BE647" s="8">
        <f t="shared" si="395"/>
        <v>5.2598922850453818E-3</v>
      </c>
    </row>
    <row r="648" spans="1:57" x14ac:dyDescent="0.25">
      <c r="A648" t="str">
        <f t="shared" si="394"/>
        <v/>
      </c>
      <c r="B648" s="1">
        <v>43690</v>
      </c>
      <c r="C648" s="9">
        <f t="shared" si="369"/>
        <v>0.25076646167257433</v>
      </c>
      <c r="D648" s="9">
        <f t="shared" si="370"/>
        <v>0.24504149236584338</v>
      </c>
      <c r="E648" s="9">
        <f t="shared" si="371"/>
        <v>0.25197797238387437</v>
      </c>
      <c r="F648" s="9">
        <f t="shared" si="372"/>
        <v>0</v>
      </c>
      <c r="G648" s="9">
        <f t="shared" si="373"/>
        <v>0.25221407357770798</v>
      </c>
      <c r="H648" s="9">
        <f t="shared" si="374"/>
        <v>0</v>
      </c>
      <c r="I648" s="9">
        <f t="shared" si="375"/>
        <v>0</v>
      </c>
      <c r="J648" s="9">
        <f t="shared" si="376"/>
        <v>0</v>
      </c>
      <c r="K648" s="9">
        <v>0</v>
      </c>
      <c r="L648" s="8">
        <f>+VLOOKUP($B648,NIFTY_50!$B$3:$I$1238,8,0)</f>
        <v>-1.6544175559085939E-2</v>
      </c>
      <c r="M648" s="8">
        <f>+VLOOKUP($B648,NIFTY_BANK!$B$3:$I$41238,8,0)</f>
        <v>-2.4718713839033013E-2</v>
      </c>
      <c r="N648" s="8">
        <f>+VLOOKUP($B648,NIFTY_IT!$B$3:$I$1238,8,0)</f>
        <v>-2.5089515117230898E-2</v>
      </c>
      <c r="O648" s="8">
        <f>+VLOOKUP($B648,NIFTY_PHARMA!$B$3:$I$1238,8,0)</f>
        <v>-9.0988825158851983E-3</v>
      </c>
      <c r="P648" s="8">
        <f>+VLOOKUP($B648,NIFTY_FMCG!$B$3:$I$1238,8,0)</f>
        <v>-1.9578734702513811E-2</v>
      </c>
      <c r="Q648" s="8">
        <f>+VLOOKUP($B648,NIFTY_METAL!$B$3:$I$1238,8,0)</f>
        <v>-1.7556296914094993E-2</v>
      </c>
      <c r="R648" s="8">
        <f>+VLOOKUP($B648,NIFTY_ENERGY!$B$3:$I$1238,8,0)</f>
        <v>1.8971558557158374E-2</v>
      </c>
      <c r="S648" s="8">
        <f>+VLOOKUP($B648,NIFTY_AUTO!$B$3:$I$1238,8,0)</f>
        <v>-3.9461148317314398E-2</v>
      </c>
      <c r="T648" s="8">
        <v>0</v>
      </c>
      <c r="U648" s="8">
        <f>+VLOOKUP($B648,NIFTY_50!$B$63:$K$1238,10,0)</f>
        <v>-2.9425873448756801E-2</v>
      </c>
      <c r="V648" s="8">
        <f>+VLOOKUP($B648,NIFTY_BANK!$B$63:$K$1238,10,0)</f>
        <v>-3.9029225133684342E-2</v>
      </c>
      <c r="W648" s="8">
        <f>+VLOOKUP($B648,NIFTY_IT!$B$63:$K$1238,10,0)</f>
        <v>-3.1981925442450154E-2</v>
      </c>
      <c r="X648" s="8">
        <f>+VLOOKUP($B648,NIFTY_PHARMA!$B$63:$K$1238,10,0)</f>
        <v>-8.4571575136842991E-2</v>
      </c>
      <c r="Y648" s="8">
        <f>+VLOOKUP($B648,NIFTY_FMCG!$B$63:$K$1238,10,0)</f>
        <v>-1.7113316705840487E-2</v>
      </c>
      <c r="Z648" s="8">
        <f>+VLOOKUP($B648,NIFTY_METAL!$B$63:$K$1238,10,0)</f>
        <v>-0.16185495490687862</v>
      </c>
      <c r="AA648" s="8">
        <f>+VLOOKUP($B648,NIFTY_ENERGY!$B$63:$K$1238,10,0)</f>
        <v>-7.1277030703208788E-2</v>
      </c>
      <c r="AB648" s="8">
        <f>+VLOOKUP($B648,NIFTY_AUTO!$B$63:$K$1238,10,0)</f>
        <v>-0.13129284456214596</v>
      </c>
      <c r="AC648" s="8"/>
      <c r="AD648" s="16">
        <f t="shared" si="377"/>
        <v>7.4178160067565418E-2</v>
      </c>
      <c r="AE648" s="8">
        <f t="shared" si="378"/>
        <v>9.7748182130318259E-2</v>
      </c>
      <c r="AF648" s="8">
        <f t="shared" si="379"/>
        <v>7.4428140281558544E-2</v>
      </c>
      <c r="AG648" s="8">
        <f t="shared" si="380"/>
        <v>9.2289020122109808E-2</v>
      </c>
      <c r="AH648" s="8">
        <f t="shared" si="381"/>
        <v>6.3857142675635262E-2</v>
      </c>
      <c r="AI648" s="8">
        <f t="shared" si="382"/>
        <v>0.12620625545334327</v>
      </c>
      <c r="AJ648" s="8">
        <f t="shared" si="383"/>
        <v>9.9091400087282316E-2</v>
      </c>
      <c r="AK648" s="8">
        <f t="shared" si="384"/>
        <v>0.13109919169922199</v>
      </c>
      <c r="AL648" s="9">
        <v>0</v>
      </c>
      <c r="AM648" s="17">
        <f t="shared" si="361"/>
        <v>13.481056945725625</v>
      </c>
      <c r="AN648" s="13">
        <f t="shared" si="362"/>
        <v>10.230369283663977</v>
      </c>
      <c r="AO648" s="13">
        <f t="shared" si="363"/>
        <v>13.435778406084605</v>
      </c>
      <c r="AP648" s="13">
        <f t="shared" si="364"/>
        <v>10.835525165148315</v>
      </c>
      <c r="AQ648" s="13">
        <f t="shared" si="365"/>
        <v>15.659955301782563</v>
      </c>
      <c r="AR648" s="13">
        <f t="shared" si="366"/>
        <v>7.9235375172800877</v>
      </c>
      <c r="AS648" s="13">
        <f t="shared" si="367"/>
        <v>10.091693114833109</v>
      </c>
      <c r="AT648" s="13">
        <f t="shared" si="368"/>
        <v>7.6278120943283785</v>
      </c>
      <c r="AU648" s="9">
        <v>0</v>
      </c>
      <c r="AV648" s="18">
        <f t="shared" si="385"/>
        <v>2</v>
      </c>
      <c r="AW648" s="18">
        <f t="shared" si="386"/>
        <v>5</v>
      </c>
      <c r="AX648" s="18">
        <f t="shared" si="387"/>
        <v>3</v>
      </c>
      <c r="AY648" s="18">
        <f t="shared" si="388"/>
        <v>4</v>
      </c>
      <c r="AZ648" s="18">
        <f t="shared" si="389"/>
        <v>1</v>
      </c>
      <c r="BA648" s="18">
        <f t="shared" si="390"/>
        <v>7</v>
      </c>
      <c r="BB648" s="18">
        <f t="shared" si="391"/>
        <v>6</v>
      </c>
      <c r="BC648" s="18">
        <f t="shared" si="392"/>
        <v>8</v>
      </c>
      <c r="BD648" s="18">
        <f t="shared" si="393"/>
        <v>9</v>
      </c>
      <c r="BE648" s="8">
        <f t="shared" si="395"/>
        <v>-2.1479017282179984E-2</v>
      </c>
    </row>
    <row r="649" spans="1:57" x14ac:dyDescent="0.25">
      <c r="A649" t="str">
        <f t="shared" si="394"/>
        <v/>
      </c>
      <c r="B649" s="1">
        <v>43691</v>
      </c>
      <c r="C649" s="9">
        <f t="shared" si="369"/>
        <v>0.2514834916368785</v>
      </c>
      <c r="D649" s="9">
        <f t="shared" si="370"/>
        <v>0.24598179246033228</v>
      </c>
      <c r="E649" s="9">
        <f t="shared" si="371"/>
        <v>0.25100518887680379</v>
      </c>
      <c r="F649" s="9">
        <f t="shared" si="372"/>
        <v>0</v>
      </c>
      <c r="G649" s="9">
        <f t="shared" si="373"/>
        <v>0.25152952702598558</v>
      </c>
      <c r="H649" s="9">
        <f t="shared" si="374"/>
        <v>0</v>
      </c>
      <c r="I649" s="9">
        <f t="shared" si="375"/>
        <v>0</v>
      </c>
      <c r="J649" s="9">
        <f t="shared" si="376"/>
        <v>0</v>
      </c>
      <c r="K649" s="9">
        <v>0</v>
      </c>
      <c r="L649" s="8">
        <f>+VLOOKUP($B649,NIFTY_50!$B$3:$I$1238,8,0)</f>
        <v>9.4775234878750059E-3</v>
      </c>
      <c r="M649" s="8">
        <f>+VLOOKUP($B649,NIFTY_BANK!$B$3:$I$41238,8,0)</f>
        <v>1.0461933492251996E-2</v>
      </c>
      <c r="N649" s="8">
        <f>+VLOOKUP($B649,NIFTY_IT!$B$3:$I$1238,8,0)</f>
        <v>2.7132335779673777E-3</v>
      </c>
      <c r="O649" s="8">
        <f>+VLOOKUP($B649,NIFTY_PHARMA!$B$3:$I$1238,8,0)</f>
        <v>-1.3709970134807237E-2</v>
      </c>
      <c r="P649" s="8">
        <f>+VLOOKUP($B649,NIFTY_FMCG!$B$3:$I$1238,8,0)</f>
        <v>3.8672398489305593E-3</v>
      </c>
      <c r="Q649" s="8">
        <f>+VLOOKUP($B649,NIFTY_METAL!$B$3:$I$1238,8,0)</f>
        <v>2.3409312789167691E-2</v>
      </c>
      <c r="R649" s="8">
        <f>+VLOOKUP($B649,NIFTY_ENERGY!$B$3:$I$1238,8,0)</f>
        <v>9.7442101504787715E-3</v>
      </c>
      <c r="S649" s="8">
        <f>+VLOOKUP($B649,NIFTY_AUTO!$B$3:$I$1238,8,0)</f>
        <v>9.2331254786128802E-3</v>
      </c>
      <c r="T649" s="8">
        <v>0</v>
      </c>
      <c r="U649" s="8">
        <f>+VLOOKUP($B649,NIFTY_50!$B$63:$K$1238,10,0)</f>
        <v>-3.31151952941795E-2</v>
      </c>
      <c r="V649" s="8">
        <f>+VLOOKUP($B649,NIFTY_BANK!$B$63:$K$1238,10,0)</f>
        <v>-4.8588886644040929E-2</v>
      </c>
      <c r="W649" s="8">
        <f>+VLOOKUP($B649,NIFTY_IT!$B$63:$K$1238,10,0)</f>
        <v>-2.3804865117335927E-2</v>
      </c>
      <c r="X649" s="8">
        <f>+VLOOKUP($B649,NIFTY_PHARMA!$B$63:$K$1238,10,0)</f>
        <v>-8.3400895969321653E-2</v>
      </c>
      <c r="Y649" s="8">
        <f>+VLOOKUP($B649,NIFTY_FMCG!$B$63:$K$1238,10,0)</f>
        <v>-3.7465602435072354E-2</v>
      </c>
      <c r="Z649" s="8">
        <f>+VLOOKUP($B649,NIFTY_METAL!$B$63:$K$1238,10,0)</f>
        <v>-0.14113456229405996</v>
      </c>
      <c r="AA649" s="8">
        <f>+VLOOKUP($B649,NIFTY_ENERGY!$B$63:$K$1238,10,0)</f>
        <v>-6.2692061408166078E-2</v>
      </c>
      <c r="AB649" s="8">
        <f>+VLOOKUP($B649,NIFTY_AUTO!$B$63:$K$1238,10,0)</f>
        <v>-0.14429088210741114</v>
      </c>
      <c r="AC649" s="8"/>
      <c r="AD649" s="16">
        <f t="shared" si="377"/>
        <v>7.3558701425680939E-2</v>
      </c>
      <c r="AE649" s="8">
        <f t="shared" si="378"/>
        <v>9.6051189783841029E-2</v>
      </c>
      <c r="AF649" s="8">
        <f t="shared" si="379"/>
        <v>7.4307527940491239E-2</v>
      </c>
      <c r="AG649" s="8">
        <f t="shared" si="380"/>
        <v>9.2111786568961948E-2</v>
      </c>
      <c r="AH649" s="8">
        <f t="shared" si="381"/>
        <v>5.8694352913685702E-2</v>
      </c>
      <c r="AI649" s="8">
        <f t="shared" si="382"/>
        <v>0.12884347520484549</v>
      </c>
      <c r="AJ649" s="8">
        <f t="shared" si="383"/>
        <v>9.9666102405497656E-2</v>
      </c>
      <c r="AK649" s="8">
        <f t="shared" si="384"/>
        <v>0.12883598331472998</v>
      </c>
      <c r="AL649" s="9">
        <v>0</v>
      </c>
      <c r="AM649" s="17">
        <f t="shared" si="361"/>
        <v>13.594584741416851</v>
      </c>
      <c r="AN649" s="13">
        <f t="shared" si="362"/>
        <v>10.4111151798375</v>
      </c>
      <c r="AO649" s="13">
        <f t="shared" si="363"/>
        <v>13.457586703743452</v>
      </c>
      <c r="AP649" s="13">
        <f t="shared" si="364"/>
        <v>10.856373947880419</v>
      </c>
      <c r="AQ649" s="13">
        <f t="shared" si="365"/>
        <v>17.037414169478492</v>
      </c>
      <c r="AR649" s="13">
        <f t="shared" si="366"/>
        <v>7.7613553841987057</v>
      </c>
      <c r="AS649" s="13">
        <f t="shared" si="367"/>
        <v>10.033501620555388</v>
      </c>
      <c r="AT649" s="13">
        <f t="shared" si="368"/>
        <v>7.7618067116942537</v>
      </c>
      <c r="AU649" s="9">
        <v>0</v>
      </c>
      <c r="AV649" s="18">
        <f t="shared" si="385"/>
        <v>2</v>
      </c>
      <c r="AW649" s="18">
        <f t="shared" si="386"/>
        <v>5</v>
      </c>
      <c r="AX649" s="18">
        <f t="shared" si="387"/>
        <v>3</v>
      </c>
      <c r="AY649" s="18">
        <f t="shared" si="388"/>
        <v>4</v>
      </c>
      <c r="AZ649" s="18">
        <f t="shared" si="389"/>
        <v>1</v>
      </c>
      <c r="BA649" s="18">
        <f t="shared" si="390"/>
        <v>8</v>
      </c>
      <c r="BB649" s="18">
        <f t="shared" si="391"/>
        <v>6</v>
      </c>
      <c r="BC649" s="18">
        <f t="shared" si="392"/>
        <v>7</v>
      </c>
      <c r="BD649" s="18">
        <f t="shared" si="393"/>
        <v>9</v>
      </c>
      <c r="BE649" s="8">
        <f t="shared" si="395"/>
        <v>6.5993002378276402E-3</v>
      </c>
    </row>
    <row r="650" spans="1:57" x14ac:dyDescent="0.25">
      <c r="A650" t="str">
        <f t="shared" si="394"/>
        <v/>
      </c>
      <c r="B650" s="1">
        <v>43693</v>
      </c>
      <c r="C650" s="9">
        <f t="shared" si="369"/>
        <v>0.25166203080636107</v>
      </c>
      <c r="D650" s="9">
        <f t="shared" si="370"/>
        <v>0.24748128824492693</v>
      </c>
      <c r="E650" s="9">
        <f t="shared" si="371"/>
        <v>0.2491290833399237</v>
      </c>
      <c r="F650" s="9">
        <f t="shared" si="372"/>
        <v>0</v>
      </c>
      <c r="G650" s="9">
        <f t="shared" si="373"/>
        <v>0.25172759760878832</v>
      </c>
      <c r="H650" s="9">
        <f t="shared" si="374"/>
        <v>0</v>
      </c>
      <c r="I650" s="9">
        <f t="shared" si="375"/>
        <v>0</v>
      </c>
      <c r="J650" s="9">
        <f t="shared" si="376"/>
        <v>0</v>
      </c>
      <c r="K650" s="9">
        <v>0</v>
      </c>
      <c r="L650" s="8">
        <f>+VLOOKUP($B650,NIFTY_50!$B$3:$I$1238,8,0)</f>
        <v>1.6682684461530872E-3</v>
      </c>
      <c r="M650" s="8">
        <f>+VLOOKUP($B650,NIFTY_BANK!$B$3:$I$41238,8,0)</f>
        <v>7.0594449520329228E-3</v>
      </c>
      <c r="N650" s="8">
        <f>+VLOOKUP($B650,NIFTY_IT!$B$3:$I$1238,8,0)</f>
        <v>-6.5238826477006517E-3</v>
      </c>
      <c r="O650" s="8">
        <f>+VLOOKUP($B650,NIFTY_PHARMA!$B$3:$I$1238,8,0)</f>
        <v>-7.7476337435274933E-3</v>
      </c>
      <c r="P650" s="8">
        <f>+VLOOKUP($B650,NIFTY_FMCG!$B$3:$I$1238,8,0)</f>
        <v>1.7458633268145896E-3</v>
      </c>
      <c r="Q650" s="8">
        <f>+VLOOKUP($B650,NIFTY_METAL!$B$3:$I$1238,8,0)</f>
        <v>-3.7328135044897293E-3</v>
      </c>
      <c r="R650" s="8">
        <f>+VLOOKUP($B650,NIFTY_ENERGY!$B$3:$I$1238,8,0)</f>
        <v>2.073534965155055E-3</v>
      </c>
      <c r="S650" s="8">
        <f>+VLOOKUP($B650,NIFTY_AUTO!$B$3:$I$1238,8,0)</f>
        <v>1.1475563841856884E-2</v>
      </c>
      <c r="T650" s="8">
        <v>0</v>
      </c>
      <c r="U650" s="8">
        <f>+VLOOKUP($B650,NIFTY_50!$B$63:$K$1238,10,0)</f>
        <v>-6.5981865449242338E-2</v>
      </c>
      <c r="V650" s="8">
        <f>+VLOOKUP($B650,NIFTY_BANK!$B$63:$K$1238,10,0)</f>
        <v>-8.2663354974203296E-2</v>
      </c>
      <c r="W650" s="8">
        <f>+VLOOKUP($B650,NIFTY_IT!$B$63:$K$1238,10,0)</f>
        <v>-3.7753159404316117E-2</v>
      </c>
      <c r="X650" s="8">
        <f>+VLOOKUP($B650,NIFTY_PHARMA!$B$63:$K$1238,10,0)</f>
        <v>-9.6597087920808455E-2</v>
      </c>
      <c r="Y650" s="8">
        <f>+VLOOKUP($B650,NIFTY_FMCG!$B$63:$K$1238,10,0)</f>
        <v>-5.4266040104557933E-2</v>
      </c>
      <c r="Z650" s="8">
        <f>+VLOOKUP($B650,NIFTY_METAL!$B$63:$K$1238,10,0)</f>
        <v>-0.17146404980770225</v>
      </c>
      <c r="AA650" s="8">
        <f>+VLOOKUP($B650,NIFTY_ENERGY!$B$63:$K$1238,10,0)</f>
        <v>-0.10133371099234001</v>
      </c>
      <c r="AB650" s="8">
        <f>+VLOOKUP($B650,NIFTY_AUTO!$B$63:$K$1238,10,0)</f>
        <v>-0.16903741347169954</v>
      </c>
      <c r="AC650" s="8"/>
      <c r="AD650" s="16">
        <f t="shared" si="377"/>
        <v>6.3204077352895363E-2</v>
      </c>
      <c r="AE650" s="8">
        <f t="shared" si="378"/>
        <v>8.4970704635431396E-2</v>
      </c>
      <c r="AF650" s="8">
        <f t="shared" si="379"/>
        <v>7.4085439435060324E-2</v>
      </c>
      <c r="AG650" s="8">
        <f t="shared" si="380"/>
        <v>9.1958174276244406E-2</v>
      </c>
      <c r="AH650" s="8">
        <f t="shared" si="381"/>
        <v>5.5133965502822645E-2</v>
      </c>
      <c r="AI650" s="8">
        <f t="shared" si="382"/>
        <v>0.12389243769593845</v>
      </c>
      <c r="AJ650" s="8">
        <f t="shared" si="383"/>
        <v>8.8222475917072024E-2</v>
      </c>
      <c r="AK650" s="8">
        <f t="shared" si="384"/>
        <v>0.1218181227557576</v>
      </c>
      <c r="AL650" s="9">
        <v>0</v>
      </c>
      <c r="AM650" s="17">
        <f t="shared" si="361"/>
        <v>15.821764067792222</v>
      </c>
      <c r="AN650" s="13">
        <f t="shared" si="362"/>
        <v>11.768762002039658</v>
      </c>
      <c r="AO650" s="13">
        <f t="shared" si="363"/>
        <v>13.497928980721658</v>
      </c>
      <c r="AP650" s="13">
        <f t="shared" si="364"/>
        <v>10.874509067524304</v>
      </c>
      <c r="AQ650" s="13">
        <f t="shared" si="365"/>
        <v>18.137639672386776</v>
      </c>
      <c r="AR650" s="13">
        <f t="shared" si="366"/>
        <v>8.0715176696598547</v>
      </c>
      <c r="AS650" s="13">
        <f t="shared" si="367"/>
        <v>11.334979999200963</v>
      </c>
      <c r="AT650" s="13">
        <f t="shared" si="368"/>
        <v>8.2089592039189103</v>
      </c>
      <c r="AU650" s="9">
        <v>0</v>
      </c>
      <c r="AV650" s="18">
        <f t="shared" si="385"/>
        <v>2</v>
      </c>
      <c r="AW650" s="18">
        <f t="shared" si="386"/>
        <v>4</v>
      </c>
      <c r="AX650" s="18">
        <f t="shared" si="387"/>
        <v>3</v>
      </c>
      <c r="AY650" s="18">
        <f t="shared" si="388"/>
        <v>6</v>
      </c>
      <c r="AZ650" s="18">
        <f t="shared" si="389"/>
        <v>1</v>
      </c>
      <c r="BA650" s="18">
        <f t="shared" si="390"/>
        <v>8</v>
      </c>
      <c r="BB650" s="18">
        <f t="shared" si="391"/>
        <v>5</v>
      </c>
      <c r="BC650" s="18">
        <f t="shared" si="392"/>
        <v>7</v>
      </c>
      <c r="BD650" s="18">
        <f t="shared" si="393"/>
        <v>9</v>
      </c>
      <c r="BE650" s="8">
        <f t="shared" si="395"/>
        <v>9.5764467755179376E-4</v>
      </c>
    </row>
    <row r="651" spans="1:57" x14ac:dyDescent="0.25">
      <c r="A651" t="str">
        <f t="shared" si="394"/>
        <v/>
      </c>
      <c r="B651" s="1">
        <v>43696</v>
      </c>
      <c r="C651" s="9">
        <f t="shared" si="369"/>
        <v>0.25174601144255604</v>
      </c>
      <c r="D651" s="9">
        <f t="shared" si="370"/>
        <v>0.2471563039873011</v>
      </c>
      <c r="E651" s="9">
        <f t="shared" si="371"/>
        <v>0.2498819587737762</v>
      </c>
      <c r="F651" s="9">
        <f t="shared" si="372"/>
        <v>0</v>
      </c>
      <c r="G651" s="9">
        <f t="shared" si="373"/>
        <v>0.2512157257963667</v>
      </c>
      <c r="H651" s="9">
        <f t="shared" si="374"/>
        <v>0</v>
      </c>
      <c r="I651" s="9">
        <f t="shared" si="375"/>
        <v>0</v>
      </c>
      <c r="J651" s="9">
        <f t="shared" si="376"/>
        <v>0</v>
      </c>
      <c r="K651" s="9">
        <v>0</v>
      </c>
      <c r="L651" s="8">
        <f>+VLOOKUP($B651,NIFTY_50!$B$3:$I$1238,8,0)</f>
        <v>5.5214612864107337E-4</v>
      </c>
      <c r="M651" s="8">
        <f>+VLOOKUP($B651,NIFTY_BANK!$B$3:$I$41238,8,0)</f>
        <v>-1.0950845235142559E-3</v>
      </c>
      <c r="N651" s="8">
        <f>+VLOOKUP($B651,NIFTY_IT!$B$3:$I$1238,8,0)</f>
        <v>3.2410586156514931E-3</v>
      </c>
      <c r="O651" s="8">
        <f>+VLOOKUP($B651,NIFTY_PHARMA!$B$3:$I$1238,8,0)</f>
        <v>7.4242286219954323E-3</v>
      </c>
      <c r="P651" s="8">
        <f>+VLOOKUP($B651,NIFTY_FMCG!$B$3:$I$1238,8,0)</f>
        <v>-1.8155102379893151E-3</v>
      </c>
      <c r="Q651" s="8">
        <f>+VLOOKUP($B651,NIFTY_METAL!$B$3:$I$1238,8,0)</f>
        <v>-4.4545284236382487E-3</v>
      </c>
      <c r="R651" s="8">
        <f>+VLOOKUP($B651,NIFTY_ENERGY!$B$3:$I$1238,8,0)</f>
        <v>-1.0962883786580502E-4</v>
      </c>
      <c r="S651" s="8">
        <f>+VLOOKUP($B651,NIFTY_AUTO!$B$3:$I$1238,8,0)</f>
        <v>-5.6155291528838802E-3</v>
      </c>
      <c r="T651" s="8">
        <v>0</v>
      </c>
      <c r="U651" s="8">
        <f>+VLOOKUP($B651,NIFTY_50!$B$63:$K$1238,10,0)</f>
        <v>-5.5956478294659773E-2</v>
      </c>
      <c r="V651" s="8">
        <f>+VLOOKUP($B651,NIFTY_BANK!$B$63:$K$1238,10,0)</f>
        <v>-7.0023491837246543E-2</v>
      </c>
      <c r="W651" s="8">
        <f>+VLOOKUP($B651,NIFTY_IT!$B$63:$K$1238,10,0)</f>
        <v>-2.2312495441413893E-2</v>
      </c>
      <c r="X651" s="8">
        <f>+VLOOKUP($B651,NIFTY_PHARMA!$B$63:$K$1238,10,0)</f>
        <v>-8.7992224545695441E-2</v>
      </c>
      <c r="Y651" s="8">
        <f>+VLOOKUP($B651,NIFTY_FMCG!$B$63:$K$1238,10,0)</f>
        <v>-5.5681628402738936E-2</v>
      </c>
      <c r="Z651" s="8">
        <f>+VLOOKUP($B651,NIFTY_METAL!$B$63:$K$1238,10,0)</f>
        <v>-0.16217920644652717</v>
      </c>
      <c r="AA651" s="8">
        <f>+VLOOKUP($B651,NIFTY_ENERGY!$B$63:$K$1238,10,0)</f>
        <v>-9.2886358267961211E-2</v>
      </c>
      <c r="AB651" s="8">
        <f>+VLOOKUP($B651,NIFTY_AUTO!$B$63:$K$1238,10,0)</f>
        <v>-0.1523000931852927</v>
      </c>
      <c r="AC651" s="8"/>
      <c r="AD651" s="16">
        <f t="shared" si="377"/>
        <v>6.2568416579282055E-2</v>
      </c>
      <c r="AE651" s="8">
        <f t="shared" si="378"/>
        <v>8.3902938700438981E-2</v>
      </c>
      <c r="AF651" s="8">
        <f t="shared" si="379"/>
        <v>7.3176229197302212E-2</v>
      </c>
      <c r="AG651" s="8">
        <f t="shared" si="380"/>
        <v>9.2390107566713342E-2</v>
      </c>
      <c r="AH651" s="8">
        <f t="shared" si="381"/>
        <v>5.513846590845143E-2</v>
      </c>
      <c r="AI651" s="8">
        <f t="shared" si="382"/>
        <v>0.12325776217582549</v>
      </c>
      <c r="AJ651" s="8">
        <f t="shared" si="383"/>
        <v>8.7888790966381844E-2</v>
      </c>
      <c r="AK651" s="8">
        <f t="shared" si="384"/>
        <v>0.11975630688949189</v>
      </c>
      <c r="AL651" s="9">
        <v>0</v>
      </c>
      <c r="AM651" s="17">
        <f t="shared" si="361"/>
        <v>15.982504507411885</v>
      </c>
      <c r="AN651" s="13">
        <f t="shared" si="362"/>
        <v>11.918533671035386</v>
      </c>
      <c r="AO651" s="13">
        <f t="shared" si="363"/>
        <v>13.665639934844675</v>
      </c>
      <c r="AP651" s="13">
        <f t="shared" si="364"/>
        <v>10.823669615038783</v>
      </c>
      <c r="AQ651" s="13">
        <f t="shared" si="365"/>
        <v>18.136159276907332</v>
      </c>
      <c r="AR651" s="13">
        <f t="shared" si="366"/>
        <v>8.1130793091433375</v>
      </c>
      <c r="AS651" s="13">
        <f t="shared" si="367"/>
        <v>11.378015205403246</v>
      </c>
      <c r="AT651" s="13">
        <f t="shared" si="368"/>
        <v>8.3502909030317287</v>
      </c>
      <c r="AU651" s="9">
        <v>0</v>
      </c>
      <c r="AV651" s="18">
        <f t="shared" si="385"/>
        <v>2</v>
      </c>
      <c r="AW651" s="18">
        <f t="shared" si="386"/>
        <v>4</v>
      </c>
      <c r="AX651" s="18">
        <f t="shared" si="387"/>
        <v>3</v>
      </c>
      <c r="AY651" s="18">
        <f t="shared" si="388"/>
        <v>6</v>
      </c>
      <c r="AZ651" s="18">
        <f t="shared" si="389"/>
        <v>1</v>
      </c>
      <c r="BA651" s="18">
        <f t="shared" si="390"/>
        <v>8</v>
      </c>
      <c r="BB651" s="18">
        <f t="shared" si="391"/>
        <v>5</v>
      </c>
      <c r="BC651" s="18">
        <f t="shared" si="392"/>
        <v>7</v>
      </c>
      <c r="BD651" s="18">
        <f t="shared" si="393"/>
        <v>9</v>
      </c>
      <c r="BE651" s="8">
        <f t="shared" si="395"/>
        <v>2.1836921874430159E-4</v>
      </c>
    </row>
    <row r="652" spans="1:57" x14ac:dyDescent="0.25">
      <c r="A652" t="str">
        <f t="shared" si="394"/>
        <v/>
      </c>
      <c r="B652" s="1">
        <v>43697</v>
      </c>
      <c r="C652" s="9">
        <f t="shared" si="369"/>
        <v>0.25118863092710969</v>
      </c>
      <c r="D652" s="9">
        <f t="shared" si="370"/>
        <v>0.24564730419079653</v>
      </c>
      <c r="E652" s="9">
        <f t="shared" si="371"/>
        <v>0.25312711195506132</v>
      </c>
      <c r="F652" s="9">
        <f t="shared" si="372"/>
        <v>0</v>
      </c>
      <c r="G652" s="9">
        <f t="shared" si="373"/>
        <v>0.25003695292703232</v>
      </c>
      <c r="H652" s="9">
        <f t="shared" si="374"/>
        <v>0</v>
      </c>
      <c r="I652" s="9">
        <f t="shared" si="375"/>
        <v>0</v>
      </c>
      <c r="J652" s="9">
        <f t="shared" si="376"/>
        <v>0</v>
      </c>
      <c r="K652" s="9">
        <v>0</v>
      </c>
      <c r="L652" s="8">
        <f>+VLOOKUP($B652,NIFTY_50!$B$3:$I$1238,8,0)</f>
        <v>-3.338188331719949E-3</v>
      </c>
      <c r="M652" s="8">
        <f>+VLOOKUP($B652,NIFTY_BANK!$B$3:$I$41238,8,0)</f>
        <v>-7.2251925594529753E-3</v>
      </c>
      <c r="N652" s="8">
        <f>+VLOOKUP($B652,NIFTY_IT!$B$3:$I$1238,8,0)</f>
        <v>1.1845489664388698E-2</v>
      </c>
      <c r="O652" s="8">
        <f>+VLOOKUP($B652,NIFTY_PHARMA!$B$3:$I$1238,8,0)</f>
        <v>1.0786232375490368E-3</v>
      </c>
      <c r="P652" s="8">
        <f>+VLOOKUP($B652,NIFTY_FMCG!$B$3:$I$1238,8,0)</f>
        <v>-5.8136107498917289E-3</v>
      </c>
      <c r="Q652" s="8">
        <f>+VLOOKUP($B652,NIFTY_METAL!$B$3:$I$1238,8,0)</f>
        <v>-1.6810588161498607E-2</v>
      </c>
      <c r="R652" s="8">
        <f>+VLOOKUP($B652,NIFTY_ENERGY!$B$3:$I$1238,8,0)</f>
        <v>-1.0518669782294321E-2</v>
      </c>
      <c r="S652" s="8">
        <f>+VLOOKUP($B652,NIFTY_AUTO!$B$3:$I$1238,8,0)</f>
        <v>1.1689646005618615E-2</v>
      </c>
      <c r="T652" s="8">
        <v>0</v>
      </c>
      <c r="U652" s="8">
        <f>+VLOOKUP($B652,NIFTY_50!$B$63:$K$1238,10,0)</f>
        <v>-6.141643735250768E-2</v>
      </c>
      <c r="V652" s="8">
        <f>+VLOOKUP($B652,NIFTY_BANK!$B$63:$K$1238,10,0)</f>
        <v>-8.3348074478818535E-2</v>
      </c>
      <c r="W652" s="8">
        <f>+VLOOKUP($B652,NIFTY_IT!$B$63:$K$1238,10,0)</f>
        <v>-4.3661014352600613E-3</v>
      </c>
      <c r="X652" s="8">
        <f>+VLOOKUP($B652,NIFTY_PHARMA!$B$63:$K$1238,10,0)</f>
        <v>-8.9432900356603673E-2</v>
      </c>
      <c r="Y652" s="8">
        <f>+VLOOKUP($B652,NIFTY_FMCG!$B$63:$K$1238,10,0)</f>
        <v>-5.2162729997206503E-2</v>
      </c>
      <c r="Z652" s="8">
        <f>+VLOOKUP($B652,NIFTY_METAL!$B$63:$K$1238,10,0)</f>
        <v>-0.17919670442842417</v>
      </c>
      <c r="AA652" s="8">
        <f>+VLOOKUP($B652,NIFTY_ENERGY!$B$63:$K$1238,10,0)</f>
        <v>-0.10712066262881104</v>
      </c>
      <c r="AB652" s="8">
        <f>+VLOOKUP($B652,NIFTY_AUTO!$B$63:$K$1238,10,0)</f>
        <v>-0.14624903747627793</v>
      </c>
      <c r="AC652" s="8"/>
      <c r="AD652" s="16">
        <f t="shared" si="377"/>
        <v>6.2520247379513311E-2</v>
      </c>
      <c r="AE652" s="8">
        <f t="shared" si="378"/>
        <v>8.3689369865770885E-2</v>
      </c>
      <c r="AF652" s="8">
        <f t="shared" si="379"/>
        <v>7.389614371461499E-2</v>
      </c>
      <c r="AG652" s="8">
        <f t="shared" si="380"/>
        <v>9.2333130010653852E-2</v>
      </c>
      <c r="AH652" s="8">
        <f t="shared" si="381"/>
        <v>5.4683027773909959E-2</v>
      </c>
      <c r="AI652" s="8">
        <f t="shared" si="382"/>
        <v>0.12386481968707706</v>
      </c>
      <c r="AJ652" s="8">
        <f t="shared" si="383"/>
        <v>8.8062507394631284E-2</v>
      </c>
      <c r="AK652" s="8">
        <f t="shared" si="384"/>
        <v>0.12039125043914062</v>
      </c>
      <c r="AL652" s="9">
        <v>0</v>
      </c>
      <c r="AM652" s="17">
        <f t="shared" si="361"/>
        <v>15.994818349482106</v>
      </c>
      <c r="AN652" s="13">
        <f t="shared" si="362"/>
        <v>11.948948852212615</v>
      </c>
      <c r="AO652" s="13">
        <f t="shared" si="363"/>
        <v>13.532505889102607</v>
      </c>
      <c r="AP652" s="13">
        <f t="shared" si="364"/>
        <v>10.830348758724144</v>
      </c>
      <c r="AQ652" s="13">
        <f t="shared" si="365"/>
        <v>18.28720977438477</v>
      </c>
      <c r="AR652" s="13">
        <f t="shared" si="366"/>
        <v>8.0733173674843766</v>
      </c>
      <c r="AS652" s="13">
        <f t="shared" si="367"/>
        <v>11.355570373652169</v>
      </c>
      <c r="AT652" s="13">
        <f t="shared" si="368"/>
        <v>8.3062514622315788</v>
      </c>
      <c r="AU652" s="9">
        <v>0</v>
      </c>
      <c r="AV652" s="18">
        <f t="shared" si="385"/>
        <v>2</v>
      </c>
      <c r="AW652" s="18">
        <f t="shared" si="386"/>
        <v>4</v>
      </c>
      <c r="AX652" s="18">
        <f t="shared" si="387"/>
        <v>3</v>
      </c>
      <c r="AY652" s="18">
        <f t="shared" si="388"/>
        <v>6</v>
      </c>
      <c r="AZ652" s="18">
        <f t="shared" si="389"/>
        <v>1</v>
      </c>
      <c r="BA652" s="18">
        <f t="shared" si="390"/>
        <v>8</v>
      </c>
      <c r="BB652" s="18">
        <f t="shared" si="391"/>
        <v>5</v>
      </c>
      <c r="BC652" s="18">
        <f t="shared" si="392"/>
        <v>7</v>
      </c>
      <c r="BD652" s="18">
        <f t="shared" si="393"/>
        <v>9</v>
      </c>
      <c r="BE652" s="8">
        <f t="shared" si="395"/>
        <v>-1.1266237706051645E-3</v>
      </c>
    </row>
    <row r="653" spans="1:57" x14ac:dyDescent="0.25">
      <c r="A653" t="str">
        <f t="shared" si="394"/>
        <v/>
      </c>
      <c r="B653" s="1">
        <v>43698</v>
      </c>
      <c r="C653" s="9">
        <f t="shared" si="369"/>
        <v>0.25076111021487774</v>
      </c>
      <c r="D653" s="9">
        <f t="shared" si="370"/>
        <v>0.245107854687627</v>
      </c>
      <c r="E653" s="9">
        <f t="shared" si="371"/>
        <v>0.25465089748349862</v>
      </c>
      <c r="F653" s="9">
        <f t="shared" si="372"/>
        <v>0</v>
      </c>
      <c r="G653" s="9">
        <f t="shared" si="373"/>
        <v>0.24948013761399665</v>
      </c>
      <c r="H653" s="9">
        <f t="shared" si="374"/>
        <v>0</v>
      </c>
      <c r="I653" s="9">
        <f t="shared" si="375"/>
        <v>0</v>
      </c>
      <c r="J653" s="9">
        <f t="shared" si="376"/>
        <v>0</v>
      </c>
      <c r="K653" s="9">
        <v>0</v>
      </c>
      <c r="L653" s="8">
        <f>+VLOOKUP($B653,NIFTY_50!$B$3:$I$1238,8,0)</f>
        <v>-8.9225742035036193E-3</v>
      </c>
      <c r="M653" s="8">
        <f>+VLOOKUP($B653,NIFTY_BANK!$B$3:$I$41238,8,0)</f>
        <v>-9.4130428179091119E-3</v>
      </c>
      <c r="N653" s="8">
        <f>+VLOOKUP($B653,NIFTY_IT!$B$3:$I$1238,8,0)</f>
        <v>-1.2565914955683377E-3</v>
      </c>
      <c r="O653" s="8">
        <f>+VLOOKUP($B653,NIFTY_PHARMA!$B$3:$I$1238,8,0)</f>
        <v>-9.3487489838316451E-3</v>
      </c>
      <c r="P653" s="8">
        <f>+VLOOKUP($B653,NIFTY_FMCG!$B$3:$I$1238,8,0)</f>
        <v>-9.443718749836516E-3</v>
      </c>
      <c r="Q653" s="8">
        <f>+VLOOKUP($B653,NIFTY_METAL!$B$3:$I$1238,8,0)</f>
        <v>-2.8900750696467803E-2</v>
      </c>
      <c r="R653" s="8">
        <f>+VLOOKUP($B653,NIFTY_ENERGY!$B$3:$I$1238,8,0)</f>
        <v>-1.5107759217706795E-2</v>
      </c>
      <c r="S653" s="8">
        <f>+VLOOKUP($B653,NIFTY_AUTO!$B$3:$I$1238,8,0)</f>
        <v>-5.4896669270647624E-3</v>
      </c>
      <c r="T653" s="8">
        <v>0</v>
      </c>
      <c r="U653" s="8">
        <f>+VLOOKUP($B653,NIFTY_50!$B$63:$K$1238,10,0)</f>
        <v>-6.3339352580627062E-2</v>
      </c>
      <c r="V653" s="8">
        <f>+VLOOKUP($B653,NIFTY_BANK!$B$63:$K$1238,10,0)</f>
        <v>-8.846200643886204E-2</v>
      </c>
      <c r="W653" s="8">
        <f>+VLOOKUP($B653,NIFTY_IT!$B$63:$K$1238,10,0)</f>
        <v>2.5291446921746896E-3</v>
      </c>
      <c r="X653" s="8">
        <f>+VLOOKUP($B653,NIFTY_PHARMA!$B$63:$K$1238,10,0)</f>
        <v>-9.6539022782903494E-2</v>
      </c>
      <c r="Y653" s="8">
        <f>+VLOOKUP($B653,NIFTY_FMCG!$B$63:$K$1238,10,0)</f>
        <v>-4.456697999582826E-2</v>
      </c>
      <c r="Z653" s="8">
        <f>+VLOOKUP($B653,NIFTY_METAL!$B$63:$K$1238,10,0)</f>
        <v>-0.19092841956059536</v>
      </c>
      <c r="AA653" s="8">
        <f>+VLOOKUP($B653,NIFTY_ENERGY!$B$63:$K$1238,10,0)</f>
        <v>-0.11827380325002634</v>
      </c>
      <c r="AB653" s="8">
        <f>+VLOOKUP($B653,NIFTY_AUTO!$B$63:$K$1238,10,0)</f>
        <v>-0.14787206854166401</v>
      </c>
      <c r="AC653" s="8"/>
      <c r="AD653" s="16">
        <f t="shared" si="377"/>
        <v>6.2743817106029762E-2</v>
      </c>
      <c r="AE653" s="8">
        <f t="shared" si="378"/>
        <v>8.4035339692974387E-2</v>
      </c>
      <c r="AF653" s="8">
        <f t="shared" si="379"/>
        <v>7.3456020948751644E-2</v>
      </c>
      <c r="AG653" s="8">
        <f t="shared" si="380"/>
        <v>9.2663676683589852E-2</v>
      </c>
      <c r="AH653" s="8">
        <f t="shared" si="381"/>
        <v>5.2838454654160268E-2</v>
      </c>
      <c r="AI653" s="8">
        <f t="shared" si="382"/>
        <v>0.12596590408928565</v>
      </c>
      <c r="AJ653" s="8">
        <f t="shared" si="383"/>
        <v>8.9045133324894638E-2</v>
      </c>
      <c r="AK653" s="8">
        <f t="shared" si="384"/>
        <v>0.12042362174922859</v>
      </c>
      <c r="AL653" s="9">
        <v>0</v>
      </c>
      <c r="AM653" s="17">
        <f t="shared" si="361"/>
        <v>15.937825368675231</v>
      </c>
      <c r="AN653" s="13">
        <f t="shared" si="362"/>
        <v>11.899755551099451</v>
      </c>
      <c r="AO653" s="13">
        <f t="shared" si="363"/>
        <v>13.613587927634605</v>
      </c>
      <c r="AP653" s="13">
        <f t="shared" si="364"/>
        <v>10.79171511200239</v>
      </c>
      <c r="AQ653" s="13">
        <f t="shared" si="365"/>
        <v>18.925610268983604</v>
      </c>
      <c r="AR653" s="13">
        <f t="shared" si="366"/>
        <v>7.9386561564404916</v>
      </c>
      <c r="AS653" s="13">
        <f t="shared" si="367"/>
        <v>11.230260011530881</v>
      </c>
      <c r="AT653" s="13">
        <f t="shared" si="368"/>
        <v>8.3040186424753983</v>
      </c>
      <c r="AU653" s="9">
        <v>0</v>
      </c>
      <c r="AV653" s="18">
        <f t="shared" si="385"/>
        <v>2</v>
      </c>
      <c r="AW653" s="18">
        <f t="shared" si="386"/>
        <v>4</v>
      </c>
      <c r="AX653" s="18">
        <f t="shared" si="387"/>
        <v>3</v>
      </c>
      <c r="AY653" s="18">
        <f t="shared" si="388"/>
        <v>6</v>
      </c>
      <c r="AZ653" s="18">
        <f t="shared" si="389"/>
        <v>1</v>
      </c>
      <c r="BA653" s="18">
        <f t="shared" si="390"/>
        <v>8</v>
      </c>
      <c r="BB653" s="18">
        <f t="shared" si="391"/>
        <v>5</v>
      </c>
      <c r="BC653" s="18">
        <f t="shared" si="392"/>
        <v>7</v>
      </c>
      <c r="BD653" s="18">
        <f t="shared" si="393"/>
        <v>9</v>
      </c>
      <c r="BE653" s="8">
        <f t="shared" si="395"/>
        <v>-7.2328938276650422E-3</v>
      </c>
    </row>
    <row r="654" spans="1:57" x14ac:dyDescent="0.25">
      <c r="A654" t="str">
        <f t="shared" si="394"/>
        <v/>
      </c>
      <c r="B654" s="1">
        <v>43699</v>
      </c>
      <c r="C654" s="9">
        <f t="shared" si="369"/>
        <v>0.24899739059781809</v>
      </c>
      <c r="D654" s="9">
        <f t="shared" si="370"/>
        <v>0.24128986853883311</v>
      </c>
      <c r="E654" s="9">
        <f t="shared" si="371"/>
        <v>0.25792328629937089</v>
      </c>
      <c r="F654" s="9">
        <f t="shared" si="372"/>
        <v>0</v>
      </c>
      <c r="G654" s="9">
        <f t="shared" si="373"/>
        <v>0.25178945456397794</v>
      </c>
      <c r="H654" s="9">
        <f t="shared" si="374"/>
        <v>0</v>
      </c>
      <c r="I654" s="9">
        <f t="shared" si="375"/>
        <v>0</v>
      </c>
      <c r="J654" s="9">
        <f t="shared" si="376"/>
        <v>0</v>
      </c>
      <c r="K654" s="9">
        <v>0</v>
      </c>
      <c r="L654" s="8">
        <f>+VLOOKUP($B654,NIFTY_50!$B$3:$I$1238,8,0)</f>
        <v>-1.6242776154670513E-2</v>
      </c>
      <c r="M654" s="8">
        <f>+VLOOKUP($B654,NIFTY_BANK!$B$3:$I$41238,8,0)</f>
        <v>-2.470683519096073E-2</v>
      </c>
      <c r="N654" s="8">
        <f>+VLOOKUP($B654,NIFTY_IT!$B$3:$I$1238,8,0)</f>
        <v>3.4567647634669019E-3</v>
      </c>
      <c r="O654" s="8">
        <f>+VLOOKUP($B654,NIFTY_PHARMA!$B$3:$I$1238,8,0)</f>
        <v>-8.3363183431561794E-4</v>
      </c>
      <c r="P654" s="8">
        <f>+VLOOKUP($B654,NIFTY_FMCG!$B$3:$I$1238,8,0)</f>
        <v>-1.0387653129839691E-4</v>
      </c>
      <c r="Q654" s="8">
        <f>+VLOOKUP($B654,NIFTY_METAL!$B$3:$I$1238,8,0)</f>
        <v>-3.48633496846531E-2</v>
      </c>
      <c r="R654" s="8">
        <f>+VLOOKUP($B654,NIFTY_ENERGY!$B$3:$I$1238,8,0)</f>
        <v>-2.2800066097338867E-2</v>
      </c>
      <c r="S654" s="8">
        <f>+VLOOKUP($B654,NIFTY_AUTO!$B$3:$I$1238,8,0)</f>
        <v>-1.7102622878239271E-2</v>
      </c>
      <c r="T654" s="8">
        <v>0</v>
      </c>
      <c r="U654" s="8">
        <f>+VLOOKUP($B654,NIFTY_50!$B$63:$K$1238,10,0)</f>
        <v>-9.310542801901367E-2</v>
      </c>
      <c r="V654" s="8">
        <f>+VLOOKUP($B654,NIFTY_BANK!$B$63:$K$1238,10,0)</f>
        <v>-0.13386762696415377</v>
      </c>
      <c r="W654" s="8">
        <f>+VLOOKUP($B654,NIFTY_IT!$B$63:$K$1238,10,0)</f>
        <v>3.9916890657263338E-3</v>
      </c>
      <c r="X654" s="8">
        <f>+VLOOKUP($B654,NIFTY_PHARMA!$B$63:$K$1238,10,0)</f>
        <v>-0.10891623927652483</v>
      </c>
      <c r="Y654" s="8">
        <f>+VLOOKUP($B654,NIFTY_FMCG!$B$63:$K$1238,10,0)</f>
        <v>-5.2368731937501245E-2</v>
      </c>
      <c r="Z654" s="8">
        <f>+VLOOKUP($B654,NIFTY_METAL!$B$63:$K$1238,10,0)</f>
        <v>-0.2412629549288986</v>
      </c>
      <c r="AA654" s="8">
        <f>+VLOOKUP($B654,NIFTY_ENERGY!$B$63:$K$1238,10,0)</f>
        <v>-0.14569719621572108</v>
      </c>
      <c r="AB654" s="8">
        <f>+VLOOKUP($B654,NIFTY_AUTO!$B$63:$K$1238,10,0)</f>
        <v>-0.1865370408675866</v>
      </c>
      <c r="AC654" s="8"/>
      <c r="AD654" s="16">
        <f t="shared" si="377"/>
        <v>6.2120037952175487E-2</v>
      </c>
      <c r="AE654" s="8">
        <f t="shared" si="378"/>
        <v>8.2354214656557387E-2</v>
      </c>
      <c r="AF654" s="8">
        <f t="shared" si="379"/>
        <v>7.3508303766184641E-2</v>
      </c>
      <c r="AG654" s="8">
        <f t="shared" si="380"/>
        <v>9.1486157397586296E-2</v>
      </c>
      <c r="AH654" s="8">
        <f t="shared" si="381"/>
        <v>5.2084663969207953E-2</v>
      </c>
      <c r="AI654" s="8">
        <f t="shared" si="382"/>
        <v>0.12545063990792255</v>
      </c>
      <c r="AJ654" s="8">
        <f t="shared" si="383"/>
        <v>9.0741921953502183E-2</v>
      </c>
      <c r="AK654" s="8">
        <f t="shared" si="384"/>
        <v>0.11682399214908727</v>
      </c>
      <c r="AL654" s="9">
        <v>0</v>
      </c>
      <c r="AM654" s="17">
        <f t="shared" si="361"/>
        <v>16.097865245508583</v>
      </c>
      <c r="AN654" s="13">
        <f t="shared" si="362"/>
        <v>12.142669372421437</v>
      </c>
      <c r="AO654" s="13">
        <f t="shared" si="363"/>
        <v>13.603905256483703</v>
      </c>
      <c r="AP654" s="13">
        <f t="shared" si="364"/>
        <v>10.930615389759318</v>
      </c>
      <c r="AQ654" s="13">
        <f t="shared" si="365"/>
        <v>19.19950948692291</v>
      </c>
      <c r="AR654" s="13">
        <f t="shared" si="366"/>
        <v>7.9712626474761192</v>
      </c>
      <c r="AS654" s="13">
        <f t="shared" si="367"/>
        <v>11.020264707556208</v>
      </c>
      <c r="AT654" s="13">
        <f t="shared" si="368"/>
        <v>8.5598855303954178</v>
      </c>
      <c r="AU654" s="9">
        <v>0</v>
      </c>
      <c r="AV654" s="18">
        <f t="shared" si="385"/>
        <v>2</v>
      </c>
      <c r="AW654" s="18">
        <f t="shared" si="386"/>
        <v>4</v>
      </c>
      <c r="AX654" s="18">
        <f t="shared" si="387"/>
        <v>3</v>
      </c>
      <c r="AY654" s="18">
        <f t="shared" si="388"/>
        <v>6</v>
      </c>
      <c r="AZ654" s="18">
        <f t="shared" si="389"/>
        <v>1</v>
      </c>
      <c r="BA654" s="18">
        <f t="shared" si="390"/>
        <v>8</v>
      </c>
      <c r="BB654" s="18">
        <f t="shared" si="391"/>
        <v>5</v>
      </c>
      <c r="BC654" s="18">
        <f t="shared" si="392"/>
        <v>7</v>
      </c>
      <c r="BD654" s="18">
        <f t="shared" si="393"/>
        <v>9</v>
      </c>
      <c r="BE654" s="8">
        <f t="shared" si="395"/>
        <v>-9.2745428332110819E-3</v>
      </c>
    </row>
    <row r="655" spans="1:57" x14ac:dyDescent="0.25">
      <c r="A655" t="str">
        <f t="shared" si="394"/>
        <v/>
      </c>
      <c r="B655" s="1">
        <v>43700</v>
      </c>
      <c r="C655" s="9">
        <f t="shared" si="369"/>
        <v>0.25024193748575602</v>
      </c>
      <c r="D655" s="9">
        <f t="shared" si="370"/>
        <v>0.23985317995366437</v>
      </c>
      <c r="E655" s="9">
        <f t="shared" si="371"/>
        <v>0.26014226348208663</v>
      </c>
      <c r="F655" s="9">
        <f t="shared" si="372"/>
        <v>0</v>
      </c>
      <c r="G655" s="9">
        <f t="shared" si="373"/>
        <v>0.24976261907849304</v>
      </c>
      <c r="H655" s="9">
        <f t="shared" si="374"/>
        <v>0</v>
      </c>
      <c r="I655" s="9">
        <f t="shared" si="375"/>
        <v>0</v>
      </c>
      <c r="J655" s="9">
        <f t="shared" si="376"/>
        <v>0</v>
      </c>
      <c r="K655" s="9">
        <v>0</v>
      </c>
      <c r="L655" s="8">
        <f>+VLOOKUP($B655,NIFTY_50!$B$3:$I$1238,8,0)</f>
        <v>8.1926387279065427E-3</v>
      </c>
      <c r="M655" s="8">
        <f>+VLOOKUP($B655,NIFTY_BANK!$B$3:$I$41238,8,0)</f>
        <v>-2.7946083109542386E-3</v>
      </c>
      <c r="N655" s="8">
        <f>+VLOOKUP($B655,NIFTY_IT!$B$3:$I$1238,8,0)</f>
        <v>1.1809109518935434E-2</v>
      </c>
      <c r="O655" s="8">
        <f>+VLOOKUP($B655,NIFTY_PHARMA!$B$3:$I$1238,8,0)</f>
        <v>1.4300892339180082E-2</v>
      </c>
      <c r="P655" s="8">
        <f>+VLOOKUP($B655,NIFTY_FMCG!$B$3:$I$1238,8,0)</f>
        <v>-4.8967905860478611E-3</v>
      </c>
      <c r="Q655" s="8">
        <f>+VLOOKUP($B655,NIFTY_METAL!$B$3:$I$1238,8,0)</f>
        <v>3.4057905245961306E-2</v>
      </c>
      <c r="R655" s="8">
        <f>+VLOOKUP($B655,NIFTY_ENERGY!$B$3:$I$1238,8,0)</f>
        <v>2.7984054341881892E-2</v>
      </c>
      <c r="S655" s="8">
        <f>+VLOOKUP($B655,NIFTY_AUTO!$B$3:$I$1238,8,0)</f>
        <v>1.5438601589631062E-2</v>
      </c>
      <c r="T655" s="8">
        <v>0</v>
      </c>
      <c r="U655" s="8">
        <f>+VLOOKUP($B655,NIFTY_50!$B$63:$K$1238,10,0)</f>
        <v>-9.1859368120924989E-2</v>
      </c>
      <c r="V655" s="8">
        <f>+VLOOKUP($B655,NIFTY_BANK!$B$63:$K$1238,10,0)</f>
        <v>-0.14816265978674559</v>
      </c>
      <c r="W655" s="8">
        <f>+VLOOKUP($B655,NIFTY_IT!$B$63:$K$1238,10,0)</f>
        <v>1.6709895768047822E-2</v>
      </c>
      <c r="X655" s="8">
        <f>+VLOOKUP($B655,NIFTY_PHARMA!$B$63:$K$1238,10,0)</f>
        <v>-8.7325513196480964E-2</v>
      </c>
      <c r="Y655" s="8">
        <f>+VLOOKUP($B655,NIFTY_FMCG!$B$63:$K$1238,10,0)</f>
        <v>-6.1394301354574354E-2</v>
      </c>
      <c r="Z655" s="8">
        <f>+VLOOKUP($B655,NIFTY_METAL!$B$63:$K$1238,10,0)</f>
        <v>-0.23166537411066523</v>
      </c>
      <c r="AA655" s="8">
        <f>+VLOOKUP($B655,NIFTY_ENERGY!$B$63:$K$1238,10,0)</f>
        <v>-0.12797380155225191</v>
      </c>
      <c r="AB655" s="8">
        <f>+VLOOKUP($B655,NIFTY_AUTO!$B$63:$K$1238,10,0)</f>
        <v>-0.17416865590508379</v>
      </c>
      <c r="AC655" s="8"/>
      <c r="AD655" s="16">
        <f t="shared" si="377"/>
        <v>6.2321439170056371E-2</v>
      </c>
      <c r="AE655" s="8">
        <f t="shared" si="378"/>
        <v>8.0710754641497851E-2</v>
      </c>
      <c r="AF655" s="8">
        <f t="shared" si="379"/>
        <v>7.4409714393865178E-2</v>
      </c>
      <c r="AG655" s="8">
        <f t="shared" si="380"/>
        <v>9.2510396213047075E-2</v>
      </c>
      <c r="AH655" s="8">
        <f t="shared" si="381"/>
        <v>5.1932841231412723E-2</v>
      </c>
      <c r="AI655" s="8">
        <f t="shared" si="382"/>
        <v>0.12869125005366097</v>
      </c>
      <c r="AJ655" s="8">
        <f t="shared" si="383"/>
        <v>9.5208549808870793E-2</v>
      </c>
      <c r="AK655" s="8">
        <f t="shared" si="384"/>
        <v>0.11824423041664654</v>
      </c>
      <c r="AL655" s="9">
        <v>0</v>
      </c>
      <c r="AM655" s="17">
        <f t="shared" si="361"/>
        <v>16.045842543387071</v>
      </c>
      <c r="AN655" s="13">
        <f t="shared" si="362"/>
        <v>12.3899225628829</v>
      </c>
      <c r="AO655" s="13">
        <f t="shared" si="363"/>
        <v>13.439105473605292</v>
      </c>
      <c r="AP655" s="13">
        <f t="shared" si="364"/>
        <v>10.809595904194889</v>
      </c>
      <c r="AQ655" s="13">
        <f t="shared" si="365"/>
        <v>19.2556381720769</v>
      </c>
      <c r="AR655" s="13">
        <f t="shared" si="366"/>
        <v>7.7705360666170034</v>
      </c>
      <c r="AS655" s="13">
        <f t="shared" si="367"/>
        <v>10.50325839441394</v>
      </c>
      <c r="AT655" s="13">
        <f t="shared" si="368"/>
        <v>8.4570722518670891</v>
      </c>
      <c r="AU655" s="9">
        <v>0</v>
      </c>
      <c r="AV655" s="18">
        <f t="shared" si="385"/>
        <v>2</v>
      </c>
      <c r="AW655" s="18">
        <f t="shared" si="386"/>
        <v>4</v>
      </c>
      <c r="AX655" s="18">
        <f t="shared" si="387"/>
        <v>3</v>
      </c>
      <c r="AY655" s="18">
        <f t="shared" si="388"/>
        <v>5</v>
      </c>
      <c r="AZ655" s="18">
        <f t="shared" si="389"/>
        <v>1</v>
      </c>
      <c r="BA655" s="18">
        <f t="shared" si="390"/>
        <v>8</v>
      </c>
      <c r="BB655" s="18">
        <f t="shared" si="391"/>
        <v>6</v>
      </c>
      <c r="BC655" s="18">
        <f t="shared" si="392"/>
        <v>7</v>
      </c>
      <c r="BD655" s="18">
        <f t="shared" si="393"/>
        <v>9</v>
      </c>
      <c r="BE655" s="8">
        <f t="shared" si="395"/>
        <v>3.1785190980096753E-3</v>
      </c>
    </row>
    <row r="656" spans="1:57" x14ac:dyDescent="0.25">
      <c r="A656" t="str">
        <f t="shared" si="394"/>
        <v/>
      </c>
      <c r="B656" s="1">
        <v>43703</v>
      </c>
      <c r="C656" s="9">
        <f t="shared" si="369"/>
        <v>0.25068226503218194</v>
      </c>
      <c r="D656" s="9">
        <f t="shared" si="370"/>
        <v>0.24397500782722142</v>
      </c>
      <c r="E656" s="9">
        <f t="shared" si="371"/>
        <v>0.25640256092152458</v>
      </c>
      <c r="F656" s="9">
        <f t="shared" si="372"/>
        <v>0</v>
      </c>
      <c r="G656" s="9">
        <f t="shared" si="373"/>
        <v>0.24894016621907222</v>
      </c>
      <c r="H656" s="9">
        <f t="shared" si="374"/>
        <v>0</v>
      </c>
      <c r="I656" s="9">
        <f t="shared" si="375"/>
        <v>0</v>
      </c>
      <c r="J656" s="9">
        <f t="shared" si="376"/>
        <v>0</v>
      </c>
      <c r="K656" s="9">
        <v>0</v>
      </c>
      <c r="L656" s="8">
        <f>+VLOOKUP($B656,NIFTY_50!$B$3:$I$1238,8,0)</f>
        <v>2.1100066024276609E-2</v>
      </c>
      <c r="M656" s="8">
        <f>+VLOOKUP($B656,NIFTY_BANK!$B$3:$I$41238,8,0)</f>
        <v>3.6823060501916638E-2</v>
      </c>
      <c r="N656" s="8">
        <f>+VLOOKUP($B656,NIFTY_IT!$B$3:$I$1238,8,0)</f>
        <v>4.6533388971081724E-3</v>
      </c>
      <c r="O656" s="8">
        <f>+VLOOKUP($B656,NIFTY_PHARMA!$B$3:$I$1238,8,0)</f>
        <v>5.6229958036384531E-3</v>
      </c>
      <c r="P656" s="8">
        <f>+VLOOKUP($B656,NIFTY_FMCG!$B$3:$I$1238,8,0)</f>
        <v>1.5949973634944881E-2</v>
      </c>
      <c r="Q656" s="8">
        <f>+VLOOKUP($B656,NIFTY_METAL!$B$3:$I$1238,8,0)</f>
        <v>-9.6548394882934874E-3</v>
      </c>
      <c r="R656" s="8">
        <f>+VLOOKUP($B656,NIFTY_ENERGY!$B$3:$I$1238,8,0)</f>
        <v>8.4382721666513838E-3</v>
      </c>
      <c r="S656" s="8">
        <f>+VLOOKUP($B656,NIFTY_AUTO!$B$3:$I$1238,8,0)</f>
        <v>4.922478124306906E-3</v>
      </c>
      <c r="T656" s="8">
        <v>0</v>
      </c>
      <c r="U656" s="8">
        <f>+VLOOKUP($B656,NIFTY_50!$B$63:$K$1238,10,0)</f>
        <v>-7.3008487896887742E-2</v>
      </c>
      <c r="V656" s="8">
        <f>+VLOOKUP($B656,NIFTY_BANK!$B$63:$K$1238,10,0)</f>
        <v>-0.11540482120647266</v>
      </c>
      <c r="W656" s="8">
        <f>+VLOOKUP($B656,NIFTY_IT!$B$63:$K$1238,10,0)</f>
        <v>8.130287621216814E-3</v>
      </c>
      <c r="X656" s="8">
        <f>+VLOOKUP($B656,NIFTY_PHARMA!$B$63:$K$1238,10,0)</f>
        <v>-8.099156080973946E-2</v>
      </c>
      <c r="Y656" s="8">
        <f>+VLOOKUP($B656,NIFTY_FMCG!$B$63:$K$1238,10,0)</f>
        <v>-4.5267626571596331E-2</v>
      </c>
      <c r="Z656" s="8">
        <f>+VLOOKUP($B656,NIFTY_METAL!$B$63:$K$1238,10,0)</f>
        <v>-0.24601146026495591</v>
      </c>
      <c r="AA656" s="8">
        <f>+VLOOKUP($B656,NIFTY_ENERGY!$B$63:$K$1238,10,0)</f>
        <v>-0.12623158124569767</v>
      </c>
      <c r="AB656" s="8">
        <f>+VLOOKUP($B656,NIFTY_AUTO!$B$63:$K$1238,10,0)</f>
        <v>-0.16377914314972264</v>
      </c>
      <c r="AC656" s="8"/>
      <c r="AD656" s="16">
        <f t="shared" si="377"/>
        <v>6.62285136236965E-2</v>
      </c>
      <c r="AE656" s="8">
        <f t="shared" si="378"/>
        <v>8.96716380215275E-2</v>
      </c>
      <c r="AF656" s="8">
        <f t="shared" si="379"/>
        <v>7.3405415068575383E-2</v>
      </c>
      <c r="AG656" s="8">
        <f t="shared" si="380"/>
        <v>9.2774309007463224E-2</v>
      </c>
      <c r="AH656" s="8">
        <f t="shared" si="381"/>
        <v>5.4589360640067586E-2</v>
      </c>
      <c r="AI656" s="8">
        <f t="shared" si="382"/>
        <v>0.12809013764509206</v>
      </c>
      <c r="AJ656" s="8">
        <f t="shared" si="383"/>
        <v>9.5410749853926169E-2</v>
      </c>
      <c r="AK656" s="8">
        <f t="shared" si="384"/>
        <v>0.11841245643590824</v>
      </c>
      <c r="AL656" s="9">
        <v>0</v>
      </c>
      <c r="AM656" s="17">
        <f t="shared" si="361"/>
        <v>15.099236647252807</v>
      </c>
      <c r="AN656" s="13">
        <f t="shared" si="362"/>
        <v>11.151798071982689</v>
      </c>
      <c r="AO656" s="13">
        <f t="shared" si="363"/>
        <v>13.622973169837666</v>
      </c>
      <c r="AP656" s="13">
        <f t="shared" si="364"/>
        <v>10.77884611266202</v>
      </c>
      <c r="AQ656" s="13">
        <f t="shared" si="365"/>
        <v>18.31858787637125</v>
      </c>
      <c r="AR656" s="13">
        <f t="shared" si="366"/>
        <v>7.8070023062256917</v>
      </c>
      <c r="AS656" s="13">
        <f t="shared" si="367"/>
        <v>10.480999274515709</v>
      </c>
      <c r="AT656" s="13">
        <f t="shared" si="368"/>
        <v>8.4450574719836045</v>
      </c>
      <c r="AU656" s="9">
        <v>0</v>
      </c>
      <c r="AV656" s="18">
        <f t="shared" si="385"/>
        <v>2</v>
      </c>
      <c r="AW656" s="18">
        <f t="shared" si="386"/>
        <v>4</v>
      </c>
      <c r="AX656" s="18">
        <f t="shared" si="387"/>
        <v>3</v>
      </c>
      <c r="AY656" s="18">
        <f t="shared" si="388"/>
        <v>5</v>
      </c>
      <c r="AZ656" s="18">
        <f t="shared" si="389"/>
        <v>1</v>
      </c>
      <c r="BA656" s="18">
        <f t="shared" si="390"/>
        <v>8</v>
      </c>
      <c r="BB656" s="18">
        <f t="shared" si="391"/>
        <v>6</v>
      </c>
      <c r="BC656" s="18">
        <f t="shared" si="392"/>
        <v>7</v>
      </c>
      <c r="BD656" s="18">
        <f t="shared" si="393"/>
        <v>9</v>
      </c>
      <c r="BE656" s="8">
        <f t="shared" si="395"/>
        <v>1.9306486862742934E-2</v>
      </c>
    </row>
    <row r="657" spans="1:57" x14ac:dyDescent="0.25">
      <c r="A657" t="str">
        <f t="shared" si="394"/>
        <v/>
      </c>
      <c r="B657" s="1">
        <v>43704</v>
      </c>
      <c r="C657" s="9">
        <f t="shared" si="369"/>
        <v>0.25149805320481167</v>
      </c>
      <c r="D657" s="9">
        <f t="shared" si="370"/>
        <v>0.24524620870358818</v>
      </c>
      <c r="E657" s="9">
        <f t="shared" si="371"/>
        <v>0.25267269809694864</v>
      </c>
      <c r="F657" s="9">
        <f t="shared" si="372"/>
        <v>0</v>
      </c>
      <c r="G657" s="9">
        <f t="shared" si="373"/>
        <v>0.25058303999465165</v>
      </c>
      <c r="H657" s="9">
        <f t="shared" si="374"/>
        <v>0</v>
      </c>
      <c r="I657" s="9">
        <f t="shared" si="375"/>
        <v>0</v>
      </c>
      <c r="J657" s="9">
        <f t="shared" si="376"/>
        <v>0</v>
      </c>
      <c r="K657" s="9">
        <v>0</v>
      </c>
      <c r="L657" s="8">
        <f>+VLOOKUP($B657,NIFTY_50!$B$3:$I$1238,8,0)</f>
        <v>4.2955909150512728E-3</v>
      </c>
      <c r="M657" s="8">
        <f>+VLOOKUP($B657,NIFTY_BANK!$B$3:$I$41238,8,0)</f>
        <v>6.2537229865464727E-3</v>
      </c>
      <c r="N657" s="8">
        <f>+VLOOKUP($B657,NIFTY_IT!$B$3:$I$1238,8,0)</f>
        <v>-1.3524058853884857E-2</v>
      </c>
      <c r="O657" s="8">
        <f>+VLOOKUP($B657,NIFTY_PHARMA!$B$3:$I$1238,8,0)</f>
        <v>-1.5592449164780753E-3</v>
      </c>
      <c r="P657" s="8">
        <f>+VLOOKUP($B657,NIFTY_FMCG!$B$3:$I$1238,8,0)</f>
        <v>7.644263928270334E-3</v>
      </c>
      <c r="Q657" s="8">
        <f>+VLOOKUP($B657,NIFTY_METAL!$B$3:$I$1238,8,0)</f>
        <v>2.0938116234241022E-2</v>
      </c>
      <c r="R657" s="8">
        <f>+VLOOKUP($B657,NIFTY_ENERGY!$B$3:$I$1238,8,0)</f>
        <v>1.3740182485171726E-2</v>
      </c>
      <c r="S657" s="8">
        <f>+VLOOKUP($B657,NIFTY_AUTO!$B$3:$I$1238,8,0)</f>
        <v>1.8539745826065213E-2</v>
      </c>
      <c r="T657" s="8">
        <v>0</v>
      </c>
      <c r="U657" s="8">
        <f>+VLOOKUP($B657,NIFTY_50!$B$63:$K$1238,10,0)</f>
        <v>-6.3716687322423748E-2</v>
      </c>
      <c r="V657" s="8">
        <f>+VLOOKUP($B657,NIFTY_BANK!$B$63:$K$1238,10,0)</f>
        <v>-0.10127318420670028</v>
      </c>
      <c r="W657" s="8">
        <f>+VLOOKUP($B657,NIFTY_IT!$B$63:$K$1238,10,0)</f>
        <v>-1.1994503832190473E-2</v>
      </c>
      <c r="X657" s="8">
        <f>+VLOOKUP($B657,NIFTY_PHARMA!$B$63:$K$1238,10,0)</f>
        <v>-7.9266675702592271E-2</v>
      </c>
      <c r="Y657" s="8">
        <f>+VLOOKUP($B657,NIFTY_FMCG!$B$63:$K$1238,10,0)</f>
        <v>-3.6214525124774299E-2</v>
      </c>
      <c r="Z657" s="8">
        <f>+VLOOKUP($B657,NIFTY_METAL!$B$63:$K$1238,10,0)</f>
        <v>-0.21564021380179077</v>
      </c>
      <c r="AA657" s="8">
        <f>+VLOOKUP($B657,NIFTY_ENERGY!$B$63:$K$1238,10,0)</f>
        <v>-0.10543643708329375</v>
      </c>
      <c r="AB657" s="8">
        <f>+VLOOKUP($B657,NIFTY_AUTO!$B$63:$K$1238,10,0)</f>
        <v>-0.13631533826778874</v>
      </c>
      <c r="AC657" s="8"/>
      <c r="AD657" s="16">
        <f t="shared" si="377"/>
        <v>6.6294177148864625E-2</v>
      </c>
      <c r="AE657" s="8">
        <f t="shared" si="378"/>
        <v>8.9698992518319975E-2</v>
      </c>
      <c r="AF657" s="8">
        <f t="shared" si="379"/>
        <v>7.4354478103468916E-2</v>
      </c>
      <c r="AG657" s="8">
        <f t="shared" si="380"/>
        <v>9.2750181633283302E-2</v>
      </c>
      <c r="AH657" s="8">
        <f t="shared" si="381"/>
        <v>5.5204677450385209E-2</v>
      </c>
      <c r="AI657" s="8">
        <f t="shared" si="382"/>
        <v>0.1297251710546804</v>
      </c>
      <c r="AJ657" s="8">
        <f t="shared" si="383"/>
        <v>9.6369004241921005E-2</v>
      </c>
      <c r="AK657" s="8">
        <f t="shared" si="384"/>
        <v>0.11974318205080026</v>
      </c>
      <c r="AL657" s="9">
        <v>0</v>
      </c>
      <c r="AM657" s="17">
        <f t="shared" si="361"/>
        <v>15.084281048612825</v>
      </c>
      <c r="AN657" s="13">
        <f t="shared" si="362"/>
        <v>11.148397233065484</v>
      </c>
      <c r="AO657" s="13">
        <f t="shared" si="363"/>
        <v>13.449089086583829</v>
      </c>
      <c r="AP657" s="13">
        <f t="shared" si="364"/>
        <v>10.781650045212968</v>
      </c>
      <c r="AQ657" s="13">
        <f t="shared" si="365"/>
        <v>18.114407078978815</v>
      </c>
      <c r="AR657" s="13">
        <f t="shared" si="366"/>
        <v>7.7086042120421672</v>
      </c>
      <c r="AS657" s="13">
        <f t="shared" si="367"/>
        <v>10.376780458264763</v>
      </c>
      <c r="AT657" s="13">
        <f t="shared" si="368"/>
        <v>8.3512061636691488</v>
      </c>
      <c r="AU657" s="9">
        <v>0</v>
      </c>
      <c r="AV657" s="18">
        <f t="shared" si="385"/>
        <v>2</v>
      </c>
      <c r="AW657" s="18">
        <f t="shared" si="386"/>
        <v>4</v>
      </c>
      <c r="AX657" s="18">
        <f t="shared" si="387"/>
        <v>3</v>
      </c>
      <c r="AY657" s="18">
        <f t="shared" si="388"/>
        <v>5</v>
      </c>
      <c r="AZ657" s="18">
        <f t="shared" si="389"/>
        <v>1</v>
      </c>
      <c r="BA657" s="18">
        <f t="shared" si="390"/>
        <v>8</v>
      </c>
      <c r="BB657" s="18">
        <f t="shared" si="391"/>
        <v>6</v>
      </c>
      <c r="BC657" s="18">
        <f t="shared" si="392"/>
        <v>7</v>
      </c>
      <c r="BD657" s="18">
        <f t="shared" si="393"/>
        <v>9</v>
      </c>
      <c r="BE657" s="8">
        <f t="shared" si="395"/>
        <v>1.0379415835652455E-3</v>
      </c>
    </row>
    <row r="658" spans="1:57" x14ac:dyDescent="0.25">
      <c r="A658" t="str">
        <f t="shared" si="394"/>
        <v/>
      </c>
      <c r="B658" s="1">
        <v>43705</v>
      </c>
      <c r="C658" s="9">
        <f t="shared" si="369"/>
        <v>0.25061300408315124</v>
      </c>
      <c r="D658" s="9">
        <f t="shared" si="370"/>
        <v>0.24288250543198953</v>
      </c>
      <c r="E658" s="9">
        <f t="shared" si="371"/>
        <v>0.25643805515983148</v>
      </c>
      <c r="F658" s="9">
        <f t="shared" si="372"/>
        <v>0</v>
      </c>
      <c r="G658" s="9">
        <f t="shared" si="373"/>
        <v>0.25006643532502776</v>
      </c>
      <c r="H658" s="9">
        <f t="shared" si="374"/>
        <v>0</v>
      </c>
      <c r="I658" s="9">
        <f t="shared" si="375"/>
        <v>0</v>
      </c>
      <c r="J658" s="9">
        <f t="shared" si="376"/>
        <v>0</v>
      </c>
      <c r="K658" s="9">
        <v>0</v>
      </c>
      <c r="L658" s="8">
        <f>+VLOOKUP($B658,NIFTY_50!$B$3:$I$1238,8,0)</f>
        <v>-5.3352663355950014E-3</v>
      </c>
      <c r="M658" s="8">
        <f>+VLOOKUP($B658,NIFTY_BANK!$B$3:$I$41238,8,0)</f>
        <v>-1.1443087660415685E-2</v>
      </c>
      <c r="N658" s="8">
        <f>+VLOOKUP($B658,NIFTY_IT!$B$3:$I$1238,8,0)</f>
        <v>1.3052381772597599E-2</v>
      </c>
      <c r="O658" s="8">
        <f>+VLOOKUP($B658,NIFTY_PHARMA!$B$3:$I$1238,8,0)</f>
        <v>-9.4020813865670627E-3</v>
      </c>
      <c r="P658" s="8">
        <f>+VLOOKUP($B658,NIFTY_FMCG!$B$3:$I$1238,8,0)</f>
        <v>-3.880424167523655E-3</v>
      </c>
      <c r="Q658" s="8">
        <f>+VLOOKUP($B658,NIFTY_METAL!$B$3:$I$1238,8,0)</f>
        <v>-3.3616910456183091E-2</v>
      </c>
      <c r="R658" s="8">
        <f>+VLOOKUP($B658,NIFTY_ENERGY!$B$3:$I$1238,8,0)</f>
        <v>-1.0928063760732964E-2</v>
      </c>
      <c r="S658" s="8">
        <f>+VLOOKUP($B658,NIFTY_AUTO!$B$3:$I$1238,8,0)</f>
        <v>-1.8789450506434324E-2</v>
      </c>
      <c r="T658" s="8">
        <v>0</v>
      </c>
      <c r="U658" s="8">
        <f>+VLOOKUP($B658,NIFTY_50!$B$63:$K$1238,10,0)</f>
        <v>-7.5322914137905039E-2</v>
      </c>
      <c r="V658" s="8">
        <f>+VLOOKUP($B658,NIFTY_BANK!$B$63:$K$1238,10,0)</f>
        <v>-0.11836218295277623</v>
      </c>
      <c r="W658" s="8">
        <f>+VLOOKUP($B658,NIFTY_IT!$B$63:$K$1238,10,0)</f>
        <v>-7.3418409924144168E-3</v>
      </c>
      <c r="X658" s="8">
        <f>+VLOOKUP($B658,NIFTY_PHARMA!$B$63:$K$1238,10,0)</f>
        <v>-8.6852631951573667E-2</v>
      </c>
      <c r="Y658" s="8">
        <f>+VLOOKUP($B658,NIFTY_FMCG!$B$63:$K$1238,10,0)</f>
        <v>-3.9576833853291804E-2</v>
      </c>
      <c r="Z658" s="8">
        <f>+VLOOKUP($B658,NIFTY_METAL!$B$63:$K$1238,10,0)</f>
        <v>-0.23869037442297836</v>
      </c>
      <c r="AA658" s="8">
        <f>+VLOOKUP($B658,NIFTY_ENERGY!$B$63:$K$1238,10,0)</f>
        <v>-0.12583286432708185</v>
      </c>
      <c r="AB658" s="8">
        <f>+VLOOKUP($B658,NIFTY_AUTO!$B$63:$K$1238,10,0)</f>
        <v>-0.14778950180312544</v>
      </c>
      <c r="AC658" s="8"/>
      <c r="AD658" s="16">
        <f t="shared" si="377"/>
        <v>6.5906596299755246E-2</v>
      </c>
      <c r="AE658" s="8">
        <f t="shared" si="378"/>
        <v>8.970379288309166E-2</v>
      </c>
      <c r="AF658" s="8">
        <f t="shared" si="379"/>
        <v>7.5040473021093929E-2</v>
      </c>
      <c r="AG658" s="8">
        <f t="shared" si="380"/>
        <v>9.3098872579186184E-2</v>
      </c>
      <c r="AH658" s="8">
        <f t="shared" si="381"/>
        <v>5.5301161016150228E-2</v>
      </c>
      <c r="AI658" s="8">
        <f t="shared" si="382"/>
        <v>0.13304605518607659</v>
      </c>
      <c r="AJ658" s="8">
        <f t="shared" si="383"/>
        <v>9.5756784703074582E-2</v>
      </c>
      <c r="AK658" s="8">
        <f t="shared" si="384"/>
        <v>0.1208189394547666</v>
      </c>
      <c r="AL658" s="9">
        <v>0</v>
      </c>
      <c r="AM658" s="17">
        <f t="shared" si="361"/>
        <v>15.17298807924805</v>
      </c>
      <c r="AN658" s="13">
        <f t="shared" si="362"/>
        <v>11.147800643204361</v>
      </c>
      <c r="AO658" s="13">
        <f t="shared" si="363"/>
        <v>13.32614201031088</v>
      </c>
      <c r="AP658" s="13">
        <f t="shared" si="364"/>
        <v>10.741268635121655</v>
      </c>
      <c r="AQ658" s="13">
        <f t="shared" si="365"/>
        <v>18.08280299409914</v>
      </c>
      <c r="AR658" s="13">
        <f t="shared" si="366"/>
        <v>7.5161942877705927</v>
      </c>
      <c r="AS658" s="13">
        <f t="shared" si="367"/>
        <v>10.443124245460298</v>
      </c>
      <c r="AT658" s="13">
        <f t="shared" si="368"/>
        <v>8.2768480216165941</v>
      </c>
      <c r="AU658" s="9">
        <v>0</v>
      </c>
      <c r="AV658" s="18">
        <f t="shared" si="385"/>
        <v>2</v>
      </c>
      <c r="AW658" s="18">
        <f t="shared" si="386"/>
        <v>4</v>
      </c>
      <c r="AX658" s="18">
        <f t="shared" si="387"/>
        <v>3</v>
      </c>
      <c r="AY658" s="18">
        <f t="shared" si="388"/>
        <v>5</v>
      </c>
      <c r="AZ658" s="18">
        <f t="shared" si="389"/>
        <v>1</v>
      </c>
      <c r="BA658" s="18">
        <f t="shared" si="390"/>
        <v>8</v>
      </c>
      <c r="BB658" s="18">
        <f t="shared" si="391"/>
        <v>6</v>
      </c>
      <c r="BC658" s="18">
        <f t="shared" si="392"/>
        <v>7</v>
      </c>
      <c r="BD658" s="18">
        <f t="shared" si="393"/>
        <v>9</v>
      </c>
      <c r="BE658" s="8">
        <f t="shared" si="395"/>
        <v>-1.8225709266041963E-3</v>
      </c>
    </row>
    <row r="659" spans="1:57" x14ac:dyDescent="0.25">
      <c r="A659" t="str">
        <f t="shared" si="394"/>
        <v/>
      </c>
      <c r="B659" s="1">
        <v>43706</v>
      </c>
      <c r="C659" s="9">
        <f t="shared" si="369"/>
        <v>0.25015826977838007</v>
      </c>
      <c r="D659" s="9">
        <f t="shared" si="370"/>
        <v>0.24021668738149604</v>
      </c>
      <c r="E659" s="9">
        <f t="shared" si="371"/>
        <v>0.25833495301735615</v>
      </c>
      <c r="F659" s="9">
        <f t="shared" si="372"/>
        <v>0</v>
      </c>
      <c r="G659" s="9">
        <f t="shared" si="373"/>
        <v>0.25129008982276774</v>
      </c>
      <c r="H659" s="9">
        <f t="shared" si="374"/>
        <v>0</v>
      </c>
      <c r="I659" s="9">
        <f t="shared" si="375"/>
        <v>0</v>
      </c>
      <c r="J659" s="9">
        <f t="shared" si="376"/>
        <v>0</v>
      </c>
      <c r="K659" s="9">
        <v>0</v>
      </c>
      <c r="L659" s="8">
        <f>+VLOOKUP($B659,NIFTY_50!$B$3:$I$1238,8,0)</f>
        <v>-8.8538036048922963E-3</v>
      </c>
      <c r="M659" s="8">
        <f>+VLOOKUP($B659,NIFTY_BANK!$B$3:$I$41238,8,0)</f>
        <v>-1.7950460899932685E-2</v>
      </c>
      <c r="N659" s="8">
        <f>+VLOOKUP($B659,NIFTY_IT!$B$3:$I$1238,8,0)</f>
        <v>2.9282300266375572E-4</v>
      </c>
      <c r="O659" s="8">
        <f>+VLOOKUP($B659,NIFTY_PHARMA!$B$3:$I$1238,8,0)</f>
        <v>2.2465158651702843E-2</v>
      </c>
      <c r="P659" s="8">
        <f>+VLOOKUP($B659,NIFTY_FMCG!$B$3:$I$1238,8,0)</f>
        <v>-2.1933020996008912E-3</v>
      </c>
      <c r="Q659" s="8">
        <f>+VLOOKUP($B659,NIFTY_METAL!$B$3:$I$1238,8,0)</f>
        <v>1.2531159469109987E-2</v>
      </c>
      <c r="R659" s="8">
        <f>+VLOOKUP($B659,NIFTY_ENERGY!$B$3:$I$1238,8,0)</f>
        <v>-3.0114226375910214E-4</v>
      </c>
      <c r="S659" s="8">
        <f>+VLOOKUP($B659,NIFTY_AUTO!$B$3:$I$1238,8,0)</f>
        <v>-6.8960112843822197E-3</v>
      </c>
      <c r="T659" s="8">
        <v>0</v>
      </c>
      <c r="U659" s="8">
        <f>+VLOOKUP($B659,NIFTY_50!$B$63:$K$1238,10,0)</f>
        <v>-8.1734156406213287E-2</v>
      </c>
      <c r="V659" s="8">
        <f>+VLOOKUP($B659,NIFTY_BANK!$B$63:$K$1238,10,0)</f>
        <v>-0.12972583616463851</v>
      </c>
      <c r="W659" s="8">
        <f>+VLOOKUP($B659,NIFTY_IT!$B$63:$K$1238,10,0)</f>
        <v>-1.7084708845250707E-2</v>
      </c>
      <c r="X659" s="8">
        <f>+VLOOKUP($B659,NIFTY_PHARMA!$B$63:$K$1238,10,0)</f>
        <v>-6.41742853425743E-2</v>
      </c>
      <c r="Y659" s="8">
        <f>+VLOOKUP($B659,NIFTY_FMCG!$B$63:$K$1238,10,0)</f>
        <v>-3.6803526920912377E-2</v>
      </c>
      <c r="Z659" s="8">
        <f>+VLOOKUP($B659,NIFTY_METAL!$B$63:$K$1238,10,0)</f>
        <v>-0.2227451386015723</v>
      </c>
      <c r="AA659" s="8">
        <f>+VLOOKUP($B659,NIFTY_ENERGY!$B$63:$K$1238,10,0)</f>
        <v>-0.12799850244711009</v>
      </c>
      <c r="AB659" s="8">
        <f>+VLOOKUP($B659,NIFTY_AUTO!$B$63:$K$1238,10,0)</f>
        <v>-0.14743440768148741</v>
      </c>
      <c r="AC659" s="8"/>
      <c r="AD659" s="16">
        <f t="shared" si="377"/>
        <v>6.633462136590805E-2</v>
      </c>
      <c r="AE659" s="8">
        <f t="shared" si="378"/>
        <v>9.1042792573844816E-2</v>
      </c>
      <c r="AF659" s="8">
        <f t="shared" si="379"/>
        <v>7.432271016793876E-2</v>
      </c>
      <c r="AG659" s="8">
        <f t="shared" si="380"/>
        <v>9.6056832639404968E-2</v>
      </c>
      <c r="AH659" s="8">
        <f t="shared" si="381"/>
        <v>5.5144219334934227E-2</v>
      </c>
      <c r="AI659" s="8">
        <f t="shared" si="382"/>
        <v>0.13402448474645912</v>
      </c>
      <c r="AJ659" s="8">
        <f t="shared" si="383"/>
        <v>9.5676697370442182E-2</v>
      </c>
      <c r="AK659" s="8">
        <f t="shared" si="384"/>
        <v>0.12080316162393266</v>
      </c>
      <c r="AL659" s="9">
        <v>0</v>
      </c>
      <c r="AM659" s="17">
        <f t="shared" si="361"/>
        <v>15.075084162822085</v>
      </c>
      <c r="AN659" s="13">
        <f t="shared" si="362"/>
        <v>10.983845856759061</v>
      </c>
      <c r="AO659" s="13">
        <f t="shared" si="363"/>
        <v>13.454837663217759</v>
      </c>
      <c r="AP659" s="13">
        <f t="shared" si="364"/>
        <v>10.410503579208944</v>
      </c>
      <c r="AQ659" s="13">
        <f t="shared" si="365"/>
        <v>18.134267055740029</v>
      </c>
      <c r="AR659" s="13">
        <f t="shared" si="366"/>
        <v>7.4613232193486922</v>
      </c>
      <c r="AS659" s="13">
        <f t="shared" si="367"/>
        <v>10.451865788470812</v>
      </c>
      <c r="AT659" s="13">
        <f t="shared" si="368"/>
        <v>8.2779290422303582</v>
      </c>
      <c r="AU659" s="9">
        <v>0</v>
      </c>
      <c r="AV659" s="18">
        <f t="shared" si="385"/>
        <v>2</v>
      </c>
      <c r="AW659" s="18">
        <f t="shared" si="386"/>
        <v>4</v>
      </c>
      <c r="AX659" s="18">
        <f t="shared" si="387"/>
        <v>3</v>
      </c>
      <c r="AY659" s="18">
        <f t="shared" si="388"/>
        <v>6</v>
      </c>
      <c r="AZ659" s="18">
        <f t="shared" si="389"/>
        <v>1</v>
      </c>
      <c r="BA659" s="18">
        <f t="shared" si="390"/>
        <v>8</v>
      </c>
      <c r="BB659" s="18">
        <f t="shared" si="391"/>
        <v>5</v>
      </c>
      <c r="BC659" s="18">
        <f t="shared" si="392"/>
        <v>7</v>
      </c>
      <c r="BD659" s="18">
        <f t="shared" si="393"/>
        <v>9</v>
      </c>
      <c r="BE659" s="8">
        <f t="shared" si="395"/>
        <v>-7.0521115123478471E-3</v>
      </c>
    </row>
    <row r="660" spans="1:57" x14ac:dyDescent="0.25">
      <c r="A660" t="str">
        <f t="shared" si="394"/>
        <v>Y</v>
      </c>
      <c r="B660" s="1">
        <v>43707</v>
      </c>
      <c r="C660" s="9">
        <f t="shared" si="369"/>
        <v>0.25</v>
      </c>
      <c r="D660" s="9">
        <f t="shared" si="370"/>
        <v>0.25</v>
      </c>
      <c r="E660" s="9">
        <f t="shared" si="371"/>
        <v>0.25</v>
      </c>
      <c r="F660" s="9">
        <f t="shared" si="372"/>
        <v>0</v>
      </c>
      <c r="G660" s="9">
        <f t="shared" si="373"/>
        <v>0.25</v>
      </c>
      <c r="H660" s="9">
        <f t="shared" si="374"/>
        <v>0</v>
      </c>
      <c r="I660" s="9">
        <f t="shared" si="375"/>
        <v>0</v>
      </c>
      <c r="J660" s="9">
        <f t="shared" si="376"/>
        <v>0</v>
      </c>
      <c r="K660" s="9">
        <v>0</v>
      </c>
      <c r="L660" s="8">
        <f>+VLOOKUP($B660,NIFTY_50!$B$3:$I$1238,8,0)</f>
        <v>6.845811678525493E-3</v>
      </c>
      <c r="M660" s="8">
        <f>+VLOOKUP($B660,NIFTY_BANK!$B$3:$I$41238,8,0)</f>
        <v>4.4918184082152202E-3</v>
      </c>
      <c r="N660" s="8">
        <f>+VLOOKUP($B660,NIFTY_IT!$B$3:$I$1238,8,0)</f>
        <v>7.92279290253739E-3</v>
      </c>
      <c r="O660" s="8">
        <f>+VLOOKUP($B660,NIFTY_PHARMA!$B$3:$I$1238,8,0)</f>
        <v>2.016429699842015E-2</v>
      </c>
      <c r="P660" s="8">
        <f>+VLOOKUP($B660,NIFTY_FMCG!$B$3:$I$1238,8,0)</f>
        <v>1.7583246961929255E-2</v>
      </c>
      <c r="Q660" s="8">
        <f>+VLOOKUP($B660,NIFTY_METAL!$B$3:$I$1238,8,0)</f>
        <v>1.579169161842664E-2</v>
      </c>
      <c r="R660" s="8">
        <f>+VLOOKUP($B660,NIFTY_ENERGY!$B$3:$I$1238,8,0)</f>
        <v>-4.0441392873589166E-3</v>
      </c>
      <c r="S660" s="8">
        <f>+VLOOKUP($B660,NIFTY_AUTO!$B$3:$I$1238,8,0)</f>
        <v>5.6168088204702205E-3</v>
      </c>
      <c r="T660" s="8">
        <v>0</v>
      </c>
      <c r="U660" s="8">
        <f>+VLOOKUP($B660,NIFTY_50!$B$63:$K$1238,10,0)</f>
        <v>-8.8124713054915538E-2</v>
      </c>
      <c r="V660" s="8">
        <f>+VLOOKUP($B660,NIFTY_BANK!$B$63:$K$1238,10,0)</f>
        <v>-0.13350119180568443</v>
      </c>
      <c r="W660" s="8">
        <f>+VLOOKUP($B660,NIFTY_IT!$B$63:$K$1238,10,0)</f>
        <v>-2.1402092227950753E-2</v>
      </c>
      <c r="X660" s="8">
        <f>+VLOOKUP($B660,NIFTY_PHARMA!$B$63:$K$1238,10,0)</f>
        <v>-5.4418620996649736E-2</v>
      </c>
      <c r="Y660" s="8">
        <f>+VLOOKUP($B660,NIFTY_FMCG!$B$63:$K$1238,10,0)</f>
        <v>-3.373322874953566E-2</v>
      </c>
      <c r="Z660" s="8">
        <f>+VLOOKUP($B660,NIFTY_METAL!$B$63:$K$1238,10,0)</f>
        <v>-0.22407454468445576</v>
      </c>
      <c r="AA660" s="8">
        <f>+VLOOKUP($B660,NIFTY_ENERGY!$B$63:$K$1238,10,0)</f>
        <v>-0.14187820514732874</v>
      </c>
      <c r="AB660" s="8">
        <f>+VLOOKUP($B660,NIFTY_AUTO!$B$63:$K$1238,10,0)</f>
        <v>-0.1583655531807594</v>
      </c>
      <c r="AC660" s="8"/>
      <c r="AD660" s="16">
        <f t="shared" si="377"/>
        <v>6.5068147430843173E-2</v>
      </c>
      <c r="AE660" s="8">
        <f t="shared" si="378"/>
        <v>9.0612824420246693E-2</v>
      </c>
      <c r="AF660" s="8">
        <f t="shared" si="379"/>
        <v>7.3696654293103181E-2</v>
      </c>
      <c r="AG660" s="8">
        <f t="shared" si="380"/>
        <v>9.7775624963529123E-2</v>
      </c>
      <c r="AH660" s="8">
        <f t="shared" si="381"/>
        <v>5.6105056140092507E-2</v>
      </c>
      <c r="AI660" s="8">
        <f t="shared" si="382"/>
        <v>0.1337560572294513</v>
      </c>
      <c r="AJ660" s="8">
        <f t="shared" si="383"/>
        <v>9.4608298390349274E-2</v>
      </c>
      <c r="AK660" s="8">
        <f t="shared" si="384"/>
        <v>0.11919825870769329</v>
      </c>
      <c r="AL660" s="9">
        <v>0</v>
      </c>
      <c r="AM660" s="17">
        <f t="shared" si="361"/>
        <v>15.368502708069826</v>
      </c>
      <c r="AN660" s="13">
        <f t="shared" si="362"/>
        <v>11.035965454097004</v>
      </c>
      <c r="AO660" s="13">
        <f t="shared" si="363"/>
        <v>13.569137019746416</v>
      </c>
      <c r="AP660" s="13">
        <f t="shared" si="364"/>
        <v>10.227497910373938</v>
      </c>
      <c r="AQ660" s="13">
        <f t="shared" si="365"/>
        <v>17.82370554095931</v>
      </c>
      <c r="AR660" s="13">
        <f t="shared" si="366"/>
        <v>7.4762969297499096</v>
      </c>
      <c r="AS660" s="13">
        <f t="shared" si="367"/>
        <v>10.569897324165458</v>
      </c>
      <c r="AT660" s="13">
        <f t="shared" si="368"/>
        <v>8.3893842984088653</v>
      </c>
      <c r="AU660" s="9">
        <v>0</v>
      </c>
      <c r="AV660" s="18">
        <f t="shared" si="385"/>
        <v>2</v>
      </c>
      <c r="AW660" s="18">
        <f t="shared" si="386"/>
        <v>4</v>
      </c>
      <c r="AX660" s="18">
        <f t="shared" si="387"/>
        <v>3</v>
      </c>
      <c r="AY660" s="18">
        <f t="shared" si="388"/>
        <v>6</v>
      </c>
      <c r="AZ660" s="18">
        <f t="shared" si="389"/>
        <v>1</v>
      </c>
      <c r="BA660" s="18">
        <f t="shared" si="390"/>
        <v>8</v>
      </c>
      <c r="BB660" s="18">
        <f t="shared" si="391"/>
        <v>5</v>
      </c>
      <c r="BC660" s="18">
        <f t="shared" si="392"/>
        <v>7</v>
      </c>
      <c r="BD660" s="18">
        <f t="shared" si="393"/>
        <v>9</v>
      </c>
      <c r="BE660" s="8">
        <f t="shared" si="395"/>
        <v>9.2567761837516003E-3</v>
      </c>
    </row>
    <row r="661" spans="1:57" x14ac:dyDescent="0.25">
      <c r="A661" t="str">
        <f t="shared" si="394"/>
        <v/>
      </c>
      <c r="B661" s="1">
        <v>43711</v>
      </c>
      <c r="C661" s="9">
        <f t="shared" si="369"/>
        <v>0.24866958928486557</v>
      </c>
      <c r="D661" s="9">
        <f t="shared" si="370"/>
        <v>0.24827171043810944</v>
      </c>
      <c r="E661" s="9">
        <f t="shared" si="371"/>
        <v>0.2534549481645289</v>
      </c>
      <c r="F661" s="9">
        <f t="shared" si="372"/>
        <v>0</v>
      </c>
      <c r="G661" s="9">
        <f t="shared" si="373"/>
        <v>0.24960375211249611</v>
      </c>
      <c r="H661" s="9">
        <f t="shared" si="374"/>
        <v>0</v>
      </c>
      <c r="I661" s="9">
        <f t="shared" si="375"/>
        <v>0</v>
      </c>
      <c r="J661" s="9">
        <f t="shared" si="376"/>
        <v>0</v>
      </c>
      <c r="K661" s="9">
        <v>0</v>
      </c>
      <c r="L661" s="8">
        <f>+VLOOKUP($B661,NIFTY_50!$B$3:$I$1238,8,0)</f>
        <v>-2.0443154242170025E-2</v>
      </c>
      <c r="M661" s="8">
        <f>+VLOOKUP($B661,NIFTY_BANK!$B$3:$I$41238,8,0)</f>
        <v>-2.2010474754674436E-2</v>
      </c>
      <c r="N661" s="8">
        <f>+VLOOKUP($B661,NIFTY_IT!$B$3:$I$1238,8,0)</f>
        <v>-1.5927147354219962E-3</v>
      </c>
      <c r="O661" s="8">
        <f>+VLOOKUP($B661,NIFTY_PHARMA!$B$3:$I$1238,8,0)</f>
        <v>-1.1843335955550316E-2</v>
      </c>
      <c r="P661" s="8">
        <f>+VLOOKUP($B661,NIFTY_FMCG!$B$3:$I$1238,8,0)</f>
        <v>-1.6763309048837161E-2</v>
      </c>
      <c r="Q661" s="8">
        <f>+VLOOKUP($B661,NIFTY_METAL!$B$3:$I$1238,8,0)</f>
        <v>-3.100504377824842E-2</v>
      </c>
      <c r="R661" s="8">
        <f>+VLOOKUP($B661,NIFTY_ENERGY!$B$3:$I$1238,8,0)</f>
        <v>-2.8514314519633599E-2</v>
      </c>
      <c r="S661" s="8">
        <f>+VLOOKUP($B661,NIFTY_AUTO!$B$3:$I$1238,8,0)</f>
        <v>-1.5914570641861525E-2</v>
      </c>
      <c r="T661" s="8">
        <v>0</v>
      </c>
      <c r="U661" s="8">
        <f>+VLOOKUP($B661,NIFTY_50!$B$63:$K$1238,10,0)</f>
        <v>-0.10179551059962655</v>
      </c>
      <c r="V661" s="8">
        <f>+VLOOKUP($B661,NIFTY_BANK!$B$63:$K$1238,10,0)</f>
        <v>-0.15084024369203874</v>
      </c>
      <c r="W661" s="8">
        <f>+VLOOKUP($B661,NIFTY_IT!$B$63:$K$1238,10,0)</f>
        <v>-7.4696371358319302E-3</v>
      </c>
      <c r="X661" s="8">
        <f>+VLOOKUP($B661,NIFTY_PHARMA!$B$63:$K$1238,10,0)</f>
        <v>-5.413289536876198E-2</v>
      </c>
      <c r="Y661" s="8">
        <f>+VLOOKUP($B661,NIFTY_FMCG!$B$63:$K$1238,10,0)</f>
        <v>-4.7388978390917269E-2</v>
      </c>
      <c r="Z661" s="8">
        <f>+VLOOKUP($B661,NIFTY_METAL!$B$63:$K$1238,10,0)</f>
        <v>-0.24944188878365592</v>
      </c>
      <c r="AA661" s="8">
        <f>+VLOOKUP($B661,NIFTY_ENERGY!$B$63:$K$1238,10,0)</f>
        <v>-0.16043095652278416</v>
      </c>
      <c r="AB661" s="8">
        <f>+VLOOKUP($B661,NIFTY_AUTO!$B$63:$K$1238,10,0)</f>
        <v>-0.16896580805281802</v>
      </c>
      <c r="AC661" s="8"/>
      <c r="AD661" s="16">
        <f t="shared" si="377"/>
        <v>6.7627593605276135E-2</v>
      </c>
      <c r="AE661" s="8">
        <f t="shared" si="378"/>
        <v>9.2700722744883154E-2</v>
      </c>
      <c r="AF661" s="8">
        <f t="shared" si="379"/>
        <v>7.2080544395550866E-2</v>
      </c>
      <c r="AG661" s="8">
        <f t="shared" si="380"/>
        <v>9.7741559903217673E-2</v>
      </c>
      <c r="AH661" s="8">
        <f t="shared" si="381"/>
        <v>5.8337658688011121E-2</v>
      </c>
      <c r="AI661" s="8">
        <f t="shared" si="382"/>
        <v>0.13626873414120172</v>
      </c>
      <c r="AJ661" s="8">
        <f t="shared" si="383"/>
        <v>9.7990713590617104E-2</v>
      </c>
      <c r="AK661" s="8">
        <f t="shared" si="384"/>
        <v>0.11991537579459825</v>
      </c>
      <c r="AL661" s="9">
        <v>0</v>
      </c>
      <c r="AM661" s="17">
        <f t="shared" si="361"/>
        <v>14.786863566915125</v>
      </c>
      <c r="AN661" s="13">
        <f t="shared" si="362"/>
        <v>10.787402410572872</v>
      </c>
      <c r="AO661" s="13">
        <f t="shared" si="363"/>
        <v>13.873369137063905</v>
      </c>
      <c r="AP661" s="13">
        <f t="shared" si="364"/>
        <v>10.231062415928148</v>
      </c>
      <c r="AQ661" s="13">
        <f t="shared" si="365"/>
        <v>17.141586112462694</v>
      </c>
      <c r="AR661" s="13">
        <f t="shared" si="366"/>
        <v>7.3384405183055383</v>
      </c>
      <c r="AS661" s="13">
        <f t="shared" si="367"/>
        <v>10.205048655710096</v>
      </c>
      <c r="AT661" s="13">
        <f t="shared" si="368"/>
        <v>8.3392141614340538</v>
      </c>
      <c r="AU661" s="9">
        <v>0</v>
      </c>
      <c r="AV661" s="18">
        <f t="shared" si="385"/>
        <v>2</v>
      </c>
      <c r="AW661" s="18">
        <f t="shared" si="386"/>
        <v>4</v>
      </c>
      <c r="AX661" s="18">
        <f t="shared" si="387"/>
        <v>3</v>
      </c>
      <c r="AY661" s="18">
        <f t="shared" si="388"/>
        <v>5</v>
      </c>
      <c r="AZ661" s="18">
        <f t="shared" si="389"/>
        <v>1</v>
      </c>
      <c r="BA661" s="18">
        <f t="shared" si="390"/>
        <v>8</v>
      </c>
      <c r="BB661" s="18">
        <f t="shared" si="391"/>
        <v>6</v>
      </c>
      <c r="BC661" s="18">
        <f t="shared" si="392"/>
        <v>7</v>
      </c>
      <c r="BD661" s="18">
        <f t="shared" si="393"/>
        <v>9</v>
      </c>
      <c r="BE661" s="8">
        <f t="shared" si="395"/>
        <v>-1.5202413195275905E-2</v>
      </c>
    </row>
    <row r="662" spans="1:57" x14ac:dyDescent="0.25">
      <c r="A662" t="str">
        <f t="shared" si="394"/>
        <v/>
      </c>
      <c r="B662" s="1">
        <v>43712</v>
      </c>
      <c r="C662" s="9">
        <f t="shared" si="369"/>
        <v>0.24868994670261568</v>
      </c>
      <c r="D662" s="9">
        <f t="shared" si="370"/>
        <v>0.24998382817262157</v>
      </c>
      <c r="E662" s="9">
        <f t="shared" si="371"/>
        <v>0.25313454234788757</v>
      </c>
      <c r="F662" s="9">
        <f t="shared" si="372"/>
        <v>0</v>
      </c>
      <c r="G662" s="9">
        <f t="shared" si="373"/>
        <v>0.24819168277687506</v>
      </c>
      <c r="H662" s="9">
        <f t="shared" si="374"/>
        <v>0</v>
      </c>
      <c r="I662" s="9">
        <f t="shared" si="375"/>
        <v>0</v>
      </c>
      <c r="J662" s="9">
        <f t="shared" si="376"/>
        <v>0</v>
      </c>
      <c r="K662" s="9">
        <v>0</v>
      </c>
      <c r="L662" s="8">
        <f>+VLOOKUP($B662,NIFTY_50!$B$3:$I$1238,8,0)</f>
        <v>4.3295455597847088E-3</v>
      </c>
      <c r="M662" s="8">
        <f>+VLOOKUP($B662,NIFTY_BANK!$B$3:$I$41238,8,0)</f>
        <v>1.117276782302512E-2</v>
      </c>
      <c r="N662" s="8">
        <f>+VLOOKUP($B662,NIFTY_IT!$B$3:$I$1238,8,0)</f>
        <v>2.9778103084785457E-3</v>
      </c>
      <c r="O662" s="8">
        <f>+VLOOKUP($B662,NIFTY_PHARMA!$B$3:$I$1238,8,0)</f>
        <v>-1.1032476853738427E-3</v>
      </c>
      <c r="P662" s="8">
        <f>+VLOOKUP($B662,NIFTY_FMCG!$B$3:$I$1238,8,0)</f>
        <v>-1.4339397015319388E-3</v>
      </c>
      <c r="Q662" s="8">
        <f>+VLOOKUP($B662,NIFTY_METAL!$B$3:$I$1238,8,0)</f>
        <v>1.6088690596903987E-2</v>
      </c>
      <c r="R662" s="8">
        <f>+VLOOKUP($B662,NIFTY_ENERGY!$B$3:$I$1238,8,0)</f>
        <v>5.7614611924434733E-3</v>
      </c>
      <c r="S662" s="8">
        <f>+VLOOKUP($B662,NIFTY_AUTO!$B$3:$I$1238,8,0)</f>
        <v>-1.6773585589503814E-2</v>
      </c>
      <c r="T662" s="8">
        <v>0</v>
      </c>
      <c r="U662" s="8">
        <f>+VLOOKUP($B662,NIFTY_50!$B$63:$K$1238,10,0)</f>
        <v>-8.4356728232189981E-2</v>
      </c>
      <c r="V662" s="8">
        <f>+VLOOKUP($B662,NIFTY_BANK!$B$63:$K$1238,10,0)</f>
        <v>-0.12099366764536235</v>
      </c>
      <c r="W662" s="8">
        <f>+VLOOKUP($B662,NIFTY_IT!$B$63:$K$1238,10,0)</f>
        <v>1.2740365098893314E-3</v>
      </c>
      <c r="X662" s="8">
        <f>+VLOOKUP($B662,NIFTY_PHARMA!$B$63:$K$1238,10,0)</f>
        <v>-3.7618823302049798E-2</v>
      </c>
      <c r="Y662" s="8">
        <f>+VLOOKUP($B662,NIFTY_FMCG!$B$63:$K$1238,10,0)</f>
        <v>-4.4306892811753484E-2</v>
      </c>
      <c r="Z662" s="8">
        <f>+VLOOKUP($B662,NIFTY_METAL!$B$63:$K$1238,10,0)</f>
        <v>-0.22866526402216869</v>
      </c>
      <c r="AA662" s="8">
        <f>+VLOOKUP($B662,NIFTY_ENERGY!$B$63:$K$1238,10,0)</f>
        <v>-0.13969775720788147</v>
      </c>
      <c r="AB662" s="8">
        <f>+VLOOKUP($B662,NIFTY_AUTO!$B$63:$K$1238,10,0)</f>
        <v>-0.17557998893812043</v>
      </c>
      <c r="AC662" s="8"/>
      <c r="AD662" s="16">
        <f t="shared" si="377"/>
        <v>6.6581382809576803E-2</v>
      </c>
      <c r="AE662" s="8">
        <f t="shared" si="378"/>
        <v>9.1331507974057535E-2</v>
      </c>
      <c r="AF662" s="8">
        <f t="shared" si="379"/>
        <v>7.1911084995997243E-2</v>
      </c>
      <c r="AG662" s="8">
        <f t="shared" si="380"/>
        <v>9.6153829300723942E-2</v>
      </c>
      <c r="AH662" s="8">
        <f t="shared" si="381"/>
        <v>5.8210396399795354E-2</v>
      </c>
      <c r="AI662" s="8">
        <f t="shared" si="382"/>
        <v>0.1376117393369834</v>
      </c>
      <c r="AJ662" s="8">
        <f t="shared" si="383"/>
        <v>9.7052964822339938E-2</v>
      </c>
      <c r="AK662" s="8">
        <f t="shared" si="384"/>
        <v>0.12056183472564941</v>
      </c>
      <c r="AL662" s="9">
        <v>0</v>
      </c>
      <c r="AM662" s="17">
        <f t="shared" si="361"/>
        <v>15.019213446797982</v>
      </c>
      <c r="AN662" s="13">
        <f t="shared" si="362"/>
        <v>10.949123935236537</v>
      </c>
      <c r="AO662" s="13">
        <f t="shared" si="363"/>
        <v>13.906061910422608</v>
      </c>
      <c r="AP662" s="13">
        <f t="shared" si="364"/>
        <v>10.400001822834017</v>
      </c>
      <c r="AQ662" s="13">
        <f t="shared" si="365"/>
        <v>17.179061848881613</v>
      </c>
      <c r="AR662" s="13">
        <f t="shared" si="366"/>
        <v>7.2668218919259617</v>
      </c>
      <c r="AS662" s="13">
        <f t="shared" si="367"/>
        <v>10.303652256585334</v>
      </c>
      <c r="AT662" s="13">
        <f t="shared" si="368"/>
        <v>8.2944988542651217</v>
      </c>
      <c r="AU662" s="9">
        <v>0</v>
      </c>
      <c r="AV662" s="18">
        <f t="shared" si="385"/>
        <v>2</v>
      </c>
      <c r="AW662" s="18">
        <f t="shared" si="386"/>
        <v>4</v>
      </c>
      <c r="AX662" s="18">
        <f t="shared" si="387"/>
        <v>3</v>
      </c>
      <c r="AY662" s="18">
        <f t="shared" si="388"/>
        <v>5</v>
      </c>
      <c r="AZ662" s="18">
        <f t="shared" si="389"/>
        <v>1</v>
      </c>
      <c r="BA662" s="18">
        <f t="shared" si="390"/>
        <v>8</v>
      </c>
      <c r="BB662" s="18">
        <f t="shared" si="391"/>
        <v>6</v>
      </c>
      <c r="BC662" s="18">
        <f t="shared" si="392"/>
        <v>7</v>
      </c>
      <c r="BD662" s="18">
        <f t="shared" si="393"/>
        <v>9</v>
      </c>
      <c r="BE662" s="8">
        <f t="shared" si="395"/>
        <v>4.2473325214658813E-3</v>
      </c>
    </row>
    <row r="663" spans="1:57" x14ac:dyDescent="0.25">
      <c r="A663" t="str">
        <f t="shared" si="394"/>
        <v/>
      </c>
      <c r="B663" s="1">
        <v>43713</v>
      </c>
      <c r="C663" s="9">
        <f t="shared" si="369"/>
        <v>0.24925468141789553</v>
      </c>
      <c r="D663" s="9">
        <f t="shared" si="370"/>
        <v>0.24859120403026147</v>
      </c>
      <c r="E663" s="9">
        <f t="shared" si="371"/>
        <v>0.25360883849270582</v>
      </c>
      <c r="F663" s="9">
        <f t="shared" si="372"/>
        <v>0</v>
      </c>
      <c r="G663" s="9">
        <f t="shared" si="373"/>
        <v>0.24854527605913712</v>
      </c>
      <c r="H663" s="9">
        <f t="shared" si="374"/>
        <v>0</v>
      </c>
      <c r="I663" s="9">
        <f t="shared" si="375"/>
        <v>0</v>
      </c>
      <c r="J663" s="9">
        <f t="shared" si="376"/>
        <v>0</v>
      </c>
      <c r="K663" s="9">
        <v>0</v>
      </c>
      <c r="L663" s="8">
        <f>+VLOOKUP($B663,NIFTY_50!$B$3:$I$1238,8,0)</f>
        <v>2.9968694240944949E-4</v>
      </c>
      <c r="M663" s="8">
        <f>+VLOOKUP($B663,NIFTY_BANK!$B$3:$I$41238,8,0)</f>
        <v>-7.5265863806206479E-3</v>
      </c>
      <c r="N663" s="8">
        <f>+VLOOKUP($B663,NIFTY_IT!$B$3:$I$1238,8,0)</f>
        <v>-9.6678621549939336E-5</v>
      </c>
      <c r="O663" s="8">
        <f>+VLOOKUP($B663,NIFTY_PHARMA!$B$3:$I$1238,8,0)</f>
        <v>1.3065332940076502E-2</v>
      </c>
      <c r="P663" s="8">
        <f>+VLOOKUP($B663,NIFTY_FMCG!$B$3:$I$1238,8,0)</f>
        <v>-5.4480925583932915E-4</v>
      </c>
      <c r="Q663" s="8">
        <f>+VLOOKUP($B663,NIFTY_METAL!$B$3:$I$1238,8,0)</f>
        <v>2.6145965005654803E-2</v>
      </c>
      <c r="R663" s="8">
        <f>+VLOOKUP($B663,NIFTY_ENERGY!$B$3:$I$1238,8,0)</f>
        <v>2.0362707389709467E-2</v>
      </c>
      <c r="S663" s="8">
        <f>+VLOOKUP($B663,NIFTY_AUTO!$B$3:$I$1238,8,0)</f>
        <v>2.0598491606520053E-2</v>
      </c>
      <c r="T663" s="8">
        <v>0</v>
      </c>
      <c r="U663" s="8">
        <f>+VLOOKUP($B663,NIFTY_50!$B$63:$K$1238,10,0)</f>
        <v>-8.6157876780125764E-2</v>
      </c>
      <c r="V663" s="8">
        <f>+VLOOKUP($B663,NIFTY_BANK!$B$63:$K$1238,10,0)</f>
        <v>-0.13348279741393876</v>
      </c>
      <c r="W663" s="8">
        <f>+VLOOKUP($B663,NIFTY_IT!$B$63:$K$1238,10,0)</f>
        <v>-4.8976247451093524E-3</v>
      </c>
      <c r="X663" s="8">
        <f>+VLOOKUP($B663,NIFTY_PHARMA!$B$63:$K$1238,10,0)</f>
        <v>-1.3185241332094533E-2</v>
      </c>
      <c r="Y663" s="8">
        <f>+VLOOKUP($B663,NIFTY_FMCG!$B$63:$K$1238,10,0)</f>
        <v>-4.2088387448722009E-2</v>
      </c>
      <c r="Z663" s="8">
        <f>+VLOOKUP($B663,NIFTY_METAL!$B$63:$K$1238,10,0)</f>
        <v>-0.20411427785135616</v>
      </c>
      <c r="AA663" s="8">
        <f>+VLOOKUP($B663,NIFTY_ENERGY!$B$63:$K$1238,10,0)</f>
        <v>-0.11658754924943704</v>
      </c>
      <c r="AB663" s="8">
        <f>+VLOOKUP($B663,NIFTY_AUTO!$B$63:$K$1238,10,0)</f>
        <v>-0.155059814453125</v>
      </c>
      <c r="AC663" s="8"/>
      <c r="AD663" s="16">
        <f t="shared" si="377"/>
        <v>6.6501121016435155E-2</v>
      </c>
      <c r="AE663" s="8">
        <f t="shared" si="378"/>
        <v>9.1051293169001415E-2</v>
      </c>
      <c r="AF663" s="8">
        <f t="shared" si="379"/>
        <v>7.1652634044391775E-2</v>
      </c>
      <c r="AG663" s="8">
        <f t="shared" si="380"/>
        <v>9.6380733013501613E-2</v>
      </c>
      <c r="AH663" s="8">
        <f t="shared" si="381"/>
        <v>5.8170367168431825E-2</v>
      </c>
      <c r="AI663" s="8">
        <f t="shared" si="382"/>
        <v>0.14082914123827195</v>
      </c>
      <c r="AJ663" s="8">
        <f t="shared" si="383"/>
        <v>9.9546781044549629E-2</v>
      </c>
      <c r="AK663" s="8">
        <f t="shared" si="384"/>
        <v>0.1228110792062076</v>
      </c>
      <c r="AL663" s="9">
        <v>0</v>
      </c>
      <c r="AM663" s="17">
        <f t="shared" si="361"/>
        <v>15.03734049464909</v>
      </c>
      <c r="AN663" s="13">
        <f t="shared" si="362"/>
        <v>10.982820399309297</v>
      </c>
      <c r="AO663" s="13">
        <f t="shared" si="363"/>
        <v>13.956221056443766</v>
      </c>
      <c r="AP663" s="13">
        <f t="shared" si="364"/>
        <v>10.375517686298503</v>
      </c>
      <c r="AQ663" s="13">
        <f t="shared" si="365"/>
        <v>17.190883411557436</v>
      </c>
      <c r="AR663" s="13">
        <f t="shared" si="366"/>
        <v>7.1008030810049307</v>
      </c>
      <c r="AS663" s="13">
        <f t="shared" si="367"/>
        <v>10.045528238150418</v>
      </c>
      <c r="AT663" s="13">
        <f t="shared" si="368"/>
        <v>8.142587838682994</v>
      </c>
      <c r="AU663" s="9">
        <v>0</v>
      </c>
      <c r="AV663" s="18">
        <f t="shared" si="385"/>
        <v>2</v>
      </c>
      <c r="AW663" s="18">
        <f t="shared" si="386"/>
        <v>4</v>
      </c>
      <c r="AX663" s="18">
        <f t="shared" si="387"/>
        <v>3</v>
      </c>
      <c r="AY663" s="18">
        <f t="shared" si="388"/>
        <v>5</v>
      </c>
      <c r="AZ663" s="18">
        <f t="shared" si="389"/>
        <v>1</v>
      </c>
      <c r="BA663" s="18">
        <f t="shared" si="390"/>
        <v>8</v>
      </c>
      <c r="BB663" s="18">
        <f t="shared" si="391"/>
        <v>6</v>
      </c>
      <c r="BC663" s="18">
        <f t="shared" si="392"/>
        <v>7</v>
      </c>
      <c r="BD663" s="18">
        <f t="shared" si="393"/>
        <v>9</v>
      </c>
      <c r="BE663" s="8">
        <f t="shared" si="395"/>
        <v>-1.9666855713842387E-3</v>
      </c>
    </row>
    <row r="664" spans="1:57" x14ac:dyDescent="0.25">
      <c r="A664" t="str">
        <f t="shared" si="394"/>
        <v/>
      </c>
      <c r="B664" s="1">
        <v>43714</v>
      </c>
      <c r="C664" s="9">
        <f t="shared" si="369"/>
        <v>0.25030566792352715</v>
      </c>
      <c r="D664" s="9">
        <f t="shared" si="370"/>
        <v>0.25041378523949487</v>
      </c>
      <c r="E664" s="9">
        <f t="shared" si="371"/>
        <v>0.2524477799548695</v>
      </c>
      <c r="F664" s="9">
        <f t="shared" si="372"/>
        <v>0</v>
      </c>
      <c r="G664" s="9">
        <f t="shared" si="373"/>
        <v>0.24683276688210856</v>
      </c>
      <c r="H664" s="9">
        <f t="shared" si="374"/>
        <v>0</v>
      </c>
      <c r="I664" s="9">
        <f t="shared" si="375"/>
        <v>0</v>
      </c>
      <c r="J664" s="9">
        <f t="shared" si="376"/>
        <v>0</v>
      </c>
      <c r="K664" s="9">
        <v>0</v>
      </c>
      <c r="L664" s="8">
        <f>+VLOOKUP($B664,NIFTY_50!$B$3:$I$1238,8,0)</f>
        <v>9.0616617041088254E-3</v>
      </c>
      <c r="M664" s="8">
        <f>+VLOOKUP($B664,NIFTY_BANK!$B$3:$I$41238,8,0)</f>
        <v>1.2191814916213906E-2</v>
      </c>
      <c r="N664" s="8">
        <f>+VLOOKUP($B664,NIFTY_IT!$B$3:$I$1238,8,0)</f>
        <v>2.2456560590589092E-4</v>
      </c>
      <c r="O664" s="8">
        <f>+VLOOKUP($B664,NIFTY_PHARMA!$B$3:$I$1238,8,0)</f>
        <v>-3.716666150462844E-4</v>
      </c>
      <c r="P664" s="8">
        <f>+VLOOKUP($B664,NIFTY_FMCG!$B$3:$I$1238,8,0)</f>
        <v>-2.0985719261581437E-3</v>
      </c>
      <c r="Q664" s="8">
        <f>+VLOOKUP($B664,NIFTY_METAL!$B$3:$I$1238,8,0)</f>
        <v>1.9061203319502118E-2</v>
      </c>
      <c r="R664" s="8">
        <f>+VLOOKUP($B664,NIFTY_ENERGY!$B$3:$I$1238,8,0)</f>
        <v>1.7616536948698691E-2</v>
      </c>
      <c r="S664" s="8">
        <f>+VLOOKUP($B664,NIFTY_AUTO!$B$3:$I$1238,8,0)</f>
        <v>2.6106114783111201E-2</v>
      </c>
      <c r="T664" s="8">
        <v>0</v>
      </c>
      <c r="U664" s="8">
        <f>+VLOOKUP($B664,NIFTY_50!$B$63:$K$1238,10,0)</f>
        <v>-8.1902589178625695E-2</v>
      </c>
      <c r="V664" s="8">
        <f>+VLOOKUP($B664,NIFTY_BANK!$B$63:$K$1238,10,0)</f>
        <v>-0.12199845330927361</v>
      </c>
      <c r="W664" s="8">
        <f>+VLOOKUP($B664,NIFTY_IT!$B$63:$K$1238,10,0)</f>
        <v>-2.0036791668703868E-2</v>
      </c>
      <c r="X664" s="8">
        <f>+VLOOKUP($B664,NIFTY_PHARMA!$B$63:$K$1238,10,0)</f>
        <v>-2.1578328301017469E-2</v>
      </c>
      <c r="Y664" s="8">
        <f>+VLOOKUP($B664,NIFTY_FMCG!$B$63:$K$1238,10,0)</f>
        <v>-5.6360318699379852E-2</v>
      </c>
      <c r="Z664" s="8">
        <f>+VLOOKUP($B664,NIFTY_METAL!$B$63:$K$1238,10,0)</f>
        <v>-0.19041977852176162</v>
      </c>
      <c r="AA664" s="8">
        <f>+VLOOKUP($B664,NIFTY_ENERGY!$B$63:$K$1238,10,0)</f>
        <v>-9.510978260532521E-2</v>
      </c>
      <c r="AB664" s="8">
        <f>+VLOOKUP($B664,NIFTY_AUTO!$B$63:$K$1238,10,0)</f>
        <v>-0.1356027091332842</v>
      </c>
      <c r="AC664" s="8"/>
      <c r="AD664" s="16">
        <f t="shared" si="377"/>
        <v>6.7070065384341238E-2</v>
      </c>
      <c r="AE664" s="8">
        <f t="shared" si="378"/>
        <v>9.2170086119734776E-2</v>
      </c>
      <c r="AF664" s="8">
        <f t="shared" si="379"/>
        <v>6.9880540891668605E-2</v>
      </c>
      <c r="AG664" s="8">
        <f t="shared" si="380"/>
        <v>9.601278127671603E-2</v>
      </c>
      <c r="AH664" s="8">
        <f t="shared" si="381"/>
        <v>5.6525962759997203E-2</v>
      </c>
      <c r="AI664" s="8">
        <f t="shared" si="382"/>
        <v>0.14251715918351829</v>
      </c>
      <c r="AJ664" s="8">
        <f t="shared" si="383"/>
        <v>0.10130028047405193</v>
      </c>
      <c r="AK664" s="8">
        <f t="shared" si="384"/>
        <v>0.12596811201089128</v>
      </c>
      <c r="AL664" s="9">
        <v>0</v>
      </c>
      <c r="AM664" s="17">
        <f t="shared" si="361"/>
        <v>14.909781200742183</v>
      </c>
      <c r="AN664" s="13">
        <f t="shared" si="362"/>
        <v>10.849507059165994</v>
      </c>
      <c r="AO664" s="13">
        <f t="shared" si="363"/>
        <v>14.310135371594175</v>
      </c>
      <c r="AP664" s="13">
        <f t="shared" si="364"/>
        <v>10.415279994003351</v>
      </c>
      <c r="AQ664" s="13">
        <f t="shared" si="365"/>
        <v>17.690985720064354</v>
      </c>
      <c r="AR664" s="13">
        <f t="shared" si="366"/>
        <v>7.016698941580132</v>
      </c>
      <c r="AS664" s="13">
        <f t="shared" si="367"/>
        <v>9.8716409798702394</v>
      </c>
      <c r="AT664" s="13">
        <f t="shared" si="368"/>
        <v>7.9385170106664722</v>
      </c>
      <c r="AU664" s="9">
        <v>0</v>
      </c>
      <c r="AV664" s="18">
        <f t="shared" si="385"/>
        <v>2</v>
      </c>
      <c r="AW664" s="18">
        <f t="shared" si="386"/>
        <v>4</v>
      </c>
      <c r="AX664" s="18">
        <f t="shared" si="387"/>
        <v>3</v>
      </c>
      <c r="AY664" s="18">
        <f t="shared" si="388"/>
        <v>5</v>
      </c>
      <c r="AZ664" s="18">
        <f t="shared" si="389"/>
        <v>1</v>
      </c>
      <c r="BA664" s="18">
        <f t="shared" si="390"/>
        <v>8</v>
      </c>
      <c r="BB664" s="18">
        <f t="shared" si="391"/>
        <v>6</v>
      </c>
      <c r="BC664" s="18">
        <f t="shared" si="392"/>
        <v>7</v>
      </c>
      <c r="BD664" s="18">
        <f t="shared" si="393"/>
        <v>9</v>
      </c>
      <c r="BE664" s="8">
        <f t="shared" si="395"/>
        <v>4.8248012342723794E-3</v>
      </c>
    </row>
    <row r="665" spans="1:57" x14ac:dyDescent="0.25">
      <c r="A665" t="str">
        <f t="shared" si="394"/>
        <v/>
      </c>
      <c r="B665" s="1">
        <v>43717</v>
      </c>
      <c r="C665" s="9">
        <f t="shared" si="369"/>
        <v>0.25071950062268117</v>
      </c>
      <c r="D665" s="9">
        <f t="shared" si="370"/>
        <v>0.25188310706951289</v>
      </c>
      <c r="E665" s="9">
        <f t="shared" si="371"/>
        <v>0.24975212812111583</v>
      </c>
      <c r="F665" s="9">
        <f t="shared" si="372"/>
        <v>0</v>
      </c>
      <c r="G665" s="9">
        <f t="shared" si="373"/>
        <v>0.24764526418669014</v>
      </c>
      <c r="H665" s="9">
        <f t="shared" si="374"/>
        <v>0</v>
      </c>
      <c r="I665" s="9">
        <f t="shared" si="375"/>
        <v>0</v>
      </c>
      <c r="J665" s="9">
        <f t="shared" si="376"/>
        <v>0</v>
      </c>
      <c r="K665" s="9">
        <v>0</v>
      </c>
      <c r="L665" s="8">
        <f>+VLOOKUP($B665,NIFTY_50!$B$3:$I$1238,8,0)</f>
        <v>5.1935831612794914E-3</v>
      </c>
      <c r="M665" s="8">
        <f>+VLOOKUP($B665,NIFTY_BANK!$B$3:$I$41238,8,0)</f>
        <v>9.422744505081182E-3</v>
      </c>
      <c r="N665" s="8">
        <f>+VLOOKUP($B665,NIFTY_IT!$B$3:$I$1238,8,0)</f>
        <v>-7.1813677340493154E-3</v>
      </c>
      <c r="O665" s="8">
        <f>+VLOOKUP($B665,NIFTY_PHARMA!$B$3:$I$1238,8,0)</f>
        <v>1.1340046475600829E-3</v>
      </c>
      <c r="P665" s="8">
        <f>+VLOOKUP($B665,NIFTY_FMCG!$B$3:$I$1238,8,0)</f>
        <v>6.8377560013612726E-3</v>
      </c>
      <c r="Q665" s="8">
        <f>+VLOOKUP($B665,NIFTY_METAL!$B$3:$I$1238,8,0)</f>
        <v>9.9673410527234552E-4</v>
      </c>
      <c r="R665" s="8">
        <f>+VLOOKUP($B665,NIFTY_ENERGY!$B$3:$I$1238,8,0)</f>
        <v>1.812711597242167E-3</v>
      </c>
      <c r="S665" s="8">
        <f>+VLOOKUP($B665,NIFTY_AUTO!$B$3:$I$1238,8,0)</f>
        <v>8.8560989517703081E-3</v>
      </c>
      <c r="T665" s="8">
        <v>0</v>
      </c>
      <c r="U665" s="8">
        <f>+VLOOKUP($B665,NIFTY_50!$B$63:$K$1238,10,0)</f>
        <v>-8.044310356354889E-2</v>
      </c>
      <c r="V665" s="8">
        <f>+VLOOKUP($B665,NIFTY_BANK!$B$63:$K$1238,10,0)</f>
        <v>-0.1202861305370625</v>
      </c>
      <c r="W665" s="8">
        <f>+VLOOKUP($B665,NIFTY_IT!$B$63:$K$1238,10,0)</f>
        <v>-3.2143530255774211E-2</v>
      </c>
      <c r="X665" s="8">
        <f>+VLOOKUP($B665,NIFTY_PHARMA!$B$63:$K$1238,10,0)</f>
        <v>-2.0088554618790555E-2</v>
      </c>
      <c r="Y665" s="8">
        <f>+VLOOKUP($B665,NIFTY_FMCG!$B$63:$K$1238,10,0)</f>
        <v>-4.8353254396874989E-2</v>
      </c>
      <c r="Z665" s="8">
        <f>+VLOOKUP($B665,NIFTY_METAL!$B$63:$K$1238,10,0)</f>
        <v>-0.20015928693677665</v>
      </c>
      <c r="AA665" s="8">
        <f>+VLOOKUP($B665,NIFTY_ENERGY!$B$63:$K$1238,10,0)</f>
        <v>-9.9339808935838492E-2</v>
      </c>
      <c r="AB665" s="8">
        <f>+VLOOKUP($B665,NIFTY_AUTO!$B$63:$K$1238,10,0)</f>
        <v>-0.13044507144807493</v>
      </c>
      <c r="AC665" s="8"/>
      <c r="AD665" s="16">
        <f t="shared" si="377"/>
        <v>6.7206600637976358E-2</v>
      </c>
      <c r="AE665" s="8">
        <f t="shared" si="378"/>
        <v>9.2393328024025861E-2</v>
      </c>
      <c r="AF665" s="8">
        <f t="shared" si="379"/>
        <v>6.9983256177356318E-2</v>
      </c>
      <c r="AG665" s="8">
        <f t="shared" si="380"/>
        <v>9.6022969860757368E-2</v>
      </c>
      <c r="AH665" s="8">
        <f t="shared" si="381"/>
        <v>5.704169038949277E-2</v>
      </c>
      <c r="AI665" s="8">
        <f t="shared" si="382"/>
        <v>0.14161793468923886</v>
      </c>
      <c r="AJ665" s="8">
        <f t="shared" si="383"/>
        <v>0.10103254992981181</v>
      </c>
      <c r="AK665" s="8">
        <f t="shared" si="384"/>
        <v>0.12635090226874243</v>
      </c>
      <c r="AL665" s="9">
        <v>0</v>
      </c>
      <c r="AM665" s="17">
        <f t="shared" si="361"/>
        <v>14.879490861124303</v>
      </c>
      <c r="AN665" s="13">
        <f t="shared" si="362"/>
        <v>10.823292345741255</v>
      </c>
      <c r="AO665" s="13">
        <f t="shared" si="363"/>
        <v>14.289132209935076</v>
      </c>
      <c r="AP665" s="13">
        <f t="shared" si="364"/>
        <v>10.41417487347139</v>
      </c>
      <c r="AQ665" s="13">
        <f t="shared" si="365"/>
        <v>17.531037267159999</v>
      </c>
      <c r="AR665" s="13">
        <f t="shared" si="366"/>
        <v>7.0612525326990747</v>
      </c>
      <c r="AS665" s="13">
        <f t="shared" si="367"/>
        <v>9.8978002702565533</v>
      </c>
      <c r="AT665" s="13">
        <f t="shared" si="368"/>
        <v>7.9144666325614912</v>
      </c>
      <c r="AU665" s="9">
        <v>0</v>
      </c>
      <c r="AV665" s="18">
        <f t="shared" si="385"/>
        <v>2</v>
      </c>
      <c r="AW665" s="18">
        <f t="shared" si="386"/>
        <v>4</v>
      </c>
      <c r="AX665" s="18">
        <f t="shared" si="387"/>
        <v>3</v>
      </c>
      <c r="AY665" s="18">
        <f t="shared" si="388"/>
        <v>5</v>
      </c>
      <c r="AZ665" s="18">
        <f t="shared" si="389"/>
        <v>1</v>
      </c>
      <c r="BA665" s="18">
        <f t="shared" si="390"/>
        <v>8</v>
      </c>
      <c r="BB665" s="18">
        <f t="shared" si="391"/>
        <v>6</v>
      </c>
      <c r="BC665" s="18">
        <f t="shared" si="392"/>
        <v>7</v>
      </c>
      <c r="BD665" s="18">
        <f t="shared" si="393"/>
        <v>9</v>
      </c>
      <c r="BE665" s="8">
        <f t="shared" si="395"/>
        <v>3.5344303125429402E-3</v>
      </c>
    </row>
    <row r="666" spans="1:57" x14ac:dyDescent="0.25">
      <c r="A666" t="str">
        <f t="shared" si="394"/>
        <v/>
      </c>
      <c r="B666" s="1">
        <v>43719</v>
      </c>
      <c r="C666" s="9">
        <f t="shared" si="369"/>
        <v>0.25169602797170271</v>
      </c>
      <c r="D666" s="9">
        <f t="shared" si="370"/>
        <v>0.25460515820019153</v>
      </c>
      <c r="E666" s="9">
        <f t="shared" si="371"/>
        <v>0.24656611485649596</v>
      </c>
      <c r="F666" s="9">
        <f t="shared" si="372"/>
        <v>0</v>
      </c>
      <c r="G666" s="9">
        <f t="shared" si="373"/>
        <v>0.2471326989716098</v>
      </c>
      <c r="H666" s="9">
        <f t="shared" si="374"/>
        <v>0</v>
      </c>
      <c r="I666" s="9">
        <f t="shared" si="375"/>
        <v>0</v>
      </c>
      <c r="J666" s="9">
        <f t="shared" si="376"/>
        <v>0</v>
      </c>
      <c r="K666" s="9">
        <v>0</v>
      </c>
      <c r="L666" s="8">
        <f>+VLOOKUP($B666,NIFTY_50!$B$3:$I$1238,8,0)</f>
        <v>2.9673590504453173E-3</v>
      </c>
      <c r="M666" s="8">
        <f>+VLOOKUP($B666,NIFTY_BANK!$B$3:$I$41238,8,0)</f>
        <v>9.8728760409603211E-3</v>
      </c>
      <c r="N666" s="8">
        <f>+VLOOKUP($B666,NIFTY_IT!$B$3:$I$1238,8,0)</f>
        <v>-1.3668856866464796E-2</v>
      </c>
      <c r="O666" s="8">
        <f>+VLOOKUP($B666,NIFTY_PHARMA!$B$3:$I$1238,8,0)</f>
        <v>6.1897275281941333E-4</v>
      </c>
      <c r="P666" s="8">
        <f>+VLOOKUP($B666,NIFTY_FMCG!$B$3:$I$1238,8,0)</f>
        <v>-2.9917855898550227E-3</v>
      </c>
      <c r="Q666" s="8">
        <f>+VLOOKUP($B666,NIFTY_METAL!$B$3:$I$1238,8,0)</f>
        <v>2.3092731086205909E-2</v>
      </c>
      <c r="R666" s="8">
        <f>+VLOOKUP($B666,NIFTY_ENERGY!$B$3:$I$1238,8,0)</f>
        <v>-2.2404115516303502E-3</v>
      </c>
      <c r="S666" s="8">
        <f>+VLOOKUP($B666,NIFTY_AUTO!$B$3:$I$1238,8,0)</f>
        <v>3.6041505299810872E-2</v>
      </c>
      <c r="T666" s="8">
        <v>0</v>
      </c>
      <c r="U666" s="8">
        <f>+VLOOKUP($B666,NIFTY_50!$B$63:$K$1238,10,0)</f>
        <v>-7.3113167929314105E-2</v>
      </c>
      <c r="V666" s="8">
        <f>+VLOOKUP($B666,NIFTY_BANK!$B$63:$K$1238,10,0)</f>
        <v>-0.10300106246588969</v>
      </c>
      <c r="W666" s="8">
        <f>+VLOOKUP($B666,NIFTY_IT!$B$63:$K$1238,10,0)</f>
        <v>-4.4085730201297468E-2</v>
      </c>
      <c r="X666" s="8">
        <f>+VLOOKUP($B666,NIFTY_PHARMA!$B$63:$K$1238,10,0)</f>
        <v>-1.1767726475244933E-2</v>
      </c>
      <c r="Y666" s="8">
        <f>+VLOOKUP($B666,NIFTY_FMCG!$B$63:$K$1238,10,0)</f>
        <v>-5.3322580379700057E-2</v>
      </c>
      <c r="Z666" s="8">
        <f>+VLOOKUP($B666,NIFTY_METAL!$B$63:$K$1238,10,0)</f>
        <v>-0.18485196313426278</v>
      </c>
      <c r="AA666" s="8">
        <f>+VLOOKUP($B666,NIFTY_ENERGY!$B$63:$K$1238,10,0)</f>
        <v>-9.9796321441797287E-2</v>
      </c>
      <c r="AB666" s="8">
        <f>+VLOOKUP($B666,NIFTY_AUTO!$B$63:$K$1238,10,0)</f>
        <v>-8.8787828573883454E-2</v>
      </c>
      <c r="AC666" s="8"/>
      <c r="AD666" s="16">
        <f t="shared" si="377"/>
        <v>6.7238848757900746E-2</v>
      </c>
      <c r="AE666" s="8">
        <f t="shared" si="378"/>
        <v>9.2816129933473046E-2</v>
      </c>
      <c r="AF666" s="8">
        <f t="shared" si="379"/>
        <v>7.1189784515439905E-2</v>
      </c>
      <c r="AG666" s="8">
        <f t="shared" si="380"/>
        <v>9.5723714778874605E-2</v>
      </c>
      <c r="AH666" s="8">
        <f t="shared" si="381"/>
        <v>5.7000084646692116E-2</v>
      </c>
      <c r="AI666" s="8">
        <f t="shared" si="382"/>
        <v>0.14388150965682345</v>
      </c>
      <c r="AJ666" s="8">
        <f t="shared" si="383"/>
        <v>0.10103431964614555</v>
      </c>
      <c r="AK666" s="8">
        <f t="shared" si="384"/>
        <v>0.13154055459548358</v>
      </c>
      <c r="AL666" s="9">
        <v>0</v>
      </c>
      <c r="AM666" s="17">
        <f t="shared" si="361"/>
        <v>14.872354575858161</v>
      </c>
      <c r="AN666" s="13">
        <f t="shared" si="362"/>
        <v>10.773989399436937</v>
      </c>
      <c r="AO666" s="13">
        <f t="shared" si="363"/>
        <v>14.046959220435852</v>
      </c>
      <c r="AP666" s="13">
        <f t="shared" si="364"/>
        <v>10.446732059135375</v>
      </c>
      <c r="AQ666" s="13">
        <f t="shared" si="365"/>
        <v>17.543833596009108</v>
      </c>
      <c r="AR666" s="13">
        <f t="shared" si="366"/>
        <v>6.9501633836420895</v>
      </c>
      <c r="AS666" s="13">
        <f t="shared" si="367"/>
        <v>9.8976269004662907</v>
      </c>
      <c r="AT666" s="13">
        <f t="shared" si="368"/>
        <v>7.6022182138065491</v>
      </c>
      <c r="AU666" s="9">
        <v>0</v>
      </c>
      <c r="AV666" s="18">
        <f t="shared" si="385"/>
        <v>2</v>
      </c>
      <c r="AW666" s="18">
        <f t="shared" si="386"/>
        <v>4</v>
      </c>
      <c r="AX666" s="18">
        <f t="shared" si="387"/>
        <v>3</v>
      </c>
      <c r="AY666" s="18">
        <f t="shared" si="388"/>
        <v>5</v>
      </c>
      <c r="AZ666" s="18">
        <f t="shared" si="389"/>
        <v>1</v>
      </c>
      <c r="BA666" s="18">
        <f t="shared" si="390"/>
        <v>8</v>
      </c>
      <c r="BB666" s="18">
        <f t="shared" si="391"/>
        <v>6</v>
      </c>
      <c r="BC666" s="18">
        <f t="shared" si="392"/>
        <v>7</v>
      </c>
      <c r="BD666" s="18">
        <f t="shared" si="393"/>
        <v>9</v>
      </c>
      <c r="BE666" s="8">
        <f t="shared" si="395"/>
        <v>-9.2394215196700883E-4</v>
      </c>
    </row>
    <row r="667" spans="1:57" x14ac:dyDescent="0.25">
      <c r="A667" t="str">
        <f t="shared" si="394"/>
        <v/>
      </c>
      <c r="B667" s="1">
        <v>43720</v>
      </c>
      <c r="C667" s="9">
        <f t="shared" si="369"/>
        <v>0.2515618722674674</v>
      </c>
      <c r="D667" s="9">
        <f t="shared" si="370"/>
        <v>0.25608452982980984</v>
      </c>
      <c r="E667" s="9">
        <f t="shared" si="371"/>
        <v>0.24575211039241765</v>
      </c>
      <c r="F667" s="9">
        <f t="shared" si="372"/>
        <v>0</v>
      </c>
      <c r="G667" s="9">
        <f t="shared" si="373"/>
        <v>0.24660148751030514</v>
      </c>
      <c r="H667" s="9">
        <f t="shared" si="374"/>
        <v>0</v>
      </c>
      <c r="I667" s="9">
        <f t="shared" si="375"/>
        <v>0</v>
      </c>
      <c r="J667" s="9">
        <f t="shared" si="376"/>
        <v>0</v>
      </c>
      <c r="K667" s="9">
        <v>0</v>
      </c>
      <c r="L667" s="8">
        <f>+VLOOKUP($B667,NIFTY_50!$B$3:$I$1238,8,0)</f>
        <v>-4.7935337133123701E-3</v>
      </c>
      <c r="M667" s="8">
        <f>+VLOOKUP($B667,NIFTY_BANK!$B$3:$I$41238,8,0)</f>
        <v>1.5228864999532465E-3</v>
      </c>
      <c r="N667" s="8">
        <f>+VLOOKUP($B667,NIFTY_IT!$B$3:$I$1238,8,0)</f>
        <v>-7.5500897986218174E-3</v>
      </c>
      <c r="O667" s="8">
        <f>+VLOOKUP($B667,NIFTY_PHARMA!$B$3:$I$1238,8,0)</f>
        <v>2.381570970815039E-3</v>
      </c>
      <c r="P667" s="8">
        <f>+VLOOKUP($B667,NIFTY_FMCG!$B$3:$I$1238,8,0)</f>
        <v>-6.4031349804497539E-3</v>
      </c>
      <c r="Q667" s="8">
        <f>+VLOOKUP($B667,NIFTY_METAL!$B$3:$I$1238,8,0)</f>
        <v>-1.6359155950385063E-3</v>
      </c>
      <c r="R667" s="8">
        <f>+VLOOKUP($B667,NIFTY_ENERGY!$B$3:$I$1238,8,0)</f>
        <v>-1.2372215480181858E-2</v>
      </c>
      <c r="S667" s="8">
        <f>+VLOOKUP($B667,NIFTY_AUTO!$B$3:$I$1238,8,0)</f>
        <v>-1.8804892504984183E-2</v>
      </c>
      <c r="T667" s="8">
        <v>0</v>
      </c>
      <c r="U667" s="8">
        <f>+VLOOKUP($B667,NIFTY_50!$B$63:$K$1238,10,0)</f>
        <v>-7.816401643437787E-2</v>
      </c>
      <c r="V667" s="8">
        <f>+VLOOKUP($B667,NIFTY_BANK!$B$63:$K$1238,10,0)</f>
        <v>-0.10193665438838329</v>
      </c>
      <c r="W667" s="8">
        <f>+VLOOKUP($B667,NIFTY_IT!$B$63:$K$1238,10,0)</f>
        <v>-4.4945025311645792E-2</v>
      </c>
      <c r="X667" s="8">
        <f>+VLOOKUP($B667,NIFTY_PHARMA!$B$63:$K$1238,10,0)</f>
        <v>-5.694264623767431E-3</v>
      </c>
      <c r="Y667" s="8">
        <f>+VLOOKUP($B667,NIFTY_FMCG!$B$63:$K$1238,10,0)</f>
        <v>-5.8618889095703897E-2</v>
      </c>
      <c r="Z667" s="8">
        <f>+VLOOKUP($B667,NIFTY_METAL!$B$63:$K$1238,10,0)</f>
        <v>-0.18449229520120436</v>
      </c>
      <c r="AA667" s="8">
        <f>+VLOOKUP($B667,NIFTY_ENERGY!$B$63:$K$1238,10,0)</f>
        <v>-0.11132601030899214</v>
      </c>
      <c r="AB667" s="8">
        <f>+VLOOKUP($B667,NIFTY_AUTO!$B$63:$K$1238,10,0)</f>
        <v>-0.10261859442278198</v>
      </c>
      <c r="AC667" s="8"/>
      <c r="AD667" s="16">
        <f t="shared" si="377"/>
        <v>6.7304964893890235E-2</v>
      </c>
      <c r="AE667" s="8">
        <f t="shared" si="378"/>
        <v>9.2849750203032141E-2</v>
      </c>
      <c r="AF667" s="8">
        <f t="shared" si="379"/>
        <v>7.1270002891497874E-2</v>
      </c>
      <c r="AG667" s="8">
        <f t="shared" si="380"/>
        <v>9.5684635425333689E-2</v>
      </c>
      <c r="AH667" s="8">
        <f t="shared" si="381"/>
        <v>5.7263391184542822E-2</v>
      </c>
      <c r="AI667" s="8">
        <f t="shared" si="382"/>
        <v>0.14388553360006309</v>
      </c>
      <c r="AJ667" s="8">
        <f t="shared" si="383"/>
        <v>0.10156838603315241</v>
      </c>
      <c r="AK667" s="8">
        <f t="shared" si="384"/>
        <v>0.13265545859939037</v>
      </c>
      <c r="AL667" s="9">
        <v>0</v>
      </c>
      <c r="AM667" s="17">
        <f t="shared" si="361"/>
        <v>14.857744916389924</v>
      </c>
      <c r="AN667" s="13">
        <f t="shared" si="362"/>
        <v>10.770088210397184</v>
      </c>
      <c r="AO667" s="13">
        <f t="shared" si="363"/>
        <v>14.031148581857215</v>
      </c>
      <c r="AP667" s="13">
        <f t="shared" si="364"/>
        <v>10.450998695400136</v>
      </c>
      <c r="AQ667" s="13">
        <f t="shared" si="365"/>
        <v>17.463164149278175</v>
      </c>
      <c r="AR667" s="13">
        <f t="shared" si="366"/>
        <v>6.9499690134211072</v>
      </c>
      <c r="AS667" s="13">
        <f t="shared" si="367"/>
        <v>9.8455832474643756</v>
      </c>
      <c r="AT667" s="13">
        <f t="shared" si="368"/>
        <v>7.5383253019382011</v>
      </c>
      <c r="AU667" s="9">
        <v>0</v>
      </c>
      <c r="AV667" s="18">
        <f t="shared" si="385"/>
        <v>2</v>
      </c>
      <c r="AW667" s="18">
        <f t="shared" si="386"/>
        <v>4</v>
      </c>
      <c r="AX667" s="18">
        <f t="shared" si="387"/>
        <v>3</v>
      </c>
      <c r="AY667" s="18">
        <f t="shared" si="388"/>
        <v>5</v>
      </c>
      <c r="AZ667" s="18">
        <f t="shared" si="389"/>
        <v>1</v>
      </c>
      <c r="BA667" s="18">
        <f t="shared" si="390"/>
        <v>8</v>
      </c>
      <c r="BB667" s="18">
        <f t="shared" si="391"/>
        <v>6</v>
      </c>
      <c r="BC667" s="18">
        <f t="shared" si="392"/>
        <v>7</v>
      </c>
      <c r="BD667" s="18">
        <f t="shared" si="393"/>
        <v>9</v>
      </c>
      <c r="BE667" s="8">
        <f t="shared" si="395"/>
        <v>-4.2627989754095569E-3</v>
      </c>
    </row>
    <row r="668" spans="1:57" x14ac:dyDescent="0.25">
      <c r="A668" t="str">
        <f t="shared" si="394"/>
        <v/>
      </c>
      <c r="B668" s="1">
        <v>43721</v>
      </c>
      <c r="C668" s="9">
        <f t="shared" si="369"/>
        <v>0.25191579673995251</v>
      </c>
      <c r="D668" s="9">
        <f t="shared" si="370"/>
        <v>0.25685100364303209</v>
      </c>
      <c r="E668" s="9">
        <f t="shared" si="371"/>
        <v>0.24621613084279953</v>
      </c>
      <c r="F668" s="9">
        <f t="shared" si="372"/>
        <v>0</v>
      </c>
      <c r="G668" s="9">
        <f t="shared" si="373"/>
        <v>0.24501706877421578</v>
      </c>
      <c r="H668" s="9">
        <f t="shared" si="374"/>
        <v>0</v>
      </c>
      <c r="I668" s="9">
        <f t="shared" si="375"/>
        <v>0</v>
      </c>
      <c r="J668" s="9">
        <f t="shared" si="376"/>
        <v>0</v>
      </c>
      <c r="K668" s="9">
        <v>0</v>
      </c>
      <c r="L668" s="8">
        <f>+VLOOKUP($B668,NIFTY_50!$B$3:$I$1238,8,0)</f>
        <v>8.4768911388717338E-3</v>
      </c>
      <c r="M668" s="8">
        <f>+VLOOKUP($B668,NIFTY_BANK!$B$3:$I$41238,8,0)</f>
        <v>1.0074231177094273E-2</v>
      </c>
      <c r="N668" s="8">
        <f>+VLOOKUP($B668,NIFTY_IT!$B$3:$I$1238,8,0)</f>
        <v>8.9615452489051339E-3</v>
      </c>
      <c r="O668" s="8">
        <f>+VLOOKUP($B668,NIFTY_PHARMA!$B$3:$I$1238,8,0)</f>
        <v>-8.5286004332182364E-3</v>
      </c>
      <c r="P668" s="8">
        <f>+VLOOKUP($B668,NIFTY_FMCG!$B$3:$I$1238,8,0)</f>
        <v>5.8967216327432403E-4</v>
      </c>
      <c r="Q668" s="8">
        <f>+VLOOKUP($B668,NIFTY_METAL!$B$3:$I$1238,8,0)</f>
        <v>1.3896955114909071E-2</v>
      </c>
      <c r="R668" s="8">
        <f>+VLOOKUP($B668,NIFTY_ENERGY!$B$3:$I$1238,8,0)</f>
        <v>2.238860368006157E-2</v>
      </c>
      <c r="S668" s="8">
        <f>+VLOOKUP($B668,NIFTY_AUTO!$B$3:$I$1238,8,0)</f>
        <v>1.0516199890170386E-2</v>
      </c>
      <c r="T668" s="8">
        <v>0</v>
      </c>
      <c r="U668" s="8">
        <f>+VLOOKUP($B668,NIFTY_50!$B$63:$K$1238,10,0)</f>
        <v>-6.3214161866822272E-2</v>
      </c>
      <c r="V668" s="8">
        <f>+VLOOKUP($B668,NIFTY_BANK!$B$63:$K$1238,10,0)</f>
        <v>-8.2170616067301694E-2</v>
      </c>
      <c r="W668" s="8">
        <f>+VLOOKUP($B668,NIFTY_IT!$B$63:$K$1238,10,0)</f>
        <v>-3.3519381369788936E-2</v>
      </c>
      <c r="X668" s="8">
        <f>+VLOOKUP($B668,NIFTY_PHARMA!$B$63:$K$1238,10,0)</f>
        <v>-6.2472552282103466E-3</v>
      </c>
      <c r="Y668" s="8">
        <f>+VLOOKUP($B668,NIFTY_FMCG!$B$63:$K$1238,10,0)</f>
        <v>-4.5853481100309956E-2</v>
      </c>
      <c r="Z668" s="8">
        <f>+VLOOKUP($B668,NIFTY_METAL!$B$63:$K$1238,10,0)</f>
        <v>-0.17005670820740948</v>
      </c>
      <c r="AA668" s="8">
        <f>+VLOOKUP($B668,NIFTY_ENERGY!$B$63:$K$1238,10,0)</f>
        <v>-8.6257709059773924E-2</v>
      </c>
      <c r="AB668" s="8">
        <f>+VLOOKUP($B668,NIFTY_AUTO!$B$63:$K$1238,10,0)</f>
        <v>-8.3544997260819764E-2</v>
      </c>
      <c r="AC668" s="8"/>
      <c r="AD668" s="16">
        <f t="shared" si="377"/>
        <v>6.7685078638357016E-2</v>
      </c>
      <c r="AE668" s="8">
        <f t="shared" si="378"/>
        <v>9.3015901476622906E-2</v>
      </c>
      <c r="AF668" s="8">
        <f t="shared" si="379"/>
        <v>7.1871931679133805E-2</v>
      </c>
      <c r="AG668" s="8">
        <f t="shared" si="380"/>
        <v>9.5732074812439116E-2</v>
      </c>
      <c r="AH668" s="8">
        <f t="shared" si="381"/>
        <v>5.6022492985769751E-2</v>
      </c>
      <c r="AI668" s="8">
        <f t="shared" si="382"/>
        <v>0.14487516807998299</v>
      </c>
      <c r="AJ668" s="8">
        <f t="shared" si="383"/>
        <v>0.10428869764915358</v>
      </c>
      <c r="AK668" s="8">
        <f t="shared" si="384"/>
        <v>0.13288623411022935</v>
      </c>
      <c r="AL668" s="9">
        <v>0</v>
      </c>
      <c r="AM668" s="17">
        <f t="shared" si="361"/>
        <v>14.774305062760195</v>
      </c>
      <c r="AN668" s="13">
        <f t="shared" si="362"/>
        <v>10.750849952804291</v>
      </c>
      <c r="AO668" s="13">
        <f t="shared" si="363"/>
        <v>13.913637447013611</v>
      </c>
      <c r="AP668" s="13">
        <f t="shared" si="364"/>
        <v>10.445819773145283</v>
      </c>
      <c r="AQ668" s="13">
        <f t="shared" si="365"/>
        <v>17.84997322868173</v>
      </c>
      <c r="AR668" s="13">
        <f t="shared" si="366"/>
        <v>6.90249414894841</v>
      </c>
      <c r="AS668" s="13">
        <f t="shared" si="367"/>
        <v>9.5887667843373077</v>
      </c>
      <c r="AT668" s="13">
        <f t="shared" si="368"/>
        <v>7.5252339468849598</v>
      </c>
      <c r="AU668" s="9">
        <v>0</v>
      </c>
      <c r="AV668" s="18">
        <f t="shared" si="385"/>
        <v>2</v>
      </c>
      <c r="AW668" s="18">
        <f t="shared" si="386"/>
        <v>4</v>
      </c>
      <c r="AX668" s="18">
        <f t="shared" si="387"/>
        <v>3</v>
      </c>
      <c r="AY668" s="18">
        <f t="shared" si="388"/>
        <v>5</v>
      </c>
      <c r="AZ668" s="18">
        <f t="shared" si="389"/>
        <v>1</v>
      </c>
      <c r="BA668" s="18">
        <f t="shared" si="390"/>
        <v>8</v>
      </c>
      <c r="BB668" s="18">
        <f t="shared" si="391"/>
        <v>6</v>
      </c>
      <c r="BC668" s="18">
        <f t="shared" si="392"/>
        <v>7</v>
      </c>
      <c r="BD668" s="18">
        <f t="shared" si="393"/>
        <v>9</v>
      </c>
      <c r="BE668" s="8">
        <f t="shared" si="395"/>
        <v>7.0600500501875251E-3</v>
      </c>
    </row>
    <row r="669" spans="1:57" x14ac:dyDescent="0.25">
      <c r="A669" t="str">
        <f t="shared" si="394"/>
        <v/>
      </c>
      <c r="B669" s="1">
        <v>43724</v>
      </c>
      <c r="C669" s="9">
        <f t="shared" si="369"/>
        <v>0.25081818089235569</v>
      </c>
      <c r="D669" s="9">
        <f t="shared" si="370"/>
        <v>0.25518152004324746</v>
      </c>
      <c r="E669" s="9">
        <f t="shared" si="371"/>
        <v>0.24707412955216679</v>
      </c>
      <c r="F669" s="9">
        <f t="shared" si="372"/>
        <v>0</v>
      </c>
      <c r="G669" s="9">
        <f t="shared" si="373"/>
        <v>0.24692616951223012</v>
      </c>
      <c r="H669" s="9">
        <f t="shared" si="374"/>
        <v>0</v>
      </c>
      <c r="I669" s="9">
        <f t="shared" si="375"/>
        <v>0</v>
      </c>
      <c r="J669" s="9">
        <f t="shared" si="376"/>
        <v>0</v>
      </c>
      <c r="K669" s="9">
        <v>0</v>
      </c>
      <c r="L669" s="8">
        <f>+VLOOKUP($B669,NIFTY_50!$B$3:$I$1238,8,0)</f>
        <v>-6.5367148493575833E-3</v>
      </c>
      <c r="M669" s="8">
        <f>+VLOOKUP($B669,NIFTY_BANK!$B$3:$I$41238,8,0)</f>
        <v>-8.6747631122381375E-3</v>
      </c>
      <c r="N669" s="8">
        <f>+VLOOKUP($B669,NIFTY_IT!$B$3:$I$1238,8,0)</f>
        <v>1.2879303436388323E-3</v>
      </c>
      <c r="O669" s="8">
        <f>+VLOOKUP($B669,NIFTY_PHARMA!$B$3:$I$1238,8,0)</f>
        <v>4.6806630109359482E-3</v>
      </c>
      <c r="P669" s="8">
        <f>+VLOOKUP($B669,NIFTY_FMCG!$B$3:$I$1238,8,0)</f>
        <v>5.585468687974382E-3</v>
      </c>
      <c r="Q669" s="8">
        <f>+VLOOKUP($B669,NIFTY_METAL!$B$3:$I$1238,8,0)</f>
        <v>-1.4524773945417957E-3</v>
      </c>
      <c r="R669" s="8">
        <f>+VLOOKUP($B669,NIFTY_ENERGY!$B$3:$I$1238,8,0)</f>
        <v>-1.3152578740625254E-2</v>
      </c>
      <c r="S669" s="8">
        <f>+VLOOKUP($B669,NIFTY_AUTO!$B$3:$I$1238,8,0)</f>
        <v>-8.1447164633319247E-3</v>
      </c>
      <c r="T669" s="8">
        <v>0</v>
      </c>
      <c r="U669" s="8">
        <f>+VLOOKUP($B669,NIFTY_50!$B$63:$K$1238,10,0)</f>
        <v>-5.7285932754462476E-2</v>
      </c>
      <c r="V669" s="8">
        <f>+VLOOKUP($B669,NIFTY_BANK!$B$63:$K$1238,10,0)</f>
        <v>-7.9880752809823874E-2</v>
      </c>
      <c r="W669" s="8">
        <f>+VLOOKUP($B669,NIFTY_IT!$B$63:$K$1238,10,0)</f>
        <v>-2.9889328452940012E-2</v>
      </c>
      <c r="X669" s="8">
        <f>+VLOOKUP($B669,NIFTY_PHARMA!$B$63:$K$1238,10,0)</f>
        <v>1.196200746058107E-2</v>
      </c>
      <c r="Y669" s="8">
        <f>+VLOOKUP($B669,NIFTY_FMCG!$B$63:$K$1238,10,0)</f>
        <v>-3.2054713354138675E-2</v>
      </c>
      <c r="Z669" s="8">
        <f>+VLOOKUP($B669,NIFTY_METAL!$B$63:$K$1238,10,0)</f>
        <v>-0.14680999825205376</v>
      </c>
      <c r="AA669" s="8">
        <f>+VLOOKUP($B669,NIFTY_ENERGY!$B$63:$K$1238,10,0)</f>
        <v>-7.9581761932355999E-2</v>
      </c>
      <c r="AB669" s="8">
        <f>+VLOOKUP($B669,NIFTY_AUTO!$B$63:$K$1238,10,0)</f>
        <v>-7.5410645761831874E-2</v>
      </c>
      <c r="AC669" s="8"/>
      <c r="AD669" s="16">
        <f t="shared" si="377"/>
        <v>6.6879176227409784E-2</v>
      </c>
      <c r="AE669" s="8">
        <f t="shared" si="378"/>
        <v>9.278765760981203E-2</v>
      </c>
      <c r="AF669" s="8">
        <f t="shared" si="379"/>
        <v>7.1866730977782831E-2</v>
      </c>
      <c r="AG669" s="8">
        <f t="shared" si="380"/>
        <v>9.4882519418215822E-2</v>
      </c>
      <c r="AH669" s="8">
        <f t="shared" si="381"/>
        <v>5.5777253285759089E-2</v>
      </c>
      <c r="AI669" s="8">
        <f t="shared" si="382"/>
        <v>0.14252729582978796</v>
      </c>
      <c r="AJ669" s="8">
        <f t="shared" si="383"/>
        <v>0.10322620226330871</v>
      </c>
      <c r="AK669" s="8">
        <f t="shared" si="384"/>
        <v>0.13214242619940539</v>
      </c>
      <c r="AL669" s="9">
        <v>0</v>
      </c>
      <c r="AM669" s="17">
        <f t="shared" si="361"/>
        <v>14.952337280586296</v>
      </c>
      <c r="AN669" s="13">
        <f t="shared" si="362"/>
        <v>10.777295448120601</v>
      </c>
      <c r="AO669" s="13">
        <f t="shared" si="363"/>
        <v>13.914644320042107</v>
      </c>
      <c r="AP669" s="13">
        <f t="shared" si="364"/>
        <v>10.539349145992608</v>
      </c>
      <c r="AQ669" s="13">
        <f t="shared" si="365"/>
        <v>17.928455438219249</v>
      </c>
      <c r="AR669" s="13">
        <f t="shared" si="366"/>
        <v>7.0161999087826779</v>
      </c>
      <c r="AS669" s="13">
        <f t="shared" si="367"/>
        <v>9.6874628541424652</v>
      </c>
      <c r="AT669" s="13">
        <f t="shared" si="368"/>
        <v>7.5675922469516435</v>
      </c>
      <c r="AU669" s="9">
        <v>0</v>
      </c>
      <c r="AV669" s="18">
        <f t="shared" si="385"/>
        <v>2</v>
      </c>
      <c r="AW669" s="18">
        <f t="shared" si="386"/>
        <v>4</v>
      </c>
      <c r="AX669" s="18">
        <f t="shared" si="387"/>
        <v>3</v>
      </c>
      <c r="AY669" s="18">
        <f t="shared" si="388"/>
        <v>5</v>
      </c>
      <c r="AZ669" s="18">
        <f t="shared" si="389"/>
        <v>1</v>
      </c>
      <c r="BA669" s="18">
        <f t="shared" si="390"/>
        <v>8</v>
      </c>
      <c r="BB669" s="18">
        <f t="shared" si="391"/>
        <v>6</v>
      </c>
      <c r="BC669" s="18">
        <f t="shared" si="392"/>
        <v>7</v>
      </c>
      <c r="BD669" s="18">
        <f t="shared" si="393"/>
        <v>9</v>
      </c>
      <c r="BE669" s="8">
        <f t="shared" si="395"/>
        <v>-2.1891789494182744E-3</v>
      </c>
    </row>
    <row r="670" spans="1:57" x14ac:dyDescent="0.25">
      <c r="A670" t="str">
        <f t="shared" si="394"/>
        <v/>
      </c>
      <c r="B670" s="1">
        <v>43725</v>
      </c>
      <c r="C670" s="9">
        <f t="shared" si="369"/>
        <v>0.2499206016141845</v>
      </c>
      <c r="D670" s="9">
        <f t="shared" si="370"/>
        <v>0.25192243018062283</v>
      </c>
      <c r="E670" s="9">
        <f t="shared" si="371"/>
        <v>0.24855168175256906</v>
      </c>
      <c r="F670" s="9">
        <f t="shared" si="372"/>
        <v>0</v>
      </c>
      <c r="G670" s="9">
        <f t="shared" si="373"/>
        <v>0.24960528645262359</v>
      </c>
      <c r="H670" s="9">
        <f t="shared" si="374"/>
        <v>0</v>
      </c>
      <c r="I670" s="9">
        <f t="shared" si="375"/>
        <v>0</v>
      </c>
      <c r="J670" s="9">
        <f t="shared" si="376"/>
        <v>0</v>
      </c>
      <c r="K670" s="9">
        <v>0</v>
      </c>
      <c r="L670" s="8">
        <f>+VLOOKUP($B670,NIFTY_50!$B$3:$I$1238,8,0)</f>
        <v>-1.6894624437678862E-2</v>
      </c>
      <c r="M670" s="8">
        <f>+VLOOKUP($B670,NIFTY_BANK!$B$3:$I$41238,8,0)</f>
        <v>-2.5964817806497953E-2</v>
      </c>
      <c r="N670" s="8">
        <f>+VLOOKUP($B670,NIFTY_IT!$B$3:$I$1238,8,0)</f>
        <v>-7.4635635181015125E-3</v>
      </c>
      <c r="O670" s="8">
        <f>+VLOOKUP($B670,NIFTY_PHARMA!$B$3:$I$1238,8,0)</f>
        <v>-1.6950307596042324E-2</v>
      </c>
      <c r="P670" s="8">
        <f>+VLOOKUP($B670,NIFTY_FMCG!$B$3:$I$1238,8,0)</f>
        <v>-2.658968584520971E-3</v>
      </c>
      <c r="Q670" s="8">
        <f>+VLOOKUP($B670,NIFTY_METAL!$B$3:$I$1238,8,0)</f>
        <v>-2.6510417733707659E-2</v>
      </c>
      <c r="R670" s="8">
        <f>+VLOOKUP($B670,NIFTY_ENERGY!$B$3:$I$1238,8,0)</f>
        <v>-1.357557909512197E-2</v>
      </c>
      <c r="S670" s="8">
        <f>+VLOOKUP($B670,NIFTY_AUTO!$B$3:$I$1238,8,0)</f>
        <v>-3.8339052002218987E-2</v>
      </c>
      <c r="T670" s="8">
        <v>0</v>
      </c>
      <c r="U670" s="8">
        <f>+VLOOKUP($B670,NIFTY_50!$B$63:$K$1238,10,0)</f>
        <v>-7.4746610785613399E-2</v>
      </c>
      <c r="V670" s="8">
        <f>+VLOOKUP($B670,NIFTY_BANK!$B$63:$K$1238,10,0)</f>
        <v>-0.10606734539224405</v>
      </c>
      <c r="W670" s="8">
        <f>+VLOOKUP($B670,NIFTY_IT!$B$63:$K$1238,10,0)</f>
        <v>-4.2692602236177102E-2</v>
      </c>
      <c r="X670" s="8">
        <f>+VLOOKUP($B670,NIFTY_PHARMA!$B$63:$K$1238,10,0)</f>
        <v>2.1346604437315619E-3</v>
      </c>
      <c r="Y670" s="8">
        <f>+VLOOKUP($B670,NIFTY_FMCG!$B$63:$K$1238,10,0)</f>
        <v>-3.060943349982681E-2</v>
      </c>
      <c r="Z670" s="8">
        <f>+VLOOKUP($B670,NIFTY_METAL!$B$63:$K$1238,10,0)</f>
        <v>-0.17358864656161954</v>
      </c>
      <c r="AA670" s="8">
        <f>+VLOOKUP($B670,NIFTY_ENERGY!$B$63:$K$1238,10,0)</f>
        <v>-9.8593453301643708E-2</v>
      </c>
      <c r="AB670" s="8">
        <f>+VLOOKUP($B670,NIFTY_AUTO!$B$63:$K$1238,10,0)</f>
        <v>-0.10670093582802653</v>
      </c>
      <c r="AC670" s="8"/>
      <c r="AD670" s="16">
        <f t="shared" si="377"/>
        <v>6.8668470854013702E-2</v>
      </c>
      <c r="AE670" s="8">
        <f t="shared" si="378"/>
        <v>9.5864397935800566E-2</v>
      </c>
      <c r="AF670" s="8">
        <f t="shared" si="379"/>
        <v>7.1915215889686246E-2</v>
      </c>
      <c r="AG670" s="8">
        <f t="shared" si="380"/>
        <v>9.6126070242437675E-2</v>
      </c>
      <c r="AH670" s="8">
        <f t="shared" si="381"/>
        <v>5.5699723118771319E-2</v>
      </c>
      <c r="AI670" s="8">
        <f t="shared" si="382"/>
        <v>0.14429736218868497</v>
      </c>
      <c r="AJ670" s="8">
        <f t="shared" si="383"/>
        <v>0.10357460050578188</v>
      </c>
      <c r="AK670" s="8">
        <f t="shared" si="384"/>
        <v>0.13716552359702758</v>
      </c>
      <c r="AL670" s="9">
        <v>0</v>
      </c>
      <c r="AM670" s="17">
        <f t="shared" si="361"/>
        <v>14.562724166757087</v>
      </c>
      <c r="AN670" s="13">
        <f t="shared" si="362"/>
        <v>10.431401245222341</v>
      </c>
      <c r="AO670" s="13">
        <f t="shared" si="363"/>
        <v>13.905263130043881</v>
      </c>
      <c r="AP670" s="13">
        <f t="shared" si="364"/>
        <v>10.403005110662692</v>
      </c>
      <c r="AQ670" s="13">
        <f t="shared" si="365"/>
        <v>17.953410609737677</v>
      </c>
      <c r="AR670" s="13">
        <f t="shared" si="366"/>
        <v>6.9301336132006899</v>
      </c>
      <c r="AS670" s="13">
        <f t="shared" si="367"/>
        <v>9.654876727660433</v>
      </c>
      <c r="AT670" s="13">
        <f t="shared" si="368"/>
        <v>7.2904617266497302</v>
      </c>
      <c r="AU670" s="9">
        <v>0</v>
      </c>
      <c r="AV670" s="18">
        <f t="shared" si="385"/>
        <v>2</v>
      </c>
      <c r="AW670" s="18">
        <f t="shared" si="386"/>
        <v>4</v>
      </c>
      <c r="AX670" s="18">
        <f t="shared" si="387"/>
        <v>3</v>
      </c>
      <c r="AY670" s="18">
        <f t="shared" si="388"/>
        <v>5</v>
      </c>
      <c r="AZ670" s="18">
        <f t="shared" si="389"/>
        <v>1</v>
      </c>
      <c r="BA670" s="18">
        <f t="shared" si="390"/>
        <v>8</v>
      </c>
      <c r="BB670" s="18">
        <f t="shared" si="391"/>
        <v>6</v>
      </c>
      <c r="BC670" s="18">
        <f t="shared" si="392"/>
        <v>7</v>
      </c>
      <c r="BD670" s="18">
        <f t="shared" si="393"/>
        <v>9</v>
      </c>
      <c r="BE670" s="8">
        <f t="shared" si="395"/>
        <v>-1.3363843030847635E-2</v>
      </c>
    </row>
    <row r="671" spans="1:57" x14ac:dyDescent="0.25">
      <c r="A671" t="str">
        <f t="shared" si="394"/>
        <v/>
      </c>
      <c r="B671" s="1">
        <v>43726</v>
      </c>
      <c r="C671" s="9">
        <f t="shared" si="369"/>
        <v>0.2497536992728594</v>
      </c>
      <c r="D671" s="9">
        <f t="shared" si="370"/>
        <v>0.25159759922956465</v>
      </c>
      <c r="E671" s="9">
        <f t="shared" si="371"/>
        <v>0.2490734014447305</v>
      </c>
      <c r="F671" s="9">
        <f t="shared" si="372"/>
        <v>0</v>
      </c>
      <c r="G671" s="9">
        <f t="shared" si="373"/>
        <v>0.24957530005284537</v>
      </c>
      <c r="H671" s="9">
        <f t="shared" si="374"/>
        <v>0</v>
      </c>
      <c r="I671" s="9">
        <f t="shared" si="375"/>
        <v>0</v>
      </c>
      <c r="J671" s="9">
        <f t="shared" si="376"/>
        <v>0</v>
      </c>
      <c r="K671" s="9">
        <v>0</v>
      </c>
      <c r="L671" s="8">
        <f>+VLOOKUP($B671,NIFTY_50!$B$3:$I$1238,8,0)</f>
        <v>2.1307868658482221E-3</v>
      </c>
      <c r="M671" s="8">
        <f>+VLOOKUP($B671,NIFTY_BANK!$B$3:$I$41238,8,0)</f>
        <v>1.5074589733430344E-3</v>
      </c>
      <c r="N671" s="8">
        <f>+VLOOKUP($B671,NIFTY_IT!$B$3:$I$1238,8,0)</f>
        <v>4.9053959355289667E-3</v>
      </c>
      <c r="O671" s="8">
        <f>+VLOOKUP($B671,NIFTY_PHARMA!$B$3:$I$1238,8,0)</f>
        <v>-1.3108389999811898E-3</v>
      </c>
      <c r="P671" s="8">
        <f>+VLOOKUP($B671,NIFTY_FMCG!$B$3:$I$1238,8,0)</f>
        <v>2.6800068351509054E-3</v>
      </c>
      <c r="Q671" s="8">
        <f>+VLOOKUP($B671,NIFTY_METAL!$B$3:$I$1238,8,0)</f>
        <v>1.1280173411621242E-2</v>
      </c>
      <c r="R671" s="8">
        <f>+VLOOKUP($B671,NIFTY_ENERGY!$B$3:$I$1238,8,0)</f>
        <v>1.0700222863181619E-2</v>
      </c>
      <c r="S671" s="8">
        <f>+VLOOKUP($B671,NIFTY_AUTO!$B$3:$I$1238,8,0)</f>
        <v>-1.2320621016272959E-3</v>
      </c>
      <c r="T671" s="8">
        <v>0</v>
      </c>
      <c r="U671" s="8">
        <f>+VLOOKUP($B671,NIFTY_50!$B$63:$K$1238,10,0)</f>
        <v>-7.2771127618901033E-2</v>
      </c>
      <c r="V671" s="8">
        <f>+VLOOKUP($B671,NIFTY_BANK!$B$63:$K$1238,10,0)</f>
        <v>-0.10504708172359611</v>
      </c>
      <c r="W671" s="8">
        <f>+VLOOKUP($B671,NIFTY_IT!$B$63:$K$1238,10,0)</f>
        <v>-3.5645193978885659E-2</v>
      </c>
      <c r="X671" s="8">
        <f>+VLOOKUP($B671,NIFTY_PHARMA!$B$63:$K$1238,10,0)</f>
        <v>1.706565688980155E-2</v>
      </c>
      <c r="Y671" s="8">
        <f>+VLOOKUP($B671,NIFTY_FMCG!$B$63:$K$1238,10,0)</f>
        <v>-2.8164229653815709E-2</v>
      </c>
      <c r="Z671" s="8">
        <f>+VLOOKUP($B671,NIFTY_METAL!$B$63:$K$1238,10,0)</f>
        <v>-0.16756747392855909</v>
      </c>
      <c r="AA671" s="8">
        <f>+VLOOKUP($B671,NIFTY_ENERGY!$B$63:$K$1238,10,0)</f>
        <v>-8.7970466697928851E-2</v>
      </c>
      <c r="AB671" s="8">
        <f>+VLOOKUP($B671,NIFTY_AUTO!$B$63:$K$1238,10,0)</f>
        <v>-9.7797277476132871E-2</v>
      </c>
      <c r="AC671" s="8"/>
      <c r="AD671" s="16">
        <f t="shared" si="377"/>
        <v>6.8739317643446804E-2</v>
      </c>
      <c r="AE671" s="8">
        <f t="shared" si="378"/>
        <v>9.5896408251699747E-2</v>
      </c>
      <c r="AF671" s="8">
        <f t="shared" si="379"/>
        <v>7.2103466574173103E-2</v>
      </c>
      <c r="AG671" s="8">
        <f t="shared" si="380"/>
        <v>9.4763228107831526E-2</v>
      </c>
      <c r="AH671" s="8">
        <f t="shared" si="381"/>
        <v>5.5784897489904665E-2</v>
      </c>
      <c r="AI671" s="8">
        <f t="shared" si="382"/>
        <v>0.14482927300331003</v>
      </c>
      <c r="AJ671" s="8">
        <f t="shared" si="383"/>
        <v>0.10429155721933966</v>
      </c>
      <c r="AK671" s="8">
        <f t="shared" si="384"/>
        <v>0.13683830978486217</v>
      </c>
      <c r="AL671" s="9">
        <v>0</v>
      </c>
      <c r="AM671" s="17">
        <f t="shared" si="361"/>
        <v>14.547714965502484</v>
      </c>
      <c r="AN671" s="13">
        <f t="shared" si="362"/>
        <v>10.427919233171854</v>
      </c>
      <c r="AO671" s="13">
        <f t="shared" si="363"/>
        <v>13.86895869938925</v>
      </c>
      <c r="AP671" s="13">
        <f t="shared" si="364"/>
        <v>10.552616452260315</v>
      </c>
      <c r="AQ671" s="13">
        <f t="shared" si="365"/>
        <v>17.925998702085433</v>
      </c>
      <c r="AR671" s="13">
        <f t="shared" si="366"/>
        <v>6.9046814864364148</v>
      </c>
      <c r="AS671" s="13">
        <f t="shared" si="367"/>
        <v>9.5885038699428069</v>
      </c>
      <c r="AT671" s="13">
        <f t="shared" si="368"/>
        <v>7.3078950008386157</v>
      </c>
      <c r="AU671" s="9">
        <v>0</v>
      </c>
      <c r="AV671" s="18">
        <f t="shared" si="385"/>
        <v>2</v>
      </c>
      <c r="AW671" s="18">
        <f t="shared" si="386"/>
        <v>5</v>
      </c>
      <c r="AX671" s="18">
        <f t="shared" si="387"/>
        <v>3</v>
      </c>
      <c r="AY671" s="18">
        <f t="shared" si="388"/>
        <v>4</v>
      </c>
      <c r="AZ671" s="18">
        <f t="shared" si="389"/>
        <v>1</v>
      </c>
      <c r="BA671" s="18">
        <f t="shared" si="390"/>
        <v>8</v>
      </c>
      <c r="BB671" s="18">
        <f t="shared" si="391"/>
        <v>6</v>
      </c>
      <c r="BC671" s="18">
        <f t="shared" si="392"/>
        <v>7</v>
      </c>
      <c r="BD671" s="18">
        <f t="shared" si="393"/>
        <v>9</v>
      </c>
      <c r="BE671" s="8">
        <f t="shared" si="395"/>
        <v>2.8004785466073266E-3</v>
      </c>
    </row>
    <row r="672" spans="1:57" x14ac:dyDescent="0.25">
      <c r="A672" t="str">
        <f t="shared" si="394"/>
        <v/>
      </c>
      <c r="B672" s="1">
        <v>43727</v>
      </c>
      <c r="C672" s="9">
        <f t="shared" si="369"/>
        <v>0.24945715889851428</v>
      </c>
      <c r="D672" s="9">
        <f t="shared" si="370"/>
        <v>0.25060127379137298</v>
      </c>
      <c r="E672" s="9">
        <f t="shared" si="371"/>
        <v>0.2490492042151983</v>
      </c>
      <c r="F672" s="9">
        <f t="shared" si="372"/>
        <v>0</v>
      </c>
      <c r="G672" s="9">
        <f t="shared" si="373"/>
        <v>0.25089236309491453</v>
      </c>
      <c r="H672" s="9">
        <f t="shared" si="374"/>
        <v>0</v>
      </c>
      <c r="I672" s="9">
        <f t="shared" si="375"/>
        <v>0</v>
      </c>
      <c r="J672" s="9">
        <f t="shared" si="376"/>
        <v>0</v>
      </c>
      <c r="K672" s="9">
        <v>0</v>
      </c>
      <c r="L672" s="8">
        <f>+VLOOKUP($B672,NIFTY_50!$B$3:$I$1238,8,0)</f>
        <v>-1.2531536393112996E-2</v>
      </c>
      <c r="M672" s="8">
        <f>+VLOOKUP($B672,NIFTY_BANK!$B$3:$I$41238,8,0)</f>
        <v>-1.5272709875555068E-2</v>
      </c>
      <c r="N672" s="8">
        <f>+VLOOKUP($B672,NIFTY_IT!$B$3:$I$1238,8,0)</f>
        <v>-1.1453736076880383E-2</v>
      </c>
      <c r="O672" s="8">
        <f>+VLOOKUP($B672,NIFTY_PHARMA!$B$3:$I$1238,8,0)</f>
        <v>-1.5630817383841533E-2</v>
      </c>
      <c r="P672" s="8">
        <f>+VLOOKUP($B672,NIFTY_FMCG!$B$3:$I$1238,8,0)</f>
        <v>-6.1404103693115664E-3</v>
      </c>
      <c r="Q672" s="8">
        <f>+VLOOKUP($B672,NIFTY_METAL!$B$3:$I$1238,8,0)</f>
        <v>-1.6315318502486909E-2</v>
      </c>
      <c r="R672" s="8">
        <f>+VLOOKUP($B672,NIFTY_ENERGY!$B$3:$I$1238,8,0)</f>
        <v>-1.4327567108709305E-2</v>
      </c>
      <c r="S672" s="8">
        <f>+VLOOKUP($B672,NIFTY_AUTO!$B$3:$I$1238,8,0)</f>
        <v>-1.3048872662968281E-2</v>
      </c>
      <c r="T672" s="8">
        <v>0</v>
      </c>
      <c r="U672" s="8">
        <f>+VLOOKUP($B672,NIFTY_50!$B$63:$K$1238,10,0)</f>
        <v>-9.5247955712384091E-2</v>
      </c>
      <c r="V672" s="8">
        <f>+VLOOKUP($B672,NIFTY_BANK!$B$63:$K$1238,10,0)</f>
        <v>-0.13071170296058288</v>
      </c>
      <c r="W672" s="8">
        <f>+VLOOKUP($B672,NIFTY_IT!$B$63:$K$1238,10,0)</f>
        <v>-4.8691697896972141E-2</v>
      </c>
      <c r="X672" s="8">
        <f>+VLOOKUP($B672,NIFTY_PHARMA!$B$63:$K$1238,10,0)</f>
        <v>-2.8571428571428581E-2</v>
      </c>
      <c r="Y672" s="8">
        <f>+VLOOKUP($B672,NIFTY_FMCG!$B$63:$K$1238,10,0)</f>
        <v>-3.6283217178249338E-2</v>
      </c>
      <c r="Z672" s="8">
        <f>+VLOOKUP($B672,NIFTY_METAL!$B$63:$K$1238,10,0)</f>
        <v>-0.19613278459916328</v>
      </c>
      <c r="AA672" s="8">
        <f>+VLOOKUP($B672,NIFTY_ENERGY!$B$63:$K$1238,10,0)</f>
        <v>-0.11187426155089852</v>
      </c>
      <c r="AB672" s="8">
        <f>+VLOOKUP($B672,NIFTY_AUTO!$B$63:$K$1238,10,0)</f>
        <v>-0.13117275232409964</v>
      </c>
      <c r="AC672" s="8"/>
      <c r="AD672" s="16">
        <f t="shared" si="377"/>
        <v>6.8333259694273438E-2</v>
      </c>
      <c r="AE672" s="8">
        <f t="shared" si="378"/>
        <v>9.5518461530759796E-2</v>
      </c>
      <c r="AF672" s="8">
        <f t="shared" si="379"/>
        <v>7.2853883155514151E-2</v>
      </c>
      <c r="AG672" s="8">
        <f t="shared" si="380"/>
        <v>9.1019513394507132E-2</v>
      </c>
      <c r="AH672" s="8">
        <f t="shared" si="381"/>
        <v>5.6001009193920669E-2</v>
      </c>
      <c r="AI672" s="8">
        <f t="shared" si="382"/>
        <v>0.14379300058318423</v>
      </c>
      <c r="AJ672" s="8">
        <f t="shared" si="383"/>
        <v>0.10414552478190905</v>
      </c>
      <c r="AK672" s="8">
        <f t="shared" si="384"/>
        <v>0.13467395038725088</v>
      </c>
      <c r="AL672" s="9">
        <v>0</v>
      </c>
      <c r="AM672" s="17">
        <f t="shared" si="361"/>
        <v>14.634162111891809</v>
      </c>
      <c r="AN672" s="13">
        <f t="shared" si="362"/>
        <v>10.469180344555383</v>
      </c>
      <c r="AO672" s="13">
        <f t="shared" si="363"/>
        <v>13.726104315749327</v>
      </c>
      <c r="AP672" s="13">
        <f t="shared" si="364"/>
        <v>10.986655088625735</v>
      </c>
      <c r="AQ672" s="13">
        <f t="shared" si="365"/>
        <v>17.856821053656255</v>
      </c>
      <c r="AR672" s="13">
        <f t="shared" si="366"/>
        <v>6.9544414258293479</v>
      </c>
      <c r="AS672" s="13">
        <f t="shared" si="367"/>
        <v>9.6019488316382109</v>
      </c>
      <c r="AT672" s="13">
        <f t="shared" si="368"/>
        <v>7.4253409595881772</v>
      </c>
      <c r="AU672" s="9">
        <v>0</v>
      </c>
      <c r="AV672" s="18">
        <f t="shared" si="385"/>
        <v>2</v>
      </c>
      <c r="AW672" s="18">
        <f t="shared" si="386"/>
        <v>5</v>
      </c>
      <c r="AX672" s="18">
        <f t="shared" si="387"/>
        <v>3</v>
      </c>
      <c r="AY672" s="18">
        <f t="shared" si="388"/>
        <v>4</v>
      </c>
      <c r="AZ672" s="18">
        <f t="shared" si="389"/>
        <v>1</v>
      </c>
      <c r="BA672" s="18">
        <f t="shared" si="390"/>
        <v>8</v>
      </c>
      <c r="BB672" s="18">
        <f t="shared" si="391"/>
        <v>6</v>
      </c>
      <c r="BC672" s="18">
        <f t="shared" si="392"/>
        <v>7</v>
      </c>
      <c r="BD672" s="18">
        <f t="shared" si="393"/>
        <v>9</v>
      </c>
      <c r="BE672" s="8">
        <f t="shared" si="395"/>
        <v>-1.1357690474459113E-2</v>
      </c>
    </row>
    <row r="673" spans="1:57" x14ac:dyDescent="0.25">
      <c r="A673" t="str">
        <f t="shared" si="394"/>
        <v/>
      </c>
      <c r="B673" s="1">
        <v>43728</v>
      </c>
      <c r="C673" s="9">
        <f t="shared" si="369"/>
        <v>0.25149562320523788</v>
      </c>
      <c r="D673" s="9">
        <f t="shared" si="370"/>
        <v>0.25982695087039243</v>
      </c>
      <c r="E673" s="9">
        <f t="shared" si="371"/>
        <v>0.23792190513725961</v>
      </c>
      <c r="F673" s="9">
        <f t="shared" si="372"/>
        <v>0</v>
      </c>
      <c r="G673" s="9">
        <f t="shared" si="373"/>
        <v>0.25075552078711005</v>
      </c>
      <c r="H673" s="9">
        <f t="shared" si="374"/>
        <v>0</v>
      </c>
      <c r="I673" s="9">
        <f t="shared" si="375"/>
        <v>0</v>
      </c>
      <c r="J673" s="9">
        <f t="shared" si="376"/>
        <v>0</v>
      </c>
      <c r="K673" s="9">
        <v>0</v>
      </c>
      <c r="L673" s="8">
        <f>+VLOOKUP($B673,NIFTY_50!$B$3:$I$1238,8,0)</f>
        <v>5.3191091846648275E-2</v>
      </c>
      <c r="M673" s="8">
        <f>+VLOOKUP($B673,NIFTY_BANK!$B$3:$I$41238,8,0)</f>
        <v>8.3112679925180233E-2</v>
      </c>
      <c r="N673" s="8">
        <f>+VLOOKUP($B673,NIFTY_IT!$B$3:$I$1238,8,0)</f>
        <v>-2.0196554023366176E-3</v>
      </c>
      <c r="O673" s="8">
        <f>+VLOOKUP($B673,NIFTY_PHARMA!$B$3:$I$1238,8,0)</f>
        <v>2.3584542797066455E-2</v>
      </c>
      <c r="P673" s="8">
        <f>+VLOOKUP($B673,NIFTY_FMCG!$B$3:$I$1238,8,0)</f>
        <v>4.4084813617211838E-2</v>
      </c>
      <c r="Q673" s="8">
        <f>+VLOOKUP($B673,NIFTY_METAL!$B$3:$I$1238,8,0)</f>
        <v>5.6781400071928889E-2</v>
      </c>
      <c r="R673" s="8">
        <f>+VLOOKUP($B673,NIFTY_ENERGY!$B$3:$I$1238,8,0)</f>
        <v>4.0407647415093839E-2</v>
      </c>
      <c r="S673" s="8">
        <f>+VLOOKUP($B673,NIFTY_AUTO!$B$3:$I$1238,8,0)</f>
        <v>9.9015981273300024E-2</v>
      </c>
      <c r="T673" s="8">
        <v>0</v>
      </c>
      <c r="U673" s="8">
        <f>+VLOOKUP($B673,NIFTY_50!$B$63:$K$1238,10,0)</f>
        <v>-3.8373947680418907E-2</v>
      </c>
      <c r="V673" s="8">
        <f>+VLOOKUP($B673,NIFTY_BANK!$B$63:$K$1238,10,0)</f>
        <v>-5.3767179753398398E-2</v>
      </c>
      <c r="W673" s="8">
        <f>+VLOOKUP($B673,NIFTY_IT!$B$63:$K$1238,10,0)</f>
        <v>-4.3133161204244708E-2</v>
      </c>
      <c r="X673" s="8">
        <f>+VLOOKUP($B673,NIFTY_PHARMA!$B$63:$K$1238,10,0)</f>
        <v>9.1006187156752461E-3</v>
      </c>
      <c r="Y673" s="8">
        <f>+VLOOKUP($B673,NIFTY_FMCG!$B$63:$K$1238,10,0)</f>
        <v>1.3985253459353642E-2</v>
      </c>
      <c r="Z673" s="8">
        <f>+VLOOKUP($B673,NIFTY_METAL!$B$63:$K$1238,10,0)</f>
        <v>-0.14761791004027025</v>
      </c>
      <c r="AA673" s="8">
        <f>+VLOOKUP($B673,NIFTY_ENERGY!$B$63:$K$1238,10,0)</f>
        <v>-6.8479882643529777E-2</v>
      </c>
      <c r="AB673" s="8">
        <f>+VLOOKUP($B673,NIFTY_AUTO!$B$63:$K$1238,10,0)</f>
        <v>-3.3349219966320343E-2</v>
      </c>
      <c r="AC673" s="8"/>
      <c r="AD673" s="16">
        <f t="shared" si="377"/>
        <v>8.6901162105813251E-2</v>
      </c>
      <c r="AE673" s="8">
        <f t="shared" si="378"/>
        <v>0.12755603991581344</v>
      </c>
      <c r="AF673" s="8">
        <f t="shared" si="379"/>
        <v>7.2519581944571726E-2</v>
      </c>
      <c r="AG673" s="8">
        <f t="shared" si="380"/>
        <v>9.2919245254918903E-2</v>
      </c>
      <c r="AH673" s="8">
        <f t="shared" si="381"/>
        <v>7.0970276782612182E-2</v>
      </c>
      <c r="AI673" s="8">
        <f t="shared" si="382"/>
        <v>0.15568949650944822</v>
      </c>
      <c r="AJ673" s="8">
        <f t="shared" si="383"/>
        <v>0.11205057342212241</v>
      </c>
      <c r="AK673" s="8">
        <f t="shared" si="384"/>
        <v>0.16753645690431643</v>
      </c>
      <c r="AL673" s="9">
        <v>0</v>
      </c>
      <c r="AM673" s="17">
        <f t="shared" si="361"/>
        <v>11.507325975484337</v>
      </c>
      <c r="AN673" s="13">
        <f t="shared" si="362"/>
        <v>7.8396914850915467</v>
      </c>
      <c r="AO673" s="13">
        <f t="shared" si="363"/>
        <v>13.789378995101233</v>
      </c>
      <c r="AP673" s="13">
        <f t="shared" si="364"/>
        <v>10.762033174683612</v>
      </c>
      <c r="AQ673" s="13">
        <f t="shared" si="365"/>
        <v>14.090405805561145</v>
      </c>
      <c r="AR673" s="13">
        <f t="shared" si="366"/>
        <v>6.4230408757170956</v>
      </c>
      <c r="AS673" s="13">
        <f t="shared" si="367"/>
        <v>8.924541566001194</v>
      </c>
      <c r="AT673" s="13">
        <f t="shared" si="368"/>
        <v>5.9688501146417394</v>
      </c>
      <c r="AU673" s="9">
        <v>0</v>
      </c>
      <c r="AV673" s="18">
        <f t="shared" si="385"/>
        <v>3</v>
      </c>
      <c r="AW673" s="18">
        <f t="shared" si="386"/>
        <v>6</v>
      </c>
      <c r="AX673" s="18">
        <f t="shared" si="387"/>
        <v>2</v>
      </c>
      <c r="AY673" s="18">
        <f t="shared" si="388"/>
        <v>4</v>
      </c>
      <c r="AZ673" s="18">
        <f t="shared" si="389"/>
        <v>1</v>
      </c>
      <c r="BA673" s="18">
        <f t="shared" si="390"/>
        <v>7</v>
      </c>
      <c r="BB673" s="18">
        <f t="shared" si="391"/>
        <v>5</v>
      </c>
      <c r="BC673" s="18">
        <f t="shared" si="392"/>
        <v>8</v>
      </c>
      <c r="BD673" s="18">
        <f t="shared" si="393"/>
        <v>9</v>
      </c>
      <c r="BE673" s="8">
        <f t="shared" si="395"/>
        <v>4.4654591602519937E-2</v>
      </c>
    </row>
    <row r="674" spans="1:57" x14ac:dyDescent="0.25">
      <c r="A674" t="str">
        <f t="shared" si="394"/>
        <v/>
      </c>
      <c r="B674" s="1">
        <v>43731</v>
      </c>
      <c r="C674" s="9">
        <f t="shared" si="369"/>
        <v>0.25236808617408935</v>
      </c>
      <c r="D674" s="9">
        <f t="shared" si="370"/>
        <v>0.26725651384196636</v>
      </c>
      <c r="E674" s="9">
        <f t="shared" si="371"/>
        <v>0.22529058211449393</v>
      </c>
      <c r="F674" s="9">
        <f t="shared" si="372"/>
        <v>0</v>
      </c>
      <c r="G674" s="9">
        <f t="shared" si="373"/>
        <v>0.25508481786945042</v>
      </c>
      <c r="H674" s="9">
        <f t="shared" si="374"/>
        <v>0</v>
      </c>
      <c r="I674" s="9">
        <f t="shared" si="375"/>
        <v>0</v>
      </c>
      <c r="J674" s="9">
        <f t="shared" si="376"/>
        <v>0</v>
      </c>
      <c r="K674" s="9">
        <v>0</v>
      </c>
      <c r="L674" s="8">
        <f>+VLOOKUP($B674,NIFTY_50!$B$3:$I$1238,8,0)</f>
        <v>2.8915577158467931E-2</v>
      </c>
      <c r="M674" s="8">
        <f>+VLOOKUP($B674,NIFTY_BANK!$B$3:$I$41238,8,0)</f>
        <v>5.4677889898918419E-2</v>
      </c>
      <c r="N674" s="8">
        <f>+VLOOKUP($B674,NIFTY_IT!$B$3:$I$1238,8,0)</f>
        <v>-2.9077986714952542E-2</v>
      </c>
      <c r="O674" s="8">
        <f>+VLOOKUP($B674,NIFTY_PHARMA!$B$3:$I$1238,8,0)</f>
        <v>-1.5820029936557067E-2</v>
      </c>
      <c r="P674" s="8">
        <f>+VLOOKUP($B674,NIFTY_FMCG!$B$3:$I$1238,8,0)</f>
        <v>4.3061334960039055E-2</v>
      </c>
      <c r="Q674" s="8">
        <f>+VLOOKUP($B674,NIFTY_METAL!$B$3:$I$1238,8,0)</f>
        <v>1.1430744900206014E-2</v>
      </c>
      <c r="R674" s="8">
        <f>+VLOOKUP($B674,NIFTY_ENERGY!$B$3:$I$1238,8,0)</f>
        <v>9.4521520554813332E-3</v>
      </c>
      <c r="S674" s="8">
        <f>+VLOOKUP($B674,NIFTY_AUTO!$B$3:$I$1238,8,0)</f>
        <v>2.5874820039837765E-2</v>
      </c>
      <c r="T674" s="8">
        <v>0</v>
      </c>
      <c r="U674" s="8">
        <f>+VLOOKUP($B674,NIFTY_50!$B$63:$K$1238,10,0)</f>
        <v>-8.5002542811108972E-3</v>
      </c>
      <c r="V674" s="8">
        <f>+VLOOKUP($B674,NIFTY_BANK!$B$63:$K$1238,10,0)</f>
        <v>-1.1714901452679616E-3</v>
      </c>
      <c r="W674" s="8">
        <f>+VLOOKUP($B674,NIFTY_IT!$B$63:$K$1238,10,0)</f>
        <v>-7.0842136476518824E-2</v>
      </c>
      <c r="X674" s="8">
        <f>+VLOOKUP($B674,NIFTY_PHARMA!$B$63:$K$1238,10,0)</f>
        <v>-5.6631232599342329E-3</v>
      </c>
      <c r="Y674" s="8">
        <f>+VLOOKUP($B674,NIFTY_FMCG!$B$63:$K$1238,10,0)</f>
        <v>5.6200405916332352E-2</v>
      </c>
      <c r="Z674" s="8">
        <f>+VLOOKUP($B674,NIFTY_METAL!$B$63:$K$1238,10,0)</f>
        <v>-0.12662275925253674</v>
      </c>
      <c r="AA674" s="8">
        <f>+VLOOKUP($B674,NIFTY_ENERGY!$B$63:$K$1238,10,0)</f>
        <v>-4.9587824180558959E-2</v>
      </c>
      <c r="AB674" s="8">
        <f>+VLOOKUP($B674,NIFTY_AUTO!$B$63:$K$1238,10,0)</f>
        <v>-3.7856057607600357E-3</v>
      </c>
      <c r="AC674" s="8"/>
      <c r="AD674" s="16">
        <f t="shared" si="377"/>
        <v>9.1672141972570148E-2</v>
      </c>
      <c r="AE674" s="8">
        <f t="shared" si="378"/>
        <v>0.13890641176675128</v>
      </c>
      <c r="AF674" s="8">
        <f t="shared" si="379"/>
        <v>7.7791499536506339E-2</v>
      </c>
      <c r="AG674" s="8">
        <f t="shared" si="380"/>
        <v>9.4264027698449424E-2</v>
      </c>
      <c r="AH674" s="8">
        <f t="shared" si="381"/>
        <v>8.2693951759732223E-2</v>
      </c>
      <c r="AI674" s="8">
        <f t="shared" si="382"/>
        <v>0.15592217063901573</v>
      </c>
      <c r="AJ674" s="8">
        <f t="shared" si="383"/>
        <v>0.11210685995310897</v>
      </c>
      <c r="AK674" s="8">
        <f t="shared" si="384"/>
        <v>0.16947560257605168</v>
      </c>
      <c r="AL674" s="9">
        <v>0</v>
      </c>
      <c r="AM674" s="17">
        <f t="shared" si="361"/>
        <v>10.908439341356472</v>
      </c>
      <c r="AN674" s="13">
        <f t="shared" si="362"/>
        <v>7.1990917286034204</v>
      </c>
      <c r="AO674" s="13">
        <f t="shared" si="363"/>
        <v>12.854874966521447</v>
      </c>
      <c r="AP674" s="13">
        <f t="shared" si="364"/>
        <v>10.608500659435002</v>
      </c>
      <c r="AQ674" s="13">
        <f t="shared" si="365"/>
        <v>12.09278283018214</v>
      </c>
      <c r="AR674" s="13">
        <f t="shared" si="366"/>
        <v>6.4134561230240745</v>
      </c>
      <c r="AS674" s="13">
        <f t="shared" si="367"/>
        <v>8.9200607386405331</v>
      </c>
      <c r="AT674" s="13">
        <f t="shared" si="368"/>
        <v>5.900554326403725</v>
      </c>
      <c r="AU674" s="9">
        <v>0</v>
      </c>
      <c r="AV674" s="18">
        <f t="shared" si="385"/>
        <v>3</v>
      </c>
      <c r="AW674" s="18">
        <f t="shared" si="386"/>
        <v>6</v>
      </c>
      <c r="AX674" s="18">
        <f t="shared" si="387"/>
        <v>1</v>
      </c>
      <c r="AY674" s="18">
        <f t="shared" si="388"/>
        <v>4</v>
      </c>
      <c r="AZ674" s="18">
        <f t="shared" si="389"/>
        <v>2</v>
      </c>
      <c r="BA674" s="18">
        <f t="shared" si="390"/>
        <v>7</v>
      </c>
      <c r="BB674" s="18">
        <f t="shared" si="391"/>
        <v>5</v>
      </c>
      <c r="BC674" s="18">
        <f t="shared" si="392"/>
        <v>8</v>
      </c>
      <c r="BD674" s="18">
        <f t="shared" si="393"/>
        <v>9</v>
      </c>
      <c r="BE674" s="8">
        <f t="shared" si="395"/>
        <v>2.5358507987186384E-2</v>
      </c>
    </row>
    <row r="675" spans="1:57" x14ac:dyDescent="0.25">
      <c r="A675" t="str">
        <f t="shared" si="394"/>
        <v/>
      </c>
      <c r="B675" s="1">
        <v>43732</v>
      </c>
      <c r="C675" s="9">
        <f t="shared" si="369"/>
        <v>0.25149608449984917</v>
      </c>
      <c r="D675" s="9">
        <f t="shared" si="370"/>
        <v>0.26326733662354118</v>
      </c>
      <c r="E675" s="9">
        <f t="shared" si="371"/>
        <v>0.22919749058139946</v>
      </c>
      <c r="F675" s="9">
        <f t="shared" si="372"/>
        <v>0</v>
      </c>
      <c r="G675" s="9">
        <f t="shared" si="373"/>
        <v>0.25603908829521038</v>
      </c>
      <c r="H675" s="9">
        <f t="shared" si="374"/>
        <v>0</v>
      </c>
      <c r="I675" s="9">
        <f t="shared" si="375"/>
        <v>0</v>
      </c>
      <c r="J675" s="9">
        <f t="shared" si="376"/>
        <v>0</v>
      </c>
      <c r="K675" s="9">
        <v>0</v>
      </c>
      <c r="L675" s="8">
        <f>+VLOOKUP($B675,NIFTY_50!$B$3:$I$1238,8,0)</f>
        <v>-1.0344649230186187E-3</v>
      </c>
      <c r="M675" s="8">
        <f>+VLOOKUP($B675,NIFTY_BANK!$B$3:$I$41238,8,0)</f>
        <v>-1.2533451982909338E-2</v>
      </c>
      <c r="N675" s="8">
        <f>+VLOOKUP($B675,NIFTY_IT!$B$3:$I$1238,8,0)</f>
        <v>1.9812973508458676E-2</v>
      </c>
      <c r="O675" s="8">
        <f>+VLOOKUP($B675,NIFTY_PHARMA!$B$3:$I$1238,8,0)</f>
        <v>4.4163034140443092E-3</v>
      </c>
      <c r="P675" s="8">
        <f>+VLOOKUP($B675,NIFTY_FMCG!$B$3:$I$1238,8,0)</f>
        <v>6.179286056278821E-3</v>
      </c>
      <c r="Q675" s="8">
        <f>+VLOOKUP($B675,NIFTY_METAL!$B$3:$I$1238,8,0)</f>
        <v>-1.6269495685218849E-2</v>
      </c>
      <c r="R675" s="8">
        <f>+VLOOKUP($B675,NIFTY_ENERGY!$B$3:$I$1238,8,0)</f>
        <v>6.7568918963964997E-3</v>
      </c>
      <c r="S675" s="8">
        <f>+VLOOKUP($B675,NIFTY_AUTO!$B$3:$I$1238,8,0)</f>
        <v>-3.7679506321569578E-3</v>
      </c>
      <c r="T675" s="8">
        <v>0</v>
      </c>
      <c r="U675" s="8">
        <f>+VLOOKUP($B675,NIFTY_50!$B$63:$K$1238,10,0)</f>
        <v>-1.7653616130276495E-2</v>
      </c>
      <c r="V675" s="8">
        <f>+VLOOKUP($B675,NIFTY_BANK!$B$63:$K$1238,10,0)</f>
        <v>-2.1523938269623843E-2</v>
      </c>
      <c r="W675" s="8">
        <f>+VLOOKUP($B675,NIFTY_IT!$B$63:$K$1238,10,0)</f>
        <v>-5.4013549642448644E-2</v>
      </c>
      <c r="X675" s="8">
        <f>+VLOOKUP($B675,NIFTY_PHARMA!$B$63:$K$1238,10,0)</f>
        <v>-6.9521340849607594E-3</v>
      </c>
      <c r="Y675" s="8">
        <f>+VLOOKUP($B675,NIFTY_FMCG!$B$63:$K$1238,10,0)</f>
        <v>5.954806006916491E-2</v>
      </c>
      <c r="Z675" s="8">
        <f>+VLOOKUP($B675,NIFTY_METAL!$B$63:$K$1238,10,0)</f>
        <v>-0.15548909996091964</v>
      </c>
      <c r="AA675" s="8">
        <f>+VLOOKUP($B675,NIFTY_ENERGY!$B$63:$K$1238,10,0)</f>
        <v>-6.1642282131505577E-2</v>
      </c>
      <c r="AB675" s="8">
        <f>+VLOOKUP($B675,NIFTY_AUTO!$B$63:$K$1238,10,0)</f>
        <v>-1.3327832957826913E-2</v>
      </c>
      <c r="AC675" s="8"/>
      <c r="AD675" s="16">
        <f t="shared" si="377"/>
        <v>9.1288769051303675E-2</v>
      </c>
      <c r="AE675" s="8">
        <f t="shared" si="378"/>
        <v>0.13923588745088908</v>
      </c>
      <c r="AF675" s="8">
        <f t="shared" si="379"/>
        <v>8.048451322959245E-2</v>
      </c>
      <c r="AG675" s="8">
        <f t="shared" si="380"/>
        <v>9.419347319492978E-2</v>
      </c>
      <c r="AH675" s="8">
        <f t="shared" si="381"/>
        <v>8.2832680152441038E-2</v>
      </c>
      <c r="AI675" s="8">
        <f t="shared" si="382"/>
        <v>0.15530926554685529</v>
      </c>
      <c r="AJ675" s="8">
        <f t="shared" si="383"/>
        <v>0.11047292294769634</v>
      </c>
      <c r="AK675" s="8">
        <f t="shared" si="384"/>
        <v>0.16942107175524029</v>
      </c>
      <c r="AL675" s="9">
        <v>0</v>
      </c>
      <c r="AM675" s="17">
        <f t="shared" si="361"/>
        <v>10.95425001774322</v>
      </c>
      <c r="AN675" s="13">
        <f t="shared" si="362"/>
        <v>7.1820564245889367</v>
      </c>
      <c r="AO675" s="13">
        <f t="shared" si="363"/>
        <v>12.42475054980293</v>
      </c>
      <c r="AP675" s="13">
        <f t="shared" si="364"/>
        <v>10.616446830987305</v>
      </c>
      <c r="AQ675" s="13">
        <f t="shared" si="365"/>
        <v>12.072529805381777</v>
      </c>
      <c r="AR675" s="13">
        <f t="shared" si="366"/>
        <v>6.4387658809596893</v>
      </c>
      <c r="AS675" s="13">
        <f t="shared" si="367"/>
        <v>9.0519918665812096</v>
      </c>
      <c r="AT675" s="13">
        <f t="shared" si="368"/>
        <v>5.9024535120677477</v>
      </c>
      <c r="AU675" s="9">
        <v>0</v>
      </c>
      <c r="AV675" s="18">
        <f t="shared" si="385"/>
        <v>3</v>
      </c>
      <c r="AW675" s="18">
        <f t="shared" si="386"/>
        <v>6</v>
      </c>
      <c r="AX675" s="18">
        <f t="shared" si="387"/>
        <v>1</v>
      </c>
      <c r="AY675" s="18">
        <f t="shared" si="388"/>
        <v>4</v>
      </c>
      <c r="AZ675" s="18">
        <f t="shared" si="389"/>
        <v>2</v>
      </c>
      <c r="BA675" s="18">
        <f t="shared" si="390"/>
        <v>7</v>
      </c>
      <c r="BB675" s="18">
        <f t="shared" si="391"/>
        <v>5</v>
      </c>
      <c r="BC675" s="18">
        <f t="shared" si="392"/>
        <v>8</v>
      </c>
      <c r="BD675" s="18">
        <f t="shared" si="393"/>
        <v>9</v>
      </c>
      <c r="BE675" s="8">
        <f t="shared" si="395"/>
        <v>2.4292057771743542E-3</v>
      </c>
    </row>
    <row r="676" spans="1:57" x14ac:dyDescent="0.25">
      <c r="A676" t="str">
        <f t="shared" si="394"/>
        <v/>
      </c>
      <c r="B676" s="1">
        <v>43733</v>
      </c>
      <c r="C676" s="9">
        <f t="shared" si="369"/>
        <v>0.25103625464663509</v>
      </c>
      <c r="D676" s="9">
        <f t="shared" si="370"/>
        <v>0.26092020319657994</v>
      </c>
      <c r="E676" s="9">
        <f t="shared" si="371"/>
        <v>0.23236130997583587</v>
      </c>
      <c r="F676" s="9">
        <f t="shared" si="372"/>
        <v>0</v>
      </c>
      <c r="G676" s="9">
        <f t="shared" si="373"/>
        <v>0.25568223218094899</v>
      </c>
      <c r="H676" s="9">
        <f t="shared" si="374"/>
        <v>0</v>
      </c>
      <c r="I676" s="9">
        <f t="shared" si="375"/>
        <v>0</v>
      </c>
      <c r="J676" s="9">
        <f t="shared" si="376"/>
        <v>0</v>
      </c>
      <c r="K676" s="9">
        <v>0</v>
      </c>
      <c r="L676" s="8">
        <f>+VLOOKUP($B676,NIFTY_50!$B$3:$I$1238,8,0)</f>
        <v>-1.2771612502373131E-2</v>
      </c>
      <c r="M676" s="8">
        <f>+VLOOKUP($B676,NIFTY_BANK!$B$3:$I$41238,8,0)</f>
        <v>-1.9780937014421962E-2</v>
      </c>
      <c r="N676" s="8">
        <f>+VLOOKUP($B676,NIFTY_IT!$B$3:$I$1238,8,0)</f>
        <v>2.6892849109927397E-3</v>
      </c>
      <c r="O676" s="8">
        <f>+VLOOKUP($B676,NIFTY_PHARMA!$B$3:$I$1238,8,0)</f>
        <v>-1.2956240219464177E-2</v>
      </c>
      <c r="P676" s="8">
        <f>+VLOOKUP($B676,NIFTY_FMCG!$B$3:$I$1238,8,0)</f>
        <v>-1.2341755981655878E-2</v>
      </c>
      <c r="Q676" s="8">
        <f>+VLOOKUP($B676,NIFTY_METAL!$B$3:$I$1238,8,0)</f>
        <v>-2.6296728501871147E-2</v>
      </c>
      <c r="R676" s="8">
        <f>+VLOOKUP($B676,NIFTY_ENERGY!$B$3:$I$1238,8,0)</f>
        <v>5.1884496568073146E-3</v>
      </c>
      <c r="S676" s="8">
        <f>+VLOOKUP($B676,NIFTY_AUTO!$B$3:$I$1238,8,0)</f>
        <v>-3.8954105425658581E-2</v>
      </c>
      <c r="T676" s="8">
        <v>0</v>
      </c>
      <c r="U676" s="8">
        <f>+VLOOKUP($B676,NIFTY_50!$B$63:$K$1238,10,0)</f>
        <v>-3.4382636072436745E-2</v>
      </c>
      <c r="V676" s="8">
        <f>+VLOOKUP($B676,NIFTY_BANK!$B$63:$K$1238,10,0)</f>
        <v>-5.0583476534985294E-2</v>
      </c>
      <c r="W676" s="8">
        <f>+VLOOKUP($B676,NIFTY_IT!$B$63:$K$1238,10,0)</f>
        <v>-4.4830530842920768E-2</v>
      </c>
      <c r="X676" s="8">
        <f>+VLOOKUP($B676,NIFTY_PHARMA!$B$63:$K$1238,10,0)</f>
        <v>-3.6679321815910937E-2</v>
      </c>
      <c r="Y676" s="8">
        <f>+VLOOKUP($B676,NIFTY_FMCG!$B$63:$K$1238,10,0)</f>
        <v>4.7481548971856968E-2</v>
      </c>
      <c r="Z676" s="8">
        <f>+VLOOKUP($B676,NIFTY_METAL!$B$63:$K$1238,10,0)</f>
        <v>-0.19954018425709985</v>
      </c>
      <c r="AA676" s="8">
        <f>+VLOOKUP($B676,NIFTY_ENERGY!$B$63:$K$1238,10,0)</f>
        <v>-6.2543617487756165E-2</v>
      </c>
      <c r="AB676" s="8">
        <f>+VLOOKUP($B676,NIFTY_AUTO!$B$63:$K$1238,10,0)</f>
        <v>-5.2400251155887978E-2</v>
      </c>
      <c r="AC676" s="8"/>
      <c r="AD676" s="16">
        <f t="shared" si="377"/>
        <v>9.2008243298584008E-2</v>
      </c>
      <c r="AE676" s="8">
        <f t="shared" si="378"/>
        <v>0.14016636516119371</v>
      </c>
      <c r="AF676" s="8">
        <f t="shared" si="379"/>
        <v>8.0322294166907393E-2</v>
      </c>
      <c r="AG676" s="8">
        <f t="shared" si="380"/>
        <v>9.3360403832546832E-2</v>
      </c>
      <c r="AH676" s="8">
        <f t="shared" si="381"/>
        <v>8.3865184141852595E-2</v>
      </c>
      <c r="AI676" s="8">
        <f t="shared" si="382"/>
        <v>0.15409552269001936</v>
      </c>
      <c r="AJ676" s="8">
        <f t="shared" si="383"/>
        <v>0.11041497423695318</v>
      </c>
      <c r="AK676" s="8">
        <f t="shared" si="384"/>
        <v>0.1737688916298071</v>
      </c>
      <c r="AL676" s="9">
        <v>0</v>
      </c>
      <c r="AM676" s="17">
        <f t="shared" si="361"/>
        <v>10.868591379957255</v>
      </c>
      <c r="AN676" s="13">
        <f t="shared" si="362"/>
        <v>7.1343791989610557</v>
      </c>
      <c r="AO676" s="13">
        <f t="shared" si="363"/>
        <v>12.449843600358689</v>
      </c>
      <c r="AP676" s="13">
        <f t="shared" si="364"/>
        <v>10.711179032533115</v>
      </c>
      <c r="AQ676" s="13">
        <f t="shared" si="365"/>
        <v>11.923899174996908</v>
      </c>
      <c r="AR676" s="13">
        <f t="shared" si="366"/>
        <v>6.4894812162168627</v>
      </c>
      <c r="AS676" s="13">
        <f t="shared" si="367"/>
        <v>9.056742592304337</v>
      </c>
      <c r="AT676" s="13">
        <f t="shared" si="368"/>
        <v>5.7547699741929357</v>
      </c>
      <c r="AU676" s="9">
        <v>0</v>
      </c>
      <c r="AV676" s="18">
        <f t="shared" si="385"/>
        <v>3</v>
      </c>
      <c r="AW676" s="18">
        <f t="shared" si="386"/>
        <v>6</v>
      </c>
      <c r="AX676" s="18">
        <f t="shared" si="387"/>
        <v>1</v>
      </c>
      <c r="AY676" s="18">
        <f t="shared" si="388"/>
        <v>4</v>
      </c>
      <c r="AZ676" s="18">
        <f t="shared" si="389"/>
        <v>2</v>
      </c>
      <c r="BA676" s="18">
        <f t="shared" si="390"/>
        <v>7</v>
      </c>
      <c r="BB676" s="18">
        <f t="shared" si="391"/>
        <v>5</v>
      </c>
      <c r="BC676" s="18">
        <f t="shared" si="392"/>
        <v>8</v>
      </c>
      <c r="BD676" s="18">
        <f t="shared" si="393"/>
        <v>9</v>
      </c>
      <c r="BE676" s="8">
        <f t="shared" si="395"/>
        <v>-1.0963279737248227E-2</v>
      </c>
    </row>
    <row r="677" spans="1:57" x14ac:dyDescent="0.25">
      <c r="A677" t="str">
        <f t="shared" si="394"/>
        <v/>
      </c>
      <c r="B677" s="1">
        <v>43734</v>
      </c>
      <c r="C677" s="9">
        <f t="shared" si="369"/>
        <v>0.25230187224290657</v>
      </c>
      <c r="D677" s="9">
        <f t="shared" si="370"/>
        <v>0.26291711399430501</v>
      </c>
      <c r="E677" s="9">
        <f t="shared" si="371"/>
        <v>0.22988307311435188</v>
      </c>
      <c r="F677" s="9">
        <f t="shared" si="372"/>
        <v>0</v>
      </c>
      <c r="G677" s="9">
        <f t="shared" si="373"/>
        <v>0.25489794064843668</v>
      </c>
      <c r="H677" s="9">
        <f t="shared" si="374"/>
        <v>0</v>
      </c>
      <c r="I677" s="9">
        <f t="shared" si="375"/>
        <v>0</v>
      </c>
      <c r="J677" s="9">
        <f t="shared" si="376"/>
        <v>0</v>
      </c>
      <c r="K677" s="9">
        <v>0</v>
      </c>
      <c r="L677" s="8">
        <f>+VLOOKUP($B677,NIFTY_50!$B$3:$I$1238,8,0)</f>
        <v>1.1450848761385357E-2</v>
      </c>
      <c r="M677" s="8">
        <f>+VLOOKUP($B677,NIFTY_BANK!$B$3:$I$41238,8,0)</f>
        <v>1.4079270466993643E-2</v>
      </c>
      <c r="N677" s="8">
        <f>+VLOOKUP($B677,NIFTY_IT!$B$3:$I$1238,8,0)</f>
        <v>-4.3563352167439451E-3</v>
      </c>
      <c r="O677" s="8">
        <f>+VLOOKUP($B677,NIFTY_PHARMA!$B$3:$I$1238,8,0)</f>
        <v>8.6781262436295137E-3</v>
      </c>
      <c r="P677" s="8">
        <f>+VLOOKUP($B677,NIFTY_FMCG!$B$3:$I$1238,8,0)</f>
        <v>3.2901171993100498E-3</v>
      </c>
      <c r="Q677" s="8">
        <f>+VLOOKUP($B677,NIFTY_METAL!$B$3:$I$1238,8,0)</f>
        <v>4.1615869407996664E-2</v>
      </c>
      <c r="R677" s="8">
        <f>+VLOOKUP($B677,NIFTY_ENERGY!$B$3:$I$1238,8,0)</f>
        <v>1.7635975545483129E-2</v>
      </c>
      <c r="S677" s="8">
        <f>+VLOOKUP($B677,NIFTY_AUTO!$B$3:$I$1238,8,0)</f>
        <v>2.5339838965524164E-2</v>
      </c>
      <c r="T677" s="8">
        <v>0</v>
      </c>
      <c r="U677" s="8">
        <f>+VLOOKUP($B677,NIFTY_50!$B$63:$K$1238,10,0)</f>
        <v>-2.283062605824393E-2</v>
      </c>
      <c r="V677" s="8">
        <f>+VLOOKUP($B677,NIFTY_BANK!$B$63:$K$1238,10,0)</f>
        <v>-4.051551831657052E-2</v>
      </c>
      <c r="W677" s="8">
        <f>+VLOOKUP($B677,NIFTY_IT!$B$63:$K$1238,10,0)</f>
        <v>-4.2453007166172618E-2</v>
      </c>
      <c r="X677" s="8">
        <f>+VLOOKUP($B677,NIFTY_PHARMA!$B$63:$K$1238,10,0)</f>
        <v>-2.8523738872403559E-2</v>
      </c>
      <c r="Y677" s="8">
        <f>+VLOOKUP($B677,NIFTY_FMCG!$B$63:$K$1238,10,0)</f>
        <v>5.2257281224141083E-2</v>
      </c>
      <c r="Z677" s="8">
        <f>+VLOOKUP($B677,NIFTY_METAL!$B$63:$K$1238,10,0)</f>
        <v>-0.16380797558224403</v>
      </c>
      <c r="AA677" s="8">
        <f>+VLOOKUP($B677,NIFTY_ENERGY!$B$63:$K$1238,10,0)</f>
        <v>-4.3061578490893315E-2</v>
      </c>
      <c r="AB677" s="8">
        <f>+VLOOKUP($B677,NIFTY_AUTO!$B$63:$K$1238,10,0)</f>
        <v>-3.9102045424609044E-2</v>
      </c>
      <c r="AC677" s="8"/>
      <c r="AD677" s="16">
        <f t="shared" si="377"/>
        <v>9.2769124372391307E-2</v>
      </c>
      <c r="AE677" s="8">
        <f t="shared" si="378"/>
        <v>0.14087549937866362</v>
      </c>
      <c r="AF677" s="8">
        <f t="shared" si="379"/>
        <v>8.0170909881508448E-2</v>
      </c>
      <c r="AG677" s="8">
        <f t="shared" si="380"/>
        <v>9.380521933109652E-2</v>
      </c>
      <c r="AH677" s="8">
        <f t="shared" si="381"/>
        <v>8.3873784339340771E-2</v>
      </c>
      <c r="AI677" s="8">
        <f t="shared" si="382"/>
        <v>0.1604473676529152</v>
      </c>
      <c r="AJ677" s="8">
        <f t="shared" si="383"/>
        <v>0.11191815865989928</v>
      </c>
      <c r="AK677" s="8">
        <f t="shared" si="384"/>
        <v>0.17529469440299442</v>
      </c>
      <c r="AL677" s="9">
        <v>0</v>
      </c>
      <c r="AM677" s="17">
        <f t="shared" si="361"/>
        <v>10.779448515497755</v>
      </c>
      <c r="AN677" s="13">
        <f t="shared" si="362"/>
        <v>7.0984664076474298</v>
      </c>
      <c r="AO677" s="13">
        <f t="shared" si="363"/>
        <v>12.473352260539226</v>
      </c>
      <c r="AP677" s="13">
        <f t="shared" si="364"/>
        <v>10.660387632274306</v>
      </c>
      <c r="AQ677" s="13">
        <f t="shared" si="365"/>
        <v>11.922676529702651</v>
      </c>
      <c r="AR677" s="13">
        <f t="shared" si="366"/>
        <v>6.2325734265907773</v>
      </c>
      <c r="AS677" s="13">
        <f t="shared" si="367"/>
        <v>8.935100541091229</v>
      </c>
      <c r="AT677" s="13">
        <f t="shared" si="368"/>
        <v>5.7046792169365155</v>
      </c>
      <c r="AU677" s="9">
        <v>0</v>
      </c>
      <c r="AV677" s="18">
        <f t="shared" si="385"/>
        <v>3</v>
      </c>
      <c r="AW677" s="18">
        <f t="shared" si="386"/>
        <v>6</v>
      </c>
      <c r="AX677" s="18">
        <f t="shared" si="387"/>
        <v>1</v>
      </c>
      <c r="AY677" s="18">
        <f t="shared" si="388"/>
        <v>4</v>
      </c>
      <c r="AZ677" s="18">
        <f t="shared" si="389"/>
        <v>2</v>
      </c>
      <c r="BA677" s="18">
        <f t="shared" si="390"/>
        <v>7</v>
      </c>
      <c r="BB677" s="18">
        <f t="shared" si="391"/>
        <v>5</v>
      </c>
      <c r="BC677" s="18">
        <f t="shared" si="392"/>
        <v>8</v>
      </c>
      <c r="BD677" s="18">
        <f t="shared" si="393"/>
        <v>9</v>
      </c>
      <c r="BE677" s="8">
        <f t="shared" si="395"/>
        <v>6.3771250486908647E-3</v>
      </c>
    </row>
    <row r="678" spans="1:57" x14ac:dyDescent="0.25">
      <c r="A678" t="str">
        <f t="shared" si="394"/>
        <v/>
      </c>
      <c r="B678" s="1">
        <v>43735</v>
      </c>
      <c r="C678" s="9">
        <f t="shared" si="369"/>
        <v>0.25191362547370677</v>
      </c>
      <c r="D678" s="9">
        <f t="shared" si="370"/>
        <v>0.26274567635146651</v>
      </c>
      <c r="E678" s="9">
        <f t="shared" si="371"/>
        <v>0.2295491176224399</v>
      </c>
      <c r="F678" s="9">
        <f t="shared" si="372"/>
        <v>0</v>
      </c>
      <c r="G678" s="9">
        <f t="shared" si="373"/>
        <v>0.25579158055238677</v>
      </c>
      <c r="H678" s="9">
        <f t="shared" si="374"/>
        <v>0</v>
      </c>
      <c r="I678" s="9">
        <f t="shared" si="375"/>
        <v>0</v>
      </c>
      <c r="J678" s="9">
        <f t="shared" si="376"/>
        <v>0</v>
      </c>
      <c r="K678" s="9">
        <v>0</v>
      </c>
      <c r="L678" s="8">
        <f>+VLOOKUP($B678,NIFTY_50!$B$3:$I$1238,8,0)</f>
        <v>-5.0815818584071248E-3</v>
      </c>
      <c r="M678" s="8">
        <f>+VLOOKUP($B678,NIFTY_BANK!$B$3:$I$41238,8,0)</f>
        <v>-4.197969509309063E-3</v>
      </c>
      <c r="N678" s="8">
        <f>+VLOOKUP($B678,NIFTY_IT!$B$3:$I$1238,8,0)</f>
        <v>-4.9957878651333276E-3</v>
      </c>
      <c r="O678" s="8">
        <f>+VLOOKUP($B678,NIFTY_PHARMA!$B$3:$I$1238,8,0)</f>
        <v>-2.061776946279259E-2</v>
      </c>
      <c r="P678" s="8">
        <f>+VLOOKUP($B678,NIFTY_FMCG!$B$3:$I$1238,8,0)</f>
        <v>-5.4789752382600199E-5</v>
      </c>
      <c r="Q678" s="8">
        <f>+VLOOKUP($B678,NIFTY_METAL!$B$3:$I$1238,8,0)</f>
        <v>-2.6384177428633748E-2</v>
      </c>
      <c r="R678" s="8">
        <f>+VLOOKUP($B678,NIFTY_ENERGY!$B$3:$I$1238,8,0)</f>
        <v>-4.1076202992185173E-3</v>
      </c>
      <c r="S678" s="8">
        <f>+VLOOKUP($B678,NIFTY_AUTO!$B$3:$I$1238,8,0)</f>
        <v>-1.3773295473089808E-2</v>
      </c>
      <c r="T678" s="8">
        <v>0</v>
      </c>
      <c r="U678" s="8">
        <f>+VLOOKUP($B678,NIFTY_50!$B$63:$K$1238,10,0)</f>
        <v>-2.3450124482031764E-2</v>
      </c>
      <c r="V678" s="8">
        <f>+VLOOKUP($B678,NIFTY_BANK!$B$63:$K$1238,10,0)</f>
        <v>-3.9496611499041934E-2</v>
      </c>
      <c r="W678" s="8">
        <f>+VLOOKUP($B678,NIFTY_IT!$B$63:$K$1238,10,0)</f>
        <v>-4.392759993599582E-2</v>
      </c>
      <c r="X678" s="8">
        <f>+VLOOKUP($B678,NIFTY_PHARMA!$B$63:$K$1238,10,0)</f>
        <v>-4.5857795577267546E-2</v>
      </c>
      <c r="Y678" s="8">
        <f>+VLOOKUP($B678,NIFTY_FMCG!$B$63:$K$1238,10,0)</f>
        <v>5.0089605886404431E-2</v>
      </c>
      <c r="Z678" s="8">
        <f>+VLOOKUP($B678,NIFTY_METAL!$B$63:$K$1238,10,0)</f>
        <v>-0.17658210858331658</v>
      </c>
      <c r="AA678" s="8">
        <f>+VLOOKUP($B678,NIFTY_ENERGY!$B$63:$K$1238,10,0)</f>
        <v>-4.1338460004486821E-2</v>
      </c>
      <c r="AB678" s="8">
        <f>+VLOOKUP($B678,NIFTY_AUTO!$B$63:$K$1238,10,0)</f>
        <v>-4.7149046739109912E-2</v>
      </c>
      <c r="AC678" s="8"/>
      <c r="AD678" s="16">
        <f t="shared" si="377"/>
        <v>9.2799408812915207E-2</v>
      </c>
      <c r="AE678" s="8">
        <f t="shared" si="378"/>
        <v>0.14084388092825134</v>
      </c>
      <c r="AF678" s="8">
        <f t="shared" si="379"/>
        <v>8.0238984730424637E-2</v>
      </c>
      <c r="AG678" s="8">
        <f t="shared" si="380"/>
        <v>9.5901120201051737E-2</v>
      </c>
      <c r="AH678" s="8">
        <f t="shared" si="381"/>
        <v>8.3871275990429026E-2</v>
      </c>
      <c r="AI678" s="8">
        <f t="shared" si="382"/>
        <v>0.16194567856728306</v>
      </c>
      <c r="AJ678" s="8">
        <f t="shared" si="383"/>
        <v>0.11184778626152415</v>
      </c>
      <c r="AK678" s="8">
        <f t="shared" si="384"/>
        <v>0.17572819249065522</v>
      </c>
      <c r="AL678" s="9">
        <v>0</v>
      </c>
      <c r="AM678" s="17">
        <f t="shared" si="361"/>
        <v>10.775930717576152</v>
      </c>
      <c r="AN678" s="13">
        <f t="shared" si="362"/>
        <v>7.100059962913261</v>
      </c>
      <c r="AO678" s="13">
        <f t="shared" si="363"/>
        <v>12.462769853826737</v>
      </c>
      <c r="AP678" s="13">
        <f t="shared" si="364"/>
        <v>10.42740687390879</v>
      </c>
      <c r="AQ678" s="13">
        <f t="shared" si="365"/>
        <v>11.923033102705091</v>
      </c>
      <c r="AR678" s="13">
        <f t="shared" si="366"/>
        <v>6.17491006149036</v>
      </c>
      <c r="AS678" s="13">
        <f t="shared" si="367"/>
        <v>8.9407223283059452</v>
      </c>
      <c r="AT678" s="13">
        <f t="shared" si="368"/>
        <v>5.6906065317503192</v>
      </c>
      <c r="AU678" s="9">
        <v>0</v>
      </c>
      <c r="AV678" s="18">
        <f t="shared" si="385"/>
        <v>3</v>
      </c>
      <c r="AW678" s="18">
        <f t="shared" si="386"/>
        <v>6</v>
      </c>
      <c r="AX678" s="18">
        <f t="shared" si="387"/>
        <v>1</v>
      </c>
      <c r="AY678" s="18">
        <f t="shared" si="388"/>
        <v>4</v>
      </c>
      <c r="AZ678" s="18">
        <f t="shared" si="389"/>
        <v>2</v>
      </c>
      <c r="BA678" s="18">
        <f t="shared" si="390"/>
        <v>7</v>
      </c>
      <c r="BB678" s="18">
        <f t="shared" si="391"/>
        <v>5</v>
      </c>
      <c r="BC678" s="18">
        <f t="shared" si="392"/>
        <v>8</v>
      </c>
      <c r="BD678" s="18">
        <f t="shared" si="393"/>
        <v>9</v>
      </c>
      <c r="BE678" s="8">
        <f t="shared" si="395"/>
        <v>-3.5482235069705325E-3</v>
      </c>
    </row>
    <row r="679" spans="1:57" x14ac:dyDescent="0.25">
      <c r="A679" t="str">
        <f t="shared" si="394"/>
        <v>Y</v>
      </c>
      <c r="B679" s="1">
        <v>43738</v>
      </c>
      <c r="C679" s="9">
        <f t="shared" si="369"/>
        <v>0.25</v>
      </c>
      <c r="D679" s="9">
        <f t="shared" si="370"/>
        <v>0</v>
      </c>
      <c r="E679" s="9">
        <f t="shared" si="371"/>
        <v>0.25</v>
      </c>
      <c r="F679" s="9">
        <f t="shared" si="372"/>
        <v>0.25</v>
      </c>
      <c r="G679" s="9">
        <f t="shared" si="373"/>
        <v>0.25</v>
      </c>
      <c r="H679" s="9">
        <f t="shared" si="374"/>
        <v>0</v>
      </c>
      <c r="I679" s="9">
        <f t="shared" si="375"/>
        <v>0</v>
      </c>
      <c r="J679" s="9">
        <f t="shared" si="376"/>
        <v>0</v>
      </c>
      <c r="K679" s="9">
        <v>0</v>
      </c>
      <c r="L679" s="8">
        <f>+VLOOKUP($B679,NIFTY_50!$B$3:$I$1238,8,0)</f>
        <v>-3.2964455717312546E-3</v>
      </c>
      <c r="M679" s="8">
        <f>+VLOOKUP($B679,NIFTY_BANK!$B$3:$I$41238,8,0)</f>
        <v>-2.5889783493129204E-2</v>
      </c>
      <c r="N679" s="8">
        <f>+VLOOKUP($B679,NIFTY_IT!$B$3:$I$1238,8,0)</f>
        <v>1.9935811609041565E-2</v>
      </c>
      <c r="O679" s="8">
        <f>+VLOOKUP($B679,NIFTY_PHARMA!$B$3:$I$1238,8,0)</f>
        <v>-1.9174041297935096E-2</v>
      </c>
      <c r="P679" s="8">
        <f>+VLOOKUP($B679,NIFTY_FMCG!$B$3:$I$1238,8,0)</f>
        <v>3.4970669760845396E-3</v>
      </c>
      <c r="Q679" s="8">
        <f>+VLOOKUP($B679,NIFTY_METAL!$B$3:$I$1238,8,0)</f>
        <v>-5.7458383422644976E-3</v>
      </c>
      <c r="R679" s="8">
        <f>+VLOOKUP($B679,NIFTY_ENERGY!$B$3:$I$1238,8,0)</f>
        <v>7.6803317851326103E-3</v>
      </c>
      <c r="S679" s="8">
        <f>+VLOOKUP($B679,NIFTY_AUTO!$B$3:$I$1238,8,0)</f>
        <v>-8.0881622927491126E-3</v>
      </c>
      <c r="T679" s="8">
        <v>0</v>
      </c>
      <c r="U679" s="8">
        <f>+VLOOKUP($B679,NIFTY_50!$B$63:$K$1238,10,0)</f>
        <v>-3.2965041801510164E-2</v>
      </c>
      <c r="V679" s="8">
        <f>+VLOOKUP($B679,NIFTY_BANK!$B$63:$K$1238,10,0)</f>
        <v>-7.2326773385353871E-2</v>
      </c>
      <c r="W679" s="8">
        <f>+VLOOKUP($B679,NIFTY_IT!$B$63:$K$1238,10,0)</f>
        <v>-2.3657542078445948E-2</v>
      </c>
      <c r="X679" s="8">
        <f>+VLOOKUP($B679,NIFTY_PHARMA!$B$63:$K$1238,10,0)</f>
        <v>-7.7156795617939089E-2</v>
      </c>
      <c r="Y679" s="8">
        <f>+VLOOKUP($B679,NIFTY_FMCG!$B$63:$K$1238,10,0)</f>
        <v>5.1827002337806238E-2</v>
      </c>
      <c r="Z679" s="8">
        <f>+VLOOKUP($B679,NIFTY_METAL!$B$63:$K$1238,10,0)</f>
        <v>-0.18069477325005456</v>
      </c>
      <c r="AA679" s="8">
        <f>+VLOOKUP($B679,NIFTY_ENERGY!$B$63:$K$1238,10,0)</f>
        <v>-2.8965171636181397E-2</v>
      </c>
      <c r="AB679" s="8">
        <f>+VLOOKUP($B679,NIFTY_AUTO!$B$63:$K$1238,10,0)</f>
        <v>-6.6756755073700158E-2</v>
      </c>
      <c r="AC679" s="8"/>
      <c r="AD679" s="16">
        <f t="shared" si="377"/>
        <v>9.258712577256803E-2</v>
      </c>
      <c r="AE679" s="8">
        <f t="shared" si="378"/>
        <v>0.14275696896128184</v>
      </c>
      <c r="AF679" s="8">
        <f t="shared" si="379"/>
        <v>8.2799640507032257E-2</v>
      </c>
      <c r="AG679" s="8">
        <f t="shared" si="380"/>
        <v>9.6445774143803689E-2</v>
      </c>
      <c r="AH679" s="8">
        <f t="shared" si="381"/>
        <v>8.3906768065954193E-2</v>
      </c>
      <c r="AI679" s="8">
        <f t="shared" si="382"/>
        <v>0.16195319861690638</v>
      </c>
      <c r="AJ679" s="8">
        <f t="shared" si="383"/>
        <v>0.11204787034367002</v>
      </c>
      <c r="AK679" s="8">
        <f t="shared" si="384"/>
        <v>0.17536670048918665</v>
      </c>
      <c r="AL679" s="9">
        <v>0</v>
      </c>
      <c r="AM679" s="17">
        <f t="shared" si="361"/>
        <v>10.800637687537794</v>
      </c>
      <c r="AN679" s="13">
        <f t="shared" si="362"/>
        <v>7.0049119652520595</v>
      </c>
      <c r="AO679" s="13">
        <f t="shared" si="363"/>
        <v>12.07734712223864</v>
      </c>
      <c r="AP679" s="13">
        <f t="shared" si="364"/>
        <v>10.368520641546912</v>
      </c>
      <c r="AQ679" s="13">
        <f t="shared" si="365"/>
        <v>11.917989728956771</v>
      </c>
      <c r="AR679" s="13">
        <f t="shared" si="366"/>
        <v>6.1746233389650973</v>
      </c>
      <c r="AS679" s="13">
        <f t="shared" si="367"/>
        <v>8.9247568644796971</v>
      </c>
      <c r="AT679" s="13">
        <f t="shared" si="368"/>
        <v>5.7023368587679011</v>
      </c>
      <c r="AU679" s="9">
        <v>0</v>
      </c>
      <c r="AV679" s="18">
        <f t="shared" si="385"/>
        <v>3</v>
      </c>
      <c r="AW679" s="18">
        <f t="shared" si="386"/>
        <v>6</v>
      </c>
      <c r="AX679" s="18">
        <f t="shared" si="387"/>
        <v>1</v>
      </c>
      <c r="AY679" s="18">
        <f t="shared" si="388"/>
        <v>4</v>
      </c>
      <c r="AZ679" s="18">
        <f t="shared" si="389"/>
        <v>2</v>
      </c>
      <c r="BA679" s="18">
        <f t="shared" si="390"/>
        <v>7</v>
      </c>
      <c r="BB679" s="18">
        <f t="shared" si="391"/>
        <v>5</v>
      </c>
      <c r="BC679" s="18">
        <f t="shared" si="392"/>
        <v>8</v>
      </c>
      <c r="BD679" s="18">
        <f t="shared" si="393"/>
        <v>9</v>
      </c>
      <c r="BE679" s="8">
        <f t="shared" si="395"/>
        <v>-2.1620799765939272E-3</v>
      </c>
    </row>
    <row r="680" spans="1:57" x14ac:dyDescent="0.25">
      <c r="A680" t="str">
        <f t="shared" si="394"/>
        <v/>
      </c>
      <c r="B680" s="1">
        <v>43739</v>
      </c>
      <c r="C680" s="9">
        <f t="shared" si="369"/>
        <v>0.25044016343692965</v>
      </c>
      <c r="D680" s="9">
        <f t="shared" si="370"/>
        <v>0</v>
      </c>
      <c r="E680" s="9">
        <f t="shared" si="371"/>
        <v>0.24906039276593209</v>
      </c>
      <c r="F680" s="9">
        <f t="shared" si="372"/>
        <v>0.25024073233093758</v>
      </c>
      <c r="G680" s="9">
        <f t="shared" si="373"/>
        <v>0.25025871146620071</v>
      </c>
      <c r="H680" s="9">
        <f t="shared" si="374"/>
        <v>0</v>
      </c>
      <c r="I680" s="9">
        <f t="shared" si="375"/>
        <v>0</v>
      </c>
      <c r="J680" s="9">
        <f t="shared" si="376"/>
        <v>0</v>
      </c>
      <c r="K680" s="9">
        <v>0</v>
      </c>
      <c r="L680" s="8">
        <f>+VLOOKUP($B680,NIFTY_50!$B$3:$I$1238,8,0)</f>
        <v>-9.9830492964805284E-3</v>
      </c>
      <c r="M680" s="8">
        <f>+VLOOKUP($B680,NIFTY_BANK!$B$3:$I$41238,8,0)</f>
        <v>-1.297625858369289E-2</v>
      </c>
      <c r="N680" s="8">
        <f>+VLOOKUP($B680,NIFTY_IT!$B$3:$I$1238,8,0)</f>
        <v>-1.5437431427624548E-2</v>
      </c>
      <c r="O680" s="8">
        <f>+VLOOKUP($B680,NIFTY_PHARMA!$B$3:$I$1238,8,0)</f>
        <v>-1.0771421946937809E-2</v>
      </c>
      <c r="P680" s="8">
        <f>+VLOOKUP($B680,NIFTY_FMCG!$B$3:$I$1238,8,0)</f>
        <v>-1.0700348488011713E-2</v>
      </c>
      <c r="Q680" s="8">
        <f>+VLOOKUP($B680,NIFTY_METAL!$B$3:$I$1238,8,0)</f>
        <v>-1.7542062012008808E-2</v>
      </c>
      <c r="R680" s="8">
        <f>+VLOOKUP($B680,NIFTY_ENERGY!$B$3:$I$1238,8,0)</f>
        <v>-7.4347164163699464E-3</v>
      </c>
      <c r="S680" s="8">
        <f>+VLOOKUP($B680,NIFTY_AUTO!$B$3:$I$1238,8,0)</f>
        <v>-3.8768742117799571E-3</v>
      </c>
      <c r="T680" s="8">
        <v>0</v>
      </c>
      <c r="U680" s="8">
        <f>+VLOOKUP($B680,NIFTY_50!$B$63:$K$1238,10,0)</f>
        <v>-4.6212102130089083E-2</v>
      </c>
      <c r="V680" s="8">
        <f>+VLOOKUP($B680,NIFTY_BANK!$B$63:$K$1238,10,0)</f>
        <v>-8.1762473907803779E-2</v>
      </c>
      <c r="W680" s="8">
        <f>+VLOOKUP($B680,NIFTY_IT!$B$63:$K$1238,10,0)</f>
        <v>-4.8142664286025316E-2</v>
      </c>
      <c r="X680" s="8">
        <f>+VLOOKUP($B680,NIFTY_PHARMA!$B$63:$K$1238,10,0)</f>
        <v>-7.8403781945653006E-2</v>
      </c>
      <c r="Y680" s="8">
        <f>+VLOOKUP($B680,NIFTY_FMCG!$B$63:$K$1238,10,0)</f>
        <v>3.6700273804775696E-2</v>
      </c>
      <c r="Z680" s="8">
        <f>+VLOOKUP($B680,NIFTY_METAL!$B$63:$K$1238,10,0)</f>
        <v>-0.19920824494295686</v>
      </c>
      <c r="AA680" s="8">
        <f>+VLOOKUP($B680,NIFTY_ENERGY!$B$63:$K$1238,10,0)</f>
        <v>-4.5612435413138863E-2</v>
      </c>
      <c r="AB680" s="8">
        <f>+VLOOKUP($B680,NIFTY_AUTO!$B$63:$K$1238,10,0)</f>
        <v>-7.2281294861198164E-2</v>
      </c>
      <c r="AC680" s="8"/>
      <c r="AD680" s="16">
        <f t="shared" si="377"/>
        <v>9.2959930383371775E-2</v>
      </c>
      <c r="AE680" s="8">
        <f t="shared" si="378"/>
        <v>0.14323611993942373</v>
      </c>
      <c r="AF680" s="8">
        <f t="shared" si="379"/>
        <v>8.3479113695480014E-2</v>
      </c>
      <c r="AG680" s="8">
        <f t="shared" si="380"/>
        <v>9.6568544803557158E-2</v>
      </c>
      <c r="AH680" s="8">
        <f t="shared" si="381"/>
        <v>8.4634786432036091E-2</v>
      </c>
      <c r="AI680" s="8">
        <f t="shared" si="382"/>
        <v>0.16236666298910446</v>
      </c>
      <c r="AJ680" s="8">
        <f t="shared" si="383"/>
        <v>0.11177826042655552</v>
      </c>
      <c r="AK680" s="8">
        <f t="shared" si="384"/>
        <v>0.17536597304625598</v>
      </c>
      <c r="AL680" s="9">
        <v>0</v>
      </c>
      <c r="AM680" s="17">
        <f t="shared" si="361"/>
        <v>10.757323030212545</v>
      </c>
      <c r="AN680" s="13">
        <f t="shared" si="362"/>
        <v>6.9814792555321379</v>
      </c>
      <c r="AO680" s="13">
        <f t="shared" si="363"/>
        <v>11.979044287027991</v>
      </c>
      <c r="AP680" s="13">
        <f t="shared" si="364"/>
        <v>10.355338811765593</v>
      </c>
      <c r="AQ680" s="13">
        <f t="shared" si="365"/>
        <v>11.815472598882561</v>
      </c>
      <c r="AR680" s="13">
        <f t="shared" si="366"/>
        <v>6.1588997494338145</v>
      </c>
      <c r="AS680" s="13">
        <f t="shared" si="367"/>
        <v>8.9462834381561631</v>
      </c>
      <c r="AT680" s="13">
        <f t="shared" si="368"/>
        <v>5.7023605128700297</v>
      </c>
      <c r="AU680" s="9">
        <v>0</v>
      </c>
      <c r="AV680" s="18">
        <f t="shared" si="385"/>
        <v>3</v>
      </c>
      <c r="AW680" s="18">
        <f t="shared" si="386"/>
        <v>6</v>
      </c>
      <c r="AX680" s="18">
        <f t="shared" si="387"/>
        <v>1</v>
      </c>
      <c r="AY680" s="18">
        <f t="shared" si="388"/>
        <v>4</v>
      </c>
      <c r="AZ680" s="18">
        <f t="shared" si="389"/>
        <v>2</v>
      </c>
      <c r="BA680" s="18">
        <f t="shared" si="390"/>
        <v>7</v>
      </c>
      <c r="BB680" s="18">
        <f t="shared" si="391"/>
        <v>5</v>
      </c>
      <c r="BC680" s="18">
        <f t="shared" si="392"/>
        <v>8</v>
      </c>
      <c r="BD680" s="18">
        <f t="shared" si="393"/>
        <v>9</v>
      </c>
      <c r="BE680" s="8">
        <f t="shared" si="395"/>
        <v>-1.172306278976365E-2</v>
      </c>
    </row>
    <row r="681" spans="1:57" x14ac:dyDescent="0.25">
      <c r="A681" t="str">
        <f t="shared" si="394"/>
        <v/>
      </c>
      <c r="B681" s="1">
        <v>43741</v>
      </c>
      <c r="C681" s="9">
        <f t="shared" si="369"/>
        <v>0.24983211378236994</v>
      </c>
      <c r="D681" s="9">
        <f t="shared" si="370"/>
        <v>0</v>
      </c>
      <c r="E681" s="9">
        <f t="shared" si="371"/>
        <v>0.24910006669943258</v>
      </c>
      <c r="F681" s="9">
        <f t="shared" si="372"/>
        <v>0.25048813159807604</v>
      </c>
      <c r="G681" s="9">
        <f t="shared" si="373"/>
        <v>0.25057968792012153</v>
      </c>
      <c r="H681" s="9">
        <f t="shared" si="374"/>
        <v>0</v>
      </c>
      <c r="I681" s="9">
        <f t="shared" si="375"/>
        <v>0</v>
      </c>
      <c r="J681" s="9">
        <f t="shared" si="376"/>
        <v>0</v>
      </c>
      <c r="K681" s="9">
        <v>0</v>
      </c>
      <c r="L681" s="8">
        <f>+VLOOKUP($B681,NIFTY_50!$B$3:$I$1238,8,0)</f>
        <v>-4.0405285257792967E-3</v>
      </c>
      <c r="M681" s="8">
        <f>+VLOOKUP($B681,NIFTY_BANK!$B$3:$I$41238,8,0)</f>
        <v>-1.0840542375241569E-2</v>
      </c>
      <c r="N681" s="8">
        <f>+VLOOKUP($B681,NIFTY_IT!$B$3:$I$1238,8,0)</f>
        <v>-1.4574925246318982E-3</v>
      </c>
      <c r="O681" s="8">
        <f>+VLOOKUP($B681,NIFTY_PHARMA!$B$3:$I$1238,8,0)</f>
        <v>-6.2948255194905656E-4</v>
      </c>
      <c r="P681" s="8">
        <f>+VLOOKUP($B681,NIFTY_FMCG!$B$3:$I$1238,8,0)</f>
        <v>-3.3602423270406856E-4</v>
      </c>
      <c r="Q681" s="8">
        <f>+VLOOKUP($B681,NIFTY_METAL!$B$3:$I$1238,8,0)</f>
        <v>-2.9411151206691577E-2</v>
      </c>
      <c r="R681" s="8">
        <f>+VLOOKUP($B681,NIFTY_ENERGY!$B$3:$I$1238,8,0)</f>
        <v>1.341123788292875E-2</v>
      </c>
      <c r="S681" s="8">
        <f>+VLOOKUP($B681,NIFTY_AUTO!$B$3:$I$1238,8,0)</f>
        <v>3.9723476373574318E-3</v>
      </c>
      <c r="T681" s="8">
        <v>0</v>
      </c>
      <c r="U681" s="8">
        <f>+VLOOKUP($B681,NIFTY_50!$B$63:$K$1238,10,0)</f>
        <v>-5.0580065873665259E-2</v>
      </c>
      <c r="V681" s="8">
        <f>+VLOOKUP($B681,NIFTY_BANK!$B$63:$K$1238,10,0)</f>
        <v>-9.4581977739043976E-2</v>
      </c>
      <c r="W681" s="8">
        <f>+VLOOKUP($B681,NIFTY_IT!$B$63:$K$1238,10,0)</f>
        <v>-4.07907004485909E-2</v>
      </c>
      <c r="X681" s="8">
        <f>+VLOOKUP($B681,NIFTY_PHARMA!$B$63:$K$1238,10,0)</f>
        <v>-7.7908356194854256E-2</v>
      </c>
      <c r="Y681" s="8">
        <f>+VLOOKUP($B681,NIFTY_FMCG!$B$63:$K$1238,10,0)</f>
        <v>3.2816606373468948E-2</v>
      </c>
      <c r="Z681" s="8">
        <f>+VLOOKUP($B681,NIFTY_METAL!$B$63:$K$1238,10,0)</f>
        <v>-0.22244874087194821</v>
      </c>
      <c r="AA681" s="8">
        <f>+VLOOKUP($B681,NIFTY_ENERGY!$B$63:$K$1238,10,0)</f>
        <v>-3.6029798151525405E-2</v>
      </c>
      <c r="AB681" s="8">
        <f>+VLOOKUP($B681,NIFTY_AUTO!$B$63:$K$1238,10,0)</f>
        <v>-6.7883574849182171E-2</v>
      </c>
      <c r="AC681" s="8"/>
      <c r="AD681" s="16">
        <f t="shared" si="377"/>
        <v>9.3009534686513365E-2</v>
      </c>
      <c r="AE681" s="8">
        <f t="shared" si="378"/>
        <v>0.1434794204394611</v>
      </c>
      <c r="AF681" s="8">
        <f t="shared" si="379"/>
        <v>8.3056712459015705E-2</v>
      </c>
      <c r="AG681" s="8">
        <f t="shared" si="380"/>
        <v>9.6570540295266322E-2</v>
      </c>
      <c r="AH681" s="8">
        <f t="shared" si="381"/>
        <v>8.4593679536774394E-2</v>
      </c>
      <c r="AI681" s="8">
        <f t="shared" si="382"/>
        <v>0.16436417432707456</v>
      </c>
      <c r="AJ681" s="8">
        <f t="shared" si="383"/>
        <v>0.11258239184196273</v>
      </c>
      <c r="AK681" s="8">
        <f t="shared" si="384"/>
        <v>0.17543473423714531</v>
      </c>
      <c r="AL681" s="9">
        <v>0</v>
      </c>
      <c r="AM681" s="17">
        <f t="shared" si="361"/>
        <v>10.751585881710714</v>
      </c>
      <c r="AN681" s="13">
        <f t="shared" si="362"/>
        <v>6.9696406421012433</v>
      </c>
      <c r="AO681" s="13">
        <f t="shared" si="363"/>
        <v>12.03996607129676</v>
      </c>
      <c r="AP681" s="13">
        <f t="shared" si="364"/>
        <v>10.355124833541165</v>
      </c>
      <c r="AQ681" s="13">
        <f t="shared" si="365"/>
        <v>11.821214131787258</v>
      </c>
      <c r="AR681" s="13">
        <f t="shared" si="366"/>
        <v>6.0840508833151299</v>
      </c>
      <c r="AS681" s="13">
        <f t="shared" si="367"/>
        <v>8.8823836804226701</v>
      </c>
      <c r="AT681" s="13">
        <f t="shared" si="368"/>
        <v>5.7001254873977345</v>
      </c>
      <c r="AU681" s="9">
        <v>0</v>
      </c>
      <c r="AV681" s="18">
        <f t="shared" si="385"/>
        <v>3</v>
      </c>
      <c r="AW681" s="18">
        <f t="shared" si="386"/>
        <v>6</v>
      </c>
      <c r="AX681" s="18">
        <f t="shared" si="387"/>
        <v>1</v>
      </c>
      <c r="AY681" s="18">
        <f t="shared" si="388"/>
        <v>4</v>
      </c>
      <c r="AZ681" s="18">
        <f t="shared" si="389"/>
        <v>2</v>
      </c>
      <c r="BA681" s="18">
        <f t="shared" si="390"/>
        <v>7</v>
      </c>
      <c r="BB681" s="18">
        <f t="shared" si="391"/>
        <v>5</v>
      </c>
      <c r="BC681" s="18">
        <f t="shared" si="392"/>
        <v>8</v>
      </c>
      <c r="BD681" s="18">
        <f t="shared" si="393"/>
        <v>9</v>
      </c>
      <c r="BE681" s="8">
        <f t="shared" si="395"/>
        <v>-1.6165294512931923E-3</v>
      </c>
    </row>
    <row r="682" spans="1:57" x14ac:dyDescent="0.25">
      <c r="A682" t="str">
        <f t="shared" si="394"/>
        <v/>
      </c>
      <c r="B682" s="1">
        <v>43742</v>
      </c>
      <c r="C682" s="9">
        <f t="shared" si="369"/>
        <v>0.24874975656869577</v>
      </c>
      <c r="D682" s="9">
        <f t="shared" si="370"/>
        <v>0</v>
      </c>
      <c r="E682" s="9">
        <f t="shared" si="371"/>
        <v>0.25213629843711938</v>
      </c>
      <c r="F682" s="9">
        <f t="shared" si="372"/>
        <v>0.25031620558014245</v>
      </c>
      <c r="G682" s="9">
        <f t="shared" si="373"/>
        <v>0.2487977394140424</v>
      </c>
      <c r="H682" s="9">
        <f t="shared" si="374"/>
        <v>0</v>
      </c>
      <c r="I682" s="9">
        <f t="shared" si="375"/>
        <v>0</v>
      </c>
      <c r="J682" s="9">
        <f t="shared" si="376"/>
        <v>0</v>
      </c>
      <c r="K682" s="9">
        <v>0</v>
      </c>
      <c r="L682" s="8">
        <f>+VLOOKUP($B682,NIFTY_50!$B$3:$I$1238,8,0)</f>
        <v>-1.2307760296977222E-2</v>
      </c>
      <c r="M682" s="8">
        <f>+VLOOKUP($B682,NIFTY_BANK!$B$3:$I$41238,8,0)</f>
        <v>-2.4010966386406762E-2</v>
      </c>
      <c r="N682" s="8">
        <f>+VLOOKUP($B682,NIFTY_IT!$B$3:$I$1238,8,0)</f>
        <v>4.0810449045847186E-3</v>
      </c>
      <c r="O682" s="8">
        <f>+VLOOKUP($B682,NIFTY_PHARMA!$B$3:$I$1238,8,0)</f>
        <v>-8.6909907193353231E-3</v>
      </c>
      <c r="P682" s="8">
        <f>+VLOOKUP($B682,NIFTY_FMCG!$B$3:$I$1238,8,0)</f>
        <v>-1.5064466889675554E-2</v>
      </c>
      <c r="Q682" s="8">
        <f>+VLOOKUP($B682,NIFTY_METAL!$B$3:$I$1238,8,0)</f>
        <v>-1.2615245750145165E-2</v>
      </c>
      <c r="R682" s="8">
        <f>+VLOOKUP($B682,NIFTY_ENERGY!$B$3:$I$1238,8,0)</f>
        <v>-4.3353620604513754E-3</v>
      </c>
      <c r="S682" s="8">
        <f>+VLOOKUP($B682,NIFTY_AUTO!$B$3:$I$1238,8,0)</f>
        <v>-1.1856547122602201E-2</v>
      </c>
      <c r="T682" s="8">
        <v>0</v>
      </c>
      <c r="U682" s="8">
        <f>+VLOOKUP($B682,NIFTY_50!$B$63:$K$1238,10,0)</f>
        <v>-6.4620084960344881E-2</v>
      </c>
      <c r="V682" s="8">
        <f>+VLOOKUP($B682,NIFTY_BANK!$B$63:$K$1238,10,0)</f>
        <v>-0.11883635693484818</v>
      </c>
      <c r="W682" s="8">
        <f>+VLOOKUP($B682,NIFTY_IT!$B$63:$K$1238,10,0)</f>
        <v>-3.7767211963067093E-2</v>
      </c>
      <c r="X682" s="8">
        <f>+VLOOKUP($B682,NIFTY_PHARMA!$B$63:$K$1238,10,0)</f>
        <v>-8.0765024606054614E-2</v>
      </c>
      <c r="Y682" s="8">
        <f>+VLOOKUP($B682,NIFTY_FMCG!$B$63:$K$1238,10,0)</f>
        <v>1.4643963003668548E-2</v>
      </c>
      <c r="Z682" s="8">
        <f>+VLOOKUP($B682,NIFTY_METAL!$B$63:$K$1238,10,0)</f>
        <v>-0.22457383966244737</v>
      </c>
      <c r="AA682" s="8">
        <f>+VLOOKUP($B682,NIFTY_ENERGY!$B$63:$K$1238,10,0)</f>
        <v>-4.187636736167466E-2</v>
      </c>
      <c r="AB682" s="8">
        <f>+VLOOKUP($B682,NIFTY_AUTO!$B$63:$K$1238,10,0)</f>
        <v>-8.3234289110087678E-2</v>
      </c>
      <c r="AC682" s="8"/>
      <c r="AD682" s="16">
        <f t="shared" si="377"/>
        <v>9.3643867767243816E-2</v>
      </c>
      <c r="AE682" s="8">
        <f t="shared" si="378"/>
        <v>0.14513555105249665</v>
      </c>
      <c r="AF682" s="8">
        <f t="shared" si="379"/>
        <v>8.3174519154657803E-2</v>
      </c>
      <c r="AG682" s="8">
        <f t="shared" si="380"/>
        <v>9.6757709734081682E-2</v>
      </c>
      <c r="AH682" s="8">
        <f t="shared" si="381"/>
        <v>8.5976821494084102E-2</v>
      </c>
      <c r="AI682" s="8">
        <f t="shared" si="382"/>
        <v>0.16448505056522741</v>
      </c>
      <c r="AJ682" s="8">
        <f t="shared" si="383"/>
        <v>0.11262286399958248</v>
      </c>
      <c r="AK682" s="8">
        <f t="shared" si="384"/>
        <v>0.17567455813946972</v>
      </c>
      <c r="AL682" s="9">
        <v>0</v>
      </c>
      <c r="AM682" s="17">
        <f t="shared" si="361"/>
        <v>10.678755842139568</v>
      </c>
      <c r="AN682" s="13">
        <f t="shared" si="362"/>
        <v>6.8901106086564026</v>
      </c>
      <c r="AO682" s="13">
        <f t="shared" si="363"/>
        <v>12.022912908466147</v>
      </c>
      <c r="AP682" s="13">
        <f t="shared" si="364"/>
        <v>10.335093738248773</v>
      </c>
      <c r="AQ682" s="13">
        <f t="shared" si="365"/>
        <v>11.631041746161877</v>
      </c>
      <c r="AR682" s="13">
        <f t="shared" si="366"/>
        <v>6.0795798558206648</v>
      </c>
      <c r="AS682" s="13">
        <f t="shared" si="367"/>
        <v>8.8791917066121435</v>
      </c>
      <c r="AT682" s="13">
        <f t="shared" si="368"/>
        <v>5.6923439033561731</v>
      </c>
      <c r="AU682" s="9">
        <v>0</v>
      </c>
      <c r="AV682" s="18">
        <f t="shared" si="385"/>
        <v>3</v>
      </c>
      <c r="AW682" s="18">
        <f t="shared" si="386"/>
        <v>6</v>
      </c>
      <c r="AX682" s="18">
        <f t="shared" si="387"/>
        <v>1</v>
      </c>
      <c r="AY682" s="18">
        <f t="shared" si="388"/>
        <v>4</v>
      </c>
      <c r="AZ682" s="18">
        <f t="shared" si="389"/>
        <v>2</v>
      </c>
      <c r="BA682" s="18">
        <f t="shared" si="390"/>
        <v>7</v>
      </c>
      <c r="BB682" s="18">
        <f t="shared" si="391"/>
        <v>5</v>
      </c>
      <c r="BC682" s="18">
        <f t="shared" si="392"/>
        <v>8</v>
      </c>
      <c r="BD682" s="18">
        <f t="shared" si="393"/>
        <v>9</v>
      </c>
      <c r="BE682" s="8">
        <f t="shared" si="395"/>
        <v>-8.0101246519055438E-3</v>
      </c>
    </row>
    <row r="683" spans="1:57" x14ac:dyDescent="0.25">
      <c r="A683" t="str">
        <f t="shared" si="394"/>
        <v/>
      </c>
      <c r="B683" s="1">
        <v>43745</v>
      </c>
      <c r="C683" s="9">
        <f t="shared" si="369"/>
        <v>0.25065611876683624</v>
      </c>
      <c r="D683" s="9">
        <f t="shared" si="370"/>
        <v>0</v>
      </c>
      <c r="E683" s="9">
        <f t="shared" si="371"/>
        <v>0.25361655106278819</v>
      </c>
      <c r="F683" s="9">
        <f t="shared" si="372"/>
        <v>0.24483881690736145</v>
      </c>
      <c r="G683" s="9">
        <f t="shared" si="373"/>
        <v>0.25088851326301409</v>
      </c>
      <c r="H683" s="9">
        <f t="shared" si="374"/>
        <v>0</v>
      </c>
      <c r="I683" s="9">
        <f t="shared" si="375"/>
        <v>0</v>
      </c>
      <c r="J683" s="9">
        <f t="shared" si="376"/>
        <v>0</v>
      </c>
      <c r="K683" s="9">
        <v>0</v>
      </c>
      <c r="L683" s="8">
        <f>+VLOOKUP($B683,NIFTY_50!$B$3:$I$1238,8,0)</f>
        <v>-4.3267187185396239E-3</v>
      </c>
      <c r="M683" s="8">
        <f>+VLOOKUP($B683,NIFTY_BANK!$B$3:$I$41238,8,0)</f>
        <v>1.2873284688905695E-3</v>
      </c>
      <c r="N683" s="8">
        <f>+VLOOKUP($B683,NIFTY_IT!$B$3:$I$1238,8,0)</f>
        <v>-6.0983161998134916E-3</v>
      </c>
      <c r="O683" s="8">
        <f>+VLOOKUP($B683,NIFTY_PHARMA!$B$3:$I$1238,8,0)</f>
        <v>-3.3520799253741407E-2</v>
      </c>
      <c r="P683" s="8">
        <f>+VLOOKUP($B683,NIFTY_FMCG!$B$3:$I$1238,8,0)</f>
        <v>-3.5957879325951847E-3</v>
      </c>
      <c r="Q683" s="8">
        <f>+VLOOKUP($B683,NIFTY_METAL!$B$3:$I$1238,8,0)</f>
        <v>-1.1862267107783375E-2</v>
      </c>
      <c r="R683" s="8">
        <f>+VLOOKUP($B683,NIFTY_ENERGY!$B$3:$I$1238,8,0)</f>
        <v>-1.2463687834538884E-2</v>
      </c>
      <c r="S683" s="8">
        <f>+VLOOKUP($B683,NIFTY_AUTO!$B$3:$I$1238,8,0)</f>
        <v>-6.6780105065564754E-3</v>
      </c>
      <c r="T683" s="8">
        <v>0</v>
      </c>
      <c r="U683" s="8">
        <f>+VLOOKUP($B683,NIFTY_50!$B$63:$K$1238,10,0)</f>
        <v>-5.797487966878756E-2</v>
      </c>
      <c r="V683" s="8">
        <f>+VLOOKUP($B683,NIFTY_BANK!$B$63:$K$1238,10,0)</f>
        <v>-0.11781273232133893</v>
      </c>
      <c r="W683" s="8">
        <f>+VLOOKUP($B683,NIFTY_IT!$B$63:$K$1238,10,0)</f>
        <v>-1.9504760434853829E-2</v>
      </c>
      <c r="X683" s="8">
        <f>+VLOOKUP($B683,NIFTY_PHARMA!$B$63:$K$1238,10,0)</f>
        <v>-9.8094997792215977E-2</v>
      </c>
      <c r="Y683" s="8">
        <f>+VLOOKUP($B683,NIFTY_FMCG!$B$63:$K$1238,10,0)</f>
        <v>8.1689506476607665E-3</v>
      </c>
      <c r="Z683" s="8">
        <f>+VLOOKUP($B683,NIFTY_METAL!$B$63:$K$1238,10,0)</f>
        <v>-0.20387549320473486</v>
      </c>
      <c r="AA683" s="8">
        <f>+VLOOKUP($B683,NIFTY_ENERGY!$B$63:$K$1238,10,0)</f>
        <v>-3.0774288170737796E-2</v>
      </c>
      <c r="AB683" s="8">
        <f>+VLOOKUP($B683,NIFTY_AUTO!$B$63:$K$1238,10,0)</f>
        <v>-6.2892560930552621E-2</v>
      </c>
      <c r="AC683" s="8"/>
      <c r="AD683" s="16">
        <f t="shared" si="377"/>
        <v>9.3126965616827331E-2</v>
      </c>
      <c r="AE683" s="8">
        <f t="shared" si="378"/>
        <v>0.14515635962428633</v>
      </c>
      <c r="AF683" s="8">
        <f t="shared" si="379"/>
        <v>7.9781908136172572E-2</v>
      </c>
      <c r="AG683" s="8">
        <f t="shared" si="380"/>
        <v>0.10103537796038725</v>
      </c>
      <c r="AH683" s="8">
        <f t="shared" si="381"/>
        <v>8.6024577280941497E-2</v>
      </c>
      <c r="AI683" s="8">
        <f t="shared" si="382"/>
        <v>0.16117517457379654</v>
      </c>
      <c r="AJ683" s="8">
        <f t="shared" si="383"/>
        <v>0.11083949013323953</v>
      </c>
      <c r="AK683" s="8">
        <f t="shared" si="384"/>
        <v>0.17364240117978863</v>
      </c>
      <c r="AL683" s="9">
        <v>0</v>
      </c>
      <c r="AM683" s="17">
        <f t="shared" si="361"/>
        <v>10.738028382826506</v>
      </c>
      <c r="AN683" s="13">
        <f t="shared" si="362"/>
        <v>6.889122891951394</v>
      </c>
      <c r="AO683" s="13">
        <f t="shared" si="363"/>
        <v>12.534170006227349</v>
      </c>
      <c r="AP683" s="13">
        <f t="shared" si="364"/>
        <v>9.8975232258948758</v>
      </c>
      <c r="AQ683" s="13">
        <f t="shared" si="365"/>
        <v>11.624584875717224</v>
      </c>
      <c r="AR683" s="13">
        <f t="shared" si="366"/>
        <v>6.2044294516469378</v>
      </c>
      <c r="AS683" s="13">
        <f t="shared" si="367"/>
        <v>9.0220552151395292</v>
      </c>
      <c r="AT683" s="13">
        <f t="shared" si="368"/>
        <v>5.7589620576866141</v>
      </c>
      <c r="AU683" s="9">
        <v>0</v>
      </c>
      <c r="AV683" s="18">
        <f t="shared" si="385"/>
        <v>3</v>
      </c>
      <c r="AW683" s="18">
        <f t="shared" si="386"/>
        <v>6</v>
      </c>
      <c r="AX683" s="18">
        <f t="shared" si="387"/>
        <v>1</v>
      </c>
      <c r="AY683" s="18">
        <f t="shared" si="388"/>
        <v>4</v>
      </c>
      <c r="AZ683" s="18">
        <f t="shared" si="389"/>
        <v>2</v>
      </c>
      <c r="BA683" s="18">
        <f t="shared" si="390"/>
        <v>7</v>
      </c>
      <c r="BB683" s="18">
        <f t="shared" si="391"/>
        <v>5</v>
      </c>
      <c r="BC683" s="18">
        <f t="shared" si="392"/>
        <v>8</v>
      </c>
      <c r="BD683" s="18">
        <f t="shared" si="393"/>
        <v>9</v>
      </c>
      <c r="BE683" s="8">
        <f t="shared" si="395"/>
        <v>-1.1899300287550239E-2</v>
      </c>
    </row>
    <row r="684" spans="1:57" x14ac:dyDescent="0.25">
      <c r="A684" t="str">
        <f t="shared" si="394"/>
        <v/>
      </c>
      <c r="B684" s="1">
        <v>43747</v>
      </c>
      <c r="C684" s="9">
        <f t="shared" si="369"/>
        <v>0.2534374474824474</v>
      </c>
      <c r="D684" s="9">
        <f t="shared" si="370"/>
        <v>0</v>
      </c>
      <c r="E684" s="9">
        <f t="shared" si="371"/>
        <v>0.25024257477188605</v>
      </c>
      <c r="F684" s="9">
        <f t="shared" si="372"/>
        <v>0.246416850992697</v>
      </c>
      <c r="G684" s="9">
        <f t="shared" si="373"/>
        <v>0.24990312675296958</v>
      </c>
      <c r="H684" s="9">
        <f t="shared" si="374"/>
        <v>0</v>
      </c>
      <c r="I684" s="9">
        <f t="shared" si="375"/>
        <v>0</v>
      </c>
      <c r="J684" s="9">
        <f t="shared" si="376"/>
        <v>0</v>
      </c>
      <c r="K684" s="9">
        <v>0</v>
      </c>
      <c r="L684" s="8">
        <f>+VLOOKUP($B684,NIFTY_50!$B$3:$I$1238,8,0)</f>
        <v>1.6797886108714355E-2</v>
      </c>
      <c r="M684" s="8">
        <f>+VLOOKUP($B684,NIFTY_BANK!$B$3:$I$41238,8,0)</f>
        <v>3.6672302741869611E-2</v>
      </c>
      <c r="N684" s="8">
        <f>+VLOOKUP($B684,NIFTY_IT!$B$3:$I$1238,8,0)</f>
        <v>-7.7393542886189381E-3</v>
      </c>
      <c r="O684" s="8">
        <f>+VLOOKUP($B684,NIFTY_PHARMA!$B$3:$I$1238,8,0)</f>
        <v>1.2120661076102213E-2</v>
      </c>
      <c r="P684" s="8">
        <f>+VLOOKUP($B684,NIFTY_FMCG!$B$3:$I$1238,8,0)</f>
        <v>1.6893848388881416E-3</v>
      </c>
      <c r="Q684" s="8">
        <f>+VLOOKUP($B684,NIFTY_METAL!$B$3:$I$1238,8,0)</f>
        <v>2.1035705632282742E-2</v>
      </c>
      <c r="R684" s="8">
        <f>+VLOOKUP($B684,NIFTY_ENERGY!$B$3:$I$1238,8,0)</f>
        <v>9.0238461739153841E-3</v>
      </c>
      <c r="S684" s="8">
        <f>+VLOOKUP($B684,NIFTY_AUTO!$B$3:$I$1238,8,0)</f>
        <v>1.431591540966215E-2</v>
      </c>
      <c r="T684" s="8">
        <v>0</v>
      </c>
      <c r="U684" s="8">
        <f>+VLOOKUP($B684,NIFTY_50!$B$63:$K$1238,10,0)</f>
        <v>-2.122229335732706E-2</v>
      </c>
      <c r="V684" s="8">
        <f>+VLOOKUP($B684,NIFTY_BANK!$B$63:$K$1238,10,0)</f>
        <v>-5.9404290636635548E-2</v>
      </c>
      <c r="W684" s="8">
        <f>+VLOOKUP($B684,NIFTY_IT!$B$63:$K$1238,10,0)</f>
        <v>-1.6080254942767991E-2</v>
      </c>
      <c r="X684" s="8">
        <f>+VLOOKUP($B684,NIFTY_PHARMA!$B$63:$K$1238,10,0)</f>
        <v>-7.2567052263915133E-2</v>
      </c>
      <c r="Y684" s="8">
        <f>+VLOOKUP($B684,NIFTY_FMCG!$B$63:$K$1238,10,0)</f>
        <v>2.279128153230392E-2</v>
      </c>
      <c r="Z684" s="8">
        <f>+VLOOKUP($B684,NIFTY_METAL!$B$63:$K$1238,10,0)</f>
        <v>-0.16964029807967895</v>
      </c>
      <c r="AA684" s="8">
        <f>+VLOOKUP($B684,NIFTY_ENERGY!$B$63:$K$1238,10,0)</f>
        <v>5.8517745506325713E-3</v>
      </c>
      <c r="AB684" s="8">
        <f>+VLOOKUP($B684,NIFTY_AUTO!$B$63:$K$1238,10,0)</f>
        <v>-1.7456178473127637E-2</v>
      </c>
      <c r="AC684" s="8"/>
      <c r="AD684" s="16">
        <f t="shared" si="377"/>
        <v>9.2428667209486837E-2</v>
      </c>
      <c r="AE684" s="8">
        <f t="shared" si="378"/>
        <v>0.14772405955774615</v>
      </c>
      <c r="AF684" s="8">
        <f t="shared" si="379"/>
        <v>7.9381631757066723E-2</v>
      </c>
      <c r="AG684" s="8">
        <f t="shared" si="380"/>
        <v>0.10091679430962371</v>
      </c>
      <c r="AH684" s="8">
        <f t="shared" si="381"/>
        <v>8.5056662568630814E-2</v>
      </c>
      <c r="AI684" s="8">
        <f t="shared" si="382"/>
        <v>0.16199861697432014</v>
      </c>
      <c r="AJ684" s="8">
        <f t="shared" si="383"/>
        <v>0.10773430851108171</v>
      </c>
      <c r="AK684" s="8">
        <f t="shared" si="384"/>
        <v>0.17127611216640654</v>
      </c>
      <c r="AL684" s="9">
        <v>0</v>
      </c>
      <c r="AM684" s="17">
        <f t="shared" si="361"/>
        <v>10.819154167110618</v>
      </c>
      <c r="AN684" s="13">
        <f t="shared" si="362"/>
        <v>6.7693780078464094</v>
      </c>
      <c r="AO684" s="13">
        <f t="shared" si="363"/>
        <v>12.597372690200185</v>
      </c>
      <c r="AP684" s="13">
        <f t="shared" si="364"/>
        <v>9.909153445083593</v>
      </c>
      <c r="AQ684" s="13">
        <f t="shared" si="365"/>
        <v>11.7568685368194</v>
      </c>
      <c r="AR684" s="13">
        <f t="shared" si="366"/>
        <v>6.1728922053607347</v>
      </c>
      <c r="AS684" s="13">
        <f t="shared" si="367"/>
        <v>9.2820941984060585</v>
      </c>
      <c r="AT684" s="13">
        <f t="shared" si="368"/>
        <v>5.8385258011253267</v>
      </c>
      <c r="AU684" s="9">
        <v>0</v>
      </c>
      <c r="AV684" s="18">
        <f t="shared" si="385"/>
        <v>3</v>
      </c>
      <c r="AW684" s="18">
        <f t="shared" si="386"/>
        <v>6</v>
      </c>
      <c r="AX684" s="18">
        <f t="shared" si="387"/>
        <v>1</v>
      </c>
      <c r="AY684" s="18">
        <f t="shared" si="388"/>
        <v>4</v>
      </c>
      <c r="AZ684" s="18">
        <f t="shared" si="389"/>
        <v>2</v>
      </c>
      <c r="BA684" s="18">
        <f t="shared" si="390"/>
        <v>7</v>
      </c>
      <c r="BB684" s="18">
        <f t="shared" si="391"/>
        <v>5</v>
      </c>
      <c r="BC684" s="18">
        <f t="shared" si="392"/>
        <v>8</v>
      </c>
      <c r="BD684" s="18">
        <f t="shared" si="393"/>
        <v>9</v>
      </c>
      <c r="BE684" s="8">
        <f t="shared" si="395"/>
        <v>5.6391201619308559E-3</v>
      </c>
    </row>
    <row r="685" spans="1:57" x14ac:dyDescent="0.25">
      <c r="A685" t="str">
        <f t="shared" si="394"/>
        <v/>
      </c>
      <c r="B685" s="1">
        <v>43748</v>
      </c>
      <c r="C685" s="9">
        <f t="shared" si="369"/>
        <v>0.25251901348868672</v>
      </c>
      <c r="D685" s="9">
        <f t="shared" si="370"/>
        <v>0</v>
      </c>
      <c r="E685" s="9">
        <f t="shared" si="371"/>
        <v>0.2505034232208953</v>
      </c>
      <c r="F685" s="9">
        <f t="shared" si="372"/>
        <v>0.2472448895563305</v>
      </c>
      <c r="G685" s="9">
        <f t="shared" si="373"/>
        <v>0.24973267373408736</v>
      </c>
      <c r="H685" s="9">
        <f t="shared" si="374"/>
        <v>0</v>
      </c>
      <c r="I685" s="9">
        <f t="shared" si="375"/>
        <v>0</v>
      </c>
      <c r="J685" s="9">
        <f t="shared" si="376"/>
        <v>0</v>
      </c>
      <c r="K685" s="9">
        <v>0</v>
      </c>
      <c r="L685" s="8">
        <f>+VLOOKUP($B685,NIFTY_50!$B$3:$I$1238,8,0)</f>
        <v>-6.9608337089973604E-3</v>
      </c>
      <c r="M685" s="8">
        <f>+VLOOKUP($B685,NIFTY_BANK!$B$3:$I$41238,8,0)</f>
        <v>-2.6832627836245848E-2</v>
      </c>
      <c r="N685" s="8">
        <f>+VLOOKUP($B685,NIFTY_IT!$B$3:$I$1238,8,0)</f>
        <v>-2.3101710319756164E-3</v>
      </c>
      <c r="O685" s="8">
        <f>+VLOOKUP($B685,NIFTY_PHARMA!$B$3:$I$1238,8,0)</f>
        <v>0</v>
      </c>
      <c r="P685" s="8">
        <f>+VLOOKUP($B685,NIFTY_FMCG!$B$3:$I$1238,8,0)</f>
        <v>-4.0288544607298693E-3</v>
      </c>
      <c r="Q685" s="8">
        <f>+VLOOKUP($B685,NIFTY_METAL!$B$3:$I$1238,8,0)</f>
        <v>-1.4820727445312154E-2</v>
      </c>
      <c r="R685" s="8">
        <f>+VLOOKUP($B685,NIFTY_ENERGY!$B$3:$I$1238,8,0)</f>
        <v>7.0685425615466535E-3</v>
      </c>
      <c r="S685" s="8">
        <f>+VLOOKUP($B685,NIFTY_AUTO!$B$3:$I$1238,8,0)</f>
        <v>-1.3550916462822138E-2</v>
      </c>
      <c r="T685" s="8">
        <v>0</v>
      </c>
      <c r="U685" s="8">
        <f>+VLOOKUP($B685,NIFTY_50!$B$63:$K$1238,10,0)</f>
        <v>-2.780830571396431E-2</v>
      </c>
      <c r="V685" s="8">
        <f>+VLOOKUP($B685,NIFTY_BANK!$B$63:$K$1238,10,0)</f>
        <v>-8.3603894776269505E-2</v>
      </c>
      <c r="W685" s="8">
        <f>+VLOOKUP($B685,NIFTY_IT!$B$63:$K$1238,10,0)</f>
        <v>-1.053459634861853E-2</v>
      </c>
      <c r="X685" s="8">
        <f>+VLOOKUP($B685,NIFTY_PHARMA!$B$63:$K$1238,10,0)</f>
        <v>-9.6910278892418322E-2</v>
      </c>
      <c r="Y685" s="8">
        <f>+VLOOKUP($B685,NIFTY_FMCG!$B$63:$K$1238,10,0)</f>
        <v>2.8167236786909244E-2</v>
      </c>
      <c r="Z685" s="8">
        <f>+VLOOKUP($B685,NIFTY_METAL!$B$63:$K$1238,10,0)</f>
        <v>-0.18102257850468972</v>
      </c>
      <c r="AA685" s="8">
        <f>+VLOOKUP($B685,NIFTY_ENERGY!$B$63:$K$1238,10,0)</f>
        <v>-5.2606255012033198E-4</v>
      </c>
      <c r="AB685" s="8">
        <f>+VLOOKUP($B685,NIFTY_AUTO!$B$63:$K$1238,10,0)</f>
        <v>-3.0770547719700336E-2</v>
      </c>
      <c r="AC685" s="8"/>
      <c r="AD685" s="16">
        <f t="shared" si="377"/>
        <v>9.2665611627689201E-2</v>
      </c>
      <c r="AE685" s="8">
        <f t="shared" si="378"/>
        <v>0.14995899516361091</v>
      </c>
      <c r="AF685" s="8">
        <f t="shared" si="379"/>
        <v>7.9033036411712485E-2</v>
      </c>
      <c r="AG685" s="8">
        <f t="shared" si="380"/>
        <v>9.6869268701098021E-2</v>
      </c>
      <c r="AH685" s="8">
        <f t="shared" si="381"/>
        <v>8.462063945625907E-2</v>
      </c>
      <c r="AI685" s="8">
        <f t="shared" si="382"/>
        <v>0.16242354204881815</v>
      </c>
      <c r="AJ685" s="8">
        <f t="shared" si="383"/>
        <v>0.10712752354670127</v>
      </c>
      <c r="AK685" s="8">
        <f t="shared" si="384"/>
        <v>0.17179845191201532</v>
      </c>
      <c r="AL685" s="9">
        <v>0</v>
      </c>
      <c r="AM685" s="17">
        <f t="shared" si="361"/>
        <v>10.791489770960432</v>
      </c>
      <c r="AN685" s="13">
        <f t="shared" si="362"/>
        <v>6.6684896021673277</v>
      </c>
      <c r="AO685" s="13">
        <f t="shared" si="363"/>
        <v>12.652936612363316</v>
      </c>
      <c r="AP685" s="13">
        <f t="shared" si="364"/>
        <v>10.323191383694889</v>
      </c>
      <c r="AQ685" s="13">
        <f t="shared" si="365"/>
        <v>11.81744792317371</v>
      </c>
      <c r="AR685" s="13">
        <f t="shared" si="366"/>
        <v>6.1567429658653747</v>
      </c>
      <c r="AS685" s="13">
        <f t="shared" si="367"/>
        <v>9.334669251119756</v>
      </c>
      <c r="AT685" s="13">
        <f t="shared" si="368"/>
        <v>5.8207742204344131</v>
      </c>
      <c r="AU685" s="9">
        <v>0</v>
      </c>
      <c r="AV685" s="18">
        <f t="shared" si="385"/>
        <v>3</v>
      </c>
      <c r="AW685" s="18">
        <f t="shared" si="386"/>
        <v>6</v>
      </c>
      <c r="AX685" s="18">
        <f t="shared" si="387"/>
        <v>1</v>
      </c>
      <c r="AY685" s="18">
        <f t="shared" si="388"/>
        <v>4</v>
      </c>
      <c r="AZ685" s="18">
        <f t="shared" si="389"/>
        <v>2</v>
      </c>
      <c r="BA685" s="18">
        <f t="shared" si="390"/>
        <v>7</v>
      </c>
      <c r="BB685" s="18">
        <f t="shared" si="391"/>
        <v>5</v>
      </c>
      <c r="BC685" s="18">
        <f t="shared" si="392"/>
        <v>8</v>
      </c>
      <c r="BD685" s="18">
        <f t="shared" si="393"/>
        <v>9</v>
      </c>
      <c r="BE685" s="8">
        <f t="shared" si="395"/>
        <v>-3.3490624017321149E-3</v>
      </c>
    </row>
    <row r="686" spans="1:57" x14ac:dyDescent="0.25">
      <c r="A686" t="str">
        <f t="shared" si="394"/>
        <v/>
      </c>
      <c r="B686" s="1">
        <v>43749</v>
      </c>
      <c r="C686" s="9">
        <f t="shared" si="369"/>
        <v>0.25182142876802394</v>
      </c>
      <c r="D686" s="9">
        <f t="shared" si="370"/>
        <v>0</v>
      </c>
      <c r="E686" s="9">
        <f t="shared" si="371"/>
        <v>0.2520051934946872</v>
      </c>
      <c r="F686" s="9">
        <f t="shared" si="372"/>
        <v>0.24647533759377599</v>
      </c>
      <c r="G686" s="9">
        <f t="shared" si="373"/>
        <v>0.24969804014351285</v>
      </c>
      <c r="H686" s="9">
        <f t="shared" si="374"/>
        <v>0</v>
      </c>
      <c r="I686" s="9">
        <f t="shared" si="375"/>
        <v>0</v>
      </c>
      <c r="J686" s="9">
        <f t="shared" si="376"/>
        <v>0</v>
      </c>
      <c r="K686" s="9">
        <v>0</v>
      </c>
      <c r="L686" s="8">
        <f>+VLOOKUP($B686,NIFTY_50!$B$3:$I$1238,8,0)</f>
        <v>6.2752847243547905E-3</v>
      </c>
      <c r="M686" s="8">
        <f>+VLOOKUP($B686,NIFTY_BANK!$B$3:$I$41238,8,0)</f>
        <v>1.0370018687451132E-3</v>
      </c>
      <c r="N686" s="8">
        <f>+VLOOKUP($B686,NIFTY_IT!$B$3:$I$1238,8,0)</f>
        <v>1.5112165259907995E-2</v>
      </c>
      <c r="O686" s="8">
        <f>+VLOOKUP($B686,NIFTY_PHARMA!$B$3:$I$1238,8,0)</f>
        <v>5.9221073580628669E-3</v>
      </c>
      <c r="P686" s="8">
        <f>+VLOOKUP($B686,NIFTY_FMCG!$B$3:$I$1238,8,0)</f>
        <v>8.922885044050588E-3</v>
      </c>
      <c r="Q686" s="8">
        <f>+VLOOKUP($B686,NIFTY_METAL!$B$3:$I$1238,8,0)</f>
        <v>2.353997416077247E-2</v>
      </c>
      <c r="R686" s="8">
        <f>+VLOOKUP($B686,NIFTY_ENERGY!$B$3:$I$1238,8,0)</f>
        <v>-4.4161162568279178E-3</v>
      </c>
      <c r="S686" s="8">
        <f>+VLOOKUP($B686,NIFTY_AUTO!$B$3:$I$1238,8,0)</f>
        <v>5.0817633990747346E-3</v>
      </c>
      <c r="T686" s="8">
        <v>0</v>
      </c>
      <c r="U686" s="8">
        <f>+VLOOKUP($B686,NIFTY_50!$B$63:$K$1238,10,0)</f>
        <v>-1.6858134256320212E-2</v>
      </c>
      <c r="V686" s="8">
        <f>+VLOOKUP($B686,NIFTY_BANK!$B$63:$K$1238,10,0)</f>
        <v>-8.1239495316508314E-2</v>
      </c>
      <c r="W686" s="8">
        <f>+VLOOKUP($B686,NIFTY_IT!$B$63:$K$1238,10,0)</f>
        <v>1.0106404018828341E-2</v>
      </c>
      <c r="X686" s="8">
        <f>+VLOOKUP($B686,NIFTY_PHARMA!$B$63:$K$1238,10,0)</f>
        <v>-9.1272863474623933E-2</v>
      </c>
      <c r="Y686" s="8">
        <f>+VLOOKUP($B686,NIFTY_FMCG!$B$63:$K$1238,10,0)</f>
        <v>4.3292441358919298E-2</v>
      </c>
      <c r="Z686" s="8">
        <f>+VLOOKUP($B686,NIFTY_METAL!$B$63:$K$1238,10,0)</f>
        <v>-0.15213408550853447</v>
      </c>
      <c r="AA686" s="8">
        <f>+VLOOKUP($B686,NIFTY_ENERGY!$B$63:$K$1238,10,0)</f>
        <v>2.8513422645217723E-3</v>
      </c>
      <c r="AB686" s="8">
        <f>+VLOOKUP($B686,NIFTY_AUTO!$B$63:$K$1238,10,0)</f>
        <v>-1.5190749752035271E-2</v>
      </c>
      <c r="AC686" s="8"/>
      <c r="AD686" s="16">
        <f t="shared" si="377"/>
        <v>9.2783123350467941E-2</v>
      </c>
      <c r="AE686" s="8">
        <f t="shared" si="378"/>
        <v>0.14997578594036481</v>
      </c>
      <c r="AF686" s="8">
        <f t="shared" si="379"/>
        <v>8.0255286144343838E-2</v>
      </c>
      <c r="AG686" s="8">
        <f t="shared" si="380"/>
        <v>9.7148666397402827E-2</v>
      </c>
      <c r="AH686" s="8">
        <f t="shared" si="381"/>
        <v>8.4789198484444966E-2</v>
      </c>
      <c r="AI686" s="8">
        <f t="shared" si="382"/>
        <v>0.16431696288989553</v>
      </c>
      <c r="AJ686" s="8">
        <f t="shared" si="383"/>
        <v>0.10693313302092518</v>
      </c>
      <c r="AK686" s="8">
        <f t="shared" si="384"/>
        <v>0.1715461100961497</v>
      </c>
      <c r="AL686" s="9">
        <v>0</v>
      </c>
      <c r="AM686" s="17">
        <f t="shared" si="361"/>
        <v>10.777822128521358</v>
      </c>
      <c r="AN686" s="13">
        <f t="shared" si="362"/>
        <v>6.6677430208475927</v>
      </c>
      <c r="AO686" s="13">
        <f t="shared" si="363"/>
        <v>12.460238422194912</v>
      </c>
      <c r="AP686" s="13">
        <f t="shared" si="364"/>
        <v>10.293502083799412</v>
      </c>
      <c r="AQ686" s="13">
        <f t="shared" si="365"/>
        <v>11.793955101291061</v>
      </c>
      <c r="AR686" s="13">
        <f t="shared" si="366"/>
        <v>6.0857989486458175</v>
      </c>
      <c r="AS686" s="13">
        <f t="shared" si="367"/>
        <v>9.3516384655475804</v>
      </c>
      <c r="AT686" s="13">
        <f t="shared" si="368"/>
        <v>5.8293364940744565</v>
      </c>
      <c r="AU686" s="9">
        <v>0</v>
      </c>
      <c r="AV686" s="18">
        <f t="shared" si="385"/>
        <v>3</v>
      </c>
      <c r="AW686" s="18">
        <f t="shared" si="386"/>
        <v>6</v>
      </c>
      <c r="AX686" s="18">
        <f t="shared" si="387"/>
        <v>1</v>
      </c>
      <c r="AY686" s="18">
        <f t="shared" si="388"/>
        <v>4</v>
      </c>
      <c r="AZ686" s="18">
        <f t="shared" si="389"/>
        <v>2</v>
      </c>
      <c r="BA686" s="18">
        <f t="shared" si="390"/>
        <v>7</v>
      </c>
      <c r="BB686" s="18">
        <f t="shared" si="391"/>
        <v>5</v>
      </c>
      <c r="BC686" s="18">
        <f t="shared" si="392"/>
        <v>8</v>
      </c>
      <c r="BD686" s="18">
        <f t="shared" si="393"/>
        <v>9</v>
      </c>
      <c r="BE686" s="8">
        <f t="shared" si="395"/>
        <v>9.06282455699918E-3</v>
      </c>
    </row>
    <row r="687" spans="1:57" x14ac:dyDescent="0.25">
      <c r="A687" t="str">
        <f t="shared" si="394"/>
        <v/>
      </c>
      <c r="B687" s="1">
        <v>43752</v>
      </c>
      <c r="C687" s="9">
        <f t="shared" si="369"/>
        <v>0.25153587397560956</v>
      </c>
      <c r="D687" s="9">
        <f t="shared" si="370"/>
        <v>0</v>
      </c>
      <c r="E687" s="9">
        <f t="shared" si="371"/>
        <v>0.25019516268080633</v>
      </c>
      <c r="F687" s="9">
        <f t="shared" si="372"/>
        <v>0.24821917315067049</v>
      </c>
      <c r="G687" s="9">
        <f t="shared" si="373"/>
        <v>0.25004979019291362</v>
      </c>
      <c r="H687" s="9">
        <f t="shared" si="374"/>
        <v>0</v>
      </c>
      <c r="I687" s="9">
        <f t="shared" si="375"/>
        <v>0</v>
      </c>
      <c r="J687" s="9">
        <f t="shared" si="376"/>
        <v>0</v>
      </c>
      <c r="K687" s="9">
        <v>0</v>
      </c>
      <c r="L687" s="8">
        <f>+VLOOKUP($B687,NIFTY_50!$B$3:$I$1238,8,0)</f>
        <v>3.1932631876905315E-3</v>
      </c>
      <c r="M687" s="8">
        <f>+VLOOKUP($B687,NIFTY_BANK!$B$3:$I$41238,8,0)</f>
        <v>4.972809129000666E-3</v>
      </c>
      <c r="N687" s="8">
        <f>+VLOOKUP($B687,NIFTY_IT!$B$3:$I$1238,8,0)</f>
        <v>-2.8814964201567816E-3</v>
      </c>
      <c r="O687" s="8">
        <f>+VLOOKUP($B687,NIFTY_PHARMA!$B$3:$I$1238,8,0)</f>
        <v>1.1437874822249228E-2</v>
      </c>
      <c r="P687" s="8">
        <f>+VLOOKUP($B687,NIFTY_FMCG!$B$3:$I$1238,8,0)</f>
        <v>5.7469374872600731E-3</v>
      </c>
      <c r="Q687" s="8">
        <f>+VLOOKUP($B687,NIFTY_METAL!$B$3:$I$1238,8,0)</f>
        <v>9.8840443284411439E-3</v>
      </c>
      <c r="R687" s="8">
        <f>+VLOOKUP($B687,NIFTY_ENERGY!$B$3:$I$1238,8,0)</f>
        <v>6.4279036781536014E-3</v>
      </c>
      <c r="S687" s="8">
        <f>+VLOOKUP($B687,NIFTY_AUTO!$B$3:$I$1238,8,0)</f>
        <v>1.6668807159611054E-2</v>
      </c>
      <c r="T687" s="8">
        <v>0</v>
      </c>
      <c r="U687" s="8">
        <f>+VLOOKUP($B687,NIFTY_50!$B$63:$K$1238,10,0)</f>
        <v>-2.0871284393372935E-2</v>
      </c>
      <c r="V687" s="8">
        <f>+VLOOKUP($B687,NIFTY_BANK!$B$63:$K$1238,10,0)</f>
        <v>-8.2515777325252948E-2</v>
      </c>
      <c r="W687" s="8">
        <f>+VLOOKUP($B687,NIFTY_IT!$B$63:$K$1238,10,0)</f>
        <v>4.1704186193252113E-3</v>
      </c>
      <c r="X687" s="8">
        <f>+VLOOKUP($B687,NIFTY_PHARMA!$B$63:$K$1238,10,0)</f>
        <v>-9.2274400281132762E-2</v>
      </c>
      <c r="Y687" s="8">
        <f>+VLOOKUP($B687,NIFTY_FMCG!$B$63:$K$1238,10,0)</f>
        <v>4.4287755196091849E-2</v>
      </c>
      <c r="Z687" s="8">
        <f>+VLOOKUP($B687,NIFTY_METAL!$B$63:$K$1238,10,0)</f>
        <v>-0.15864896176811338</v>
      </c>
      <c r="AA687" s="8">
        <f>+VLOOKUP($B687,NIFTY_ENERGY!$B$63:$K$1238,10,0)</f>
        <v>4.023116033612828E-3</v>
      </c>
      <c r="AB687" s="8">
        <f>+VLOOKUP($B687,NIFTY_AUTO!$B$63:$K$1238,10,0)</f>
        <v>-1.7069775648775543E-2</v>
      </c>
      <c r="AC687" s="8"/>
      <c r="AD687" s="16">
        <f t="shared" si="377"/>
        <v>9.2539427605801666E-2</v>
      </c>
      <c r="AE687" s="8">
        <f t="shared" si="378"/>
        <v>0.14991154147887917</v>
      </c>
      <c r="AF687" s="8">
        <f t="shared" si="379"/>
        <v>8.0262904498747706E-2</v>
      </c>
      <c r="AG687" s="8">
        <f t="shared" si="380"/>
        <v>9.6993519385566468E-2</v>
      </c>
      <c r="AH687" s="8">
        <f t="shared" si="381"/>
        <v>8.4840132422981648E-2</v>
      </c>
      <c r="AI687" s="8">
        <f t="shared" si="382"/>
        <v>0.1635375291929467</v>
      </c>
      <c r="AJ687" s="8">
        <f t="shared" si="383"/>
        <v>0.10699562457997015</v>
      </c>
      <c r="AK687" s="8">
        <f t="shared" si="384"/>
        <v>0.17134579941537803</v>
      </c>
      <c r="AL687" s="9">
        <v>0</v>
      </c>
      <c r="AM687" s="17">
        <f t="shared" si="361"/>
        <v>10.806204726700795</v>
      </c>
      <c r="AN687" s="13">
        <f t="shared" si="362"/>
        <v>6.6706004763541751</v>
      </c>
      <c r="AO687" s="13">
        <f t="shared" si="363"/>
        <v>12.459055727488686</v>
      </c>
      <c r="AP687" s="13">
        <f t="shared" si="364"/>
        <v>10.309967164144465</v>
      </c>
      <c r="AQ687" s="13">
        <f t="shared" si="365"/>
        <v>11.786874577403632</v>
      </c>
      <c r="AR687" s="13">
        <f t="shared" si="366"/>
        <v>6.1148043812021191</v>
      </c>
      <c r="AS687" s="13">
        <f t="shared" si="367"/>
        <v>9.3461765742821079</v>
      </c>
      <c r="AT687" s="13">
        <f t="shared" si="368"/>
        <v>5.8361512415941457</v>
      </c>
      <c r="AU687" s="9">
        <v>0</v>
      </c>
      <c r="AV687" s="18">
        <f t="shared" si="385"/>
        <v>3</v>
      </c>
      <c r="AW687" s="18">
        <f t="shared" si="386"/>
        <v>6</v>
      </c>
      <c r="AX687" s="18">
        <f t="shared" si="387"/>
        <v>1</v>
      </c>
      <c r="AY687" s="18">
        <f t="shared" si="388"/>
        <v>4</v>
      </c>
      <c r="AZ687" s="18">
        <f t="shared" si="389"/>
        <v>2</v>
      </c>
      <c r="BA687" s="18">
        <f t="shared" si="390"/>
        <v>7</v>
      </c>
      <c r="BB687" s="18">
        <f t="shared" si="391"/>
        <v>5</v>
      </c>
      <c r="BC687" s="18">
        <f t="shared" si="392"/>
        <v>8</v>
      </c>
      <c r="BD687" s="18">
        <f t="shared" si="393"/>
        <v>9</v>
      </c>
      <c r="BE687" s="8">
        <f t="shared" si="395"/>
        <v>4.3321331210060595E-3</v>
      </c>
    </row>
    <row r="688" spans="1:57" x14ac:dyDescent="0.25">
      <c r="A688" t="str">
        <f t="shared" si="394"/>
        <v/>
      </c>
      <c r="B688" s="1">
        <v>43753</v>
      </c>
      <c r="C688" s="9">
        <f t="shared" si="369"/>
        <v>0.2520726326748674</v>
      </c>
      <c r="D688" s="9">
        <f t="shared" si="370"/>
        <v>0</v>
      </c>
      <c r="E688" s="9">
        <f t="shared" si="371"/>
        <v>0.24768759870209958</v>
      </c>
      <c r="F688" s="9">
        <f t="shared" si="372"/>
        <v>0.24882865047576896</v>
      </c>
      <c r="G688" s="9">
        <f t="shared" si="373"/>
        <v>0.25141111814726402</v>
      </c>
      <c r="H688" s="9">
        <f t="shared" si="374"/>
        <v>0</v>
      </c>
      <c r="I688" s="9">
        <f t="shared" si="375"/>
        <v>0</v>
      </c>
      <c r="J688" s="9">
        <f t="shared" si="376"/>
        <v>0</v>
      </c>
      <c r="K688" s="9">
        <v>0</v>
      </c>
      <c r="L688" s="8">
        <f>+VLOOKUP($B688,NIFTY_50!$B$3:$I$1238,8,0)</f>
        <v>7.6844059023997158E-3</v>
      </c>
      <c r="M688" s="8">
        <f>+VLOOKUP($B688,NIFTY_BANK!$B$3:$I$41238,8,0)</f>
        <v>1.3240744519098069E-2</v>
      </c>
      <c r="N688" s="8">
        <f>+VLOOKUP($B688,NIFTY_IT!$B$3:$I$1238,8,0)</f>
        <v>-4.5392809805109291E-3</v>
      </c>
      <c r="O688" s="8">
        <f>+VLOOKUP($B688,NIFTY_PHARMA!$B$3:$I$1238,8,0)</f>
        <v>8.0076612738904096E-3</v>
      </c>
      <c r="P688" s="8">
        <f>+VLOOKUP($B688,NIFTY_FMCG!$B$3:$I$1238,8,0)</f>
        <v>1.1013043051878002E-2</v>
      </c>
      <c r="Q688" s="8">
        <f>+VLOOKUP($B688,NIFTY_METAL!$B$3:$I$1238,8,0)</f>
        <v>1.5613083636980107E-2</v>
      </c>
      <c r="R688" s="8">
        <f>+VLOOKUP($B688,NIFTY_ENERGY!$B$3:$I$1238,8,0)</f>
        <v>1.106007610408577E-2</v>
      </c>
      <c r="S688" s="8">
        <f>+VLOOKUP($B688,NIFTY_AUTO!$B$3:$I$1238,8,0)</f>
        <v>2.2326088546410716E-2</v>
      </c>
      <c r="T688" s="8">
        <v>0</v>
      </c>
      <c r="U688" s="8">
        <f>+VLOOKUP($B688,NIFTY_50!$B$63:$K$1238,10,0)</f>
        <v>-1.0750919714347607E-2</v>
      </c>
      <c r="V688" s="8">
        <f>+VLOOKUP($B688,NIFTY_BANK!$B$63:$K$1238,10,0)</f>
        <v>-6.6871014282003038E-2</v>
      </c>
      <c r="W688" s="8">
        <f>+VLOOKUP($B688,NIFTY_IT!$B$63:$K$1238,10,0)</f>
        <v>-1.2477507650682229E-3</v>
      </c>
      <c r="X688" s="8">
        <f>+VLOOKUP($B688,NIFTY_PHARMA!$B$63:$K$1238,10,0)</f>
        <v>-8.8853554019375558E-2</v>
      </c>
      <c r="Y688" s="8">
        <f>+VLOOKUP($B688,NIFTY_FMCG!$B$63:$K$1238,10,0)</f>
        <v>5.7291809107069547E-2</v>
      </c>
      <c r="Z688" s="8">
        <f>+VLOOKUP($B688,NIFTY_METAL!$B$63:$K$1238,10,0)</f>
        <v>-0.15187701234829987</v>
      </c>
      <c r="AA688" s="8">
        <f>+VLOOKUP($B688,NIFTY_ENERGY!$B$63:$K$1238,10,0)</f>
        <v>2.2698776287781497E-2</v>
      </c>
      <c r="AB688" s="8">
        <f>+VLOOKUP($B688,NIFTY_AUTO!$B$63:$K$1238,10,0)</f>
        <v>4.5207188726947845E-3</v>
      </c>
      <c r="AC688" s="8"/>
      <c r="AD688" s="16">
        <f t="shared" si="377"/>
        <v>9.2842141839532072E-2</v>
      </c>
      <c r="AE688" s="8">
        <f t="shared" si="378"/>
        <v>0.15057163330004381</v>
      </c>
      <c r="AF688" s="8">
        <f t="shared" si="379"/>
        <v>8.0391710507475067E-2</v>
      </c>
      <c r="AG688" s="8">
        <f t="shared" si="380"/>
        <v>9.7289331153884065E-2</v>
      </c>
      <c r="AH688" s="8">
        <f t="shared" si="381"/>
        <v>8.5413444678164044E-2</v>
      </c>
      <c r="AI688" s="8">
        <f t="shared" si="382"/>
        <v>0.16423527555907724</v>
      </c>
      <c r="AJ688" s="8">
        <f t="shared" si="383"/>
        <v>0.107257214833633</v>
      </c>
      <c r="AK688" s="8">
        <f t="shared" si="384"/>
        <v>0.17277673573800242</v>
      </c>
      <c r="AL688" s="9">
        <v>0</v>
      </c>
      <c r="AM688" s="17">
        <f t="shared" si="361"/>
        <v>10.770970813323064</v>
      </c>
      <c r="AN688" s="13">
        <f t="shared" si="362"/>
        <v>6.641357193803576</v>
      </c>
      <c r="AO688" s="13">
        <f t="shared" si="363"/>
        <v>12.439093454878249</v>
      </c>
      <c r="AP688" s="13">
        <f t="shared" si="364"/>
        <v>10.278619332044583</v>
      </c>
      <c r="AQ688" s="13">
        <f t="shared" si="365"/>
        <v>11.707758699675182</v>
      </c>
      <c r="AR688" s="13">
        <f t="shared" si="366"/>
        <v>6.0888259029363576</v>
      </c>
      <c r="AS688" s="13">
        <f t="shared" si="367"/>
        <v>9.323382129128591</v>
      </c>
      <c r="AT688" s="13">
        <f t="shared" si="368"/>
        <v>5.7878162573715581</v>
      </c>
      <c r="AU688" s="9">
        <v>0</v>
      </c>
      <c r="AV688" s="18">
        <f t="shared" si="385"/>
        <v>3</v>
      </c>
      <c r="AW688" s="18">
        <f t="shared" si="386"/>
        <v>6</v>
      </c>
      <c r="AX688" s="18">
        <f t="shared" si="387"/>
        <v>1</v>
      </c>
      <c r="AY688" s="18">
        <f t="shared" si="388"/>
        <v>4</v>
      </c>
      <c r="AZ688" s="18">
        <f t="shared" si="389"/>
        <v>2</v>
      </c>
      <c r="BA688" s="18">
        <f t="shared" si="390"/>
        <v>7</v>
      </c>
      <c r="BB688" s="18">
        <f t="shared" si="391"/>
        <v>5</v>
      </c>
      <c r="BC688" s="18">
        <f t="shared" si="392"/>
        <v>8</v>
      </c>
      <c r="BD688" s="18">
        <f t="shared" si="393"/>
        <v>9</v>
      </c>
      <c r="BE688" s="8">
        <f t="shared" si="395"/>
        <v>5.5386617760539644E-3</v>
      </c>
    </row>
    <row r="689" spans="1:57" x14ac:dyDescent="0.25">
      <c r="A689" t="str">
        <f t="shared" si="394"/>
        <v/>
      </c>
      <c r="B689" s="1">
        <v>43754</v>
      </c>
      <c r="C689" s="9">
        <f t="shared" si="369"/>
        <v>0.2516995807430053</v>
      </c>
      <c r="D689" s="9">
        <f t="shared" si="370"/>
        <v>0</v>
      </c>
      <c r="E689" s="9">
        <f t="shared" si="371"/>
        <v>0.24876453405682089</v>
      </c>
      <c r="F689" s="9">
        <f t="shared" si="372"/>
        <v>0.2495124480047041</v>
      </c>
      <c r="G689" s="9">
        <f t="shared" si="373"/>
        <v>0.25002343719546982</v>
      </c>
      <c r="H689" s="9">
        <f t="shared" si="374"/>
        <v>0</v>
      </c>
      <c r="I689" s="9">
        <f t="shared" si="375"/>
        <v>0</v>
      </c>
      <c r="J689" s="9">
        <f t="shared" si="376"/>
        <v>0</v>
      </c>
      <c r="K689" s="9">
        <v>0</v>
      </c>
      <c r="L689" s="8">
        <f>+VLOOKUP($B689,NIFTY_50!$B$3:$I$1238,8,0)</f>
        <v>3.1238241908246867E-3</v>
      </c>
      <c r="M689" s="8">
        <f>+VLOOKUP($B689,NIFTY_BANK!$B$3:$I$41238,8,0)</f>
        <v>-5.7082622718884757E-4</v>
      </c>
      <c r="N689" s="8">
        <f>+VLOOKUP($B689,NIFTY_IT!$B$3:$I$1238,8,0)</f>
        <v>8.978590778780271E-3</v>
      </c>
      <c r="O689" s="8">
        <f>+VLOOKUP($B689,NIFTY_PHARMA!$B$3:$I$1238,8,0)</f>
        <v>7.37132191923906E-3</v>
      </c>
      <c r="P689" s="8">
        <f>+VLOOKUP($B689,NIFTY_FMCG!$B$3:$I$1238,8,0)</f>
        <v>-9.3443137102755536E-4</v>
      </c>
      <c r="Q689" s="8">
        <f>+VLOOKUP($B689,NIFTY_METAL!$B$3:$I$1238,8,0)</f>
        <v>-3.6503201852277067E-3</v>
      </c>
      <c r="R689" s="8">
        <f>+VLOOKUP($B689,NIFTY_ENERGY!$B$3:$I$1238,8,0)</f>
        <v>3.1996755972463209E-3</v>
      </c>
      <c r="S689" s="8">
        <f>+VLOOKUP($B689,NIFTY_AUTO!$B$3:$I$1238,8,0)</f>
        <v>-1.8794914317301625E-3</v>
      </c>
      <c r="T689" s="8">
        <v>0</v>
      </c>
      <c r="U689" s="8">
        <f>+VLOOKUP($B689,NIFTY_50!$B$63:$K$1238,10,0)</f>
        <v>-1.0730604443255576E-2</v>
      </c>
      <c r="V689" s="8">
        <f>+VLOOKUP($B689,NIFTY_BANK!$B$63:$K$1238,10,0)</f>
        <v>-6.2640515405168906E-2</v>
      </c>
      <c r="W689" s="8">
        <f>+VLOOKUP($B689,NIFTY_IT!$B$63:$K$1238,10,0)</f>
        <v>-2.0246391755868398E-2</v>
      </c>
      <c r="X689" s="8">
        <f>+VLOOKUP($B689,NIFTY_PHARMA!$B$63:$K$1238,10,0)</f>
        <v>-9.1899147822178451E-2</v>
      </c>
      <c r="Y689" s="8">
        <f>+VLOOKUP($B689,NIFTY_FMCG!$B$63:$K$1238,10,0)</f>
        <v>6.2555235747028037E-2</v>
      </c>
      <c r="Z689" s="8">
        <f>+VLOOKUP($B689,NIFTY_METAL!$B$63:$K$1238,10,0)</f>
        <v>-0.15398512221041438</v>
      </c>
      <c r="AA689" s="8">
        <f>+VLOOKUP($B689,NIFTY_ENERGY!$B$63:$K$1238,10,0)</f>
        <v>2.7372416701813673E-2</v>
      </c>
      <c r="AB689" s="8">
        <f>+VLOOKUP($B689,NIFTY_AUTO!$B$63:$K$1238,10,0)</f>
        <v>-5.8637651887738507E-5</v>
      </c>
      <c r="AC689" s="8"/>
      <c r="AD689" s="16">
        <f t="shared" si="377"/>
        <v>9.2842856449065952E-2</v>
      </c>
      <c r="AE689" s="8">
        <f t="shared" si="378"/>
        <v>0.15051436680372199</v>
      </c>
      <c r="AF689" s="8">
        <f t="shared" si="379"/>
        <v>7.5655030784212055E-2</v>
      </c>
      <c r="AG689" s="8">
        <f t="shared" si="380"/>
        <v>9.6922802840341174E-2</v>
      </c>
      <c r="AH689" s="8">
        <f t="shared" si="381"/>
        <v>8.5156832747011052E-2</v>
      </c>
      <c r="AI689" s="8">
        <f t="shared" si="382"/>
        <v>0.16423394944462005</v>
      </c>
      <c r="AJ689" s="8">
        <f t="shared" si="383"/>
        <v>0.1072750147026993</v>
      </c>
      <c r="AK689" s="8">
        <f t="shared" si="384"/>
        <v>0.17277332700143136</v>
      </c>
      <c r="AL689" s="9">
        <v>0</v>
      </c>
      <c r="AM689" s="17">
        <f t="shared" si="361"/>
        <v>10.770887909384875</v>
      </c>
      <c r="AN689" s="13">
        <f t="shared" si="362"/>
        <v>6.6438840439999218</v>
      </c>
      <c r="AO689" s="13">
        <f t="shared" si="363"/>
        <v>13.21789165418836</v>
      </c>
      <c r="AP689" s="13">
        <f t="shared" si="364"/>
        <v>10.31748949364659</v>
      </c>
      <c r="AQ689" s="13">
        <f t="shared" si="365"/>
        <v>11.743038905296761</v>
      </c>
      <c r="AR689" s="13">
        <f t="shared" si="366"/>
        <v>6.0888750674366605</v>
      </c>
      <c r="AS689" s="13">
        <f t="shared" si="367"/>
        <v>9.3218351241562445</v>
      </c>
      <c r="AT689" s="13">
        <f t="shared" si="368"/>
        <v>5.787930448267141</v>
      </c>
      <c r="AU689" s="9">
        <v>0</v>
      </c>
      <c r="AV689" s="18">
        <f t="shared" si="385"/>
        <v>3</v>
      </c>
      <c r="AW689" s="18">
        <f t="shared" si="386"/>
        <v>6</v>
      </c>
      <c r="AX689" s="18">
        <f t="shared" si="387"/>
        <v>1</v>
      </c>
      <c r="AY689" s="18">
        <f t="shared" si="388"/>
        <v>4</v>
      </c>
      <c r="AZ689" s="18">
        <f t="shared" si="389"/>
        <v>2</v>
      </c>
      <c r="BA689" s="18">
        <f t="shared" si="390"/>
        <v>7</v>
      </c>
      <c r="BB689" s="18">
        <f t="shared" si="391"/>
        <v>5</v>
      </c>
      <c r="BC689" s="18">
        <f t="shared" si="392"/>
        <v>8</v>
      </c>
      <c r="BD689" s="18">
        <f t="shared" si="393"/>
        <v>9</v>
      </c>
      <c r="BE689" s="8">
        <f t="shared" si="395"/>
        <v>4.6105858270843077E-3</v>
      </c>
    </row>
    <row r="690" spans="1:57" x14ac:dyDescent="0.25">
      <c r="A690" t="str">
        <f t="shared" si="394"/>
        <v/>
      </c>
      <c r="B690" s="1">
        <v>43755</v>
      </c>
      <c r="C690" s="9">
        <f t="shared" si="369"/>
        <v>0.25259087523587342</v>
      </c>
      <c r="D690" s="9">
        <f t="shared" si="370"/>
        <v>0</v>
      </c>
      <c r="E690" s="9">
        <f t="shared" si="371"/>
        <v>0.24599429718024876</v>
      </c>
      <c r="F690" s="9">
        <f t="shared" si="372"/>
        <v>0.24967743579119994</v>
      </c>
      <c r="G690" s="9">
        <f t="shared" si="373"/>
        <v>0.2517373917926779</v>
      </c>
      <c r="H690" s="9">
        <f t="shared" si="374"/>
        <v>0</v>
      </c>
      <c r="I690" s="9">
        <f t="shared" si="375"/>
        <v>0</v>
      </c>
      <c r="J690" s="9">
        <f t="shared" si="376"/>
        <v>0</v>
      </c>
      <c r="K690" s="9">
        <v>0</v>
      </c>
      <c r="L690" s="8">
        <f>+VLOOKUP($B690,NIFTY_50!$B$3:$I$1238,8,0)</f>
        <v>1.0672540125610697E-2</v>
      </c>
      <c r="M690" s="8">
        <f>+VLOOKUP($B690,NIFTY_BANK!$B$3:$I$41238,8,0)</f>
        <v>1.5790783074270953E-2</v>
      </c>
      <c r="N690" s="8">
        <f>+VLOOKUP($B690,NIFTY_IT!$B$3:$I$1238,8,0)</f>
        <v>-4.1088436260789951E-3</v>
      </c>
      <c r="O690" s="8">
        <f>+VLOOKUP($B690,NIFTY_PHARMA!$B$3:$I$1238,8,0)</f>
        <v>7.7722113345861654E-3</v>
      </c>
      <c r="P690" s="8">
        <f>+VLOOKUP($B690,NIFTY_FMCG!$B$3:$I$1238,8,0)</f>
        <v>1.401016214116968E-2</v>
      </c>
      <c r="Q690" s="8">
        <f>+VLOOKUP($B690,NIFTY_METAL!$B$3:$I$1238,8,0)</f>
        <v>9.4837331993467E-3</v>
      </c>
      <c r="R690" s="8">
        <f>+VLOOKUP($B690,NIFTY_ENERGY!$B$3:$I$1238,8,0)</f>
        <v>9.047358897516844E-3</v>
      </c>
      <c r="S690" s="8">
        <f>+VLOOKUP($B690,NIFTY_AUTO!$B$3:$I$1238,8,0)</f>
        <v>3.1301310954155781E-2</v>
      </c>
      <c r="T690" s="8">
        <v>0</v>
      </c>
      <c r="U690" s="8">
        <f>+VLOOKUP($B690,NIFTY_50!$B$63:$K$1238,10,0)</f>
        <v>-6.5379932433591303E-3</v>
      </c>
      <c r="V690" s="8">
        <f>+VLOOKUP($B690,NIFTY_BANK!$B$63:$K$1238,10,0)</f>
        <v>-5.1727465424522667E-2</v>
      </c>
      <c r="W690" s="8">
        <f>+VLOOKUP($B690,NIFTY_IT!$B$63:$K$1238,10,0)</f>
        <v>-1.9161834221733121E-2</v>
      </c>
      <c r="X690" s="8">
        <f>+VLOOKUP($B690,NIFTY_PHARMA!$B$63:$K$1238,10,0)</f>
        <v>-9.7568864212171924E-2</v>
      </c>
      <c r="Y690" s="8">
        <f>+VLOOKUP($B690,NIFTY_FMCG!$B$63:$K$1238,10,0)</f>
        <v>6.6922966907984049E-2</v>
      </c>
      <c r="Z690" s="8">
        <f>+VLOOKUP($B690,NIFTY_METAL!$B$63:$K$1238,10,0)</f>
        <v>-0.15326531687358425</v>
      </c>
      <c r="AA690" s="8">
        <f>+VLOOKUP($B690,NIFTY_ENERGY!$B$63:$K$1238,10,0)</f>
        <v>2.0859224991453873E-2</v>
      </c>
      <c r="AB690" s="8">
        <f>+VLOOKUP($B690,NIFTY_AUTO!$B$63:$K$1238,10,0)</f>
        <v>2.4187599487517808E-2</v>
      </c>
      <c r="AC690" s="8"/>
      <c r="AD690" s="16">
        <f t="shared" si="377"/>
        <v>9.3237655550088866E-2</v>
      </c>
      <c r="AE690" s="8">
        <f t="shared" si="378"/>
        <v>0.15134527606808765</v>
      </c>
      <c r="AF690" s="8">
        <f t="shared" si="379"/>
        <v>7.5591246533398077E-2</v>
      </c>
      <c r="AG690" s="8">
        <f t="shared" si="380"/>
        <v>9.6103304068595505E-2</v>
      </c>
      <c r="AH690" s="8">
        <f t="shared" si="381"/>
        <v>8.568394268550289E-2</v>
      </c>
      <c r="AI690" s="8">
        <f t="shared" si="382"/>
        <v>0.16429436614097692</v>
      </c>
      <c r="AJ690" s="8">
        <f t="shared" si="383"/>
        <v>0.10656559255668131</v>
      </c>
      <c r="AK690" s="8">
        <f t="shared" si="384"/>
        <v>0.17538954353504535</v>
      </c>
      <c r="AL690" s="9">
        <v>0</v>
      </c>
      <c r="AM690" s="17">
        <f t="shared" si="361"/>
        <v>10.725280404147259</v>
      </c>
      <c r="AN690" s="13">
        <f t="shared" si="362"/>
        <v>6.6074080802503348</v>
      </c>
      <c r="AO690" s="13">
        <f t="shared" si="363"/>
        <v>13.229044973589307</v>
      </c>
      <c r="AP690" s="13">
        <f t="shared" si="364"/>
        <v>10.405469506919674</v>
      </c>
      <c r="AQ690" s="13">
        <f t="shared" si="365"/>
        <v>11.67079815258306</v>
      </c>
      <c r="AR690" s="13">
        <f t="shared" si="366"/>
        <v>6.0866359783872612</v>
      </c>
      <c r="AS690" s="13">
        <f t="shared" si="367"/>
        <v>9.3838918923864529</v>
      </c>
      <c r="AT690" s="13">
        <f t="shared" si="368"/>
        <v>5.7015941762810147</v>
      </c>
      <c r="AU690" s="9">
        <v>0</v>
      </c>
      <c r="AV690" s="18">
        <f t="shared" si="385"/>
        <v>3</v>
      </c>
      <c r="AW690" s="18">
        <f t="shared" si="386"/>
        <v>6</v>
      </c>
      <c r="AX690" s="18">
        <f t="shared" si="387"/>
        <v>1</v>
      </c>
      <c r="AY690" s="18">
        <f t="shared" si="388"/>
        <v>4</v>
      </c>
      <c r="AZ690" s="18">
        <f t="shared" si="389"/>
        <v>2</v>
      </c>
      <c r="BA690" s="18">
        <f t="shared" si="390"/>
        <v>7</v>
      </c>
      <c r="BB690" s="18">
        <f t="shared" si="391"/>
        <v>5</v>
      </c>
      <c r="BC690" s="18">
        <f t="shared" si="392"/>
        <v>8</v>
      </c>
      <c r="BD690" s="18">
        <f t="shared" si="393"/>
        <v>9</v>
      </c>
      <c r="BE690" s="8">
        <f t="shared" si="395"/>
        <v>7.1062716756288228E-3</v>
      </c>
    </row>
    <row r="691" spans="1:57" x14ac:dyDescent="0.25">
      <c r="A691" t="str">
        <f t="shared" si="394"/>
        <v/>
      </c>
      <c r="B691" s="1">
        <v>43756</v>
      </c>
      <c r="C691" s="9">
        <f t="shared" si="369"/>
        <v>0.25233232552387019</v>
      </c>
      <c r="D691" s="9">
        <f t="shared" si="370"/>
        <v>0</v>
      </c>
      <c r="E691" s="9">
        <f t="shared" si="371"/>
        <v>0.24619972729337594</v>
      </c>
      <c r="F691" s="9">
        <f t="shared" si="372"/>
        <v>0.25026428523484373</v>
      </c>
      <c r="G691" s="9">
        <f t="shared" si="373"/>
        <v>0.25120366194791022</v>
      </c>
      <c r="H691" s="9">
        <f t="shared" si="374"/>
        <v>0</v>
      </c>
      <c r="I691" s="9">
        <f t="shared" si="375"/>
        <v>0</v>
      </c>
      <c r="J691" s="9">
        <f t="shared" si="376"/>
        <v>0</v>
      </c>
      <c r="K691" s="9">
        <v>0</v>
      </c>
      <c r="L691" s="8">
        <f>+VLOOKUP($B691,NIFTY_50!$B$3:$I$1238,8,0)</f>
        <v>6.5162885636977919E-3</v>
      </c>
      <c r="M691" s="8">
        <f>+VLOOKUP($B691,NIFTY_BANK!$B$3:$I$41238,8,0)</f>
        <v>4.5119862570692781E-3</v>
      </c>
      <c r="N691" s="8">
        <f>+VLOOKUP($B691,NIFTY_IT!$B$3:$I$1238,8,0)</f>
        <v>8.3890092200578081E-3</v>
      </c>
      <c r="O691" s="8">
        <f>+VLOOKUP($B691,NIFTY_PHARMA!$B$3:$I$1238,8,0)</f>
        <v>9.9157756406427211E-3</v>
      </c>
      <c r="P691" s="8">
        <f>+VLOOKUP($B691,NIFTY_FMCG!$B$3:$I$1238,8,0)</f>
        <v>5.4114177563442389E-3</v>
      </c>
      <c r="Q691" s="8">
        <f>+VLOOKUP($B691,NIFTY_METAL!$B$3:$I$1238,8,0)</f>
        <v>1.8685580372882038E-2</v>
      </c>
      <c r="R691" s="8">
        <f>+VLOOKUP($B691,NIFTY_ENERGY!$B$3:$I$1238,8,0)</f>
        <v>1.2962707960392006E-2</v>
      </c>
      <c r="S691" s="8">
        <f>+VLOOKUP($B691,NIFTY_AUTO!$B$3:$I$1238,8,0)</f>
        <v>6.4126863785696209E-3</v>
      </c>
      <c r="T691" s="8">
        <v>0</v>
      </c>
      <c r="U691" s="8">
        <f>+VLOOKUP($B691,NIFTY_50!$B$63:$K$1238,10,0)</f>
        <v>-2.1946524064170303E-3</v>
      </c>
      <c r="V691" s="8">
        <f>+VLOOKUP($B691,NIFTY_BANK!$B$63:$K$1238,10,0)</f>
        <v>-5.2553236485497257E-2</v>
      </c>
      <c r="W691" s="8">
        <f>+VLOOKUP($B691,NIFTY_IT!$B$63:$K$1238,10,0)</f>
        <v>-1.6962235264098013E-2</v>
      </c>
      <c r="X691" s="8">
        <f>+VLOOKUP($B691,NIFTY_PHARMA!$B$63:$K$1238,10,0)</f>
        <v>-8.6738889055607227E-2</v>
      </c>
      <c r="Y691" s="8">
        <f>+VLOOKUP($B691,NIFTY_FMCG!$B$63:$K$1238,10,0)</f>
        <v>6.3726077817267024E-2</v>
      </c>
      <c r="Z691" s="8">
        <f>+VLOOKUP($B691,NIFTY_METAL!$B$63:$K$1238,10,0)</f>
        <v>-0.13788261724234774</v>
      </c>
      <c r="AA691" s="8">
        <f>+VLOOKUP($B691,NIFTY_ENERGY!$B$63:$K$1238,10,0)</f>
        <v>4.2898569403273745E-2</v>
      </c>
      <c r="AB691" s="8">
        <f>+VLOOKUP($B691,NIFTY_AUTO!$B$63:$K$1238,10,0)</f>
        <v>4.1395631623333706E-2</v>
      </c>
      <c r="AC691" s="8"/>
      <c r="AD691" s="16">
        <f t="shared" si="377"/>
        <v>9.3440754134036477E-2</v>
      </c>
      <c r="AE691" s="8">
        <f t="shared" si="378"/>
        <v>0.15131262773997739</v>
      </c>
      <c r="AF691" s="8">
        <f t="shared" si="379"/>
        <v>7.5815155578297613E-2</v>
      </c>
      <c r="AG691" s="8">
        <f t="shared" si="380"/>
        <v>9.6778259782551557E-2</v>
      </c>
      <c r="AH691" s="8">
        <f t="shared" si="381"/>
        <v>8.5478275514306604E-2</v>
      </c>
      <c r="AI691" s="8">
        <f t="shared" si="382"/>
        <v>0.16561130352670422</v>
      </c>
      <c r="AJ691" s="8">
        <f t="shared" si="383"/>
        <v>0.10689703897671636</v>
      </c>
      <c r="AK691" s="8">
        <f t="shared" si="384"/>
        <v>0.17513538552731425</v>
      </c>
      <c r="AL691" s="9">
        <v>0</v>
      </c>
      <c r="AM691" s="17">
        <f t="shared" si="361"/>
        <v>10.701968421247392</v>
      </c>
      <c r="AN691" s="13">
        <f t="shared" si="362"/>
        <v>6.6088337433307034</v>
      </c>
      <c r="AO691" s="13">
        <f t="shared" si="363"/>
        <v>13.189974911642256</v>
      </c>
      <c r="AP691" s="13">
        <f t="shared" si="364"/>
        <v>10.332899168127975</v>
      </c>
      <c r="AQ691" s="13">
        <f t="shared" si="365"/>
        <v>11.698878972267389</v>
      </c>
      <c r="AR691" s="13">
        <f t="shared" si="366"/>
        <v>6.0382351850684737</v>
      </c>
      <c r="AS691" s="13">
        <f t="shared" si="367"/>
        <v>9.3547960689333376</v>
      </c>
      <c r="AT691" s="13">
        <f t="shared" si="368"/>
        <v>5.7098683797629191</v>
      </c>
      <c r="AU691" s="9">
        <v>0</v>
      </c>
      <c r="AV691" s="18">
        <f t="shared" si="385"/>
        <v>3</v>
      </c>
      <c r="AW691" s="18">
        <f t="shared" si="386"/>
        <v>6</v>
      </c>
      <c r="AX691" s="18">
        <f t="shared" si="387"/>
        <v>1</v>
      </c>
      <c r="AY691" s="18">
        <f t="shared" si="388"/>
        <v>4</v>
      </c>
      <c r="AZ691" s="18">
        <f t="shared" si="389"/>
        <v>2</v>
      </c>
      <c r="BA691" s="18">
        <f t="shared" si="390"/>
        <v>7</v>
      </c>
      <c r="BB691" s="18">
        <f t="shared" si="391"/>
        <v>5</v>
      </c>
      <c r="BC691" s="18">
        <f t="shared" si="392"/>
        <v>8</v>
      </c>
      <c r="BD691" s="18">
        <f t="shared" si="393"/>
        <v>9</v>
      </c>
      <c r="BE691" s="8">
        <f t="shared" si="395"/>
        <v>7.5476050864398863E-3</v>
      </c>
    </row>
    <row r="692" spans="1:57" x14ac:dyDescent="0.25">
      <c r="A692" t="str">
        <f t="shared" si="394"/>
        <v/>
      </c>
      <c r="B692" s="1">
        <v>43760</v>
      </c>
      <c r="C692" s="9">
        <f t="shared" si="369"/>
        <v>0.25259034427255073</v>
      </c>
      <c r="D692" s="9">
        <f t="shared" si="370"/>
        <v>0</v>
      </c>
      <c r="E692" s="9">
        <f t="shared" si="371"/>
        <v>0.23640338740025468</v>
      </c>
      <c r="F692" s="9">
        <f t="shared" si="372"/>
        <v>0.25668200018146398</v>
      </c>
      <c r="G692" s="9">
        <f t="shared" si="373"/>
        <v>0.25432426814573061</v>
      </c>
      <c r="H692" s="9">
        <f t="shared" si="374"/>
        <v>0</v>
      </c>
      <c r="I692" s="9">
        <f t="shared" si="375"/>
        <v>0</v>
      </c>
      <c r="J692" s="9">
        <f t="shared" si="376"/>
        <v>0</v>
      </c>
      <c r="K692" s="9">
        <v>0</v>
      </c>
      <c r="L692" s="8">
        <f>+VLOOKUP($B692,NIFTY_50!$B$3:$I$1238,8,0)</f>
        <v>-6.302602074284902E-3</v>
      </c>
      <c r="M692" s="8">
        <f>+VLOOKUP($B692,NIFTY_BANK!$B$3:$I$41238,8,0)</f>
        <v>9.98961203973181E-3</v>
      </c>
      <c r="N692" s="8">
        <f>+VLOOKUP($B692,NIFTY_IT!$B$3:$I$1238,8,0)</f>
        <v>-4.6816698139531931E-2</v>
      </c>
      <c r="O692" s="8">
        <f>+VLOOKUP($B692,NIFTY_PHARMA!$B$3:$I$1238,8,0)</f>
        <v>1.8138443642672586E-2</v>
      </c>
      <c r="P692" s="8">
        <f>+VLOOKUP($B692,NIFTY_FMCG!$B$3:$I$1238,8,0)</f>
        <v>5.0140549085835318E-3</v>
      </c>
      <c r="Q692" s="8">
        <f>+VLOOKUP($B692,NIFTY_METAL!$B$3:$I$1238,8,0)</f>
        <v>-5.3542345276873515E-3</v>
      </c>
      <c r="R692" s="8">
        <f>+VLOOKUP($B692,NIFTY_ENERGY!$B$3:$I$1238,8,0)</f>
        <v>5.2645563128332906E-3</v>
      </c>
      <c r="S692" s="8">
        <f>+VLOOKUP($B692,NIFTY_AUTO!$B$3:$I$1238,8,0)</f>
        <v>-3.5280454502653047E-3</v>
      </c>
      <c r="T692" s="8">
        <v>0</v>
      </c>
      <c r="U692" s="8">
        <f>+VLOOKUP($B692,NIFTY_50!$B$63:$K$1238,10,0)</f>
        <v>-7.3726599349821509E-4</v>
      </c>
      <c r="V692" s="8">
        <f>+VLOOKUP($B692,NIFTY_BANK!$B$63:$K$1238,10,0)</f>
        <v>-3.3500818255308706E-2</v>
      </c>
      <c r="W692" s="8">
        <f>+VLOOKUP($B692,NIFTY_IT!$B$63:$K$1238,10,0)</f>
        <v>-5.2253443881665973E-2</v>
      </c>
      <c r="X692" s="8">
        <f>+VLOOKUP($B692,NIFTY_PHARMA!$B$63:$K$1238,10,0)</f>
        <v>-5.8006968132649939E-2</v>
      </c>
      <c r="Y692" s="8">
        <f>+VLOOKUP($B692,NIFTY_FMCG!$B$63:$K$1238,10,0)</f>
        <v>7.1242712467728397E-2</v>
      </c>
      <c r="Z692" s="8">
        <f>+VLOOKUP($B692,NIFTY_METAL!$B$63:$K$1238,10,0)</f>
        <v>-0.12083423306701213</v>
      </c>
      <c r="AA692" s="8">
        <f>+VLOOKUP($B692,NIFTY_ENERGY!$B$63:$K$1238,10,0)</f>
        <v>6.634811705059751E-2</v>
      </c>
      <c r="AB692" s="8">
        <f>+VLOOKUP($B692,NIFTY_AUTO!$B$63:$K$1238,10,0)</f>
        <v>6.6940460026617465E-2</v>
      </c>
      <c r="AC692" s="8"/>
      <c r="AD692" s="16">
        <f t="shared" si="377"/>
        <v>9.3330974205373271E-2</v>
      </c>
      <c r="AE692" s="8">
        <f t="shared" si="378"/>
        <v>0.15138789305980113</v>
      </c>
      <c r="AF692" s="8">
        <f t="shared" si="379"/>
        <v>8.8172138774344627E-2</v>
      </c>
      <c r="AG692" s="8">
        <f t="shared" si="380"/>
        <v>9.7979267187101593E-2</v>
      </c>
      <c r="AH692" s="8">
        <f t="shared" si="381"/>
        <v>8.5507796659075527E-2</v>
      </c>
      <c r="AI692" s="8">
        <f t="shared" si="382"/>
        <v>0.16409602618491714</v>
      </c>
      <c r="AJ692" s="8">
        <f t="shared" si="383"/>
        <v>0.10549147562125302</v>
      </c>
      <c r="AK692" s="8">
        <f t="shared" si="384"/>
        <v>0.17286410525619461</v>
      </c>
      <c r="AL692" s="9">
        <v>0</v>
      </c>
      <c r="AM692" s="17">
        <f t="shared" si="361"/>
        <v>10.714556539391912</v>
      </c>
      <c r="AN692" s="13">
        <f t="shared" si="362"/>
        <v>6.6055480381445086</v>
      </c>
      <c r="AO692" s="13">
        <f t="shared" si="363"/>
        <v>11.341451096692339</v>
      </c>
      <c r="AP692" s="13">
        <f t="shared" si="364"/>
        <v>10.206240857980658</v>
      </c>
      <c r="AQ692" s="13">
        <f t="shared" si="365"/>
        <v>11.694839992042564</v>
      </c>
      <c r="AR692" s="13">
        <f t="shared" si="366"/>
        <v>6.0939927873275632</v>
      </c>
      <c r="AS692" s="13">
        <f t="shared" si="367"/>
        <v>9.4794389225372946</v>
      </c>
      <c r="AT692" s="13">
        <f t="shared" si="368"/>
        <v>5.7848909611277719</v>
      </c>
      <c r="AU692" s="9">
        <v>0</v>
      </c>
      <c r="AV692" s="18">
        <f t="shared" si="385"/>
        <v>3</v>
      </c>
      <c r="AW692" s="18">
        <f t="shared" si="386"/>
        <v>6</v>
      </c>
      <c r="AX692" s="18">
        <f t="shared" si="387"/>
        <v>2</v>
      </c>
      <c r="AY692" s="18">
        <f t="shared" si="388"/>
        <v>4</v>
      </c>
      <c r="AZ692" s="18">
        <f t="shared" si="389"/>
        <v>1</v>
      </c>
      <c r="BA692" s="18">
        <f t="shared" si="390"/>
        <v>7</v>
      </c>
      <c r="BB692" s="18">
        <f t="shared" si="391"/>
        <v>5</v>
      </c>
      <c r="BC692" s="18">
        <f t="shared" si="392"/>
        <v>8</v>
      </c>
      <c r="BD692" s="18">
        <f t="shared" si="393"/>
        <v>9</v>
      </c>
      <c r="BE692" s="8">
        <f t="shared" si="395"/>
        <v>-7.3176549652349109E-3</v>
      </c>
    </row>
    <row r="693" spans="1:57" x14ac:dyDescent="0.25">
      <c r="A693" t="str">
        <f t="shared" si="394"/>
        <v/>
      </c>
      <c r="B693" s="1">
        <v>43761</v>
      </c>
      <c r="C693" s="9">
        <f t="shared" si="369"/>
        <v>0.25164483433777535</v>
      </c>
      <c r="D693" s="9">
        <f t="shared" si="370"/>
        <v>0</v>
      </c>
      <c r="E693" s="9">
        <f t="shared" si="371"/>
        <v>0.23751578231348758</v>
      </c>
      <c r="F693" s="9">
        <f t="shared" si="372"/>
        <v>0.2558916847909119</v>
      </c>
      <c r="G693" s="9">
        <f t="shared" si="373"/>
        <v>0.25494769855782506</v>
      </c>
      <c r="H693" s="9">
        <f t="shared" si="374"/>
        <v>0</v>
      </c>
      <c r="I693" s="9">
        <f t="shared" si="375"/>
        <v>0</v>
      </c>
      <c r="J693" s="9">
        <f t="shared" si="376"/>
        <v>0</v>
      </c>
      <c r="K693" s="9">
        <v>0</v>
      </c>
      <c r="L693" s="8">
        <f>+VLOOKUP($B693,NIFTY_50!$B$3:$I$1238,8,0)</f>
        <v>1.3591236025836118E-3</v>
      </c>
      <c r="M693" s="8">
        <f>+VLOOKUP($B693,NIFTY_BANK!$B$3:$I$41238,8,0)</f>
        <v>1.6473344292895487E-3</v>
      </c>
      <c r="N693" s="8">
        <f>+VLOOKUP($B693,NIFTY_IT!$B$3:$I$1238,8,0)</f>
        <v>9.8511435700354699E-3</v>
      </c>
      <c r="O693" s="8">
        <f>+VLOOKUP($B693,NIFTY_PHARMA!$B$3:$I$1238,8,0)</f>
        <v>2.0268133201655214E-3</v>
      </c>
      <c r="P693" s="8">
        <f>+VLOOKUP($B693,NIFTY_FMCG!$B$3:$I$1238,8,0)</f>
        <v>7.5854248659166235E-3</v>
      </c>
      <c r="Q693" s="8">
        <f>+VLOOKUP($B693,NIFTY_METAL!$B$3:$I$1238,8,0)</f>
        <v>-2.4561475325951543E-3</v>
      </c>
      <c r="R693" s="8">
        <f>+VLOOKUP($B693,NIFTY_ENERGY!$B$3:$I$1238,8,0)</f>
        <v>-8.9987645138884798E-3</v>
      </c>
      <c r="S693" s="8">
        <f>+VLOOKUP($B693,NIFTY_AUTO!$B$3:$I$1238,8,0)</f>
        <v>1.2593474576805264E-2</v>
      </c>
      <c r="T693" s="8">
        <v>0</v>
      </c>
      <c r="U693" s="8">
        <f>+VLOOKUP($B693,NIFTY_50!$B$63:$K$1238,10,0)</f>
        <v>1.6187577993300728E-2</v>
      </c>
      <c r="V693" s="8">
        <f>+VLOOKUP($B693,NIFTY_BANK!$B$63:$K$1238,10,0)</f>
        <v>-1.0438238045572201E-2</v>
      </c>
      <c r="W693" s="8">
        <f>+VLOOKUP($B693,NIFTY_IT!$B$63:$K$1238,10,0)</f>
        <v>-3.5771744676978412E-2</v>
      </c>
      <c r="X693" s="8">
        <f>+VLOOKUP($B693,NIFTY_PHARMA!$B$63:$K$1238,10,0)</f>
        <v>-3.4607778510217568E-2</v>
      </c>
      <c r="Y693" s="8">
        <f>+VLOOKUP($B693,NIFTY_FMCG!$B$63:$K$1238,10,0)</f>
        <v>9.8940489293791511E-2</v>
      </c>
      <c r="Z693" s="8">
        <f>+VLOOKUP($B693,NIFTY_METAL!$B$63:$K$1238,10,0)</f>
        <v>-0.11123876214964346</v>
      </c>
      <c r="AA693" s="8">
        <f>+VLOOKUP($B693,NIFTY_ENERGY!$B$63:$K$1238,10,0)</f>
        <v>5.9081264657001586E-2</v>
      </c>
      <c r="AB693" s="8">
        <f>+VLOOKUP($B693,NIFTY_AUTO!$B$63:$K$1238,10,0)</f>
        <v>0.11731952313093053</v>
      </c>
      <c r="AC693" s="8"/>
      <c r="AD693" s="16">
        <f t="shared" si="377"/>
        <v>9.2039901594150972E-2</v>
      </c>
      <c r="AE693" s="8">
        <f t="shared" si="378"/>
        <v>0.14986256984348556</v>
      </c>
      <c r="AF693" s="8">
        <f t="shared" si="379"/>
        <v>8.8542134468920036E-2</v>
      </c>
      <c r="AG693" s="8">
        <f t="shared" si="380"/>
        <v>9.5616857696987231E-2</v>
      </c>
      <c r="AH693" s="8">
        <f t="shared" si="381"/>
        <v>8.3552500192710377E-2</v>
      </c>
      <c r="AI693" s="8">
        <f t="shared" si="382"/>
        <v>0.16369909050705717</v>
      </c>
      <c r="AJ693" s="8">
        <f t="shared" si="383"/>
        <v>0.10592167951830955</v>
      </c>
      <c r="AK693" s="8">
        <f t="shared" si="384"/>
        <v>0.16968847097690948</v>
      </c>
      <c r="AL693" s="9">
        <v>0</v>
      </c>
      <c r="AM693" s="17">
        <f t="shared" si="361"/>
        <v>10.864852989624978</v>
      </c>
      <c r="AN693" s="13">
        <f t="shared" si="362"/>
        <v>6.6727802749171223</v>
      </c>
      <c r="AO693" s="13">
        <f t="shared" si="363"/>
        <v>11.294057975878353</v>
      </c>
      <c r="AP693" s="13">
        <f t="shared" si="364"/>
        <v>10.458406855086483</v>
      </c>
      <c r="AQ693" s="13">
        <f t="shared" si="365"/>
        <v>11.968522757470351</v>
      </c>
      <c r="AR693" s="13">
        <f t="shared" si="366"/>
        <v>6.1087694311709653</v>
      </c>
      <c r="AS693" s="13">
        <f t="shared" si="367"/>
        <v>9.4409379132544871</v>
      </c>
      <c r="AT693" s="13">
        <f t="shared" si="368"/>
        <v>5.893152282196449</v>
      </c>
      <c r="AU693" s="9">
        <v>0</v>
      </c>
      <c r="AV693" s="18">
        <f t="shared" si="385"/>
        <v>3</v>
      </c>
      <c r="AW693" s="18">
        <f t="shared" si="386"/>
        <v>6</v>
      </c>
      <c r="AX693" s="18">
        <f t="shared" si="387"/>
        <v>2</v>
      </c>
      <c r="AY693" s="18">
        <f t="shared" si="388"/>
        <v>4</v>
      </c>
      <c r="AZ693" s="18">
        <f t="shared" si="389"/>
        <v>1</v>
      </c>
      <c r="BA693" s="18">
        <f t="shared" si="390"/>
        <v>7</v>
      </c>
      <c r="BB693" s="18">
        <f t="shared" si="391"/>
        <v>5</v>
      </c>
      <c r="BC693" s="18">
        <f t="shared" si="392"/>
        <v>8</v>
      </c>
      <c r="BD693" s="18">
        <f t="shared" si="393"/>
        <v>9</v>
      </c>
      <c r="BE693" s="8">
        <f t="shared" si="395"/>
        <v>5.1215493330213592E-3</v>
      </c>
    </row>
    <row r="694" spans="1:57" x14ac:dyDescent="0.25">
      <c r="A694" t="str">
        <f t="shared" si="394"/>
        <v/>
      </c>
      <c r="B694" s="1">
        <v>43762</v>
      </c>
      <c r="C694" s="9">
        <f t="shared" si="369"/>
        <v>0.25208112860518711</v>
      </c>
      <c r="D694" s="9">
        <f t="shared" si="370"/>
        <v>0</v>
      </c>
      <c r="E694" s="9">
        <f t="shared" si="371"/>
        <v>0.23753600894775243</v>
      </c>
      <c r="F694" s="9">
        <f t="shared" si="372"/>
        <v>0.25569615069555035</v>
      </c>
      <c r="G694" s="9">
        <f t="shared" si="373"/>
        <v>0.25468671175151014</v>
      </c>
      <c r="H694" s="9">
        <f t="shared" si="374"/>
        <v>0</v>
      </c>
      <c r="I694" s="9">
        <f t="shared" si="375"/>
        <v>0</v>
      </c>
      <c r="J694" s="9">
        <f t="shared" si="376"/>
        <v>0</v>
      </c>
      <c r="K694" s="9">
        <v>0</v>
      </c>
      <c r="L694" s="8">
        <f>+VLOOKUP($B694,NIFTY_50!$B$3:$I$1238,8,0)</f>
        <v>-1.8527934092260612E-3</v>
      </c>
      <c r="M694" s="8">
        <f>+VLOOKUP($B694,NIFTY_BANK!$B$3:$I$41238,8,0)</f>
        <v>-1.1936686173607214E-2</v>
      </c>
      <c r="N694" s="8">
        <f>+VLOOKUP($B694,NIFTY_IT!$B$3:$I$1238,8,0)</f>
        <v>-3.4955016904475444E-3</v>
      </c>
      <c r="O694" s="8">
        <f>+VLOOKUP($B694,NIFTY_PHARMA!$B$3:$I$1238,8,0)</f>
        <v>-4.3417484233785331E-3</v>
      </c>
      <c r="P694" s="8">
        <f>+VLOOKUP($B694,NIFTY_FMCG!$B$3:$I$1238,8,0)</f>
        <v>-4.600378375243519E-3</v>
      </c>
      <c r="Q694" s="8">
        <f>+VLOOKUP($B694,NIFTY_METAL!$B$3:$I$1238,8,0)</f>
        <v>-7.0993290518496233E-3</v>
      </c>
      <c r="R694" s="8">
        <f>+VLOOKUP($B694,NIFTY_ENERGY!$B$3:$I$1238,8,0)</f>
        <v>-3.8455574507678669E-4</v>
      </c>
      <c r="S694" s="8">
        <f>+VLOOKUP($B694,NIFTY_AUTO!$B$3:$I$1238,8,0)</f>
        <v>-3.0112236517931823E-3</v>
      </c>
      <c r="T694" s="8">
        <v>0</v>
      </c>
      <c r="U694" s="8">
        <f>+VLOOKUP($B694,NIFTY_50!$B$63:$K$1238,10,0)</f>
        <v>2.0835169484056282E-2</v>
      </c>
      <c r="V694" s="8">
        <f>+VLOOKUP($B694,NIFTY_BANK!$B$63:$K$1238,10,0)</f>
        <v>-6.0440601742532962E-3</v>
      </c>
      <c r="W694" s="8">
        <f>+VLOOKUP($B694,NIFTY_IT!$B$63:$K$1238,10,0)</f>
        <v>-4.3160228504846798E-2</v>
      </c>
      <c r="X694" s="8">
        <f>+VLOOKUP($B694,NIFTY_PHARMA!$B$63:$K$1238,10,0)</f>
        <v>-4.8357006963556826E-2</v>
      </c>
      <c r="Y694" s="8">
        <f>+VLOOKUP($B694,NIFTY_FMCG!$B$63:$K$1238,10,0)</f>
        <v>0.10579332368679029</v>
      </c>
      <c r="Z694" s="8">
        <f>+VLOOKUP($B694,NIFTY_METAL!$B$63:$K$1238,10,0)</f>
        <v>-0.13218679387396426</v>
      </c>
      <c r="AA694" s="8">
        <f>+VLOOKUP($B694,NIFTY_ENERGY!$B$63:$K$1238,10,0)</f>
        <v>4.5162419989753566E-2</v>
      </c>
      <c r="AB694" s="8">
        <f>+VLOOKUP($B694,NIFTY_AUTO!$B$63:$K$1238,10,0)</f>
        <v>0.10971226758076247</v>
      </c>
      <c r="AC694" s="8"/>
      <c r="AD694" s="16">
        <f t="shared" si="377"/>
        <v>9.1817746820370569E-2</v>
      </c>
      <c r="AE694" s="8">
        <f t="shared" si="378"/>
        <v>0.14944912353186818</v>
      </c>
      <c r="AF694" s="8">
        <f t="shared" si="379"/>
        <v>8.8459797211975374E-2</v>
      </c>
      <c r="AG694" s="8">
        <f t="shared" si="380"/>
        <v>9.5093245135848964E-2</v>
      </c>
      <c r="AH694" s="8">
        <f t="shared" si="381"/>
        <v>8.2860085636827258E-2</v>
      </c>
      <c r="AI694" s="8">
        <f t="shared" si="382"/>
        <v>0.16270145607476483</v>
      </c>
      <c r="AJ694" s="8">
        <f t="shared" si="383"/>
        <v>0.1052474565754625</v>
      </c>
      <c r="AK694" s="8">
        <f t="shared" si="384"/>
        <v>0.16975250307818879</v>
      </c>
      <c r="AL694" s="9">
        <v>0</v>
      </c>
      <c r="AM694" s="17">
        <f t="shared" si="361"/>
        <v>10.89114070677828</v>
      </c>
      <c r="AN694" s="13">
        <f t="shared" si="362"/>
        <v>6.6912403122040551</v>
      </c>
      <c r="AO694" s="13">
        <f t="shared" si="363"/>
        <v>11.304570341753209</v>
      </c>
      <c r="AP694" s="13">
        <f t="shared" si="364"/>
        <v>10.51599404953962</v>
      </c>
      <c r="AQ694" s="13">
        <f t="shared" si="365"/>
        <v>12.068536887385848</v>
      </c>
      <c r="AR694" s="13">
        <f t="shared" si="366"/>
        <v>6.146226494374325</v>
      </c>
      <c r="AS694" s="13">
        <f t="shared" si="367"/>
        <v>9.501417255465924</v>
      </c>
      <c r="AT694" s="13">
        <f t="shared" si="368"/>
        <v>5.8909293345700791</v>
      </c>
      <c r="AU694" s="9">
        <v>0</v>
      </c>
      <c r="AV694" s="18">
        <f t="shared" si="385"/>
        <v>3</v>
      </c>
      <c r="AW694" s="18">
        <f t="shared" si="386"/>
        <v>6</v>
      </c>
      <c r="AX694" s="18">
        <f t="shared" si="387"/>
        <v>2</v>
      </c>
      <c r="AY694" s="18">
        <f t="shared" si="388"/>
        <v>4</v>
      </c>
      <c r="AZ694" s="18">
        <f t="shared" si="389"/>
        <v>1</v>
      </c>
      <c r="BA694" s="18">
        <f t="shared" si="390"/>
        <v>7</v>
      </c>
      <c r="BB694" s="18">
        <f t="shared" si="391"/>
        <v>5</v>
      </c>
      <c r="BC694" s="18">
        <f t="shared" si="392"/>
        <v>8</v>
      </c>
      <c r="BD694" s="18">
        <f t="shared" si="393"/>
        <v>9</v>
      </c>
      <c r="BE694" s="8">
        <f t="shared" si="395"/>
        <v>-3.5803559073717211E-3</v>
      </c>
    </row>
    <row r="695" spans="1:57" x14ac:dyDescent="0.25">
      <c r="A695" t="str">
        <f t="shared" si="394"/>
        <v/>
      </c>
      <c r="B695" s="1">
        <v>43763</v>
      </c>
      <c r="C695" s="9">
        <f t="shared" si="369"/>
        <v>0.25169337104069656</v>
      </c>
      <c r="D695" s="9">
        <f t="shared" si="370"/>
        <v>0</v>
      </c>
      <c r="E695" s="9">
        <f t="shared" si="371"/>
        <v>0.23902668966008603</v>
      </c>
      <c r="F695" s="9">
        <f t="shared" si="372"/>
        <v>0.25555164767275157</v>
      </c>
      <c r="G695" s="9">
        <f t="shared" si="373"/>
        <v>0.25372829162646582</v>
      </c>
      <c r="H695" s="9">
        <f t="shared" si="374"/>
        <v>0</v>
      </c>
      <c r="I695" s="9">
        <f t="shared" si="375"/>
        <v>0</v>
      </c>
      <c r="J695" s="9">
        <f t="shared" si="376"/>
        <v>0</v>
      </c>
      <c r="K695" s="9">
        <v>0</v>
      </c>
      <c r="L695" s="8">
        <f>+VLOOKUP($B695,NIFTY_50!$B$3:$I$1238,8,0)</f>
        <v>1.122373214994532E-4</v>
      </c>
      <c r="M695" s="8">
        <f>+VLOOKUP($B695,NIFTY_BANK!$B$3:$I$41238,8,0)</f>
        <v>9.8942041607190667E-3</v>
      </c>
      <c r="N695" s="8">
        <f>+VLOOKUP($B695,NIFTY_IT!$B$3:$I$1238,8,0)</f>
        <v>7.9389777762743918E-3</v>
      </c>
      <c r="O695" s="8">
        <f>+VLOOKUP($B695,NIFTY_PHARMA!$B$3:$I$1238,8,0)</f>
        <v>1.0869354243900897E-3</v>
      </c>
      <c r="P695" s="8">
        <f>+VLOOKUP($B695,NIFTY_FMCG!$B$3:$I$1238,8,0)</f>
        <v>-2.1163487944370063E-3</v>
      </c>
      <c r="Q695" s="8">
        <f>+VLOOKUP($B695,NIFTY_METAL!$B$3:$I$1238,8,0)</f>
        <v>-3.595709946064507E-3</v>
      </c>
      <c r="R695" s="8">
        <f>+VLOOKUP($B695,NIFTY_ENERGY!$B$3:$I$1238,8,0)</f>
        <v>-2.7704870224555256E-3</v>
      </c>
      <c r="S695" s="8">
        <f>+VLOOKUP($B695,NIFTY_AUTO!$B$3:$I$1238,8,0)</f>
        <v>-3.251210623533396E-3</v>
      </c>
      <c r="T695" s="8">
        <v>0</v>
      </c>
      <c r="U695" s="8">
        <f>+VLOOKUP($B695,NIFTY_50!$B$63:$K$1238,10,0)</f>
        <v>2.2314789891492826E-2</v>
      </c>
      <c r="V695" s="8">
        <f>+VLOOKUP($B695,NIFTY_BANK!$B$63:$K$1238,10,0)</f>
        <v>9.1955877657656782E-3</v>
      </c>
      <c r="W695" s="8">
        <f>+VLOOKUP($B695,NIFTY_IT!$B$63:$K$1238,10,0)</f>
        <v>-3.8374404585178157E-2</v>
      </c>
      <c r="X695" s="8">
        <f>+VLOOKUP($B695,NIFTY_PHARMA!$B$63:$K$1238,10,0)</f>
        <v>-4.0564756654864698E-2</v>
      </c>
      <c r="Y695" s="8">
        <f>+VLOOKUP($B695,NIFTY_FMCG!$B$63:$K$1238,10,0)</f>
        <v>9.2949856679164666E-2</v>
      </c>
      <c r="Z695" s="8">
        <f>+VLOOKUP($B695,NIFTY_METAL!$B$63:$K$1238,10,0)</f>
        <v>-0.13239766081871351</v>
      </c>
      <c r="AA695" s="8">
        <f>+VLOOKUP($B695,NIFTY_ENERGY!$B$63:$K$1238,10,0)</f>
        <v>3.9788699362410362E-2</v>
      </c>
      <c r="AB695" s="8">
        <f>+VLOOKUP($B695,NIFTY_AUTO!$B$63:$K$1238,10,0)</f>
        <v>0.11282422857461372</v>
      </c>
      <c r="AC695" s="8"/>
      <c r="AD695" s="16">
        <f t="shared" si="377"/>
        <v>9.1801511577017061E-2</v>
      </c>
      <c r="AE695" s="8">
        <f t="shared" si="378"/>
        <v>0.14965959336967768</v>
      </c>
      <c r="AF695" s="8">
        <f t="shared" si="379"/>
        <v>8.8802094542227372E-2</v>
      </c>
      <c r="AG695" s="8">
        <f t="shared" si="380"/>
        <v>9.4895788751832966E-2</v>
      </c>
      <c r="AH695" s="8">
        <f t="shared" si="381"/>
        <v>8.255703474615321E-2</v>
      </c>
      <c r="AI695" s="8">
        <f t="shared" si="382"/>
        <v>0.16270349148000393</v>
      </c>
      <c r="AJ695" s="8">
        <f t="shared" si="383"/>
        <v>0.10529476449919796</v>
      </c>
      <c r="AK695" s="8">
        <f t="shared" si="384"/>
        <v>0.16964396646111243</v>
      </c>
      <c r="AL695" s="9">
        <v>0</v>
      </c>
      <c r="AM695" s="17">
        <f t="shared" si="361"/>
        <v>10.893066822337103</v>
      </c>
      <c r="AN695" s="13">
        <f t="shared" si="362"/>
        <v>6.681830262159516</v>
      </c>
      <c r="AO695" s="13">
        <f t="shared" si="363"/>
        <v>11.260995646048391</v>
      </c>
      <c r="AP695" s="13">
        <f t="shared" si="364"/>
        <v>10.537875422640232</v>
      </c>
      <c r="AQ695" s="13">
        <f t="shared" si="365"/>
        <v>12.11283814970832</v>
      </c>
      <c r="AR695" s="13">
        <f t="shared" si="366"/>
        <v>6.1461496056641094</v>
      </c>
      <c r="AS695" s="13">
        <f t="shared" si="367"/>
        <v>9.4971483601885733</v>
      </c>
      <c r="AT695" s="13">
        <f t="shared" si="368"/>
        <v>5.8946982958526286</v>
      </c>
      <c r="AU695" s="9">
        <v>0</v>
      </c>
      <c r="AV695" s="18">
        <f t="shared" si="385"/>
        <v>3</v>
      </c>
      <c r="AW695" s="18">
        <f t="shared" si="386"/>
        <v>6</v>
      </c>
      <c r="AX695" s="18">
        <f t="shared" si="387"/>
        <v>2</v>
      </c>
      <c r="AY695" s="18">
        <f t="shared" si="388"/>
        <v>4</v>
      </c>
      <c r="AZ695" s="18">
        <f t="shared" si="389"/>
        <v>1</v>
      </c>
      <c r="BA695" s="18">
        <f t="shared" si="390"/>
        <v>7</v>
      </c>
      <c r="BB695" s="18">
        <f t="shared" si="391"/>
        <v>5</v>
      </c>
      <c r="BC695" s="18">
        <f t="shared" si="392"/>
        <v>8</v>
      </c>
      <c r="BD695" s="18">
        <f t="shared" si="393"/>
        <v>9</v>
      </c>
      <c r="BE695" s="8">
        <f t="shared" si="395"/>
        <v>1.6530052954730739E-3</v>
      </c>
    </row>
    <row r="696" spans="1:57" x14ac:dyDescent="0.25">
      <c r="A696" t="str">
        <f t="shared" si="394"/>
        <v/>
      </c>
      <c r="B696" s="1">
        <v>43765</v>
      </c>
      <c r="C696" s="9">
        <f t="shared" si="369"/>
        <v>0.25186793894467102</v>
      </c>
      <c r="D696" s="9">
        <f t="shared" si="370"/>
        <v>0</v>
      </c>
      <c r="E696" s="9">
        <f t="shared" si="371"/>
        <v>0.23922323334303769</v>
      </c>
      <c r="F696" s="9">
        <f t="shared" si="372"/>
        <v>0.25500816784933911</v>
      </c>
      <c r="G696" s="9">
        <f t="shared" si="373"/>
        <v>0.25390065986295218</v>
      </c>
      <c r="H696" s="9">
        <f t="shared" si="374"/>
        <v>0</v>
      </c>
      <c r="I696" s="9">
        <f t="shared" si="375"/>
        <v>0</v>
      </c>
      <c r="J696" s="9">
        <f t="shared" si="376"/>
        <v>0</v>
      </c>
      <c r="K696" s="9">
        <v>0</v>
      </c>
      <c r="L696" s="8">
        <f>+VLOOKUP($B696,NIFTY_50!$B$3:$I$1238,8,0)</f>
        <v>3.7336302972228452E-3</v>
      </c>
      <c r="M696" s="8">
        <f>+VLOOKUP($B696,NIFTY_BANK!$B$3:$I$41238,8,0)</f>
        <v>4.0941013983217811E-3</v>
      </c>
      <c r="N696" s="8">
        <f>+VLOOKUP($B696,NIFTY_IT!$B$3:$I$1238,8,0)</f>
        <v>3.8627142363336642E-3</v>
      </c>
      <c r="O696" s="8">
        <f>+VLOOKUP($B696,NIFTY_PHARMA!$B$3:$I$1238,8,0)</f>
        <v>9.0479606542959168E-4</v>
      </c>
      <c r="P696" s="8">
        <f>+VLOOKUP($B696,NIFTY_FMCG!$B$3:$I$1238,8,0)</f>
        <v>3.7193551644911782E-3</v>
      </c>
      <c r="Q696" s="8">
        <f>+VLOOKUP($B696,NIFTY_METAL!$B$3:$I$1238,8,0)</f>
        <v>4.6041852458675869E-3</v>
      </c>
      <c r="R696" s="8">
        <f>+VLOOKUP($B696,NIFTY_ENERGY!$B$3:$I$1238,8,0)</f>
        <v>2.6195194643985342E-3</v>
      </c>
      <c r="S696" s="8">
        <f>+VLOOKUP($B696,NIFTY_AUTO!$B$3:$I$1238,8,0)</f>
        <v>1.4480958134817534E-2</v>
      </c>
      <c r="T696" s="8">
        <v>0</v>
      </c>
      <c r="U696" s="8">
        <f>+VLOOKUP($B696,NIFTY_50!$B$63:$K$1238,10,0)</f>
        <v>3.1571336048193288E-2</v>
      </c>
      <c r="V696" s="8">
        <f>+VLOOKUP($B696,NIFTY_BANK!$B$63:$K$1238,10,0)</f>
        <v>1.948207824953152E-2</v>
      </c>
      <c r="W696" s="8">
        <f>+VLOOKUP($B696,NIFTY_IT!$B$63:$K$1238,10,0)</f>
        <v>-2.7589681907579267E-2</v>
      </c>
      <c r="X696" s="8">
        <f>+VLOOKUP($B696,NIFTY_PHARMA!$B$63:$K$1238,10,0)</f>
        <v>-2.2359276069514378E-2</v>
      </c>
      <c r="Y696" s="8">
        <f>+VLOOKUP($B696,NIFTY_FMCG!$B$63:$K$1238,10,0)</f>
        <v>9.695438475467788E-2</v>
      </c>
      <c r="Z696" s="8">
        <f>+VLOOKUP($B696,NIFTY_METAL!$B$63:$K$1238,10,0)</f>
        <v>-0.10726331115575294</v>
      </c>
      <c r="AA696" s="8">
        <f>+VLOOKUP($B696,NIFTY_ENERGY!$B$63:$K$1238,10,0)</f>
        <v>5.4861643001629989E-2</v>
      </c>
      <c r="AB696" s="8">
        <f>+VLOOKUP($B696,NIFTY_AUTO!$B$63:$K$1238,10,0)</f>
        <v>0.1513919877215173</v>
      </c>
      <c r="AC696" s="8"/>
      <c r="AD696" s="16">
        <f t="shared" si="377"/>
        <v>9.1676463995841229E-2</v>
      </c>
      <c r="AE696" s="8">
        <f t="shared" si="378"/>
        <v>0.14956583032853998</v>
      </c>
      <c r="AF696" s="8">
        <f t="shared" si="379"/>
        <v>8.8649084817282425E-2</v>
      </c>
      <c r="AG696" s="8">
        <f t="shared" si="380"/>
        <v>9.3318719800069075E-2</v>
      </c>
      <c r="AH696" s="8">
        <f t="shared" si="381"/>
        <v>8.2572302646957543E-2</v>
      </c>
      <c r="AI696" s="8">
        <f t="shared" si="382"/>
        <v>0.16136632285082739</v>
      </c>
      <c r="AJ696" s="8">
        <f t="shared" si="383"/>
        <v>0.10455860674442002</v>
      </c>
      <c r="AK696" s="8">
        <f t="shared" si="384"/>
        <v>0.16868491893531901</v>
      </c>
      <c r="AL696" s="9">
        <v>0</v>
      </c>
      <c r="AM696" s="17">
        <f t="shared" si="361"/>
        <v>10.907925070554244</v>
      </c>
      <c r="AN696" s="13">
        <f t="shared" si="362"/>
        <v>6.6860191114733585</v>
      </c>
      <c r="AO696" s="13">
        <f t="shared" si="363"/>
        <v>11.280432302951951</v>
      </c>
      <c r="AP696" s="13">
        <f t="shared" si="364"/>
        <v>10.715963550962256</v>
      </c>
      <c r="AQ696" s="13">
        <f t="shared" si="365"/>
        <v>12.110598444560223</v>
      </c>
      <c r="AR696" s="13">
        <f t="shared" si="366"/>
        <v>6.1970799255581639</v>
      </c>
      <c r="AS696" s="13">
        <f t="shared" si="367"/>
        <v>9.5640142034827473</v>
      </c>
      <c r="AT696" s="13">
        <f t="shared" si="368"/>
        <v>5.9282122332669385</v>
      </c>
      <c r="AU696" s="9">
        <v>0</v>
      </c>
      <c r="AV696" s="18">
        <f t="shared" si="385"/>
        <v>3</v>
      </c>
      <c r="AW696" s="18">
        <f t="shared" si="386"/>
        <v>6</v>
      </c>
      <c r="AX696" s="18">
        <f t="shared" si="387"/>
        <v>2</v>
      </c>
      <c r="AY696" s="18">
        <f t="shared" si="388"/>
        <v>4</v>
      </c>
      <c r="AZ696" s="18">
        <f t="shared" si="389"/>
        <v>1</v>
      </c>
      <c r="BA696" s="18">
        <f t="shared" si="390"/>
        <v>7</v>
      </c>
      <c r="BB696" s="18">
        <f t="shared" si="391"/>
        <v>5</v>
      </c>
      <c r="BC696" s="18">
        <f t="shared" si="392"/>
        <v>8</v>
      </c>
      <c r="BD696" s="18">
        <f t="shared" si="393"/>
        <v>9</v>
      </c>
      <c r="BE696" s="8">
        <f t="shared" si="395"/>
        <v>3.0379495499081935E-3</v>
      </c>
    </row>
    <row r="697" spans="1:57" x14ac:dyDescent="0.25">
      <c r="A697" t="str">
        <f t="shared" si="394"/>
        <v/>
      </c>
      <c r="B697" s="1">
        <v>43767</v>
      </c>
      <c r="C697" s="9">
        <f t="shared" si="369"/>
        <v>0.25257348143187364</v>
      </c>
      <c r="D697" s="9">
        <f t="shared" si="370"/>
        <v>0</v>
      </c>
      <c r="E697" s="9">
        <f t="shared" si="371"/>
        <v>0.24020303385719874</v>
      </c>
      <c r="F697" s="9">
        <f t="shared" si="372"/>
        <v>0.25489804826662721</v>
      </c>
      <c r="G697" s="9">
        <f t="shared" si="373"/>
        <v>0.2523254364443005</v>
      </c>
      <c r="H697" s="9">
        <f t="shared" si="374"/>
        <v>0</v>
      </c>
      <c r="I697" s="9">
        <f t="shared" si="375"/>
        <v>0</v>
      </c>
      <c r="J697" s="9">
        <f t="shared" si="376"/>
        <v>0</v>
      </c>
      <c r="K697" s="9">
        <v>0</v>
      </c>
      <c r="L697" s="8">
        <f>+VLOOKUP($B697,NIFTY_50!$B$3:$I$1238,8,0)</f>
        <v>1.3735094154629479E-2</v>
      </c>
      <c r="M697" s="8">
        <f>+VLOOKUP($B697,NIFTY_BANK!$B$3:$I$41238,8,0)</f>
        <v>1.2086542012379686E-2</v>
      </c>
      <c r="N697" s="8">
        <f>+VLOOKUP($B697,NIFTY_IT!$B$3:$I$1238,8,0)</f>
        <v>1.5043727100104265E-2</v>
      </c>
      <c r="O697" s="8">
        <f>+VLOOKUP($B697,NIFTY_PHARMA!$B$3:$I$1238,8,0)</f>
        <v>1.0466775574510478E-2</v>
      </c>
      <c r="P697" s="8">
        <f>+VLOOKUP($B697,NIFTY_FMCG!$B$3:$I$1238,8,0)</f>
        <v>4.6315729897228319E-3</v>
      </c>
      <c r="Q697" s="8">
        <f>+VLOOKUP($B697,NIFTY_METAL!$B$3:$I$1238,8,0)</f>
        <v>3.9781993847932684E-2</v>
      </c>
      <c r="R697" s="8">
        <f>+VLOOKUP($B697,NIFTY_ENERGY!$B$3:$I$1238,8,0)</f>
        <v>1.2700333566053823E-2</v>
      </c>
      <c r="S697" s="8">
        <f>+VLOOKUP($B697,NIFTY_AUTO!$B$3:$I$1238,8,0)</f>
        <v>4.2921500863984274E-2</v>
      </c>
      <c r="T697" s="8">
        <v>0</v>
      </c>
      <c r="U697" s="8">
        <f>+VLOOKUP($B697,NIFTY_50!$B$63:$K$1238,10,0)</f>
        <v>4.7519807325711261E-2</v>
      </c>
      <c r="V697" s="8">
        <f>+VLOOKUP($B697,NIFTY_BANK!$B$63:$K$1238,10,0)</f>
        <v>2.8578265712450923E-2</v>
      </c>
      <c r="W697" s="8">
        <f>+VLOOKUP($B697,NIFTY_IT!$B$63:$K$1238,10,0)</f>
        <v>-1.8950347826929836E-2</v>
      </c>
      <c r="X697" s="8">
        <f>+VLOOKUP($B697,NIFTY_PHARMA!$B$63:$K$1238,10,0)</f>
        <v>-3.332571485048208E-2</v>
      </c>
      <c r="Y697" s="8">
        <f>+VLOOKUP($B697,NIFTY_FMCG!$B$63:$K$1238,10,0)</f>
        <v>0.10237531289300317</v>
      </c>
      <c r="Z697" s="8">
        <f>+VLOOKUP($B697,NIFTY_METAL!$B$63:$K$1238,10,0)</f>
        <v>-6.2574449076831407E-2</v>
      </c>
      <c r="AA697" s="8">
        <f>+VLOOKUP($B697,NIFTY_ENERGY!$B$63:$K$1238,10,0)</f>
        <v>8.3454780250241445E-2</v>
      </c>
      <c r="AB697" s="8">
        <f>+VLOOKUP($B697,NIFTY_AUTO!$B$63:$K$1238,10,0)</f>
        <v>0.20529059774197456</v>
      </c>
      <c r="AC697" s="8"/>
      <c r="AD697" s="16">
        <f t="shared" si="377"/>
        <v>9.256673618962391E-2</v>
      </c>
      <c r="AE697" s="8">
        <f t="shared" si="378"/>
        <v>0.14998663685215702</v>
      </c>
      <c r="AF697" s="8">
        <f t="shared" si="379"/>
        <v>8.9740884268439694E-2</v>
      </c>
      <c r="AG697" s="8">
        <f t="shared" si="380"/>
        <v>9.1257872098247678E-2</v>
      </c>
      <c r="AH697" s="8">
        <f t="shared" si="381"/>
        <v>8.2605062902858517E-2</v>
      </c>
      <c r="AI697" s="8">
        <f t="shared" si="382"/>
        <v>0.16627919237240243</v>
      </c>
      <c r="AJ697" s="8">
        <f t="shared" si="383"/>
        <v>0.10408543122008691</v>
      </c>
      <c r="AK697" s="8">
        <f t="shared" si="384"/>
        <v>0.17323452584189727</v>
      </c>
      <c r="AL697" s="9">
        <v>0</v>
      </c>
      <c r="AM697" s="17">
        <f t="shared" si="361"/>
        <v>10.803016733262472</v>
      </c>
      <c r="AN697" s="13">
        <f t="shared" si="362"/>
        <v>6.6672606372640226</v>
      </c>
      <c r="AO697" s="13">
        <f t="shared" si="363"/>
        <v>11.143193073613189</v>
      </c>
      <c r="AP697" s="13">
        <f t="shared" si="364"/>
        <v>10.957958771199552</v>
      </c>
      <c r="AQ697" s="13">
        <f t="shared" si="365"/>
        <v>12.105795514930785</v>
      </c>
      <c r="AR697" s="13">
        <f t="shared" si="366"/>
        <v>6.0139815796096645</v>
      </c>
      <c r="AS697" s="13">
        <f t="shared" si="367"/>
        <v>9.6074925018614437</v>
      </c>
      <c r="AT697" s="13">
        <f t="shared" si="368"/>
        <v>5.7725213558909809</v>
      </c>
      <c r="AU697" s="9">
        <v>0</v>
      </c>
      <c r="AV697" s="18">
        <f t="shared" si="385"/>
        <v>4</v>
      </c>
      <c r="AW697" s="18">
        <f t="shared" si="386"/>
        <v>6</v>
      </c>
      <c r="AX697" s="18">
        <f t="shared" si="387"/>
        <v>2</v>
      </c>
      <c r="AY697" s="18">
        <f t="shared" si="388"/>
        <v>3</v>
      </c>
      <c r="AZ697" s="18">
        <f t="shared" si="389"/>
        <v>1</v>
      </c>
      <c r="BA697" s="18">
        <f t="shared" si="390"/>
        <v>7</v>
      </c>
      <c r="BB697" s="18">
        <f t="shared" si="391"/>
        <v>5</v>
      </c>
      <c r="BC697" s="18">
        <f t="shared" si="392"/>
        <v>8</v>
      </c>
      <c r="BD697" s="18">
        <f t="shared" si="393"/>
        <v>9</v>
      </c>
      <c r="BE697" s="8">
        <f t="shared" si="395"/>
        <v>1.0903311595194932E-2</v>
      </c>
    </row>
    <row r="698" spans="1:57" x14ac:dyDescent="0.25">
      <c r="A698" t="str">
        <f t="shared" si="394"/>
        <v/>
      </c>
      <c r="B698" s="1">
        <v>43768</v>
      </c>
      <c r="C698" s="9">
        <f t="shared" si="369"/>
        <v>0.25203619255883186</v>
      </c>
      <c r="D698" s="9">
        <f t="shared" si="370"/>
        <v>0</v>
      </c>
      <c r="E698" s="9">
        <f t="shared" si="371"/>
        <v>0.24189982018336828</v>
      </c>
      <c r="F698" s="9">
        <f t="shared" si="372"/>
        <v>0.25295651461899576</v>
      </c>
      <c r="G698" s="9">
        <f t="shared" si="373"/>
        <v>0.25310747263880407</v>
      </c>
      <c r="H698" s="9">
        <f t="shared" si="374"/>
        <v>0</v>
      </c>
      <c r="I698" s="9">
        <f t="shared" si="375"/>
        <v>0</v>
      </c>
      <c r="J698" s="9">
        <f t="shared" si="376"/>
        <v>0</v>
      </c>
      <c r="K698" s="9">
        <v>0</v>
      </c>
      <c r="L698" s="8">
        <f>+VLOOKUP($B698,NIFTY_50!$B$3:$I$1238,8,0)</f>
        <v>4.8571077090147075E-3</v>
      </c>
      <c r="M698" s="8">
        <f>+VLOOKUP($B698,NIFTY_BANK!$B$3:$I$41238,8,0)</f>
        <v>3.8312124138646375E-3</v>
      </c>
      <c r="N698" s="8">
        <f>+VLOOKUP($B698,NIFTY_IT!$B$3:$I$1238,8,0)</f>
        <v>1.4112664181169077E-2</v>
      </c>
      <c r="O698" s="8">
        <f>+VLOOKUP($B698,NIFTY_PHARMA!$B$3:$I$1238,8,0)</f>
        <v>-6.709608158883551E-4</v>
      </c>
      <c r="P698" s="8">
        <f>+VLOOKUP($B698,NIFTY_FMCG!$B$3:$I$1238,8,0)</f>
        <v>1.0120263217608283E-2</v>
      </c>
      <c r="Q698" s="8">
        <f>+VLOOKUP($B698,NIFTY_METAL!$B$3:$I$1238,8,0)</f>
        <v>-1.608227772703863E-3</v>
      </c>
      <c r="R698" s="8">
        <f>+VLOOKUP($B698,NIFTY_ENERGY!$B$3:$I$1238,8,0)</f>
        <v>8.9101872732619825E-3</v>
      </c>
      <c r="S698" s="8">
        <f>+VLOOKUP($B698,NIFTY_AUTO!$B$3:$I$1238,8,0)</f>
        <v>-2.4675286251072404E-3</v>
      </c>
      <c r="T698" s="8">
        <v>0</v>
      </c>
      <c r="U698" s="8">
        <f>+VLOOKUP($B698,NIFTY_50!$B$63:$K$1238,10,0)</f>
        <v>4.9608748438095596E-2</v>
      </c>
      <c r="V698" s="8">
        <f>+VLOOKUP($B698,NIFTY_BANK!$B$63:$K$1238,10,0)</f>
        <v>2.2581184165208823E-2</v>
      </c>
      <c r="W698" s="8">
        <f>+VLOOKUP($B698,NIFTY_IT!$B$63:$K$1238,10,0)</f>
        <v>3.1013711839615876E-3</v>
      </c>
      <c r="X698" s="8">
        <f>+VLOOKUP($B698,NIFTY_PHARMA!$B$63:$K$1238,10,0)</f>
        <v>-4.3960679308953421E-2</v>
      </c>
      <c r="Y698" s="8">
        <f>+VLOOKUP($B698,NIFTY_FMCG!$B$63:$K$1238,10,0)</f>
        <v>0.10746577998304874</v>
      </c>
      <c r="Z698" s="8">
        <f>+VLOOKUP($B698,NIFTY_METAL!$B$63:$K$1238,10,0)</f>
        <v>-6.6185073074708889E-2</v>
      </c>
      <c r="AA698" s="8">
        <f>+VLOOKUP($B698,NIFTY_ENERGY!$B$63:$K$1238,10,0)</f>
        <v>0.1034163832247037</v>
      </c>
      <c r="AB698" s="8">
        <f>+VLOOKUP($B698,NIFTY_AUTO!$B$63:$K$1238,10,0)</f>
        <v>0.17697409760525029</v>
      </c>
      <c r="AC698" s="8"/>
      <c r="AD698" s="16">
        <f t="shared" si="377"/>
        <v>9.2631743420872908E-2</v>
      </c>
      <c r="AE698" s="8">
        <f t="shared" si="378"/>
        <v>0.14974386451021796</v>
      </c>
      <c r="AF698" s="8">
        <f t="shared" si="379"/>
        <v>9.0490462505719696E-2</v>
      </c>
      <c r="AG698" s="8">
        <f t="shared" si="380"/>
        <v>9.0589654441115414E-2</v>
      </c>
      <c r="AH698" s="8">
        <f t="shared" si="381"/>
        <v>8.2947579732532861E-2</v>
      </c>
      <c r="AI698" s="8">
        <f t="shared" si="382"/>
        <v>0.16625164610622106</v>
      </c>
      <c r="AJ698" s="8">
        <f t="shared" si="383"/>
        <v>0.10377479349474912</v>
      </c>
      <c r="AK698" s="8">
        <f t="shared" si="384"/>
        <v>0.17234262516415008</v>
      </c>
      <c r="AL698" s="9">
        <v>0</v>
      </c>
      <c r="AM698" s="17">
        <f t="shared" si="361"/>
        <v>10.795435377443926</v>
      </c>
      <c r="AN698" s="13">
        <f t="shared" si="362"/>
        <v>6.6780699380959527</v>
      </c>
      <c r="AO698" s="13">
        <f t="shared" si="363"/>
        <v>11.05088837331108</v>
      </c>
      <c r="AP698" s="13">
        <f t="shared" si="364"/>
        <v>11.038788106317531</v>
      </c>
      <c r="AQ698" s="13">
        <f t="shared" si="365"/>
        <v>12.055806850839195</v>
      </c>
      <c r="AR698" s="13">
        <f t="shared" si="366"/>
        <v>6.014978037336741</v>
      </c>
      <c r="AS698" s="13">
        <f t="shared" si="367"/>
        <v>9.6362514086872046</v>
      </c>
      <c r="AT698" s="13">
        <f t="shared" si="368"/>
        <v>5.802395078104075</v>
      </c>
      <c r="AU698" s="9">
        <v>0</v>
      </c>
      <c r="AV698" s="18">
        <f t="shared" si="385"/>
        <v>4</v>
      </c>
      <c r="AW698" s="18">
        <f t="shared" si="386"/>
        <v>6</v>
      </c>
      <c r="AX698" s="18">
        <f t="shared" si="387"/>
        <v>2</v>
      </c>
      <c r="AY698" s="18">
        <f t="shared" si="388"/>
        <v>3</v>
      </c>
      <c r="AZ698" s="18">
        <f t="shared" si="389"/>
        <v>1</v>
      </c>
      <c r="BA698" s="18">
        <f t="shared" si="390"/>
        <v>7</v>
      </c>
      <c r="BB698" s="18">
        <f t="shared" si="391"/>
        <v>5</v>
      </c>
      <c r="BC698" s="18">
        <f t="shared" si="392"/>
        <v>8</v>
      </c>
      <c r="BD698" s="18">
        <f t="shared" si="393"/>
        <v>9</v>
      </c>
      <c r="BE698" s="8">
        <f t="shared" si="395"/>
        <v>6.9992545867609522E-3</v>
      </c>
    </row>
    <row r="699" spans="1:57" x14ac:dyDescent="0.25">
      <c r="A699" t="str">
        <f t="shared" si="394"/>
        <v>Y</v>
      </c>
      <c r="B699" s="1">
        <v>43769</v>
      </c>
      <c r="C699" s="9">
        <f t="shared" si="369"/>
        <v>0.25</v>
      </c>
      <c r="D699" s="9">
        <f t="shared" si="370"/>
        <v>0</v>
      </c>
      <c r="E699" s="9">
        <f t="shared" si="371"/>
        <v>0.25</v>
      </c>
      <c r="F699" s="9">
        <f t="shared" si="372"/>
        <v>0.25</v>
      </c>
      <c r="G699" s="9">
        <f t="shared" si="373"/>
        <v>0.25</v>
      </c>
      <c r="H699" s="9">
        <f t="shared" si="374"/>
        <v>0</v>
      </c>
      <c r="I699" s="9">
        <f t="shared" si="375"/>
        <v>0</v>
      </c>
      <c r="J699" s="9">
        <f t="shared" si="376"/>
        <v>0</v>
      </c>
      <c r="K699" s="9">
        <v>0</v>
      </c>
      <c r="L699" s="8">
        <f>+VLOOKUP($B699,NIFTY_50!$B$3:$I$1238,8,0)</f>
        <v>2.8157479251273987E-3</v>
      </c>
      <c r="M699" s="8">
        <f>+VLOOKUP($B699,NIFTY_BANK!$B$3:$I$41238,8,0)</f>
        <v>2.6260942059190828E-3</v>
      </c>
      <c r="N699" s="8">
        <f>+VLOOKUP($B699,NIFTY_IT!$B$3:$I$1238,8,0)</f>
        <v>1.0636121242039165E-2</v>
      </c>
      <c r="O699" s="8">
        <f>+VLOOKUP($B699,NIFTY_PHARMA!$B$3:$I$1238,8,0)</f>
        <v>7.5198066335435687E-3</v>
      </c>
      <c r="P699" s="8">
        <f>+VLOOKUP($B699,NIFTY_FMCG!$B$3:$I$1238,8,0)</f>
        <v>1.4144468784567099E-3</v>
      </c>
      <c r="Q699" s="8">
        <f>+VLOOKUP($B699,NIFTY_METAL!$B$3:$I$1238,8,0)</f>
        <v>-5.3693944516257641E-3</v>
      </c>
      <c r="R699" s="8">
        <f>+VLOOKUP($B699,NIFTY_ENERGY!$B$3:$I$1238,8,0)</f>
        <v>1.3575237794434258E-3</v>
      </c>
      <c r="S699" s="8">
        <f>+VLOOKUP($B699,NIFTY_AUTO!$B$3:$I$1238,8,0)</f>
        <v>2.4439725231051312E-3</v>
      </c>
      <c r="T699" s="8">
        <v>0</v>
      </c>
      <c r="U699" s="8">
        <f>+VLOOKUP($B699,NIFTY_50!$B$63:$K$1238,10,0)</f>
        <v>6.1510206270332102E-2</v>
      </c>
      <c r="V699" s="8">
        <f>+VLOOKUP($B699,NIFTY_BANK!$B$63:$K$1238,10,0)</f>
        <v>2.6295488447188875E-2</v>
      </c>
      <c r="W699" s="8">
        <f>+VLOOKUP($B699,NIFTY_IT!$B$63:$K$1238,10,0)</f>
        <v>1.0294886321209562E-2</v>
      </c>
      <c r="X699" s="8">
        <f>+VLOOKUP($B699,NIFTY_PHARMA!$B$63:$K$1238,10,0)</f>
        <v>-2.010622154779973E-2</v>
      </c>
      <c r="Y699" s="8">
        <f>+VLOOKUP($B699,NIFTY_FMCG!$B$63:$K$1238,10,0)</f>
        <v>0.11543764527635081</v>
      </c>
      <c r="Z699" s="8">
        <f>+VLOOKUP($B699,NIFTY_METAL!$B$63:$K$1238,10,0)</f>
        <v>-4.2555227994946265E-2</v>
      </c>
      <c r="AA699" s="8">
        <f>+VLOOKUP($B699,NIFTY_ENERGY!$B$63:$K$1238,10,0)</f>
        <v>0.11663009170832161</v>
      </c>
      <c r="AB699" s="8">
        <f>+VLOOKUP($B699,NIFTY_AUTO!$B$63:$K$1238,10,0)</f>
        <v>0.22355445501542204</v>
      </c>
      <c r="AC699" s="8"/>
      <c r="AD699" s="16">
        <f t="shared" si="377"/>
        <v>9.2174031491920869E-2</v>
      </c>
      <c r="AE699" s="8">
        <f t="shared" si="378"/>
        <v>0.14974957448103529</v>
      </c>
      <c r="AF699" s="8">
        <f t="shared" si="379"/>
        <v>9.103439309875147E-2</v>
      </c>
      <c r="AG699" s="8">
        <f t="shared" si="380"/>
        <v>8.9424592964219618E-2</v>
      </c>
      <c r="AH699" s="8">
        <f t="shared" si="381"/>
        <v>8.2605792828846475E-2</v>
      </c>
      <c r="AI699" s="8">
        <f t="shared" si="382"/>
        <v>0.1637300578707637</v>
      </c>
      <c r="AJ699" s="8">
        <f t="shared" si="383"/>
        <v>0.10304519711560711</v>
      </c>
      <c r="AK699" s="8">
        <f t="shared" si="384"/>
        <v>0.16788637338279847</v>
      </c>
      <c r="AL699" s="9">
        <v>0</v>
      </c>
      <c r="AM699" s="17">
        <f t="shared" si="361"/>
        <v>10.849042662169451</v>
      </c>
      <c r="AN699" s="13">
        <f t="shared" si="362"/>
        <v>6.6778153024177227</v>
      </c>
      <c r="AO699" s="13">
        <f t="shared" si="363"/>
        <v>10.984859303837275</v>
      </c>
      <c r="AP699" s="13">
        <f t="shared" si="364"/>
        <v>11.182606113735602</v>
      </c>
      <c r="AQ699" s="13">
        <f t="shared" si="365"/>
        <v>12.105688545014408</v>
      </c>
      <c r="AR699" s="13">
        <f t="shared" si="366"/>
        <v>6.107614038647232</v>
      </c>
      <c r="AS699" s="13">
        <f t="shared" si="367"/>
        <v>9.7044794710625197</v>
      </c>
      <c r="AT699" s="13">
        <f t="shared" si="368"/>
        <v>5.9564095635081449</v>
      </c>
      <c r="AU699" s="9">
        <v>0</v>
      </c>
      <c r="AV699" s="18">
        <f t="shared" si="385"/>
        <v>4</v>
      </c>
      <c r="AW699" s="18">
        <f t="shared" si="386"/>
        <v>6</v>
      </c>
      <c r="AX699" s="18">
        <f t="shared" si="387"/>
        <v>3</v>
      </c>
      <c r="AY699" s="18">
        <f t="shared" si="388"/>
        <v>2</v>
      </c>
      <c r="AZ699" s="18">
        <f t="shared" si="389"/>
        <v>1</v>
      </c>
      <c r="BA699" s="18">
        <f t="shared" si="390"/>
        <v>7</v>
      </c>
      <c r="BB699" s="18">
        <f t="shared" si="391"/>
        <v>5</v>
      </c>
      <c r="BC699" s="18">
        <f t="shared" si="392"/>
        <v>8</v>
      </c>
      <c r="BD699" s="18">
        <f t="shared" si="393"/>
        <v>9</v>
      </c>
      <c r="BE699" s="8">
        <f t="shared" si="395"/>
        <v>5.5427373533703268E-3</v>
      </c>
    </row>
    <row r="700" spans="1:57" x14ac:dyDescent="0.25">
      <c r="A700" t="str">
        <f t="shared" si="394"/>
        <v/>
      </c>
      <c r="B700" s="1">
        <v>43770</v>
      </c>
      <c r="C700" s="9">
        <f t="shared" si="369"/>
        <v>0.24974518417586761</v>
      </c>
      <c r="D700" s="9">
        <f t="shared" si="370"/>
        <v>0</v>
      </c>
      <c r="E700" s="9">
        <f t="shared" si="371"/>
        <v>0.24805484741912853</v>
      </c>
      <c r="F700" s="9">
        <f t="shared" si="372"/>
        <v>0.25172676825827683</v>
      </c>
      <c r="G700" s="9">
        <f t="shared" si="373"/>
        <v>0.25047320014672692</v>
      </c>
      <c r="H700" s="9">
        <f t="shared" si="374"/>
        <v>0</v>
      </c>
      <c r="I700" s="9">
        <f t="shared" si="375"/>
        <v>0</v>
      </c>
      <c r="J700" s="9">
        <f t="shared" si="376"/>
        <v>0</v>
      </c>
      <c r="K700" s="9">
        <v>0</v>
      </c>
      <c r="L700" s="8">
        <f>+VLOOKUP($B700,NIFTY_50!$B$3:$I$1238,8,0)</f>
        <v>1.1071400005893128E-3</v>
      </c>
      <c r="M700" s="8">
        <f>+VLOOKUP($B700,NIFTY_BANK!$B$3:$I$41238,8,0)</f>
        <v>8.7905874527085537E-3</v>
      </c>
      <c r="N700" s="8">
        <f>+VLOOKUP($B700,NIFTY_IT!$B$3:$I$1238,8,0)</f>
        <v>-5.6685990462356228E-3</v>
      </c>
      <c r="O700" s="8">
        <f>+VLOOKUP($B700,NIFTY_PHARMA!$B$3:$I$1238,8,0)</f>
        <v>9.0503481147223841E-3</v>
      </c>
      <c r="P700" s="8">
        <f>+VLOOKUP($B700,NIFTY_FMCG!$B$3:$I$1238,8,0)</f>
        <v>4.0254024242143416E-3</v>
      </c>
      <c r="Q700" s="8">
        <f>+VLOOKUP($B700,NIFTY_METAL!$B$3:$I$1238,8,0)</f>
        <v>2.4392682195341298E-2</v>
      </c>
      <c r="R700" s="8">
        <f>+VLOOKUP($B700,NIFTY_ENERGY!$B$3:$I$1238,8,0)</f>
        <v>-6.3750481464746045E-3</v>
      </c>
      <c r="S700" s="8">
        <f>+VLOOKUP($B700,NIFTY_AUTO!$B$3:$I$1238,8,0)</f>
        <v>-6.6986212201906037E-3</v>
      </c>
      <c r="T700" s="8">
        <v>0</v>
      </c>
      <c r="U700" s="8">
        <f>+VLOOKUP($B700,NIFTY_50!$B$63:$K$1238,10,0)</f>
        <v>7.2636079888863003E-2</v>
      </c>
      <c r="V700" s="8">
        <f>+VLOOKUP($B700,NIFTY_BANK!$B$63:$K$1238,10,0)</f>
        <v>5.3451353867100204E-2</v>
      </c>
      <c r="W700" s="8">
        <f>+VLOOKUP($B700,NIFTY_IT!$B$63:$K$1238,10,0)</f>
        <v>-1.9643070253810846E-3</v>
      </c>
      <c r="X700" s="8">
        <f>+VLOOKUP($B700,NIFTY_PHARMA!$B$63:$K$1238,10,0)</f>
        <v>9.1015835739900464E-3</v>
      </c>
      <c r="Y700" s="8">
        <f>+VLOOKUP($B700,NIFTY_FMCG!$B$63:$K$1238,10,0)</f>
        <v>0.12420923899863512</v>
      </c>
      <c r="Z700" s="8">
        <f>+VLOOKUP($B700,NIFTY_METAL!$B$63:$K$1238,10,0)</f>
        <v>1.3751483973090561E-2</v>
      </c>
      <c r="AA700" s="8">
        <f>+VLOOKUP($B700,NIFTY_ENERGY!$B$63:$K$1238,10,0)</f>
        <v>0.13001593510068088</v>
      </c>
      <c r="AB700" s="8">
        <f>+VLOOKUP($B700,NIFTY_AUTO!$B$63:$K$1238,10,0)</f>
        <v>0.24086490482350764</v>
      </c>
      <c r="AC700" s="8"/>
      <c r="AD700" s="16">
        <f t="shared" si="377"/>
        <v>9.1584326232846805E-2</v>
      </c>
      <c r="AE700" s="8">
        <f t="shared" si="378"/>
        <v>0.14887340311535971</v>
      </c>
      <c r="AF700" s="8">
        <f t="shared" si="379"/>
        <v>9.0993889915391868E-2</v>
      </c>
      <c r="AG700" s="8">
        <f t="shared" si="380"/>
        <v>8.7601525388702417E-2</v>
      </c>
      <c r="AH700" s="8">
        <f t="shared" si="381"/>
        <v>8.2434586727177989E-2</v>
      </c>
      <c r="AI700" s="8">
        <f t="shared" si="382"/>
        <v>0.1623239576865631</v>
      </c>
      <c r="AJ700" s="8">
        <f t="shared" si="383"/>
        <v>0.10140403631741571</v>
      </c>
      <c r="AK700" s="8">
        <f t="shared" si="384"/>
        <v>0.16645399988507928</v>
      </c>
      <c r="AL700" s="9">
        <v>0</v>
      </c>
      <c r="AM700" s="17">
        <f t="shared" si="361"/>
        <v>10.918898911343948</v>
      </c>
      <c r="AN700" s="13">
        <f t="shared" si="362"/>
        <v>6.7171165505306236</v>
      </c>
      <c r="AO700" s="13">
        <f t="shared" si="363"/>
        <v>10.98974888236806</v>
      </c>
      <c r="AP700" s="13">
        <f t="shared" si="364"/>
        <v>11.415326337787327</v>
      </c>
      <c r="AQ700" s="13">
        <f t="shared" si="365"/>
        <v>12.1308305130413</v>
      </c>
      <c r="AR700" s="13">
        <f t="shared" si="366"/>
        <v>6.1605200751138307</v>
      </c>
      <c r="AS700" s="13">
        <f t="shared" si="367"/>
        <v>9.8615403914474591</v>
      </c>
      <c r="AT700" s="13">
        <f t="shared" si="368"/>
        <v>6.0076657856849653</v>
      </c>
      <c r="AU700" s="9">
        <v>0</v>
      </c>
      <c r="AV700" s="18">
        <f t="shared" si="385"/>
        <v>4</v>
      </c>
      <c r="AW700" s="18">
        <f t="shared" si="386"/>
        <v>6</v>
      </c>
      <c r="AX700" s="18">
        <f t="shared" si="387"/>
        <v>3</v>
      </c>
      <c r="AY700" s="18">
        <f t="shared" si="388"/>
        <v>2</v>
      </c>
      <c r="AZ700" s="18">
        <f t="shared" si="389"/>
        <v>1</v>
      </c>
      <c r="BA700" s="18">
        <f t="shared" si="390"/>
        <v>7</v>
      </c>
      <c r="BB700" s="18">
        <f t="shared" si="391"/>
        <v>5</v>
      </c>
      <c r="BC700" s="18">
        <f t="shared" si="392"/>
        <v>8</v>
      </c>
      <c r="BD700" s="18">
        <f t="shared" si="393"/>
        <v>9</v>
      </c>
      <c r="BE700" s="8">
        <f t="shared" si="395"/>
        <v>2.1285728733226039E-3</v>
      </c>
    </row>
    <row r="701" spans="1:57" x14ac:dyDescent="0.25">
      <c r="A701" t="str">
        <f t="shared" si="394"/>
        <v/>
      </c>
      <c r="B701" s="1">
        <v>43773</v>
      </c>
      <c r="C701" s="9">
        <f t="shared" si="369"/>
        <v>0.25029873774196632</v>
      </c>
      <c r="D701" s="9">
        <f t="shared" si="370"/>
        <v>0</v>
      </c>
      <c r="E701" s="9">
        <f t="shared" si="371"/>
        <v>0.24947081362722565</v>
      </c>
      <c r="F701" s="9">
        <f t="shared" si="372"/>
        <v>0.25176343533458512</v>
      </c>
      <c r="G701" s="9">
        <f t="shared" si="373"/>
        <v>0.24846701329622303</v>
      </c>
      <c r="H701" s="9">
        <f t="shared" si="374"/>
        <v>0</v>
      </c>
      <c r="I701" s="9">
        <f t="shared" si="375"/>
        <v>0</v>
      </c>
      <c r="J701" s="9">
        <f t="shared" si="376"/>
        <v>0</v>
      </c>
      <c r="K701" s="9">
        <v>0</v>
      </c>
      <c r="L701" s="8">
        <f>+VLOOKUP($B701,NIFTY_50!$B$3:$I$1238,8,0)</f>
        <v>4.2638723024910341E-3</v>
      </c>
      <c r="M701" s="8">
        <f>+VLOOKUP($B701,NIFTY_BANK!$B$3:$I$41238,8,0)</f>
        <v>8.4073648516147514E-5</v>
      </c>
      <c r="N701" s="8">
        <f>+VLOOKUP($B701,NIFTY_IT!$B$3:$I$1238,8,0)</f>
        <v>7.7628109002532142E-3</v>
      </c>
      <c r="O701" s="8">
        <f>+VLOOKUP($B701,NIFTY_PHARMA!$B$3:$I$1238,8,0)</f>
        <v>2.1888306738202523E-3</v>
      </c>
      <c r="P701" s="8">
        <f>+VLOOKUP($B701,NIFTY_FMCG!$B$3:$I$1238,8,0)</f>
        <v>-5.9830785042148671E-3</v>
      </c>
      <c r="Q701" s="8">
        <f>+VLOOKUP($B701,NIFTY_METAL!$B$3:$I$1238,8,0)</f>
        <v>3.1384795549917133E-2</v>
      </c>
      <c r="R701" s="8">
        <f>+VLOOKUP($B701,NIFTY_ENERGY!$B$3:$I$1238,8,0)</f>
        <v>-4.6089841615759575E-4</v>
      </c>
      <c r="S701" s="8">
        <f>+VLOOKUP($B701,NIFTY_AUTO!$B$3:$I$1238,8,0)</f>
        <v>-1.3410144288624859E-2</v>
      </c>
      <c r="T701" s="8">
        <v>0</v>
      </c>
      <c r="U701" s="8">
        <f>+VLOOKUP($B701,NIFTY_50!$B$63:$K$1238,10,0)</f>
        <v>7.4051088325238323E-2</v>
      </c>
      <c r="V701" s="8">
        <f>+VLOOKUP($B701,NIFTY_BANK!$B$63:$K$1238,10,0)</f>
        <v>5.046059010943349E-2</v>
      </c>
      <c r="W701" s="8">
        <f>+VLOOKUP($B701,NIFTY_IT!$B$63:$K$1238,10,0)</f>
        <v>-1.8501683717239148E-3</v>
      </c>
      <c r="X701" s="8">
        <f>+VLOOKUP($B701,NIFTY_PHARMA!$B$63:$K$1238,10,0)</f>
        <v>-2.5852895148669175E-3</v>
      </c>
      <c r="Y701" s="8">
        <f>+VLOOKUP($B701,NIFTY_FMCG!$B$63:$K$1238,10,0)</f>
        <v>0.10974181129465932</v>
      </c>
      <c r="Z701" s="8">
        <f>+VLOOKUP($B701,NIFTY_METAL!$B$63:$K$1238,10,0)</f>
        <v>2.0864323937948015E-2</v>
      </c>
      <c r="AA701" s="8">
        <f>+VLOOKUP($B701,NIFTY_ENERGY!$B$63:$K$1238,10,0)</f>
        <v>0.12459605273550856</v>
      </c>
      <c r="AB701" s="8">
        <f>+VLOOKUP($B701,NIFTY_AUTO!$B$63:$K$1238,10,0)</f>
        <v>0.20851911583341254</v>
      </c>
      <c r="AC701" s="8"/>
      <c r="AD701" s="16">
        <f t="shared" si="377"/>
        <v>9.1618606733872926E-2</v>
      </c>
      <c r="AE701" s="8">
        <f t="shared" si="378"/>
        <v>0.14886386092854612</v>
      </c>
      <c r="AF701" s="8">
        <f t="shared" si="379"/>
        <v>9.1003600342491248E-2</v>
      </c>
      <c r="AG701" s="8">
        <f t="shared" si="380"/>
        <v>8.652997431109076E-2</v>
      </c>
      <c r="AH701" s="8">
        <f t="shared" si="381"/>
        <v>8.2650237166537716E-2</v>
      </c>
      <c r="AI701" s="8">
        <f t="shared" si="382"/>
        <v>0.16352780001608896</v>
      </c>
      <c r="AJ701" s="8">
        <f t="shared" si="383"/>
        <v>0.10140891498657188</v>
      </c>
      <c r="AK701" s="8">
        <f t="shared" si="384"/>
        <v>0.16704902450659523</v>
      </c>
      <c r="AL701" s="9">
        <v>0</v>
      </c>
      <c r="AM701" s="17">
        <f t="shared" si="361"/>
        <v>10.914813438548867</v>
      </c>
      <c r="AN701" s="13">
        <f t="shared" si="362"/>
        <v>6.7175471183029094</v>
      </c>
      <c r="AO701" s="13">
        <f t="shared" si="363"/>
        <v>10.988576234747953</v>
      </c>
      <c r="AP701" s="13">
        <f t="shared" si="364"/>
        <v>11.556688973520561</v>
      </c>
      <c r="AQ701" s="13">
        <f t="shared" si="365"/>
        <v>12.099178832179639</v>
      </c>
      <c r="AR701" s="13">
        <f t="shared" si="366"/>
        <v>6.1151681848689536</v>
      </c>
      <c r="AS701" s="13">
        <f t="shared" si="367"/>
        <v>9.8610659638002787</v>
      </c>
      <c r="AT701" s="13">
        <f t="shared" si="368"/>
        <v>5.98626662414613</v>
      </c>
      <c r="AU701" s="9">
        <v>0</v>
      </c>
      <c r="AV701" s="18">
        <f t="shared" si="385"/>
        <v>4</v>
      </c>
      <c r="AW701" s="18">
        <f t="shared" si="386"/>
        <v>6</v>
      </c>
      <c r="AX701" s="18">
        <f t="shared" si="387"/>
        <v>3</v>
      </c>
      <c r="AY701" s="18">
        <f t="shared" si="388"/>
        <v>2</v>
      </c>
      <c r="AZ701" s="18">
        <f t="shared" si="389"/>
        <v>1</v>
      </c>
      <c r="BA701" s="18">
        <f t="shared" si="390"/>
        <v>7</v>
      </c>
      <c r="BB701" s="18">
        <f t="shared" si="391"/>
        <v>5</v>
      </c>
      <c r="BC701" s="18">
        <f t="shared" si="392"/>
        <v>8</v>
      </c>
      <c r="BD701" s="18">
        <f t="shared" si="393"/>
        <v>9</v>
      </c>
      <c r="BE701" s="8">
        <f t="shared" si="395"/>
        <v>2.0428708989994318E-3</v>
      </c>
    </row>
    <row r="702" spans="1:57" x14ac:dyDescent="0.25">
      <c r="A702" t="str">
        <f t="shared" si="394"/>
        <v/>
      </c>
      <c r="B702" s="1">
        <v>43774</v>
      </c>
      <c r="C702" s="9">
        <f t="shared" si="369"/>
        <v>0.25063949044157846</v>
      </c>
      <c r="D702" s="9">
        <f t="shared" si="370"/>
        <v>0</v>
      </c>
      <c r="E702" s="9">
        <f t="shared" si="371"/>
        <v>0.24938685588175472</v>
      </c>
      <c r="F702" s="9">
        <f t="shared" si="372"/>
        <v>0.24984787039873083</v>
      </c>
      <c r="G702" s="9">
        <f t="shared" si="373"/>
        <v>0.25012578327793594</v>
      </c>
      <c r="H702" s="9">
        <f t="shared" si="374"/>
        <v>0</v>
      </c>
      <c r="I702" s="9">
        <f t="shared" si="375"/>
        <v>0</v>
      </c>
      <c r="J702" s="9">
        <f t="shared" si="376"/>
        <v>0</v>
      </c>
      <c r="K702" s="9">
        <v>0</v>
      </c>
      <c r="L702" s="8">
        <f>+VLOOKUP($B702,NIFTY_50!$B$3:$I$1238,8,0)</f>
        <v>-2.0182057229948258E-3</v>
      </c>
      <c r="M702" s="8">
        <f>+VLOOKUP($B702,NIFTY_BANK!$B$3:$I$41238,8,0)</f>
        <v>-3.7335452030949901E-3</v>
      </c>
      <c r="N702" s="8">
        <f>+VLOOKUP($B702,NIFTY_IT!$B$3:$I$1238,8,0)</f>
        <v>-3.7104025963196063E-3</v>
      </c>
      <c r="O702" s="8">
        <f>+VLOOKUP($B702,NIFTY_PHARMA!$B$3:$I$1238,8,0)</f>
        <v>-1.0957906826411956E-2</v>
      </c>
      <c r="P702" s="8">
        <f>+VLOOKUP($B702,NIFTY_FMCG!$B$3:$I$1238,8,0)</f>
        <v>3.2784903133400434E-3</v>
      </c>
      <c r="Q702" s="8">
        <f>+VLOOKUP($B702,NIFTY_METAL!$B$3:$I$1238,8,0)</f>
        <v>-9.5376871108757699E-3</v>
      </c>
      <c r="R702" s="8">
        <f>+VLOOKUP($B702,NIFTY_ENERGY!$B$3:$I$1238,8,0)</f>
        <v>-6.0280331022689593E-3</v>
      </c>
      <c r="S702" s="8">
        <f>+VLOOKUP($B702,NIFTY_AUTO!$B$3:$I$1238,8,0)</f>
        <v>-2.9225817749251037E-3</v>
      </c>
      <c r="T702" s="8">
        <v>0</v>
      </c>
      <c r="U702" s="8">
        <f>+VLOOKUP($B702,NIFTY_50!$B$63:$K$1238,10,0)</f>
        <v>8.5355191256830665E-2</v>
      </c>
      <c r="V702" s="8">
        <f>+VLOOKUP($B702,NIFTY_BANK!$B$63:$K$1238,10,0)</f>
        <v>6.5307705188201171E-2</v>
      </c>
      <c r="W702" s="8">
        <f>+VLOOKUP($B702,NIFTY_IT!$B$63:$K$1238,10,0)</f>
        <v>1.3132578055191413E-2</v>
      </c>
      <c r="X702" s="8">
        <f>+VLOOKUP($B702,NIFTY_PHARMA!$B$63:$K$1238,10,0)</f>
        <v>1.0153894970654775E-4</v>
      </c>
      <c r="Y702" s="8">
        <f>+VLOOKUP($B702,NIFTY_FMCG!$B$63:$K$1238,10,0)</f>
        <v>0.11879199387388573</v>
      </c>
      <c r="Z702" s="8">
        <f>+VLOOKUP($B702,NIFTY_METAL!$B$63:$K$1238,10,0)</f>
        <v>4.3836381404439351E-2</v>
      </c>
      <c r="AA702" s="8">
        <f>+VLOOKUP($B702,NIFTY_ENERGY!$B$63:$K$1238,10,0)</f>
        <v>0.11547635366689502</v>
      </c>
      <c r="AB702" s="8">
        <f>+VLOOKUP($B702,NIFTY_AUTO!$B$63:$K$1238,10,0)</f>
        <v>0.20420501451262374</v>
      </c>
      <c r="AC702" s="8"/>
      <c r="AD702" s="16">
        <f t="shared" si="377"/>
        <v>9.0644539908323565E-2</v>
      </c>
      <c r="AE702" s="8">
        <f t="shared" si="378"/>
        <v>0.14776146778837809</v>
      </c>
      <c r="AF702" s="8">
        <f t="shared" si="379"/>
        <v>8.9165881259370583E-2</v>
      </c>
      <c r="AG702" s="8">
        <f t="shared" si="380"/>
        <v>8.6150601389630294E-2</v>
      </c>
      <c r="AH702" s="8">
        <f t="shared" si="381"/>
        <v>8.2393590807540856E-2</v>
      </c>
      <c r="AI702" s="8">
        <f t="shared" si="382"/>
        <v>0.16068091019435293</v>
      </c>
      <c r="AJ702" s="8">
        <f t="shared" si="383"/>
        <v>0.10172169094344433</v>
      </c>
      <c r="AK702" s="8">
        <f t="shared" si="384"/>
        <v>0.16714396453582683</v>
      </c>
      <c r="AL702" s="9">
        <v>0</v>
      </c>
      <c r="AM702" s="17">
        <f t="shared" si="361"/>
        <v>11.032104095970745</v>
      </c>
      <c r="AN702" s="13">
        <f t="shared" si="362"/>
        <v>6.7676642291628157</v>
      </c>
      <c r="AO702" s="13">
        <f t="shared" si="363"/>
        <v>11.215052056639752</v>
      </c>
      <c r="AP702" s="13">
        <f t="shared" si="364"/>
        <v>11.607580026949959</v>
      </c>
      <c r="AQ702" s="13">
        <f t="shared" si="365"/>
        <v>12.136866353304724</v>
      </c>
      <c r="AR702" s="13">
        <f t="shared" si="366"/>
        <v>6.2235146589003119</v>
      </c>
      <c r="AS702" s="13">
        <f t="shared" si="367"/>
        <v>9.8307449544461907</v>
      </c>
      <c r="AT702" s="13">
        <f t="shared" si="368"/>
        <v>5.9828663438556458</v>
      </c>
      <c r="AU702" s="9">
        <v>0</v>
      </c>
      <c r="AV702" s="18">
        <f t="shared" si="385"/>
        <v>4</v>
      </c>
      <c r="AW702" s="18">
        <f t="shared" si="386"/>
        <v>6</v>
      </c>
      <c r="AX702" s="18">
        <f t="shared" si="387"/>
        <v>3</v>
      </c>
      <c r="AY702" s="18">
        <f t="shared" si="388"/>
        <v>2</v>
      </c>
      <c r="AZ702" s="18">
        <f t="shared" si="389"/>
        <v>1</v>
      </c>
      <c r="BA702" s="18">
        <f t="shared" si="390"/>
        <v>7</v>
      </c>
      <c r="BB702" s="18">
        <f t="shared" si="391"/>
        <v>5</v>
      </c>
      <c r="BC702" s="18">
        <f t="shared" si="392"/>
        <v>8</v>
      </c>
      <c r="BD702" s="18">
        <f t="shared" si="393"/>
        <v>9</v>
      </c>
      <c r="BE702" s="8">
        <f t="shared" si="395"/>
        <v>-3.3749950699752162E-3</v>
      </c>
    </row>
    <row r="703" spans="1:57" x14ac:dyDescent="0.25">
      <c r="A703" t="str">
        <f t="shared" si="394"/>
        <v/>
      </c>
      <c r="B703" s="1">
        <v>43775</v>
      </c>
      <c r="C703" s="9">
        <f t="shared" si="369"/>
        <v>0.25086354215179152</v>
      </c>
      <c r="D703" s="9">
        <f t="shared" si="370"/>
        <v>0</v>
      </c>
      <c r="E703" s="9">
        <f t="shared" si="371"/>
        <v>0.24903648472200382</v>
      </c>
      <c r="F703" s="9">
        <f t="shared" si="372"/>
        <v>0.25052954383264581</v>
      </c>
      <c r="G703" s="9">
        <f t="shared" si="373"/>
        <v>0.24957042929355902</v>
      </c>
      <c r="H703" s="9">
        <f t="shared" si="374"/>
        <v>0</v>
      </c>
      <c r="I703" s="9">
        <f t="shared" si="375"/>
        <v>0</v>
      </c>
      <c r="J703" s="9">
        <f t="shared" si="376"/>
        <v>0</v>
      </c>
      <c r="K703" s="9">
        <v>0</v>
      </c>
      <c r="L703" s="8">
        <f>+VLOOKUP($B703,NIFTY_50!$B$3:$I$1238,8,0)</f>
        <v>4.0991172423050504E-3</v>
      </c>
      <c r="M703" s="8">
        <f>+VLOOKUP($B703,NIFTY_BANK!$B$3:$I$41238,8,0)</f>
        <v>1.2897152037485204E-2</v>
      </c>
      <c r="N703" s="8">
        <f>+VLOOKUP($B703,NIFTY_IT!$B$3:$I$1238,8,0)</f>
        <v>1.7929049889109372E-3</v>
      </c>
      <c r="O703" s="8">
        <f>+VLOOKUP($B703,NIFTY_PHARMA!$B$3:$I$1238,8,0)</f>
        <v>5.9394254748050823E-3</v>
      </c>
      <c r="P703" s="8">
        <f>+VLOOKUP($B703,NIFTY_FMCG!$B$3:$I$1238,8,0)</f>
        <v>9.7492541279819989E-4</v>
      </c>
      <c r="Q703" s="8">
        <f>+VLOOKUP($B703,NIFTY_METAL!$B$3:$I$1238,8,0)</f>
        <v>6.3050497716807818E-3</v>
      </c>
      <c r="R703" s="8">
        <f>+VLOOKUP($B703,NIFTY_ENERGY!$B$3:$I$1238,8,0)</f>
        <v>-4.0369159682452915E-3</v>
      </c>
      <c r="S703" s="8">
        <f>+VLOOKUP($B703,NIFTY_AUTO!$B$3:$I$1238,8,0)</f>
        <v>3.2702894206138033E-4</v>
      </c>
      <c r="T703" s="8">
        <v>0</v>
      </c>
      <c r="U703" s="8">
        <f>+VLOOKUP($B703,NIFTY_50!$B$63:$K$1238,10,0)</f>
        <v>8.8084856806412315E-2</v>
      </c>
      <c r="V703" s="8">
        <f>+VLOOKUP($B703,NIFTY_BANK!$B$63:$K$1238,10,0)</f>
        <v>8.5256311392149176E-2</v>
      </c>
      <c r="W703" s="8">
        <f>+VLOOKUP($B703,NIFTY_IT!$B$63:$K$1238,10,0)</f>
        <v>9.0260081311883678E-3</v>
      </c>
      <c r="X703" s="8">
        <f>+VLOOKUP($B703,NIFTY_PHARMA!$B$63:$K$1238,10,0)</f>
        <v>7.390508629673942E-3</v>
      </c>
      <c r="Y703" s="8">
        <f>+VLOOKUP($B703,NIFTY_FMCG!$B$63:$K$1238,10,0)</f>
        <v>0.11967370358528551</v>
      </c>
      <c r="Z703" s="8">
        <f>+VLOOKUP($B703,NIFTY_METAL!$B$63:$K$1238,10,0)</f>
        <v>7.0899922735960352E-2</v>
      </c>
      <c r="AA703" s="8">
        <f>+VLOOKUP($B703,NIFTY_ENERGY!$B$63:$K$1238,10,0)</f>
        <v>0.12298435286252207</v>
      </c>
      <c r="AB703" s="8">
        <f>+VLOOKUP($B703,NIFTY_AUTO!$B$63:$K$1238,10,0)</f>
        <v>0.19110870740941044</v>
      </c>
      <c r="AC703" s="8"/>
      <c r="AD703" s="16">
        <f t="shared" si="377"/>
        <v>9.0683681042673533E-2</v>
      </c>
      <c r="AE703" s="8">
        <f t="shared" si="378"/>
        <v>0.14804120231196366</v>
      </c>
      <c r="AF703" s="8">
        <f t="shared" si="379"/>
        <v>8.9001798266540977E-2</v>
      </c>
      <c r="AG703" s="8">
        <f t="shared" si="380"/>
        <v>8.6334404534572626E-2</v>
      </c>
      <c r="AH703" s="8">
        <f t="shared" si="381"/>
        <v>8.2380938871417717E-2</v>
      </c>
      <c r="AI703" s="8">
        <f t="shared" si="382"/>
        <v>0.15948417897622119</v>
      </c>
      <c r="AJ703" s="8">
        <f t="shared" si="383"/>
        <v>0.10111116860658688</v>
      </c>
      <c r="AK703" s="8">
        <f t="shared" si="384"/>
        <v>0.16697007639129097</v>
      </c>
      <c r="AL703" s="9">
        <v>0</v>
      </c>
      <c r="AM703" s="17">
        <f t="shared" si="361"/>
        <v>11.027342389524575</v>
      </c>
      <c r="AN703" s="13">
        <f t="shared" si="362"/>
        <v>6.7548762397425284</v>
      </c>
      <c r="AO703" s="13">
        <f t="shared" si="363"/>
        <v>11.235728035575395</v>
      </c>
      <c r="AP703" s="13">
        <f t="shared" si="364"/>
        <v>11.582867865840782</v>
      </c>
      <c r="AQ703" s="13">
        <f t="shared" si="365"/>
        <v>12.138730314312461</v>
      </c>
      <c r="AR703" s="13">
        <f t="shared" si="366"/>
        <v>6.2702144276586722</v>
      </c>
      <c r="AS703" s="13">
        <f t="shared" si="367"/>
        <v>9.8901042662348875</v>
      </c>
      <c r="AT703" s="13">
        <f t="shared" si="368"/>
        <v>5.9890970981921363</v>
      </c>
      <c r="AU703" s="9">
        <v>0</v>
      </c>
      <c r="AV703" s="18">
        <f t="shared" si="385"/>
        <v>4</v>
      </c>
      <c r="AW703" s="18">
        <f t="shared" si="386"/>
        <v>6</v>
      </c>
      <c r="AX703" s="18">
        <f t="shared" si="387"/>
        <v>3</v>
      </c>
      <c r="AY703" s="18">
        <f t="shared" si="388"/>
        <v>2</v>
      </c>
      <c r="AZ703" s="18">
        <f t="shared" si="389"/>
        <v>1</v>
      </c>
      <c r="BA703" s="18">
        <f t="shared" si="390"/>
        <v>7</v>
      </c>
      <c r="BB703" s="18">
        <f t="shared" si="391"/>
        <v>5</v>
      </c>
      <c r="BC703" s="18">
        <f t="shared" si="392"/>
        <v>8</v>
      </c>
      <c r="BD703" s="18">
        <f t="shared" si="393"/>
        <v>9</v>
      </c>
      <c r="BE703" s="8">
        <f t="shared" si="395"/>
        <v>3.2023343837365723E-3</v>
      </c>
    </row>
    <row r="704" spans="1:57" x14ac:dyDescent="0.25">
      <c r="A704" t="str">
        <f t="shared" si="394"/>
        <v/>
      </c>
      <c r="B704" s="1">
        <v>43776</v>
      </c>
      <c r="C704" s="9">
        <f t="shared" si="369"/>
        <v>0.25074260257716341</v>
      </c>
      <c r="D704" s="9">
        <f t="shared" si="370"/>
        <v>0</v>
      </c>
      <c r="E704" s="9">
        <f t="shared" si="371"/>
        <v>0.24896867723679644</v>
      </c>
      <c r="F704" s="9">
        <f t="shared" si="372"/>
        <v>0.25069765142700079</v>
      </c>
      <c r="G704" s="9">
        <f t="shared" si="373"/>
        <v>0.24959106875903928</v>
      </c>
      <c r="H704" s="9">
        <f t="shared" si="374"/>
        <v>0</v>
      </c>
      <c r="I704" s="9">
        <f t="shared" si="375"/>
        <v>0</v>
      </c>
      <c r="J704" s="9">
        <f t="shared" si="376"/>
        <v>0</v>
      </c>
      <c r="K704" s="9">
        <v>0</v>
      </c>
      <c r="L704" s="8">
        <f>+VLOOKUP($B704,NIFTY_50!$B$3:$I$1238,8,0)</f>
        <v>3.8442092419803675E-3</v>
      </c>
      <c r="M704" s="8">
        <f>+VLOOKUP($B704,NIFTY_BANK!$B$3:$I$41238,8,0)</f>
        <v>7.6936647326331098E-4</v>
      </c>
      <c r="N704" s="8">
        <f>+VLOOKUP($B704,NIFTY_IT!$B$3:$I$1238,8,0)</f>
        <v>4.0549311432849233E-3</v>
      </c>
      <c r="O704" s="8">
        <f>+VLOOKUP($B704,NIFTY_PHARMA!$B$3:$I$1238,8,0)</f>
        <v>5.0023024469016963E-3</v>
      </c>
      <c r="P704" s="8">
        <f>+VLOOKUP($B704,NIFTY_FMCG!$B$3:$I$1238,8,0)</f>
        <v>4.4114469175440263E-3</v>
      </c>
      <c r="Q704" s="8">
        <f>+VLOOKUP($B704,NIFTY_METAL!$B$3:$I$1238,8,0)</f>
        <v>9.7210883062144315E-3</v>
      </c>
      <c r="R704" s="8">
        <f>+VLOOKUP($B704,NIFTY_ENERGY!$B$3:$I$1238,8,0)</f>
        <v>-8.9147454207827437E-4</v>
      </c>
      <c r="S704" s="8">
        <f>+VLOOKUP($B704,NIFTY_AUTO!$B$3:$I$1238,8,0)</f>
        <v>-2.2945083153224077E-3</v>
      </c>
      <c r="T704" s="8">
        <v>0</v>
      </c>
      <c r="U704" s="8">
        <f>+VLOOKUP($B704,NIFTY_50!$B$63:$K$1238,10,0)</f>
        <v>0.1058172076666728</v>
      </c>
      <c r="V704" s="8">
        <f>+VLOOKUP($B704,NIFTY_BANK!$B$63:$K$1238,10,0)</f>
        <v>0.10796783136604571</v>
      </c>
      <c r="W704" s="8">
        <f>+VLOOKUP($B704,NIFTY_IT!$B$63:$K$1238,10,0)</f>
        <v>6.8208692178071129E-3</v>
      </c>
      <c r="X704" s="8">
        <f>+VLOOKUP($B704,NIFTY_PHARMA!$B$63:$K$1238,10,0)</f>
        <v>2.0242189050903248E-2</v>
      </c>
      <c r="Y704" s="8">
        <f>+VLOOKUP($B704,NIFTY_FMCG!$B$63:$K$1238,10,0)</f>
        <v>0.13060006845614036</v>
      </c>
      <c r="Z704" s="8">
        <f>+VLOOKUP($B704,NIFTY_METAL!$B$63:$K$1238,10,0)</f>
        <v>0.10089635042540435</v>
      </c>
      <c r="AA704" s="8">
        <f>+VLOOKUP($B704,NIFTY_ENERGY!$B$63:$K$1238,10,0)</f>
        <v>0.15340759363849377</v>
      </c>
      <c r="AB704" s="8">
        <f>+VLOOKUP($B704,NIFTY_AUTO!$B$63:$K$1238,10,0)</f>
        <v>0.20385413318528456</v>
      </c>
      <c r="AC704" s="8"/>
      <c r="AD704" s="16">
        <f t="shared" si="377"/>
        <v>8.9650407171407043E-2</v>
      </c>
      <c r="AE704" s="8">
        <f t="shared" si="378"/>
        <v>0.14648460639190677</v>
      </c>
      <c r="AF704" s="8">
        <f t="shared" si="379"/>
        <v>8.8879170680550679E-2</v>
      </c>
      <c r="AG704" s="8">
        <f t="shared" si="380"/>
        <v>8.6097513801407621E-2</v>
      </c>
      <c r="AH704" s="8">
        <f t="shared" si="381"/>
        <v>8.2093973506561627E-2</v>
      </c>
      <c r="AI704" s="8">
        <f t="shared" si="382"/>
        <v>0.15851665946533702</v>
      </c>
      <c r="AJ704" s="8">
        <f t="shared" si="383"/>
        <v>9.6777471151931721E-2</v>
      </c>
      <c r="AK704" s="8">
        <f t="shared" si="384"/>
        <v>0.16628813613940086</v>
      </c>
      <c r="AL704" s="9">
        <v>0</v>
      </c>
      <c r="AM704" s="17">
        <f t="shared" ref="AM704:AM767" si="396">1/AD704</f>
        <v>11.154439020985711</v>
      </c>
      <c r="AN704" s="13">
        <f t="shared" ref="AN704:AN767" si="397">1/AE704</f>
        <v>6.8266558830392547</v>
      </c>
      <c r="AO704" s="13">
        <f t="shared" ref="AO704:AO767" si="398">1/AF704</f>
        <v>11.251230095228925</v>
      </c>
      <c r="AP704" s="13">
        <f t="shared" ref="AP704:AP767" si="399">1/AG704</f>
        <v>11.614737242083416</v>
      </c>
      <c r="AQ704" s="13">
        <f t="shared" ref="AQ704:AQ767" si="400">1/AH704</f>
        <v>12.181162115634125</v>
      </c>
      <c r="AR704" s="13">
        <f t="shared" ref="AR704:AR767" si="401">1/AI704</f>
        <v>6.3084851987981168</v>
      </c>
      <c r="AS704" s="13">
        <f t="shared" ref="AS704:AS767" si="402">1/AJ704</f>
        <v>10.332983369963161</v>
      </c>
      <c r="AT704" s="13">
        <f t="shared" ref="AT704:AT767" si="403">1/AK704</f>
        <v>6.0136581190716507</v>
      </c>
      <c r="AU704" s="9">
        <v>0</v>
      </c>
      <c r="AV704" s="18">
        <f t="shared" si="385"/>
        <v>4</v>
      </c>
      <c r="AW704" s="18">
        <f t="shared" si="386"/>
        <v>6</v>
      </c>
      <c r="AX704" s="18">
        <f t="shared" si="387"/>
        <v>3</v>
      </c>
      <c r="AY704" s="18">
        <f t="shared" si="388"/>
        <v>2</v>
      </c>
      <c r="AZ704" s="18">
        <f t="shared" si="389"/>
        <v>1</v>
      </c>
      <c r="BA704" s="18">
        <f t="shared" si="390"/>
        <v>7</v>
      </c>
      <c r="BB704" s="18">
        <f t="shared" si="391"/>
        <v>5</v>
      </c>
      <c r="BC704" s="18">
        <f t="shared" si="392"/>
        <v>8</v>
      </c>
      <c r="BD704" s="18">
        <f t="shared" si="393"/>
        <v>9</v>
      </c>
      <c r="BE704" s="8">
        <f t="shared" si="395"/>
        <v>4.3283889960817222E-3</v>
      </c>
    </row>
    <row r="705" spans="1:57" x14ac:dyDescent="0.25">
      <c r="A705" t="str">
        <f t="shared" si="394"/>
        <v/>
      </c>
      <c r="B705" s="1">
        <v>43777</v>
      </c>
      <c r="C705" s="9">
        <f t="shared" ref="C705:C768" si="404">+IF($A705="Y",IF(AV705&lt;=4,0.25,0),C704*(1+L705)/SUMPRODUCT($C704:$J704,1+$L705:$S705))</f>
        <v>0.25265288523418911</v>
      </c>
      <c r="D705" s="9">
        <f t="shared" ref="D705:D768" si="405">+IF($A705="Y",IF(AW705&lt;=4,0.25,0),D704*(1+M705)/SUMPRODUCT($C704:$J704,1+$L705:$S705))</f>
        <v>0</v>
      </c>
      <c r="E705" s="9">
        <f t="shared" ref="E705:E768" si="406">+IF($A705="Y",IF(AX705&lt;=4,0.25,0),E704*(1+N705)/SUMPRODUCT($C704:$J704,1+$L705:$S705))</f>
        <v>0.24914939692045918</v>
      </c>
      <c r="F705" s="9">
        <f t="shared" ref="F705:F768" si="407">+IF($A705="Y",IF(AY705&lt;=4,0.25,0),F704*(1+O705)/SUMPRODUCT($C704:$J704,1+$L705:$S705))</f>
        <v>0.24909867286829065</v>
      </c>
      <c r="G705" s="9">
        <f t="shared" ref="G705:G768" si="408">+IF($A705="Y",IF(AZ705&lt;=4,0.25,0),G704*(1+P705)/SUMPRODUCT($C704:$J704,1+$L705:$S705))</f>
        <v>0.24909904497706103</v>
      </c>
      <c r="H705" s="9">
        <f t="shared" ref="H705:H768" si="409">+IF($A705="Y",IF(BA705&lt;=4,0.25,0),H704*(1+Q705)/SUMPRODUCT($C704:$J704,1+$L705:$S705))</f>
        <v>0</v>
      </c>
      <c r="I705" s="9">
        <f t="shared" ref="I705:I768" si="410">+IF($A705="Y",IF(BB705&lt;=4,0.25,0),I704*(1+R705)/SUMPRODUCT($C704:$J704,1+$L705:$S705))</f>
        <v>0</v>
      </c>
      <c r="J705" s="9">
        <f t="shared" ref="J705:J768" si="411">+IF($A705="Y",IF(BC705&lt;=4,0.25,0),J704*(1+S705)/SUMPRODUCT($C704:$J704,1+$L705:$S705))</f>
        <v>0</v>
      </c>
      <c r="K705" s="9">
        <v>0</v>
      </c>
      <c r="L705" s="8">
        <f>+VLOOKUP($B705,NIFTY_50!$B$3:$I$1238,8,0)</f>
        <v>-8.6496476454892557E-3</v>
      </c>
      <c r="M705" s="8">
        <f>+VLOOKUP($B705,NIFTY_BANK!$B$3:$I$41238,8,0)</f>
        <v>3.7949084570148006E-3</v>
      </c>
      <c r="N705" s="8">
        <f>+VLOOKUP($B705,NIFTY_IT!$B$3:$I$1238,8,0)</f>
        <v>-1.5430992550113931E-2</v>
      </c>
      <c r="O705" s="8">
        <f>+VLOOKUP($B705,NIFTY_PHARMA!$B$3:$I$1238,8,0)</f>
        <v>-2.2420286216419782E-2</v>
      </c>
      <c r="P705" s="8">
        <f>+VLOOKUP($B705,NIFTY_FMCG!$B$3:$I$1238,8,0)</f>
        <v>-1.8084638814355847E-2</v>
      </c>
      <c r="Q705" s="8">
        <f>+VLOOKUP($B705,NIFTY_METAL!$B$3:$I$1238,8,0)</f>
        <v>-1.7337018860119402E-2</v>
      </c>
      <c r="R705" s="8">
        <f>+VLOOKUP($B705,NIFTY_ENERGY!$B$3:$I$1238,8,0)</f>
        <v>-1.7515043548332332E-2</v>
      </c>
      <c r="S705" s="8">
        <f>+VLOOKUP($B705,NIFTY_AUTO!$B$3:$I$1238,8,0)</f>
        <v>-8.5255889027779919E-3</v>
      </c>
      <c r="T705" s="8">
        <v>0</v>
      </c>
      <c r="U705" s="8">
        <f>+VLOOKUP($B705,NIFTY_50!$B$63:$K$1238,10,0)</f>
        <v>8.7676112620738378E-2</v>
      </c>
      <c r="V705" s="8">
        <f>+VLOOKUP($B705,NIFTY_BANK!$B$63:$K$1238,10,0)</f>
        <v>9.7326752812958439E-2</v>
      </c>
      <c r="W705" s="8">
        <f>+VLOOKUP($B705,NIFTY_IT!$B$63:$K$1238,10,0)</f>
        <v>-8.475777966844511E-3</v>
      </c>
      <c r="X705" s="8">
        <f>+VLOOKUP($B705,NIFTY_PHARMA!$B$63:$K$1238,10,0)</f>
        <v>-3.9777450917695134E-3</v>
      </c>
      <c r="Y705" s="8">
        <f>+VLOOKUP($B705,NIFTY_FMCG!$B$63:$K$1238,10,0)</f>
        <v>0.10746741035138418</v>
      </c>
      <c r="Z705" s="8">
        <f>+VLOOKUP($B705,NIFTY_METAL!$B$63:$K$1238,10,0)</f>
        <v>6.7359735299523882E-2</v>
      </c>
      <c r="AA705" s="8">
        <f>+VLOOKUP($B705,NIFTY_ENERGY!$B$63:$K$1238,10,0)</f>
        <v>0.13513378540827636</v>
      </c>
      <c r="AB705" s="8">
        <f>+VLOOKUP($B705,NIFTY_AUTO!$B$63:$K$1238,10,0)</f>
        <v>0.17676756764542767</v>
      </c>
      <c r="AC705" s="8"/>
      <c r="AD705" s="16">
        <f t="shared" ref="AD705:AD768" si="412">+_xlfn.STDEV.S(L645:L705)*SQRT(60)</f>
        <v>9.0011583027548275E-2</v>
      </c>
      <c r="AE705" s="8">
        <f t="shared" ref="AE705:AE768" si="413">+_xlfn.STDEV.S(M645:M705)*SQRT(60)</f>
        <v>0.1460262341096849</v>
      </c>
      <c r="AF705" s="8">
        <f t="shared" ref="AF705:AF768" si="414">+_xlfn.STDEV.S(N645:N705)*SQRT(60)</f>
        <v>9.0217261741374205E-2</v>
      </c>
      <c r="AG705" s="8">
        <f t="shared" ref="AG705:AG768" si="415">+_xlfn.STDEV.S(O645:O705)*SQRT(60)</f>
        <v>8.9010560997263788E-2</v>
      </c>
      <c r="AH705" s="8">
        <f t="shared" ref="AH705:AH768" si="416">+_xlfn.STDEV.S(P645:P705)*SQRT(60)</f>
        <v>8.4489985417356459E-2</v>
      </c>
      <c r="AI705" s="8">
        <f t="shared" ref="AI705:AI768" si="417">+_xlfn.STDEV.S(Q645:Q705)*SQRT(60)</f>
        <v>0.15918301658252607</v>
      </c>
      <c r="AJ705" s="8">
        <f t="shared" ref="AJ705:AJ768" si="418">+_xlfn.STDEV.S(R645:R705)*SQRT(60)</f>
        <v>9.8702508028712846E-2</v>
      </c>
      <c r="AK705" s="8">
        <f t="shared" ref="AK705:AK768" si="419">+_xlfn.STDEV.S(S645:S705)*SQRT(60)</f>
        <v>0.16631502809027543</v>
      </c>
      <c r="AL705" s="9">
        <v>0</v>
      </c>
      <c r="AM705" s="17">
        <f t="shared" si="396"/>
        <v>11.109681291728283</v>
      </c>
      <c r="AN705" s="13">
        <f t="shared" si="397"/>
        <v>6.8480845657422655</v>
      </c>
      <c r="AO705" s="13">
        <f t="shared" si="398"/>
        <v>11.084353267855764</v>
      </c>
      <c r="AP705" s="13">
        <f t="shared" si="399"/>
        <v>11.23462192346749</v>
      </c>
      <c r="AQ705" s="13">
        <f t="shared" si="400"/>
        <v>11.835722246373756</v>
      </c>
      <c r="AR705" s="13">
        <f t="shared" si="401"/>
        <v>6.2820772056519285</v>
      </c>
      <c r="AS705" s="13">
        <f t="shared" si="402"/>
        <v>10.131454812770281</v>
      </c>
      <c r="AT705" s="13">
        <f t="shared" si="403"/>
        <v>6.0126857535520015</v>
      </c>
      <c r="AU705" s="9">
        <v>0</v>
      </c>
      <c r="AV705" s="18">
        <f t="shared" ref="AV705:AV768" si="420">+RANK(AM705,$AM705:$AU705)</f>
        <v>3</v>
      </c>
      <c r="AW705" s="18">
        <f t="shared" ref="AW705:AW768" si="421">+RANK(AN705,$AM705:$AU705)</f>
        <v>6</v>
      </c>
      <c r="AX705" s="18">
        <f t="shared" ref="AX705:AX768" si="422">+RANK(AO705,$AM705:$AU705)</f>
        <v>4</v>
      </c>
      <c r="AY705" s="18">
        <f t="shared" ref="AY705:AY768" si="423">+RANK(AP705,$AM705:$AU705)</f>
        <v>2</v>
      </c>
      <c r="AZ705" s="18">
        <f t="shared" ref="AZ705:AZ768" si="424">+RANK(AQ705,$AM705:$AU705)</f>
        <v>1</v>
      </c>
      <c r="BA705" s="18">
        <f t="shared" ref="BA705:BA768" si="425">+RANK(AR705,$AM705:$AU705)</f>
        <v>7</v>
      </c>
      <c r="BB705" s="18">
        <f t="shared" ref="BB705:BB768" si="426">+RANK(AS705,$AM705:$AU705)</f>
        <v>5</v>
      </c>
      <c r="BC705" s="18">
        <f t="shared" ref="BC705:BC768" si="427">+RANK(AT705,$AM705:$AU705)</f>
        <v>8</v>
      </c>
      <c r="BD705" s="18">
        <f t="shared" ref="BD705:BD768" si="428">+RANK(AU705,$AM705:$AU705)</f>
        <v>9</v>
      </c>
      <c r="BE705" s="8">
        <f t="shared" si="395"/>
        <v>-1.6145146394232014E-2</v>
      </c>
    </row>
    <row r="706" spans="1:57" x14ac:dyDescent="0.25">
      <c r="A706" t="str">
        <f t="shared" si="394"/>
        <v/>
      </c>
      <c r="B706" s="1">
        <v>43780</v>
      </c>
      <c r="C706" s="9">
        <f t="shared" si="404"/>
        <v>0.25335016087456469</v>
      </c>
      <c r="D706" s="9">
        <f t="shared" si="405"/>
        <v>0</v>
      </c>
      <c r="E706" s="9">
        <f t="shared" si="406"/>
        <v>0.24851239799632174</v>
      </c>
      <c r="F706" s="9">
        <f t="shared" si="407"/>
        <v>0.24959486232062963</v>
      </c>
      <c r="G706" s="9">
        <f t="shared" si="408"/>
        <v>0.2485425788084839</v>
      </c>
      <c r="H706" s="9">
        <f t="shared" si="409"/>
        <v>0</v>
      </c>
      <c r="I706" s="9">
        <f t="shared" si="410"/>
        <v>0</v>
      </c>
      <c r="J706" s="9">
        <f t="shared" si="411"/>
        <v>0</v>
      </c>
      <c r="K706" s="9">
        <v>0</v>
      </c>
      <c r="L706" s="8">
        <f>+VLOOKUP($B706,NIFTY_50!$B$3:$I$1238,8,0)</f>
        <v>4.4507333212973066E-4</v>
      </c>
      <c r="M706" s="8">
        <f>+VLOOKUP($B706,NIFTY_BANK!$B$3:$I$41238,8,0)</f>
        <v>1.190754941559824E-2</v>
      </c>
      <c r="N706" s="8">
        <f>+VLOOKUP($B706,NIFTY_IT!$B$3:$I$1238,8,0)</f>
        <v>-4.8591654586467303E-3</v>
      </c>
      <c r="O706" s="8">
        <f>+VLOOKUP($B706,NIFTY_PHARMA!$B$3:$I$1238,8,0)</f>
        <v>-3.2103140971317945E-4</v>
      </c>
      <c r="P706" s="8">
        <f>+VLOOKUP($B706,NIFTY_FMCG!$B$3:$I$1238,8,0)</f>
        <v>-4.5371312309258061E-3</v>
      </c>
      <c r="Q706" s="8">
        <f>+VLOOKUP($B706,NIFTY_METAL!$B$3:$I$1238,8,0)</f>
        <v>-1.0907212154843693E-3</v>
      </c>
      <c r="R706" s="8">
        <f>+VLOOKUP($B706,NIFTY_ENERGY!$B$3:$I$1238,8,0)</f>
        <v>1.4863930614039678E-3</v>
      </c>
      <c r="S706" s="8">
        <f>+VLOOKUP($B706,NIFTY_AUTO!$B$3:$I$1238,8,0)</f>
        <v>-1.3036054176126521E-3</v>
      </c>
      <c r="T706" s="8">
        <v>0</v>
      </c>
      <c r="U706" s="8">
        <f>+VLOOKUP($B706,NIFTY_50!$B$63:$K$1238,10,0)</f>
        <v>9.7457510017963322E-2</v>
      </c>
      <c r="V706" s="8">
        <f>+VLOOKUP($B706,NIFTY_BANK!$B$63:$K$1238,10,0)</f>
        <v>0.12322192761907513</v>
      </c>
      <c r="W706" s="8">
        <f>+VLOOKUP($B706,NIFTY_IT!$B$63:$K$1238,10,0)</f>
        <v>-1.7634205738817466E-2</v>
      </c>
      <c r="X706" s="8">
        <f>+VLOOKUP($B706,NIFTY_PHARMA!$B$63:$K$1238,10,0)</f>
        <v>-1.2037183920809769E-2</v>
      </c>
      <c r="Y706" s="8">
        <f>+VLOOKUP($B706,NIFTY_FMCG!$B$63:$K$1238,10,0)</f>
        <v>0.10369761110272413</v>
      </c>
      <c r="Z706" s="8">
        <f>+VLOOKUP($B706,NIFTY_METAL!$B$63:$K$1238,10,0)</f>
        <v>9.2343426311494392E-2</v>
      </c>
      <c r="AA706" s="8">
        <f>+VLOOKUP($B706,NIFTY_ENERGY!$B$63:$K$1238,10,0)</f>
        <v>0.15308466873867066</v>
      </c>
      <c r="AB706" s="8">
        <f>+VLOOKUP($B706,NIFTY_AUTO!$B$63:$K$1238,10,0)</f>
        <v>0.20116008597591484</v>
      </c>
      <c r="AC706" s="8"/>
      <c r="AD706" s="16">
        <f t="shared" si="412"/>
        <v>8.94620209957976E-2</v>
      </c>
      <c r="AE706" s="8">
        <f t="shared" si="413"/>
        <v>0.14576348509452852</v>
      </c>
      <c r="AF706" s="8">
        <f t="shared" si="414"/>
        <v>9.02246860974283E-2</v>
      </c>
      <c r="AG706" s="8">
        <f t="shared" si="415"/>
        <v>8.8659564505170083E-2</v>
      </c>
      <c r="AH706" s="8">
        <f t="shared" si="416"/>
        <v>8.4672561207637678E-2</v>
      </c>
      <c r="AI706" s="8">
        <f t="shared" si="417"/>
        <v>0.15716412981762148</v>
      </c>
      <c r="AJ706" s="8">
        <f t="shared" si="418"/>
        <v>9.7335165693715073E-2</v>
      </c>
      <c r="AK706" s="8">
        <f t="shared" si="419"/>
        <v>0.16453680614456906</v>
      </c>
      <c r="AL706" s="9">
        <v>0</v>
      </c>
      <c r="AM706" s="17">
        <f t="shared" si="396"/>
        <v>11.177927671083735</v>
      </c>
      <c r="AN706" s="13">
        <f t="shared" si="397"/>
        <v>6.8604287236374306</v>
      </c>
      <c r="AO706" s="13">
        <f t="shared" si="398"/>
        <v>11.083441165094873</v>
      </c>
      <c r="AP706" s="13">
        <f t="shared" si="399"/>
        <v>11.279098939648932</v>
      </c>
      <c r="AQ706" s="13">
        <f t="shared" si="400"/>
        <v>11.810201389181522</v>
      </c>
      <c r="AR706" s="13">
        <f t="shared" si="401"/>
        <v>6.3627750248128088</v>
      </c>
      <c r="AS706" s="13">
        <f t="shared" si="402"/>
        <v>10.273779192472983</v>
      </c>
      <c r="AT706" s="13">
        <f t="shared" si="403"/>
        <v>6.0776675045056932</v>
      </c>
      <c r="AU706" s="9">
        <v>0</v>
      </c>
      <c r="AV706" s="18">
        <f t="shared" si="420"/>
        <v>3</v>
      </c>
      <c r="AW706" s="18">
        <f t="shared" si="421"/>
        <v>6</v>
      </c>
      <c r="AX706" s="18">
        <f t="shared" si="422"/>
        <v>4</v>
      </c>
      <c r="AY706" s="18">
        <f t="shared" si="423"/>
        <v>2</v>
      </c>
      <c r="AZ706" s="18">
        <f t="shared" si="424"/>
        <v>1</v>
      </c>
      <c r="BA706" s="18">
        <f t="shared" si="425"/>
        <v>7</v>
      </c>
      <c r="BB706" s="18">
        <f t="shared" si="426"/>
        <v>5</v>
      </c>
      <c r="BC706" s="18">
        <f t="shared" si="427"/>
        <v>8</v>
      </c>
      <c r="BD706" s="18">
        <f t="shared" si="428"/>
        <v>9</v>
      </c>
      <c r="BE706" s="8">
        <f t="shared" si="395"/>
        <v>-2.3083726367229933E-3</v>
      </c>
    </row>
    <row r="707" spans="1:57" x14ac:dyDescent="0.25">
      <c r="A707" t="str">
        <f t="shared" si="394"/>
        <v/>
      </c>
      <c r="B707" s="1">
        <v>43782</v>
      </c>
      <c r="C707" s="9">
        <f t="shared" si="404"/>
        <v>0.25392051661567983</v>
      </c>
      <c r="D707" s="9">
        <f t="shared" si="405"/>
        <v>0</v>
      </c>
      <c r="E707" s="9">
        <f t="shared" si="406"/>
        <v>0.24950082628626782</v>
      </c>
      <c r="F707" s="9">
        <f t="shared" si="407"/>
        <v>0.24767537682482427</v>
      </c>
      <c r="G707" s="9">
        <f t="shared" si="408"/>
        <v>0.24890328027322811</v>
      </c>
      <c r="H707" s="9">
        <f t="shared" si="409"/>
        <v>0</v>
      </c>
      <c r="I707" s="9">
        <f t="shared" si="410"/>
        <v>0</v>
      </c>
      <c r="J707" s="9">
        <f t="shared" si="411"/>
        <v>0</v>
      </c>
      <c r="K707" s="9">
        <v>0</v>
      </c>
      <c r="L707" s="8">
        <f>+VLOOKUP($B707,NIFTY_50!$B$3:$I$1238,8,0)</f>
        <v>-6.1275281299707496E-3</v>
      </c>
      <c r="M707" s="8">
        <f>+VLOOKUP($B707,NIFTY_BANK!$B$3:$I$41238,8,0)</f>
        <v>-1.8447367955893412E-2</v>
      </c>
      <c r="N707" s="8">
        <f>+VLOOKUP($B707,NIFTY_IT!$B$3:$I$1238,8,0)</f>
        <v>-4.4158329822222564E-3</v>
      </c>
      <c r="O707" s="8">
        <f>+VLOOKUP($B707,NIFTY_PHARMA!$B$3:$I$1238,8,0)</f>
        <v>-1.5986075607907546E-2</v>
      </c>
      <c r="P707" s="8">
        <f>+VLOOKUP($B707,NIFTY_FMCG!$B$3:$I$1238,8,0)</f>
        <v>-6.9208286756878845E-3</v>
      </c>
      <c r="Q707" s="8">
        <f>+VLOOKUP($B707,NIFTY_METAL!$B$3:$I$1238,8,0)</f>
        <v>-2.0478142599900329E-2</v>
      </c>
      <c r="R707" s="8">
        <f>+VLOOKUP($B707,NIFTY_ENERGY!$B$3:$I$1238,8,0)</f>
        <v>1.757176969685581E-3</v>
      </c>
      <c r="S707" s="8">
        <f>+VLOOKUP($B707,NIFTY_AUTO!$B$3:$I$1238,8,0)</f>
        <v>-1.0785635494545698E-3</v>
      </c>
      <c r="T707" s="8">
        <v>0</v>
      </c>
      <c r="U707" s="8">
        <f>+VLOOKUP($B707,NIFTY_50!$B$63:$K$1238,10,0)</f>
        <v>7.3238491903430347E-2</v>
      </c>
      <c r="V707" s="8">
        <f>+VLOOKUP($B707,NIFTY_BANK!$B$63:$K$1238,10,0)</f>
        <v>8.6483852090592617E-2</v>
      </c>
      <c r="W707" s="8">
        <f>+VLOOKUP($B707,NIFTY_IT!$B$63:$K$1238,10,0)</f>
        <v>-3.9513610768876939E-2</v>
      </c>
      <c r="X707" s="8">
        <f>+VLOOKUP($B707,NIFTY_PHARMA!$B$63:$K$1238,10,0)</f>
        <v>-3.8211882282040976E-2</v>
      </c>
      <c r="Y707" s="8">
        <f>+VLOOKUP($B707,NIFTY_FMCG!$B$63:$K$1238,10,0)</f>
        <v>8.4122848570977515E-2</v>
      </c>
      <c r="Z707" s="8">
        <f>+VLOOKUP($B707,NIFTY_METAL!$B$63:$K$1238,10,0)</f>
        <v>5.6991069952042395E-2</v>
      </c>
      <c r="AA707" s="8">
        <f>+VLOOKUP($B707,NIFTY_ENERGY!$B$63:$K$1238,10,0)</f>
        <v>0.13029516624122417</v>
      </c>
      <c r="AB707" s="8">
        <f>+VLOOKUP($B707,NIFTY_AUTO!$B$63:$K$1238,10,0)</f>
        <v>0.1645721552629511</v>
      </c>
      <c r="AC707" s="8"/>
      <c r="AD707" s="16">
        <f t="shared" si="412"/>
        <v>8.8534688134837905E-2</v>
      </c>
      <c r="AE707" s="8">
        <f t="shared" si="413"/>
        <v>0.14659400191004149</v>
      </c>
      <c r="AF707" s="8">
        <f t="shared" si="414"/>
        <v>8.8362041156609381E-2</v>
      </c>
      <c r="AG707" s="8">
        <f t="shared" si="415"/>
        <v>8.9334464760501928E-2</v>
      </c>
      <c r="AH707" s="8">
        <f t="shared" si="416"/>
        <v>8.4563478103148154E-2</v>
      </c>
      <c r="AI707" s="8">
        <f t="shared" si="417"/>
        <v>0.15830221085124424</v>
      </c>
      <c r="AJ707" s="8">
        <f t="shared" si="418"/>
        <v>9.532089638315154E-2</v>
      </c>
      <c r="AK707" s="8">
        <f t="shared" si="419"/>
        <v>0.16230065879730618</v>
      </c>
      <c r="AL707" s="9">
        <v>0</v>
      </c>
      <c r="AM707" s="17">
        <f t="shared" si="396"/>
        <v>11.295007878460076</v>
      </c>
      <c r="AN707" s="13">
        <f t="shared" si="397"/>
        <v>6.8215615029983114</v>
      </c>
      <c r="AO707" s="13">
        <f t="shared" si="398"/>
        <v>11.317076732390548</v>
      </c>
      <c r="AP707" s="13">
        <f t="shared" si="399"/>
        <v>11.193888077584777</v>
      </c>
      <c r="AQ707" s="13">
        <f t="shared" si="400"/>
        <v>11.825436020739687</v>
      </c>
      <c r="AR707" s="13">
        <f t="shared" si="401"/>
        <v>6.3170311685646308</v>
      </c>
      <c r="AS707" s="13">
        <f t="shared" si="402"/>
        <v>10.490879103574557</v>
      </c>
      <c r="AT707" s="13">
        <f t="shared" si="403"/>
        <v>6.1614044416719134</v>
      </c>
      <c r="AU707" s="9">
        <v>0</v>
      </c>
      <c r="AV707" s="18">
        <f t="shared" si="420"/>
        <v>3</v>
      </c>
      <c r="AW707" s="18">
        <f t="shared" si="421"/>
        <v>6</v>
      </c>
      <c r="AX707" s="18">
        <f t="shared" si="422"/>
        <v>2</v>
      </c>
      <c r="AY707" s="18">
        <f t="shared" si="423"/>
        <v>4</v>
      </c>
      <c r="AZ707" s="18">
        <f t="shared" si="424"/>
        <v>1</v>
      </c>
      <c r="BA707" s="18">
        <f t="shared" si="425"/>
        <v>7</v>
      </c>
      <c r="BB707" s="18">
        <f t="shared" si="426"/>
        <v>5</v>
      </c>
      <c r="BC707" s="18">
        <f t="shared" si="427"/>
        <v>8</v>
      </c>
      <c r="BD707" s="18">
        <f t="shared" si="428"/>
        <v>9</v>
      </c>
      <c r="BE707" s="8">
        <f t="shared" si="395"/>
        <v>-8.3599624280048419E-3</v>
      </c>
    </row>
    <row r="708" spans="1:57" x14ac:dyDescent="0.25">
      <c r="A708" t="str">
        <f t="shared" ref="A708:A771" si="429">+IF(MONTH(B708)&lt;&gt;MONTH(B709),"Y","")</f>
        <v/>
      </c>
      <c r="B708" s="1">
        <v>43783</v>
      </c>
      <c r="C708" s="9">
        <f t="shared" si="404"/>
        <v>0.25466536517646893</v>
      </c>
      <c r="D708" s="9">
        <f t="shared" si="405"/>
        <v>0</v>
      </c>
      <c r="E708" s="9">
        <f t="shared" si="406"/>
        <v>0.251985788269667</v>
      </c>
      <c r="F708" s="9">
        <f t="shared" si="407"/>
        <v>0.24550822115166099</v>
      </c>
      <c r="G708" s="9">
        <f t="shared" si="408"/>
        <v>0.24784062540220309</v>
      </c>
      <c r="H708" s="9">
        <f t="shared" si="409"/>
        <v>0</v>
      </c>
      <c r="I708" s="9">
        <f t="shared" si="410"/>
        <v>0</v>
      </c>
      <c r="J708" s="9">
        <f t="shared" si="411"/>
        <v>0</v>
      </c>
      <c r="K708" s="9">
        <v>0</v>
      </c>
      <c r="L708" s="8">
        <f>+VLOOKUP($B708,NIFTY_50!$B$3:$I$1238,8,0)</f>
        <v>2.6730402982995116E-3</v>
      </c>
      <c r="M708" s="8">
        <f>+VLOOKUP($B708,NIFTY_BANK!$B$3:$I$41238,8,0)</f>
        <v>6.8234912766378386E-3</v>
      </c>
      <c r="N708" s="8">
        <f>+VLOOKUP($B708,NIFTY_IT!$B$3:$I$1238,8,0)</f>
        <v>9.6975582230764967E-3</v>
      </c>
      <c r="O708" s="8">
        <f>+VLOOKUP($B708,NIFTY_PHARMA!$B$3:$I$1238,8,0)</f>
        <v>-9.0073037484743601E-3</v>
      </c>
      <c r="P708" s="8">
        <f>+VLOOKUP($B708,NIFTY_FMCG!$B$3:$I$1238,8,0)</f>
        <v>-4.527831121398096E-3</v>
      </c>
      <c r="Q708" s="8">
        <f>+VLOOKUP($B708,NIFTY_METAL!$B$3:$I$1238,8,0)</f>
        <v>-1.9576398803121342E-2</v>
      </c>
      <c r="R708" s="8">
        <f>+VLOOKUP($B708,NIFTY_ENERGY!$B$3:$I$1238,8,0)</f>
        <v>-3.6115557253963981E-3</v>
      </c>
      <c r="S708" s="8">
        <f>+VLOOKUP($B708,NIFTY_AUTO!$B$3:$I$1238,8,0)</f>
        <v>4.9937424848469636E-3</v>
      </c>
      <c r="T708" s="8">
        <v>0</v>
      </c>
      <c r="U708" s="8">
        <f>+VLOOKUP($B708,NIFTY_50!$B$63:$K$1238,10,0)</f>
        <v>6.8629524782509055E-2</v>
      </c>
      <c r="V708" s="8">
        <f>+VLOOKUP($B708,NIFTY_BANK!$B$63:$K$1238,10,0)</f>
        <v>8.1529901272866079E-2</v>
      </c>
      <c r="W708" s="8">
        <f>+VLOOKUP($B708,NIFTY_IT!$B$63:$K$1238,10,0)</f>
        <v>-2.7342799445053689E-2</v>
      </c>
      <c r="X708" s="8">
        <f>+VLOOKUP($B708,NIFTY_PHARMA!$B$63:$K$1238,10,0)</f>
        <v>-4.1973485780629871E-2</v>
      </c>
      <c r="Y708" s="8">
        <f>+VLOOKUP($B708,NIFTY_FMCG!$B$63:$K$1238,10,0)</f>
        <v>7.2938209417722888E-2</v>
      </c>
      <c r="Z708" s="8">
        <f>+VLOOKUP($B708,NIFTY_METAL!$B$63:$K$1238,10,0)</f>
        <v>4.5287739783152592E-2</v>
      </c>
      <c r="AA708" s="8">
        <f>+VLOOKUP($B708,NIFTY_ENERGY!$B$63:$K$1238,10,0)</f>
        <v>0.12359947440552732</v>
      </c>
      <c r="AB708" s="8">
        <f>+VLOOKUP($B708,NIFTY_AUTO!$B$63:$K$1238,10,0)</f>
        <v>0.14760276851514553</v>
      </c>
      <c r="AC708" s="8"/>
      <c r="AD708" s="16">
        <f t="shared" si="412"/>
        <v>8.8356325346917189E-2</v>
      </c>
      <c r="AE708" s="8">
        <f t="shared" si="413"/>
        <v>0.14635365149324911</v>
      </c>
      <c r="AF708" s="8">
        <f t="shared" si="414"/>
        <v>8.89140744453637E-2</v>
      </c>
      <c r="AG708" s="8">
        <f t="shared" si="415"/>
        <v>8.9615263817461627E-2</v>
      </c>
      <c r="AH708" s="8">
        <f t="shared" si="416"/>
        <v>8.4641621081794557E-2</v>
      </c>
      <c r="AI708" s="8">
        <f t="shared" si="417"/>
        <v>0.15934662132967145</v>
      </c>
      <c r="AJ708" s="8">
        <f t="shared" si="418"/>
        <v>9.5487574161826405E-2</v>
      </c>
      <c r="AK708" s="8">
        <f t="shared" si="419"/>
        <v>0.16139773894259032</v>
      </c>
      <c r="AL708" s="9">
        <v>0</v>
      </c>
      <c r="AM708" s="17">
        <f t="shared" si="396"/>
        <v>11.317808839080367</v>
      </c>
      <c r="AN708" s="13">
        <f t="shared" si="397"/>
        <v>6.832764265168521</v>
      </c>
      <c r="AO708" s="13">
        <f t="shared" si="398"/>
        <v>11.246813355904461</v>
      </c>
      <c r="AP708" s="13">
        <f t="shared" si="399"/>
        <v>11.15881332489197</v>
      </c>
      <c r="AQ708" s="13">
        <f t="shared" si="400"/>
        <v>11.81451852196494</v>
      </c>
      <c r="AR708" s="13">
        <f t="shared" si="401"/>
        <v>6.2756272562008384</v>
      </c>
      <c r="AS708" s="13">
        <f t="shared" si="402"/>
        <v>10.472566810685359</v>
      </c>
      <c r="AT708" s="13">
        <f t="shared" si="403"/>
        <v>6.1958736631106284</v>
      </c>
      <c r="AU708" s="9">
        <v>0</v>
      </c>
      <c r="AV708" s="18">
        <f t="shared" si="420"/>
        <v>2</v>
      </c>
      <c r="AW708" s="18">
        <f t="shared" si="421"/>
        <v>6</v>
      </c>
      <c r="AX708" s="18">
        <f t="shared" si="422"/>
        <v>3</v>
      </c>
      <c r="AY708" s="18">
        <f t="shared" si="423"/>
        <v>4</v>
      </c>
      <c r="AZ708" s="18">
        <f t="shared" si="424"/>
        <v>1</v>
      </c>
      <c r="BA708" s="18">
        <f t="shared" si="425"/>
        <v>7</v>
      </c>
      <c r="BB708" s="18">
        <f t="shared" si="426"/>
        <v>5</v>
      </c>
      <c r="BC708" s="18">
        <f t="shared" si="427"/>
        <v>8</v>
      </c>
      <c r="BD708" s="18">
        <f t="shared" si="428"/>
        <v>9</v>
      </c>
      <c r="BE708" s="8">
        <f t="shared" ref="BE708:BE771" si="430">+SUMPRODUCT(C707:J707,L708:S708)</f>
        <v>-2.5959080562271402E-4</v>
      </c>
    </row>
    <row r="709" spans="1:57" x14ac:dyDescent="0.25">
      <c r="A709" t="str">
        <f t="shared" si="429"/>
        <v/>
      </c>
      <c r="B709" s="1">
        <v>43784</v>
      </c>
      <c r="C709" s="9">
        <f t="shared" si="404"/>
        <v>0.25460147274228251</v>
      </c>
      <c r="D709" s="9">
        <f t="shared" si="405"/>
        <v>0</v>
      </c>
      <c r="E709" s="9">
        <f t="shared" si="406"/>
        <v>0.25015202876459147</v>
      </c>
      <c r="F709" s="9">
        <f t="shared" si="407"/>
        <v>0.2491323091774755</v>
      </c>
      <c r="G709" s="9">
        <f t="shared" si="408"/>
        <v>0.24611418931565068</v>
      </c>
      <c r="H709" s="9">
        <f t="shared" si="409"/>
        <v>0</v>
      </c>
      <c r="I709" s="9">
        <f t="shared" si="410"/>
        <v>0</v>
      </c>
      <c r="J709" s="9">
        <f t="shared" si="411"/>
        <v>0</v>
      </c>
      <c r="K709" s="9">
        <v>0</v>
      </c>
      <c r="L709" s="8">
        <f>+VLOOKUP($B709,NIFTY_50!$B$3:$I$1238,8,0)</f>
        <v>1.9667961017848512E-3</v>
      </c>
      <c r="M709" s="8">
        <f>+VLOOKUP($B709,NIFTY_BANK!$B$3:$I$41238,8,0)</f>
        <v>8.4048917152710345E-3</v>
      </c>
      <c r="N709" s="8">
        <f>+VLOOKUP($B709,NIFTY_IT!$B$3:$I$1238,8,0)</f>
        <v>-5.0751360571846815E-3</v>
      </c>
      <c r="O709" s="8">
        <f>+VLOOKUP($B709,NIFTY_PHARMA!$B$3:$I$1238,8,0)</f>
        <v>1.7012560182837255E-2</v>
      </c>
      <c r="P709" s="8">
        <f>+VLOOKUP($B709,NIFTY_FMCG!$B$3:$I$1238,8,0)</f>
        <v>-4.7631240368390948E-3</v>
      </c>
      <c r="Q709" s="8">
        <f>+VLOOKUP($B709,NIFTY_METAL!$B$3:$I$1238,8,0)</f>
        <v>-3.1117848878958743E-3</v>
      </c>
      <c r="R709" s="8">
        <f>+VLOOKUP($B709,NIFTY_ENERGY!$B$3:$I$1238,8,0)</f>
        <v>-3.0399245520277285E-3</v>
      </c>
      <c r="S709" s="8">
        <f>+VLOOKUP($B709,NIFTY_AUTO!$B$3:$I$1238,8,0)</f>
        <v>-4.5172081212077053E-3</v>
      </c>
      <c r="T709" s="8">
        <v>0</v>
      </c>
      <c r="U709" s="8">
        <f>+VLOOKUP($B709,NIFTY_50!$B$63:$K$1238,10,0)</f>
        <v>8.8743667540740478E-2</v>
      </c>
      <c r="V709" s="8">
        <f>+VLOOKUP($B709,NIFTY_BANK!$B$63:$K$1238,10,0)</f>
        <v>0.11826204240310734</v>
      </c>
      <c r="W709" s="8">
        <f>+VLOOKUP($B709,NIFTY_IT!$B$63:$K$1238,10,0)</f>
        <v>-7.3746790798994155E-3</v>
      </c>
      <c r="X709" s="8">
        <f>+VLOOKUP($B709,NIFTY_PHARMA!$B$63:$K$1238,10,0)</f>
        <v>-1.6728328631741118E-2</v>
      </c>
      <c r="Y709" s="8">
        <f>+VLOOKUP($B709,NIFTY_FMCG!$B$63:$K$1238,10,0)</f>
        <v>8.9151887498477134E-2</v>
      </c>
      <c r="Z709" s="8">
        <f>+VLOOKUP($B709,NIFTY_METAL!$B$63:$K$1238,10,0)</f>
        <v>6.0656224797317471E-2</v>
      </c>
      <c r="AA709" s="8">
        <f>+VLOOKUP($B709,NIFTY_ENERGY!$B$63:$K$1238,10,0)</f>
        <v>9.9327854020569983E-2</v>
      </c>
      <c r="AB709" s="8">
        <f>+VLOOKUP($B709,NIFTY_AUTO!$B$63:$K$1238,10,0)</f>
        <v>0.189352003792437</v>
      </c>
      <c r="AC709" s="8"/>
      <c r="AD709" s="16">
        <f t="shared" si="412"/>
        <v>8.6537475708534872E-2</v>
      </c>
      <c r="AE709" s="8">
        <f t="shared" si="413"/>
        <v>0.14409877294480072</v>
      </c>
      <c r="AF709" s="8">
        <f t="shared" si="414"/>
        <v>8.5504308595141784E-2</v>
      </c>
      <c r="AG709" s="8">
        <f t="shared" si="415"/>
        <v>9.0882368949024184E-2</v>
      </c>
      <c r="AH709" s="8">
        <f t="shared" si="416"/>
        <v>8.2243728417018977E-2</v>
      </c>
      <c r="AI709" s="8">
        <f t="shared" si="417"/>
        <v>0.15831114488798886</v>
      </c>
      <c r="AJ709" s="8">
        <f t="shared" si="418"/>
        <v>9.4056986307393953E-2</v>
      </c>
      <c r="AK709" s="8">
        <f t="shared" si="419"/>
        <v>0.15594845507280003</v>
      </c>
      <c r="AL709" s="9">
        <v>0</v>
      </c>
      <c r="AM709" s="17">
        <f t="shared" si="396"/>
        <v>11.555687195777235</v>
      </c>
      <c r="AN709" s="13">
        <f t="shared" si="397"/>
        <v>6.9396843537527246</v>
      </c>
      <c r="AO709" s="13">
        <f t="shared" si="398"/>
        <v>11.695317071505077</v>
      </c>
      <c r="AP709" s="13">
        <f t="shared" si="399"/>
        <v>11.003234307865576</v>
      </c>
      <c r="AQ709" s="13">
        <f t="shared" si="400"/>
        <v>12.158981836638945</v>
      </c>
      <c r="AR709" s="13">
        <f t="shared" si="401"/>
        <v>6.3166746769947117</v>
      </c>
      <c r="AS709" s="13">
        <f t="shared" si="402"/>
        <v>10.631852446684107</v>
      </c>
      <c r="AT709" s="13">
        <f t="shared" si="403"/>
        <v>6.4123751628907062</v>
      </c>
      <c r="AU709" s="9">
        <v>0</v>
      </c>
      <c r="AV709" s="18">
        <f t="shared" si="420"/>
        <v>3</v>
      </c>
      <c r="AW709" s="18">
        <f t="shared" si="421"/>
        <v>6</v>
      </c>
      <c r="AX709" s="18">
        <f t="shared" si="422"/>
        <v>2</v>
      </c>
      <c r="AY709" s="18">
        <f t="shared" si="423"/>
        <v>4</v>
      </c>
      <c r="AZ709" s="18">
        <f t="shared" si="424"/>
        <v>1</v>
      </c>
      <c r="BA709" s="18">
        <f t="shared" si="425"/>
        <v>8</v>
      </c>
      <c r="BB709" s="18">
        <f t="shared" si="426"/>
        <v>5</v>
      </c>
      <c r="BC709" s="18">
        <f t="shared" si="427"/>
        <v>7</v>
      </c>
      <c r="BD709" s="18">
        <f t="shared" si="428"/>
        <v>9</v>
      </c>
      <c r="BE709" s="8">
        <f t="shared" si="430"/>
        <v>2.2182404351086867E-3</v>
      </c>
    </row>
    <row r="710" spans="1:57" x14ac:dyDescent="0.25">
      <c r="A710" t="str">
        <f t="shared" si="429"/>
        <v/>
      </c>
      <c r="B710" s="1">
        <v>43787</v>
      </c>
      <c r="C710" s="9">
        <f t="shared" si="404"/>
        <v>0.25395283246975048</v>
      </c>
      <c r="D710" s="9">
        <f t="shared" si="405"/>
        <v>0</v>
      </c>
      <c r="E710" s="9">
        <f t="shared" si="406"/>
        <v>0.24949341704636163</v>
      </c>
      <c r="F710" s="9">
        <f t="shared" si="407"/>
        <v>0.25181768190890114</v>
      </c>
      <c r="G710" s="9">
        <f t="shared" si="408"/>
        <v>0.24473606857498678</v>
      </c>
      <c r="H710" s="9">
        <f t="shared" si="409"/>
        <v>0</v>
      </c>
      <c r="I710" s="9">
        <f t="shared" si="410"/>
        <v>0</v>
      </c>
      <c r="J710" s="9">
        <f t="shared" si="411"/>
        <v>0</v>
      </c>
      <c r="K710" s="9">
        <v>0</v>
      </c>
      <c r="L710" s="8">
        <f>+VLOOKUP($B710,NIFTY_50!$B$3:$I$1238,8,0)</f>
        <v>-9.2052003076814604E-4</v>
      </c>
      <c r="M710" s="8">
        <f>+VLOOKUP($B710,NIFTY_BANK!$B$3:$I$41238,8,0)</f>
        <v>-5.2566401362219572E-4</v>
      </c>
      <c r="N710" s="8">
        <f>+VLOOKUP($B710,NIFTY_IT!$B$3:$I$1238,8,0)</f>
        <v>-1.0058358071015627E-3</v>
      </c>
      <c r="O710" s="8">
        <f>+VLOOKUP($B710,NIFTY_PHARMA!$B$3:$I$1238,8,0)</f>
        <v>1.2427790586223786E-2</v>
      </c>
      <c r="P710" s="8">
        <f>+VLOOKUP($B710,NIFTY_FMCG!$B$3:$I$1238,8,0)</f>
        <v>-3.9773471781449077E-3</v>
      </c>
      <c r="Q710" s="8">
        <f>+VLOOKUP($B710,NIFTY_METAL!$B$3:$I$1238,8,0)</f>
        <v>1.63478469665439E-2</v>
      </c>
      <c r="R710" s="8">
        <f>+VLOOKUP($B710,NIFTY_ENERGY!$B$3:$I$1238,8,0)</f>
        <v>1.6743763657520727E-3</v>
      </c>
      <c r="S710" s="8">
        <f>+VLOOKUP($B710,NIFTY_AUTO!$B$3:$I$1238,8,0)</f>
        <v>-4.2801604140350058E-3</v>
      </c>
      <c r="T710" s="8">
        <v>0</v>
      </c>
      <c r="U710" s="8">
        <f>+VLOOKUP($B710,NIFTY_50!$B$63:$K$1238,10,0)</f>
        <v>7.752914936442612E-2</v>
      </c>
      <c r="V710" s="8">
        <f>+VLOOKUP($B710,NIFTY_BANK!$B$63:$K$1238,10,0)</f>
        <v>0.10610224417542247</v>
      </c>
      <c r="W710" s="8">
        <f>+VLOOKUP($B710,NIFTY_IT!$B$63:$K$1238,10,0)</f>
        <v>-1.1056332336539243E-2</v>
      </c>
      <c r="X710" s="8">
        <f>+VLOOKUP($B710,NIFTY_PHARMA!$B$63:$K$1238,10,0)</f>
        <v>9.3294422994976145E-3</v>
      </c>
      <c r="Y710" s="8">
        <f>+VLOOKUP($B710,NIFTY_FMCG!$B$63:$K$1238,10,0)</f>
        <v>8.0640854935574824E-2</v>
      </c>
      <c r="Z710" s="8">
        <f>+VLOOKUP($B710,NIFTY_METAL!$B$63:$K$1238,10,0)</f>
        <v>5.3337757408597808E-2</v>
      </c>
      <c r="AA710" s="8">
        <f>+VLOOKUP($B710,NIFTY_ENERGY!$B$63:$K$1238,10,0)</f>
        <v>9.0542071475162356E-2</v>
      </c>
      <c r="AB710" s="8">
        <f>+VLOOKUP($B710,NIFTY_AUTO!$B$63:$K$1238,10,0)</f>
        <v>0.17342698780901999</v>
      </c>
      <c r="AC710" s="8"/>
      <c r="AD710" s="16">
        <f t="shared" si="412"/>
        <v>8.6187311048158716E-2</v>
      </c>
      <c r="AE710" s="8">
        <f t="shared" si="413"/>
        <v>0.14386545770026088</v>
      </c>
      <c r="AF710" s="8">
        <f t="shared" si="414"/>
        <v>8.5463195625428715E-2</v>
      </c>
      <c r="AG710" s="8">
        <f t="shared" si="415"/>
        <v>9.0696183577026204E-2</v>
      </c>
      <c r="AH710" s="8">
        <f t="shared" si="416"/>
        <v>8.2381572017807506E-2</v>
      </c>
      <c r="AI710" s="8">
        <f t="shared" si="417"/>
        <v>0.15747185329788776</v>
      </c>
      <c r="AJ710" s="8">
        <f t="shared" si="418"/>
        <v>9.3700288976289167E-2</v>
      </c>
      <c r="AK710" s="8">
        <f t="shared" si="419"/>
        <v>0.15598779495798765</v>
      </c>
      <c r="AL710" s="9">
        <v>0</v>
      </c>
      <c r="AM710" s="17">
        <f t="shared" si="396"/>
        <v>11.602636024242965</v>
      </c>
      <c r="AN710" s="13">
        <f t="shared" si="397"/>
        <v>6.950938856243507</v>
      </c>
      <c r="AO710" s="13">
        <f t="shared" si="398"/>
        <v>11.700943226869697</v>
      </c>
      <c r="AP710" s="13">
        <f t="shared" si="399"/>
        <v>11.025822262418824</v>
      </c>
      <c r="AQ710" s="13">
        <f t="shared" si="400"/>
        <v>12.138637021685398</v>
      </c>
      <c r="AR710" s="13">
        <f t="shared" si="401"/>
        <v>6.350341213729866</v>
      </c>
      <c r="AS710" s="13">
        <f t="shared" si="402"/>
        <v>10.672325677171068</v>
      </c>
      <c r="AT710" s="13">
        <f t="shared" si="403"/>
        <v>6.4107579716049647</v>
      </c>
      <c r="AU710" s="9">
        <v>0</v>
      </c>
      <c r="AV710" s="18">
        <f t="shared" si="420"/>
        <v>3</v>
      </c>
      <c r="AW710" s="18">
        <f t="shared" si="421"/>
        <v>6</v>
      </c>
      <c r="AX710" s="18">
        <f t="shared" si="422"/>
        <v>2</v>
      </c>
      <c r="AY710" s="18">
        <f t="shared" si="423"/>
        <v>4</v>
      </c>
      <c r="AZ710" s="18">
        <f t="shared" si="424"/>
        <v>1</v>
      </c>
      <c r="BA710" s="18">
        <f t="shared" si="425"/>
        <v>8</v>
      </c>
      <c r="BB710" s="18">
        <f t="shared" si="426"/>
        <v>5</v>
      </c>
      <c r="BC710" s="18">
        <f t="shared" si="427"/>
        <v>7</v>
      </c>
      <c r="BD710" s="18">
        <f t="shared" si="428"/>
        <v>9</v>
      </c>
      <c r="BE710" s="8">
        <f t="shared" si="430"/>
        <v>1.6313049670711318E-3</v>
      </c>
    </row>
    <row r="711" spans="1:57" x14ac:dyDescent="0.25">
      <c r="A711" t="str">
        <f t="shared" si="429"/>
        <v/>
      </c>
      <c r="B711" s="1">
        <v>43788</v>
      </c>
      <c r="C711" s="9">
        <f t="shared" si="404"/>
        <v>0.25489649290877758</v>
      </c>
      <c r="D711" s="9">
        <f t="shared" si="405"/>
        <v>0</v>
      </c>
      <c r="E711" s="9">
        <f t="shared" si="406"/>
        <v>0.2494108478074574</v>
      </c>
      <c r="F711" s="9">
        <f t="shared" si="407"/>
        <v>0.25269970253934937</v>
      </c>
      <c r="G711" s="9">
        <f t="shared" si="408"/>
        <v>0.24299295674441548</v>
      </c>
      <c r="H711" s="9">
        <f t="shared" si="409"/>
        <v>0</v>
      </c>
      <c r="I711" s="9">
        <f t="shared" si="410"/>
        <v>0</v>
      </c>
      <c r="J711" s="9">
        <f t="shared" si="411"/>
        <v>0</v>
      </c>
      <c r="K711" s="9">
        <v>0</v>
      </c>
      <c r="L711" s="8">
        <f>+VLOOKUP($B711,NIFTY_50!$B$3:$I$1238,8,0)</f>
        <v>4.6783625730995038E-3</v>
      </c>
      <c r="M711" s="8">
        <f>+VLOOKUP($B711,NIFTY_BANK!$B$3:$I$41238,8,0)</f>
        <v>7.8778140235737926E-3</v>
      </c>
      <c r="N711" s="8">
        <f>+VLOOKUP($B711,NIFTY_IT!$B$3:$I$1238,8,0)</f>
        <v>6.2764583776009353E-4</v>
      </c>
      <c r="O711" s="8">
        <f>+VLOOKUP($B711,NIFTY_PHARMA!$B$3:$I$1238,8,0)</f>
        <v>4.4648854034068375E-3</v>
      </c>
      <c r="P711" s="8">
        <f>+VLOOKUP($B711,NIFTY_FMCG!$B$3:$I$1238,8,0)</f>
        <v>-6.1703339456605777E-3</v>
      </c>
      <c r="Q711" s="8">
        <f>+VLOOKUP($B711,NIFTY_METAL!$B$3:$I$1238,8,0)</f>
        <v>-8.5444844762074812E-3</v>
      </c>
      <c r="R711" s="8">
        <f>+VLOOKUP($B711,NIFTY_ENERGY!$B$3:$I$1238,8,0)</f>
        <v>1.4559408683388675E-2</v>
      </c>
      <c r="S711" s="8">
        <f>+VLOOKUP($B711,NIFTY_AUTO!$B$3:$I$1238,8,0)</f>
        <v>-6.7803916738514713E-3</v>
      </c>
      <c r="T711" s="8">
        <v>0</v>
      </c>
      <c r="U711" s="8">
        <f>+VLOOKUP($B711,NIFTY_50!$B$63:$K$1238,10,0)</f>
        <v>8.0767211571534769E-2</v>
      </c>
      <c r="V711" s="8">
        <f>+VLOOKUP($B711,NIFTY_BANK!$B$63:$K$1238,10,0)</f>
        <v>0.10700109862848639</v>
      </c>
      <c r="W711" s="8">
        <f>+VLOOKUP($B711,NIFTY_IT!$B$63:$K$1238,10,0)</f>
        <v>-3.9374306475283838E-3</v>
      </c>
      <c r="X711" s="8">
        <f>+VLOOKUP($B711,NIFTY_PHARMA!$B$63:$K$1238,10,0)</f>
        <v>2.1752143981885075E-2</v>
      </c>
      <c r="Y711" s="8">
        <f>+VLOOKUP($B711,NIFTY_FMCG!$B$63:$K$1238,10,0)</f>
        <v>7.2101197821387686E-2</v>
      </c>
      <c r="Z711" s="8">
        <f>+VLOOKUP($B711,NIFTY_METAL!$B$63:$K$1238,10,0)</f>
        <v>4.8250452738285876E-2</v>
      </c>
      <c r="AA711" s="8">
        <f>+VLOOKUP($B711,NIFTY_ENERGY!$B$63:$K$1238,10,0)</f>
        <v>0.10413026646659396</v>
      </c>
      <c r="AB711" s="8">
        <f>+VLOOKUP($B711,NIFTY_AUTO!$B$63:$K$1238,10,0)</f>
        <v>0.15224799777093501</v>
      </c>
      <c r="AC711" s="8"/>
      <c r="AD711" s="16">
        <f t="shared" si="412"/>
        <v>8.6252376676445877E-2</v>
      </c>
      <c r="AE711" s="8">
        <f t="shared" si="413"/>
        <v>0.14389754385809328</v>
      </c>
      <c r="AF711" s="8">
        <f t="shared" si="414"/>
        <v>8.5221441297138018E-2</v>
      </c>
      <c r="AG711" s="8">
        <f t="shared" si="415"/>
        <v>9.0431696927226898E-2</v>
      </c>
      <c r="AH711" s="8">
        <f t="shared" si="416"/>
        <v>8.271475756545478E-2</v>
      </c>
      <c r="AI711" s="8">
        <f t="shared" si="417"/>
        <v>0.15769028818033126</v>
      </c>
      <c r="AJ711" s="8">
        <f t="shared" si="418"/>
        <v>9.4591584296373182E-2</v>
      </c>
      <c r="AK711" s="8">
        <f t="shared" si="419"/>
        <v>0.15602553955972923</v>
      </c>
      <c r="AL711" s="9">
        <v>0</v>
      </c>
      <c r="AM711" s="17">
        <f t="shared" si="396"/>
        <v>11.593883421337464</v>
      </c>
      <c r="AN711" s="13">
        <f t="shared" si="397"/>
        <v>6.949388941524707</v>
      </c>
      <c r="AO711" s="13">
        <f t="shared" si="398"/>
        <v>11.734136207733709</v>
      </c>
      <c r="AP711" s="13">
        <f t="shared" si="399"/>
        <v>11.058069614736192</v>
      </c>
      <c r="AQ711" s="13">
        <f t="shared" si="400"/>
        <v>12.089741050243285</v>
      </c>
      <c r="AR711" s="13">
        <f t="shared" si="401"/>
        <v>6.3415446286484132</v>
      </c>
      <c r="AS711" s="13">
        <f t="shared" si="402"/>
        <v>10.571764998319644</v>
      </c>
      <c r="AT711" s="13">
        <f t="shared" si="403"/>
        <v>6.409207126101192</v>
      </c>
      <c r="AU711" s="9">
        <v>0</v>
      </c>
      <c r="AV711" s="18">
        <f t="shared" si="420"/>
        <v>3</v>
      </c>
      <c r="AW711" s="18">
        <f t="shared" si="421"/>
        <v>6</v>
      </c>
      <c r="AX711" s="18">
        <f t="shared" si="422"/>
        <v>2</v>
      </c>
      <c r="AY711" s="18">
        <f t="shared" si="423"/>
        <v>4</v>
      </c>
      <c r="AZ711" s="18">
        <f t="shared" si="424"/>
        <v>1</v>
      </c>
      <c r="BA711" s="18">
        <f t="shared" si="425"/>
        <v>8</v>
      </c>
      <c r="BB711" s="18">
        <f t="shared" si="426"/>
        <v>5</v>
      </c>
      <c r="BC711" s="18">
        <f t="shared" si="427"/>
        <v>7</v>
      </c>
      <c r="BD711" s="18">
        <f t="shared" si="428"/>
        <v>9</v>
      </c>
      <c r="BE711" s="8">
        <f t="shared" si="430"/>
        <v>9.5891075213582421E-4</v>
      </c>
    </row>
    <row r="712" spans="1:57" x14ac:dyDescent="0.25">
      <c r="A712" t="str">
        <f t="shared" si="429"/>
        <v/>
      </c>
      <c r="B712" s="1">
        <v>43789</v>
      </c>
      <c r="C712" s="9">
        <f t="shared" si="404"/>
        <v>0.25345937037103766</v>
      </c>
      <c r="D712" s="9">
        <f t="shared" si="405"/>
        <v>0</v>
      </c>
      <c r="E712" s="9">
        <f t="shared" si="406"/>
        <v>0.24700530735547832</v>
      </c>
      <c r="F712" s="9">
        <f t="shared" si="407"/>
        <v>0.25819686113491169</v>
      </c>
      <c r="G712" s="9">
        <f t="shared" si="408"/>
        <v>0.24133846113857238</v>
      </c>
      <c r="H712" s="9">
        <f t="shared" si="409"/>
        <v>0</v>
      </c>
      <c r="I712" s="9">
        <f t="shared" si="410"/>
        <v>0</v>
      </c>
      <c r="J712" s="9">
        <f t="shared" si="411"/>
        <v>0</v>
      </c>
      <c r="K712" s="9">
        <v>0</v>
      </c>
      <c r="L712" s="8">
        <f>+VLOOKUP($B712,NIFTY_50!$B$3:$I$1238,8,0)</f>
        <v>4.941332149646982E-3</v>
      </c>
      <c r="M712" s="8">
        <f>+VLOOKUP($B712,NIFTY_BANK!$B$3:$I$41238,8,0)</f>
        <v>3.7648565368761933E-3</v>
      </c>
      <c r="N712" s="8">
        <f>+VLOOKUP($B712,NIFTY_IT!$B$3:$I$1238,8,0)</f>
        <v>8.9187414447056135E-4</v>
      </c>
      <c r="O712" s="8">
        <f>+VLOOKUP($B712,NIFTY_PHARMA!$B$3:$I$1238,8,0)</f>
        <v>3.2624547058186737E-2</v>
      </c>
      <c r="P712" s="8">
        <f>+VLOOKUP($B712,NIFTY_FMCG!$B$3:$I$1238,8,0)</f>
        <v>3.7581179706807077E-3</v>
      </c>
      <c r="Q712" s="8">
        <f>+VLOOKUP($B712,NIFTY_METAL!$B$3:$I$1238,8,0)</f>
        <v>2.7601818940012901E-3</v>
      </c>
      <c r="R712" s="8">
        <f>+VLOOKUP($B712,NIFTY_ENERGY!$B$3:$I$1238,8,0)</f>
        <v>1.3835408592908882E-2</v>
      </c>
      <c r="S712" s="8">
        <f>+VLOOKUP($B712,NIFTY_AUTO!$B$3:$I$1238,8,0)</f>
        <v>2.4615728024108829E-3</v>
      </c>
      <c r="T712" s="8">
        <v>0</v>
      </c>
      <c r="U712" s="8">
        <f>+VLOOKUP($B712,NIFTY_50!$B$63:$K$1238,10,0)</f>
        <v>8.550828214476347E-2</v>
      </c>
      <c r="V712" s="8">
        <f>+VLOOKUP($B712,NIFTY_BANK!$B$63:$K$1238,10,0)</f>
        <v>0.11238695669141885</v>
      </c>
      <c r="W712" s="8">
        <f>+VLOOKUP($B712,NIFTY_IT!$B$63:$K$1238,10,0)</f>
        <v>-6.2698060025364599E-3</v>
      </c>
      <c r="X712" s="8">
        <f>+VLOOKUP($B712,NIFTY_PHARMA!$B$63:$K$1238,10,0)</f>
        <v>4.7310869551176582E-2</v>
      </c>
      <c r="Y712" s="8">
        <f>+VLOOKUP($B712,NIFTY_FMCG!$B$63:$K$1238,10,0)</f>
        <v>7.8087559601213608E-2</v>
      </c>
      <c r="Z712" s="8">
        <f>+VLOOKUP($B712,NIFTY_METAL!$B$63:$K$1238,10,0)</f>
        <v>5.584711564597411E-2</v>
      </c>
      <c r="AA712" s="8">
        <f>+VLOOKUP($B712,NIFTY_ENERGY!$B$63:$K$1238,10,0)</f>
        <v>0.11952909251632615</v>
      </c>
      <c r="AB712" s="8">
        <f>+VLOOKUP($B712,NIFTY_AUTO!$B$63:$K$1238,10,0)</f>
        <v>0.16160738021166376</v>
      </c>
      <c r="AC712" s="8"/>
      <c r="AD712" s="16">
        <f t="shared" si="412"/>
        <v>8.6322394464290048E-2</v>
      </c>
      <c r="AE712" s="8">
        <f t="shared" si="413"/>
        <v>0.14387933665020175</v>
      </c>
      <c r="AF712" s="8">
        <f t="shared" si="414"/>
        <v>8.5163802397309751E-2</v>
      </c>
      <c r="AG712" s="8">
        <f t="shared" si="415"/>
        <v>9.5684643633697525E-2</v>
      </c>
      <c r="AH712" s="8">
        <f t="shared" si="416"/>
        <v>8.2696451650589892E-2</v>
      </c>
      <c r="AI712" s="8">
        <f t="shared" si="417"/>
        <v>0.1576041626859537</v>
      </c>
      <c r="AJ712" s="8">
        <f t="shared" si="418"/>
        <v>9.5333212579069793E-2</v>
      </c>
      <c r="AK712" s="8">
        <f t="shared" si="419"/>
        <v>0.15580984592049235</v>
      </c>
      <c r="AL712" s="9">
        <v>0</v>
      </c>
      <c r="AM712" s="17">
        <f t="shared" si="396"/>
        <v>11.584479395015869</v>
      </c>
      <c r="AN712" s="13">
        <f t="shared" si="397"/>
        <v>6.9502683518147688</v>
      </c>
      <c r="AO712" s="13">
        <f t="shared" si="398"/>
        <v>11.74207787640526</v>
      </c>
      <c r="AP712" s="13">
        <f t="shared" si="399"/>
        <v>10.450997798855022</v>
      </c>
      <c r="AQ712" s="13">
        <f t="shared" si="400"/>
        <v>12.092417268702324</v>
      </c>
      <c r="AR712" s="13">
        <f t="shared" si="401"/>
        <v>6.3450100743381181</v>
      </c>
      <c r="AS712" s="13">
        <f t="shared" si="402"/>
        <v>10.489523776098446</v>
      </c>
      <c r="AT712" s="13">
        <f t="shared" si="403"/>
        <v>6.4180796411947316</v>
      </c>
      <c r="AU712" s="9">
        <v>0</v>
      </c>
      <c r="AV712" s="18">
        <f t="shared" si="420"/>
        <v>3</v>
      </c>
      <c r="AW712" s="18">
        <f t="shared" si="421"/>
        <v>6</v>
      </c>
      <c r="AX712" s="18">
        <f t="shared" si="422"/>
        <v>2</v>
      </c>
      <c r="AY712" s="18">
        <f t="shared" si="423"/>
        <v>5</v>
      </c>
      <c r="AZ712" s="18">
        <f t="shared" si="424"/>
        <v>1</v>
      </c>
      <c r="BA712" s="18">
        <f t="shared" si="425"/>
        <v>8</v>
      </c>
      <c r="BB712" s="18">
        <f t="shared" si="426"/>
        <v>4</v>
      </c>
      <c r="BC712" s="18">
        <f t="shared" si="427"/>
        <v>7</v>
      </c>
      <c r="BD712" s="18">
        <f t="shared" si="428"/>
        <v>9</v>
      </c>
      <c r="BE712" s="8">
        <f t="shared" si="430"/>
        <v>1.0639380856327181E-2</v>
      </c>
    </row>
    <row r="713" spans="1:57" x14ac:dyDescent="0.25">
      <c r="A713" t="str">
        <f t="shared" si="429"/>
        <v/>
      </c>
      <c r="B713" s="1">
        <v>43790</v>
      </c>
      <c r="C713" s="9">
        <f t="shared" si="404"/>
        <v>0.253773997206173</v>
      </c>
      <c r="D713" s="9">
        <f t="shared" si="405"/>
        <v>0</v>
      </c>
      <c r="E713" s="9">
        <f t="shared" si="406"/>
        <v>0.24754893143033477</v>
      </c>
      <c r="F713" s="9">
        <f t="shared" si="407"/>
        <v>0.25794494095891385</v>
      </c>
      <c r="G713" s="9">
        <f t="shared" si="408"/>
        <v>0.24073213040457836</v>
      </c>
      <c r="H713" s="9">
        <f t="shared" si="409"/>
        <v>0</v>
      </c>
      <c r="I713" s="9">
        <f t="shared" si="410"/>
        <v>0</v>
      </c>
      <c r="J713" s="9">
        <f t="shared" si="411"/>
        <v>0</v>
      </c>
      <c r="K713" s="9">
        <v>0</v>
      </c>
      <c r="L713" s="8">
        <f>+VLOOKUP($B713,NIFTY_50!$B$3:$I$1238,8,0)</f>
        <v>-2.5585252227251498E-3</v>
      </c>
      <c r="M713" s="8">
        <f>+VLOOKUP($B713,NIFTY_BANK!$B$3:$I$41238,8,0)</f>
        <v>-1.2438663832348151E-4</v>
      </c>
      <c r="N713" s="8">
        <f>+VLOOKUP($B713,NIFTY_IT!$B$3:$I$1238,8,0)</f>
        <v>-1.6026373339426137E-3</v>
      </c>
      <c r="O713" s="8">
        <f>+VLOOKUP($B713,NIFTY_PHARMA!$B$3:$I$1238,8,0)</f>
        <v>-4.7671320736100142E-3</v>
      </c>
      <c r="P713" s="8">
        <f>+VLOOKUP($B713,NIFTY_FMCG!$B$3:$I$1238,8,0)</f>
        <v>-6.2979766383021163E-3</v>
      </c>
      <c r="Q713" s="8">
        <f>+VLOOKUP($B713,NIFTY_METAL!$B$3:$I$1238,8,0)</f>
        <v>-2.1565210503386334E-2</v>
      </c>
      <c r="R713" s="8">
        <f>+VLOOKUP($B713,NIFTY_ENERGY!$B$3:$I$1238,8,0)</f>
        <v>-1.5421670522849373E-2</v>
      </c>
      <c r="S713" s="8">
        <f>+VLOOKUP($B713,NIFTY_AUTO!$B$3:$I$1238,8,0)</f>
        <v>-9.7911873128975202E-3</v>
      </c>
      <c r="T713" s="8">
        <v>0</v>
      </c>
      <c r="U713" s="8">
        <f>+VLOOKUP($B713,NIFTY_50!$B$63:$K$1238,10,0)</f>
        <v>8.635744758101116E-2</v>
      </c>
      <c r="V713" s="8">
        <f>+VLOOKUP($B713,NIFTY_BANK!$B$63:$K$1238,10,0)</f>
        <v>0.12034328659570548</v>
      </c>
      <c r="W713" s="8">
        <f>+VLOOKUP($B713,NIFTY_IT!$B$63:$K$1238,10,0)</f>
        <v>-1.947716818130818E-2</v>
      </c>
      <c r="X713" s="8">
        <f>+VLOOKUP($B713,NIFTY_PHARMA!$B$63:$K$1238,10,0)</f>
        <v>4.1195143037795035E-2</v>
      </c>
      <c r="Y713" s="8">
        <f>+VLOOKUP($B713,NIFTY_FMCG!$B$63:$K$1238,10,0)</f>
        <v>7.7562317207798381E-2</v>
      </c>
      <c r="Z713" s="8">
        <f>+VLOOKUP($B713,NIFTY_METAL!$B$63:$K$1238,10,0)</f>
        <v>5.0741126682687154E-2</v>
      </c>
      <c r="AA713" s="8">
        <f>+VLOOKUP($B713,NIFTY_ENERGY!$B$63:$K$1238,10,0)</f>
        <v>0.1139816892434693</v>
      </c>
      <c r="AB713" s="8">
        <f>+VLOOKUP($B713,NIFTY_AUTO!$B$63:$K$1238,10,0)</f>
        <v>0.13694339890632756</v>
      </c>
      <c r="AC713" s="8"/>
      <c r="AD713" s="16">
        <f t="shared" si="412"/>
        <v>8.6282997160514824E-2</v>
      </c>
      <c r="AE713" s="8">
        <f t="shared" si="413"/>
        <v>0.14360038368633751</v>
      </c>
      <c r="AF713" s="8">
        <f t="shared" si="414"/>
        <v>8.4326765486525193E-2</v>
      </c>
      <c r="AG713" s="8">
        <f t="shared" si="415"/>
        <v>9.5845157502239056E-2</v>
      </c>
      <c r="AH713" s="8">
        <f t="shared" si="416"/>
        <v>8.2739434626253244E-2</v>
      </c>
      <c r="AI713" s="8">
        <f t="shared" si="417"/>
        <v>0.15821367151397356</v>
      </c>
      <c r="AJ713" s="8">
        <f t="shared" si="418"/>
        <v>9.6094265357563768E-2</v>
      </c>
      <c r="AK713" s="8">
        <f t="shared" si="419"/>
        <v>0.15602030799659472</v>
      </c>
      <c r="AL713" s="9">
        <v>0</v>
      </c>
      <c r="AM713" s="17">
        <f t="shared" si="396"/>
        <v>11.589768933729438</v>
      </c>
      <c r="AN713" s="13">
        <f t="shared" si="397"/>
        <v>6.9637696942667882</v>
      </c>
      <c r="AO713" s="13">
        <f t="shared" si="398"/>
        <v>11.858631055400705</v>
      </c>
      <c r="AP713" s="13">
        <f t="shared" si="399"/>
        <v>10.433495296584377</v>
      </c>
      <c r="AQ713" s="13">
        <f t="shared" si="400"/>
        <v>12.086135281406669</v>
      </c>
      <c r="AR713" s="13">
        <f t="shared" si="401"/>
        <v>6.320566297658285</v>
      </c>
      <c r="AS713" s="13">
        <f t="shared" si="402"/>
        <v>10.40644825452415</v>
      </c>
      <c r="AT713" s="13">
        <f t="shared" si="403"/>
        <v>6.4094220351226703</v>
      </c>
      <c r="AU713" s="9">
        <v>0</v>
      </c>
      <c r="AV713" s="18">
        <f t="shared" si="420"/>
        <v>3</v>
      </c>
      <c r="AW713" s="18">
        <f t="shared" si="421"/>
        <v>6</v>
      </c>
      <c r="AX713" s="18">
        <f t="shared" si="422"/>
        <v>2</v>
      </c>
      <c r="AY713" s="18">
        <f t="shared" si="423"/>
        <v>4</v>
      </c>
      <c r="AZ713" s="18">
        <f t="shared" si="424"/>
        <v>1</v>
      </c>
      <c r="BA713" s="18">
        <f t="shared" si="425"/>
        <v>8</v>
      </c>
      <c r="BB713" s="18">
        <f t="shared" si="426"/>
        <v>5</v>
      </c>
      <c r="BC713" s="18">
        <f t="shared" si="427"/>
        <v>7</v>
      </c>
      <c r="BD713" s="18">
        <f t="shared" si="428"/>
        <v>9</v>
      </c>
      <c r="BE713" s="8">
        <f t="shared" si="430"/>
        <v>-3.7951446474763753E-3</v>
      </c>
    </row>
    <row r="714" spans="1:57" x14ac:dyDescent="0.25">
      <c r="A714" t="str">
        <f t="shared" si="429"/>
        <v/>
      </c>
      <c r="B714" s="1">
        <v>43791</v>
      </c>
      <c r="C714" s="9">
        <f t="shared" si="404"/>
        <v>0.25432784635578976</v>
      </c>
      <c r="D714" s="9">
        <f t="shared" si="405"/>
        <v>0</v>
      </c>
      <c r="E714" s="9">
        <f t="shared" si="406"/>
        <v>0.24435691748941615</v>
      </c>
      <c r="F714" s="9">
        <f t="shared" si="407"/>
        <v>0.25962321673150857</v>
      </c>
      <c r="G714" s="9">
        <f t="shared" si="408"/>
        <v>0.24169201942328553</v>
      </c>
      <c r="H714" s="9">
        <f t="shared" si="409"/>
        <v>0</v>
      </c>
      <c r="I714" s="9">
        <f t="shared" si="410"/>
        <v>0</v>
      </c>
      <c r="J714" s="9">
        <f t="shared" si="411"/>
        <v>0</v>
      </c>
      <c r="K714" s="9">
        <v>0</v>
      </c>
      <c r="L714" s="8">
        <f>+VLOOKUP($B714,NIFTY_50!$B$3:$I$1238,8,0)</f>
        <v>-4.5118812873901071E-3</v>
      </c>
      <c r="M714" s="8">
        <f>+VLOOKUP($B714,NIFTY_BANK!$B$3:$I$41238,8,0)</f>
        <v>-7.6028829392073005E-3</v>
      </c>
      <c r="N714" s="8">
        <f>+VLOOKUP($B714,NIFTY_IT!$B$3:$I$1238,8,0)</f>
        <v>-1.9488098234923035E-2</v>
      </c>
      <c r="O714" s="8">
        <f>+VLOOKUP($B714,NIFTY_PHARMA!$B$3:$I$1238,8,0)</f>
        <v>-2.1688075895875958E-4</v>
      </c>
      <c r="P714" s="8">
        <f>+VLOOKUP($B714,NIFTY_FMCG!$B$3:$I$1238,8,0)</f>
        <v>-2.7190141631505682E-3</v>
      </c>
      <c r="Q714" s="8">
        <f>+VLOOKUP($B714,NIFTY_METAL!$B$3:$I$1238,8,0)</f>
        <v>2.0522576858467145E-2</v>
      </c>
      <c r="R714" s="8">
        <f>+VLOOKUP($B714,NIFTY_ENERGY!$B$3:$I$1238,8,0)</f>
        <v>8.4517374397359291E-3</v>
      </c>
      <c r="S714" s="8">
        <f>+VLOOKUP($B714,NIFTY_AUTO!$B$3:$I$1238,8,0)</f>
        <v>3.7852997944944899E-3</v>
      </c>
      <c r="T714" s="8">
        <v>0</v>
      </c>
      <c r="U714" s="8">
        <f>+VLOOKUP($B714,NIFTY_50!$B$63:$K$1238,10,0)</f>
        <v>9.1192174892615219E-2</v>
      </c>
      <c r="V714" s="8">
        <f>+VLOOKUP($B714,NIFTY_BANK!$B$63:$K$1238,10,0)</f>
        <v>0.12239055811797295</v>
      </c>
      <c r="W714" s="8">
        <f>+VLOOKUP($B714,NIFTY_IT!$B$63:$K$1238,10,0)</f>
        <v>-3.737606840350105E-2</v>
      </c>
      <c r="X714" s="8">
        <f>+VLOOKUP($B714,NIFTY_PHARMA!$B$63:$K$1238,10,0)</f>
        <v>5.0792927154905687E-2</v>
      </c>
      <c r="Y714" s="8">
        <f>+VLOOKUP($B714,NIFTY_FMCG!$B$63:$K$1238,10,0)</f>
        <v>8.487768978594401E-2</v>
      </c>
      <c r="Z714" s="8">
        <f>+VLOOKUP($B714,NIFTY_METAL!$B$63:$K$1238,10,0)</f>
        <v>0.10421776454099518</v>
      </c>
      <c r="AA714" s="8">
        <f>+VLOOKUP($B714,NIFTY_ENERGY!$B$63:$K$1238,10,0)</f>
        <v>0.1406291200967551</v>
      </c>
      <c r="AB714" s="8">
        <f>+VLOOKUP($B714,NIFTY_AUTO!$B$63:$K$1238,10,0)</f>
        <v>0.14754671979548251</v>
      </c>
      <c r="AC714" s="8"/>
      <c r="AD714" s="16">
        <f t="shared" si="412"/>
        <v>8.5864217051871167E-2</v>
      </c>
      <c r="AE714" s="8">
        <f t="shared" si="413"/>
        <v>0.14346729591426424</v>
      </c>
      <c r="AF714" s="8">
        <f t="shared" si="414"/>
        <v>8.645318342941076E-2</v>
      </c>
      <c r="AG714" s="8">
        <f t="shared" si="415"/>
        <v>9.5310587670493843E-2</v>
      </c>
      <c r="AH714" s="8">
        <f t="shared" si="416"/>
        <v>8.2134386547423818E-2</v>
      </c>
      <c r="AI714" s="8">
        <f t="shared" si="417"/>
        <v>0.15645134581101458</v>
      </c>
      <c r="AJ714" s="8">
        <f t="shared" si="418"/>
        <v>9.4769144454410648E-2</v>
      </c>
      <c r="AK714" s="8">
        <f t="shared" si="419"/>
        <v>0.15582823668123624</v>
      </c>
      <c r="AL714" s="9">
        <v>0</v>
      </c>
      <c r="AM714" s="17">
        <f t="shared" si="396"/>
        <v>11.64629497985049</v>
      </c>
      <c r="AN714" s="13">
        <f t="shared" si="397"/>
        <v>6.9702296514851572</v>
      </c>
      <c r="AO714" s="13">
        <f t="shared" si="398"/>
        <v>11.566954047637847</v>
      </c>
      <c r="AP714" s="13">
        <f t="shared" si="399"/>
        <v>10.492013788197205</v>
      </c>
      <c r="AQ714" s="13">
        <f t="shared" si="400"/>
        <v>12.175168550417151</v>
      </c>
      <c r="AR714" s="13">
        <f t="shared" si="401"/>
        <v>6.3917634892572295</v>
      </c>
      <c r="AS714" s="13">
        <f t="shared" si="402"/>
        <v>10.551957662560275</v>
      </c>
      <c r="AT714" s="13">
        <f t="shared" si="403"/>
        <v>6.4173221830495955</v>
      </c>
      <c r="AU714" s="9">
        <v>0</v>
      </c>
      <c r="AV714" s="18">
        <f t="shared" si="420"/>
        <v>2</v>
      </c>
      <c r="AW714" s="18">
        <f t="shared" si="421"/>
        <v>6</v>
      </c>
      <c r="AX714" s="18">
        <f t="shared" si="422"/>
        <v>3</v>
      </c>
      <c r="AY714" s="18">
        <f t="shared" si="423"/>
        <v>5</v>
      </c>
      <c r="AZ714" s="18">
        <f t="shared" si="424"/>
        <v>1</v>
      </c>
      <c r="BA714" s="18">
        <f t="shared" si="425"/>
        <v>8</v>
      </c>
      <c r="BB714" s="18">
        <f t="shared" si="426"/>
        <v>4</v>
      </c>
      <c r="BC714" s="18">
        <f t="shared" si="427"/>
        <v>7</v>
      </c>
      <c r="BD714" s="18">
        <f t="shared" si="428"/>
        <v>9</v>
      </c>
      <c r="BE714" s="8">
        <f t="shared" si="430"/>
        <v>-6.6797534095455113E-3</v>
      </c>
    </row>
    <row r="715" spans="1:57" x14ac:dyDescent="0.25">
      <c r="A715" t="str">
        <f t="shared" si="429"/>
        <v/>
      </c>
      <c r="B715" s="1">
        <v>43794</v>
      </c>
      <c r="C715" s="9">
        <f t="shared" si="404"/>
        <v>0.25469375651611453</v>
      </c>
      <c r="D715" s="9">
        <f t="shared" si="405"/>
        <v>0</v>
      </c>
      <c r="E715" s="9">
        <f t="shared" si="406"/>
        <v>0.24316478936760758</v>
      </c>
      <c r="F715" s="9">
        <f t="shared" si="407"/>
        <v>0.26115613153376366</v>
      </c>
      <c r="G715" s="9">
        <f t="shared" si="408"/>
        <v>0.24098532258251412</v>
      </c>
      <c r="H715" s="9">
        <f t="shared" si="409"/>
        <v>0</v>
      </c>
      <c r="I715" s="9">
        <f t="shared" si="410"/>
        <v>0</v>
      </c>
      <c r="J715" s="9">
        <f t="shared" si="411"/>
        <v>0</v>
      </c>
      <c r="K715" s="9">
        <v>0</v>
      </c>
      <c r="L715" s="8">
        <f>+VLOOKUP($B715,NIFTY_50!$B$3:$I$1238,8,0)</f>
        <v>1.3374571946552116E-2</v>
      </c>
      <c r="M715" s="8">
        <f>+VLOOKUP($B715,NIFTY_BANK!$B$3:$I$41238,8,0)</f>
        <v>1.4280847015261333E-2</v>
      </c>
      <c r="N715" s="8">
        <f>+VLOOKUP($B715,NIFTY_IT!$B$3:$I$1238,8,0)</f>
        <v>6.9819083882929345E-3</v>
      </c>
      <c r="O715" s="8">
        <f>+VLOOKUP($B715,NIFTY_PHARMA!$B$3:$I$1238,8,0)</f>
        <v>1.7893445061483382E-2</v>
      </c>
      <c r="P715" s="8">
        <f>+VLOOKUP($B715,NIFTY_FMCG!$B$3:$I$1238,8,0)</f>
        <v>8.9598841917521987E-3</v>
      </c>
      <c r="Q715" s="8">
        <f>+VLOOKUP($B715,NIFTY_METAL!$B$3:$I$1238,8,0)</f>
        <v>3.2068698808083607E-2</v>
      </c>
      <c r="R715" s="8">
        <f>+VLOOKUP($B715,NIFTY_ENERGY!$B$3:$I$1238,8,0)</f>
        <v>3.2457124539189142E-3</v>
      </c>
      <c r="S715" s="8">
        <f>+VLOOKUP($B715,NIFTY_AUTO!$B$3:$I$1238,8,0)</f>
        <v>1.7398988170430396E-2</v>
      </c>
      <c r="T715" s="8">
        <v>0</v>
      </c>
      <c r="U715" s="8">
        <f>+VLOOKUP($B715,NIFTY_50!$B$63:$K$1238,10,0)</f>
        <v>0.12404399819389544</v>
      </c>
      <c r="V715" s="8">
        <f>+VLOOKUP($B715,NIFTY_BANK!$B$63:$K$1238,10,0)</f>
        <v>0.16725850959155442</v>
      </c>
      <c r="W715" s="8">
        <f>+VLOOKUP($B715,NIFTY_IT!$B$63:$K$1238,10,0)</f>
        <v>-3.3994370522006156E-2</v>
      </c>
      <c r="X715" s="8">
        <f>+VLOOKUP($B715,NIFTY_PHARMA!$B$63:$K$1238,10,0)</f>
        <v>7.0487625230580608E-2</v>
      </c>
      <c r="Y715" s="8">
        <f>+VLOOKUP($B715,NIFTY_FMCG!$B$63:$K$1238,10,0)</f>
        <v>9.4711783111442793E-2</v>
      </c>
      <c r="Z715" s="8">
        <f>+VLOOKUP($B715,NIFTY_METAL!$B$63:$K$1238,10,0)</f>
        <v>0.18079506262479583</v>
      </c>
      <c r="AA715" s="8">
        <f>+VLOOKUP($B715,NIFTY_ENERGY!$B$63:$K$1238,10,0)</f>
        <v>0.17103085513628624</v>
      </c>
      <c r="AB715" s="8">
        <f>+VLOOKUP($B715,NIFTY_AUTO!$B$63:$K$1238,10,0)</f>
        <v>0.18782784324552093</v>
      </c>
      <c r="AC715" s="8"/>
      <c r="AD715" s="16">
        <f t="shared" si="412"/>
        <v>8.4764363203782958E-2</v>
      </c>
      <c r="AE715" s="8">
        <f t="shared" si="413"/>
        <v>0.1413889759722044</v>
      </c>
      <c r="AF715" s="8">
        <f t="shared" si="414"/>
        <v>8.6687438727623634E-2</v>
      </c>
      <c r="AG715" s="8">
        <f t="shared" si="415"/>
        <v>9.6770941481580705E-2</v>
      </c>
      <c r="AH715" s="8">
        <f t="shared" si="416"/>
        <v>8.2460689939517995E-2</v>
      </c>
      <c r="AI715" s="8">
        <f t="shared" si="417"/>
        <v>0.15482918056415701</v>
      </c>
      <c r="AJ715" s="8">
        <f t="shared" si="418"/>
        <v>9.13479897614701E-2</v>
      </c>
      <c r="AK715" s="8">
        <f t="shared" si="419"/>
        <v>0.15525430278503322</v>
      </c>
      <c r="AL715" s="9">
        <v>0</v>
      </c>
      <c r="AM715" s="17">
        <f t="shared" si="396"/>
        <v>11.797410635833938</v>
      </c>
      <c r="AN715" s="13">
        <f t="shared" si="397"/>
        <v>7.0726871958998387</v>
      </c>
      <c r="AO715" s="13">
        <f t="shared" si="398"/>
        <v>11.535696690059689</v>
      </c>
      <c r="AP715" s="13">
        <f t="shared" si="399"/>
        <v>10.333680593469674</v>
      </c>
      <c r="AQ715" s="13">
        <f t="shared" si="400"/>
        <v>12.126990457313232</v>
      </c>
      <c r="AR715" s="13">
        <f t="shared" si="401"/>
        <v>6.4587308177713121</v>
      </c>
      <c r="AS715" s="13">
        <f t="shared" si="402"/>
        <v>10.94714840043248</v>
      </c>
      <c r="AT715" s="13">
        <f t="shared" si="403"/>
        <v>6.4410453176593165</v>
      </c>
      <c r="AU715" s="9">
        <v>0</v>
      </c>
      <c r="AV715" s="18">
        <f t="shared" si="420"/>
        <v>2</v>
      </c>
      <c r="AW715" s="18">
        <f t="shared" si="421"/>
        <v>6</v>
      </c>
      <c r="AX715" s="18">
        <f t="shared" si="422"/>
        <v>3</v>
      </c>
      <c r="AY715" s="18">
        <f t="shared" si="423"/>
        <v>5</v>
      </c>
      <c r="AZ715" s="18">
        <f t="shared" si="424"/>
        <v>1</v>
      </c>
      <c r="BA715" s="18">
        <f t="shared" si="425"/>
        <v>7</v>
      </c>
      <c r="BB715" s="18">
        <f t="shared" si="426"/>
        <v>4</v>
      </c>
      <c r="BC715" s="18">
        <f t="shared" si="427"/>
        <v>8</v>
      </c>
      <c r="BD715" s="18">
        <f t="shared" si="428"/>
        <v>9</v>
      </c>
      <c r="BE715" s="8">
        <f t="shared" si="430"/>
        <v>1.1918689960428126E-2</v>
      </c>
    </row>
    <row r="716" spans="1:57" x14ac:dyDescent="0.25">
      <c r="A716" t="str">
        <f t="shared" si="429"/>
        <v/>
      </c>
      <c r="B716" s="1">
        <v>43795</v>
      </c>
      <c r="C716" s="9">
        <f t="shared" si="404"/>
        <v>0.25519403121691059</v>
      </c>
      <c r="D716" s="9">
        <f t="shared" si="405"/>
        <v>0</v>
      </c>
      <c r="E716" s="9">
        <f t="shared" si="406"/>
        <v>0.24148422352062932</v>
      </c>
      <c r="F716" s="9">
        <f t="shared" si="407"/>
        <v>0.26137563583371926</v>
      </c>
      <c r="G716" s="9">
        <f t="shared" si="408"/>
        <v>0.24194610942874095</v>
      </c>
      <c r="H716" s="9">
        <f t="shared" si="409"/>
        <v>0</v>
      </c>
      <c r="I716" s="9">
        <f t="shared" si="410"/>
        <v>0</v>
      </c>
      <c r="J716" s="9">
        <f t="shared" si="411"/>
        <v>0</v>
      </c>
      <c r="K716" s="9">
        <v>0</v>
      </c>
      <c r="L716" s="8">
        <f>+VLOOKUP($B716,NIFTY_50!$B$3:$I$1238,8,0)</f>
        <v>-2.9858163370948265E-3</v>
      </c>
      <c r="M716" s="8">
        <f>+VLOOKUP($B716,NIFTY_BANK!$B$3:$I$41238,8,0)</f>
        <v>5.1480071872453959E-3</v>
      </c>
      <c r="N716" s="8">
        <f>+VLOOKUP($B716,NIFTY_IT!$B$3:$I$1238,8,0)</f>
        <v>-1.1817411228692953E-2</v>
      </c>
      <c r="O716" s="8">
        <f>+VLOOKUP($B716,NIFTY_PHARMA!$B$3:$I$1238,8,0)</f>
        <v>-4.1039754979265153E-3</v>
      </c>
      <c r="P716" s="8">
        <f>+VLOOKUP($B716,NIFTY_FMCG!$B$3:$I$1238,8,0)</f>
        <v>-9.7311938646837959E-4</v>
      </c>
      <c r="Q716" s="8">
        <f>+VLOOKUP($B716,NIFTY_METAL!$B$3:$I$1238,8,0)</f>
        <v>-8.2436587240583004E-3</v>
      </c>
      <c r="R716" s="8">
        <f>+VLOOKUP($B716,NIFTY_ENERGY!$B$3:$I$1238,8,0)</f>
        <v>-6.0218568825830543E-3</v>
      </c>
      <c r="S716" s="8">
        <f>+VLOOKUP($B716,NIFTY_AUTO!$B$3:$I$1238,8,0)</f>
        <v>-9.1562433101930463E-3</v>
      </c>
      <c r="T716" s="8">
        <v>0</v>
      </c>
      <c r="U716" s="8">
        <f>+VLOOKUP($B716,NIFTY_50!$B$63:$K$1238,10,0)</f>
        <v>0.11158102748549092</v>
      </c>
      <c r="V716" s="8">
        <f>+VLOOKUP($B716,NIFTY_BANK!$B$63:$K$1238,10,0)</f>
        <v>0.17655557678147815</v>
      </c>
      <c r="W716" s="8">
        <f>+VLOOKUP($B716,NIFTY_IT!$B$63:$K$1238,10,0)</f>
        <v>-5.6551344789651403E-2</v>
      </c>
      <c r="X716" s="8">
        <f>+VLOOKUP($B716,NIFTY_PHARMA!$B$63:$K$1238,10,0)</f>
        <v>5.106322817795661E-2</v>
      </c>
      <c r="Y716" s="8">
        <f>+VLOOKUP($B716,NIFTY_FMCG!$B$63:$K$1238,10,0)</f>
        <v>9.9028208839548215E-2</v>
      </c>
      <c r="Z716" s="8">
        <f>+VLOOKUP($B716,NIFTY_METAL!$B$63:$K$1238,10,0)</f>
        <v>0.13249072915980964</v>
      </c>
      <c r="AA716" s="8">
        <f>+VLOOKUP($B716,NIFTY_ENERGY!$B$63:$K$1238,10,0)</f>
        <v>0.13229292809094151</v>
      </c>
      <c r="AB716" s="8">
        <f>+VLOOKUP($B716,NIFTY_AUTO!$B$63:$K$1238,10,0)</f>
        <v>0.15905757439166601</v>
      </c>
      <c r="AC716" s="8"/>
      <c r="AD716" s="16">
        <f t="shared" si="412"/>
        <v>8.4669597690660153E-2</v>
      </c>
      <c r="AE716" s="8">
        <f t="shared" si="413"/>
        <v>0.14129977402859031</v>
      </c>
      <c r="AF716" s="8">
        <f t="shared" si="414"/>
        <v>8.6498053699503266E-2</v>
      </c>
      <c r="AG716" s="8">
        <f t="shared" si="415"/>
        <v>9.5996574458778003E-2</v>
      </c>
      <c r="AH716" s="8">
        <f t="shared" si="416"/>
        <v>8.2245974513292366E-2</v>
      </c>
      <c r="AI716" s="8">
        <f t="shared" si="417"/>
        <v>0.15198054406429942</v>
      </c>
      <c r="AJ716" s="8">
        <f t="shared" si="418"/>
        <v>8.8088277666585973E-2</v>
      </c>
      <c r="AK716" s="8">
        <f t="shared" si="419"/>
        <v>0.15520290930290659</v>
      </c>
      <c r="AL716" s="9">
        <v>0</v>
      </c>
      <c r="AM716" s="17">
        <f t="shared" si="396"/>
        <v>11.810614757536628</v>
      </c>
      <c r="AN716" s="13">
        <f t="shared" si="397"/>
        <v>7.0771521531072086</v>
      </c>
      <c r="AO716" s="13">
        <f t="shared" si="398"/>
        <v>11.560953769827341</v>
      </c>
      <c r="AP716" s="13">
        <f t="shared" si="399"/>
        <v>10.417038374941297</v>
      </c>
      <c r="AQ716" s="13">
        <f t="shared" si="400"/>
        <v>12.158649780949252</v>
      </c>
      <c r="AR716" s="13">
        <f t="shared" si="401"/>
        <v>6.5797895787037275</v>
      </c>
      <c r="AS716" s="13">
        <f t="shared" si="402"/>
        <v>11.352248295567758</v>
      </c>
      <c r="AT716" s="13">
        <f t="shared" si="403"/>
        <v>6.4431781884211903</v>
      </c>
      <c r="AU716" s="9">
        <v>0</v>
      </c>
      <c r="AV716" s="18">
        <f t="shared" si="420"/>
        <v>2</v>
      </c>
      <c r="AW716" s="18">
        <f t="shared" si="421"/>
        <v>6</v>
      </c>
      <c r="AX716" s="18">
        <f t="shared" si="422"/>
        <v>3</v>
      </c>
      <c r="AY716" s="18">
        <f t="shared" si="423"/>
        <v>5</v>
      </c>
      <c r="AZ716" s="18">
        <f t="shared" si="424"/>
        <v>1</v>
      </c>
      <c r="BA716" s="18">
        <f t="shared" si="425"/>
        <v>7</v>
      </c>
      <c r="BB716" s="18">
        <f t="shared" si="426"/>
        <v>4</v>
      </c>
      <c r="BC716" s="18">
        <f t="shared" si="427"/>
        <v>8</v>
      </c>
      <c r="BD716" s="18">
        <f t="shared" si="428"/>
        <v>9</v>
      </c>
      <c r="BE716" s="8">
        <f t="shared" si="430"/>
        <v>-4.9403329456646104E-3</v>
      </c>
    </row>
    <row r="717" spans="1:57" x14ac:dyDescent="0.25">
      <c r="A717" t="str">
        <f t="shared" si="429"/>
        <v/>
      </c>
      <c r="B717" s="1">
        <v>43796</v>
      </c>
      <c r="C717" s="9">
        <f t="shared" si="404"/>
        <v>0.25488985149469223</v>
      </c>
      <c r="D717" s="9">
        <f t="shared" si="405"/>
        <v>0</v>
      </c>
      <c r="E717" s="9">
        <f t="shared" si="406"/>
        <v>0.24154859156231448</v>
      </c>
      <c r="F717" s="9">
        <f t="shared" si="407"/>
        <v>0.26187233021654543</v>
      </c>
      <c r="G717" s="9">
        <f t="shared" si="408"/>
        <v>0.24168922672644774</v>
      </c>
      <c r="H717" s="9">
        <f t="shared" si="409"/>
        <v>0</v>
      </c>
      <c r="I717" s="9">
        <f t="shared" si="410"/>
        <v>0</v>
      </c>
      <c r="J717" s="9">
        <f t="shared" si="411"/>
        <v>0</v>
      </c>
      <c r="K717" s="9">
        <v>0</v>
      </c>
      <c r="L717" s="8">
        <f>+VLOOKUP($B717,NIFTY_50!$B$3:$I$1238,8,0)</f>
        <v>5.2335579055799997E-3</v>
      </c>
      <c r="M717" s="8">
        <f>+VLOOKUP($B717,NIFTY_BANK!$B$3:$I$41238,8,0)</f>
        <v>4.9687326106182539E-3</v>
      </c>
      <c r="N717" s="8">
        <f>+VLOOKUP($B717,NIFTY_IT!$B$3:$I$1238,8,0)</f>
        <v>6.7014471775179718E-3</v>
      </c>
      <c r="O717" s="8">
        <f>+VLOOKUP($B717,NIFTY_PHARMA!$B$3:$I$1238,8,0)</f>
        <v>8.3457143381207022E-3</v>
      </c>
      <c r="P717" s="8">
        <f>+VLOOKUP($B717,NIFTY_FMCG!$B$3:$I$1238,8,0)</f>
        <v>5.3646151146260479E-3</v>
      </c>
      <c r="Q717" s="8">
        <f>+VLOOKUP($B717,NIFTY_METAL!$B$3:$I$1238,8,0)</f>
        <v>8.6415686578440454E-3</v>
      </c>
      <c r="R717" s="8">
        <f>+VLOOKUP($B717,NIFTY_ENERGY!$B$3:$I$1238,8,0)</f>
        <v>5.922335798912659E-3</v>
      </c>
      <c r="S717" s="8">
        <f>+VLOOKUP($B717,NIFTY_AUTO!$B$3:$I$1238,8,0)</f>
        <v>1.2710033457203229E-2</v>
      </c>
      <c r="T717" s="8">
        <v>0</v>
      </c>
      <c r="U717" s="8">
        <f>+VLOOKUP($B717,NIFTY_50!$B$63:$K$1238,10,0)</f>
        <v>9.4308568121289404E-2</v>
      </c>
      <c r="V717" s="8">
        <f>+VLOOKUP($B717,NIFTY_BANK!$B$63:$K$1238,10,0)</f>
        <v>0.14040824504004279</v>
      </c>
      <c r="W717" s="8">
        <f>+VLOOKUP($B717,NIFTY_IT!$B$63:$K$1238,10,0)</f>
        <v>-5.4628009716680803E-2</v>
      </c>
      <c r="X717" s="8">
        <f>+VLOOKUP($B717,NIFTY_PHARMA!$B$63:$K$1238,10,0)</f>
        <v>5.3908975882826615E-2</v>
      </c>
      <c r="Y717" s="8">
        <f>+VLOOKUP($B717,NIFTY_FMCG!$B$63:$K$1238,10,0)</f>
        <v>8.7577243815269767E-2</v>
      </c>
      <c r="Z717" s="8">
        <f>+VLOOKUP($B717,NIFTY_METAL!$B$63:$K$1238,10,0)</f>
        <v>0.15341324529723255</v>
      </c>
      <c r="AA717" s="8">
        <f>+VLOOKUP($B717,NIFTY_ENERGY!$B$63:$K$1238,10,0)</f>
        <v>0.12946798874131038</v>
      </c>
      <c r="AB717" s="8">
        <f>+VLOOKUP($B717,NIFTY_AUTO!$B$63:$K$1238,10,0)</f>
        <v>0.16803958563240906</v>
      </c>
      <c r="AC717" s="8"/>
      <c r="AD717" s="16">
        <f t="shared" si="412"/>
        <v>8.2485800673018195E-2</v>
      </c>
      <c r="AE717" s="8">
        <f t="shared" si="413"/>
        <v>0.13710575354697016</v>
      </c>
      <c r="AF717" s="8">
        <f t="shared" si="414"/>
        <v>8.6653066038237678E-2</v>
      </c>
      <c r="AG717" s="8">
        <f t="shared" si="415"/>
        <v>9.6168573012617636E-2</v>
      </c>
      <c r="AH717" s="8">
        <f t="shared" si="416"/>
        <v>8.1061058606249764E-2</v>
      </c>
      <c r="AI717" s="8">
        <f t="shared" si="417"/>
        <v>0.15163264619015063</v>
      </c>
      <c r="AJ717" s="8">
        <f t="shared" si="418"/>
        <v>8.794253052666727E-2</v>
      </c>
      <c r="AK717" s="8">
        <f t="shared" si="419"/>
        <v>0.15551054865758487</v>
      </c>
      <c r="AL717" s="9">
        <v>0</v>
      </c>
      <c r="AM717" s="17">
        <f t="shared" si="396"/>
        <v>12.123298699179731</v>
      </c>
      <c r="AN717" s="13">
        <f t="shared" si="397"/>
        <v>7.2936399394604292</v>
      </c>
      <c r="AO717" s="13">
        <f t="shared" si="398"/>
        <v>11.540272557219462</v>
      </c>
      <c r="AP717" s="13">
        <f t="shared" si="399"/>
        <v>10.398407386878837</v>
      </c>
      <c r="AQ717" s="13">
        <f t="shared" si="400"/>
        <v>12.336379726515199</v>
      </c>
      <c r="AR717" s="13">
        <f t="shared" si="401"/>
        <v>6.5948858977635876</v>
      </c>
      <c r="AS717" s="13">
        <f t="shared" si="402"/>
        <v>11.37106237461253</v>
      </c>
      <c r="AT717" s="13">
        <f t="shared" si="403"/>
        <v>6.4304319458217405</v>
      </c>
      <c r="AU717" s="9">
        <v>0</v>
      </c>
      <c r="AV717" s="18">
        <f t="shared" si="420"/>
        <v>2</v>
      </c>
      <c r="AW717" s="18">
        <f t="shared" si="421"/>
        <v>6</v>
      </c>
      <c r="AX717" s="18">
        <f t="shared" si="422"/>
        <v>3</v>
      </c>
      <c r="AY717" s="18">
        <f t="shared" si="423"/>
        <v>5</v>
      </c>
      <c r="AZ717" s="18">
        <f t="shared" si="424"/>
        <v>1</v>
      </c>
      <c r="BA717" s="18">
        <f t="shared" si="425"/>
        <v>7</v>
      </c>
      <c r="BB717" s="18">
        <f t="shared" si="426"/>
        <v>4</v>
      </c>
      <c r="BC717" s="18">
        <f t="shared" si="427"/>
        <v>8</v>
      </c>
      <c r="BD717" s="18">
        <f t="shared" si="428"/>
        <v>9</v>
      </c>
      <c r="BE717" s="8">
        <f t="shared" si="430"/>
        <v>6.4331806548388092E-3</v>
      </c>
    </row>
    <row r="718" spans="1:57" x14ac:dyDescent="0.25">
      <c r="A718" t="str">
        <f t="shared" si="429"/>
        <v/>
      </c>
      <c r="B718" s="1">
        <v>43797</v>
      </c>
      <c r="C718" s="9">
        <f t="shared" si="404"/>
        <v>0.25496815816134644</v>
      </c>
      <c r="D718" s="9">
        <f t="shared" si="405"/>
        <v>0</v>
      </c>
      <c r="E718" s="9">
        <f t="shared" si="406"/>
        <v>0.24221577230944746</v>
      </c>
      <c r="F718" s="9">
        <f t="shared" si="407"/>
        <v>0.26173673165273081</v>
      </c>
      <c r="G718" s="9">
        <f t="shared" si="408"/>
        <v>0.24107933787647531</v>
      </c>
      <c r="H718" s="9">
        <f t="shared" si="409"/>
        <v>0</v>
      </c>
      <c r="I718" s="9">
        <f t="shared" si="410"/>
        <v>0</v>
      </c>
      <c r="J718" s="9">
        <f t="shared" si="411"/>
        <v>0</v>
      </c>
      <c r="K718" s="9">
        <v>0</v>
      </c>
      <c r="L718" s="8">
        <f>+VLOOKUP($B718,NIFTY_50!$B$3:$I$1238,8,0)</f>
        <v>4.1691802953547352E-3</v>
      </c>
      <c r="M718" s="8">
        <f>+VLOOKUP($B718,NIFTY_BANK!$B$3:$I$41238,8,0)</f>
        <v>7.7487886635536629E-3</v>
      </c>
      <c r="N718" s="8">
        <f>+VLOOKUP($B718,NIFTY_IT!$B$3:$I$1238,8,0)</f>
        <v>6.6335378091684216E-3</v>
      </c>
      <c r="O718" s="8">
        <f>+VLOOKUP($B718,NIFTY_PHARMA!$B$3:$I$1238,8,0)</f>
        <v>3.3409733085942861E-3</v>
      </c>
      <c r="P718" s="8">
        <f>+VLOOKUP($B718,NIFTY_FMCG!$B$3:$I$1238,8,0)</f>
        <v>1.3275916462616166E-3</v>
      </c>
      <c r="Q718" s="8">
        <f>+VLOOKUP($B718,NIFTY_METAL!$B$3:$I$1238,8,0)</f>
        <v>2.0746489425053305E-2</v>
      </c>
      <c r="R718" s="8">
        <f>+VLOOKUP($B718,NIFTY_ENERGY!$B$3:$I$1238,8,0)</f>
        <v>5.8505947387665902E-3</v>
      </c>
      <c r="S718" s="8">
        <f>+VLOOKUP($B718,NIFTY_AUTO!$B$3:$I$1238,8,0)</f>
        <v>-2.8160944062125548E-3</v>
      </c>
      <c r="T718" s="8">
        <v>0</v>
      </c>
      <c r="U718" s="8">
        <f>+VLOOKUP($B718,NIFTY_50!$B$63:$K$1238,10,0)</f>
        <v>9.4170827574097116E-2</v>
      </c>
      <c r="V718" s="8">
        <f>+VLOOKUP($B718,NIFTY_BANK!$B$63:$K$1238,10,0)</f>
        <v>0.14210263402563084</v>
      </c>
      <c r="W718" s="8">
        <f>+VLOOKUP($B718,NIFTY_IT!$B$63:$K$1238,10,0)</f>
        <v>-3.5310328988918838E-2</v>
      </c>
      <c r="X718" s="8">
        <f>+VLOOKUP($B718,NIFTY_PHARMA!$B$63:$K$1238,10,0)</f>
        <v>5.9081424968958407E-2</v>
      </c>
      <c r="Y718" s="8">
        <f>+VLOOKUP($B718,NIFTY_FMCG!$B$63:$K$1238,10,0)</f>
        <v>8.0759491482944368E-2</v>
      </c>
      <c r="Z718" s="8">
        <f>+VLOOKUP($B718,NIFTY_METAL!$B$63:$K$1238,10,0)</f>
        <v>0.15319675333130767</v>
      </c>
      <c r="AA718" s="8">
        <f>+VLOOKUP($B718,NIFTY_ENERGY!$B$63:$K$1238,10,0)</f>
        <v>0.12067773167358231</v>
      </c>
      <c r="AB718" s="8">
        <f>+VLOOKUP($B718,NIFTY_AUTO!$B$63:$K$1238,10,0)</f>
        <v>0.14354916502981285</v>
      </c>
      <c r="AC718" s="8"/>
      <c r="AD718" s="16">
        <f t="shared" si="412"/>
        <v>8.2481662884382717E-2</v>
      </c>
      <c r="AE718" s="8">
        <f t="shared" si="413"/>
        <v>0.13715679866471556</v>
      </c>
      <c r="AF718" s="8">
        <f t="shared" si="414"/>
        <v>8.6010468442811364E-2</v>
      </c>
      <c r="AG718" s="8">
        <f t="shared" si="415"/>
        <v>9.6164176476255803E-2</v>
      </c>
      <c r="AH718" s="8">
        <f t="shared" si="416"/>
        <v>8.0818552210418088E-2</v>
      </c>
      <c r="AI718" s="8">
        <f t="shared" si="417"/>
        <v>0.15160949997250789</v>
      </c>
      <c r="AJ718" s="8">
        <f t="shared" si="418"/>
        <v>8.7240046771390981E-2</v>
      </c>
      <c r="AK718" s="8">
        <f t="shared" si="419"/>
        <v>0.15478183164472797</v>
      </c>
      <c r="AL718" s="9">
        <v>0</v>
      </c>
      <c r="AM718" s="17">
        <f t="shared" si="396"/>
        <v>12.123906878571704</v>
      </c>
      <c r="AN718" s="13">
        <f t="shared" si="397"/>
        <v>7.290925493562546</v>
      </c>
      <c r="AO718" s="13">
        <f t="shared" si="398"/>
        <v>11.626491729491082</v>
      </c>
      <c r="AP718" s="13">
        <f t="shared" si="399"/>
        <v>10.398882792355771</v>
      </c>
      <c r="AQ718" s="13">
        <f t="shared" si="400"/>
        <v>12.37339661067441</v>
      </c>
      <c r="AR718" s="13">
        <f t="shared" si="401"/>
        <v>6.5958927387883675</v>
      </c>
      <c r="AS718" s="13">
        <f t="shared" si="402"/>
        <v>11.462625674885979</v>
      </c>
      <c r="AT718" s="13">
        <f t="shared" si="403"/>
        <v>6.4607065918131035</v>
      </c>
      <c r="AU718" s="9">
        <v>0</v>
      </c>
      <c r="AV718" s="18">
        <f t="shared" si="420"/>
        <v>2</v>
      </c>
      <c r="AW718" s="18">
        <f t="shared" si="421"/>
        <v>6</v>
      </c>
      <c r="AX718" s="18">
        <f t="shared" si="422"/>
        <v>3</v>
      </c>
      <c r="AY718" s="18">
        <f t="shared" si="423"/>
        <v>5</v>
      </c>
      <c r="AZ718" s="18">
        <f t="shared" si="424"/>
        <v>1</v>
      </c>
      <c r="BA718" s="18">
        <f t="shared" si="425"/>
        <v>7</v>
      </c>
      <c r="BB718" s="18">
        <f t="shared" si="426"/>
        <v>4</v>
      </c>
      <c r="BC718" s="18">
        <f t="shared" si="427"/>
        <v>8</v>
      </c>
      <c r="BD718" s="18">
        <f t="shared" si="428"/>
        <v>9</v>
      </c>
      <c r="BE718" s="8">
        <f t="shared" si="430"/>
        <v>3.8607765251238877E-3</v>
      </c>
    </row>
    <row r="719" spans="1:57" x14ac:dyDescent="0.25">
      <c r="A719" t="str">
        <f t="shared" si="429"/>
        <v>Y</v>
      </c>
      <c r="B719" s="1">
        <v>43798</v>
      </c>
      <c r="C719" s="9">
        <f t="shared" si="404"/>
        <v>0.25</v>
      </c>
      <c r="D719" s="9">
        <f t="shared" si="405"/>
        <v>0</v>
      </c>
      <c r="E719" s="9">
        <f t="shared" si="406"/>
        <v>0.25</v>
      </c>
      <c r="F719" s="9">
        <f t="shared" si="407"/>
        <v>0</v>
      </c>
      <c r="G719" s="9">
        <f t="shared" si="408"/>
        <v>0.25</v>
      </c>
      <c r="H719" s="9">
        <f t="shared" si="409"/>
        <v>0</v>
      </c>
      <c r="I719" s="9">
        <f t="shared" si="410"/>
        <v>0.25</v>
      </c>
      <c r="J719" s="9">
        <f t="shared" si="411"/>
        <v>0</v>
      </c>
      <c r="K719" s="9">
        <v>0</v>
      </c>
      <c r="L719" s="8">
        <f>+VLOOKUP($B719,NIFTY_50!$B$3:$I$1238,8,0)</f>
        <v>-7.8264197215901499E-3</v>
      </c>
      <c r="M719" s="8">
        <f>+VLOOKUP($B719,NIFTY_BANK!$B$3:$I$41238,8,0)</f>
        <v>-5.5054096837308109E-3</v>
      </c>
      <c r="N719" s="8">
        <f>+VLOOKUP($B719,NIFTY_IT!$B$3:$I$1238,8,0)</f>
        <v>-8.1835495774312816E-3</v>
      </c>
      <c r="O719" s="8">
        <f>+VLOOKUP($B719,NIFTY_PHARMA!$B$3:$I$1238,8,0)</f>
        <v>-1.0116454043862078E-2</v>
      </c>
      <c r="P719" s="8">
        <f>+VLOOKUP($B719,NIFTY_FMCG!$B$3:$I$1238,8,0)</f>
        <v>-9.2088512445863691E-3</v>
      </c>
      <c r="Q719" s="8">
        <f>+VLOOKUP($B719,NIFTY_METAL!$B$3:$I$1238,8,0)</f>
        <v>-1.1799687599977404E-2</v>
      </c>
      <c r="R719" s="8">
        <f>+VLOOKUP($B719,NIFTY_ENERGY!$B$3:$I$1238,8,0)</f>
        <v>-8.2421694807555124E-3</v>
      </c>
      <c r="S719" s="8">
        <f>+VLOOKUP($B719,NIFTY_AUTO!$B$3:$I$1238,8,0)</f>
        <v>-1.1461230477704087E-2</v>
      </c>
      <c r="T719" s="8">
        <v>0</v>
      </c>
      <c r="U719" s="8">
        <f>+VLOOKUP($B719,NIFTY_50!$B$63:$K$1238,10,0)</f>
        <v>9.1430459619232129E-2</v>
      </c>
      <c r="V719" s="8">
        <f>+VLOOKUP($B719,NIFTY_BANK!$B$63:$K$1238,10,0)</f>
        <v>0.14896257053765072</v>
      </c>
      <c r="W719" s="8">
        <f>+VLOOKUP($B719,NIFTY_IT!$B$63:$K$1238,10,0)</f>
        <v>-5.5532465569682499E-2</v>
      </c>
      <c r="X719" s="8">
        <f>+VLOOKUP($B719,NIFTY_PHARMA!$B$63:$K$1238,10,0)</f>
        <v>5.8317665225846804E-2</v>
      </c>
      <c r="Y719" s="8">
        <f>+VLOOKUP($B719,NIFTY_FMCG!$B$63:$K$1238,10,0)</f>
        <v>7.4978309908034113E-2</v>
      </c>
      <c r="Z719" s="8">
        <f>+VLOOKUP($B719,NIFTY_METAL!$B$63:$K$1238,10,0)</f>
        <v>0.1792315120483281</v>
      </c>
      <c r="AA719" s="8">
        <f>+VLOOKUP($B719,NIFTY_ENERGY!$B$63:$K$1238,10,0)</f>
        <v>0.12372101073035657</v>
      </c>
      <c r="AB719" s="8">
        <f>+VLOOKUP($B719,NIFTY_AUTO!$B$63:$K$1238,10,0)</f>
        <v>0.15208981912218333</v>
      </c>
      <c r="AC719" s="8"/>
      <c r="AD719" s="16">
        <f t="shared" si="412"/>
        <v>8.2725695769870822E-2</v>
      </c>
      <c r="AE719" s="8">
        <f t="shared" si="413"/>
        <v>0.13668608961527995</v>
      </c>
      <c r="AF719" s="8">
        <f t="shared" si="414"/>
        <v>8.5232582368936577E-2</v>
      </c>
      <c r="AG719" s="8">
        <f t="shared" si="415"/>
        <v>9.624415545108829E-2</v>
      </c>
      <c r="AH719" s="8">
        <f t="shared" si="416"/>
        <v>8.1333001900143226E-2</v>
      </c>
      <c r="AI719" s="8">
        <f t="shared" si="417"/>
        <v>0.14790713631295302</v>
      </c>
      <c r="AJ719" s="8">
        <f t="shared" si="418"/>
        <v>8.688407144284753E-2</v>
      </c>
      <c r="AK719" s="8">
        <f t="shared" si="419"/>
        <v>0.1539473341088867</v>
      </c>
      <c r="AL719" s="9">
        <v>0</v>
      </c>
      <c r="AM719" s="17">
        <f t="shared" si="396"/>
        <v>12.088142513564762</v>
      </c>
      <c r="AN719" s="13">
        <f t="shared" si="397"/>
        <v>7.3160334223813468</v>
      </c>
      <c r="AO719" s="13">
        <f t="shared" si="398"/>
        <v>11.732602394603203</v>
      </c>
      <c r="AP719" s="13">
        <f t="shared" si="399"/>
        <v>10.390241311933009</v>
      </c>
      <c r="AQ719" s="13">
        <f t="shared" si="400"/>
        <v>12.295132069854647</v>
      </c>
      <c r="AR719" s="13">
        <f t="shared" si="401"/>
        <v>6.7609989952352603</v>
      </c>
      <c r="AS719" s="13">
        <f t="shared" si="402"/>
        <v>11.509589541482313</v>
      </c>
      <c r="AT719" s="13">
        <f t="shared" si="403"/>
        <v>6.4957279435102242</v>
      </c>
      <c r="AU719" s="9">
        <v>0</v>
      </c>
      <c r="AV719" s="18">
        <f t="shared" si="420"/>
        <v>2</v>
      </c>
      <c r="AW719" s="18">
        <f t="shared" si="421"/>
        <v>6</v>
      </c>
      <c r="AX719" s="18">
        <f t="shared" si="422"/>
        <v>3</v>
      </c>
      <c r="AY719" s="18">
        <f t="shared" si="423"/>
        <v>5</v>
      </c>
      <c r="AZ719" s="18">
        <f t="shared" si="424"/>
        <v>1</v>
      </c>
      <c r="BA719" s="18">
        <f t="shared" si="425"/>
        <v>7</v>
      </c>
      <c r="BB719" s="18">
        <f t="shared" si="426"/>
        <v>4</v>
      </c>
      <c r="BC719" s="18">
        <f t="shared" si="427"/>
        <v>8</v>
      </c>
      <c r="BD719" s="18">
        <f t="shared" si="428"/>
        <v>9</v>
      </c>
      <c r="BE719" s="8">
        <f t="shared" si="430"/>
        <v>-8.8455839805449982E-3</v>
      </c>
    </row>
    <row r="720" spans="1:57" x14ac:dyDescent="0.25">
      <c r="A720" t="str">
        <f t="shared" si="429"/>
        <v/>
      </c>
      <c r="B720" s="1">
        <v>43801</v>
      </c>
      <c r="C720" s="9">
        <f t="shared" si="404"/>
        <v>0.25052932876735889</v>
      </c>
      <c r="D720" s="9">
        <f t="shared" si="405"/>
        <v>0</v>
      </c>
      <c r="E720" s="9">
        <f t="shared" si="406"/>
        <v>0.24810906230175228</v>
      </c>
      <c r="F720" s="9">
        <f t="shared" si="407"/>
        <v>0</v>
      </c>
      <c r="G720" s="9">
        <f t="shared" si="408"/>
        <v>0.25009788303391911</v>
      </c>
      <c r="H720" s="9">
        <f t="shared" si="409"/>
        <v>0</v>
      </c>
      <c r="I720" s="9">
        <f t="shared" si="410"/>
        <v>0.25126372589696977</v>
      </c>
      <c r="J720" s="9">
        <f t="shared" si="411"/>
        <v>0</v>
      </c>
      <c r="K720" s="9">
        <v>0</v>
      </c>
      <c r="L720" s="8">
        <f>+VLOOKUP($B720,NIFTY_50!$B$3:$I$1238,8,0)</f>
        <v>-6.469780732494268E-4</v>
      </c>
      <c r="M720" s="8">
        <f>+VLOOKUP($B720,NIFTY_BANK!$B$3:$I$41238,8,0)</f>
        <v>-2.5996913551262768E-3</v>
      </c>
      <c r="N720" s="8">
        <f>+VLOOKUP($B720,NIFTY_IT!$B$3:$I$1238,8,0)</f>
        <v>-1.0301339174092594E-2</v>
      </c>
      <c r="O720" s="8">
        <f>+VLOOKUP($B720,NIFTY_PHARMA!$B$3:$I$1238,8,0)</f>
        <v>-7.4481529191264828E-3</v>
      </c>
      <c r="P720" s="8">
        <f>+VLOOKUP($B720,NIFTY_FMCG!$B$3:$I$1238,8,0)</f>
        <v>-2.3680005165371831E-3</v>
      </c>
      <c r="Q720" s="8">
        <f>+VLOOKUP($B720,NIFTY_METAL!$B$3:$I$1238,8,0)</f>
        <v>1.3330794134449597E-3</v>
      </c>
      <c r="R720" s="8">
        <f>+VLOOKUP($B720,NIFTY_ENERGY!$B$3:$I$1238,8,0)</f>
        <v>2.282507246421428E-3</v>
      </c>
      <c r="S720" s="8">
        <f>+VLOOKUP($B720,NIFTY_AUTO!$B$3:$I$1238,8,0)</f>
        <v>-9.5720999257976613E-3</v>
      </c>
      <c r="T720" s="8">
        <v>0</v>
      </c>
      <c r="U720" s="8">
        <f>+VLOOKUP($B720,NIFTY_50!$B$63:$K$1238,10,0)</f>
        <v>0.10046765251226231</v>
      </c>
      <c r="V720" s="8">
        <f>+VLOOKUP($B720,NIFTY_BANK!$B$63:$K$1238,10,0)</f>
        <v>0.16692241770798222</v>
      </c>
      <c r="W720" s="8">
        <f>+VLOOKUP($B720,NIFTY_IT!$B$63:$K$1238,10,0)</f>
        <v>-6.5535378717055282E-2</v>
      </c>
      <c r="X720" s="8">
        <f>+VLOOKUP($B720,NIFTY_PHARMA!$B$63:$K$1238,10,0)</f>
        <v>2.7355450236966838E-2</v>
      </c>
      <c r="Y720" s="8">
        <f>+VLOOKUP($B720,NIFTY_FMCG!$B$63:$K$1238,10,0)</f>
        <v>7.4790100098080847E-2</v>
      </c>
      <c r="Z720" s="8">
        <f>+VLOOKUP($B720,NIFTY_METAL!$B$63:$K$1238,10,0)</f>
        <v>0.16618981081021134</v>
      </c>
      <c r="AA720" s="8">
        <f>+VLOOKUP($B720,NIFTY_ENERGY!$B$63:$K$1238,10,0)</f>
        <v>0.12662518653938726</v>
      </c>
      <c r="AB720" s="8">
        <f>+VLOOKUP($B720,NIFTY_AUTO!$B$63:$K$1238,10,0)</f>
        <v>0.14898531595446318</v>
      </c>
      <c r="AC720" s="8"/>
      <c r="AD720" s="16">
        <f t="shared" si="412"/>
        <v>8.2097500161245451E-2</v>
      </c>
      <c r="AE720" s="8">
        <f t="shared" si="413"/>
        <v>0.13523754530458765</v>
      </c>
      <c r="AF720" s="8">
        <f t="shared" si="414"/>
        <v>8.5733444902624911E-2</v>
      </c>
      <c r="AG720" s="8">
        <f t="shared" si="415"/>
        <v>9.4123439260209676E-2</v>
      </c>
      <c r="AH720" s="8">
        <f t="shared" si="416"/>
        <v>8.1340559336149768E-2</v>
      </c>
      <c r="AI720" s="8">
        <f t="shared" si="417"/>
        <v>0.14759339960586532</v>
      </c>
      <c r="AJ720" s="8">
        <f t="shared" si="418"/>
        <v>8.6854145932070845E-2</v>
      </c>
      <c r="AK720" s="8">
        <f t="shared" si="419"/>
        <v>0.15413365626961303</v>
      </c>
      <c r="AL720" s="9">
        <v>0</v>
      </c>
      <c r="AM720" s="17">
        <f t="shared" si="396"/>
        <v>12.180638850585309</v>
      </c>
      <c r="AN720" s="13">
        <f t="shared" si="397"/>
        <v>7.3943962658280897</v>
      </c>
      <c r="AO720" s="13">
        <f t="shared" si="398"/>
        <v>11.664059471024276</v>
      </c>
      <c r="AP720" s="13">
        <f t="shared" si="399"/>
        <v>10.624346155004412</v>
      </c>
      <c r="AQ720" s="13">
        <f t="shared" si="400"/>
        <v>12.293989716340384</v>
      </c>
      <c r="AR720" s="13">
        <f t="shared" si="401"/>
        <v>6.7753707325016475</v>
      </c>
      <c r="AS720" s="13">
        <f t="shared" si="402"/>
        <v>11.513555159267884</v>
      </c>
      <c r="AT720" s="13">
        <f t="shared" si="403"/>
        <v>6.4878756801226087</v>
      </c>
      <c r="AU720" s="9">
        <v>0</v>
      </c>
      <c r="AV720" s="18">
        <f t="shared" si="420"/>
        <v>2</v>
      </c>
      <c r="AW720" s="18">
        <f t="shared" si="421"/>
        <v>6</v>
      </c>
      <c r="AX720" s="18">
        <f t="shared" si="422"/>
        <v>3</v>
      </c>
      <c r="AY720" s="18">
        <f t="shared" si="423"/>
        <v>5</v>
      </c>
      <c r="AZ720" s="18">
        <f t="shared" si="424"/>
        <v>1</v>
      </c>
      <c r="BA720" s="18">
        <f t="shared" si="425"/>
        <v>7</v>
      </c>
      <c r="BB720" s="18">
        <f t="shared" si="426"/>
        <v>4</v>
      </c>
      <c r="BC720" s="18">
        <f t="shared" si="427"/>
        <v>8</v>
      </c>
      <c r="BD720" s="18">
        <f t="shared" si="428"/>
        <v>9</v>
      </c>
      <c r="BE720" s="8">
        <f t="shared" si="430"/>
        <v>-2.758452629364444E-3</v>
      </c>
    </row>
    <row r="721" spans="1:57" x14ac:dyDescent="0.25">
      <c r="A721" t="str">
        <f t="shared" si="429"/>
        <v/>
      </c>
      <c r="B721" s="1">
        <v>43802</v>
      </c>
      <c r="C721" s="9">
        <f t="shared" si="404"/>
        <v>0.2504283915456027</v>
      </c>
      <c r="D721" s="9">
        <f t="shared" si="405"/>
        <v>0</v>
      </c>
      <c r="E721" s="9">
        <f t="shared" si="406"/>
        <v>0.25042240086274609</v>
      </c>
      <c r="F721" s="9">
        <f t="shared" si="407"/>
        <v>0</v>
      </c>
      <c r="G721" s="9">
        <f t="shared" si="408"/>
        <v>0.24929809373132913</v>
      </c>
      <c r="H721" s="9">
        <f t="shared" si="409"/>
        <v>0</v>
      </c>
      <c r="I721" s="9">
        <f t="shared" si="410"/>
        <v>0.24985111386032202</v>
      </c>
      <c r="J721" s="9">
        <f t="shared" si="411"/>
        <v>0</v>
      </c>
      <c r="K721" s="9">
        <v>0</v>
      </c>
      <c r="L721" s="8">
        <f>+VLOOKUP($B721,NIFTY_50!$B$3:$I$1238,8,0)</f>
        <v>-4.4861286908887132E-3</v>
      </c>
      <c r="M721" s="8">
        <f>+VLOOKUP($B721,NIFTY_BANK!$B$3:$I$41238,8,0)</f>
        <v>-7.8366634706972249E-3</v>
      </c>
      <c r="N721" s="8">
        <f>+VLOOKUP($B721,NIFTY_IT!$B$3:$I$1238,8,0)</f>
        <v>5.2009121807115033E-3</v>
      </c>
      <c r="O721" s="8">
        <f>+VLOOKUP($B721,NIFTY_PHARMA!$B$3:$I$1238,8,0)</f>
        <v>-1.0345739609666671E-2</v>
      </c>
      <c r="P721" s="8">
        <f>+VLOOKUP($B721,NIFTY_FMCG!$B$3:$I$1238,8,0)</f>
        <v>-7.2697207152253585E-3</v>
      </c>
      <c r="Q721" s="8">
        <f>+VLOOKUP($B721,NIFTY_METAL!$B$3:$I$1238,8,0)</f>
        <v>-2.4648155192088295E-2</v>
      </c>
      <c r="R721" s="8">
        <f>+VLOOKUP($B721,NIFTY_ENERGY!$B$3:$I$1238,8,0)</f>
        <v>-9.6839426646671001E-3</v>
      </c>
      <c r="S721" s="8">
        <f>+VLOOKUP($B721,NIFTY_AUTO!$B$3:$I$1238,8,0)</f>
        <v>-5.5377968683665291E-3</v>
      </c>
      <c r="T721" s="8">
        <v>0</v>
      </c>
      <c r="U721" s="8">
        <f>+VLOOKUP($B721,NIFTY_50!$B$63:$K$1238,10,0)</f>
        <v>8.8082008482072149E-2</v>
      </c>
      <c r="V721" s="8">
        <f>+VLOOKUP($B721,NIFTY_BANK!$B$63:$K$1238,10,0)</f>
        <v>0.15260036787425912</v>
      </c>
      <c r="W721" s="8">
        <f>+VLOOKUP($B721,NIFTY_IT!$B$63:$K$1238,10,0)</f>
        <v>-6.8058886723629586E-2</v>
      </c>
      <c r="X721" s="8">
        <f>+VLOOKUP($B721,NIFTY_PHARMA!$B$63:$K$1238,10,0)</f>
        <v>-3.369652071035234E-3</v>
      </c>
      <c r="Y721" s="8">
        <f>+VLOOKUP($B721,NIFTY_FMCG!$B$63:$K$1238,10,0)</f>
        <v>4.8539939536560883E-2</v>
      </c>
      <c r="Z721" s="8">
        <f>+VLOOKUP($B721,NIFTY_METAL!$B$63:$K$1238,10,0)</f>
        <v>0.11976244022795268</v>
      </c>
      <c r="AA721" s="8">
        <f>+VLOOKUP($B721,NIFTY_ENERGY!$B$63:$K$1238,10,0)</f>
        <v>0.12024544142953997</v>
      </c>
      <c r="AB721" s="8">
        <f>+VLOOKUP($B721,NIFTY_AUTO!$B$63:$K$1238,10,0)</f>
        <v>0.13624042343743303</v>
      </c>
      <c r="AC721" s="8"/>
      <c r="AD721" s="16">
        <f t="shared" si="412"/>
        <v>8.2146126165136599E-2</v>
      </c>
      <c r="AE721" s="8">
        <f t="shared" si="413"/>
        <v>0.13562460004646831</v>
      </c>
      <c r="AF721" s="8">
        <f t="shared" si="414"/>
        <v>8.5490740235233967E-2</v>
      </c>
      <c r="AG721" s="8">
        <f t="shared" si="415"/>
        <v>9.2605809206238163E-2</v>
      </c>
      <c r="AH721" s="8">
        <f t="shared" si="416"/>
        <v>8.0070608744047866E-2</v>
      </c>
      <c r="AI721" s="8">
        <f t="shared" si="417"/>
        <v>0.14944429364706938</v>
      </c>
      <c r="AJ721" s="8">
        <f t="shared" si="418"/>
        <v>8.7426011872164061E-2</v>
      </c>
      <c r="AK721" s="8">
        <f t="shared" si="419"/>
        <v>0.15430277195494138</v>
      </c>
      <c r="AL721" s="9">
        <v>0</v>
      </c>
      <c r="AM721" s="17">
        <f t="shared" si="396"/>
        <v>12.173428580061358</v>
      </c>
      <c r="AN721" s="13">
        <f t="shared" si="397"/>
        <v>7.3732936329941285</v>
      </c>
      <c r="AO721" s="13">
        <f t="shared" si="398"/>
        <v>11.697173252312794</v>
      </c>
      <c r="AP721" s="13">
        <f t="shared" si="399"/>
        <v>10.798458634198052</v>
      </c>
      <c r="AQ721" s="13">
        <f t="shared" si="400"/>
        <v>12.48897711264542</v>
      </c>
      <c r="AR721" s="13">
        <f t="shared" si="401"/>
        <v>6.6914565661611674</v>
      </c>
      <c r="AS721" s="13">
        <f t="shared" si="402"/>
        <v>11.438243362424201</v>
      </c>
      <c r="AT721" s="13">
        <f t="shared" si="403"/>
        <v>6.4807649747991194</v>
      </c>
      <c r="AU721" s="9">
        <v>0</v>
      </c>
      <c r="AV721" s="18">
        <f t="shared" si="420"/>
        <v>2</v>
      </c>
      <c r="AW721" s="18">
        <f t="shared" si="421"/>
        <v>6</v>
      </c>
      <c r="AX721" s="18">
        <f t="shared" si="422"/>
        <v>3</v>
      </c>
      <c r="AY721" s="18">
        <f t="shared" si="423"/>
        <v>5</v>
      </c>
      <c r="AZ721" s="18">
        <f t="shared" si="424"/>
        <v>1</v>
      </c>
      <c r="BA721" s="18">
        <f t="shared" si="425"/>
        <v>7</v>
      </c>
      <c r="BB721" s="18">
        <f t="shared" si="426"/>
        <v>4</v>
      </c>
      <c r="BC721" s="18">
        <f t="shared" si="427"/>
        <v>8</v>
      </c>
      <c r="BD721" s="18">
        <f t="shared" si="428"/>
        <v>9</v>
      </c>
      <c r="BE721" s="8">
        <f t="shared" si="430"/>
        <v>-4.0848786418448231E-3</v>
      </c>
    </row>
    <row r="722" spans="1:57" x14ac:dyDescent="0.25">
      <c r="A722" t="str">
        <f t="shared" si="429"/>
        <v/>
      </c>
      <c r="B722" s="1">
        <v>43803</v>
      </c>
      <c r="C722" s="9">
        <f t="shared" si="404"/>
        <v>0.25038038624022424</v>
      </c>
      <c r="D722" s="9">
        <f t="shared" si="405"/>
        <v>0</v>
      </c>
      <c r="E722" s="9">
        <f t="shared" si="406"/>
        <v>0.25360723686769021</v>
      </c>
      <c r="F722" s="9">
        <f t="shared" si="407"/>
        <v>0</v>
      </c>
      <c r="G722" s="9">
        <f t="shared" si="408"/>
        <v>0.24846315883343678</v>
      </c>
      <c r="H722" s="9">
        <f t="shared" si="409"/>
        <v>0</v>
      </c>
      <c r="I722" s="9">
        <f t="shared" si="410"/>
        <v>0.24754921805864888</v>
      </c>
      <c r="J722" s="9">
        <f t="shared" si="411"/>
        <v>0</v>
      </c>
      <c r="K722" s="9">
        <v>0</v>
      </c>
      <c r="L722" s="8">
        <f>+VLOOKUP($B722,NIFTY_50!$B$3:$I$1238,8,0)</f>
        <v>4.0853078988176694E-3</v>
      </c>
      <c r="M722" s="8">
        <f>+VLOOKUP($B722,NIFTY_BANK!$B$3:$I$41238,8,0)</f>
        <v>1.1575805790907889E-2</v>
      </c>
      <c r="N722" s="8">
        <f>+VLOOKUP($B722,NIFTY_IT!$B$3:$I$1238,8,0)</f>
        <v>1.7050081262671046E-2</v>
      </c>
      <c r="O722" s="8">
        <f>+VLOOKUP($B722,NIFTY_PHARMA!$B$3:$I$1238,8,0)</f>
        <v>9.5278345774003625E-3</v>
      </c>
      <c r="P722" s="8">
        <f>+VLOOKUP($B722,NIFTY_FMCG!$B$3:$I$1238,8,0)</f>
        <v>9.1435090864644408E-4</v>
      </c>
      <c r="Q722" s="8">
        <f>+VLOOKUP($B722,NIFTY_METAL!$B$3:$I$1238,8,0)</f>
        <v>1.5521410186412954E-2</v>
      </c>
      <c r="R722" s="8">
        <f>+VLOOKUP($B722,NIFTY_ENERGY!$B$3:$I$1238,8,0)</f>
        <v>-4.9746611923670025E-3</v>
      </c>
      <c r="S722" s="8">
        <f>+VLOOKUP($B722,NIFTY_AUTO!$B$3:$I$1238,8,0)</f>
        <v>4.0556235678186336E-3</v>
      </c>
      <c r="T722" s="8">
        <v>0</v>
      </c>
      <c r="U722" s="8">
        <f>+VLOOKUP($B722,NIFTY_50!$B$63:$K$1238,10,0)</f>
        <v>0.1153279804406413</v>
      </c>
      <c r="V722" s="8">
        <f>+VLOOKUP($B722,NIFTY_BANK!$B$63:$K$1238,10,0)</f>
        <v>0.19218316330619967</v>
      </c>
      <c r="W722" s="8">
        <f>+VLOOKUP($B722,NIFTY_IT!$B$63:$K$1238,10,0)</f>
        <v>-5.0657182716188354E-2</v>
      </c>
      <c r="X722" s="8">
        <f>+VLOOKUP($B722,NIFTY_PHARMA!$B$63:$K$1238,10,0)</f>
        <v>1.8184781450394594E-2</v>
      </c>
      <c r="Y722" s="8">
        <f>+VLOOKUP($B722,NIFTY_FMCG!$B$63:$K$1238,10,0)</f>
        <v>6.7391689754544126E-2</v>
      </c>
      <c r="Z722" s="8">
        <f>+VLOOKUP($B722,NIFTY_METAL!$B$63:$K$1238,10,0)</f>
        <v>0.17352802000946399</v>
      </c>
      <c r="AA722" s="8">
        <f>+VLOOKUP($B722,NIFTY_ENERGY!$B$63:$K$1238,10,0)</f>
        <v>0.14738962865414407</v>
      </c>
      <c r="AB722" s="8">
        <f>+VLOOKUP($B722,NIFTY_AUTO!$B$63:$K$1238,10,0)</f>
        <v>0.15929832191656712</v>
      </c>
      <c r="AC722" s="8"/>
      <c r="AD722" s="16">
        <f t="shared" si="412"/>
        <v>7.9159840163893977E-2</v>
      </c>
      <c r="AE722" s="8">
        <f t="shared" si="413"/>
        <v>0.13363606230658717</v>
      </c>
      <c r="AF722" s="8">
        <f t="shared" si="414"/>
        <v>8.7360974464638613E-2</v>
      </c>
      <c r="AG722" s="8">
        <f t="shared" si="415"/>
        <v>9.2294204368160604E-2</v>
      </c>
      <c r="AH722" s="8">
        <f t="shared" si="416"/>
        <v>7.8081325719701389E-2</v>
      </c>
      <c r="AI722" s="8">
        <f t="shared" si="417"/>
        <v>0.14624664848192462</v>
      </c>
      <c r="AJ722" s="8">
        <f t="shared" si="418"/>
        <v>8.2190327319312265E-2</v>
      </c>
      <c r="AK722" s="8">
        <f t="shared" si="419"/>
        <v>0.15321446053269833</v>
      </c>
      <c r="AL722" s="9">
        <v>0</v>
      </c>
      <c r="AM722" s="17">
        <f t="shared" si="396"/>
        <v>12.632668256145815</v>
      </c>
      <c r="AN722" s="13">
        <f t="shared" si="397"/>
        <v>7.4830100703341973</v>
      </c>
      <c r="AO722" s="13">
        <f t="shared" si="398"/>
        <v>11.446758763030664</v>
      </c>
      <c r="AP722" s="13">
        <f t="shared" si="399"/>
        <v>10.834916524238192</v>
      </c>
      <c r="AQ722" s="13">
        <f t="shared" si="400"/>
        <v>12.807159596519007</v>
      </c>
      <c r="AR722" s="13">
        <f t="shared" si="401"/>
        <v>6.8377635342774719</v>
      </c>
      <c r="AS722" s="13">
        <f t="shared" si="402"/>
        <v>12.166881829232356</v>
      </c>
      <c r="AT722" s="13">
        <f t="shared" si="403"/>
        <v>6.5267990796899005</v>
      </c>
      <c r="AU722" s="9">
        <v>0</v>
      </c>
      <c r="AV722" s="18">
        <f t="shared" si="420"/>
        <v>2</v>
      </c>
      <c r="AW722" s="18">
        <f t="shared" si="421"/>
        <v>6</v>
      </c>
      <c r="AX722" s="18">
        <f t="shared" si="422"/>
        <v>4</v>
      </c>
      <c r="AY722" s="18">
        <f t="shared" si="423"/>
        <v>5</v>
      </c>
      <c r="AZ722" s="18">
        <f t="shared" si="424"/>
        <v>1</v>
      </c>
      <c r="BA722" s="18">
        <f t="shared" si="425"/>
        <v>7</v>
      </c>
      <c r="BB722" s="18">
        <f t="shared" si="426"/>
        <v>3</v>
      </c>
      <c r="BC722" s="18">
        <f t="shared" si="427"/>
        <v>8</v>
      </c>
      <c r="BD722" s="18">
        <f t="shared" si="428"/>
        <v>9</v>
      </c>
      <c r="BE722" s="8">
        <f t="shared" si="430"/>
        <v>4.277820669308912E-3</v>
      </c>
    </row>
    <row r="723" spans="1:57" x14ac:dyDescent="0.25">
      <c r="A723" t="str">
        <f t="shared" si="429"/>
        <v/>
      </c>
      <c r="B723" s="1">
        <v>43804</v>
      </c>
      <c r="C723" s="9">
        <f t="shared" si="404"/>
        <v>0.24940144702285363</v>
      </c>
      <c r="D723" s="9">
        <f t="shared" si="405"/>
        <v>0</v>
      </c>
      <c r="E723" s="9">
        <f t="shared" si="406"/>
        <v>0.25634554827102907</v>
      </c>
      <c r="F723" s="9">
        <f t="shared" si="407"/>
        <v>0</v>
      </c>
      <c r="G723" s="9">
        <f t="shared" si="408"/>
        <v>0.2487256923546507</v>
      </c>
      <c r="H723" s="9">
        <f t="shared" si="409"/>
        <v>0</v>
      </c>
      <c r="I723" s="9">
        <f t="shared" si="410"/>
        <v>0.24552731235146663</v>
      </c>
      <c r="J723" s="9">
        <f t="shared" si="411"/>
        <v>0</v>
      </c>
      <c r="K723" s="9">
        <v>0</v>
      </c>
      <c r="L723" s="8">
        <f>+VLOOKUP($B723,NIFTY_50!$B$3:$I$1238,8,0)</f>
        <v>-2.0592533545902292E-3</v>
      </c>
      <c r="M723" s="8">
        <f>+VLOOKUP($B723,NIFTY_BANK!$B$3:$I$41238,8,0)</f>
        <v>-8.3288252088069559E-3</v>
      </c>
      <c r="N723" s="8">
        <f>+VLOOKUP($B723,NIFTY_IT!$B$3:$I$1238,8,0)</f>
        <v>1.2675327756233035E-2</v>
      </c>
      <c r="O723" s="8">
        <f>+VLOOKUP($B723,NIFTY_PHARMA!$B$3:$I$1238,8,0)</f>
        <v>-8.5760019700793499E-3</v>
      </c>
      <c r="P723" s="8">
        <f>+VLOOKUP($B723,NIFTY_FMCG!$B$3:$I$1238,8,0)</f>
        <v>2.9164108768608976E-3</v>
      </c>
      <c r="Q723" s="8">
        <f>+VLOOKUP($B723,NIFTY_METAL!$B$3:$I$1238,8,0)</f>
        <v>-2.3060675883256554E-2</v>
      </c>
      <c r="R723" s="8">
        <f>+VLOOKUP($B723,NIFTY_ENERGY!$B$3:$I$1238,8,0)</f>
        <v>-6.3250475626110969E-3</v>
      </c>
      <c r="S723" s="8">
        <f>+VLOOKUP($B723,NIFTY_AUTO!$B$3:$I$1238,8,0)</f>
        <v>-6.8467026405136799E-3</v>
      </c>
      <c r="T723" s="8">
        <v>0</v>
      </c>
      <c r="U723" s="8">
        <f>+VLOOKUP($B723,NIFTY_50!$B$63:$K$1238,10,0)</f>
        <v>0.10823309189323771</v>
      </c>
      <c r="V723" s="8">
        <f>+VLOOKUP($B723,NIFTY_BANK!$B$63:$K$1238,10,0)</f>
        <v>0.16919058319523228</v>
      </c>
      <c r="W723" s="8">
        <f>+VLOOKUP($B723,NIFTY_IT!$B$63:$K$1238,10,0)</f>
        <v>-4.1478247310151262E-2</v>
      </c>
      <c r="X723" s="8">
        <f>+VLOOKUP($B723,NIFTY_PHARMA!$B$63:$K$1238,10,0)</f>
        <v>1.0567733271416468E-2</v>
      </c>
      <c r="Y723" s="8">
        <f>+VLOOKUP($B723,NIFTY_FMCG!$B$63:$K$1238,10,0)</f>
        <v>7.2041885910327341E-2</v>
      </c>
      <c r="Z723" s="8">
        <f>+VLOOKUP($B723,NIFTY_METAL!$B$63:$K$1238,10,0)</f>
        <v>0.1283125984077349</v>
      </c>
      <c r="AA723" s="8">
        <f>+VLOOKUP($B723,NIFTY_ENERGY!$B$63:$K$1238,10,0)</f>
        <v>0.13360113572884824</v>
      </c>
      <c r="AB723" s="8">
        <f>+VLOOKUP($B723,NIFTY_AUTO!$B$63:$K$1238,10,0)</f>
        <v>0.17100286786443619</v>
      </c>
      <c r="AC723" s="8"/>
      <c r="AD723" s="16">
        <f t="shared" si="412"/>
        <v>7.9212600394562807E-2</v>
      </c>
      <c r="AE723" s="8">
        <f t="shared" si="413"/>
        <v>0.13384708353197902</v>
      </c>
      <c r="AF723" s="8">
        <f t="shared" si="414"/>
        <v>8.8303406433070747E-2</v>
      </c>
      <c r="AG723" s="8">
        <f t="shared" si="415"/>
        <v>9.270974314114401E-2</v>
      </c>
      <c r="AH723" s="8">
        <f t="shared" si="416"/>
        <v>7.805829322673323E-2</v>
      </c>
      <c r="AI723" s="8">
        <f t="shared" si="417"/>
        <v>0.14783500263119539</v>
      </c>
      <c r="AJ723" s="8">
        <f t="shared" si="418"/>
        <v>8.2556297154266184E-2</v>
      </c>
      <c r="AK723" s="8">
        <f t="shared" si="419"/>
        <v>0.15227176517762375</v>
      </c>
      <c r="AL723" s="9">
        <v>0</v>
      </c>
      <c r="AM723" s="17">
        <f t="shared" si="396"/>
        <v>12.624254159299642</v>
      </c>
      <c r="AN723" s="13">
        <f t="shared" si="397"/>
        <v>7.4712124733078547</v>
      </c>
      <c r="AO723" s="13">
        <f t="shared" si="398"/>
        <v>11.32459143303771</v>
      </c>
      <c r="AP723" s="13">
        <f t="shared" si="399"/>
        <v>10.786352826774323</v>
      </c>
      <c r="AQ723" s="13">
        <f t="shared" si="400"/>
        <v>12.810938577600391</v>
      </c>
      <c r="AR723" s="13">
        <f t="shared" si="401"/>
        <v>6.7642979145791626</v>
      </c>
      <c r="AS723" s="13">
        <f t="shared" si="402"/>
        <v>12.112946370782376</v>
      </c>
      <c r="AT723" s="13">
        <f t="shared" si="403"/>
        <v>6.5672056722630643</v>
      </c>
      <c r="AU723" s="9">
        <v>0</v>
      </c>
      <c r="AV723" s="18">
        <f t="shared" si="420"/>
        <v>2</v>
      </c>
      <c r="AW723" s="18">
        <f t="shared" si="421"/>
        <v>6</v>
      </c>
      <c r="AX723" s="18">
        <f t="shared" si="422"/>
        <v>4</v>
      </c>
      <c r="AY723" s="18">
        <f t="shared" si="423"/>
        <v>5</v>
      </c>
      <c r="AZ723" s="18">
        <f t="shared" si="424"/>
        <v>1</v>
      </c>
      <c r="BA723" s="18">
        <f t="shared" si="425"/>
        <v>7</v>
      </c>
      <c r="BB723" s="18">
        <f t="shared" si="426"/>
        <v>3</v>
      </c>
      <c r="BC723" s="18">
        <f t="shared" si="427"/>
        <v>8</v>
      </c>
      <c r="BD723" s="18">
        <f t="shared" si="428"/>
        <v>9</v>
      </c>
      <c r="BE723" s="8">
        <f t="shared" si="430"/>
        <v>1.8578182789747322E-3</v>
      </c>
    </row>
    <row r="724" spans="1:57" x14ac:dyDescent="0.25">
      <c r="A724" t="str">
        <f t="shared" si="429"/>
        <v/>
      </c>
      <c r="B724" s="1">
        <v>43805</v>
      </c>
      <c r="C724" s="9">
        <f t="shared" si="404"/>
        <v>0.24919063004731892</v>
      </c>
      <c r="D724" s="9">
        <f t="shared" si="405"/>
        <v>0</v>
      </c>
      <c r="E724" s="9">
        <f t="shared" si="406"/>
        <v>0.25690181474776447</v>
      </c>
      <c r="F724" s="9">
        <f t="shared" si="407"/>
        <v>0</v>
      </c>
      <c r="G724" s="9">
        <f t="shared" si="408"/>
        <v>0.24843115990919643</v>
      </c>
      <c r="H724" s="9">
        <f t="shared" si="409"/>
        <v>0</v>
      </c>
      <c r="I724" s="9">
        <f t="shared" si="410"/>
        <v>0.24547639529572021</v>
      </c>
      <c r="J724" s="9">
        <f t="shared" si="411"/>
        <v>0</v>
      </c>
      <c r="K724" s="9">
        <v>0</v>
      </c>
      <c r="L724" s="8">
        <f>+VLOOKUP($B724,NIFTY_50!$B$3:$I$1238,8,0)</f>
        <v>-8.062637289489416E-3</v>
      </c>
      <c r="M724" s="8">
        <f>+VLOOKUP($B724,NIFTY_BANK!$B$3:$I$41238,8,0)</f>
        <v>-1.1711304057175465E-2</v>
      </c>
      <c r="N724" s="8">
        <f>+VLOOKUP($B724,NIFTY_IT!$B$3:$I$1238,8,0)</f>
        <v>-5.0691394176020088E-3</v>
      </c>
      <c r="O724" s="8">
        <f>+VLOOKUP($B724,NIFTY_PHARMA!$B$3:$I$1238,8,0)</f>
        <v>-1.1711594229897537E-2</v>
      </c>
      <c r="P724" s="8">
        <f>+VLOOKUP($B724,NIFTY_FMCG!$B$3:$I$1238,8,0)</f>
        <v>-8.3990634873729597E-3</v>
      </c>
      <c r="Q724" s="8">
        <f>+VLOOKUP($B724,NIFTY_METAL!$B$3:$I$1238,8,0)</f>
        <v>-3.1840248432555285E-3</v>
      </c>
      <c r="R724" s="8">
        <f>+VLOOKUP($B724,NIFTY_ENERGY!$B$3:$I$1238,8,0)</f>
        <v>-7.4293318937106445E-3</v>
      </c>
      <c r="S724" s="8">
        <f>+VLOOKUP($B724,NIFTY_AUTO!$B$3:$I$1238,8,0)</f>
        <v>-1.7023848497821681E-2</v>
      </c>
      <c r="T724" s="8">
        <v>0</v>
      </c>
      <c r="U724" s="8">
        <f>+VLOOKUP($B724,NIFTY_50!$B$63:$K$1238,10,0)</f>
        <v>9.8968463942329832E-2</v>
      </c>
      <c r="V724" s="8">
        <f>+VLOOKUP($B724,NIFTY_BANK!$B$63:$K$1238,10,0)</f>
        <v>0.16426074584783623</v>
      </c>
      <c r="W724" s="8">
        <f>+VLOOKUP($B724,NIFTY_IT!$B$63:$K$1238,10,0)</f>
        <v>-4.6244919982908028E-2</v>
      </c>
      <c r="X724" s="8">
        <f>+VLOOKUP($B724,NIFTY_PHARMA!$B$63:$K$1238,10,0)</f>
        <v>-1.4148109146095877E-2</v>
      </c>
      <c r="Y724" s="8">
        <f>+VLOOKUP($B724,NIFTY_FMCG!$B$63:$K$1238,10,0)</f>
        <v>6.361720654824099E-2</v>
      </c>
      <c r="Z724" s="8">
        <f>+VLOOKUP($B724,NIFTY_METAL!$B$63:$K$1238,10,0)</f>
        <v>9.6062413554633519E-2</v>
      </c>
      <c r="AA724" s="8">
        <f>+VLOOKUP($B724,NIFTY_ENERGY!$B$63:$K$1238,10,0)</f>
        <v>0.10272477473707697</v>
      </c>
      <c r="AB724" s="8">
        <f>+VLOOKUP($B724,NIFTY_AUTO!$B$63:$K$1238,10,0)</f>
        <v>0.1278361685989815</v>
      </c>
      <c r="AC724" s="8"/>
      <c r="AD724" s="16">
        <f t="shared" si="412"/>
        <v>7.9796315661191358E-2</v>
      </c>
      <c r="AE724" s="8">
        <f t="shared" si="413"/>
        <v>0.13423090239548316</v>
      </c>
      <c r="AF724" s="8">
        <f t="shared" si="414"/>
        <v>8.8411031812049998E-2</v>
      </c>
      <c r="AG724" s="8">
        <f t="shared" si="415"/>
        <v>9.2539329947962462E-2</v>
      </c>
      <c r="AH724" s="8">
        <f t="shared" si="416"/>
        <v>7.8619526719800006E-2</v>
      </c>
      <c r="AI724" s="8">
        <f t="shared" si="417"/>
        <v>0.14592548509245296</v>
      </c>
      <c r="AJ724" s="8">
        <f t="shared" si="418"/>
        <v>8.0999400345617215E-2</v>
      </c>
      <c r="AK724" s="8">
        <f t="shared" si="419"/>
        <v>0.15243983113413381</v>
      </c>
      <c r="AL724" s="9">
        <v>0</v>
      </c>
      <c r="AM724" s="17">
        <f t="shared" si="396"/>
        <v>12.531906914674085</v>
      </c>
      <c r="AN724" s="13">
        <f t="shared" si="397"/>
        <v>7.4498493428414125</v>
      </c>
      <c r="AO724" s="13">
        <f t="shared" si="398"/>
        <v>11.310805671014743</v>
      </c>
      <c r="AP724" s="13">
        <f t="shared" si="399"/>
        <v>10.806216130615262</v>
      </c>
      <c r="AQ724" s="13">
        <f t="shared" si="400"/>
        <v>12.71948638871867</v>
      </c>
      <c r="AR724" s="13">
        <f t="shared" si="401"/>
        <v>6.8528125801085205</v>
      </c>
      <c r="AS724" s="13">
        <f t="shared" si="402"/>
        <v>12.345770409818952</v>
      </c>
      <c r="AT724" s="13">
        <f t="shared" si="403"/>
        <v>6.5599652830898689</v>
      </c>
      <c r="AU724" s="9">
        <v>0</v>
      </c>
      <c r="AV724" s="18">
        <f t="shared" si="420"/>
        <v>2</v>
      </c>
      <c r="AW724" s="18">
        <f t="shared" si="421"/>
        <v>6</v>
      </c>
      <c r="AX724" s="18">
        <f t="shared" si="422"/>
        <v>4</v>
      </c>
      <c r="AY724" s="18">
        <f t="shared" si="423"/>
        <v>5</v>
      </c>
      <c r="AZ724" s="18">
        <f t="shared" si="424"/>
        <v>1</v>
      </c>
      <c r="BA724" s="18">
        <f t="shared" si="425"/>
        <v>7</v>
      </c>
      <c r="BB724" s="18">
        <f t="shared" si="426"/>
        <v>3</v>
      </c>
      <c r="BC724" s="18">
        <f t="shared" si="427"/>
        <v>8</v>
      </c>
      <c r="BD724" s="18">
        <f t="shared" si="428"/>
        <v>9</v>
      </c>
      <c r="BE724" s="8">
        <f t="shared" si="430"/>
        <v>-7.2234515035438642E-3</v>
      </c>
    </row>
    <row r="725" spans="1:57" x14ac:dyDescent="0.25">
      <c r="A725" t="str">
        <f t="shared" si="429"/>
        <v/>
      </c>
      <c r="B725" s="1">
        <v>43808</v>
      </c>
      <c r="C725" s="9">
        <f t="shared" si="404"/>
        <v>0.24978745779363509</v>
      </c>
      <c r="D725" s="9">
        <f t="shared" si="405"/>
        <v>0</v>
      </c>
      <c r="E725" s="9">
        <f t="shared" si="406"/>
        <v>0.25494414078730798</v>
      </c>
      <c r="F725" s="9">
        <f t="shared" si="407"/>
        <v>0</v>
      </c>
      <c r="G725" s="9">
        <f t="shared" si="408"/>
        <v>0.24737752782984215</v>
      </c>
      <c r="H725" s="9">
        <f t="shared" si="409"/>
        <v>0</v>
      </c>
      <c r="I725" s="9">
        <f t="shared" si="410"/>
        <v>0.2478908735892148</v>
      </c>
      <c r="J725" s="9">
        <f t="shared" si="411"/>
        <v>0</v>
      </c>
      <c r="K725" s="9">
        <v>0</v>
      </c>
      <c r="L725" s="8">
        <f>+VLOOKUP($B725,NIFTY_50!$B$3:$I$1238,8,0)</f>
        <v>1.342112989137334E-3</v>
      </c>
      <c r="M725" s="8">
        <f>+VLOOKUP($B725,NIFTY_BANK!$B$3:$I$41238,8,0)</f>
        <v>-7.9447251332487312E-4</v>
      </c>
      <c r="N725" s="8">
        <f>+VLOOKUP($B725,NIFTY_IT!$B$3:$I$1238,8,0)</f>
        <v>-8.6627511511092603E-3</v>
      </c>
      <c r="O725" s="8">
        <f>+VLOOKUP($B725,NIFTY_PHARMA!$B$3:$I$1238,8,0)</f>
        <v>3.5186709477175171E-4</v>
      </c>
      <c r="P725" s="8">
        <f>+VLOOKUP($B725,NIFTY_FMCG!$B$3:$I$1238,8,0)</f>
        <v>-5.2871240763088245E-3</v>
      </c>
      <c r="Q725" s="8">
        <f>+VLOOKUP($B725,NIFTY_METAL!$B$3:$I$1238,8,0)</f>
        <v>6.2503696985232171E-3</v>
      </c>
      <c r="R725" s="8">
        <f>+VLOOKUP($B725,NIFTY_ENERGY!$B$3:$I$1238,8,0)</f>
        <v>8.7751197685266291E-3</v>
      </c>
      <c r="S725" s="8">
        <f>+VLOOKUP($B725,NIFTY_AUTO!$B$3:$I$1238,8,0)</f>
        <v>7.263085081853804E-3</v>
      </c>
      <c r="T725" s="8">
        <v>0</v>
      </c>
      <c r="U725" s="8">
        <f>+VLOOKUP($B725,NIFTY_50!$B$63:$K$1238,10,0)</f>
        <v>9.056110796440775E-2</v>
      </c>
      <c r="V725" s="8">
        <f>+VLOOKUP($B725,NIFTY_BANK!$B$63:$K$1238,10,0)</f>
        <v>0.14932343409950866</v>
      </c>
      <c r="W725" s="8">
        <f>+VLOOKUP($B725,NIFTY_IT!$B$63:$K$1238,10,0)</f>
        <v>-5.471934042427129E-2</v>
      </c>
      <c r="X725" s="8">
        <f>+VLOOKUP($B725,NIFTY_PHARMA!$B$63:$K$1238,10,0)</f>
        <v>-1.3434546862896912E-2</v>
      </c>
      <c r="Y725" s="8">
        <f>+VLOOKUP($B725,NIFTY_FMCG!$B$63:$K$1238,10,0)</f>
        <v>6.0218675555633094E-2</v>
      </c>
      <c r="Z725" s="8">
        <f>+VLOOKUP($B725,NIFTY_METAL!$B$63:$K$1238,10,0)</f>
        <v>8.2283581456504162E-2</v>
      </c>
      <c r="AA725" s="8">
        <f>+VLOOKUP($B725,NIFTY_ENERGY!$B$63:$K$1238,10,0)</f>
        <v>9.314390668475947E-2</v>
      </c>
      <c r="AB725" s="8">
        <f>+VLOOKUP($B725,NIFTY_AUTO!$B$63:$K$1238,10,0)</f>
        <v>0.10712500615984633</v>
      </c>
      <c r="AC725" s="8"/>
      <c r="AD725" s="16">
        <f t="shared" si="412"/>
        <v>7.9440918222621171E-2</v>
      </c>
      <c r="AE725" s="8">
        <f t="shared" si="413"/>
        <v>0.13392440823837648</v>
      </c>
      <c r="AF725" s="8">
        <f t="shared" si="414"/>
        <v>8.8755656485540096E-2</v>
      </c>
      <c r="AG725" s="8">
        <f t="shared" si="415"/>
        <v>9.254048281823149E-2</v>
      </c>
      <c r="AH725" s="8">
        <f t="shared" si="416"/>
        <v>7.8811053064003198E-2</v>
      </c>
      <c r="AI725" s="8">
        <f t="shared" si="417"/>
        <v>0.14494925673619319</v>
      </c>
      <c r="AJ725" s="8">
        <f t="shared" si="418"/>
        <v>7.9721986005126158E-2</v>
      </c>
      <c r="AK725" s="8">
        <f t="shared" si="419"/>
        <v>0.15061437287296522</v>
      </c>
      <c r="AL725" s="9">
        <v>0</v>
      </c>
      <c r="AM725" s="17">
        <f t="shared" si="396"/>
        <v>12.587971317220315</v>
      </c>
      <c r="AN725" s="13">
        <f t="shared" si="397"/>
        <v>7.4668987763609671</v>
      </c>
      <c r="AO725" s="13">
        <f t="shared" si="398"/>
        <v>11.26688753818094</v>
      </c>
      <c r="AP725" s="13">
        <f t="shared" si="399"/>
        <v>10.806081506665633</v>
      </c>
      <c r="AQ725" s="13">
        <f t="shared" si="400"/>
        <v>12.688575537594842</v>
      </c>
      <c r="AR725" s="13">
        <f t="shared" si="401"/>
        <v>6.8989660417506951</v>
      </c>
      <c r="AS725" s="13">
        <f t="shared" si="402"/>
        <v>12.543591173653144</v>
      </c>
      <c r="AT725" s="13">
        <f t="shared" si="403"/>
        <v>6.6394725876755727</v>
      </c>
      <c r="AU725" s="9">
        <v>0</v>
      </c>
      <c r="AV725" s="18">
        <f t="shared" si="420"/>
        <v>2</v>
      </c>
      <c r="AW725" s="18">
        <f t="shared" si="421"/>
        <v>6</v>
      </c>
      <c r="AX725" s="18">
        <f t="shared" si="422"/>
        <v>4</v>
      </c>
      <c r="AY725" s="18">
        <f t="shared" si="423"/>
        <v>5</v>
      </c>
      <c r="AZ725" s="18">
        <f t="shared" si="424"/>
        <v>1</v>
      </c>
      <c r="BA725" s="18">
        <f t="shared" si="425"/>
        <v>7</v>
      </c>
      <c r="BB725" s="18">
        <f t="shared" si="426"/>
        <v>3</v>
      </c>
      <c r="BC725" s="18">
        <f t="shared" si="427"/>
        <v>8</v>
      </c>
      <c r="BD725" s="18">
        <f t="shared" si="428"/>
        <v>9</v>
      </c>
      <c r="BE725" s="8">
        <f t="shared" si="430"/>
        <v>-1.0504361078655404E-3</v>
      </c>
    </row>
    <row r="726" spans="1:57" x14ac:dyDescent="0.25">
      <c r="A726" t="str">
        <f t="shared" si="429"/>
        <v/>
      </c>
      <c r="B726" s="1">
        <v>43809</v>
      </c>
      <c r="C726" s="9">
        <f t="shared" si="404"/>
        <v>0.25110384898838717</v>
      </c>
      <c r="D726" s="9">
        <f t="shared" si="405"/>
        <v>0</v>
      </c>
      <c r="E726" s="9">
        <f t="shared" si="406"/>
        <v>0.2544468496257149</v>
      </c>
      <c r="F726" s="9">
        <f t="shared" si="407"/>
        <v>0</v>
      </c>
      <c r="G726" s="9">
        <f t="shared" si="408"/>
        <v>0.24776908611883461</v>
      </c>
      <c r="H726" s="9">
        <f t="shared" si="409"/>
        <v>0</v>
      </c>
      <c r="I726" s="9">
        <f t="shared" si="410"/>
        <v>0.24668021526706332</v>
      </c>
      <c r="J726" s="9">
        <f t="shared" si="411"/>
        <v>0</v>
      </c>
      <c r="K726" s="9">
        <v>0</v>
      </c>
      <c r="L726" s="8">
        <f>+VLOOKUP($B726,NIFTY_50!$B$3:$I$1238,8,0)</f>
        <v>-6.7602094240838406E-3</v>
      </c>
      <c r="M726" s="8">
        <f>+VLOOKUP($B726,NIFTY_BANK!$B$3:$I$41238,8,0)</f>
        <v>-4.9909552905563759E-3</v>
      </c>
      <c r="N726" s="8">
        <f>+VLOOKUP($B726,NIFTY_IT!$B$3:$I$1238,8,0)</f>
        <v>-1.3894432660493616E-2</v>
      </c>
      <c r="O726" s="8">
        <f>+VLOOKUP($B726,NIFTY_PHARMA!$B$3:$I$1238,8,0)</f>
        <v>-2.4936089493552416E-3</v>
      </c>
      <c r="P726" s="8">
        <f>+VLOOKUP($B726,NIFTY_FMCG!$B$3:$I$1238,8,0)</f>
        <v>-1.0403292181069945E-2</v>
      </c>
      <c r="Q726" s="8">
        <f>+VLOOKUP($B726,NIFTY_METAL!$B$3:$I$1238,8,0)</f>
        <v>-1.4029862444644658E-2</v>
      </c>
      <c r="R726" s="8">
        <f>+VLOOKUP($B726,NIFTY_ENERGY!$B$3:$I$1238,8,0)</f>
        <v>-1.6792577035202649E-2</v>
      </c>
      <c r="S726" s="8">
        <f>+VLOOKUP($B726,NIFTY_AUTO!$B$3:$I$1238,8,0)</f>
        <v>-7.8783716760139066E-3</v>
      </c>
      <c r="T726" s="8">
        <v>0</v>
      </c>
      <c r="U726" s="8">
        <f>+VLOOKUP($B726,NIFTY_50!$B$63:$K$1238,10,0)</f>
        <v>7.7592122184303447E-2</v>
      </c>
      <c r="V726" s="8">
        <f>+VLOOKUP($B726,NIFTY_BANK!$B$63:$K$1238,10,0)</f>
        <v>0.13291207123159166</v>
      </c>
      <c r="W726" s="8">
        <f>+VLOOKUP($B726,NIFTY_IT!$B$63:$K$1238,10,0)</f>
        <v>-6.1110971519027113E-2</v>
      </c>
      <c r="X726" s="8">
        <f>+VLOOKUP($B726,NIFTY_PHARMA!$B$63:$K$1238,10,0)</f>
        <v>-1.7009371247477589E-2</v>
      </c>
      <c r="Y726" s="8">
        <f>+VLOOKUP($B726,NIFTY_FMCG!$B$63:$K$1238,10,0)</f>
        <v>4.2063534709739558E-2</v>
      </c>
      <c r="Z726" s="8">
        <f>+VLOOKUP($B726,NIFTY_METAL!$B$63:$K$1238,10,0)</f>
        <v>6.603673650981956E-2</v>
      </c>
      <c r="AA726" s="8">
        <f>+VLOOKUP($B726,NIFTY_ENERGY!$B$63:$K$1238,10,0)</f>
        <v>7.2842449471023363E-2</v>
      </c>
      <c r="AB726" s="8">
        <f>+VLOOKUP($B726,NIFTY_AUTO!$B$63:$K$1238,10,0)</f>
        <v>8.87604932068915E-2</v>
      </c>
      <c r="AC726" s="8"/>
      <c r="AD726" s="16">
        <f t="shared" si="412"/>
        <v>7.9765041827650568E-2</v>
      </c>
      <c r="AE726" s="8">
        <f t="shared" si="413"/>
        <v>0.13393449995325699</v>
      </c>
      <c r="AF726" s="8">
        <f t="shared" si="414"/>
        <v>8.9480756186306229E-2</v>
      </c>
      <c r="AG726" s="8">
        <f t="shared" si="415"/>
        <v>9.2560027838295089E-2</v>
      </c>
      <c r="AH726" s="8">
        <f t="shared" si="416"/>
        <v>7.9388802066240299E-2</v>
      </c>
      <c r="AI726" s="8">
        <f t="shared" si="417"/>
        <v>0.14576194987283617</v>
      </c>
      <c r="AJ726" s="8">
        <f t="shared" si="418"/>
        <v>8.1761340125949239E-2</v>
      </c>
      <c r="AK726" s="8">
        <f t="shared" si="419"/>
        <v>0.15075037547670006</v>
      </c>
      <c r="AL726" s="9">
        <v>0</v>
      </c>
      <c r="AM726" s="17">
        <f t="shared" si="396"/>
        <v>12.536820354970963</v>
      </c>
      <c r="AN726" s="13">
        <f t="shared" si="397"/>
        <v>7.4663361594585345</v>
      </c>
      <c r="AO726" s="13">
        <f t="shared" si="398"/>
        <v>11.175587272842424</v>
      </c>
      <c r="AP726" s="13">
        <f t="shared" si="399"/>
        <v>10.8037996892895</v>
      </c>
      <c r="AQ726" s="13">
        <f t="shared" si="400"/>
        <v>12.596234909371999</v>
      </c>
      <c r="AR726" s="13">
        <f t="shared" si="401"/>
        <v>6.8605009803478039</v>
      </c>
      <c r="AS726" s="13">
        <f t="shared" si="402"/>
        <v>12.230719291777143</v>
      </c>
      <c r="AT726" s="13">
        <f t="shared" si="403"/>
        <v>6.6334826486356562</v>
      </c>
      <c r="AU726" s="9">
        <v>0</v>
      </c>
      <c r="AV726" s="18">
        <f t="shared" si="420"/>
        <v>2</v>
      </c>
      <c r="AW726" s="18">
        <f t="shared" si="421"/>
        <v>6</v>
      </c>
      <c r="AX726" s="18">
        <f t="shared" si="422"/>
        <v>4</v>
      </c>
      <c r="AY726" s="18">
        <f t="shared" si="423"/>
        <v>5</v>
      </c>
      <c r="AZ726" s="18">
        <f t="shared" si="424"/>
        <v>1</v>
      </c>
      <c r="BA726" s="18">
        <f t="shared" si="425"/>
        <v>7</v>
      </c>
      <c r="BB726" s="18">
        <f t="shared" si="426"/>
        <v>3</v>
      </c>
      <c r="BC726" s="18">
        <f t="shared" si="427"/>
        <v>8</v>
      </c>
      <c r="BD726" s="18">
        <f t="shared" si="428"/>
        <v>9</v>
      </c>
      <c r="BE726" s="8">
        <f t="shared" si="430"/>
        <v>-1.1967187014666312E-2</v>
      </c>
    </row>
    <row r="727" spans="1:57" x14ac:dyDescent="0.25">
      <c r="A727" t="str">
        <f t="shared" si="429"/>
        <v/>
      </c>
      <c r="B727" s="1">
        <v>43810</v>
      </c>
      <c r="C727" s="9">
        <f t="shared" si="404"/>
        <v>0.25048074589855074</v>
      </c>
      <c r="D727" s="9">
        <f t="shared" si="405"/>
        <v>0</v>
      </c>
      <c r="E727" s="9">
        <f t="shared" si="406"/>
        <v>0.25578489794619697</v>
      </c>
      <c r="F727" s="9">
        <f t="shared" si="407"/>
        <v>0</v>
      </c>
      <c r="G727" s="9">
        <f t="shared" si="408"/>
        <v>0.24640282091893628</v>
      </c>
      <c r="H727" s="9">
        <f t="shared" si="409"/>
        <v>0</v>
      </c>
      <c r="I727" s="9">
        <f t="shared" si="410"/>
        <v>0.24733153523631618</v>
      </c>
      <c r="J727" s="9">
        <f t="shared" si="411"/>
        <v>0</v>
      </c>
      <c r="K727" s="9">
        <v>0</v>
      </c>
      <c r="L727" s="8">
        <f>+VLOOKUP($B727,NIFTY_50!$B$3:$I$1238,8,0)</f>
        <v>4.4995276971864229E-3</v>
      </c>
      <c r="M727" s="8">
        <f>+VLOOKUP($B727,NIFTY_BANK!$B$3:$I$41238,8,0)</f>
        <v>3.0936751352279579E-3</v>
      </c>
      <c r="N727" s="8">
        <f>+VLOOKUP($B727,NIFTY_IT!$B$3:$I$1238,8,0)</f>
        <v>1.2293806932034412E-2</v>
      </c>
      <c r="O727" s="8">
        <f>+VLOOKUP($B727,NIFTY_PHARMA!$B$3:$I$1238,8,0)</f>
        <v>3.4443674831559079E-3</v>
      </c>
      <c r="P727" s="8">
        <f>+VLOOKUP($B727,NIFTY_FMCG!$B$3:$I$1238,8,0)</f>
        <v>1.4454905352805358E-3</v>
      </c>
      <c r="Q727" s="8">
        <f>+VLOOKUP($B727,NIFTY_METAL!$B$3:$I$1238,8,0)</f>
        <v>-2.5239476926744997E-3</v>
      </c>
      <c r="R727" s="8">
        <f>+VLOOKUP($B727,NIFTY_ENERGY!$B$3:$I$1238,8,0)</f>
        <v>9.6571689095912294E-3</v>
      </c>
      <c r="S727" s="8">
        <f>+VLOOKUP($B727,NIFTY_AUTO!$B$3:$I$1238,8,0)</f>
        <v>4.7491780268797967E-3</v>
      </c>
      <c r="T727" s="8">
        <v>0</v>
      </c>
      <c r="U727" s="8">
        <f>+VLOOKUP($B727,NIFTY_50!$B$63:$K$1238,10,0)</f>
        <v>7.923829027610374E-2</v>
      </c>
      <c r="V727" s="8">
        <f>+VLOOKUP($B727,NIFTY_BANK!$B$63:$K$1238,10,0)</f>
        <v>0.12530691743291023</v>
      </c>
      <c r="W727" s="8">
        <f>+VLOOKUP($B727,NIFTY_IT!$B$63:$K$1238,10,0)</f>
        <v>-3.6397100969315588E-2</v>
      </c>
      <c r="X727" s="8">
        <f>+VLOOKUP($B727,NIFTY_PHARMA!$B$63:$K$1238,10,0)</f>
        <v>-1.4233752737260019E-2</v>
      </c>
      <c r="Y727" s="8">
        <f>+VLOOKUP($B727,NIFTY_FMCG!$B$63:$K$1238,10,0)</f>
        <v>4.6701333653229371E-2</v>
      </c>
      <c r="Z727" s="8">
        <f>+VLOOKUP($B727,NIFTY_METAL!$B$63:$K$1238,10,0)</f>
        <v>3.9344805450290954E-2</v>
      </c>
      <c r="AA727" s="8">
        <f>+VLOOKUP($B727,NIFTY_ENERGY!$B$63:$K$1238,10,0)</f>
        <v>8.5635340175932884E-2</v>
      </c>
      <c r="AB727" s="8">
        <f>+VLOOKUP($B727,NIFTY_AUTO!$B$63:$K$1238,10,0)</f>
        <v>5.5875855380138839E-2</v>
      </c>
      <c r="AC727" s="8"/>
      <c r="AD727" s="16">
        <f t="shared" si="412"/>
        <v>7.9811969198078869E-2</v>
      </c>
      <c r="AE727" s="8">
        <f t="shared" si="413"/>
        <v>0.13371427570306854</v>
      </c>
      <c r="AF727" s="8">
        <f t="shared" si="414"/>
        <v>8.9500091875110002E-2</v>
      </c>
      <c r="AG727" s="8">
        <f t="shared" si="415"/>
        <v>9.2627750288139118E-2</v>
      </c>
      <c r="AH727" s="8">
        <f t="shared" si="416"/>
        <v>7.9302899746648614E-2</v>
      </c>
      <c r="AI727" s="8">
        <f t="shared" si="417"/>
        <v>0.14412311615939991</v>
      </c>
      <c r="AJ727" s="8">
        <f t="shared" si="418"/>
        <v>8.2110281378865516E-2</v>
      </c>
      <c r="AK727" s="8">
        <f t="shared" si="419"/>
        <v>0.14673731704617979</v>
      </c>
      <c r="AL727" s="9">
        <v>0</v>
      </c>
      <c r="AM727" s="17">
        <f t="shared" si="396"/>
        <v>12.529449029357751</v>
      </c>
      <c r="AN727" s="13">
        <f t="shared" si="397"/>
        <v>7.4786330385593338</v>
      </c>
      <c r="AO727" s="13">
        <f t="shared" si="398"/>
        <v>11.173172887860467</v>
      </c>
      <c r="AP727" s="13">
        <f t="shared" si="399"/>
        <v>10.795900762884543</v>
      </c>
      <c r="AQ727" s="13">
        <f t="shared" si="400"/>
        <v>12.609879376349799</v>
      </c>
      <c r="AR727" s="13">
        <f t="shared" si="401"/>
        <v>6.9385122015680105</v>
      </c>
      <c r="AS727" s="13">
        <f t="shared" si="402"/>
        <v>12.178742822544894</v>
      </c>
      <c r="AT727" s="13">
        <f t="shared" si="403"/>
        <v>6.8148990327067889</v>
      </c>
      <c r="AU727" s="9">
        <v>0</v>
      </c>
      <c r="AV727" s="18">
        <f t="shared" si="420"/>
        <v>2</v>
      </c>
      <c r="AW727" s="18">
        <f t="shared" si="421"/>
        <v>6</v>
      </c>
      <c r="AX727" s="18">
        <f t="shared" si="422"/>
        <v>4</v>
      </c>
      <c r="AY727" s="18">
        <f t="shared" si="423"/>
        <v>5</v>
      </c>
      <c r="AZ727" s="18">
        <f t="shared" si="424"/>
        <v>1</v>
      </c>
      <c r="BA727" s="18">
        <f t="shared" si="425"/>
        <v>7</v>
      </c>
      <c r="BB727" s="18">
        <f t="shared" si="426"/>
        <v>3</v>
      </c>
      <c r="BC727" s="18">
        <f t="shared" si="427"/>
        <v>8</v>
      </c>
      <c r="BD727" s="18">
        <f t="shared" si="428"/>
        <v>9</v>
      </c>
      <c r="BE727" s="8">
        <f t="shared" si="430"/>
        <v>6.9983495415645363E-3</v>
      </c>
    </row>
    <row r="728" spans="1:57" x14ac:dyDescent="0.25">
      <c r="A728" t="str">
        <f t="shared" si="429"/>
        <v/>
      </c>
      <c r="B728" s="1">
        <v>43811</v>
      </c>
      <c r="C728" s="9">
        <f t="shared" si="404"/>
        <v>0.25140816112040382</v>
      </c>
      <c r="D728" s="9">
        <f t="shared" si="405"/>
        <v>0</v>
      </c>
      <c r="E728" s="9">
        <f t="shared" si="406"/>
        <v>0.25274864416790732</v>
      </c>
      <c r="F728" s="9">
        <f t="shared" si="407"/>
        <v>0</v>
      </c>
      <c r="G728" s="9">
        <f t="shared" si="408"/>
        <v>0.24706733390248606</v>
      </c>
      <c r="H728" s="9">
        <f t="shared" si="409"/>
        <v>0</v>
      </c>
      <c r="I728" s="9">
        <f t="shared" si="410"/>
        <v>0.24877586080920291</v>
      </c>
      <c r="J728" s="9">
        <f t="shared" si="411"/>
        <v>0</v>
      </c>
      <c r="K728" s="9">
        <v>0</v>
      </c>
      <c r="L728" s="8">
        <f>+VLOOKUP($B728,NIFTY_50!$B$3:$I$1238,8,0)</f>
        <v>5.1762572259794748E-3</v>
      </c>
      <c r="M728" s="8">
        <f>+VLOOKUP($B728,NIFTY_BANK!$B$3:$I$41238,8,0)</f>
        <v>1.3075575675653983E-2</v>
      </c>
      <c r="N728" s="8">
        <f>+VLOOKUP($B728,NIFTY_IT!$B$3:$I$1238,8,0)</f>
        <v>-1.041948936901449E-2</v>
      </c>
      <c r="O728" s="8">
        <f>+VLOOKUP($B728,NIFTY_PHARMA!$B$3:$I$1238,8,0)</f>
        <v>9.7265887284525565E-3</v>
      </c>
      <c r="P728" s="8">
        <f>+VLOOKUP($B728,NIFTY_FMCG!$B$3:$I$1238,8,0)</f>
        <v>4.1690958709341697E-3</v>
      </c>
      <c r="Q728" s="8">
        <f>+VLOOKUP($B728,NIFTY_METAL!$B$3:$I$1238,8,0)</f>
        <v>2.360981052379918E-2</v>
      </c>
      <c r="R728" s="8">
        <f>+VLOOKUP($B728,NIFTY_ENERGY!$B$3:$I$1238,8,0)</f>
        <v>7.3164878332208083E-3</v>
      </c>
      <c r="S728" s="8">
        <f>+VLOOKUP($B728,NIFTY_AUTO!$B$3:$I$1238,8,0)</f>
        <v>1.3178709940804278E-2</v>
      </c>
      <c r="T728" s="8">
        <v>0</v>
      </c>
      <c r="U728" s="8">
        <f>+VLOOKUP($B728,NIFTY_50!$B$63:$K$1238,10,0)</f>
        <v>9.0049896201332968E-2</v>
      </c>
      <c r="V728" s="8">
        <f>+VLOOKUP($B728,NIFTY_BANK!$B$63:$K$1238,10,0)</f>
        <v>0.13828747056814716</v>
      </c>
      <c r="W728" s="8">
        <f>+VLOOKUP($B728,NIFTY_IT!$B$63:$K$1238,10,0)</f>
        <v>-3.9183097235814146E-2</v>
      </c>
      <c r="X728" s="8">
        <f>+VLOOKUP($B728,NIFTY_PHARMA!$B$63:$K$1238,10,0)</f>
        <v>-7.010484871299516E-3</v>
      </c>
      <c r="Y728" s="8">
        <f>+VLOOKUP($B728,NIFTY_FMCG!$B$63:$K$1238,10,0)</f>
        <v>5.7838615302780116E-2</v>
      </c>
      <c r="Z728" s="8">
        <f>+VLOOKUP($B728,NIFTY_METAL!$B$63:$K$1238,10,0)</f>
        <v>6.5626814900854757E-2</v>
      </c>
      <c r="AA728" s="8">
        <f>+VLOOKUP($B728,NIFTY_ENERGY!$B$63:$K$1238,10,0)</f>
        <v>0.10727785819162561</v>
      </c>
      <c r="AB728" s="8">
        <f>+VLOOKUP($B728,NIFTY_AUTO!$B$63:$K$1238,10,0)</f>
        <v>9.0293794618341527E-2</v>
      </c>
      <c r="AC728" s="8"/>
      <c r="AD728" s="16">
        <f t="shared" si="412"/>
        <v>7.9662856103252536E-2</v>
      </c>
      <c r="AE728" s="8">
        <f t="shared" si="413"/>
        <v>0.13415626330935229</v>
      </c>
      <c r="AF728" s="8">
        <f t="shared" si="414"/>
        <v>8.9769630684339533E-2</v>
      </c>
      <c r="AG728" s="8">
        <f t="shared" si="415"/>
        <v>9.3114810475677323E-2</v>
      </c>
      <c r="AH728" s="8">
        <f t="shared" si="416"/>
        <v>7.9035422729166596E-2</v>
      </c>
      <c r="AI728" s="8">
        <f t="shared" si="417"/>
        <v>0.14586052626855364</v>
      </c>
      <c r="AJ728" s="8">
        <f t="shared" si="418"/>
        <v>8.1123135829546986E-2</v>
      </c>
      <c r="AK728" s="8">
        <f t="shared" si="419"/>
        <v>0.14583246398527444</v>
      </c>
      <c r="AL728" s="9">
        <v>0</v>
      </c>
      <c r="AM728" s="17">
        <f t="shared" si="396"/>
        <v>12.552901677337315</v>
      </c>
      <c r="AN728" s="13">
        <f t="shared" si="397"/>
        <v>7.4539941358838373</v>
      </c>
      <c r="AO728" s="13">
        <f t="shared" si="398"/>
        <v>11.139624752566256</v>
      </c>
      <c r="AP728" s="13">
        <f t="shared" si="399"/>
        <v>10.739430117416301</v>
      </c>
      <c r="AQ728" s="13">
        <f t="shared" si="400"/>
        <v>12.652554582098389</v>
      </c>
      <c r="AR728" s="13">
        <f t="shared" si="401"/>
        <v>6.85586447260469</v>
      </c>
      <c r="AS728" s="13">
        <f t="shared" si="402"/>
        <v>12.326939655059242</v>
      </c>
      <c r="AT728" s="13">
        <f t="shared" si="403"/>
        <v>6.8571837344871023</v>
      </c>
      <c r="AU728" s="9">
        <v>0</v>
      </c>
      <c r="AV728" s="18">
        <f t="shared" si="420"/>
        <v>2</v>
      </c>
      <c r="AW728" s="18">
        <f t="shared" si="421"/>
        <v>6</v>
      </c>
      <c r="AX728" s="18">
        <f t="shared" si="422"/>
        <v>4</v>
      </c>
      <c r="AY728" s="18">
        <f t="shared" si="423"/>
        <v>5</v>
      </c>
      <c r="AZ728" s="18">
        <f t="shared" si="424"/>
        <v>1</v>
      </c>
      <c r="BA728" s="18">
        <f t="shared" si="425"/>
        <v>8</v>
      </c>
      <c r="BB728" s="18">
        <f t="shared" si="426"/>
        <v>3</v>
      </c>
      <c r="BC728" s="18">
        <f t="shared" si="427"/>
        <v>7</v>
      </c>
      <c r="BD728" s="18">
        <f t="shared" si="428"/>
        <v>9</v>
      </c>
      <c r="BE728" s="8">
        <f t="shared" si="430"/>
        <v>1.4682798976292464E-3</v>
      </c>
    </row>
    <row r="729" spans="1:57" x14ac:dyDescent="0.25">
      <c r="A729" t="str">
        <f t="shared" si="429"/>
        <v/>
      </c>
      <c r="B729" s="1">
        <v>43812</v>
      </c>
      <c r="C729" s="9">
        <f t="shared" si="404"/>
        <v>0.25137696380236763</v>
      </c>
      <c r="D729" s="9">
        <f t="shared" si="405"/>
        <v>0</v>
      </c>
      <c r="E729" s="9">
        <f t="shared" si="406"/>
        <v>0.25412493423907023</v>
      </c>
      <c r="F729" s="9">
        <f t="shared" si="407"/>
        <v>0</v>
      </c>
      <c r="G729" s="9">
        <f t="shared" si="408"/>
        <v>0.24629345897963431</v>
      </c>
      <c r="H729" s="9">
        <f t="shared" si="409"/>
        <v>0</v>
      </c>
      <c r="I729" s="9">
        <f t="shared" si="410"/>
        <v>0.24820464297892783</v>
      </c>
      <c r="J729" s="9">
        <f t="shared" si="411"/>
        <v>0</v>
      </c>
      <c r="K729" s="9">
        <v>0</v>
      </c>
      <c r="L729" s="8">
        <f>+VLOOKUP($B729,NIFTY_50!$B$3:$I$1238,8,0)</f>
        <v>9.5975542524935342E-3</v>
      </c>
      <c r="M729" s="8">
        <f>+VLOOKUP($B729,NIFTY_BANK!$B$3:$I$41238,8,0)</f>
        <v>1.1015160056149442E-2</v>
      </c>
      <c r="N729" s="8">
        <f>+VLOOKUP($B729,NIFTY_IT!$B$3:$I$1238,8,0)</f>
        <v>1.5221086447622767E-2</v>
      </c>
      <c r="O729" s="8">
        <f>+VLOOKUP($B729,NIFTY_PHARMA!$B$3:$I$1238,8,0)</f>
        <v>-3.728862013463452E-5</v>
      </c>
      <c r="P729" s="8">
        <f>+VLOOKUP($B729,NIFTY_FMCG!$B$3:$I$1238,8,0)</f>
        <v>6.5601537649757624E-3</v>
      </c>
      <c r="Q729" s="8">
        <f>+VLOOKUP($B729,NIFTY_METAL!$B$3:$I$1238,8,0)</f>
        <v>2.2559171597632988E-2</v>
      </c>
      <c r="R729" s="8">
        <f>+VLOOKUP($B729,NIFTY_ENERGY!$B$3:$I$1238,8,0)</f>
        <v>7.4044119260561203E-3</v>
      </c>
      <c r="S729" s="8">
        <f>+VLOOKUP($B729,NIFTY_AUTO!$B$3:$I$1238,8,0)</f>
        <v>1.6117455960310778E-2</v>
      </c>
      <c r="T729" s="8">
        <v>0</v>
      </c>
      <c r="U729" s="8">
        <f>+VLOOKUP($B729,NIFTY_50!$B$63:$K$1238,10,0)</f>
        <v>9.1261206764235991E-2</v>
      </c>
      <c r="V729" s="8">
        <f>+VLOOKUP($B729,NIFTY_BANK!$B$63:$K$1238,10,0)</f>
        <v>0.13934783575781839</v>
      </c>
      <c r="W729" s="8">
        <f>+VLOOKUP($B729,NIFTY_IT!$B$63:$K$1238,10,0)</f>
        <v>-3.3222242716038464E-2</v>
      </c>
      <c r="X729" s="8">
        <f>+VLOOKUP($B729,NIFTY_PHARMA!$B$63:$K$1238,10,0)</f>
        <v>1.4938286205115059E-3</v>
      </c>
      <c r="Y729" s="8">
        <f>+VLOOKUP($B729,NIFTY_FMCG!$B$63:$K$1238,10,0)</f>
        <v>6.4150699232828678E-2</v>
      </c>
      <c r="Z729" s="8">
        <f>+VLOOKUP($B729,NIFTY_METAL!$B$63:$K$1238,10,0)</f>
        <v>7.4730984820588375E-2</v>
      </c>
      <c r="AA729" s="8">
        <f>+VLOOKUP($B729,NIFTY_ENERGY!$B$63:$K$1238,10,0)</f>
        <v>9.1049524178133501E-2</v>
      </c>
      <c r="AB729" s="8">
        <f>+VLOOKUP($B729,NIFTY_AUTO!$B$63:$K$1238,10,0)</f>
        <v>9.6337255115072074E-2</v>
      </c>
      <c r="AC729" s="8"/>
      <c r="AD729" s="16">
        <f t="shared" si="412"/>
        <v>7.9769169272829302E-2</v>
      </c>
      <c r="AE729" s="8">
        <f t="shared" si="413"/>
        <v>0.13421423433103483</v>
      </c>
      <c r="AF729" s="8">
        <f t="shared" si="414"/>
        <v>9.0645919487589266E-2</v>
      </c>
      <c r="AG729" s="8">
        <f t="shared" si="415"/>
        <v>9.2721088639427171E-2</v>
      </c>
      <c r="AH729" s="8">
        <f t="shared" si="416"/>
        <v>7.922807345023189E-2</v>
      </c>
      <c r="AI729" s="8">
        <f t="shared" si="417"/>
        <v>0.14686318551286029</v>
      </c>
      <c r="AJ729" s="8">
        <f t="shared" si="418"/>
        <v>7.8629328463899723E-2</v>
      </c>
      <c r="AK729" s="8">
        <f t="shared" si="419"/>
        <v>0.14628051687172419</v>
      </c>
      <c r="AL729" s="9">
        <v>0</v>
      </c>
      <c r="AM729" s="17">
        <f t="shared" si="396"/>
        <v>12.53617167028235</v>
      </c>
      <c r="AN729" s="13">
        <f t="shared" si="397"/>
        <v>7.450774539558406</v>
      </c>
      <c r="AO729" s="13">
        <f t="shared" si="398"/>
        <v>11.031936193629923</v>
      </c>
      <c r="AP729" s="13">
        <f t="shared" si="399"/>
        <v>10.785032991672368</v>
      </c>
      <c r="AQ729" s="13">
        <f t="shared" si="400"/>
        <v>12.621788672271105</v>
      </c>
      <c r="AR729" s="13">
        <f t="shared" si="401"/>
        <v>6.8090583525606121</v>
      </c>
      <c r="AS729" s="13">
        <f t="shared" si="402"/>
        <v>12.717900807955136</v>
      </c>
      <c r="AT729" s="13">
        <f t="shared" si="403"/>
        <v>6.8361803840009436</v>
      </c>
      <c r="AU729" s="9">
        <v>0</v>
      </c>
      <c r="AV729" s="18">
        <f t="shared" si="420"/>
        <v>3</v>
      </c>
      <c r="AW729" s="18">
        <f t="shared" si="421"/>
        <v>6</v>
      </c>
      <c r="AX729" s="18">
        <f t="shared" si="422"/>
        <v>4</v>
      </c>
      <c r="AY729" s="18">
        <f t="shared" si="423"/>
        <v>5</v>
      </c>
      <c r="AZ729" s="18">
        <f t="shared" si="424"/>
        <v>2</v>
      </c>
      <c r="BA729" s="18">
        <f t="shared" si="425"/>
        <v>8</v>
      </c>
      <c r="BB729" s="18">
        <f t="shared" si="426"/>
        <v>1</v>
      </c>
      <c r="BC729" s="18">
        <f t="shared" si="427"/>
        <v>7</v>
      </c>
      <c r="BD729" s="18">
        <f t="shared" si="428"/>
        <v>9</v>
      </c>
      <c r="BE729" s="8">
        <f t="shared" si="430"/>
        <v>9.722851079665331E-3</v>
      </c>
    </row>
    <row r="730" spans="1:57" x14ac:dyDescent="0.25">
      <c r="A730" t="str">
        <f t="shared" si="429"/>
        <v/>
      </c>
      <c r="B730" s="1">
        <v>43815</v>
      </c>
      <c r="C730" s="9">
        <f t="shared" si="404"/>
        <v>0.25138833987450954</v>
      </c>
      <c r="D730" s="9">
        <f t="shared" si="405"/>
        <v>0</v>
      </c>
      <c r="E730" s="9">
        <f t="shared" si="406"/>
        <v>0.25731138357453737</v>
      </c>
      <c r="F730" s="9">
        <f t="shared" si="407"/>
        <v>0</v>
      </c>
      <c r="G730" s="9">
        <f t="shared" si="408"/>
        <v>0.24386372465609396</v>
      </c>
      <c r="H730" s="9">
        <f t="shared" si="409"/>
        <v>0</v>
      </c>
      <c r="I730" s="9">
        <f t="shared" si="410"/>
        <v>0.24743655189485914</v>
      </c>
      <c r="J730" s="9">
        <f t="shared" si="411"/>
        <v>0</v>
      </c>
      <c r="K730" s="9">
        <v>0</v>
      </c>
      <c r="L730" s="8">
        <f>+VLOOKUP($B730,NIFTY_50!$B$3:$I$1238,8,0)</f>
        <v>-2.7095898797852014E-3</v>
      </c>
      <c r="M730" s="8">
        <f>+VLOOKUP($B730,NIFTY_BANK!$B$3:$I$41238,8,0)</f>
        <v>-1.2510054116525726E-3</v>
      </c>
      <c r="N730" s="8">
        <f>+VLOOKUP($B730,NIFTY_IT!$B$3:$I$1238,8,0)</f>
        <v>9.7496472167126758E-3</v>
      </c>
      <c r="O730" s="8">
        <f>+VLOOKUP($B730,NIFTY_PHARMA!$B$3:$I$1238,8,0)</f>
        <v>-2.3865606801697359E-3</v>
      </c>
      <c r="P730" s="8">
        <f>+VLOOKUP($B730,NIFTY_FMCG!$B$3:$I$1238,8,0)</f>
        <v>-1.2592744751653617E-2</v>
      </c>
      <c r="Q730" s="8">
        <f>+VLOOKUP($B730,NIFTY_METAL!$B$3:$I$1238,8,0)</f>
        <v>-1.3571904444655947E-2</v>
      </c>
      <c r="R730" s="8">
        <f>+VLOOKUP($B730,NIFTY_ENERGY!$B$3:$I$1238,8,0)</f>
        <v>-5.8407834180250751E-3</v>
      </c>
      <c r="S730" s="8">
        <f>+VLOOKUP($B730,NIFTY_AUTO!$B$3:$I$1238,8,0)</f>
        <v>-9.7773151418267812E-3</v>
      </c>
      <c r="T730" s="8">
        <v>0</v>
      </c>
      <c r="U730" s="8">
        <f>+VLOOKUP($B730,NIFTY_50!$B$63:$K$1238,10,0)</f>
        <v>9.5465079292952337E-2</v>
      </c>
      <c r="V730" s="8">
        <f>+VLOOKUP($B730,NIFTY_BANK!$B$63:$K$1238,10,0)</f>
        <v>0.14788009334051333</v>
      </c>
      <c r="W730" s="8">
        <f>+VLOOKUP($B730,NIFTY_IT!$B$63:$K$1238,10,0)</f>
        <v>-2.5052165545014771E-2</v>
      </c>
      <c r="X730" s="8">
        <f>+VLOOKUP($B730,NIFTY_PHARMA!$B$63:$K$1238,10,0)</f>
        <v>-5.5509779261893044E-3</v>
      </c>
      <c r="Y730" s="8">
        <f>+VLOOKUP($B730,NIFTY_FMCG!$B$63:$K$1238,10,0)</f>
        <v>4.4913787856391219E-2</v>
      </c>
      <c r="Z730" s="8">
        <f>+VLOOKUP($B730,NIFTY_METAL!$B$63:$K$1238,10,0)</f>
        <v>6.1686914834770734E-2</v>
      </c>
      <c r="AA730" s="8">
        <f>+VLOOKUP($B730,NIFTY_ENERGY!$B$63:$K$1238,10,0)</f>
        <v>9.913337851645676E-2</v>
      </c>
      <c r="AB730" s="8">
        <f>+VLOOKUP($B730,NIFTY_AUTO!$B$63:$K$1238,10,0)</f>
        <v>9.453267859711123E-2</v>
      </c>
      <c r="AC730" s="8"/>
      <c r="AD730" s="16">
        <f t="shared" si="412"/>
        <v>7.947411050067385E-2</v>
      </c>
      <c r="AE730" s="8">
        <f t="shared" si="413"/>
        <v>0.13380934643346906</v>
      </c>
      <c r="AF730" s="8">
        <f t="shared" si="414"/>
        <v>9.1198283964641136E-2</v>
      </c>
      <c r="AG730" s="8">
        <f t="shared" si="415"/>
        <v>9.2636450147831589E-2</v>
      </c>
      <c r="AH730" s="8">
        <f t="shared" si="416"/>
        <v>8.0236958160729718E-2</v>
      </c>
      <c r="AI730" s="8">
        <f t="shared" si="417"/>
        <v>0.14758516100335647</v>
      </c>
      <c r="AJ730" s="8">
        <f t="shared" si="418"/>
        <v>7.7596244371429243E-2</v>
      </c>
      <c r="AK730" s="8">
        <f t="shared" si="419"/>
        <v>0.14639907506843883</v>
      </c>
      <c r="AL730" s="9">
        <v>0</v>
      </c>
      <c r="AM730" s="17">
        <f t="shared" si="396"/>
        <v>12.582713964335859</v>
      </c>
      <c r="AN730" s="13">
        <f t="shared" si="397"/>
        <v>7.4733195150699503</v>
      </c>
      <c r="AO730" s="13">
        <f t="shared" si="398"/>
        <v>10.965118602316181</v>
      </c>
      <c r="AP730" s="13">
        <f t="shared" si="399"/>
        <v>10.794886876647094</v>
      </c>
      <c r="AQ730" s="13">
        <f t="shared" si="400"/>
        <v>12.463084629863609</v>
      </c>
      <c r="AR730" s="13">
        <f t="shared" si="401"/>
        <v>6.7757489520051228</v>
      </c>
      <c r="AS730" s="13">
        <f t="shared" si="402"/>
        <v>12.887221644559355</v>
      </c>
      <c r="AT730" s="13">
        <f t="shared" si="403"/>
        <v>6.8306442478036065</v>
      </c>
      <c r="AU730" s="9">
        <v>0</v>
      </c>
      <c r="AV730" s="18">
        <f t="shared" si="420"/>
        <v>2</v>
      </c>
      <c r="AW730" s="18">
        <f t="shared" si="421"/>
        <v>6</v>
      </c>
      <c r="AX730" s="18">
        <f t="shared" si="422"/>
        <v>4</v>
      </c>
      <c r="AY730" s="18">
        <f t="shared" si="423"/>
        <v>5</v>
      </c>
      <c r="AZ730" s="18">
        <f t="shared" si="424"/>
        <v>3</v>
      </c>
      <c r="BA730" s="18">
        <f t="shared" si="425"/>
        <v>8</v>
      </c>
      <c r="BB730" s="18">
        <f t="shared" si="426"/>
        <v>1</v>
      </c>
      <c r="BC730" s="18">
        <f t="shared" si="427"/>
        <v>7</v>
      </c>
      <c r="BD730" s="18">
        <f t="shared" si="428"/>
        <v>9</v>
      </c>
      <c r="BE730" s="8">
        <f t="shared" si="430"/>
        <v>-2.7547202452493443E-3</v>
      </c>
    </row>
    <row r="731" spans="1:57" x14ac:dyDescent="0.25">
      <c r="A731" t="str">
        <f t="shared" si="429"/>
        <v/>
      </c>
      <c r="B731" s="1">
        <v>43816</v>
      </c>
      <c r="C731" s="9">
        <f t="shared" si="404"/>
        <v>0.25161600651746796</v>
      </c>
      <c r="D731" s="9">
        <f t="shared" si="405"/>
        <v>0</v>
      </c>
      <c r="E731" s="9">
        <f t="shared" si="406"/>
        <v>0.25998841566828496</v>
      </c>
      <c r="F731" s="9">
        <f t="shared" si="407"/>
        <v>0</v>
      </c>
      <c r="G731" s="9">
        <f t="shared" si="408"/>
        <v>0.24297500585356108</v>
      </c>
      <c r="H731" s="9">
        <f t="shared" si="409"/>
        <v>0</v>
      </c>
      <c r="I731" s="9">
        <f t="shared" si="410"/>
        <v>0.2454205719606859</v>
      </c>
      <c r="J731" s="9">
        <f t="shared" si="411"/>
        <v>0</v>
      </c>
      <c r="K731" s="9">
        <v>0</v>
      </c>
      <c r="L731" s="8">
        <f>+VLOOKUP($B731,NIFTY_50!$B$3:$I$1238,8,0)</f>
        <v>9.2127476885168758E-3</v>
      </c>
      <c r="M731" s="8">
        <f>+VLOOKUP($B731,NIFTY_BANK!$B$3:$I$41238,8,0)</f>
        <v>5.1932495574555926E-3</v>
      </c>
      <c r="N731" s="8">
        <f>+VLOOKUP($B731,NIFTY_IT!$B$3:$I$1238,8,0)</f>
        <v>1.8789803729945431E-2</v>
      </c>
      <c r="O731" s="8">
        <f>+VLOOKUP($B731,NIFTY_PHARMA!$B$3:$I$1238,8,0)</f>
        <v>-3.27068161004751E-3</v>
      </c>
      <c r="P731" s="8">
        <f>+VLOOKUP($B731,NIFTY_FMCG!$B$3:$I$1238,8,0)</f>
        <v>4.6250220516523832E-3</v>
      </c>
      <c r="Q731" s="8">
        <f>+VLOOKUP($B731,NIFTY_METAL!$B$3:$I$1238,8,0)</f>
        <v>2.8810157848018214E-2</v>
      </c>
      <c r="R731" s="8">
        <f>+VLOOKUP($B731,NIFTY_ENERGY!$B$3:$I$1238,8,0)</f>
        <v>8.4511274429877048E-5</v>
      </c>
      <c r="S731" s="8">
        <f>+VLOOKUP($B731,NIFTY_AUTO!$B$3:$I$1238,8,0)</f>
        <v>6.1445662511887544E-3</v>
      </c>
      <c r="T731" s="8">
        <v>0</v>
      </c>
      <c r="U731" s="8">
        <f>+VLOOKUP($B731,NIFTY_50!$B$63:$K$1238,10,0)</f>
        <v>0.12455627865700336</v>
      </c>
      <c r="V731" s="8">
        <f>+VLOOKUP($B731,NIFTY_BANK!$B$63:$K$1238,10,0)</f>
        <v>0.18459922415620067</v>
      </c>
      <c r="W731" s="8">
        <f>+VLOOKUP($B731,NIFTY_IT!$B$63:$K$1238,10,0)</f>
        <v>7.359693836737069E-4</v>
      </c>
      <c r="X731" s="8">
        <f>+VLOOKUP($B731,NIFTY_PHARMA!$B$63:$K$1238,10,0)</f>
        <v>8.2872754085343558E-3</v>
      </c>
      <c r="Y731" s="8">
        <f>+VLOOKUP($B731,NIFTY_FMCG!$B$63:$K$1238,10,0)</f>
        <v>5.2545221845978984E-2</v>
      </c>
      <c r="Z731" s="8">
        <f>+VLOOKUP($B731,NIFTY_METAL!$B$63:$K$1238,10,0)</f>
        <v>0.12201948776227467</v>
      </c>
      <c r="AA731" s="8">
        <f>+VLOOKUP($B731,NIFTY_ENERGY!$B$63:$K$1238,10,0)</f>
        <v>0.11435427224185002</v>
      </c>
      <c r="AB731" s="8">
        <f>+VLOOKUP($B731,NIFTY_AUTO!$B$63:$K$1238,10,0)</f>
        <v>0.14516255385820598</v>
      </c>
      <c r="AC731" s="8"/>
      <c r="AD731" s="16">
        <f t="shared" si="412"/>
        <v>7.7612125194180356E-2</v>
      </c>
      <c r="AE731" s="8">
        <f t="shared" si="413"/>
        <v>0.13073574649282052</v>
      </c>
      <c r="AF731" s="8">
        <f t="shared" si="414"/>
        <v>9.2851513322027249E-2</v>
      </c>
      <c r="AG731" s="8">
        <f t="shared" si="415"/>
        <v>9.1117496174997953E-2</v>
      </c>
      <c r="AH731" s="8">
        <f t="shared" si="416"/>
        <v>8.0250649848779318E-2</v>
      </c>
      <c r="AI731" s="8">
        <f t="shared" si="417"/>
        <v>0.14741171562729888</v>
      </c>
      <c r="AJ731" s="8">
        <f t="shared" si="418"/>
        <v>7.6092849674409102E-2</v>
      </c>
      <c r="AK731" s="8">
        <f t="shared" si="419"/>
        <v>0.14078738148226946</v>
      </c>
      <c r="AL731" s="9">
        <v>0</v>
      </c>
      <c r="AM731" s="17">
        <f t="shared" si="396"/>
        <v>12.88458468954518</v>
      </c>
      <c r="AN731" s="13">
        <f t="shared" si="397"/>
        <v>7.649017402099096</v>
      </c>
      <c r="AO731" s="13">
        <f t="shared" si="398"/>
        <v>10.76988370164527</v>
      </c>
      <c r="AP731" s="13">
        <f t="shared" si="399"/>
        <v>10.974840639600384</v>
      </c>
      <c r="AQ731" s="13">
        <f t="shared" si="400"/>
        <v>12.460958283632028</v>
      </c>
      <c r="AR731" s="13">
        <f t="shared" si="401"/>
        <v>6.7837213327623198</v>
      </c>
      <c r="AS731" s="13">
        <f t="shared" si="402"/>
        <v>13.141839269771907</v>
      </c>
      <c r="AT731" s="13">
        <f t="shared" si="403"/>
        <v>7.1029092910996319</v>
      </c>
      <c r="AU731" s="9">
        <v>0</v>
      </c>
      <c r="AV731" s="18">
        <f t="shared" si="420"/>
        <v>2</v>
      </c>
      <c r="AW731" s="18">
        <f t="shared" si="421"/>
        <v>6</v>
      </c>
      <c r="AX731" s="18">
        <f t="shared" si="422"/>
        <v>5</v>
      </c>
      <c r="AY731" s="18">
        <f t="shared" si="423"/>
        <v>4</v>
      </c>
      <c r="AZ731" s="18">
        <f t="shared" si="424"/>
        <v>3</v>
      </c>
      <c r="BA731" s="18">
        <f t="shared" si="425"/>
        <v>8</v>
      </c>
      <c r="BB731" s="18">
        <f t="shared" si="426"/>
        <v>1</v>
      </c>
      <c r="BC731" s="18">
        <f t="shared" si="427"/>
        <v>7</v>
      </c>
      <c r="BD731" s="18">
        <f t="shared" si="428"/>
        <v>9</v>
      </c>
      <c r="BE731" s="8">
        <f t="shared" si="430"/>
        <v>8.2995940244189326E-3</v>
      </c>
    </row>
    <row r="732" spans="1:57" x14ac:dyDescent="0.25">
      <c r="A732" t="str">
        <f t="shared" si="429"/>
        <v/>
      </c>
      <c r="B732" s="1">
        <v>43817</v>
      </c>
      <c r="C732" s="9">
        <f t="shared" si="404"/>
        <v>0.2520356653271057</v>
      </c>
      <c r="D732" s="9">
        <f t="shared" si="405"/>
        <v>0</v>
      </c>
      <c r="E732" s="9">
        <f t="shared" si="406"/>
        <v>0.2604333253559179</v>
      </c>
      <c r="F732" s="9">
        <f t="shared" si="407"/>
        <v>0</v>
      </c>
      <c r="G732" s="9">
        <f t="shared" si="408"/>
        <v>0.24312700616862518</v>
      </c>
      <c r="H732" s="9">
        <f t="shared" si="409"/>
        <v>0</v>
      </c>
      <c r="I732" s="9">
        <f t="shared" si="410"/>
        <v>0.24440400314835128</v>
      </c>
      <c r="J732" s="9">
        <f t="shared" si="411"/>
        <v>0</v>
      </c>
      <c r="K732" s="9">
        <v>0</v>
      </c>
      <c r="L732" s="8">
        <f>+VLOOKUP($B732,NIFTY_50!$B$3:$I$1238,8,0)</f>
        <v>4.6568023016850812E-3</v>
      </c>
      <c r="M732" s="8">
        <f>+VLOOKUP($B732,NIFTY_BANK!$B$3:$I$41238,8,0)</f>
        <v>3.2358180163503114E-3</v>
      </c>
      <c r="N732" s="8">
        <f>+VLOOKUP($B732,NIFTY_IT!$B$3:$I$1238,8,0)</f>
        <v>4.7003450117188983E-3</v>
      </c>
      <c r="O732" s="8">
        <f>+VLOOKUP($B732,NIFTY_PHARMA!$B$3:$I$1238,8,0)</f>
        <v>1.1438071903595137E-2</v>
      </c>
      <c r="P732" s="8">
        <f>+VLOOKUP($B732,NIFTY_FMCG!$B$3:$I$1238,8,0)</f>
        <v>3.6114180448312272E-3</v>
      </c>
      <c r="Q732" s="8">
        <f>+VLOOKUP($B732,NIFTY_METAL!$B$3:$I$1238,8,0)</f>
        <v>8.2153240176310316E-3</v>
      </c>
      <c r="R732" s="8">
        <f>+VLOOKUP($B732,NIFTY_ENERGY!$B$3:$I$1238,8,0)</f>
        <v>-1.1705387294959069E-3</v>
      </c>
      <c r="S732" s="8">
        <f>+VLOOKUP($B732,NIFTY_AUTO!$B$3:$I$1238,8,0)</f>
        <v>5.2799164168708668E-3</v>
      </c>
      <c r="T732" s="8">
        <v>0</v>
      </c>
      <c r="U732" s="8">
        <f>+VLOOKUP($B732,NIFTY_50!$B$63:$K$1238,10,0)</f>
        <v>0.12739088523289666</v>
      </c>
      <c r="V732" s="8">
        <f>+VLOOKUP($B732,NIFTY_BANK!$B$63:$K$1238,10,0)</f>
        <v>0.18664355519244524</v>
      </c>
      <c r="W732" s="8">
        <f>+VLOOKUP($B732,NIFTY_IT!$B$63:$K$1238,10,0)</f>
        <v>5.3176923125919373E-4</v>
      </c>
      <c r="X732" s="8">
        <f>+VLOOKUP($B732,NIFTY_PHARMA!$B$63:$K$1238,10,0)</f>
        <v>2.1158712429560467E-2</v>
      </c>
      <c r="Y732" s="8">
        <f>+VLOOKUP($B732,NIFTY_FMCG!$B$63:$K$1238,10,0)</f>
        <v>5.3522953935618567E-2</v>
      </c>
      <c r="Z732" s="8">
        <f>+VLOOKUP($B732,NIFTY_METAL!$B$63:$K$1238,10,0)</f>
        <v>0.11861902482675379</v>
      </c>
      <c r="AA732" s="8">
        <f>+VLOOKUP($B732,NIFTY_ENERGY!$B$63:$K$1238,10,0)</f>
        <v>0.10126608486806021</v>
      </c>
      <c r="AB732" s="8">
        <f>+VLOOKUP($B732,NIFTY_AUTO!$B$63:$K$1238,10,0)</f>
        <v>0.15262902696767022</v>
      </c>
      <c r="AC732" s="8"/>
      <c r="AD732" s="16">
        <f t="shared" si="412"/>
        <v>7.7657622349517744E-2</v>
      </c>
      <c r="AE732" s="8">
        <f t="shared" si="413"/>
        <v>0.13072834008600026</v>
      </c>
      <c r="AF732" s="8">
        <f t="shared" si="414"/>
        <v>9.284108647093342E-2</v>
      </c>
      <c r="AG732" s="8">
        <f t="shared" si="415"/>
        <v>9.1780485542316395E-2</v>
      </c>
      <c r="AH732" s="8">
        <f t="shared" si="416"/>
        <v>8.0276715404780735E-2</v>
      </c>
      <c r="AI732" s="8">
        <f t="shared" si="417"/>
        <v>0.14725138938364019</v>
      </c>
      <c r="AJ732" s="8">
        <f t="shared" si="418"/>
        <v>7.5617363462585394E-2</v>
      </c>
      <c r="AK732" s="8">
        <f t="shared" si="419"/>
        <v>0.14076835189323411</v>
      </c>
      <c r="AL732" s="9">
        <v>0</v>
      </c>
      <c r="AM732" s="17">
        <f t="shared" si="396"/>
        <v>12.877036017137474</v>
      </c>
      <c r="AN732" s="13">
        <f t="shared" si="397"/>
        <v>7.6494507567536258</v>
      </c>
      <c r="AO732" s="13">
        <f t="shared" si="398"/>
        <v>10.771093252049337</v>
      </c>
      <c r="AP732" s="13">
        <f t="shared" si="399"/>
        <v>10.895562320150715</v>
      </c>
      <c r="AQ732" s="13">
        <f t="shared" si="400"/>
        <v>12.456912256034416</v>
      </c>
      <c r="AR732" s="13">
        <f t="shared" si="401"/>
        <v>6.7911073992969824</v>
      </c>
      <c r="AS732" s="13">
        <f t="shared" si="402"/>
        <v>13.224475890313057</v>
      </c>
      <c r="AT732" s="13">
        <f t="shared" si="403"/>
        <v>7.1038694887786349</v>
      </c>
      <c r="AU732" s="9">
        <v>0</v>
      </c>
      <c r="AV732" s="18">
        <f t="shared" si="420"/>
        <v>2</v>
      </c>
      <c r="AW732" s="18">
        <f t="shared" si="421"/>
        <v>6</v>
      </c>
      <c r="AX732" s="18">
        <f t="shared" si="422"/>
        <v>5</v>
      </c>
      <c r="AY732" s="18">
        <f t="shared" si="423"/>
        <v>4</v>
      </c>
      <c r="AZ732" s="18">
        <f t="shared" si="424"/>
        <v>3</v>
      </c>
      <c r="BA732" s="18">
        <f t="shared" si="425"/>
        <v>8</v>
      </c>
      <c r="BB732" s="18">
        <f t="shared" si="426"/>
        <v>1</v>
      </c>
      <c r="BC732" s="18">
        <f t="shared" si="427"/>
        <v>7</v>
      </c>
      <c r="BD732" s="18">
        <f t="shared" si="428"/>
        <v>9</v>
      </c>
      <c r="BE732" s="8">
        <f t="shared" si="430"/>
        <v>2.9839712870699791E-3</v>
      </c>
    </row>
    <row r="733" spans="1:57" x14ac:dyDescent="0.25">
      <c r="A733" t="str">
        <f t="shared" si="429"/>
        <v/>
      </c>
      <c r="B733" s="1">
        <v>43818</v>
      </c>
      <c r="C733" s="9">
        <f t="shared" si="404"/>
        <v>0.25140404081072465</v>
      </c>
      <c r="D733" s="9">
        <f t="shared" si="405"/>
        <v>0</v>
      </c>
      <c r="E733" s="9">
        <f t="shared" si="406"/>
        <v>0.26066069683023274</v>
      </c>
      <c r="F733" s="9">
        <f t="shared" si="407"/>
        <v>0</v>
      </c>
      <c r="G733" s="9">
        <f t="shared" si="408"/>
        <v>0.24252364604076401</v>
      </c>
      <c r="H733" s="9">
        <f t="shared" si="409"/>
        <v>0</v>
      </c>
      <c r="I733" s="9">
        <f t="shared" si="410"/>
        <v>0.24541161631827854</v>
      </c>
      <c r="J733" s="9">
        <f t="shared" si="411"/>
        <v>0</v>
      </c>
      <c r="K733" s="9">
        <v>0</v>
      </c>
      <c r="L733" s="8">
        <f>+VLOOKUP($B733,NIFTY_50!$B$3:$I$1238,8,0)</f>
        <v>3.1133275785184544E-3</v>
      </c>
      <c r="M733" s="8">
        <f>+VLOOKUP($B733,NIFTY_BANK!$B$3:$I$41238,8,0)</f>
        <v>-8.6837188025712386E-5</v>
      </c>
      <c r="N733" s="8">
        <f>+VLOOKUP($B733,NIFTY_IT!$B$3:$I$1238,8,0)</f>
        <v>6.5115065258281035E-3</v>
      </c>
      <c r="O733" s="8">
        <f>+VLOOKUP($B733,NIFTY_PHARMA!$B$3:$I$1238,8,0)</f>
        <v>-2.230846238459594E-3</v>
      </c>
      <c r="P733" s="8">
        <f>+VLOOKUP($B733,NIFTY_FMCG!$B$3:$I$1238,8,0)</f>
        <v>3.1378905650347733E-3</v>
      </c>
      <c r="Q733" s="8">
        <f>+VLOOKUP($B733,NIFTY_METAL!$B$3:$I$1238,8,0)</f>
        <v>1.2836492846910463E-3</v>
      </c>
      <c r="R733" s="8">
        <f>+VLOOKUP($B733,NIFTY_ENERGY!$B$3:$I$1238,8,0)</f>
        <v>9.7794990865991416E-3</v>
      </c>
      <c r="S733" s="8">
        <f>+VLOOKUP($B733,NIFTY_AUTO!$B$3:$I$1238,8,0)</f>
        <v>1.0287849449726938E-2</v>
      </c>
      <c r="T733" s="8">
        <v>0</v>
      </c>
      <c r="U733" s="8">
        <f>+VLOOKUP($B733,NIFTY_50!$B$63:$K$1238,10,0)</f>
        <v>0.14525259696584714</v>
      </c>
      <c r="V733" s="8">
        <f>+VLOOKUP($B733,NIFTY_BANK!$B$63:$K$1238,10,0)</f>
        <v>0.20494325921745737</v>
      </c>
      <c r="W733" s="8">
        <f>+VLOOKUP($B733,NIFTY_IT!$B$63:$K$1238,10,0)</f>
        <v>1.871482916678735E-2</v>
      </c>
      <c r="X733" s="8">
        <f>+VLOOKUP($B733,NIFTY_PHARMA!$B$63:$K$1238,10,0)</f>
        <v>3.5059490230268109E-2</v>
      </c>
      <c r="Y733" s="8">
        <f>+VLOOKUP($B733,NIFTY_FMCG!$B$63:$K$1238,10,0)</f>
        <v>6.3358249695544488E-2</v>
      </c>
      <c r="Z733" s="8">
        <f>+VLOOKUP($B733,NIFTY_METAL!$B$63:$K$1238,10,0)</f>
        <v>0.13863208445281261</v>
      </c>
      <c r="AA733" s="8">
        <f>+VLOOKUP($B733,NIFTY_ENERGY!$B$63:$K$1238,10,0)</f>
        <v>0.12820028077398393</v>
      </c>
      <c r="AB733" s="8">
        <f>+VLOOKUP($B733,NIFTY_AUTO!$B$63:$K$1238,10,0)</f>
        <v>0.17988324711730197</v>
      </c>
      <c r="AC733" s="8"/>
      <c r="AD733" s="16">
        <f t="shared" si="412"/>
        <v>7.6264417421236047E-2</v>
      </c>
      <c r="AE733" s="8">
        <f t="shared" si="413"/>
        <v>0.12947352800957879</v>
      </c>
      <c r="AF733" s="8">
        <f t="shared" si="414"/>
        <v>9.231747047572654E-2</v>
      </c>
      <c r="AG733" s="8">
        <f t="shared" si="415"/>
        <v>9.0389793862590176E-2</v>
      </c>
      <c r="AH733" s="8">
        <f t="shared" si="416"/>
        <v>7.9989046520862264E-2</v>
      </c>
      <c r="AI733" s="8">
        <f t="shared" si="417"/>
        <v>0.14609041769702499</v>
      </c>
      <c r="AJ733" s="8">
        <f t="shared" si="418"/>
        <v>7.4298520510487284E-2</v>
      </c>
      <c r="AK733" s="8">
        <f t="shared" si="419"/>
        <v>0.14009358285811138</v>
      </c>
      <c r="AL733" s="9">
        <v>0</v>
      </c>
      <c r="AM733" s="17">
        <f t="shared" si="396"/>
        <v>13.112274817188167</v>
      </c>
      <c r="AN733" s="13">
        <f t="shared" si="397"/>
        <v>7.723586553739521</v>
      </c>
      <c r="AO733" s="13">
        <f t="shared" si="398"/>
        <v>10.832185878218301</v>
      </c>
      <c r="AP733" s="13">
        <f t="shared" si="399"/>
        <v>11.063195934711299</v>
      </c>
      <c r="AQ733" s="13">
        <f t="shared" si="400"/>
        <v>12.501711715480768</v>
      </c>
      <c r="AR733" s="13">
        <f t="shared" si="401"/>
        <v>6.8450759178051426</v>
      </c>
      <c r="AS733" s="13">
        <f t="shared" si="402"/>
        <v>13.459218206893492</v>
      </c>
      <c r="AT733" s="13">
        <f t="shared" si="403"/>
        <v>7.1380856967075577</v>
      </c>
      <c r="AU733" s="9">
        <v>0</v>
      </c>
      <c r="AV733" s="18">
        <f t="shared" si="420"/>
        <v>2</v>
      </c>
      <c r="AW733" s="18">
        <f t="shared" si="421"/>
        <v>6</v>
      </c>
      <c r="AX733" s="18">
        <f t="shared" si="422"/>
        <v>5</v>
      </c>
      <c r="AY733" s="18">
        <f t="shared" si="423"/>
        <v>4</v>
      </c>
      <c r="AZ733" s="18">
        <f t="shared" si="424"/>
        <v>3</v>
      </c>
      <c r="BA733" s="18">
        <f t="shared" si="425"/>
        <v>8</v>
      </c>
      <c r="BB733" s="18">
        <f t="shared" si="426"/>
        <v>1</v>
      </c>
      <c r="BC733" s="18">
        <f t="shared" si="427"/>
        <v>7</v>
      </c>
      <c r="BD733" s="18">
        <f t="shared" si="428"/>
        <v>9</v>
      </c>
      <c r="BE733" s="8">
        <f t="shared" si="430"/>
        <v>5.6335375495434534E-3</v>
      </c>
    </row>
    <row r="734" spans="1:57" x14ac:dyDescent="0.25">
      <c r="A734" t="str">
        <f t="shared" si="429"/>
        <v/>
      </c>
      <c r="B734" s="1">
        <v>43819</v>
      </c>
      <c r="C734" s="9">
        <f t="shared" si="404"/>
        <v>0.25164009110990804</v>
      </c>
      <c r="D734" s="9">
        <f t="shared" si="405"/>
        <v>0</v>
      </c>
      <c r="E734" s="9">
        <f t="shared" si="406"/>
        <v>0.26116905504630394</v>
      </c>
      <c r="F734" s="9">
        <f t="shared" si="407"/>
        <v>0</v>
      </c>
      <c r="G734" s="9">
        <f t="shared" si="408"/>
        <v>0.24227457006638586</v>
      </c>
      <c r="H734" s="9">
        <f t="shared" si="409"/>
        <v>0</v>
      </c>
      <c r="I734" s="9">
        <f t="shared" si="410"/>
        <v>0.24491628377740202</v>
      </c>
      <c r="J734" s="9">
        <f t="shared" si="411"/>
        <v>0</v>
      </c>
      <c r="K734" s="9">
        <v>0</v>
      </c>
      <c r="L734" s="8">
        <f>+VLOOKUP($B734,NIFTY_50!$B$3:$I$1238,8,0)</f>
        <v>9.8697358010380043E-4</v>
      </c>
      <c r="M734" s="8">
        <f>+VLOOKUP($B734,NIFTY_BANK!$B$3:$I$41238,8,0)</f>
        <v>4.4507923806156313E-3</v>
      </c>
      <c r="N734" s="8">
        <f>+VLOOKUP($B734,NIFTY_IT!$B$3:$I$1238,8,0)</f>
        <v>1.9983621019479259E-3</v>
      </c>
      <c r="O734" s="8">
        <f>+VLOOKUP($B734,NIFTY_PHARMA!$B$3:$I$1238,8,0)</f>
        <v>-2.9233065570014594E-3</v>
      </c>
      <c r="P734" s="8">
        <f>+VLOOKUP($B734,NIFTY_FMCG!$B$3:$I$1238,8,0)</f>
        <v>-9.7906608613806956E-4</v>
      </c>
      <c r="Q734" s="8">
        <f>+VLOOKUP($B734,NIFTY_METAL!$B$3:$I$1238,8,0)</f>
        <v>6.0941622384897975E-3</v>
      </c>
      <c r="R734" s="8">
        <f>+VLOOKUP($B734,NIFTY_ENERGY!$B$3:$I$1238,8,0)</f>
        <v>-1.9704708649591618E-3</v>
      </c>
      <c r="S734" s="8">
        <f>+VLOOKUP($B734,NIFTY_AUTO!$B$3:$I$1238,8,0)</f>
        <v>-3.9128038699405288E-3</v>
      </c>
      <c r="T734" s="8">
        <v>0</v>
      </c>
      <c r="U734" s="8">
        <f>+VLOOKUP($B734,NIFTY_50!$B$63:$K$1238,10,0)</f>
        <v>8.8485214028489745E-2</v>
      </c>
      <c r="V734" s="8">
        <f>+VLOOKUP($B734,NIFTY_BANK!$B$63:$K$1238,10,0)</f>
        <v>0.1174333325857313</v>
      </c>
      <c r="W734" s="8">
        <f>+VLOOKUP($B734,NIFTY_IT!$B$63:$K$1238,10,0)</f>
        <v>2.2816326794094621E-2</v>
      </c>
      <c r="X734" s="8">
        <f>+VLOOKUP($B734,NIFTY_PHARMA!$B$63:$K$1238,10,0)</f>
        <v>8.2544732606422144E-3</v>
      </c>
      <c r="Y734" s="8">
        <f>+VLOOKUP($B734,NIFTY_FMCG!$B$63:$K$1238,10,0)</f>
        <v>1.7462506724405857E-2</v>
      </c>
      <c r="Z734" s="8">
        <f>+VLOOKUP($B734,NIFTY_METAL!$B$63:$K$1238,10,0)</f>
        <v>8.4018977839168674E-2</v>
      </c>
      <c r="AA734" s="8">
        <f>+VLOOKUP($B734,NIFTY_ENERGY!$B$63:$K$1238,10,0)</f>
        <v>8.2246173207573881E-2</v>
      </c>
      <c r="AB734" s="8">
        <f>+VLOOKUP($B734,NIFTY_AUTO!$B$63:$K$1238,10,0)</f>
        <v>6.9380805564138059E-2</v>
      </c>
      <c r="AC734" s="8"/>
      <c r="AD734" s="16">
        <f t="shared" si="412"/>
        <v>5.6396372582566925E-2</v>
      </c>
      <c r="AE734" s="8">
        <f t="shared" si="413"/>
        <v>0.10137402846423214</v>
      </c>
      <c r="AF734" s="8">
        <f t="shared" si="414"/>
        <v>9.2299273793142234E-2</v>
      </c>
      <c r="AG734" s="8">
        <f t="shared" si="415"/>
        <v>8.7433532058926525E-2</v>
      </c>
      <c r="AH734" s="8">
        <f t="shared" si="416"/>
        <v>6.7215429271163696E-2</v>
      </c>
      <c r="AI734" s="8">
        <f t="shared" si="417"/>
        <v>0.13545063104089775</v>
      </c>
      <c r="AJ734" s="8">
        <f t="shared" si="418"/>
        <v>6.3509917737520225E-2</v>
      </c>
      <c r="AK734" s="8">
        <f t="shared" si="419"/>
        <v>0.10126574215651349</v>
      </c>
      <c r="AL734" s="9">
        <v>0</v>
      </c>
      <c r="AM734" s="17">
        <f t="shared" si="396"/>
        <v>17.731636880296747</v>
      </c>
      <c r="AN734" s="13">
        <f t="shared" si="397"/>
        <v>9.864459518374872</v>
      </c>
      <c r="AO734" s="13">
        <f t="shared" si="398"/>
        <v>10.834321429669789</v>
      </c>
      <c r="AP734" s="13">
        <f t="shared" si="399"/>
        <v>11.437259555361917</v>
      </c>
      <c r="AQ734" s="13">
        <f t="shared" si="400"/>
        <v>14.877536465113572</v>
      </c>
      <c r="AR734" s="13">
        <f t="shared" si="401"/>
        <v>7.3827636853021499</v>
      </c>
      <c r="AS734" s="13">
        <f t="shared" si="402"/>
        <v>15.745572276331616</v>
      </c>
      <c r="AT734" s="13">
        <f t="shared" si="403"/>
        <v>9.8750078625249991</v>
      </c>
      <c r="AU734" s="9">
        <v>0</v>
      </c>
      <c r="AV734" s="18">
        <f t="shared" si="420"/>
        <v>1</v>
      </c>
      <c r="AW734" s="18">
        <f t="shared" si="421"/>
        <v>7</v>
      </c>
      <c r="AX734" s="18">
        <f t="shared" si="422"/>
        <v>5</v>
      </c>
      <c r="AY734" s="18">
        <f t="shared" si="423"/>
        <v>4</v>
      </c>
      <c r="AZ734" s="18">
        <f t="shared" si="424"/>
        <v>3</v>
      </c>
      <c r="BA734" s="18">
        <f t="shared" si="425"/>
        <v>8</v>
      </c>
      <c r="BB734" s="18">
        <f t="shared" si="426"/>
        <v>2</v>
      </c>
      <c r="BC734" s="18">
        <f t="shared" si="427"/>
        <v>6</v>
      </c>
      <c r="BD734" s="18">
        <f t="shared" si="428"/>
        <v>9</v>
      </c>
      <c r="BE734" s="8">
        <f t="shared" si="430"/>
        <v>4.8000487421628207E-5</v>
      </c>
    </row>
    <row r="735" spans="1:57" x14ac:dyDescent="0.25">
      <c r="A735" t="str">
        <f t="shared" si="429"/>
        <v/>
      </c>
      <c r="B735" s="1">
        <v>43822</v>
      </c>
      <c r="C735" s="9">
        <f t="shared" si="404"/>
        <v>0.25211335707901678</v>
      </c>
      <c r="D735" s="9">
        <f t="shared" si="405"/>
        <v>0</v>
      </c>
      <c r="E735" s="9">
        <f t="shared" si="406"/>
        <v>0.26219957762358237</v>
      </c>
      <c r="F735" s="9">
        <f t="shared" si="407"/>
        <v>0</v>
      </c>
      <c r="G735" s="9">
        <f t="shared" si="408"/>
        <v>0.24180189177548592</v>
      </c>
      <c r="H735" s="9">
        <f t="shared" si="409"/>
        <v>0</v>
      </c>
      <c r="I735" s="9">
        <f t="shared" si="410"/>
        <v>0.24388517352191488</v>
      </c>
      <c r="J735" s="9">
        <f t="shared" si="411"/>
        <v>0</v>
      </c>
      <c r="K735" s="9">
        <v>0</v>
      </c>
      <c r="L735" s="8">
        <f>+VLOOKUP($B735,NIFTY_50!$B$3:$I$1238,8,0)</f>
        <v>-7.3746312684364046E-4</v>
      </c>
      <c r="M735" s="8">
        <f>+VLOOKUP($B735,NIFTY_BANK!$B$3:$I$41238,8,0)</f>
        <v>-1.4049736065672169E-3</v>
      </c>
      <c r="N735" s="8">
        <f>+VLOOKUP($B735,NIFTY_IT!$B$3:$I$1238,8,0)</f>
        <v>1.3222212053987104E-3</v>
      </c>
      <c r="O735" s="8">
        <f>+VLOOKUP($B735,NIFTY_PHARMA!$B$3:$I$1238,8,0)</f>
        <v>2.5467578530213864E-4</v>
      </c>
      <c r="P735" s="8">
        <f>+VLOOKUP($B735,NIFTY_FMCG!$B$3:$I$1238,8,0)</f>
        <v>-4.5591778985285547E-3</v>
      </c>
      <c r="Q735" s="8">
        <f>+VLOOKUP($B735,NIFTY_METAL!$B$3:$I$1238,8,0)</f>
        <v>-4.2474607571563183E-4</v>
      </c>
      <c r="R735" s="8">
        <f>+VLOOKUP($B735,NIFTY_ENERGY!$B$3:$I$1238,8,0)</f>
        <v>-6.8123237455032237E-3</v>
      </c>
      <c r="S735" s="8">
        <f>+VLOOKUP($B735,NIFTY_AUTO!$B$3:$I$1238,8,0)</f>
        <v>5.772387210996488E-3</v>
      </c>
      <c r="T735" s="8">
        <v>0</v>
      </c>
      <c r="U735" s="8">
        <f>+VLOOKUP($B735,NIFTY_50!$B$63:$K$1238,10,0)</f>
        <v>5.7115394562162747E-2</v>
      </c>
      <c r="V735" s="8">
        <f>+VLOOKUP($B735,NIFTY_BANK!$B$63:$K$1238,10,0)</f>
        <v>5.8013426595389772E-2</v>
      </c>
      <c r="W735" s="8">
        <f>+VLOOKUP($B735,NIFTY_IT!$B$63:$K$1238,10,0)</f>
        <v>5.4841379860577799E-2</v>
      </c>
      <c r="X735" s="8">
        <f>+VLOOKUP($B735,NIFTY_PHARMA!$B$63:$K$1238,10,0)</f>
        <v>2.4722390149225282E-2</v>
      </c>
      <c r="Y735" s="8">
        <f>+VLOOKUP($B735,NIFTY_FMCG!$B$63:$K$1238,10,0)</f>
        <v>-2.8989302733603006E-2</v>
      </c>
      <c r="Z735" s="8">
        <f>+VLOOKUP($B735,NIFTY_METAL!$B$63:$K$1238,10,0)</f>
        <v>7.1312643496160177E-2</v>
      </c>
      <c r="AA735" s="8">
        <f>+VLOOKUP($B735,NIFTY_ENERGY!$B$63:$K$1238,10,0)</f>
        <v>6.4808826960898624E-2</v>
      </c>
      <c r="AB735" s="8">
        <f>+VLOOKUP($B735,NIFTY_AUTO!$B$63:$K$1238,10,0)</f>
        <v>4.8425855318385391E-2</v>
      </c>
      <c r="AC735" s="8"/>
      <c r="AD735" s="16">
        <f t="shared" si="412"/>
        <v>4.913855155469106E-2</v>
      </c>
      <c r="AE735" s="8">
        <f t="shared" si="413"/>
        <v>8.6320089967668059E-2</v>
      </c>
      <c r="AF735" s="8">
        <f t="shared" si="414"/>
        <v>8.7369629705994628E-2</v>
      </c>
      <c r="AG735" s="8">
        <f t="shared" si="415"/>
        <v>8.5929196212519168E-2</v>
      </c>
      <c r="AH735" s="8">
        <f t="shared" si="416"/>
        <v>5.174719592203441E-2</v>
      </c>
      <c r="AI735" s="8">
        <f t="shared" si="417"/>
        <v>0.13508891976382312</v>
      </c>
      <c r="AJ735" s="8">
        <f t="shared" si="418"/>
        <v>6.3478254442716514E-2</v>
      </c>
      <c r="AK735" s="8">
        <f t="shared" si="419"/>
        <v>9.8282951899687249E-2</v>
      </c>
      <c r="AL735" s="9">
        <v>0</v>
      </c>
      <c r="AM735" s="17">
        <f t="shared" si="396"/>
        <v>20.350620202693662</v>
      </c>
      <c r="AN735" s="13">
        <f t="shared" si="397"/>
        <v>11.584788667094285</v>
      </c>
      <c r="AO735" s="13">
        <f t="shared" si="398"/>
        <v>11.445624793936693</v>
      </c>
      <c r="AP735" s="13">
        <f t="shared" si="399"/>
        <v>11.637488119018485</v>
      </c>
      <c r="AQ735" s="13">
        <f t="shared" si="400"/>
        <v>19.324718609036577</v>
      </c>
      <c r="AR735" s="13">
        <f t="shared" si="401"/>
        <v>7.4025316195310973</v>
      </c>
      <c r="AS735" s="13">
        <f t="shared" si="402"/>
        <v>15.753426252487948</v>
      </c>
      <c r="AT735" s="13">
        <f t="shared" si="403"/>
        <v>10.174704571558378</v>
      </c>
      <c r="AU735" s="9">
        <v>0</v>
      </c>
      <c r="AV735" s="18">
        <f t="shared" si="420"/>
        <v>1</v>
      </c>
      <c r="AW735" s="18">
        <f t="shared" si="421"/>
        <v>5</v>
      </c>
      <c r="AX735" s="18">
        <f t="shared" si="422"/>
        <v>6</v>
      </c>
      <c r="AY735" s="18">
        <f t="shared" si="423"/>
        <v>4</v>
      </c>
      <c r="AZ735" s="18">
        <f t="shared" si="424"/>
        <v>2</v>
      </c>
      <c r="BA735" s="18">
        <f t="shared" si="425"/>
        <v>8</v>
      </c>
      <c r="BB735" s="18">
        <f t="shared" si="426"/>
        <v>3</v>
      </c>
      <c r="BC735" s="18">
        <f t="shared" si="427"/>
        <v>7</v>
      </c>
      <c r="BD735" s="18">
        <f t="shared" si="428"/>
        <v>9</v>
      </c>
      <c r="BE735" s="8">
        <f t="shared" si="430"/>
        <v>-2.613273906512341E-3</v>
      </c>
    </row>
    <row r="736" spans="1:57" x14ac:dyDescent="0.25">
      <c r="A736" t="str">
        <f t="shared" si="429"/>
        <v/>
      </c>
      <c r="B736" s="1">
        <v>43823</v>
      </c>
      <c r="C736" s="9">
        <f t="shared" si="404"/>
        <v>0.25220213353687815</v>
      </c>
      <c r="D736" s="9">
        <f t="shared" si="405"/>
        <v>0</v>
      </c>
      <c r="E736" s="9">
        <f t="shared" si="406"/>
        <v>0.26187798143440499</v>
      </c>
      <c r="F736" s="9">
        <f t="shared" si="407"/>
        <v>0</v>
      </c>
      <c r="G736" s="9">
        <f t="shared" si="408"/>
        <v>0.24267760973466462</v>
      </c>
      <c r="H736" s="9">
        <f t="shared" si="409"/>
        <v>0</v>
      </c>
      <c r="I736" s="9">
        <f t="shared" si="410"/>
        <v>0.24324227529405232</v>
      </c>
      <c r="J736" s="9">
        <f t="shared" si="411"/>
        <v>0</v>
      </c>
      <c r="K736" s="9">
        <v>0</v>
      </c>
      <c r="L736" s="8">
        <f>+VLOOKUP($B736,NIFTY_50!$B$3:$I$1238,8,0)</f>
        <v>-3.930602841940134E-3</v>
      </c>
      <c r="M736" s="8">
        <f>+VLOOKUP($B736,NIFTY_BANK!$B$3:$I$41238,8,0)</f>
        <v>-1.8151205416294669E-3</v>
      </c>
      <c r="N736" s="8">
        <f>+VLOOKUP($B736,NIFTY_IT!$B$3:$I$1238,8,0)</f>
        <v>-5.5025054363240233E-3</v>
      </c>
      <c r="O736" s="8">
        <f>+VLOOKUP($B736,NIFTY_PHARMA!$B$3:$I$1238,8,0)</f>
        <v>2.7696702477799651E-3</v>
      </c>
      <c r="P736" s="8">
        <f>+VLOOKUP($B736,NIFTY_FMCG!$B$3:$I$1238,8,0)</f>
        <v>-6.7509543168886577E-4</v>
      </c>
      <c r="Q736" s="8">
        <f>+VLOOKUP($B736,NIFTY_METAL!$B$3:$I$1238,8,0)</f>
        <v>6.2076228130139022E-3</v>
      </c>
      <c r="R736" s="8">
        <f>+VLOOKUP($B736,NIFTY_ENERGY!$B$3:$I$1238,8,0)</f>
        <v>-6.9060081644920501E-3</v>
      </c>
      <c r="S736" s="8">
        <f>+VLOOKUP($B736,NIFTY_AUTO!$B$3:$I$1238,8,0)</f>
        <v>-3.410549477415814E-3</v>
      </c>
      <c r="T736" s="8">
        <v>0</v>
      </c>
      <c r="U736" s="8">
        <f>+VLOOKUP($B736,NIFTY_50!$B$63:$K$1238,10,0)</f>
        <v>5.4050672235549824E-2</v>
      </c>
      <c r="V736" s="8">
        <f>+VLOOKUP($B736,NIFTY_BANK!$B$63:$K$1238,10,0)</f>
        <v>6.9497500256766154E-2</v>
      </c>
      <c r="W736" s="8">
        <f>+VLOOKUP($B736,NIFTY_IT!$B$63:$K$1238,10,0)</f>
        <v>2.8656368063682436E-2</v>
      </c>
      <c r="X736" s="8">
        <f>+VLOOKUP($B736,NIFTY_PHARMA!$B$63:$K$1238,10,0)</f>
        <v>2.3042467324298821E-2</v>
      </c>
      <c r="Y736" s="8">
        <f>+VLOOKUP($B736,NIFTY_FMCG!$B$63:$K$1238,10,0)</f>
        <v>-3.5604105721695034E-2</v>
      </c>
      <c r="Z736" s="8">
        <f>+VLOOKUP($B736,NIFTY_METAL!$B$63:$K$1238,10,0)</f>
        <v>9.5790913846525383E-2</v>
      </c>
      <c r="AA736" s="8">
        <f>+VLOOKUP($B736,NIFTY_ENERGY!$B$63:$K$1238,10,0)</f>
        <v>5.0358092425260681E-2</v>
      </c>
      <c r="AB736" s="8">
        <f>+VLOOKUP($B736,NIFTY_AUTO!$B$63:$K$1238,10,0)</f>
        <v>4.8801981153314244E-2</v>
      </c>
      <c r="AC736" s="8"/>
      <c r="AD736" s="16">
        <f t="shared" si="412"/>
        <v>4.9337920031450232E-2</v>
      </c>
      <c r="AE736" s="8">
        <f t="shared" si="413"/>
        <v>8.5289767548532916E-2</v>
      </c>
      <c r="AF736" s="8">
        <f t="shared" si="414"/>
        <v>8.5487991971784569E-2</v>
      </c>
      <c r="AG736" s="8">
        <f t="shared" si="415"/>
        <v>8.5868900609717635E-2</v>
      </c>
      <c r="AH736" s="8">
        <f t="shared" si="416"/>
        <v>5.1312437292715611E-2</v>
      </c>
      <c r="AI736" s="8">
        <f t="shared" si="417"/>
        <v>0.1340040568884259</v>
      </c>
      <c r="AJ736" s="8">
        <f t="shared" si="418"/>
        <v>6.3698610321190022E-2</v>
      </c>
      <c r="AK736" s="8">
        <f t="shared" si="419"/>
        <v>9.8266780962494443E-2</v>
      </c>
      <c r="AL736" s="9">
        <v>0</v>
      </c>
      <c r="AM736" s="17">
        <f t="shared" si="396"/>
        <v>20.268385845259683</v>
      </c>
      <c r="AN736" s="13">
        <f t="shared" si="397"/>
        <v>11.724735906109304</v>
      </c>
      <c r="AO736" s="13">
        <f t="shared" si="398"/>
        <v>11.697549292420524</v>
      </c>
      <c r="AP736" s="13">
        <f t="shared" si="399"/>
        <v>11.645659754572796</v>
      </c>
      <c r="AQ736" s="13">
        <f t="shared" si="400"/>
        <v>19.488452561616313</v>
      </c>
      <c r="AR736" s="13">
        <f t="shared" si="401"/>
        <v>7.4624606390283938</v>
      </c>
      <c r="AS736" s="13">
        <f t="shared" si="402"/>
        <v>15.698929614910913</v>
      </c>
      <c r="AT736" s="13">
        <f t="shared" si="403"/>
        <v>10.176378937065932</v>
      </c>
      <c r="AU736" s="9">
        <v>0</v>
      </c>
      <c r="AV736" s="18">
        <f t="shared" si="420"/>
        <v>1</v>
      </c>
      <c r="AW736" s="18">
        <f t="shared" si="421"/>
        <v>4</v>
      </c>
      <c r="AX736" s="18">
        <f t="shared" si="422"/>
        <v>5</v>
      </c>
      <c r="AY736" s="18">
        <f t="shared" si="423"/>
        <v>6</v>
      </c>
      <c r="AZ736" s="18">
        <f t="shared" si="424"/>
        <v>2</v>
      </c>
      <c r="BA736" s="18">
        <f t="shared" si="425"/>
        <v>8</v>
      </c>
      <c r="BB736" s="18">
        <f t="shared" si="426"/>
        <v>3</v>
      </c>
      <c r="BC736" s="18">
        <f t="shared" si="427"/>
        <v>7</v>
      </c>
      <c r="BD736" s="18">
        <f t="shared" si="428"/>
        <v>9</v>
      </c>
      <c r="BE736" s="8">
        <f t="shared" si="430"/>
        <v>-4.2812244311537361E-3</v>
      </c>
    </row>
    <row r="737" spans="1:57" x14ac:dyDescent="0.25">
      <c r="A737" t="str">
        <f t="shared" si="429"/>
        <v/>
      </c>
      <c r="B737" s="1">
        <v>43825</v>
      </c>
      <c r="C737" s="9">
        <f t="shared" si="404"/>
        <v>0.25201747572983824</v>
      </c>
      <c r="D737" s="9">
        <f t="shared" si="405"/>
        <v>0</v>
      </c>
      <c r="E737" s="9">
        <f t="shared" si="406"/>
        <v>0.26238661386272849</v>
      </c>
      <c r="F737" s="9">
        <f t="shared" si="407"/>
        <v>0</v>
      </c>
      <c r="G737" s="9">
        <f t="shared" si="408"/>
        <v>0.24317581085987194</v>
      </c>
      <c r="H737" s="9">
        <f t="shared" si="409"/>
        <v>0</v>
      </c>
      <c r="I737" s="9">
        <f t="shared" si="410"/>
        <v>0.24242009954756136</v>
      </c>
      <c r="J737" s="9">
        <f t="shared" si="411"/>
        <v>0</v>
      </c>
      <c r="K737" s="9">
        <v>0</v>
      </c>
      <c r="L737" s="8">
        <f>+VLOOKUP($B737,NIFTY_50!$B$3:$I$1238,8,0)</f>
        <v>-7.2045224752447234E-3</v>
      </c>
      <c r="M737" s="8">
        <f>+VLOOKUP($B737,NIFTY_BANK!$B$3:$I$41238,8,0)</f>
        <v>-8.7683836342091759E-3</v>
      </c>
      <c r="N737" s="8">
        <f>+VLOOKUP($B737,NIFTY_IT!$B$3:$I$1238,8,0)</f>
        <v>-4.5474135199199406E-3</v>
      </c>
      <c r="O737" s="8">
        <f>+VLOOKUP($B737,NIFTY_PHARMA!$B$3:$I$1238,8,0)</f>
        <v>-9.4379350491713421E-3</v>
      </c>
      <c r="P737" s="8">
        <f>+VLOOKUP($B737,NIFTY_FMCG!$B$3:$I$1238,8,0)</f>
        <v>-4.4374460842021568E-3</v>
      </c>
      <c r="Q737" s="8">
        <f>+VLOOKUP($B737,NIFTY_METAL!$B$3:$I$1238,8,0)</f>
        <v>5.8204652699997972E-3</v>
      </c>
      <c r="R737" s="8">
        <f>+VLOOKUP($B737,NIFTY_ENERGY!$B$3:$I$1238,8,0)</f>
        <v>-9.8352594049667674E-3</v>
      </c>
      <c r="S737" s="8">
        <f>+VLOOKUP($B737,NIFTY_AUTO!$B$3:$I$1238,8,0)</f>
        <v>-2.8150528665702446E-3</v>
      </c>
      <c r="T737" s="8">
        <v>0</v>
      </c>
      <c r="U737" s="8">
        <f>+VLOOKUP($B737,NIFTY_50!$B$63:$K$1238,10,0)</f>
        <v>5.999458051432649E-2</v>
      </c>
      <c r="V737" s="8">
        <f>+VLOOKUP($B737,NIFTY_BANK!$B$63:$K$1238,10,0)</f>
        <v>8.1513077953968116E-2</v>
      </c>
      <c r="W737" s="8">
        <f>+VLOOKUP($B737,NIFTY_IT!$B$63:$K$1238,10,0)</f>
        <v>2.1232257686981226E-2</v>
      </c>
      <c r="X737" s="8">
        <f>+VLOOKUP($B737,NIFTY_PHARMA!$B$63:$K$1238,10,0)</f>
        <v>2.6689089438617808E-2</v>
      </c>
      <c r="Y737" s="8">
        <f>+VLOOKUP($B737,NIFTY_FMCG!$B$63:$K$1238,10,0)</f>
        <v>-2.7885966316313682E-2</v>
      </c>
      <c r="Z737" s="8">
        <f>+VLOOKUP($B737,NIFTY_METAL!$B$63:$K$1238,10,0)</f>
        <v>0.13193511726418028</v>
      </c>
      <c r="AA737" s="8">
        <f>+VLOOKUP($B737,NIFTY_ENERGY!$B$63:$K$1238,10,0)</f>
        <v>3.4659270580794654E-2</v>
      </c>
      <c r="AB737" s="8">
        <f>+VLOOKUP($B737,NIFTY_AUTO!$B$63:$K$1238,10,0)</f>
        <v>8.8241002884698938E-2</v>
      </c>
      <c r="AC737" s="8"/>
      <c r="AD737" s="16">
        <f t="shared" si="412"/>
        <v>4.8090320959922675E-2</v>
      </c>
      <c r="AE737" s="8">
        <f t="shared" si="413"/>
        <v>8.326084145704403E-2</v>
      </c>
      <c r="AF737" s="8">
        <f t="shared" si="414"/>
        <v>8.5605867237467423E-2</v>
      </c>
      <c r="AG737" s="8">
        <f t="shared" si="415"/>
        <v>8.5389818868209955E-2</v>
      </c>
      <c r="AH737" s="8">
        <f t="shared" si="416"/>
        <v>5.0083576355917307E-2</v>
      </c>
      <c r="AI737" s="8">
        <f t="shared" si="417"/>
        <v>0.13106002101937378</v>
      </c>
      <c r="AJ737" s="8">
        <f t="shared" si="418"/>
        <v>6.4411451666480296E-2</v>
      </c>
      <c r="AK737" s="8">
        <f t="shared" si="419"/>
        <v>8.9795753945023191E-2</v>
      </c>
      <c r="AL737" s="9">
        <v>0</v>
      </c>
      <c r="AM737" s="17">
        <f t="shared" si="396"/>
        <v>20.794205154783146</v>
      </c>
      <c r="AN737" s="13">
        <f t="shared" si="397"/>
        <v>12.010447918856554</v>
      </c>
      <c r="AO737" s="13">
        <f t="shared" si="398"/>
        <v>11.681442315466976</v>
      </c>
      <c r="AP737" s="13">
        <f t="shared" si="399"/>
        <v>11.710998023586313</v>
      </c>
      <c r="AQ737" s="13">
        <f t="shared" si="400"/>
        <v>19.96662524444206</v>
      </c>
      <c r="AR737" s="13">
        <f t="shared" si="401"/>
        <v>7.6300918634232193</v>
      </c>
      <c r="AS737" s="13">
        <f t="shared" si="402"/>
        <v>15.525189607244945</v>
      </c>
      <c r="AT737" s="13">
        <f t="shared" si="403"/>
        <v>11.136384027826558</v>
      </c>
      <c r="AU737" s="9">
        <v>0</v>
      </c>
      <c r="AV737" s="18">
        <f t="shared" si="420"/>
        <v>1</v>
      </c>
      <c r="AW737" s="18">
        <f t="shared" si="421"/>
        <v>4</v>
      </c>
      <c r="AX737" s="18">
        <f t="shared" si="422"/>
        <v>6</v>
      </c>
      <c r="AY737" s="18">
        <f t="shared" si="423"/>
        <v>5</v>
      </c>
      <c r="AZ737" s="18">
        <f t="shared" si="424"/>
        <v>2</v>
      </c>
      <c r="BA737" s="18">
        <f t="shared" si="425"/>
        <v>8</v>
      </c>
      <c r="BB737" s="18">
        <f t="shared" si="426"/>
        <v>3</v>
      </c>
      <c r="BC737" s="18">
        <f t="shared" si="427"/>
        <v>7</v>
      </c>
      <c r="BD737" s="18">
        <f t="shared" si="428"/>
        <v>9</v>
      </c>
      <c r="BE737" s="8">
        <f t="shared" si="430"/>
        <v>-6.4770830975272361E-3</v>
      </c>
    </row>
    <row r="738" spans="1:57" x14ac:dyDescent="0.25">
      <c r="A738" t="str">
        <f t="shared" si="429"/>
        <v/>
      </c>
      <c r="B738" s="1">
        <v>43826</v>
      </c>
      <c r="C738" s="9">
        <f t="shared" si="404"/>
        <v>0.25245584935522969</v>
      </c>
      <c r="D738" s="9">
        <f t="shared" si="405"/>
        <v>0</v>
      </c>
      <c r="E738" s="9">
        <f t="shared" si="406"/>
        <v>0.26151390306516031</v>
      </c>
      <c r="F738" s="9">
        <f t="shared" si="407"/>
        <v>0</v>
      </c>
      <c r="G738" s="9">
        <f t="shared" si="408"/>
        <v>0.24188378830485299</v>
      </c>
      <c r="H738" s="9">
        <f t="shared" si="409"/>
        <v>0</v>
      </c>
      <c r="I738" s="9">
        <f t="shared" si="410"/>
        <v>0.24414645927475706</v>
      </c>
      <c r="J738" s="9">
        <f t="shared" si="411"/>
        <v>0</v>
      </c>
      <c r="K738" s="9">
        <v>0</v>
      </c>
      <c r="L738" s="8">
        <f>+VLOOKUP($B738,NIFTY_50!$B$3:$I$1238,8,0)</f>
        <v>9.8337944427722146E-3</v>
      </c>
      <c r="M738" s="8">
        <f>+VLOOKUP($B738,NIFTY_BANK!$B$3:$I$41238,8,0)</f>
        <v>1.2958743909718518E-2</v>
      </c>
      <c r="N738" s="8">
        <f>+VLOOKUP($B738,NIFTY_IT!$B$3:$I$1238,8,0)</f>
        <v>4.7273572322199531E-3</v>
      </c>
      <c r="O738" s="8">
        <f>+VLOOKUP($B738,NIFTY_PHARMA!$B$3:$I$1238,8,0)</f>
        <v>8.8088926678002721E-3</v>
      </c>
      <c r="P738" s="8">
        <f>+VLOOKUP($B738,NIFTY_FMCG!$B$3:$I$1238,8,0)</f>
        <v>2.7242291745319669E-3</v>
      </c>
      <c r="Q738" s="8">
        <f>+VLOOKUP($B738,NIFTY_METAL!$B$3:$I$1238,8,0)</f>
        <v>7.7948156261409274E-3</v>
      </c>
      <c r="R738" s="8">
        <f>+VLOOKUP($B738,NIFTY_ENERGY!$B$3:$I$1238,8,0)</f>
        <v>1.5259180022030971E-2</v>
      </c>
      <c r="S738" s="8">
        <f>+VLOOKUP($B738,NIFTY_AUTO!$B$3:$I$1238,8,0)</f>
        <v>9.379247569083482E-3</v>
      </c>
      <c r="T738" s="8">
        <v>0</v>
      </c>
      <c r="U738" s="8">
        <f>+VLOOKUP($B738,NIFTY_50!$B$63:$K$1238,10,0)</f>
        <v>5.8299917035398163E-2</v>
      </c>
      <c r="V738" s="8">
        <f>+VLOOKUP($B738,NIFTY_BANK!$B$63:$K$1238,10,0)</f>
        <v>8.0318039103277616E-2</v>
      </c>
      <c r="W738" s="8">
        <f>+VLOOKUP($B738,NIFTY_IT!$B$63:$K$1238,10,0)</f>
        <v>3.0549406056331607E-2</v>
      </c>
      <c r="X738" s="8">
        <f>+VLOOKUP($B738,NIFTY_PHARMA!$B$63:$K$1238,10,0)</f>
        <v>2.6822190828910797E-2</v>
      </c>
      <c r="Y738" s="8">
        <f>+VLOOKUP($B738,NIFTY_FMCG!$B$63:$K$1238,10,0)</f>
        <v>-2.8434270023237285E-2</v>
      </c>
      <c r="Z738" s="8">
        <f>+VLOOKUP($B738,NIFTY_METAL!$B$63:$K$1238,10,0)</f>
        <v>9.5181416016981046E-2</v>
      </c>
      <c r="AA738" s="8">
        <f>+VLOOKUP($B738,NIFTY_ENERGY!$B$63:$K$1238,10,0)</f>
        <v>3.2242715366837427E-2</v>
      </c>
      <c r="AB738" s="8">
        <f>+VLOOKUP($B738,NIFTY_AUTO!$B$63:$K$1238,10,0)</f>
        <v>7.1301282678938538E-2</v>
      </c>
      <c r="AC738" s="8"/>
      <c r="AD738" s="16">
        <f t="shared" si="412"/>
        <v>4.7763682777922846E-2</v>
      </c>
      <c r="AE738" s="8">
        <f t="shared" si="413"/>
        <v>8.3096681361678054E-2</v>
      </c>
      <c r="AF738" s="8">
        <f t="shared" si="414"/>
        <v>8.5574665160724567E-2</v>
      </c>
      <c r="AG738" s="8">
        <f t="shared" si="415"/>
        <v>8.5402453068452053E-2</v>
      </c>
      <c r="AH738" s="8">
        <f t="shared" si="416"/>
        <v>5.0044526392239198E-2</v>
      </c>
      <c r="AI738" s="8">
        <f t="shared" si="417"/>
        <v>0.12503556043931988</v>
      </c>
      <c r="AJ738" s="8">
        <f t="shared" si="418"/>
        <v>6.3822997233063297E-2</v>
      </c>
      <c r="AK738" s="8">
        <f t="shared" si="419"/>
        <v>8.6898416295365002E-2</v>
      </c>
      <c r="AL738" s="9">
        <v>0</v>
      </c>
      <c r="AM738" s="17">
        <f t="shared" si="396"/>
        <v>20.936409042190029</v>
      </c>
      <c r="AN738" s="13">
        <f t="shared" si="397"/>
        <v>12.034174934706513</v>
      </c>
      <c r="AO738" s="13">
        <f t="shared" si="398"/>
        <v>11.685701581441432</v>
      </c>
      <c r="AP738" s="13">
        <f t="shared" si="399"/>
        <v>11.709265531266142</v>
      </c>
      <c r="AQ738" s="13">
        <f t="shared" si="400"/>
        <v>19.982205289789253</v>
      </c>
      <c r="AR738" s="13">
        <f t="shared" si="401"/>
        <v>7.9977247791463526</v>
      </c>
      <c r="AS738" s="13">
        <f t="shared" si="402"/>
        <v>15.668333411987634</v>
      </c>
      <c r="AT738" s="13">
        <f t="shared" si="403"/>
        <v>11.507689583214397</v>
      </c>
      <c r="AU738" s="9">
        <v>0</v>
      </c>
      <c r="AV738" s="18">
        <f t="shared" si="420"/>
        <v>1</v>
      </c>
      <c r="AW738" s="18">
        <f t="shared" si="421"/>
        <v>4</v>
      </c>
      <c r="AX738" s="18">
        <f t="shared" si="422"/>
        <v>6</v>
      </c>
      <c r="AY738" s="18">
        <f t="shared" si="423"/>
        <v>5</v>
      </c>
      <c r="AZ738" s="18">
        <f t="shared" si="424"/>
        <v>2</v>
      </c>
      <c r="BA738" s="18">
        <f t="shared" si="425"/>
        <v>8</v>
      </c>
      <c r="BB738" s="18">
        <f t="shared" si="426"/>
        <v>3</v>
      </c>
      <c r="BC738" s="18">
        <f t="shared" si="427"/>
        <v>7</v>
      </c>
      <c r="BD738" s="18">
        <f t="shared" si="428"/>
        <v>9</v>
      </c>
      <c r="BE738" s="8">
        <f t="shared" si="430"/>
        <v>8.0802818874350767E-3</v>
      </c>
    </row>
    <row r="739" spans="1:57" x14ac:dyDescent="0.25">
      <c r="A739" t="str">
        <f t="shared" si="429"/>
        <v/>
      </c>
      <c r="B739" s="1">
        <v>43829</v>
      </c>
      <c r="C739" s="9">
        <f t="shared" si="404"/>
        <v>0.25240628922657687</v>
      </c>
      <c r="D739" s="9">
        <f t="shared" si="405"/>
        <v>0</v>
      </c>
      <c r="E739" s="9">
        <f t="shared" si="406"/>
        <v>0.26115379807693412</v>
      </c>
      <c r="F739" s="9">
        <f t="shared" si="407"/>
        <v>0</v>
      </c>
      <c r="G739" s="9">
        <f t="shared" si="408"/>
        <v>0.24227845119742997</v>
      </c>
      <c r="H739" s="9">
        <f t="shared" si="409"/>
        <v>0</v>
      </c>
      <c r="I739" s="9">
        <f t="shared" si="410"/>
        <v>0.2441614614990589</v>
      </c>
      <c r="J739" s="9">
        <f t="shared" si="411"/>
        <v>0</v>
      </c>
      <c r="K739" s="9">
        <v>0</v>
      </c>
      <c r="L739" s="8">
        <f>+VLOOKUP($B739,NIFTY_50!$B$3:$I$1238,8,0)</f>
        <v>8.206895425371119E-4</v>
      </c>
      <c r="M739" s="8">
        <f>+VLOOKUP($B739,NIFTY_BANK!$B$3:$I$41238,8,0)</f>
        <v>-1.7724725297609822E-3</v>
      </c>
      <c r="N739" s="8">
        <f>+VLOOKUP($B739,NIFTY_IT!$B$3:$I$1238,8,0)</f>
        <v>-3.6120070719303232E-4</v>
      </c>
      <c r="O739" s="8">
        <f>+VLOOKUP($B739,NIFTY_PHARMA!$B$3:$I$1238,8,0)</f>
        <v>1.8653825893493181E-3</v>
      </c>
      <c r="P739" s="8">
        <f>+VLOOKUP($B739,NIFTY_FMCG!$B$3:$I$1238,8,0)</f>
        <v>2.6504829086975157E-3</v>
      </c>
      <c r="Q739" s="8">
        <f>+VLOOKUP($B739,NIFTY_METAL!$B$3:$I$1238,8,0)</f>
        <v>1.3096165341351718E-2</v>
      </c>
      <c r="R739" s="8">
        <f>+VLOOKUP($B739,NIFTY_ENERGY!$B$3:$I$1238,8,0)</f>
        <v>1.0787114415535815E-3</v>
      </c>
      <c r="S739" s="8">
        <f>+VLOOKUP($B739,NIFTY_AUTO!$B$3:$I$1238,8,0)</f>
        <v>1.4562692696718171E-2</v>
      </c>
      <c r="T739" s="8">
        <v>0</v>
      </c>
      <c r="U739" s="8">
        <f>+VLOOKUP($B739,NIFTY_50!$B$63:$K$1238,10,0)</f>
        <v>6.4578193947395945E-2</v>
      </c>
      <c r="V739" s="8">
        <f>+VLOOKUP($B739,NIFTY_BANK!$B$63:$K$1238,10,0)</f>
        <v>8.2949393589977438E-2</v>
      </c>
      <c r="W739" s="8">
        <f>+VLOOKUP($B739,NIFTY_IT!$B$63:$K$1238,10,0)</f>
        <v>3.5349557638287177E-2</v>
      </c>
      <c r="X739" s="8">
        <f>+VLOOKUP($B739,NIFTY_PHARMA!$B$63:$K$1238,10,0)</f>
        <v>5.0394396579730438E-2</v>
      </c>
      <c r="Y739" s="8">
        <f>+VLOOKUP($B739,NIFTY_FMCG!$B$63:$K$1238,10,0)</f>
        <v>-2.5805775800941233E-2</v>
      </c>
      <c r="Z739" s="8">
        <f>+VLOOKUP($B739,NIFTY_METAL!$B$63:$K$1238,10,0)</f>
        <v>0.13959127121579495</v>
      </c>
      <c r="AA739" s="8">
        <f>+VLOOKUP($B739,NIFTY_ENERGY!$B$63:$K$1238,10,0)</f>
        <v>3.7618349589981337E-2</v>
      </c>
      <c r="AB739" s="8">
        <f>+VLOOKUP($B739,NIFTY_AUTO!$B$63:$K$1238,10,0)</f>
        <v>0.10208160968990954</v>
      </c>
      <c r="AC739" s="8"/>
      <c r="AD739" s="16">
        <f t="shared" si="412"/>
        <v>4.7375716177700013E-2</v>
      </c>
      <c r="AE739" s="8">
        <f t="shared" si="413"/>
        <v>8.2970226099195396E-2</v>
      </c>
      <c r="AF739" s="8">
        <f t="shared" si="414"/>
        <v>8.539735918665825E-2</v>
      </c>
      <c r="AG739" s="8">
        <f t="shared" si="415"/>
        <v>8.2713182374930638E-2</v>
      </c>
      <c r="AH739" s="8">
        <f t="shared" si="416"/>
        <v>5.0137844125248063E-2</v>
      </c>
      <c r="AI739" s="8">
        <f t="shared" si="417"/>
        <v>0.12229416930700182</v>
      </c>
      <c r="AJ739" s="8">
        <f t="shared" si="418"/>
        <v>6.3651246616155399E-2</v>
      </c>
      <c r="AK739" s="8">
        <f t="shared" si="419"/>
        <v>8.6562367843336332E-2</v>
      </c>
      <c r="AL739" s="9">
        <v>0</v>
      </c>
      <c r="AM739" s="17">
        <f t="shared" si="396"/>
        <v>21.107860327622973</v>
      </c>
      <c r="AN739" s="13">
        <f t="shared" si="397"/>
        <v>12.052516270167155</v>
      </c>
      <c r="AO739" s="13">
        <f t="shared" si="398"/>
        <v>11.709963979263557</v>
      </c>
      <c r="AP739" s="13">
        <f t="shared" si="399"/>
        <v>12.089971287371091</v>
      </c>
      <c r="AQ739" s="13">
        <f t="shared" si="400"/>
        <v>19.945013940007584</v>
      </c>
      <c r="AR739" s="13">
        <f t="shared" si="401"/>
        <v>8.1770047228469629</v>
      </c>
      <c r="AS739" s="13">
        <f t="shared" si="402"/>
        <v>15.710611388814321</v>
      </c>
      <c r="AT739" s="13">
        <f t="shared" si="403"/>
        <v>11.552364207617746</v>
      </c>
      <c r="AU739" s="9">
        <v>0</v>
      </c>
      <c r="AV739" s="18">
        <f t="shared" si="420"/>
        <v>1</v>
      </c>
      <c r="AW739" s="18">
        <f t="shared" si="421"/>
        <v>5</v>
      </c>
      <c r="AX739" s="18">
        <f t="shared" si="422"/>
        <v>6</v>
      </c>
      <c r="AY739" s="18">
        <f t="shared" si="423"/>
        <v>4</v>
      </c>
      <c r="AZ739" s="18">
        <f t="shared" si="424"/>
        <v>2</v>
      </c>
      <c r="BA739" s="18">
        <f t="shared" si="425"/>
        <v>8</v>
      </c>
      <c r="BB739" s="18">
        <f t="shared" si="426"/>
        <v>3</v>
      </c>
      <c r="BC739" s="18">
        <f t="shared" si="427"/>
        <v>7</v>
      </c>
      <c r="BD739" s="18">
        <f t="shared" si="428"/>
        <v>9</v>
      </c>
      <c r="BE739" s="8">
        <f t="shared" si="430"/>
        <v>1.0172012946177123E-3</v>
      </c>
    </row>
    <row r="740" spans="1:57" x14ac:dyDescent="0.25">
      <c r="A740" t="str">
        <f t="shared" si="429"/>
        <v>Y</v>
      </c>
      <c r="B740" s="1">
        <v>43830</v>
      </c>
      <c r="C740" s="9">
        <f t="shared" si="404"/>
        <v>0.25</v>
      </c>
      <c r="D740" s="9">
        <f t="shared" si="405"/>
        <v>0.25</v>
      </c>
      <c r="E740" s="9">
        <f t="shared" si="406"/>
        <v>0</v>
      </c>
      <c r="F740" s="9">
        <f t="shared" si="407"/>
        <v>0</v>
      </c>
      <c r="G740" s="9">
        <f t="shared" si="408"/>
        <v>0.25</v>
      </c>
      <c r="H740" s="9">
        <f t="shared" si="409"/>
        <v>0</v>
      </c>
      <c r="I740" s="9">
        <f t="shared" si="410"/>
        <v>0.25</v>
      </c>
      <c r="J740" s="9">
        <f t="shared" si="411"/>
        <v>0</v>
      </c>
      <c r="K740" s="9">
        <v>0</v>
      </c>
      <c r="L740" s="8">
        <f>+VLOOKUP($B740,NIFTY_50!$B$3:$I$1238,8,0)</f>
        <v>-7.1312883235352675E-3</v>
      </c>
      <c r="M740" s="8">
        <f>+VLOOKUP($B740,NIFTY_BANK!$B$3:$I$41238,8,0)</f>
        <v>-5.9728201910684842E-3</v>
      </c>
      <c r="N740" s="8">
        <f>+VLOOKUP($B740,NIFTY_IT!$B$3:$I$1238,8,0)</f>
        <v>-7.7717908082408638E-3</v>
      </c>
      <c r="O740" s="8">
        <f>+VLOOKUP($B740,NIFTY_PHARMA!$B$3:$I$1238,8,0)</f>
        <v>-5.3135554428376253E-3</v>
      </c>
      <c r="P740" s="8">
        <f>+VLOOKUP($B740,NIFTY_FMCG!$B$3:$I$1238,8,0)</f>
        <v>-3.4358576492909965E-3</v>
      </c>
      <c r="Q740" s="8">
        <f>+VLOOKUP($B740,NIFTY_METAL!$B$3:$I$1238,8,0)</f>
        <v>1.7164312533524129E-3</v>
      </c>
      <c r="R740" s="8">
        <f>+VLOOKUP($B740,NIFTY_ENERGY!$B$3:$I$1238,8,0)</f>
        <v>-3.3798705061660606E-3</v>
      </c>
      <c r="S740" s="8">
        <f>+VLOOKUP($B740,NIFTY_AUTO!$B$3:$I$1238,8,0)</f>
        <v>-9.2608162971149488E-3</v>
      </c>
      <c r="T740" s="8">
        <v>0</v>
      </c>
      <c r="U740" s="8">
        <f>+VLOOKUP($B740,NIFTY_50!$B$63:$K$1238,10,0)</f>
        <v>6.0482201761304477E-2</v>
      </c>
      <c r="V740" s="8">
        <f>+VLOOKUP($B740,NIFTY_BANK!$B$63:$K$1238,10,0)</f>
        <v>0.10509171687600816</v>
      </c>
      <c r="W740" s="8">
        <f>+VLOOKUP($B740,NIFTY_IT!$B$63:$K$1238,10,0)</f>
        <v>7.2232250010457744E-3</v>
      </c>
      <c r="X740" s="8">
        <f>+VLOOKUP($B740,NIFTY_PHARMA!$B$63:$K$1238,10,0)</f>
        <v>6.5237984829916051E-2</v>
      </c>
      <c r="Y740" s="8">
        <f>+VLOOKUP($B740,NIFTY_FMCG!$B$63:$K$1238,10,0)</f>
        <v>-3.2536253994764675E-2</v>
      </c>
      <c r="Z740" s="8">
        <f>+VLOOKUP($B740,NIFTY_METAL!$B$63:$K$1238,10,0)</f>
        <v>0.14814435313646346</v>
      </c>
      <c r="AA740" s="8">
        <f>+VLOOKUP($B740,NIFTY_ENERGY!$B$63:$K$1238,10,0)</f>
        <v>2.6229550498013232E-2</v>
      </c>
      <c r="AB740" s="8">
        <f>+VLOOKUP($B740,NIFTY_AUTO!$B$63:$K$1238,10,0)</f>
        <v>0.10077871122291682</v>
      </c>
      <c r="AC740" s="8"/>
      <c r="AD740" s="16">
        <f t="shared" si="412"/>
        <v>4.7877126033171076E-2</v>
      </c>
      <c r="AE740" s="8">
        <f t="shared" si="413"/>
        <v>7.8667836280006703E-2</v>
      </c>
      <c r="AF740" s="8">
        <f t="shared" si="414"/>
        <v>8.3534400688040855E-2</v>
      </c>
      <c r="AG740" s="8">
        <f t="shared" si="415"/>
        <v>8.0467399803212977E-2</v>
      </c>
      <c r="AH740" s="8">
        <f t="shared" si="416"/>
        <v>5.0069309320152543E-2</v>
      </c>
      <c r="AI740" s="8">
        <f t="shared" si="417"/>
        <v>0.12202891430736316</v>
      </c>
      <c r="AJ740" s="8">
        <f t="shared" si="418"/>
        <v>6.3372248047381452E-2</v>
      </c>
      <c r="AK740" s="8">
        <f t="shared" si="419"/>
        <v>8.6702064958887506E-2</v>
      </c>
      <c r="AL740" s="9">
        <v>0</v>
      </c>
      <c r="AM740" s="17">
        <f t="shared" si="396"/>
        <v>20.886800918400205</v>
      </c>
      <c r="AN740" s="13">
        <f t="shared" si="397"/>
        <v>12.711675410019486</v>
      </c>
      <c r="AO740" s="13">
        <f t="shared" si="398"/>
        <v>11.971115992493909</v>
      </c>
      <c r="AP740" s="13">
        <f t="shared" si="399"/>
        <v>12.427392987042575</v>
      </c>
      <c r="AQ740" s="13">
        <f t="shared" si="400"/>
        <v>19.972314648996107</v>
      </c>
      <c r="AR740" s="13">
        <f t="shared" si="401"/>
        <v>8.19477912817635</v>
      </c>
      <c r="AS740" s="13">
        <f t="shared" si="402"/>
        <v>15.779777912444123</v>
      </c>
      <c r="AT740" s="13">
        <f t="shared" si="403"/>
        <v>11.533750672191962</v>
      </c>
      <c r="AU740" s="9">
        <v>0</v>
      </c>
      <c r="AV740" s="18">
        <f t="shared" si="420"/>
        <v>1</v>
      </c>
      <c r="AW740" s="18">
        <f t="shared" si="421"/>
        <v>4</v>
      </c>
      <c r="AX740" s="18">
        <f t="shared" si="422"/>
        <v>6</v>
      </c>
      <c r="AY740" s="18">
        <f t="shared" si="423"/>
        <v>5</v>
      </c>
      <c r="AZ740" s="18">
        <f t="shared" si="424"/>
        <v>2</v>
      </c>
      <c r="BA740" s="18">
        <f t="shared" si="425"/>
        <v>8</v>
      </c>
      <c r="BB740" s="18">
        <f t="shared" si="426"/>
        <v>3</v>
      </c>
      <c r="BC740" s="18">
        <f t="shared" si="427"/>
        <v>7</v>
      </c>
      <c r="BD740" s="18">
        <f t="shared" si="428"/>
        <v>9</v>
      </c>
      <c r="BE740" s="8">
        <f t="shared" si="430"/>
        <v>-5.4872831028479948E-3</v>
      </c>
    </row>
    <row r="741" spans="1:57" x14ac:dyDescent="0.25">
      <c r="A741" t="str">
        <f t="shared" si="429"/>
        <v/>
      </c>
      <c r="B741" s="1">
        <v>43831</v>
      </c>
      <c r="C741" s="9">
        <f t="shared" si="404"/>
        <v>0.24978441665700418</v>
      </c>
      <c r="D741" s="9">
        <f t="shared" si="405"/>
        <v>0.24904058447002145</v>
      </c>
      <c r="E741" s="9">
        <f t="shared" si="406"/>
        <v>0</v>
      </c>
      <c r="F741" s="9">
        <f t="shared" si="407"/>
        <v>0</v>
      </c>
      <c r="G741" s="9">
        <f t="shared" si="408"/>
        <v>0.25043024996361274</v>
      </c>
      <c r="H741" s="9">
        <f t="shared" si="409"/>
        <v>0</v>
      </c>
      <c r="I741" s="9">
        <f t="shared" si="410"/>
        <v>0.25074474890936155</v>
      </c>
      <c r="J741" s="9">
        <f t="shared" si="411"/>
        <v>0</v>
      </c>
      <c r="K741" s="9">
        <v>0</v>
      </c>
      <c r="L741" s="8">
        <f>+VLOOKUP($B741,NIFTY_50!$B$3:$I$1238,8,0)</f>
        <v>1.1546252809520041E-3</v>
      </c>
      <c r="M741" s="8">
        <f>+VLOOKUP($B741,NIFTY_BANK!$B$3:$I$41238,8,0)</f>
        <v>-1.8267097614705907E-3</v>
      </c>
      <c r="N741" s="8">
        <f>+VLOOKUP($B741,NIFTY_IT!$B$3:$I$1238,8,0)</f>
        <v>4.4561856328741989E-3</v>
      </c>
      <c r="O741" s="8">
        <f>+VLOOKUP($B741,NIFTY_PHARMA!$B$3:$I$1238,8,0)</f>
        <v>8.6441173361206936E-4</v>
      </c>
      <c r="P741" s="8">
        <f>+VLOOKUP($B741,NIFTY_FMCG!$B$3:$I$1238,8,0)</f>
        <v>3.7431734807362727E-3</v>
      </c>
      <c r="Q741" s="8">
        <f>+VLOOKUP($B741,NIFTY_METAL!$B$3:$I$1238,8,0)</f>
        <v>-1.8741298682753982E-3</v>
      </c>
      <c r="R741" s="8">
        <f>+VLOOKUP($B741,NIFTY_ENERGY!$B$3:$I$1238,8,0)</f>
        <v>5.0037087791201529E-3</v>
      </c>
      <c r="S741" s="8">
        <f>+VLOOKUP($B741,NIFTY_AUTO!$B$3:$I$1238,8,0)</f>
        <v>-4.6312573499992515E-3</v>
      </c>
      <c r="T741" s="8">
        <v>0</v>
      </c>
      <c r="U741" s="8">
        <f>+VLOOKUP($B741,NIFTY_50!$B$63:$K$1238,10,0)</f>
        <v>7.2412609265926742E-2</v>
      </c>
      <c r="V741" s="8">
        <f>+VLOOKUP($B741,NIFTY_BANK!$B$63:$K$1238,10,0)</f>
        <v>0.11757497693686791</v>
      </c>
      <c r="W741" s="8">
        <f>+VLOOKUP($B741,NIFTY_IT!$B$63:$K$1238,10,0)</f>
        <v>2.7574712831489601E-2</v>
      </c>
      <c r="X741" s="8">
        <f>+VLOOKUP($B741,NIFTY_PHARMA!$B$63:$K$1238,10,0)</f>
        <v>7.7767881657280213E-2</v>
      </c>
      <c r="Y741" s="8">
        <f>+VLOOKUP($B741,NIFTY_FMCG!$B$63:$K$1238,10,0)</f>
        <v>-1.841153066342871E-2</v>
      </c>
      <c r="Z741" s="8">
        <f>+VLOOKUP($B741,NIFTY_METAL!$B$63:$K$1238,10,0)</f>
        <v>0.16645460044638205</v>
      </c>
      <c r="AA741" s="8">
        <f>+VLOOKUP($B741,NIFTY_ENERGY!$B$63:$K$1238,10,0)</f>
        <v>3.9089842620244397E-2</v>
      </c>
      <c r="AB741" s="8">
        <f>+VLOOKUP($B741,NIFTY_AUTO!$B$63:$K$1238,10,0)</f>
        <v>9.9945070403665515E-2</v>
      </c>
      <c r="AC741" s="8"/>
      <c r="AD741" s="16">
        <f t="shared" si="412"/>
        <v>4.6583100040798277E-2</v>
      </c>
      <c r="AE741" s="8">
        <f t="shared" si="413"/>
        <v>7.7355378278270312E-2</v>
      </c>
      <c r="AF741" s="8">
        <f t="shared" si="414"/>
        <v>8.2134403146801108E-2</v>
      </c>
      <c r="AG741" s="8">
        <f t="shared" si="415"/>
        <v>7.9574791518523466E-2</v>
      </c>
      <c r="AH741" s="8">
        <f t="shared" si="416"/>
        <v>4.9174127211319731E-2</v>
      </c>
      <c r="AI741" s="8">
        <f t="shared" si="417"/>
        <v>0.12044900906742047</v>
      </c>
      <c r="AJ741" s="8">
        <f t="shared" si="418"/>
        <v>6.3022911925396843E-2</v>
      </c>
      <c r="AK741" s="8">
        <f t="shared" si="419"/>
        <v>8.6753247420734675E-2</v>
      </c>
      <c r="AL741" s="9">
        <v>0</v>
      </c>
      <c r="AM741" s="17">
        <f t="shared" si="396"/>
        <v>21.467012696110455</v>
      </c>
      <c r="AN741" s="13">
        <f t="shared" si="397"/>
        <v>12.927349361575125</v>
      </c>
      <c r="AO741" s="13">
        <f t="shared" si="398"/>
        <v>12.17516608981345</v>
      </c>
      <c r="AP741" s="13">
        <f t="shared" si="399"/>
        <v>12.566793841580086</v>
      </c>
      <c r="AQ741" s="13">
        <f t="shared" si="400"/>
        <v>20.335897284005135</v>
      </c>
      <c r="AR741" s="13">
        <f t="shared" si="401"/>
        <v>8.3022683851243411</v>
      </c>
      <c r="AS741" s="13">
        <f t="shared" si="402"/>
        <v>15.867245251754577</v>
      </c>
      <c r="AT741" s="13">
        <f t="shared" si="403"/>
        <v>11.526946019094988</v>
      </c>
      <c r="AU741" s="9">
        <v>0</v>
      </c>
      <c r="AV741" s="18">
        <f t="shared" si="420"/>
        <v>1</v>
      </c>
      <c r="AW741" s="18">
        <f t="shared" si="421"/>
        <v>4</v>
      </c>
      <c r="AX741" s="18">
        <f t="shared" si="422"/>
        <v>6</v>
      </c>
      <c r="AY741" s="18">
        <f t="shared" si="423"/>
        <v>5</v>
      </c>
      <c r="AZ741" s="18">
        <f t="shared" si="424"/>
        <v>2</v>
      </c>
      <c r="BA741" s="18">
        <f t="shared" si="425"/>
        <v>8</v>
      </c>
      <c r="BB741" s="18">
        <f t="shared" si="426"/>
        <v>3</v>
      </c>
      <c r="BC741" s="18">
        <f t="shared" si="427"/>
        <v>7</v>
      </c>
      <c r="BD741" s="18">
        <f t="shared" si="428"/>
        <v>9</v>
      </c>
      <c r="BE741" s="8">
        <f t="shared" si="430"/>
        <v>2.0186994448344597E-3</v>
      </c>
    </row>
    <row r="742" spans="1:57" x14ac:dyDescent="0.25">
      <c r="A742" t="str">
        <f t="shared" si="429"/>
        <v/>
      </c>
      <c r="B742" s="1">
        <v>43832</v>
      </c>
      <c r="C742" s="9">
        <f t="shared" si="404"/>
        <v>0.25003823148511717</v>
      </c>
      <c r="D742" s="9">
        <f t="shared" si="405"/>
        <v>0.24989615779345956</v>
      </c>
      <c r="E742" s="9">
        <f t="shared" si="406"/>
        <v>0</v>
      </c>
      <c r="F742" s="9">
        <f t="shared" si="407"/>
        <v>0</v>
      </c>
      <c r="G742" s="9">
        <f t="shared" si="408"/>
        <v>0.24891256362446992</v>
      </c>
      <c r="H742" s="9">
        <f t="shared" si="409"/>
        <v>0</v>
      </c>
      <c r="I742" s="9">
        <f t="shared" si="410"/>
        <v>0.25115304709695346</v>
      </c>
      <c r="J742" s="9">
        <f t="shared" si="411"/>
        <v>0</v>
      </c>
      <c r="K742" s="9">
        <v>0</v>
      </c>
      <c r="L742" s="8">
        <f>+VLOOKUP($B742,NIFTY_50!$B$3:$I$1238,8,0)</f>
        <v>8.1838703057666162E-3</v>
      </c>
      <c r="M742" s="8">
        <f>+VLOOKUP($B742,NIFTY_BANK!$B$3:$I$41238,8,0)</f>
        <v>1.0620535839441114E-2</v>
      </c>
      <c r="N742" s="8">
        <f>+VLOOKUP($B742,NIFTY_IT!$B$3:$I$1238,8,0)</f>
        <v>-7.9505665573731399E-4</v>
      </c>
      <c r="O742" s="8">
        <f>+VLOOKUP($B742,NIFTY_PHARMA!$B$3:$I$1238,8,0)</f>
        <v>8.5123833430666984E-4</v>
      </c>
      <c r="P742" s="8">
        <f>+VLOOKUP($B742,NIFTY_FMCG!$B$3:$I$1238,8,0)</f>
        <v>1.0567485550327937E-3</v>
      </c>
      <c r="Q742" s="8">
        <f>+VLOOKUP($B742,NIFTY_METAL!$B$3:$I$1238,8,0)</f>
        <v>2.6412260152715472E-2</v>
      </c>
      <c r="R742" s="8">
        <f>+VLOOKUP($B742,NIFTY_ENERGY!$B$3:$I$1238,8,0)</f>
        <v>8.8004603510176693E-3</v>
      </c>
      <c r="S742" s="8">
        <f>+VLOOKUP($B742,NIFTY_AUTO!$B$3:$I$1238,8,0)</f>
        <v>6.9852985956322389E-3</v>
      </c>
      <c r="T742" s="8">
        <v>0</v>
      </c>
      <c r="U742" s="8">
        <f>+VLOOKUP($B742,NIFTY_50!$B$63:$K$1238,10,0)</f>
        <v>8.5575393318013226E-2</v>
      </c>
      <c r="V742" s="8">
        <f>+VLOOKUP($B742,NIFTY_BANK!$B$63:$K$1238,10,0)</f>
        <v>0.14182219391076956</v>
      </c>
      <c r="W742" s="8">
        <f>+VLOOKUP($B742,NIFTY_IT!$B$63:$K$1238,10,0)</f>
        <v>2.82564087459376E-2</v>
      </c>
      <c r="X742" s="8">
        <f>+VLOOKUP($B742,NIFTY_PHARMA!$B$63:$K$1238,10,0)</f>
        <v>7.9364760277414792E-2</v>
      </c>
      <c r="Y742" s="8">
        <f>+VLOOKUP($B742,NIFTY_FMCG!$B$63:$K$1238,10,0)</f>
        <v>-1.704394141145138E-2</v>
      </c>
      <c r="Z742" s="8">
        <f>+VLOOKUP($B742,NIFTY_METAL!$B$63:$K$1238,10,0)</f>
        <v>0.23354322924501947</v>
      </c>
      <c r="AA742" s="8">
        <f>+VLOOKUP($B742,NIFTY_ENERGY!$B$63:$K$1238,10,0)</f>
        <v>3.4362233609317228E-2</v>
      </c>
      <c r="AB742" s="8">
        <f>+VLOOKUP($B742,NIFTY_AUTO!$B$63:$K$1238,10,0)</f>
        <v>0.10324603836530444</v>
      </c>
      <c r="AC742" s="8"/>
      <c r="AD742" s="16">
        <f t="shared" si="412"/>
        <v>4.6794389586186071E-2</v>
      </c>
      <c r="AE742" s="8">
        <f t="shared" si="413"/>
        <v>7.6754093445213487E-2</v>
      </c>
      <c r="AF742" s="8">
        <f t="shared" si="414"/>
        <v>8.2121227078764431E-2</v>
      </c>
      <c r="AG742" s="8">
        <f t="shared" si="415"/>
        <v>7.955279933084701E-2</v>
      </c>
      <c r="AH742" s="8">
        <f t="shared" si="416"/>
        <v>4.9192071947734457E-2</v>
      </c>
      <c r="AI742" s="8">
        <f t="shared" si="417"/>
        <v>0.11829660506659942</v>
      </c>
      <c r="AJ742" s="8">
        <f t="shared" si="418"/>
        <v>6.2251301762601415E-2</v>
      </c>
      <c r="AK742" s="8">
        <f t="shared" si="419"/>
        <v>8.6886168367631272E-2</v>
      </c>
      <c r="AL742" s="9">
        <v>0</v>
      </c>
      <c r="AM742" s="17">
        <f t="shared" si="396"/>
        <v>21.370083226712392</v>
      </c>
      <c r="AN742" s="13">
        <f t="shared" si="397"/>
        <v>13.028621082128899</v>
      </c>
      <c r="AO742" s="13">
        <f t="shared" si="398"/>
        <v>12.177119553277938</v>
      </c>
      <c r="AP742" s="13">
        <f t="shared" si="399"/>
        <v>12.570267902719104</v>
      </c>
      <c r="AQ742" s="13">
        <f t="shared" si="400"/>
        <v>20.328478968368703</v>
      </c>
      <c r="AR742" s="13">
        <f t="shared" si="401"/>
        <v>8.4533279669100665</v>
      </c>
      <c r="AS742" s="13">
        <f t="shared" si="402"/>
        <v>16.063921101819719</v>
      </c>
      <c r="AT742" s="13">
        <f t="shared" si="403"/>
        <v>11.509311767194257</v>
      </c>
      <c r="AU742" s="9">
        <v>0</v>
      </c>
      <c r="AV742" s="18">
        <f t="shared" si="420"/>
        <v>1</v>
      </c>
      <c r="AW742" s="18">
        <f t="shared" si="421"/>
        <v>4</v>
      </c>
      <c r="AX742" s="18">
        <f t="shared" si="422"/>
        <v>6</v>
      </c>
      <c r="AY742" s="18">
        <f t="shared" si="423"/>
        <v>5</v>
      </c>
      <c r="AZ742" s="18">
        <f t="shared" si="424"/>
        <v>2</v>
      </c>
      <c r="BA742" s="18">
        <f t="shared" si="425"/>
        <v>8</v>
      </c>
      <c r="BB742" s="18">
        <f t="shared" si="426"/>
        <v>3</v>
      </c>
      <c r="BC742" s="18">
        <f t="shared" si="427"/>
        <v>7</v>
      </c>
      <c r="BD742" s="18">
        <f t="shared" si="428"/>
        <v>9</v>
      </c>
      <c r="BE742" s="8">
        <f t="shared" si="430"/>
        <v>7.1604587489499834E-3</v>
      </c>
    </row>
    <row r="743" spans="1:57" x14ac:dyDescent="0.25">
      <c r="A743" t="str">
        <f t="shared" si="429"/>
        <v/>
      </c>
      <c r="B743" s="1">
        <v>43833</v>
      </c>
      <c r="C743" s="9">
        <f t="shared" si="404"/>
        <v>0.25052439990698011</v>
      </c>
      <c r="D743" s="9">
        <f t="shared" si="405"/>
        <v>0.24861555304932248</v>
      </c>
      <c r="E743" s="9">
        <f t="shared" si="406"/>
        <v>0</v>
      </c>
      <c r="F743" s="9">
        <f t="shared" si="407"/>
        <v>0</v>
      </c>
      <c r="G743" s="9">
        <f t="shared" si="408"/>
        <v>0.24923048043345503</v>
      </c>
      <c r="H743" s="9">
        <f t="shared" si="409"/>
        <v>0</v>
      </c>
      <c r="I743" s="9">
        <f t="shared" si="410"/>
        <v>0.25162956661024233</v>
      </c>
      <c r="J743" s="9">
        <f t="shared" si="411"/>
        <v>0</v>
      </c>
      <c r="K743" s="9">
        <v>0</v>
      </c>
      <c r="L743" s="8">
        <f>+VLOOKUP($B743,NIFTY_50!$B$3:$I$1238,8,0)</f>
        <v>-4.5228053606032326E-3</v>
      </c>
      <c r="M743" s="8">
        <f>+VLOOKUP($B743,NIFTY_BANK!$B$3:$I$41238,8,0)</f>
        <v>-1.1546101957689903E-2</v>
      </c>
      <c r="N743" s="8">
        <f>+VLOOKUP($B743,NIFTY_IT!$B$3:$I$1238,8,0)</f>
        <v>1.4446534454936932E-2</v>
      </c>
      <c r="O743" s="8">
        <f>+VLOOKUP($B743,NIFTY_PHARMA!$B$3:$I$1238,8,0)</f>
        <v>7.2014353205569481E-3</v>
      </c>
      <c r="P743" s="8">
        <f>+VLOOKUP($B743,NIFTY_FMCG!$B$3:$I$1238,8,0)</f>
        <v>-5.1856526422213722E-3</v>
      </c>
      <c r="Q743" s="8">
        <f>+VLOOKUP($B743,NIFTY_METAL!$B$3:$I$1238,8,0)</f>
        <v>-7.5089724380641432E-3</v>
      </c>
      <c r="R743" s="8">
        <f>+VLOOKUP($B743,NIFTY_ENERGY!$B$3:$I$1238,8,0)</f>
        <v>-4.5695507951762915E-3</v>
      </c>
      <c r="S743" s="8">
        <f>+VLOOKUP($B743,NIFTY_AUTO!$B$3:$I$1238,8,0)</f>
        <v>-1.2010958639000036E-2</v>
      </c>
      <c r="T743" s="8">
        <v>0</v>
      </c>
      <c r="U743" s="8">
        <f>+VLOOKUP($B743,NIFTY_50!$B$63:$K$1238,10,0)</f>
        <v>9.4131859773149307E-2</v>
      </c>
      <c r="V743" s="8">
        <f>+VLOOKUP($B743,NIFTY_BANK!$B$63:$K$1238,10,0)</f>
        <v>0.15640500002704472</v>
      </c>
      <c r="W743" s="8">
        <f>+VLOOKUP($B743,NIFTY_IT!$B$63:$K$1238,10,0)</f>
        <v>3.887146926722429E-2</v>
      </c>
      <c r="X743" s="8">
        <f>+VLOOKUP($B743,NIFTY_PHARMA!$B$63:$K$1238,10,0)</f>
        <v>9.6668874798902182E-2</v>
      </c>
      <c r="Y743" s="8">
        <f>+VLOOKUP($B743,NIFTY_FMCG!$B$63:$K$1238,10,0)</f>
        <v>-7.1849811142821185E-3</v>
      </c>
      <c r="Z743" s="8">
        <f>+VLOOKUP($B743,NIFTY_METAL!$B$63:$K$1238,10,0)</f>
        <v>0.23992251436531431</v>
      </c>
      <c r="AA743" s="8">
        <f>+VLOOKUP($B743,NIFTY_ENERGY!$B$63:$K$1238,10,0)</f>
        <v>3.4118942873153646E-2</v>
      </c>
      <c r="AB743" s="8">
        <f>+VLOOKUP($B743,NIFTY_AUTO!$B$63:$K$1238,10,0)</f>
        <v>0.10307364042728473</v>
      </c>
      <c r="AC743" s="8"/>
      <c r="AD743" s="16">
        <f t="shared" si="412"/>
        <v>4.5126986806267456E-2</v>
      </c>
      <c r="AE743" s="8">
        <f t="shared" si="413"/>
        <v>7.3416390832582695E-2</v>
      </c>
      <c r="AF743" s="8">
        <f t="shared" si="414"/>
        <v>8.3207891049664112E-2</v>
      </c>
      <c r="AG743" s="8">
        <f t="shared" si="415"/>
        <v>7.9116144246160883E-2</v>
      </c>
      <c r="AH743" s="8">
        <f t="shared" si="416"/>
        <v>4.7152810680207137E-2</v>
      </c>
      <c r="AI743" s="8">
        <f t="shared" si="417"/>
        <v>0.11770528652923969</v>
      </c>
      <c r="AJ743" s="8">
        <f t="shared" si="418"/>
        <v>6.2270245461867407E-2</v>
      </c>
      <c r="AK743" s="8">
        <f t="shared" si="419"/>
        <v>8.6910344866973868E-2</v>
      </c>
      <c r="AL743" s="9">
        <v>0</v>
      </c>
      <c r="AM743" s="17">
        <f t="shared" si="396"/>
        <v>22.159689152148644</v>
      </c>
      <c r="AN743" s="13">
        <f t="shared" si="397"/>
        <v>13.620936532829303</v>
      </c>
      <c r="AO743" s="13">
        <f t="shared" si="398"/>
        <v>12.018090921246065</v>
      </c>
      <c r="AP743" s="13">
        <f t="shared" si="399"/>
        <v>12.639645290202891</v>
      </c>
      <c r="AQ743" s="13">
        <f t="shared" si="400"/>
        <v>21.207643522717088</v>
      </c>
      <c r="AR743" s="13">
        <f t="shared" si="401"/>
        <v>8.4957951294021576</v>
      </c>
      <c r="AS743" s="13">
        <f t="shared" si="402"/>
        <v>16.059034175678214</v>
      </c>
      <c r="AT743" s="13">
        <f t="shared" si="403"/>
        <v>11.506110136032866</v>
      </c>
      <c r="AU743" s="9">
        <v>0</v>
      </c>
      <c r="AV743" s="18">
        <f t="shared" si="420"/>
        <v>1</v>
      </c>
      <c r="AW743" s="18">
        <f t="shared" si="421"/>
        <v>4</v>
      </c>
      <c r="AX743" s="18">
        <f t="shared" si="422"/>
        <v>6</v>
      </c>
      <c r="AY743" s="18">
        <f t="shared" si="423"/>
        <v>5</v>
      </c>
      <c r="AZ743" s="18">
        <f t="shared" si="424"/>
        <v>2</v>
      </c>
      <c r="BA743" s="18">
        <f t="shared" si="425"/>
        <v>8</v>
      </c>
      <c r="BB743" s="18">
        <f t="shared" si="426"/>
        <v>3</v>
      </c>
      <c r="BC743" s="18">
        <f t="shared" si="427"/>
        <v>7</v>
      </c>
      <c r="BD743" s="18">
        <f t="shared" si="428"/>
        <v>9</v>
      </c>
      <c r="BE743" s="8">
        <f t="shared" si="430"/>
        <v>-6.4546314697490476E-3</v>
      </c>
    </row>
    <row r="744" spans="1:57" x14ac:dyDescent="0.25">
      <c r="A744" t="str">
        <f t="shared" si="429"/>
        <v/>
      </c>
      <c r="B744" s="1">
        <v>43836</v>
      </c>
      <c r="C744" s="9">
        <f t="shared" si="404"/>
        <v>0.25044199741542317</v>
      </c>
      <c r="D744" s="9">
        <f t="shared" si="405"/>
        <v>0.24680039938997997</v>
      </c>
      <c r="E744" s="9">
        <f t="shared" si="406"/>
        <v>0</v>
      </c>
      <c r="F744" s="9">
        <f t="shared" si="407"/>
        <v>0</v>
      </c>
      <c r="G744" s="9">
        <f t="shared" si="408"/>
        <v>0.25138666919218694</v>
      </c>
      <c r="H744" s="9">
        <f t="shared" si="409"/>
        <v>0</v>
      </c>
      <c r="I744" s="9">
        <f t="shared" si="410"/>
        <v>0.25137093400240984</v>
      </c>
      <c r="J744" s="9">
        <f t="shared" si="411"/>
        <v>0</v>
      </c>
      <c r="K744" s="9">
        <v>0</v>
      </c>
      <c r="L744" s="8">
        <f>+VLOOKUP($B744,NIFTY_50!$B$3:$I$1238,8,0)</f>
        <v>-1.91058057603678E-2</v>
      </c>
      <c r="M744" s="8">
        <f>+VLOOKUP($B744,NIFTY_BANK!$B$3:$I$41238,8,0)</f>
        <v>-2.5946974126304756E-2</v>
      </c>
      <c r="N744" s="8">
        <f>+VLOOKUP($B744,NIFTY_IT!$B$3:$I$1238,8,0)</f>
        <v>-3.5641228367406796E-3</v>
      </c>
      <c r="O744" s="8">
        <f>+VLOOKUP($B744,NIFTY_PHARMA!$B$3:$I$1238,8,0)</f>
        <v>-1.5360055227164771E-2</v>
      </c>
      <c r="P744" s="8">
        <f>+VLOOKUP($B744,NIFTY_FMCG!$B$3:$I$1238,8,0)</f>
        <v>-1.0294178699236989E-2</v>
      </c>
      <c r="Q744" s="8">
        <f>+VLOOKUP($B744,NIFTY_METAL!$B$3:$I$1238,8,0)</f>
        <v>-2.899924517703234E-2</v>
      </c>
      <c r="R744" s="8">
        <f>+VLOOKUP($B744,NIFTY_ENERGY!$B$3:$I$1238,8,0)</f>
        <v>-1.9791588808331428E-2</v>
      </c>
      <c r="S744" s="8">
        <f>+VLOOKUP($B744,NIFTY_AUTO!$B$3:$I$1238,8,0)</f>
        <v>-2.3187625104827858E-2</v>
      </c>
      <c r="T744" s="8">
        <v>0</v>
      </c>
      <c r="U744" s="8">
        <f>+VLOOKUP($B744,NIFTY_50!$B$63:$K$1238,10,0)</f>
        <v>7.7891321541558867E-2</v>
      </c>
      <c r="V744" s="8">
        <f>+VLOOKUP($B744,NIFTY_BANK!$B$63:$K$1238,10,0)</f>
        <v>0.12495160718176446</v>
      </c>
      <c r="W744" s="8">
        <f>+VLOOKUP($B744,NIFTY_IT!$B$63:$K$1238,10,0)</f>
        <v>4.152032400347605E-2</v>
      </c>
      <c r="X744" s="8">
        <f>+VLOOKUP($B744,NIFTY_PHARMA!$B$63:$K$1238,10,0)</f>
        <v>0.11727596360304671</v>
      </c>
      <c r="Y744" s="8">
        <f>+VLOOKUP($B744,NIFTY_FMCG!$B$63:$K$1238,10,0)</f>
        <v>-1.3859243301200252E-2</v>
      </c>
      <c r="Z744" s="8">
        <f>+VLOOKUP($B744,NIFTY_METAL!$B$63:$K$1238,10,0)</f>
        <v>0.21841890790546059</v>
      </c>
      <c r="AA744" s="8">
        <f>+VLOOKUP($B744,NIFTY_ENERGY!$B$63:$K$1238,10,0)</f>
        <v>2.6445380782175398E-2</v>
      </c>
      <c r="AB744" s="8">
        <f>+VLOOKUP($B744,NIFTY_AUTO!$B$63:$K$1238,10,0)</f>
        <v>8.4739886750640814E-2</v>
      </c>
      <c r="AC744" s="8"/>
      <c r="AD744" s="16">
        <f t="shared" si="412"/>
        <v>4.922693921125891E-2</v>
      </c>
      <c r="AE744" s="8">
        <f t="shared" si="413"/>
        <v>7.8623830473789486E-2</v>
      </c>
      <c r="AF744" s="8">
        <f t="shared" si="414"/>
        <v>8.303915659006271E-2</v>
      </c>
      <c r="AG744" s="8">
        <f t="shared" si="415"/>
        <v>7.2865577624415631E-2</v>
      </c>
      <c r="AH744" s="8">
        <f t="shared" si="416"/>
        <v>4.810772617509744E-2</v>
      </c>
      <c r="AI744" s="8">
        <f t="shared" si="417"/>
        <v>0.1211399008185636</v>
      </c>
      <c r="AJ744" s="8">
        <f t="shared" si="418"/>
        <v>6.4199653420569519E-2</v>
      </c>
      <c r="AK744" s="8">
        <f t="shared" si="419"/>
        <v>8.998432369581652E-2</v>
      </c>
      <c r="AL744" s="9">
        <v>0</v>
      </c>
      <c r="AM744" s="17">
        <f t="shared" si="396"/>
        <v>20.314080380022602</v>
      </c>
      <c r="AN744" s="13">
        <f t="shared" si="397"/>
        <v>12.718790142555648</v>
      </c>
      <c r="AO744" s="13">
        <f t="shared" si="398"/>
        <v>12.042511521843538</v>
      </c>
      <c r="AP744" s="13">
        <f t="shared" si="399"/>
        <v>13.723901361963845</v>
      </c>
      <c r="AQ744" s="13">
        <f t="shared" si="400"/>
        <v>20.786681880584112</v>
      </c>
      <c r="AR744" s="13">
        <f t="shared" si="401"/>
        <v>8.2549184310274661</v>
      </c>
      <c r="AS744" s="13">
        <f t="shared" si="402"/>
        <v>15.576408075742053</v>
      </c>
      <c r="AT744" s="13">
        <f t="shared" si="403"/>
        <v>11.11304679446617</v>
      </c>
      <c r="AU744" s="9">
        <v>0</v>
      </c>
      <c r="AV744" s="18">
        <f t="shared" si="420"/>
        <v>2</v>
      </c>
      <c r="AW744" s="18">
        <f t="shared" si="421"/>
        <v>5</v>
      </c>
      <c r="AX744" s="18">
        <f t="shared" si="422"/>
        <v>6</v>
      </c>
      <c r="AY744" s="18">
        <f t="shared" si="423"/>
        <v>4</v>
      </c>
      <c r="AZ744" s="18">
        <f t="shared" si="424"/>
        <v>1</v>
      </c>
      <c r="BA744" s="18">
        <f t="shared" si="425"/>
        <v>8</v>
      </c>
      <c r="BB744" s="18">
        <f t="shared" si="426"/>
        <v>3</v>
      </c>
      <c r="BC744" s="18">
        <f t="shared" si="427"/>
        <v>7</v>
      </c>
      <c r="BD744" s="18">
        <f t="shared" si="428"/>
        <v>9</v>
      </c>
      <c r="BE744" s="8">
        <f t="shared" si="430"/>
        <v>-1.8783063862470417E-2</v>
      </c>
    </row>
    <row r="745" spans="1:57" x14ac:dyDescent="0.25">
      <c r="A745" t="str">
        <f t="shared" si="429"/>
        <v/>
      </c>
      <c r="B745" s="1">
        <v>43837</v>
      </c>
      <c r="C745" s="9">
        <f t="shared" si="404"/>
        <v>0.25069865125543883</v>
      </c>
      <c r="D745" s="9">
        <f t="shared" si="405"/>
        <v>0.24710238230164483</v>
      </c>
      <c r="E745" s="9">
        <f t="shared" si="406"/>
        <v>0</v>
      </c>
      <c r="F745" s="9">
        <f t="shared" si="407"/>
        <v>0</v>
      </c>
      <c r="G745" s="9">
        <f t="shared" si="408"/>
        <v>0.25091885189160623</v>
      </c>
      <c r="H745" s="9">
        <f t="shared" si="409"/>
        <v>0</v>
      </c>
      <c r="I745" s="9">
        <f t="shared" si="410"/>
        <v>0.25128011455131016</v>
      </c>
      <c r="J745" s="9">
        <f t="shared" si="411"/>
        <v>0</v>
      </c>
      <c r="K745" s="9">
        <v>0</v>
      </c>
      <c r="L745" s="8">
        <f>+VLOOKUP($B745,NIFTY_50!$B$3:$I$1238,8,0)</f>
        <v>4.9945593489564288E-3</v>
      </c>
      <c r="M745" s="8">
        <f>+VLOOKUP($B745,NIFTY_BANK!$B$3:$I$41238,8,0)</f>
        <v>5.1941358286526906E-3</v>
      </c>
      <c r="N745" s="8">
        <f>+VLOOKUP($B745,NIFTY_IT!$B$3:$I$1238,8,0)</f>
        <v>9.697855136714395E-4</v>
      </c>
      <c r="O745" s="8">
        <f>+VLOOKUP($B745,NIFTY_PHARMA!$B$3:$I$1238,8,0)</f>
        <v>6.1534801905511749E-3</v>
      </c>
      <c r="P745" s="8">
        <f>+VLOOKUP($B745,NIFTY_FMCG!$B$3:$I$1238,8,0)</f>
        <v>2.0973647031976572E-3</v>
      </c>
      <c r="Q745" s="8">
        <f>+VLOOKUP($B745,NIFTY_METAL!$B$3:$I$1238,8,0)</f>
        <v>7.2855464159813366E-3</v>
      </c>
      <c r="R745" s="8">
        <f>+VLOOKUP($B745,NIFTY_ENERGY!$B$3:$I$1238,8,0)</f>
        <v>3.6029624357805101E-3</v>
      </c>
      <c r="S745" s="8">
        <f>+VLOOKUP($B745,NIFTY_AUTO!$B$3:$I$1238,8,0)</f>
        <v>2.9766567444775571E-3</v>
      </c>
      <c r="T745" s="8">
        <v>0</v>
      </c>
      <c r="U745" s="8">
        <f>+VLOOKUP($B745,NIFTY_50!$B$63:$K$1238,10,0)</f>
        <v>6.5378801941078368E-2</v>
      </c>
      <c r="V745" s="8">
        <f>+VLOOKUP($B745,NIFTY_BANK!$B$63:$K$1238,10,0)</f>
        <v>9.0792872192414054E-2</v>
      </c>
      <c r="W745" s="8">
        <f>+VLOOKUP($B745,NIFTY_IT!$B$63:$K$1238,10,0)</f>
        <v>5.0661819383623907E-2</v>
      </c>
      <c r="X745" s="8">
        <f>+VLOOKUP($B745,NIFTY_PHARMA!$B$63:$K$1238,10,0)</f>
        <v>0.11068881640776151</v>
      </c>
      <c r="Y745" s="8">
        <f>+VLOOKUP($B745,NIFTY_FMCG!$B$63:$K$1238,10,0)</f>
        <v>-1.345759626550469E-2</v>
      </c>
      <c r="Z745" s="8">
        <f>+VLOOKUP($B745,NIFTY_METAL!$B$63:$K$1238,10,0)</f>
        <v>0.20201061397074693</v>
      </c>
      <c r="AA745" s="8">
        <f>+VLOOKUP($B745,NIFTY_ENERGY!$B$63:$K$1238,10,0)</f>
        <v>2.0930901521982959E-2</v>
      </c>
      <c r="AB745" s="8">
        <f>+VLOOKUP($B745,NIFTY_AUTO!$B$63:$K$1238,10,0)</f>
        <v>7.2613343162550636E-2</v>
      </c>
      <c r="AC745" s="8"/>
      <c r="AD745" s="16">
        <f t="shared" si="412"/>
        <v>4.6832660604190966E-2</v>
      </c>
      <c r="AE745" s="8">
        <f t="shared" si="413"/>
        <v>7.0515284293394598E-2</v>
      </c>
      <c r="AF745" s="8">
        <f t="shared" si="414"/>
        <v>8.2599558713063181E-2</v>
      </c>
      <c r="AG745" s="8">
        <f t="shared" si="415"/>
        <v>7.2263386067595858E-2</v>
      </c>
      <c r="AH745" s="8">
        <f t="shared" si="416"/>
        <v>4.8125530319233251E-2</v>
      </c>
      <c r="AI745" s="8">
        <f t="shared" si="417"/>
        <v>0.1198951811813333</v>
      </c>
      <c r="AJ745" s="8">
        <f t="shared" si="418"/>
        <v>6.3699860155605637E-2</v>
      </c>
      <c r="AK745" s="8">
        <f t="shared" si="419"/>
        <v>8.9054697440961353E-2</v>
      </c>
      <c r="AL745" s="9">
        <v>0</v>
      </c>
      <c r="AM745" s="17">
        <f t="shared" si="396"/>
        <v>21.352619883195615</v>
      </c>
      <c r="AN745" s="13">
        <f t="shared" si="397"/>
        <v>14.181322673808937</v>
      </c>
      <c r="AO745" s="13">
        <f t="shared" si="398"/>
        <v>12.106602209266395</v>
      </c>
      <c r="AP745" s="13">
        <f t="shared" si="399"/>
        <v>13.838266574785058</v>
      </c>
      <c r="AQ745" s="13">
        <f t="shared" si="400"/>
        <v>20.778991802618172</v>
      </c>
      <c r="AR745" s="13">
        <f t="shared" si="401"/>
        <v>8.3406187817304183</v>
      </c>
      <c r="AS745" s="13">
        <f t="shared" si="402"/>
        <v>15.698621591275177</v>
      </c>
      <c r="AT745" s="13">
        <f t="shared" si="403"/>
        <v>11.229053926806591</v>
      </c>
      <c r="AU745" s="9">
        <v>0</v>
      </c>
      <c r="AV745" s="18">
        <f t="shared" si="420"/>
        <v>1</v>
      </c>
      <c r="AW745" s="18">
        <f t="shared" si="421"/>
        <v>4</v>
      </c>
      <c r="AX745" s="18">
        <f t="shared" si="422"/>
        <v>6</v>
      </c>
      <c r="AY745" s="18">
        <f t="shared" si="423"/>
        <v>5</v>
      </c>
      <c r="AZ745" s="18">
        <f t="shared" si="424"/>
        <v>2</v>
      </c>
      <c r="BA745" s="18">
        <f t="shared" si="425"/>
        <v>8</v>
      </c>
      <c r="BB745" s="18">
        <f t="shared" si="426"/>
        <v>3</v>
      </c>
      <c r="BC745" s="18">
        <f t="shared" si="427"/>
        <v>7</v>
      </c>
      <c r="BD745" s="18">
        <f t="shared" si="428"/>
        <v>9</v>
      </c>
      <c r="BE745" s="8">
        <f t="shared" si="430"/>
        <v>3.9656917760356753E-3</v>
      </c>
    </row>
    <row r="746" spans="1:57" x14ac:dyDescent="0.25">
      <c r="A746" t="str">
        <f t="shared" si="429"/>
        <v/>
      </c>
      <c r="B746" s="1">
        <v>43838</v>
      </c>
      <c r="C746" s="9">
        <f t="shared" si="404"/>
        <v>0.2507670662993231</v>
      </c>
      <c r="D746" s="9">
        <f t="shared" si="405"/>
        <v>0.24753394401433346</v>
      </c>
      <c r="E746" s="9">
        <f t="shared" si="406"/>
        <v>0</v>
      </c>
      <c r="F746" s="9">
        <f t="shared" si="407"/>
        <v>0</v>
      </c>
      <c r="G746" s="9">
        <f t="shared" si="408"/>
        <v>0.25182790253402187</v>
      </c>
      <c r="H746" s="9">
        <f t="shared" si="409"/>
        <v>0</v>
      </c>
      <c r="I746" s="9">
        <f t="shared" si="410"/>
        <v>0.24987108715232156</v>
      </c>
      <c r="J746" s="9">
        <f t="shared" si="411"/>
        <v>0</v>
      </c>
      <c r="K746" s="9">
        <v>0</v>
      </c>
      <c r="L746" s="8">
        <f>+VLOOKUP($B746,NIFTY_50!$B$3:$I$1238,8,0)</f>
        <v>-2.2898958346296849E-3</v>
      </c>
      <c r="M746" s="8">
        <f>+VLOOKUP($B746,NIFTY_BANK!$B$3:$I$41238,8,0)</f>
        <v>-8.2007936457384467E-4</v>
      </c>
      <c r="N746" s="8">
        <f>+VLOOKUP($B746,NIFTY_IT!$B$3:$I$1238,8,0)</f>
        <v>3.6646283154662118E-3</v>
      </c>
      <c r="O746" s="8">
        <f>+VLOOKUP($B746,NIFTY_PHARMA!$B$3:$I$1238,8,0)</f>
        <v>-5.0208424065203427E-3</v>
      </c>
      <c r="P746" s="8">
        <f>+VLOOKUP($B746,NIFTY_FMCG!$B$3:$I$1238,8,0)</f>
        <v>1.0515106256154816E-3</v>
      </c>
      <c r="Q746" s="8">
        <f>+VLOOKUP($B746,NIFTY_METAL!$B$3:$I$1238,8,0)</f>
        <v>-6.6944254998384523E-3</v>
      </c>
      <c r="R746" s="8">
        <f>+VLOOKUP($B746,NIFTY_ENERGY!$B$3:$I$1238,8,0)</f>
        <v>-8.1551246537395761E-3</v>
      </c>
      <c r="S746" s="8">
        <f>+VLOOKUP($B746,NIFTY_AUTO!$B$3:$I$1238,8,0)</f>
        <v>-7.4664167447672236E-3</v>
      </c>
      <c r="T746" s="8">
        <v>0</v>
      </c>
      <c r="U746" s="8">
        <f>+VLOOKUP($B746,NIFTY_50!$B$63:$K$1238,10,0)</f>
        <v>7.0390002269783869E-2</v>
      </c>
      <c r="V746" s="8">
        <f>+VLOOKUP($B746,NIFTY_BANK!$B$63:$K$1238,10,0)</f>
        <v>0.11994952424638883</v>
      </c>
      <c r="W746" s="8">
        <f>+VLOOKUP($B746,NIFTY_IT!$B$63:$K$1238,10,0)</f>
        <v>5.6953848600087564E-2</v>
      </c>
      <c r="X746" s="8">
        <f>+VLOOKUP($B746,NIFTY_PHARMA!$B$63:$K$1238,10,0)</f>
        <v>0.10511222289789357</v>
      </c>
      <c r="Y746" s="8">
        <f>+VLOOKUP($B746,NIFTY_FMCG!$B$63:$K$1238,10,0)</f>
        <v>-8.4253263984714888E-3</v>
      </c>
      <c r="Z746" s="8">
        <f>+VLOOKUP($B746,NIFTY_METAL!$B$63:$K$1238,10,0)</f>
        <v>0.21192546039809934</v>
      </c>
      <c r="AA746" s="8">
        <f>+VLOOKUP($B746,NIFTY_ENERGY!$B$63:$K$1238,10,0)</f>
        <v>5.4976796133332506E-3</v>
      </c>
      <c r="AB746" s="8">
        <f>+VLOOKUP($B746,NIFTY_AUTO!$B$63:$K$1238,10,0)</f>
        <v>7.9229311176482575E-2</v>
      </c>
      <c r="AC746" s="8"/>
      <c r="AD746" s="16">
        <f t="shared" si="412"/>
        <v>4.6258609508992896E-2</v>
      </c>
      <c r="AE746" s="8">
        <f t="shared" si="413"/>
        <v>6.4542186424919504E-2</v>
      </c>
      <c r="AF746" s="8">
        <f t="shared" si="414"/>
        <v>8.2582291188292994E-2</v>
      </c>
      <c r="AG746" s="8">
        <f t="shared" si="415"/>
        <v>7.2556995867402038E-2</v>
      </c>
      <c r="AH746" s="8">
        <f t="shared" si="416"/>
        <v>4.7985216396106055E-2</v>
      </c>
      <c r="AI746" s="8">
        <f t="shared" si="417"/>
        <v>0.11894506944514552</v>
      </c>
      <c r="AJ746" s="8">
        <f t="shared" si="418"/>
        <v>6.3888730274895222E-2</v>
      </c>
      <c r="AK746" s="8">
        <f t="shared" si="419"/>
        <v>8.8246676350744985E-2</v>
      </c>
      <c r="AL746" s="9">
        <v>0</v>
      </c>
      <c r="AM746" s="17">
        <f t="shared" si="396"/>
        <v>21.617597472435811</v>
      </c>
      <c r="AN746" s="13">
        <f t="shared" si="397"/>
        <v>15.493742238857648</v>
      </c>
      <c r="AO746" s="13">
        <f t="shared" si="398"/>
        <v>12.109133636410437</v>
      </c>
      <c r="AP746" s="13">
        <f t="shared" si="399"/>
        <v>13.78226851932377</v>
      </c>
      <c r="AQ746" s="13">
        <f t="shared" si="400"/>
        <v>20.839751804915249</v>
      </c>
      <c r="AR746" s="13">
        <f t="shared" si="401"/>
        <v>8.4072421384492522</v>
      </c>
      <c r="AS746" s="13">
        <f t="shared" si="402"/>
        <v>15.652212772069213</v>
      </c>
      <c r="AT746" s="13">
        <f t="shared" si="403"/>
        <v>11.331871537296236</v>
      </c>
      <c r="AU746" s="9">
        <v>0</v>
      </c>
      <c r="AV746" s="18">
        <f t="shared" si="420"/>
        <v>1</v>
      </c>
      <c r="AW746" s="18">
        <f t="shared" si="421"/>
        <v>4</v>
      </c>
      <c r="AX746" s="18">
        <f t="shared" si="422"/>
        <v>6</v>
      </c>
      <c r="AY746" s="18">
        <f t="shared" si="423"/>
        <v>5</v>
      </c>
      <c r="AZ746" s="18">
        <f t="shared" si="424"/>
        <v>2</v>
      </c>
      <c r="BA746" s="18">
        <f t="shared" si="425"/>
        <v>8</v>
      </c>
      <c r="BB746" s="18">
        <f t="shared" si="426"/>
        <v>3</v>
      </c>
      <c r="BC746" s="18">
        <f t="shared" si="427"/>
        <v>7</v>
      </c>
      <c r="BD746" s="18">
        <f t="shared" si="428"/>
        <v>9</v>
      </c>
      <c r="BE746" s="8">
        <f t="shared" si="430"/>
        <v>-2.5620941801603584E-3</v>
      </c>
    </row>
    <row r="747" spans="1:57" x14ac:dyDescent="0.25">
      <c r="A747" t="str">
        <f t="shared" si="429"/>
        <v/>
      </c>
      <c r="B747" s="1">
        <v>43839</v>
      </c>
      <c r="C747" s="9">
        <f t="shared" si="404"/>
        <v>0.25089190570207953</v>
      </c>
      <c r="D747" s="9">
        <f t="shared" si="405"/>
        <v>0.24937925232759675</v>
      </c>
      <c r="E747" s="9">
        <f t="shared" si="406"/>
        <v>0</v>
      </c>
      <c r="F747" s="9">
        <f t="shared" si="407"/>
        <v>0</v>
      </c>
      <c r="G747" s="9">
        <f t="shared" si="408"/>
        <v>0.24993479444892419</v>
      </c>
      <c r="H747" s="9">
        <f t="shared" si="409"/>
        <v>0</v>
      </c>
      <c r="I747" s="9">
        <f t="shared" si="410"/>
        <v>0.24979404752139944</v>
      </c>
      <c r="J747" s="9">
        <f t="shared" si="411"/>
        <v>0</v>
      </c>
      <c r="K747" s="9">
        <v>0</v>
      </c>
      <c r="L747" s="8">
        <f>+VLOOKUP($B747,NIFTY_50!$B$3:$I$1238,8,0)</f>
        <v>1.5845692640962472E-2</v>
      </c>
      <c r="M747" s="8">
        <f>+VLOOKUP($B747,NIFTY_BANK!$B$3:$I$41238,8,0)</f>
        <v>2.2909352274918637E-2</v>
      </c>
      <c r="N747" s="8">
        <f>+VLOOKUP($B747,NIFTY_IT!$B$3:$I$1238,8,0)</f>
        <v>-1.7739109722348934E-3</v>
      </c>
      <c r="O747" s="8">
        <f>+VLOOKUP($B747,NIFTY_PHARMA!$B$3:$I$1238,8,0)</f>
        <v>4.6272268529230498E-3</v>
      </c>
      <c r="P747" s="8">
        <f>+VLOOKUP($B747,NIFTY_FMCG!$B$3:$I$1238,8,0)</f>
        <v>7.7074384809923124E-3</v>
      </c>
      <c r="Q747" s="8">
        <f>+VLOOKUP($B747,NIFTY_METAL!$B$3:$I$1238,8,0)</f>
        <v>1.429216731412053E-2</v>
      </c>
      <c r="R747" s="8">
        <f>+VLOOKUP($B747,NIFTY_ENERGY!$B$3:$I$1238,8,0)</f>
        <v>1.5027178509985584E-2</v>
      </c>
      <c r="S747" s="8">
        <f>+VLOOKUP($B747,NIFTY_AUTO!$B$3:$I$1238,8,0)</f>
        <v>2.6753958012023515E-2</v>
      </c>
      <c r="T747" s="8">
        <v>0</v>
      </c>
      <c r="U747" s="8">
        <f>+VLOOKUP($B747,NIFTY_50!$B$63:$K$1238,10,0)</f>
        <v>8.0570187659497305E-2</v>
      </c>
      <c r="V747" s="8">
        <f>+VLOOKUP($B747,NIFTY_BANK!$B$63:$K$1238,10,0)</f>
        <v>0.14442007666934131</v>
      </c>
      <c r="W747" s="8">
        <f>+VLOOKUP($B747,NIFTY_IT!$B$63:$K$1238,10,0)</f>
        <v>3.9371748934531547E-2</v>
      </c>
      <c r="X747" s="8">
        <f>+VLOOKUP($B747,NIFTY_PHARMA!$B$63:$K$1238,10,0)</f>
        <v>0.10368965919941742</v>
      </c>
      <c r="Y747" s="8">
        <f>+VLOOKUP($B747,NIFTY_FMCG!$B$63:$K$1238,10,0)</f>
        <v>-9.619873619978847E-3</v>
      </c>
      <c r="Z747" s="8">
        <f>+VLOOKUP($B747,NIFTY_METAL!$B$63:$K$1238,10,0)</f>
        <v>0.20097556801163852</v>
      </c>
      <c r="AA747" s="8">
        <f>+VLOOKUP($B747,NIFTY_ENERGY!$B$63:$K$1238,10,0)</f>
        <v>2.5134586248025448E-2</v>
      </c>
      <c r="AB747" s="8">
        <f>+VLOOKUP($B747,NIFTY_AUTO!$B$63:$K$1238,10,0)</f>
        <v>0.10250032107394169</v>
      </c>
      <c r="AC747" s="8"/>
      <c r="AD747" s="16">
        <f t="shared" si="412"/>
        <v>4.8253204634906496E-2</v>
      </c>
      <c r="AE747" s="8">
        <f t="shared" si="413"/>
        <v>6.7814473361433383E-2</v>
      </c>
      <c r="AF747" s="8">
        <f t="shared" si="414"/>
        <v>8.1378843711688839E-2</v>
      </c>
      <c r="AG747" s="8">
        <f t="shared" si="415"/>
        <v>7.249267681982377E-2</v>
      </c>
      <c r="AH747" s="8">
        <f t="shared" si="416"/>
        <v>4.7770831024768652E-2</v>
      </c>
      <c r="AI747" s="8">
        <f t="shared" si="417"/>
        <v>0.11771648088276267</v>
      </c>
      <c r="AJ747" s="8">
        <f t="shared" si="418"/>
        <v>6.5399454675109839E-2</v>
      </c>
      <c r="AK747" s="8">
        <f t="shared" si="419"/>
        <v>9.1721159546347381E-2</v>
      </c>
      <c r="AL747" s="9">
        <v>0</v>
      </c>
      <c r="AM747" s="17">
        <f t="shared" si="396"/>
        <v>20.724012168024949</v>
      </c>
      <c r="AN747" s="13">
        <f t="shared" si="397"/>
        <v>14.746114663019823</v>
      </c>
      <c r="AO747" s="13">
        <f t="shared" si="398"/>
        <v>12.288206054424009</v>
      </c>
      <c r="AP747" s="13">
        <f t="shared" si="399"/>
        <v>13.794496821871268</v>
      </c>
      <c r="AQ747" s="13">
        <f t="shared" si="400"/>
        <v>20.933276196964439</v>
      </c>
      <c r="AR747" s="13">
        <f t="shared" si="401"/>
        <v>8.4949872142026539</v>
      </c>
      <c r="AS747" s="13">
        <f t="shared" si="402"/>
        <v>15.290647375697258</v>
      </c>
      <c r="AT747" s="13">
        <f t="shared" si="403"/>
        <v>10.902609658948899</v>
      </c>
      <c r="AU747" s="9">
        <v>0</v>
      </c>
      <c r="AV747" s="18">
        <f t="shared" si="420"/>
        <v>2</v>
      </c>
      <c r="AW747" s="18">
        <f t="shared" si="421"/>
        <v>4</v>
      </c>
      <c r="AX747" s="18">
        <f t="shared" si="422"/>
        <v>6</v>
      </c>
      <c r="AY747" s="18">
        <f t="shared" si="423"/>
        <v>5</v>
      </c>
      <c r="AZ747" s="18">
        <f t="shared" si="424"/>
        <v>1</v>
      </c>
      <c r="BA747" s="18">
        <f t="shared" si="425"/>
        <v>8</v>
      </c>
      <c r="BB747" s="18">
        <f t="shared" si="426"/>
        <v>3</v>
      </c>
      <c r="BC747" s="18">
        <f t="shared" si="427"/>
        <v>7</v>
      </c>
      <c r="BD747" s="18">
        <f t="shared" si="428"/>
        <v>9</v>
      </c>
      <c r="BE747" s="8">
        <f t="shared" si="430"/>
        <v>1.5340225678179688E-2</v>
      </c>
    </row>
    <row r="748" spans="1:57" x14ac:dyDescent="0.25">
      <c r="A748" t="str">
        <f t="shared" si="429"/>
        <v/>
      </c>
      <c r="B748" s="1">
        <v>43840</v>
      </c>
      <c r="C748" s="9">
        <f t="shared" si="404"/>
        <v>0.25084087158609703</v>
      </c>
      <c r="D748" s="9">
        <f t="shared" si="405"/>
        <v>0.24853525155661502</v>
      </c>
      <c r="E748" s="9">
        <f t="shared" si="406"/>
        <v>0</v>
      </c>
      <c r="F748" s="9">
        <f t="shared" si="407"/>
        <v>0</v>
      </c>
      <c r="G748" s="9">
        <f t="shared" si="408"/>
        <v>0.2510909704532559</v>
      </c>
      <c r="H748" s="9">
        <f t="shared" si="409"/>
        <v>0</v>
      </c>
      <c r="I748" s="9">
        <f t="shared" si="410"/>
        <v>0.24953290640403211</v>
      </c>
      <c r="J748" s="9">
        <f t="shared" si="411"/>
        <v>0</v>
      </c>
      <c r="K748" s="9">
        <v>0</v>
      </c>
      <c r="L748" s="8">
        <f>+VLOOKUP($B748,NIFTY_50!$B$3:$I$1238,8,0)</f>
        <v>3.3480955148617042E-3</v>
      </c>
      <c r="M748" s="8">
        <f>+VLOOKUP($B748,NIFTY_BANK!$B$3:$I$41238,8,0)</f>
        <v>1.5580012713289904E-4</v>
      </c>
      <c r="N748" s="8">
        <f>+VLOOKUP($B748,NIFTY_IT!$B$3:$I$1238,8,0)</f>
        <v>2.1820830573024974E-3</v>
      </c>
      <c r="O748" s="8">
        <f>+VLOOKUP($B748,NIFTY_PHARMA!$B$3:$I$1238,8,0)</f>
        <v>3.1556736772000438E-3</v>
      </c>
      <c r="P748" s="8">
        <f>+VLOOKUP($B748,NIFTY_FMCG!$B$3:$I$1238,8,0)</f>
        <v>8.1945716979379135E-3</v>
      </c>
      <c r="Q748" s="8">
        <f>+VLOOKUP($B748,NIFTY_METAL!$B$3:$I$1238,8,0)</f>
        <v>1.2095624910930525E-2</v>
      </c>
      <c r="R748" s="8">
        <f>+VLOOKUP($B748,NIFTY_ENERGY!$B$3:$I$1238,8,0)</f>
        <v>2.5030895546322984E-3</v>
      </c>
      <c r="S748" s="8">
        <f>+VLOOKUP($B748,NIFTY_AUTO!$B$3:$I$1238,8,0)</f>
        <v>8.6140829526992757E-3</v>
      </c>
      <c r="T748" s="8">
        <v>0</v>
      </c>
      <c r="U748" s="8">
        <f>+VLOOKUP($B748,NIFTY_50!$B$63:$K$1238,10,0)</f>
        <v>8.0736962301001247E-2</v>
      </c>
      <c r="V748" s="8">
        <f>+VLOOKUP($B748,NIFTY_BANK!$B$63:$K$1238,10,0)</f>
        <v>0.13893467272491788</v>
      </c>
      <c r="W748" s="8">
        <f>+VLOOKUP($B748,NIFTY_IT!$B$63:$K$1238,10,0)</f>
        <v>4.4649899363453427E-2</v>
      </c>
      <c r="X748" s="8">
        <f>+VLOOKUP($B748,NIFTY_PHARMA!$B$63:$K$1238,10,0)</f>
        <v>9.4652050477471272E-2</v>
      </c>
      <c r="Y748" s="8">
        <f>+VLOOKUP($B748,NIFTY_FMCG!$B$63:$K$1238,10,0)</f>
        <v>-7.2096368212872797E-3</v>
      </c>
      <c r="Z748" s="8">
        <f>+VLOOKUP($B748,NIFTY_METAL!$B$63:$K$1238,10,0)</f>
        <v>0.20360562664181003</v>
      </c>
      <c r="AA748" s="8">
        <f>+VLOOKUP($B748,NIFTY_ENERGY!$B$63:$K$1238,10,0)</f>
        <v>2.1136820796658462E-2</v>
      </c>
      <c r="AB748" s="8">
        <f>+VLOOKUP($B748,NIFTY_AUTO!$B$63:$K$1238,10,0)</f>
        <v>9.3765582718889462E-2</v>
      </c>
      <c r="AC748" s="8"/>
      <c r="AD748" s="16">
        <f t="shared" si="412"/>
        <v>4.8259554999942375E-2</v>
      </c>
      <c r="AE748" s="8">
        <f t="shared" si="413"/>
        <v>6.7789453882020942E-2</v>
      </c>
      <c r="AF748" s="8">
        <f t="shared" si="414"/>
        <v>8.1311660339121683E-2</v>
      </c>
      <c r="AG748" s="8">
        <f t="shared" si="415"/>
        <v>7.1838155781634314E-2</v>
      </c>
      <c r="AH748" s="8">
        <f t="shared" si="416"/>
        <v>4.8132751499316069E-2</v>
      </c>
      <c r="AI748" s="8">
        <f t="shared" si="417"/>
        <v>0.1178639050325296</v>
      </c>
      <c r="AJ748" s="8">
        <f t="shared" si="418"/>
        <v>6.5155614847845086E-2</v>
      </c>
      <c r="AK748" s="8">
        <f t="shared" si="419"/>
        <v>9.0746637406636119E-2</v>
      </c>
      <c r="AL748" s="9">
        <v>0</v>
      </c>
      <c r="AM748" s="17">
        <f t="shared" si="396"/>
        <v>20.721285142417788</v>
      </c>
      <c r="AN748" s="13">
        <f t="shared" si="397"/>
        <v>14.751557104153322</v>
      </c>
      <c r="AO748" s="13">
        <f t="shared" si="398"/>
        <v>12.298359126223222</v>
      </c>
      <c r="AP748" s="13">
        <f t="shared" si="399"/>
        <v>13.920179173859772</v>
      </c>
      <c r="AQ748" s="13">
        <f t="shared" si="400"/>
        <v>20.77587440672718</v>
      </c>
      <c r="AR748" s="13">
        <f t="shared" si="401"/>
        <v>8.4843616858274569</v>
      </c>
      <c r="AS748" s="13">
        <f t="shared" si="402"/>
        <v>15.347871435719762</v>
      </c>
      <c r="AT748" s="13">
        <f t="shared" si="403"/>
        <v>11.019692063288199</v>
      </c>
      <c r="AU748" s="9">
        <v>0</v>
      </c>
      <c r="AV748" s="18">
        <f t="shared" si="420"/>
        <v>2</v>
      </c>
      <c r="AW748" s="18">
        <f t="shared" si="421"/>
        <v>4</v>
      </c>
      <c r="AX748" s="18">
        <f t="shared" si="422"/>
        <v>6</v>
      </c>
      <c r="AY748" s="18">
        <f t="shared" si="423"/>
        <v>5</v>
      </c>
      <c r="AZ748" s="18">
        <f t="shared" si="424"/>
        <v>1</v>
      </c>
      <c r="BA748" s="18">
        <f t="shared" si="425"/>
        <v>8</v>
      </c>
      <c r="BB748" s="18">
        <f t="shared" si="426"/>
        <v>3</v>
      </c>
      <c r="BC748" s="18">
        <f t="shared" si="427"/>
        <v>7</v>
      </c>
      <c r="BD748" s="18">
        <f t="shared" si="428"/>
        <v>9</v>
      </c>
      <c r="BE748" s="8">
        <f t="shared" si="430"/>
        <v>3.5522288474944081E-3</v>
      </c>
    </row>
    <row r="749" spans="1:57" x14ac:dyDescent="0.25">
      <c r="A749" t="str">
        <f t="shared" si="429"/>
        <v/>
      </c>
      <c r="B749" s="1">
        <v>43843</v>
      </c>
      <c r="C749" s="9">
        <f t="shared" si="404"/>
        <v>0.250684846711488</v>
      </c>
      <c r="D749" s="9">
        <f t="shared" si="405"/>
        <v>0.2475324387300403</v>
      </c>
      <c r="E749" s="9">
        <f t="shared" si="406"/>
        <v>0</v>
      </c>
      <c r="F749" s="9">
        <f t="shared" si="407"/>
        <v>0</v>
      </c>
      <c r="G749" s="9">
        <f t="shared" si="408"/>
        <v>0.25227146321731464</v>
      </c>
      <c r="H749" s="9">
        <f t="shared" si="409"/>
        <v>0</v>
      </c>
      <c r="I749" s="9">
        <f t="shared" si="410"/>
        <v>0.24951125134115701</v>
      </c>
      <c r="J749" s="9">
        <f t="shared" si="411"/>
        <v>0</v>
      </c>
      <c r="K749" s="9">
        <v>0</v>
      </c>
      <c r="L749" s="8">
        <f>+VLOOKUP($B749,NIFTY_50!$B$3:$I$1238,8,0)</f>
        <v>5.9354807127471876E-3</v>
      </c>
      <c r="M749" s="8">
        <f>+VLOOKUP($B749,NIFTY_BANK!$B$3:$I$41238,8,0)</f>
        <v>2.5002025086144908E-3</v>
      </c>
      <c r="N749" s="8">
        <f>+VLOOKUP($B749,NIFTY_IT!$B$3:$I$1238,8,0)</f>
        <v>1.6666771095056987E-2</v>
      </c>
      <c r="O749" s="8">
        <f>+VLOOKUP($B749,NIFTY_PHARMA!$B$3:$I$1238,8,0)</f>
        <v>2.4756468325370928E-3</v>
      </c>
      <c r="P749" s="8">
        <f>+VLOOKUP($B749,NIFTY_FMCG!$B$3:$I$1238,8,0)</f>
        <v>1.1293872827040863E-2</v>
      </c>
      <c r="Q749" s="8">
        <f>+VLOOKUP($B749,NIFTY_METAL!$B$3:$I$1238,8,0)</f>
        <v>1.1739857432016221E-2</v>
      </c>
      <c r="R749" s="8">
        <f>+VLOOKUP($B749,NIFTY_ENERGY!$B$3:$I$1238,8,0)</f>
        <v>6.4742176202858825E-3</v>
      </c>
      <c r="S749" s="8">
        <f>+VLOOKUP($B749,NIFTY_AUTO!$B$3:$I$1238,8,0)</f>
        <v>1.258282171296532E-3</v>
      </c>
      <c r="T749" s="8">
        <v>0</v>
      </c>
      <c r="U749" s="8">
        <f>+VLOOKUP($B749,NIFTY_50!$B$63:$K$1238,10,0)</f>
        <v>7.8861247954638891E-2</v>
      </c>
      <c r="V749" s="8">
        <f>+VLOOKUP($B749,NIFTY_BANK!$B$63:$K$1238,10,0)</f>
        <v>0.12686175149097711</v>
      </c>
      <c r="W749" s="8">
        <f>+VLOOKUP($B749,NIFTY_IT!$B$63:$K$1238,10,0)</f>
        <v>6.6903816312038122E-2</v>
      </c>
      <c r="X749" s="8">
        <f>+VLOOKUP($B749,NIFTY_PHARMA!$B$63:$K$1238,10,0)</f>
        <v>8.8644525749091985E-2</v>
      </c>
      <c r="Y749" s="8">
        <f>+VLOOKUP($B749,NIFTY_FMCG!$B$63:$K$1238,10,0)</f>
        <v>-6.9338687722089176E-3</v>
      </c>
      <c r="Z749" s="8">
        <f>+VLOOKUP($B749,NIFTY_METAL!$B$63:$K$1238,10,0)</f>
        <v>0.19901545649861285</v>
      </c>
      <c r="AA749" s="8">
        <f>+VLOOKUP($B749,NIFTY_ENERGY!$B$63:$K$1238,10,0)</f>
        <v>1.6505257288766062E-2</v>
      </c>
      <c r="AB749" s="8">
        <f>+VLOOKUP($B749,NIFTY_AUTO!$B$63:$K$1238,10,0)</f>
        <v>7.1225571488960471E-2</v>
      </c>
      <c r="AC749" s="8"/>
      <c r="AD749" s="16">
        <f t="shared" si="412"/>
        <v>4.8058674034063185E-2</v>
      </c>
      <c r="AE749" s="8">
        <f t="shared" si="413"/>
        <v>6.6866461539172709E-2</v>
      </c>
      <c r="AF749" s="8">
        <f t="shared" si="414"/>
        <v>8.2635869556563588E-2</v>
      </c>
      <c r="AG749" s="8">
        <f t="shared" si="415"/>
        <v>7.1547935423847395E-2</v>
      </c>
      <c r="AH749" s="8">
        <f t="shared" si="416"/>
        <v>4.819834912728365E-2</v>
      </c>
      <c r="AI749" s="8">
        <f t="shared" si="417"/>
        <v>0.11751662989707673</v>
      </c>
      <c r="AJ749" s="8">
        <f t="shared" si="418"/>
        <v>6.455977459296601E-2</v>
      </c>
      <c r="AK749" s="8">
        <f t="shared" si="419"/>
        <v>8.8292569660407147E-2</v>
      </c>
      <c r="AL749" s="9">
        <v>0</v>
      </c>
      <c r="AM749" s="17">
        <f t="shared" si="396"/>
        <v>20.807898263926646</v>
      </c>
      <c r="AN749" s="13">
        <f t="shared" si="397"/>
        <v>14.955180474357315</v>
      </c>
      <c r="AO749" s="13">
        <f t="shared" si="398"/>
        <v>12.101282474138038</v>
      </c>
      <c r="AP749" s="13">
        <f t="shared" si="399"/>
        <v>13.976643687564652</v>
      </c>
      <c r="AQ749" s="13">
        <f t="shared" si="400"/>
        <v>20.747598581834616</v>
      </c>
      <c r="AR749" s="13">
        <f t="shared" si="401"/>
        <v>8.5094339488446771</v>
      </c>
      <c r="AS749" s="13">
        <f t="shared" si="402"/>
        <v>15.489521242983912</v>
      </c>
      <c r="AT749" s="13">
        <f t="shared" si="403"/>
        <v>11.325981380383675</v>
      </c>
      <c r="AU749" s="9">
        <v>0</v>
      </c>
      <c r="AV749" s="18">
        <f t="shared" si="420"/>
        <v>1</v>
      </c>
      <c r="AW749" s="18">
        <f t="shared" si="421"/>
        <v>4</v>
      </c>
      <c r="AX749" s="18">
        <f t="shared" si="422"/>
        <v>6</v>
      </c>
      <c r="AY749" s="18">
        <f t="shared" si="423"/>
        <v>5</v>
      </c>
      <c r="AZ749" s="18">
        <f t="shared" si="424"/>
        <v>2</v>
      </c>
      <c r="BA749" s="18">
        <f t="shared" si="425"/>
        <v>8</v>
      </c>
      <c r="BB749" s="18">
        <f t="shared" si="426"/>
        <v>3</v>
      </c>
      <c r="BC749" s="18">
        <f t="shared" si="427"/>
        <v>7</v>
      </c>
      <c r="BD749" s="18">
        <f t="shared" si="428"/>
        <v>9</v>
      </c>
      <c r="BE749" s="8">
        <f t="shared" si="430"/>
        <v>6.5615694424884354E-3</v>
      </c>
    </row>
    <row r="750" spans="1:57" x14ac:dyDescent="0.25">
      <c r="A750" t="str">
        <f t="shared" si="429"/>
        <v/>
      </c>
      <c r="B750" s="1">
        <v>43844</v>
      </c>
      <c r="C750" s="9">
        <f t="shared" si="404"/>
        <v>0.2504610004711062</v>
      </c>
      <c r="D750" s="9">
        <f t="shared" si="405"/>
        <v>0.24584369620056884</v>
      </c>
      <c r="E750" s="9">
        <f t="shared" si="406"/>
        <v>0</v>
      </c>
      <c r="F750" s="9">
        <f t="shared" si="407"/>
        <v>0</v>
      </c>
      <c r="G750" s="9">
        <f t="shared" si="408"/>
        <v>0.25491383819046975</v>
      </c>
      <c r="H750" s="9">
        <f t="shared" si="409"/>
        <v>0</v>
      </c>
      <c r="I750" s="9">
        <f t="shared" si="410"/>
        <v>0.24878146513785532</v>
      </c>
      <c r="J750" s="9">
        <f t="shared" si="411"/>
        <v>0</v>
      </c>
      <c r="K750" s="9">
        <v>0</v>
      </c>
      <c r="L750" s="8">
        <f>+VLOOKUP($B750,NIFTY_50!$B$3:$I$1238,8,0)</f>
        <v>2.6562202189048811E-3</v>
      </c>
      <c r="M750" s="8">
        <f>+VLOOKUP($B750,NIFTY_BANK!$B$3:$I$41238,8,0)</f>
        <v>-3.2942119763251787E-3</v>
      </c>
      <c r="N750" s="8">
        <f>+VLOOKUP($B750,NIFTY_IT!$B$3:$I$1238,8,0)</f>
        <v>8.4093948563717102E-3</v>
      </c>
      <c r="O750" s="8">
        <f>+VLOOKUP($B750,NIFTY_PHARMA!$B$3:$I$1238,8,0)</f>
        <v>4.7719550161231528E-3</v>
      </c>
      <c r="P750" s="8">
        <f>+VLOOKUP($B750,NIFTY_FMCG!$B$3:$I$1238,8,0)</f>
        <v>1.4063871040212117E-2</v>
      </c>
      <c r="Q750" s="8">
        <f>+VLOOKUP($B750,NIFTY_METAL!$B$3:$I$1238,8,0)</f>
        <v>9.2376744024216251E-3</v>
      </c>
      <c r="R750" s="8">
        <f>+VLOOKUP($B750,NIFTY_ENERGY!$B$3:$I$1238,8,0)</f>
        <v>6.1707810401201435E-4</v>
      </c>
      <c r="S750" s="8">
        <f>+VLOOKUP($B750,NIFTY_AUTO!$B$3:$I$1238,8,0)</f>
        <v>6.4899190733196388E-3</v>
      </c>
      <c r="T750" s="8">
        <v>0</v>
      </c>
      <c r="U750" s="8">
        <f>+VLOOKUP($B750,NIFTY_50!$B$63:$K$1238,10,0)</f>
        <v>7.83583391486391E-2</v>
      </c>
      <c r="V750" s="8">
        <f>+VLOOKUP($B750,NIFTY_BANK!$B$63:$K$1238,10,0)</f>
        <v>0.12379111945842158</v>
      </c>
      <c r="W750" s="8">
        <f>+VLOOKUP($B750,NIFTY_IT!$B$63:$K$1238,10,0)</f>
        <v>6.6301942984499762E-2</v>
      </c>
      <c r="X750" s="8">
        <f>+VLOOKUP($B750,NIFTY_PHARMA!$B$63:$K$1238,10,0)</f>
        <v>8.5835445831967672E-2</v>
      </c>
      <c r="Y750" s="8">
        <f>+VLOOKUP($B750,NIFTY_FMCG!$B$63:$K$1238,10,0)</f>
        <v>7.974368102527718E-3</v>
      </c>
      <c r="Z750" s="8">
        <f>+VLOOKUP($B750,NIFTY_METAL!$B$63:$K$1238,10,0)</f>
        <v>0.21452497592429753</v>
      </c>
      <c r="AA750" s="8">
        <f>+VLOOKUP($B750,NIFTY_ENERGY!$B$63:$K$1238,10,0)</f>
        <v>1.3888406433256284E-2</v>
      </c>
      <c r="AB750" s="8">
        <f>+VLOOKUP($B750,NIFTY_AUTO!$B$63:$K$1238,10,0)</f>
        <v>8.0207980400844203E-2</v>
      </c>
      <c r="AC750" s="8"/>
      <c r="AD750" s="16">
        <f t="shared" si="412"/>
        <v>4.8042813823857611E-2</v>
      </c>
      <c r="AE750" s="8">
        <f t="shared" si="413"/>
        <v>6.7025390847292296E-2</v>
      </c>
      <c r="AF750" s="8">
        <f t="shared" si="414"/>
        <v>8.2583642458726028E-2</v>
      </c>
      <c r="AG750" s="8">
        <f t="shared" si="415"/>
        <v>7.1378515227948192E-2</v>
      </c>
      <c r="AH750" s="8">
        <f t="shared" si="416"/>
        <v>5.0191253080443525E-2</v>
      </c>
      <c r="AI750" s="8">
        <f t="shared" si="417"/>
        <v>0.11747225747980958</v>
      </c>
      <c r="AJ750" s="8">
        <f t="shared" si="418"/>
        <v>6.4494658817720374E-2</v>
      </c>
      <c r="AK750" s="8">
        <f t="shared" si="419"/>
        <v>8.8391546772084856E-2</v>
      </c>
      <c r="AL750" s="9">
        <v>0</v>
      </c>
      <c r="AM750" s="17">
        <f t="shared" si="396"/>
        <v>20.814767504383962</v>
      </c>
      <c r="AN750" s="13">
        <f t="shared" si="397"/>
        <v>14.919719040182191</v>
      </c>
      <c r="AO750" s="13">
        <f t="shared" si="398"/>
        <v>12.108935501358927</v>
      </c>
      <c r="AP750" s="13">
        <f t="shared" si="399"/>
        <v>14.009817895573862</v>
      </c>
      <c r="AQ750" s="13">
        <f t="shared" si="400"/>
        <v>19.923790274716993</v>
      </c>
      <c r="AR750" s="13">
        <f t="shared" si="401"/>
        <v>8.5126481899087878</v>
      </c>
      <c r="AS750" s="13">
        <f t="shared" si="402"/>
        <v>15.505159936209211</v>
      </c>
      <c r="AT750" s="13">
        <f t="shared" si="403"/>
        <v>11.313299025963106</v>
      </c>
      <c r="AU750" s="9">
        <v>0</v>
      </c>
      <c r="AV750" s="18">
        <f t="shared" si="420"/>
        <v>1</v>
      </c>
      <c r="AW750" s="18">
        <f t="shared" si="421"/>
        <v>4</v>
      </c>
      <c r="AX750" s="18">
        <f t="shared" si="422"/>
        <v>6</v>
      </c>
      <c r="AY750" s="18">
        <f t="shared" si="423"/>
        <v>5</v>
      </c>
      <c r="AZ750" s="18">
        <f t="shared" si="424"/>
        <v>2</v>
      </c>
      <c r="BA750" s="18">
        <f t="shared" si="425"/>
        <v>8</v>
      </c>
      <c r="BB750" s="18">
        <f t="shared" si="426"/>
        <v>3</v>
      </c>
      <c r="BC750" s="18">
        <f t="shared" si="427"/>
        <v>7</v>
      </c>
      <c r="BD750" s="18">
        <f t="shared" si="428"/>
        <v>9</v>
      </c>
      <c r="BE750" s="8">
        <f t="shared" si="430"/>
        <v>3.5523310899358419E-3</v>
      </c>
    </row>
    <row r="751" spans="1:57" x14ac:dyDescent="0.25">
      <c r="A751" t="str">
        <f t="shared" si="429"/>
        <v/>
      </c>
      <c r="B751" s="1">
        <v>43845</v>
      </c>
      <c r="C751" s="9">
        <f t="shared" si="404"/>
        <v>0.25059143598606298</v>
      </c>
      <c r="D751" s="9">
        <f t="shared" si="405"/>
        <v>0.24445500220371999</v>
      </c>
      <c r="E751" s="9">
        <f t="shared" si="406"/>
        <v>0</v>
      </c>
      <c r="F751" s="9">
        <f t="shared" si="407"/>
        <v>0</v>
      </c>
      <c r="G751" s="9">
        <f t="shared" si="408"/>
        <v>0.25619126312098645</v>
      </c>
      <c r="H751" s="9">
        <f t="shared" si="409"/>
        <v>0</v>
      </c>
      <c r="I751" s="9">
        <f t="shared" si="410"/>
        <v>0.24876229868923055</v>
      </c>
      <c r="J751" s="9">
        <f t="shared" si="411"/>
        <v>0</v>
      </c>
      <c r="K751" s="9">
        <v>0</v>
      </c>
      <c r="L751" s="8">
        <f>+VLOOKUP($B751,NIFTY_50!$B$3:$I$1238,8,0)</f>
        <v>-1.5369308300234863E-3</v>
      </c>
      <c r="M751" s="8">
        <f>+VLOOKUP($B751,NIFTY_BANK!$B$3:$I$41238,8,0)</f>
        <v>-7.6937108006603916E-3</v>
      </c>
      <c r="N751" s="8">
        <f>+VLOOKUP($B751,NIFTY_IT!$B$3:$I$1238,8,0)</f>
        <v>-9.4729669026760721E-4</v>
      </c>
      <c r="O751" s="8">
        <f>+VLOOKUP($B751,NIFTY_PHARMA!$B$3:$I$1238,8,0)</f>
        <v>6.0613527165207515E-3</v>
      </c>
      <c r="P751" s="8">
        <f>+VLOOKUP($B751,NIFTY_FMCG!$B$3:$I$1238,8,0)</f>
        <v>2.9442550103706555E-3</v>
      </c>
      <c r="Q751" s="8">
        <f>+VLOOKUP($B751,NIFTY_METAL!$B$3:$I$1238,8,0)</f>
        <v>7.1708065433608859E-3</v>
      </c>
      <c r="R751" s="8">
        <f>+VLOOKUP($B751,NIFTY_ENERGY!$B$3:$I$1238,8,0)</f>
        <v>-2.1335243642253143E-3</v>
      </c>
      <c r="S751" s="8">
        <f>+VLOOKUP($B751,NIFTY_AUTO!$B$3:$I$1238,8,0)</f>
        <v>1.1587226906976555E-2</v>
      </c>
      <c r="T751" s="8">
        <v>0</v>
      </c>
      <c r="U751" s="8">
        <f>+VLOOKUP($B751,NIFTY_50!$B$63:$K$1238,10,0)</f>
        <v>6.5331187129682666E-2</v>
      </c>
      <c r="V751" s="8">
        <f>+VLOOKUP($B751,NIFTY_BANK!$B$63:$K$1238,10,0)</f>
        <v>9.7809720432778136E-2</v>
      </c>
      <c r="W751" s="8">
        <f>+VLOOKUP($B751,NIFTY_IT!$B$63:$K$1238,10,0)</f>
        <v>6.9687015358038007E-2</v>
      </c>
      <c r="X751" s="8">
        <f>+VLOOKUP($B751,NIFTY_PHARMA!$B$63:$K$1238,10,0)</f>
        <v>8.3992062069835116E-2</v>
      </c>
      <c r="Y751" s="8">
        <f>+VLOOKUP($B751,NIFTY_FMCG!$B$63:$K$1238,10,0)</f>
        <v>-3.025670323216989E-3</v>
      </c>
      <c r="Z751" s="8">
        <f>+VLOOKUP($B751,NIFTY_METAL!$B$63:$K$1238,10,0)</f>
        <v>0.21174225927538948</v>
      </c>
      <c r="AA751" s="8">
        <f>+VLOOKUP($B751,NIFTY_ENERGY!$B$63:$K$1238,10,0)</f>
        <v>2.6538813014032048E-3</v>
      </c>
      <c r="AB751" s="8">
        <f>+VLOOKUP($B751,NIFTY_AUTO!$B$63:$K$1238,10,0)</f>
        <v>5.9559009350518055E-2</v>
      </c>
      <c r="AC751" s="8"/>
      <c r="AD751" s="16">
        <f t="shared" si="412"/>
        <v>4.7167862252633939E-2</v>
      </c>
      <c r="AE751" s="8">
        <f t="shared" si="413"/>
        <v>6.6218476324712561E-2</v>
      </c>
      <c r="AF751" s="8">
        <f t="shared" si="414"/>
        <v>8.2443278218912772E-2</v>
      </c>
      <c r="AG751" s="8">
        <f t="shared" si="415"/>
        <v>7.1245645860600212E-2</v>
      </c>
      <c r="AH751" s="8">
        <f t="shared" si="416"/>
        <v>4.8299873093326506E-2</v>
      </c>
      <c r="AI751" s="8">
        <f t="shared" si="417"/>
        <v>0.11737293527085356</v>
      </c>
      <c r="AJ751" s="8">
        <f t="shared" si="418"/>
        <v>6.3922052830880385E-2</v>
      </c>
      <c r="AK751" s="8">
        <f t="shared" si="419"/>
        <v>8.3747174039595015E-2</v>
      </c>
      <c r="AL751" s="9">
        <v>0</v>
      </c>
      <c r="AM751" s="17">
        <f t="shared" si="396"/>
        <v>21.200876025373784</v>
      </c>
      <c r="AN751" s="13">
        <f t="shared" si="397"/>
        <v>15.101525367275819</v>
      </c>
      <c r="AO751" s="13">
        <f t="shared" si="398"/>
        <v>12.129551633605425</v>
      </c>
      <c r="AP751" s="13">
        <f t="shared" si="399"/>
        <v>14.035945466149718</v>
      </c>
      <c r="AQ751" s="13">
        <f t="shared" si="400"/>
        <v>20.703988146465086</v>
      </c>
      <c r="AR751" s="13">
        <f t="shared" si="401"/>
        <v>8.5198516820966255</v>
      </c>
      <c r="AS751" s="13">
        <f t="shared" si="402"/>
        <v>15.644053276037868</v>
      </c>
      <c r="AT751" s="13">
        <f t="shared" si="403"/>
        <v>11.9407014202916</v>
      </c>
      <c r="AU751" s="9">
        <v>0</v>
      </c>
      <c r="AV751" s="18">
        <f t="shared" si="420"/>
        <v>1</v>
      </c>
      <c r="AW751" s="18">
        <f t="shared" si="421"/>
        <v>4</v>
      </c>
      <c r="AX751" s="18">
        <f t="shared" si="422"/>
        <v>6</v>
      </c>
      <c r="AY751" s="18">
        <f t="shared" si="423"/>
        <v>5</v>
      </c>
      <c r="AZ751" s="18">
        <f t="shared" si="424"/>
        <v>2</v>
      </c>
      <c r="BA751" s="18">
        <f t="shared" si="425"/>
        <v>8</v>
      </c>
      <c r="BB751" s="18">
        <f t="shared" si="426"/>
        <v>3</v>
      </c>
      <c r="BC751" s="18">
        <f t="shared" si="427"/>
        <v>7</v>
      </c>
      <c r="BD751" s="18">
        <f t="shared" si="428"/>
        <v>9</v>
      </c>
      <c r="BE751" s="8">
        <f t="shared" si="430"/>
        <v>-2.0566415060093383E-3</v>
      </c>
    </row>
    <row r="752" spans="1:57" x14ac:dyDescent="0.25">
      <c r="A752" t="str">
        <f t="shared" si="429"/>
        <v/>
      </c>
      <c r="B752" s="1">
        <v>43846</v>
      </c>
      <c r="C752" s="9">
        <f t="shared" si="404"/>
        <v>0.2506869491276788</v>
      </c>
      <c r="D752" s="9">
        <f t="shared" si="405"/>
        <v>0.24452932712727846</v>
      </c>
      <c r="E752" s="9">
        <f t="shared" si="406"/>
        <v>0</v>
      </c>
      <c r="F752" s="9">
        <f t="shared" si="407"/>
        <v>0</v>
      </c>
      <c r="G752" s="9">
        <f t="shared" si="408"/>
        <v>0.25686451649966235</v>
      </c>
      <c r="H752" s="9">
        <f t="shared" si="409"/>
        <v>0</v>
      </c>
      <c r="I752" s="9">
        <f t="shared" si="410"/>
        <v>0.24791920724538044</v>
      </c>
      <c r="J752" s="9">
        <f t="shared" si="411"/>
        <v>0</v>
      </c>
      <c r="K752" s="9">
        <v>0</v>
      </c>
      <c r="L752" s="8">
        <f>+VLOOKUP($B752,NIFTY_50!$B$3:$I$1238,8,0)</f>
        <v>9.8839046284227017E-4</v>
      </c>
      <c r="M752" s="8">
        <f>+VLOOKUP($B752,NIFTY_BANK!$B$3:$I$41238,8,0)</f>
        <v>9.1123617041999339E-4</v>
      </c>
      <c r="N752" s="8">
        <f>+VLOOKUP($B752,NIFTY_IT!$B$3:$I$1238,8,0)</f>
        <v>2.1288505124839041E-3</v>
      </c>
      <c r="O752" s="8">
        <f>+VLOOKUP($B752,NIFTY_PHARMA!$B$3:$I$1238,8,0)</f>
        <v>4.5186255541134202E-3</v>
      </c>
      <c r="P752" s="8">
        <f>+VLOOKUP($B752,NIFTY_FMCG!$B$3:$I$1238,8,0)</f>
        <v>3.2365360420782974E-3</v>
      </c>
      <c r="Q752" s="8">
        <f>+VLOOKUP($B752,NIFTY_METAL!$B$3:$I$1238,8,0)</f>
        <v>-1.2545140255694864E-2</v>
      </c>
      <c r="R752" s="8">
        <f>+VLOOKUP($B752,NIFTY_ENERGY!$B$3:$I$1238,8,0)</f>
        <v>-2.7841937698982466E-3</v>
      </c>
      <c r="S752" s="8">
        <f>+VLOOKUP($B752,NIFTY_AUTO!$B$3:$I$1238,8,0)</f>
        <v>1.2581466486192294E-3</v>
      </c>
      <c r="T752" s="8">
        <v>0</v>
      </c>
      <c r="U752" s="8">
        <f>+VLOOKUP($B752,NIFTY_50!$B$63:$K$1238,10,0)</f>
        <v>5.9480271140513796E-2</v>
      </c>
      <c r="V752" s="8">
        <f>+VLOOKUP($B752,NIFTY_BANK!$B$63:$K$1238,10,0)</f>
        <v>9.3874537478215281E-2</v>
      </c>
      <c r="W752" s="8">
        <f>+VLOOKUP($B752,NIFTY_IT!$B$63:$K$1238,10,0)</f>
        <v>6.3046313781221386E-2</v>
      </c>
      <c r="X752" s="8">
        <f>+VLOOKUP($B752,NIFTY_PHARMA!$B$63:$K$1238,10,0)</f>
        <v>7.8199036559479129E-2</v>
      </c>
      <c r="Y752" s="8">
        <f>+VLOOKUP($B752,NIFTY_FMCG!$B$63:$K$1238,10,0)</f>
        <v>-5.1823011321701085E-3</v>
      </c>
      <c r="Z752" s="8">
        <f>+VLOOKUP($B752,NIFTY_METAL!$B$63:$K$1238,10,0)</f>
        <v>0.17459283387622149</v>
      </c>
      <c r="AA752" s="8">
        <f>+VLOOKUP($B752,NIFTY_ENERGY!$B$63:$K$1238,10,0)</f>
        <v>-1.293276568399071E-2</v>
      </c>
      <c r="AB752" s="8">
        <f>+VLOOKUP($B752,NIFTY_AUTO!$B$63:$K$1238,10,0)</f>
        <v>5.4132270316080255E-2</v>
      </c>
      <c r="AC752" s="8"/>
      <c r="AD752" s="16">
        <f t="shared" si="412"/>
        <v>4.6845478284445463E-2</v>
      </c>
      <c r="AE752" s="8">
        <f t="shared" si="413"/>
        <v>6.6154597399333687E-2</v>
      </c>
      <c r="AF752" s="8">
        <f t="shared" si="414"/>
        <v>8.2127626659731251E-2</v>
      </c>
      <c r="AG752" s="8">
        <f t="shared" si="415"/>
        <v>7.0797518551079824E-2</v>
      </c>
      <c r="AH752" s="8">
        <f t="shared" si="416"/>
        <v>4.8102589767372785E-2</v>
      </c>
      <c r="AI752" s="8">
        <f t="shared" si="417"/>
        <v>0.11735689340380029</v>
      </c>
      <c r="AJ752" s="8">
        <f t="shared" si="418"/>
        <v>6.2642700317380284E-2</v>
      </c>
      <c r="AK752" s="8">
        <f t="shared" si="419"/>
        <v>8.3570232998959132E-2</v>
      </c>
      <c r="AL752" s="9">
        <v>0</v>
      </c>
      <c r="AM752" s="17">
        <f t="shared" si="396"/>
        <v>21.346777461167246</v>
      </c>
      <c r="AN752" s="13">
        <f t="shared" si="397"/>
        <v>15.116107410700863</v>
      </c>
      <c r="AO752" s="13">
        <f t="shared" si="398"/>
        <v>12.176170683017181</v>
      </c>
      <c r="AP752" s="13">
        <f t="shared" si="399"/>
        <v>14.124788840988943</v>
      </c>
      <c r="AQ752" s="13">
        <f t="shared" si="400"/>
        <v>20.78890148817484</v>
      </c>
      <c r="AR752" s="13">
        <f t="shared" si="401"/>
        <v>8.5210162862714096</v>
      </c>
      <c r="AS752" s="13">
        <f t="shared" si="402"/>
        <v>15.963551937152825</v>
      </c>
      <c r="AT752" s="13">
        <f t="shared" si="403"/>
        <v>11.965983151111413</v>
      </c>
      <c r="AU752" s="9">
        <v>0</v>
      </c>
      <c r="AV752" s="18">
        <f t="shared" si="420"/>
        <v>1</v>
      </c>
      <c r="AW752" s="18">
        <f t="shared" si="421"/>
        <v>4</v>
      </c>
      <c r="AX752" s="18">
        <f t="shared" si="422"/>
        <v>6</v>
      </c>
      <c r="AY752" s="18">
        <f t="shared" si="423"/>
        <v>5</v>
      </c>
      <c r="AZ752" s="18">
        <f t="shared" si="424"/>
        <v>2</v>
      </c>
      <c r="BA752" s="18">
        <f t="shared" si="425"/>
        <v>8</v>
      </c>
      <c r="BB752" s="18">
        <f t="shared" si="426"/>
        <v>3</v>
      </c>
      <c r="BC752" s="18">
        <f t="shared" si="427"/>
        <v>7</v>
      </c>
      <c r="BD752" s="18">
        <f t="shared" si="428"/>
        <v>9</v>
      </c>
      <c r="BE752" s="8">
        <f t="shared" si="430"/>
        <v>6.0700824000721747E-4</v>
      </c>
    </row>
    <row r="753" spans="1:57" x14ac:dyDescent="0.25">
      <c r="A753" t="str">
        <f t="shared" si="429"/>
        <v/>
      </c>
      <c r="B753" s="1">
        <v>43847</v>
      </c>
      <c r="C753" s="9">
        <f t="shared" si="404"/>
        <v>0.25067563447737978</v>
      </c>
      <c r="D753" s="9">
        <f t="shared" si="405"/>
        <v>0.24255935914424298</v>
      </c>
      <c r="E753" s="9">
        <f t="shared" si="406"/>
        <v>0</v>
      </c>
      <c r="F753" s="9">
        <f t="shared" si="407"/>
        <v>0</v>
      </c>
      <c r="G753" s="9">
        <f t="shared" si="408"/>
        <v>0.25719101549705969</v>
      </c>
      <c r="H753" s="9">
        <f t="shared" si="409"/>
        <v>0</v>
      </c>
      <c r="I753" s="9">
        <f t="shared" si="410"/>
        <v>0.24957399088131763</v>
      </c>
      <c r="J753" s="9">
        <f t="shared" si="411"/>
        <v>0</v>
      </c>
      <c r="K753" s="9">
        <v>0</v>
      </c>
      <c r="L753" s="8">
        <f>+VLOOKUP($B753,NIFTY_50!$B$3:$I$1238,8,0)</f>
        <v>-2.5494718951069029E-4</v>
      </c>
      <c r="M753" s="8">
        <f>+VLOOKUP($B753,NIFTY_BANK!$B$3:$I$41238,8,0)</f>
        <v>-8.2642941680610704E-3</v>
      </c>
      <c r="N753" s="8">
        <f>+VLOOKUP($B753,NIFTY_IT!$B$3:$I$1238,8,0)</f>
        <v>-1.5291499940481845E-3</v>
      </c>
      <c r="O753" s="8">
        <f>+VLOOKUP($B753,NIFTY_PHARMA!$B$3:$I$1238,8,0)</f>
        <v>1.7334909973058865E-2</v>
      </c>
      <c r="P753" s="8">
        <f>+VLOOKUP($B753,NIFTY_FMCG!$B$3:$I$1238,8,0)</f>
        <v>1.061005418307337E-3</v>
      </c>
      <c r="Q753" s="8">
        <f>+VLOOKUP($B753,NIFTY_METAL!$B$3:$I$1238,8,0)</f>
        <v>-6.9848863006101158E-3</v>
      </c>
      <c r="R753" s="8">
        <f>+VLOOKUP($B753,NIFTY_ENERGY!$B$3:$I$1238,8,0)</f>
        <v>6.4634665464744501E-3</v>
      </c>
      <c r="S753" s="8">
        <f>+VLOOKUP($B753,NIFTY_AUTO!$B$3:$I$1238,8,0)</f>
        <v>3.7756524017675819E-3</v>
      </c>
      <c r="T753" s="8">
        <v>0</v>
      </c>
      <c r="U753" s="8">
        <f>+VLOOKUP($B753,NIFTY_50!$B$63:$K$1238,10,0)</f>
        <v>6.5928281420564616E-2</v>
      </c>
      <c r="V753" s="8">
        <f>+VLOOKUP($B753,NIFTY_BANK!$B$63:$K$1238,10,0)</f>
        <v>7.4104548785069557E-2</v>
      </c>
      <c r="W753" s="8">
        <f>+VLOOKUP($B753,NIFTY_IT!$B$63:$K$1238,10,0)</f>
        <v>0.11355366218134422</v>
      </c>
      <c r="X753" s="8">
        <f>+VLOOKUP($B753,NIFTY_PHARMA!$B$63:$K$1238,10,0)</f>
        <v>7.7348101960328597E-2</v>
      </c>
      <c r="Y753" s="8">
        <f>+VLOOKUP($B753,NIFTY_FMCG!$B$63:$K$1238,10,0)</f>
        <v>-9.0952450141190688E-3</v>
      </c>
      <c r="Z753" s="8">
        <f>+VLOOKUP($B753,NIFTY_METAL!$B$63:$K$1238,10,0)</f>
        <v>0.1726671715414374</v>
      </c>
      <c r="AA753" s="8">
        <f>+VLOOKUP($B753,NIFTY_ENERGY!$B$63:$K$1238,10,0)</f>
        <v>-1.1755558150827627E-2</v>
      </c>
      <c r="AB753" s="8">
        <f>+VLOOKUP($B753,NIFTY_AUTO!$B$63:$K$1238,10,0)</f>
        <v>6.1858592731190098E-2</v>
      </c>
      <c r="AC753" s="8"/>
      <c r="AD753" s="16">
        <f t="shared" si="412"/>
        <v>4.6287816128060537E-2</v>
      </c>
      <c r="AE753" s="8">
        <f t="shared" si="413"/>
        <v>6.6291216412908485E-2</v>
      </c>
      <c r="AF753" s="8">
        <f t="shared" si="414"/>
        <v>6.6528019551024525E-2</v>
      </c>
      <c r="AG753" s="8">
        <f t="shared" si="415"/>
        <v>7.0610372149021758E-2</v>
      </c>
      <c r="AH753" s="8">
        <f t="shared" si="416"/>
        <v>4.7844171364653625E-2</v>
      </c>
      <c r="AI753" s="8">
        <f t="shared" si="417"/>
        <v>0.11748063287013574</v>
      </c>
      <c r="AJ753" s="8">
        <f t="shared" si="418"/>
        <v>6.275810393616385E-2</v>
      </c>
      <c r="AK753" s="8">
        <f t="shared" si="419"/>
        <v>8.3495261032492857E-2</v>
      </c>
      <c r="AL753" s="9">
        <v>0</v>
      </c>
      <c r="AM753" s="17">
        <f t="shared" si="396"/>
        <v>21.603957232144754</v>
      </c>
      <c r="AN753" s="13">
        <f t="shared" si="397"/>
        <v>15.084954751339819</v>
      </c>
      <c r="AO753" s="13">
        <f t="shared" si="398"/>
        <v>15.031260613928799</v>
      </c>
      <c r="AP753" s="13">
        <f t="shared" si="399"/>
        <v>14.162225315701782</v>
      </c>
      <c r="AQ753" s="13">
        <f t="shared" si="400"/>
        <v>20.901187573681781</v>
      </c>
      <c r="AR753" s="13">
        <f t="shared" si="401"/>
        <v>8.5120413090165243</v>
      </c>
      <c r="AS753" s="13">
        <f t="shared" si="402"/>
        <v>15.934197135993429</v>
      </c>
      <c r="AT753" s="13">
        <f t="shared" si="403"/>
        <v>11.97672763261189</v>
      </c>
      <c r="AU753" s="9">
        <v>0</v>
      </c>
      <c r="AV753" s="18">
        <f t="shared" si="420"/>
        <v>1</v>
      </c>
      <c r="AW753" s="18">
        <f t="shared" si="421"/>
        <v>4</v>
      </c>
      <c r="AX753" s="18">
        <f t="shared" si="422"/>
        <v>5</v>
      </c>
      <c r="AY753" s="18">
        <f t="shared" si="423"/>
        <v>6</v>
      </c>
      <c r="AZ753" s="18">
        <f t="shared" si="424"/>
        <v>2</v>
      </c>
      <c r="BA753" s="18">
        <f t="shared" si="425"/>
        <v>8</v>
      </c>
      <c r="BB753" s="18">
        <f t="shared" si="426"/>
        <v>3</v>
      </c>
      <c r="BC753" s="18">
        <f t="shared" si="427"/>
        <v>7</v>
      </c>
      <c r="BD753" s="18">
        <f t="shared" si="428"/>
        <v>9</v>
      </c>
      <c r="BE753" s="8">
        <f t="shared" si="430"/>
        <v>-2.0982207918895739E-4</v>
      </c>
    </row>
    <row r="754" spans="1:57" x14ac:dyDescent="0.25">
      <c r="A754" t="str">
        <f t="shared" si="429"/>
        <v/>
      </c>
      <c r="B754" s="1">
        <v>43850</v>
      </c>
      <c r="C754" s="9">
        <f t="shared" si="404"/>
        <v>0.25046516647601702</v>
      </c>
      <c r="D754" s="9">
        <f t="shared" si="405"/>
        <v>0.24093588400271618</v>
      </c>
      <c r="E754" s="9">
        <f t="shared" si="406"/>
        <v>0</v>
      </c>
      <c r="F754" s="9">
        <f t="shared" si="407"/>
        <v>0</v>
      </c>
      <c r="G754" s="9">
        <f t="shared" si="408"/>
        <v>0.26011930863023408</v>
      </c>
      <c r="H754" s="9">
        <f t="shared" si="409"/>
        <v>0</v>
      </c>
      <c r="I754" s="9">
        <f t="shared" si="410"/>
        <v>0.2484796408910328</v>
      </c>
      <c r="J754" s="9">
        <f t="shared" si="411"/>
        <v>0</v>
      </c>
      <c r="K754" s="9">
        <v>0</v>
      </c>
      <c r="L754" s="8">
        <f>+VLOOKUP($B754,NIFTY_50!$B$3:$I$1238,8,0)</f>
        <v>-1.0346209425736941E-2</v>
      </c>
      <c r="M754" s="8">
        <f>+VLOOKUP($B754,NIFTY_BANK!$B$3:$I$41238,8,0)</f>
        <v>-1.6144017296256918E-2</v>
      </c>
      <c r="N754" s="8">
        <f>+VLOOKUP($B754,NIFTY_IT!$B$3:$I$1238,8,0)</f>
        <v>-9.1369844588728988E-3</v>
      </c>
      <c r="O754" s="8">
        <f>+VLOOKUP($B754,NIFTY_PHARMA!$B$3:$I$1238,8,0)</f>
        <v>-9.1009310629933671E-3</v>
      </c>
      <c r="P754" s="8">
        <f>+VLOOKUP($B754,NIFTY_FMCG!$B$3:$I$1238,8,0)</f>
        <v>1.7627492513097032E-3</v>
      </c>
      <c r="Q754" s="8">
        <f>+VLOOKUP($B754,NIFTY_METAL!$B$3:$I$1238,8,0)</f>
        <v>-1.0053584207494914E-2</v>
      </c>
      <c r="R754" s="8">
        <f>+VLOOKUP($B754,NIFTY_ENERGY!$B$3:$I$1238,8,0)</f>
        <v>-1.385774662341821E-2</v>
      </c>
      <c r="S754" s="8">
        <f>+VLOOKUP($B754,NIFTY_AUTO!$B$3:$I$1238,8,0)</f>
        <v>-8.8874649959655994E-3</v>
      </c>
      <c r="T754" s="8">
        <v>0</v>
      </c>
      <c r="U754" s="8">
        <f>+VLOOKUP($B754,NIFTY_50!$B$63:$K$1238,10,0)</f>
        <v>5.3468170732758225E-2</v>
      </c>
      <c r="V754" s="8">
        <f>+VLOOKUP($B754,NIFTY_BANK!$B$63:$K$1238,10,0)</f>
        <v>5.5026205379570703E-2</v>
      </c>
      <c r="W754" s="8">
        <f>+VLOOKUP($B754,NIFTY_IT!$B$63:$K$1238,10,0)</f>
        <v>9.2615626274577201E-2</v>
      </c>
      <c r="X754" s="8">
        <f>+VLOOKUP($B754,NIFTY_PHARMA!$B$63:$K$1238,10,0)</f>
        <v>6.5383896880254033E-2</v>
      </c>
      <c r="Y754" s="8">
        <f>+VLOOKUP($B754,NIFTY_FMCG!$B$63:$K$1238,10,0)</f>
        <v>-1.4821525695503546E-2</v>
      </c>
      <c r="Z754" s="8">
        <f>+VLOOKUP($B754,NIFTY_METAL!$B$63:$K$1238,10,0)</f>
        <v>0.16373597061780587</v>
      </c>
      <c r="AA754" s="8">
        <f>+VLOOKUP($B754,NIFTY_ENERGY!$B$63:$K$1238,10,0)</f>
        <v>-1.6601023414482885E-2</v>
      </c>
      <c r="AB754" s="8">
        <f>+VLOOKUP($B754,NIFTY_AUTO!$B$63:$K$1238,10,0)</f>
        <v>3.9332553567429152E-2</v>
      </c>
      <c r="AC754" s="8"/>
      <c r="AD754" s="16">
        <f t="shared" si="412"/>
        <v>4.7649129375619721E-2</v>
      </c>
      <c r="AE754" s="8">
        <f t="shared" si="413"/>
        <v>6.8485471295496925E-2</v>
      </c>
      <c r="AF754" s="8">
        <f t="shared" si="414"/>
        <v>6.6894708282161292E-2</v>
      </c>
      <c r="AG754" s="8">
        <f t="shared" si="415"/>
        <v>7.1348572783102998E-2</v>
      </c>
      <c r="AH754" s="8">
        <f t="shared" si="416"/>
        <v>4.72498910419425E-2</v>
      </c>
      <c r="AI754" s="8">
        <f t="shared" si="417"/>
        <v>0.11805606468143327</v>
      </c>
      <c r="AJ754" s="8">
        <f t="shared" si="418"/>
        <v>6.3621398107140167E-2</v>
      </c>
      <c r="AK754" s="8">
        <f t="shared" si="419"/>
        <v>8.3240701691546723E-2</v>
      </c>
      <c r="AL754" s="9">
        <v>0</v>
      </c>
      <c r="AM754" s="17">
        <f t="shared" si="396"/>
        <v>20.986742320451768</v>
      </c>
      <c r="AN754" s="13">
        <f t="shared" si="397"/>
        <v>14.60163712220452</v>
      </c>
      <c r="AO754" s="13">
        <f t="shared" si="398"/>
        <v>14.948865548258448</v>
      </c>
      <c r="AP754" s="13">
        <f t="shared" si="399"/>
        <v>14.01569731520717</v>
      </c>
      <c r="AQ754" s="13">
        <f t="shared" si="400"/>
        <v>21.164069968168306</v>
      </c>
      <c r="AR754" s="13">
        <f t="shared" si="401"/>
        <v>8.4705517052295107</v>
      </c>
      <c r="AS754" s="13">
        <f t="shared" si="402"/>
        <v>15.717982153048142</v>
      </c>
      <c r="AT754" s="13">
        <f t="shared" si="403"/>
        <v>12.013353800230545</v>
      </c>
      <c r="AU754" s="9">
        <v>0</v>
      </c>
      <c r="AV754" s="18">
        <f t="shared" si="420"/>
        <v>2</v>
      </c>
      <c r="AW754" s="18">
        <f t="shared" si="421"/>
        <v>5</v>
      </c>
      <c r="AX754" s="18">
        <f t="shared" si="422"/>
        <v>4</v>
      </c>
      <c r="AY754" s="18">
        <f t="shared" si="423"/>
        <v>6</v>
      </c>
      <c r="AZ754" s="18">
        <f t="shared" si="424"/>
        <v>1</v>
      </c>
      <c r="BA754" s="18">
        <f t="shared" si="425"/>
        <v>8</v>
      </c>
      <c r="BB754" s="18">
        <f t="shared" si="426"/>
        <v>3</v>
      </c>
      <c r="BC754" s="18">
        <f t="shared" si="427"/>
        <v>7</v>
      </c>
      <c r="BD754" s="18">
        <f t="shared" si="428"/>
        <v>9</v>
      </c>
      <c r="BE754" s="8">
        <f t="shared" si="430"/>
        <v>-9.5145949610436695E-3</v>
      </c>
    </row>
    <row r="755" spans="1:57" x14ac:dyDescent="0.25">
      <c r="A755" t="str">
        <f t="shared" si="429"/>
        <v/>
      </c>
      <c r="B755" s="1">
        <v>43851</v>
      </c>
      <c r="C755" s="9">
        <f t="shared" si="404"/>
        <v>0.25077323018775455</v>
      </c>
      <c r="D755" s="9">
        <f t="shared" si="405"/>
        <v>0.24127879906545663</v>
      </c>
      <c r="E755" s="9">
        <f t="shared" si="406"/>
        <v>0</v>
      </c>
      <c r="F755" s="9">
        <f t="shared" si="407"/>
        <v>0</v>
      </c>
      <c r="G755" s="9">
        <f t="shared" si="408"/>
        <v>0.25927234610761563</v>
      </c>
      <c r="H755" s="9">
        <f t="shared" si="409"/>
        <v>0</v>
      </c>
      <c r="I755" s="9">
        <f t="shared" si="410"/>
        <v>0.2486756246391732</v>
      </c>
      <c r="J755" s="9">
        <f t="shared" si="411"/>
        <v>0</v>
      </c>
      <c r="K755" s="9">
        <v>0</v>
      </c>
      <c r="L755" s="8">
        <f>+VLOOKUP($B755,NIFTY_50!$B$3:$I$1238,8,0)</f>
        <v>-4.4746023371002863E-3</v>
      </c>
      <c r="M755" s="8">
        <f>+VLOOKUP($B755,NIFTY_BANK!$B$3:$I$41238,8,0)</f>
        <v>-4.2824072212133135E-3</v>
      </c>
      <c r="N755" s="8">
        <f>+VLOOKUP($B755,NIFTY_IT!$B$3:$I$1238,8,0)</f>
        <v>-1.9713521501312226E-3</v>
      </c>
      <c r="O755" s="8">
        <f>+VLOOKUP($B755,NIFTY_PHARMA!$B$3:$I$1238,8,0)</f>
        <v>5.8650317134967267E-4</v>
      </c>
      <c r="P755" s="8">
        <f>+VLOOKUP($B755,NIFTY_FMCG!$B$3:$I$1238,8,0)</f>
        <v>-8.9350632820766052E-3</v>
      </c>
      <c r="Q755" s="8">
        <f>+VLOOKUP($B755,NIFTY_METAL!$B$3:$I$1238,8,0)</f>
        <v>-1.2659343759366726E-2</v>
      </c>
      <c r="R755" s="8">
        <f>+VLOOKUP($B755,NIFTY_ENERGY!$B$3:$I$1238,8,0)</f>
        <v>-4.9133230525675309E-3</v>
      </c>
      <c r="S755" s="8">
        <f>+VLOOKUP($B755,NIFTY_AUTO!$B$3:$I$1238,8,0)</f>
        <v>-1.2786284674416781E-2</v>
      </c>
      <c r="T755" s="8">
        <v>0</v>
      </c>
      <c r="U755" s="8">
        <f>+VLOOKUP($B755,NIFTY_50!$B$63:$K$1238,10,0)</f>
        <v>5.0701051577366041E-2</v>
      </c>
      <c r="V755" s="8">
        <f>+VLOOKUP($B755,NIFTY_BANK!$B$63:$K$1238,10,0)</f>
        <v>6.3199229076592367E-2</v>
      </c>
      <c r="W755" s="8">
        <f>+VLOOKUP($B755,NIFTY_IT!$B$63:$K$1238,10,0)</f>
        <v>9.4286777390657273E-2</v>
      </c>
      <c r="X755" s="8">
        <f>+VLOOKUP($B755,NIFTY_PHARMA!$B$63:$K$1238,10,0)</f>
        <v>7.0657272439070384E-2</v>
      </c>
      <c r="Y755" s="8">
        <f>+VLOOKUP($B755,NIFTY_FMCG!$B$63:$K$1238,10,0)</f>
        <v>-1.9111700385477826E-2</v>
      </c>
      <c r="Z755" s="8">
        <f>+VLOOKUP($B755,NIFTY_METAL!$B$63:$K$1238,10,0)</f>
        <v>0.15721931764171004</v>
      </c>
      <c r="AA755" s="8">
        <f>+VLOOKUP($B755,NIFTY_ENERGY!$B$63:$K$1238,10,0)</f>
        <v>-2.1056321860476568E-2</v>
      </c>
      <c r="AB755" s="8">
        <f>+VLOOKUP($B755,NIFTY_AUTO!$B$63:$K$1238,10,0)</f>
        <v>2.9142329389446386E-2</v>
      </c>
      <c r="AC755" s="8"/>
      <c r="AD755" s="16">
        <f t="shared" si="412"/>
        <v>4.7869542504400148E-2</v>
      </c>
      <c r="AE755" s="8">
        <f t="shared" si="413"/>
        <v>6.7461957591224544E-2</v>
      </c>
      <c r="AF755" s="8">
        <f t="shared" si="414"/>
        <v>6.6798132132769986E-2</v>
      </c>
      <c r="AG755" s="8">
        <f t="shared" si="415"/>
        <v>7.114116057821597E-2</v>
      </c>
      <c r="AH755" s="8">
        <f t="shared" si="416"/>
        <v>4.784300352155553E-2</v>
      </c>
      <c r="AI755" s="8">
        <f t="shared" si="417"/>
        <v>0.1186403297761487</v>
      </c>
      <c r="AJ755" s="8">
        <f t="shared" si="418"/>
        <v>6.3789924565898992E-2</v>
      </c>
      <c r="AK755" s="8">
        <f t="shared" si="419"/>
        <v>8.4233836857231209E-2</v>
      </c>
      <c r="AL755" s="9">
        <v>0</v>
      </c>
      <c r="AM755" s="17">
        <f t="shared" si="396"/>
        <v>20.890109821042898</v>
      </c>
      <c r="AN755" s="13">
        <f t="shared" si="397"/>
        <v>14.82316902304181</v>
      </c>
      <c r="AO755" s="13">
        <f t="shared" si="398"/>
        <v>14.970478486020683</v>
      </c>
      <c r="AP755" s="13">
        <f t="shared" si="399"/>
        <v>14.056560110522129</v>
      </c>
      <c r="AQ755" s="13">
        <f t="shared" si="400"/>
        <v>20.901697769653044</v>
      </c>
      <c r="AR755" s="13">
        <f t="shared" si="401"/>
        <v>8.4288369889632477</v>
      </c>
      <c r="AS755" s="13">
        <f t="shared" si="402"/>
        <v>15.676456851221658</v>
      </c>
      <c r="AT755" s="13">
        <f t="shared" si="403"/>
        <v>11.871713759102654</v>
      </c>
      <c r="AU755" s="9">
        <v>0</v>
      </c>
      <c r="AV755" s="18">
        <f t="shared" si="420"/>
        <v>2</v>
      </c>
      <c r="AW755" s="18">
        <f t="shared" si="421"/>
        <v>5</v>
      </c>
      <c r="AX755" s="18">
        <f t="shared" si="422"/>
        <v>4</v>
      </c>
      <c r="AY755" s="18">
        <f t="shared" si="423"/>
        <v>6</v>
      </c>
      <c r="AZ755" s="18">
        <f t="shared" si="424"/>
        <v>1</v>
      </c>
      <c r="BA755" s="18">
        <f t="shared" si="425"/>
        <v>8</v>
      </c>
      <c r="BB755" s="18">
        <f t="shared" si="426"/>
        <v>3</v>
      </c>
      <c r="BC755" s="18">
        <f t="shared" si="427"/>
        <v>7</v>
      </c>
      <c r="BD755" s="18">
        <f t="shared" si="428"/>
        <v>9</v>
      </c>
      <c r="BE755" s="8">
        <f t="shared" si="430"/>
        <v>-5.6975608199632127E-3</v>
      </c>
    </row>
    <row r="756" spans="1:57" x14ac:dyDescent="0.25">
      <c r="A756" t="str">
        <f t="shared" si="429"/>
        <v/>
      </c>
      <c r="B756" s="1">
        <v>43852</v>
      </c>
      <c r="C756" s="9">
        <f t="shared" si="404"/>
        <v>0.25122860067598951</v>
      </c>
      <c r="D756" s="9">
        <f t="shared" si="405"/>
        <v>0.24104157249781075</v>
      </c>
      <c r="E756" s="9">
        <f t="shared" si="406"/>
        <v>0</v>
      </c>
      <c r="F756" s="9">
        <f t="shared" si="407"/>
        <v>0</v>
      </c>
      <c r="G756" s="9">
        <f t="shared" si="408"/>
        <v>0.26115404502737943</v>
      </c>
      <c r="H756" s="9">
        <f t="shared" si="409"/>
        <v>0</v>
      </c>
      <c r="I756" s="9">
        <f t="shared" si="410"/>
        <v>0.24657578179882025</v>
      </c>
      <c r="J756" s="9">
        <f t="shared" si="411"/>
        <v>0</v>
      </c>
      <c r="K756" s="9">
        <v>0</v>
      </c>
      <c r="L756" s="8">
        <f>+VLOOKUP($B756,NIFTY_50!$B$3:$I$1238,8,0)</f>
        <v>-5.172619218807184E-3</v>
      </c>
      <c r="M756" s="8">
        <f>+VLOOKUP($B756,NIFTY_BANK!$B$3:$I$41238,8,0)</f>
        <v>-7.952164226247227E-3</v>
      </c>
      <c r="N756" s="8">
        <f>+VLOOKUP($B756,NIFTY_IT!$B$3:$I$1238,8,0)</f>
        <v>9.8515010633561939E-3</v>
      </c>
      <c r="O756" s="8">
        <f>+VLOOKUP($B756,NIFTY_PHARMA!$B$3:$I$1238,8,0)</f>
        <v>-2.1210509777381814E-3</v>
      </c>
      <c r="P756" s="8">
        <f>+VLOOKUP($B756,NIFTY_FMCG!$B$3:$I$1238,8,0)</f>
        <v>2.3116970264203118E-4</v>
      </c>
      <c r="Q756" s="8">
        <f>+VLOOKUP($B756,NIFTY_METAL!$B$3:$I$1238,8,0)</f>
        <v>-1.5428846943695396E-2</v>
      </c>
      <c r="R756" s="8">
        <f>+VLOOKUP($B756,NIFTY_ENERGY!$B$3:$I$1238,8,0)</f>
        <v>-1.5361017180126724E-2</v>
      </c>
      <c r="S756" s="8">
        <f>+VLOOKUP($B756,NIFTY_AUTO!$B$3:$I$1238,8,0)</f>
        <v>-9.3076559259753777E-3</v>
      </c>
      <c r="T756" s="8">
        <v>0</v>
      </c>
      <c r="U756" s="8">
        <f>+VLOOKUP($B756,NIFTY_50!$B$63:$K$1238,10,0)</f>
        <v>4.5148870414972508E-2</v>
      </c>
      <c r="V756" s="8">
        <f>+VLOOKUP($B756,NIFTY_BANK!$B$63:$K$1238,10,0)</f>
        <v>4.4410879730030883E-2</v>
      </c>
      <c r="W756" s="8">
        <f>+VLOOKUP($B756,NIFTY_IT!$B$63:$K$1238,10,0)</f>
        <v>9.6363142121707268E-2</v>
      </c>
      <c r="X756" s="8">
        <f>+VLOOKUP($B756,NIFTY_PHARMA!$B$63:$K$1238,10,0)</f>
        <v>6.7226347661425212E-2</v>
      </c>
      <c r="Y756" s="8">
        <f>+VLOOKUP($B756,NIFTY_FMCG!$B$63:$K$1238,10,0)</f>
        <v>-1.6804163405458539E-2</v>
      </c>
      <c r="Z756" s="8">
        <f>+VLOOKUP($B756,NIFTY_METAL!$B$63:$K$1238,10,0)</f>
        <v>0.14347636725636193</v>
      </c>
      <c r="AA756" s="8">
        <f>+VLOOKUP($B756,NIFTY_ENERGY!$B$63:$K$1238,10,0)</f>
        <v>-3.3415984046441971E-2</v>
      </c>
      <c r="AB756" s="8">
        <f>+VLOOKUP($B756,NIFTY_AUTO!$B$63:$K$1238,10,0)</f>
        <v>2.288905444915379E-2</v>
      </c>
      <c r="AC756" s="8"/>
      <c r="AD756" s="16">
        <f t="shared" si="412"/>
        <v>4.8234327980229814E-2</v>
      </c>
      <c r="AE756" s="8">
        <f t="shared" si="413"/>
        <v>6.7442164572733693E-2</v>
      </c>
      <c r="AF756" s="8">
        <f t="shared" si="414"/>
        <v>6.7008666037159548E-2</v>
      </c>
      <c r="AG756" s="8">
        <f t="shared" si="415"/>
        <v>7.1215614468227287E-2</v>
      </c>
      <c r="AH756" s="8">
        <f t="shared" si="416"/>
        <v>4.7810395456312792E-2</v>
      </c>
      <c r="AI756" s="8">
        <f t="shared" si="417"/>
        <v>0.11982399940803326</v>
      </c>
      <c r="AJ756" s="8">
        <f t="shared" si="418"/>
        <v>6.5474410749961798E-2</v>
      </c>
      <c r="AK756" s="8">
        <f t="shared" si="419"/>
        <v>8.4718383731298294E-2</v>
      </c>
      <c r="AL756" s="9">
        <v>0</v>
      </c>
      <c r="AM756" s="17">
        <f t="shared" si="396"/>
        <v>20.732122574815968</v>
      </c>
      <c r="AN756" s="13">
        <f t="shared" si="397"/>
        <v>14.827519346914492</v>
      </c>
      <c r="AO756" s="13">
        <f t="shared" si="398"/>
        <v>14.923442878947204</v>
      </c>
      <c r="AP756" s="13">
        <f t="shared" si="399"/>
        <v>14.041864378578776</v>
      </c>
      <c r="AQ756" s="13">
        <f t="shared" si="400"/>
        <v>20.915953328889731</v>
      </c>
      <c r="AR756" s="13">
        <f t="shared" si="401"/>
        <v>8.3455735490411094</v>
      </c>
      <c r="AS756" s="13">
        <f t="shared" si="402"/>
        <v>15.273142416185602</v>
      </c>
      <c r="AT756" s="13">
        <f t="shared" si="403"/>
        <v>11.803813481282939</v>
      </c>
      <c r="AU756" s="9">
        <v>0</v>
      </c>
      <c r="AV756" s="18">
        <f t="shared" si="420"/>
        <v>2</v>
      </c>
      <c r="AW756" s="18">
        <f t="shared" si="421"/>
        <v>5</v>
      </c>
      <c r="AX756" s="18">
        <f t="shared" si="422"/>
        <v>4</v>
      </c>
      <c r="AY756" s="18">
        <f t="shared" si="423"/>
        <v>6</v>
      </c>
      <c r="AZ756" s="18">
        <f t="shared" si="424"/>
        <v>1</v>
      </c>
      <c r="BA756" s="18">
        <f t="shared" si="425"/>
        <v>8</v>
      </c>
      <c r="BB756" s="18">
        <f t="shared" si="426"/>
        <v>3</v>
      </c>
      <c r="BC756" s="18">
        <f t="shared" si="427"/>
        <v>7</v>
      </c>
      <c r="BD756" s="18">
        <f t="shared" si="428"/>
        <v>9</v>
      </c>
      <c r="BE756" s="8">
        <f t="shared" si="430"/>
        <v>-6.9758176957198381E-3</v>
      </c>
    </row>
    <row r="757" spans="1:57" x14ac:dyDescent="0.25">
      <c r="A757" t="str">
        <f t="shared" si="429"/>
        <v/>
      </c>
      <c r="B757" s="1">
        <v>43853</v>
      </c>
      <c r="C757" s="9">
        <f t="shared" si="404"/>
        <v>0.25094084024850333</v>
      </c>
      <c r="D757" s="9">
        <f t="shared" si="405"/>
        <v>0.24167234109375699</v>
      </c>
      <c r="E757" s="9">
        <f t="shared" si="406"/>
        <v>0</v>
      </c>
      <c r="F757" s="9">
        <f t="shared" si="407"/>
        <v>0</v>
      </c>
      <c r="G757" s="9">
        <f t="shared" si="408"/>
        <v>0.25989571502608366</v>
      </c>
      <c r="H757" s="9">
        <f t="shared" si="409"/>
        <v>0</v>
      </c>
      <c r="I757" s="9">
        <f t="shared" si="410"/>
        <v>0.24749110363165611</v>
      </c>
      <c r="J757" s="9">
        <f t="shared" si="411"/>
        <v>0</v>
      </c>
      <c r="K757" s="9">
        <v>0</v>
      </c>
      <c r="L757" s="8">
        <f>+VLOOKUP($B757,NIFTY_50!$B$3:$I$1238,8,0)</f>
        <v>6.0667883603564565E-3</v>
      </c>
      <c r="M757" s="8">
        <f>+VLOOKUP($B757,NIFTY_BANK!$B$3:$I$41238,8,0)</f>
        <v>9.8562120030161182E-3</v>
      </c>
      <c r="N757" s="8">
        <f>+VLOOKUP($B757,NIFTY_IT!$B$3:$I$1238,8,0)</f>
        <v>8.5616071455902887E-3</v>
      </c>
      <c r="O757" s="8">
        <f>+VLOOKUP($B757,NIFTY_PHARMA!$B$3:$I$1238,8,0)</f>
        <v>5.2745362828752196E-3</v>
      </c>
      <c r="P757" s="8">
        <f>+VLOOKUP($B757,NIFTY_FMCG!$B$3:$I$1238,8,0)</f>
        <v>2.3673368503667191E-3</v>
      </c>
      <c r="Q757" s="8">
        <f>+VLOOKUP($B757,NIFTY_METAL!$B$3:$I$1238,8,0)</f>
        <v>4.5343248390314894E-3</v>
      </c>
      <c r="R757" s="8">
        <f>+VLOOKUP($B757,NIFTY_ENERGY!$B$3:$I$1238,8,0)</f>
        <v>1.0959406743656031E-2</v>
      </c>
      <c r="S757" s="8">
        <f>+VLOOKUP($B757,NIFTY_AUTO!$B$3:$I$1238,8,0)</f>
        <v>8.8870935164613307E-3</v>
      </c>
      <c r="T757" s="8">
        <v>0</v>
      </c>
      <c r="U757" s="8">
        <f>+VLOOKUP($B757,NIFTY_50!$B$63:$K$1238,10,0)</f>
        <v>4.7578297347157461E-2</v>
      </c>
      <c r="V757" s="8">
        <f>+VLOOKUP($B757,NIFTY_BANK!$B$63:$K$1238,10,0)</f>
        <v>5.0404352849103606E-2</v>
      </c>
      <c r="W757" s="8">
        <f>+VLOOKUP($B757,NIFTY_IT!$B$63:$K$1238,10,0)</f>
        <v>0.10149501216870371</v>
      </c>
      <c r="X757" s="8">
        <f>+VLOOKUP($B757,NIFTY_PHARMA!$B$63:$K$1238,10,0)</f>
        <v>7.1885633850107489E-2</v>
      </c>
      <c r="Y757" s="8">
        <f>+VLOOKUP($B757,NIFTY_FMCG!$B$63:$K$1238,10,0)</f>
        <v>-1.8128536369481862E-2</v>
      </c>
      <c r="Z757" s="8">
        <f>+VLOOKUP($B757,NIFTY_METAL!$B$63:$K$1238,10,0)</f>
        <v>0.14339684964594657</v>
      </c>
      <c r="AA757" s="8">
        <f>+VLOOKUP($B757,NIFTY_ENERGY!$B$63:$K$1238,10,0)</f>
        <v>-2.5375843611822213E-2</v>
      </c>
      <c r="AB757" s="8">
        <f>+VLOOKUP($B757,NIFTY_AUTO!$B$63:$K$1238,10,0)</f>
        <v>1.7248827450012438E-2</v>
      </c>
      <c r="AC757" s="8"/>
      <c r="AD757" s="16">
        <f t="shared" si="412"/>
        <v>4.8434066502179102E-2</v>
      </c>
      <c r="AE757" s="8">
        <f t="shared" si="413"/>
        <v>6.7967949606222183E-2</v>
      </c>
      <c r="AF757" s="8">
        <f t="shared" si="414"/>
        <v>6.733238639876743E-2</v>
      </c>
      <c r="AG757" s="8">
        <f t="shared" si="415"/>
        <v>7.1334872446440573E-2</v>
      </c>
      <c r="AH757" s="8">
        <f t="shared" si="416"/>
        <v>4.7716603459123881E-2</v>
      </c>
      <c r="AI757" s="8">
        <f t="shared" si="417"/>
        <v>0.11982268625549865</v>
      </c>
      <c r="AJ757" s="8">
        <f t="shared" si="418"/>
        <v>6.6390577559546277E-2</v>
      </c>
      <c r="AK757" s="8">
        <f t="shared" si="419"/>
        <v>8.3968913325154368E-2</v>
      </c>
      <c r="AL757" s="9">
        <v>0</v>
      </c>
      <c r="AM757" s="17">
        <f t="shared" si="396"/>
        <v>20.646624828724818</v>
      </c>
      <c r="AN757" s="13">
        <f t="shared" si="397"/>
        <v>14.712816934946265</v>
      </c>
      <c r="AO757" s="13">
        <f t="shared" si="398"/>
        <v>14.851694013600351</v>
      </c>
      <c r="AP757" s="13">
        <f t="shared" si="399"/>
        <v>14.018389123087266</v>
      </c>
      <c r="AQ757" s="13">
        <f t="shared" si="400"/>
        <v>20.95706583258055</v>
      </c>
      <c r="AR757" s="13">
        <f t="shared" si="401"/>
        <v>8.3456650092762388</v>
      </c>
      <c r="AS757" s="13">
        <f t="shared" si="402"/>
        <v>15.062378378966374</v>
      </c>
      <c r="AT757" s="13">
        <f t="shared" si="403"/>
        <v>11.909169243713821</v>
      </c>
      <c r="AU757" s="9">
        <v>0</v>
      </c>
      <c r="AV757" s="18">
        <f t="shared" si="420"/>
        <v>2</v>
      </c>
      <c r="AW757" s="18">
        <f t="shared" si="421"/>
        <v>5</v>
      </c>
      <c r="AX757" s="18">
        <f t="shared" si="422"/>
        <v>4</v>
      </c>
      <c r="AY757" s="18">
        <f t="shared" si="423"/>
        <v>6</v>
      </c>
      <c r="AZ757" s="18">
        <f t="shared" si="424"/>
        <v>1</v>
      </c>
      <c r="BA757" s="18">
        <f t="shared" si="425"/>
        <v>8</v>
      </c>
      <c r="BB757" s="18">
        <f t="shared" si="426"/>
        <v>3</v>
      </c>
      <c r="BC757" s="18">
        <f t="shared" si="427"/>
        <v>7</v>
      </c>
      <c r="BD757" s="18">
        <f t="shared" si="428"/>
        <v>9</v>
      </c>
      <c r="BE757" s="8">
        <f t="shared" si="430"/>
        <v>7.2204714707324296E-3</v>
      </c>
    </row>
    <row r="758" spans="1:57" x14ac:dyDescent="0.25">
      <c r="A758" t="str">
        <f t="shared" si="429"/>
        <v/>
      </c>
      <c r="B758" s="1">
        <v>43854</v>
      </c>
      <c r="C758" s="9">
        <f t="shared" si="404"/>
        <v>0.25112431623263071</v>
      </c>
      <c r="D758" s="9">
        <f t="shared" si="405"/>
        <v>0.24235222896755204</v>
      </c>
      <c r="E758" s="9">
        <f t="shared" si="406"/>
        <v>0</v>
      </c>
      <c r="F758" s="9">
        <f t="shared" si="407"/>
        <v>0</v>
      </c>
      <c r="G758" s="9">
        <f t="shared" si="408"/>
        <v>0.26069803082723753</v>
      </c>
      <c r="H758" s="9">
        <f t="shared" si="409"/>
        <v>0</v>
      </c>
      <c r="I758" s="9">
        <f t="shared" si="410"/>
        <v>0.2458254239725797</v>
      </c>
      <c r="J758" s="9">
        <f t="shared" si="411"/>
        <v>0</v>
      </c>
      <c r="K758" s="9">
        <v>0</v>
      </c>
      <c r="L758" s="8">
        <f>+VLOOKUP($B758,NIFTY_50!$B$3:$I$1238,8,0)</f>
        <v>5.5745524553891812E-3</v>
      </c>
      <c r="M758" s="8">
        <f>+VLOOKUP($B758,NIFTY_BANK!$B$3:$I$41238,8,0)</f>
        <v>7.6667403129591083E-3</v>
      </c>
      <c r="N758" s="8">
        <f>+VLOOKUP($B758,NIFTY_IT!$B$3:$I$1238,8,0)</f>
        <v>-1.0015539260921358E-4</v>
      </c>
      <c r="O758" s="8">
        <f>+VLOOKUP($B758,NIFTY_PHARMA!$B$3:$I$1238,8,0)</f>
        <v>-7.4094600130136801E-4</v>
      </c>
      <c r="P758" s="8">
        <f>+VLOOKUP($B758,NIFTY_FMCG!$B$3:$I$1238,8,0)</f>
        <v>7.9418706307703424E-3</v>
      </c>
      <c r="Q758" s="8">
        <f>+VLOOKUP($B758,NIFTY_METAL!$B$3:$I$1238,8,0)</f>
        <v>9.7318768619660823E-3</v>
      </c>
      <c r="R758" s="8">
        <f>+VLOOKUP($B758,NIFTY_ENERGY!$B$3:$I$1238,8,0)</f>
        <v>-1.922972839600523E-3</v>
      </c>
      <c r="S758" s="8">
        <f>+VLOOKUP($B758,NIFTY_AUTO!$B$3:$I$1238,8,0)</f>
        <v>4.0161373494707053E-3</v>
      </c>
      <c r="T758" s="8">
        <v>0</v>
      </c>
      <c r="U758" s="8">
        <f>+VLOOKUP($B758,NIFTY_50!$B$63:$K$1238,10,0)</f>
        <v>3.9145318723831979E-2</v>
      </c>
      <c r="V758" s="8">
        <f>+VLOOKUP($B758,NIFTY_BANK!$B$63:$K$1238,10,0)</f>
        <v>4.5817216521245818E-2</v>
      </c>
      <c r="W758" s="8">
        <f>+VLOOKUP($B758,NIFTY_IT!$B$63:$K$1238,10,0)</f>
        <v>8.5061325042486313E-2</v>
      </c>
      <c r="X758" s="8">
        <f>+VLOOKUP($B758,NIFTY_PHARMA!$B$63:$K$1238,10,0)</f>
        <v>5.9996677146435529E-2</v>
      </c>
      <c r="Y758" s="8">
        <f>+VLOOKUP($B758,NIFTY_FMCG!$B$63:$K$1238,10,0)</f>
        <v>-1.4893234118134924E-2</v>
      </c>
      <c r="Z758" s="8">
        <f>+VLOOKUP($B758,NIFTY_METAL!$B$63:$K$1238,10,0)</f>
        <v>0.11035222173688575</v>
      </c>
      <c r="AA758" s="8">
        <f>+VLOOKUP($B758,NIFTY_ENERGY!$B$63:$K$1238,10,0)</f>
        <v>-3.9449333267967401E-2</v>
      </c>
      <c r="AB758" s="8">
        <f>+VLOOKUP($B758,NIFTY_AUTO!$B$63:$K$1238,10,0)</f>
        <v>-2.0698837243705359E-2</v>
      </c>
      <c r="AC758" s="8"/>
      <c r="AD758" s="16">
        <f t="shared" si="412"/>
        <v>4.6903570936500626E-2</v>
      </c>
      <c r="AE758" s="8">
        <f t="shared" si="413"/>
        <v>6.737566631104408E-2</v>
      </c>
      <c r="AF758" s="8">
        <f t="shared" si="414"/>
        <v>6.5975352410067287E-2</v>
      </c>
      <c r="AG758" s="8">
        <f t="shared" si="415"/>
        <v>7.0739355099911402E-2</v>
      </c>
      <c r="AH758" s="8">
        <f t="shared" si="416"/>
        <v>4.8168226157162451E-2</v>
      </c>
      <c r="AI758" s="8">
        <f t="shared" si="417"/>
        <v>0.11399118586542507</v>
      </c>
      <c r="AJ758" s="8">
        <f t="shared" si="418"/>
        <v>6.5079487309796957E-2</v>
      </c>
      <c r="AK758" s="8">
        <f t="shared" si="419"/>
        <v>7.2291902771971506E-2</v>
      </c>
      <c r="AL758" s="9">
        <v>0</v>
      </c>
      <c r="AM758" s="17">
        <f t="shared" si="396"/>
        <v>21.320338303320831</v>
      </c>
      <c r="AN758" s="13">
        <f t="shared" si="397"/>
        <v>14.842153773788832</v>
      </c>
      <c r="AO758" s="13">
        <f t="shared" si="398"/>
        <v>15.157175573455646</v>
      </c>
      <c r="AP758" s="13">
        <f t="shared" si="399"/>
        <v>14.136402552548185</v>
      </c>
      <c r="AQ758" s="13">
        <f t="shared" si="400"/>
        <v>20.760573510372115</v>
      </c>
      <c r="AR758" s="13">
        <f t="shared" si="401"/>
        <v>8.7726080960379971</v>
      </c>
      <c r="AS758" s="13">
        <f t="shared" si="402"/>
        <v>15.365824798829687</v>
      </c>
      <c r="AT758" s="13">
        <f t="shared" si="403"/>
        <v>13.832807847848111</v>
      </c>
      <c r="AU758" s="9">
        <v>0</v>
      </c>
      <c r="AV758" s="18">
        <f t="shared" si="420"/>
        <v>1</v>
      </c>
      <c r="AW758" s="18">
        <f t="shared" si="421"/>
        <v>5</v>
      </c>
      <c r="AX758" s="18">
        <f t="shared" si="422"/>
        <v>4</v>
      </c>
      <c r="AY758" s="18">
        <f t="shared" si="423"/>
        <v>6</v>
      </c>
      <c r="AZ758" s="18">
        <f t="shared" si="424"/>
        <v>2</v>
      </c>
      <c r="BA758" s="18">
        <f t="shared" si="425"/>
        <v>8</v>
      </c>
      <c r="BB758" s="18">
        <f t="shared" si="426"/>
        <v>3</v>
      </c>
      <c r="BC758" s="18">
        <f t="shared" si="427"/>
        <v>7</v>
      </c>
      <c r="BD758" s="18">
        <f t="shared" si="428"/>
        <v>9</v>
      </c>
      <c r="BE758" s="8">
        <f t="shared" si="430"/>
        <v>4.8398614330577095E-3</v>
      </c>
    </row>
    <row r="759" spans="1:57" x14ac:dyDescent="0.25">
      <c r="A759" t="str">
        <f t="shared" si="429"/>
        <v/>
      </c>
      <c r="B759" s="1">
        <v>43857</v>
      </c>
      <c r="C759" s="9">
        <f t="shared" si="404"/>
        <v>0.25133649930713692</v>
      </c>
      <c r="D759" s="9">
        <f t="shared" si="405"/>
        <v>0.24197108452623967</v>
      </c>
      <c r="E759" s="9">
        <f t="shared" si="406"/>
        <v>0</v>
      </c>
      <c r="F759" s="9">
        <f t="shared" si="407"/>
        <v>0</v>
      </c>
      <c r="G759" s="9">
        <f t="shared" si="408"/>
        <v>0.26097644530813802</v>
      </c>
      <c r="H759" s="9">
        <f t="shared" si="409"/>
        <v>0</v>
      </c>
      <c r="I759" s="9">
        <f t="shared" si="410"/>
        <v>0.2457159708584854</v>
      </c>
      <c r="J759" s="9">
        <f t="shared" si="411"/>
        <v>0</v>
      </c>
      <c r="K759" s="9">
        <v>0</v>
      </c>
      <c r="L759" s="8">
        <f>+VLOOKUP($B759,NIFTY_50!$B$3:$I$1238,8,0)</f>
        <v>-1.0552527912150667E-2</v>
      </c>
      <c r="M759" s="8">
        <f>+VLOOKUP($B759,NIFTY_BANK!$B$3:$I$41238,8,0)</f>
        <v>-1.2942616850848632E-2</v>
      </c>
      <c r="N759" s="8">
        <f>+VLOOKUP($B759,NIFTY_IT!$B$3:$I$1238,8,0)</f>
        <v>-4.8079403863957593E-3</v>
      </c>
      <c r="O759" s="8">
        <f>+VLOOKUP($B759,NIFTY_PHARMA!$B$3:$I$1238,8,0)</f>
        <v>1.47455103357228E-2</v>
      </c>
      <c r="P759" s="8">
        <f>+VLOOKUP($B759,NIFTY_FMCG!$B$3:$I$1238,8,0)</f>
        <v>-1.0332042357561133E-2</v>
      </c>
      <c r="Q759" s="8">
        <f>+VLOOKUP($B759,NIFTY_METAL!$B$3:$I$1238,8,0)</f>
        <v>-3.0916958729704569E-2</v>
      </c>
      <c r="R759" s="8">
        <f>+VLOOKUP($B759,NIFTY_ENERGY!$B$3:$I$1238,8,0)</f>
        <v>-1.1828015298587236E-2</v>
      </c>
      <c r="S759" s="8">
        <f>+VLOOKUP($B759,NIFTY_AUTO!$B$3:$I$1238,8,0)</f>
        <v>-2.0181634712412855E-3</v>
      </c>
      <c r="T759" s="8">
        <v>0</v>
      </c>
      <c r="U759" s="8">
        <f>+VLOOKUP($B759,NIFTY_50!$B$63:$K$1238,10,0)</f>
        <v>2.320986820442239E-2</v>
      </c>
      <c r="V759" s="8">
        <f>+VLOOKUP($B759,NIFTY_BANK!$B$63:$K$1238,10,0)</f>
        <v>2.8341809087119696E-2</v>
      </c>
      <c r="W759" s="8">
        <f>+VLOOKUP($B759,NIFTY_IT!$B$63:$K$1238,10,0)</f>
        <v>6.4817009999577735E-2</v>
      </c>
      <c r="X759" s="8">
        <f>+VLOOKUP($B759,NIFTY_PHARMA!$B$63:$K$1238,10,0)</f>
        <v>7.6349057146693822E-2</v>
      </c>
      <c r="Y759" s="8">
        <f>+VLOOKUP($B759,NIFTY_FMCG!$B$63:$K$1238,10,0)</f>
        <v>-3.4839081492589963E-2</v>
      </c>
      <c r="Z759" s="8">
        <f>+VLOOKUP($B759,NIFTY_METAL!$B$63:$K$1238,10,0)</f>
        <v>7.7756786317987547E-2</v>
      </c>
      <c r="AA759" s="8">
        <f>+VLOOKUP($B759,NIFTY_ENERGY!$B$63:$K$1238,10,0)</f>
        <v>-5.9193503322440666E-2</v>
      </c>
      <c r="AB759" s="8">
        <f>+VLOOKUP($B759,NIFTY_AUTO!$B$63:$K$1238,10,0)</f>
        <v>-2.0257684869911863E-2</v>
      </c>
      <c r="AC759" s="8"/>
      <c r="AD759" s="16">
        <f t="shared" si="412"/>
        <v>4.7997698957119604E-2</v>
      </c>
      <c r="AE759" s="8">
        <f t="shared" si="413"/>
        <v>6.8655645366429277E-2</v>
      </c>
      <c r="AF759" s="8">
        <f t="shared" si="414"/>
        <v>6.4983483965528374E-2</v>
      </c>
      <c r="AG759" s="8">
        <f t="shared" si="415"/>
        <v>7.2016764273959671E-2</v>
      </c>
      <c r="AH759" s="8">
        <f t="shared" si="416"/>
        <v>4.8045503040872205E-2</v>
      </c>
      <c r="AI759" s="8">
        <f t="shared" si="417"/>
        <v>0.11849086320772184</v>
      </c>
      <c r="AJ759" s="8">
        <f t="shared" si="418"/>
        <v>6.5290766845474663E-2</v>
      </c>
      <c r="AK759" s="8">
        <f t="shared" si="419"/>
        <v>7.2279802460947493E-2</v>
      </c>
      <c r="AL759" s="9">
        <v>0</v>
      </c>
      <c r="AM759" s="17">
        <f t="shared" si="396"/>
        <v>20.834332097740443</v>
      </c>
      <c r="AN759" s="13">
        <f t="shared" si="397"/>
        <v>14.565444613662789</v>
      </c>
      <c r="AO759" s="13">
        <f t="shared" si="398"/>
        <v>15.388525498732378</v>
      </c>
      <c r="AP759" s="13">
        <f t="shared" si="399"/>
        <v>13.885655792530338</v>
      </c>
      <c r="AQ759" s="13">
        <f t="shared" si="400"/>
        <v>20.813602454100693</v>
      </c>
      <c r="AR759" s="13">
        <f t="shared" si="401"/>
        <v>8.4394692799810045</v>
      </c>
      <c r="AS759" s="13">
        <f t="shared" si="402"/>
        <v>15.316101315929183</v>
      </c>
      <c r="AT759" s="13">
        <f t="shared" si="403"/>
        <v>13.83512358850588</v>
      </c>
      <c r="AU759" s="9">
        <v>0</v>
      </c>
      <c r="AV759" s="18">
        <f t="shared" si="420"/>
        <v>1</v>
      </c>
      <c r="AW759" s="18">
        <f t="shared" si="421"/>
        <v>5</v>
      </c>
      <c r="AX759" s="18">
        <f t="shared" si="422"/>
        <v>3</v>
      </c>
      <c r="AY759" s="18">
        <f t="shared" si="423"/>
        <v>6</v>
      </c>
      <c r="AZ759" s="18">
        <f t="shared" si="424"/>
        <v>2</v>
      </c>
      <c r="BA759" s="18">
        <f t="shared" si="425"/>
        <v>8</v>
      </c>
      <c r="BB759" s="18">
        <f t="shared" si="426"/>
        <v>4</v>
      </c>
      <c r="BC759" s="18">
        <f t="shared" si="427"/>
        <v>7</v>
      </c>
      <c r="BD759" s="18">
        <f t="shared" si="428"/>
        <v>9</v>
      </c>
      <c r="BE759" s="8">
        <f t="shared" si="430"/>
        <v>-1.1387838371509912E-2</v>
      </c>
    </row>
    <row r="760" spans="1:57" x14ac:dyDescent="0.25">
      <c r="A760" t="str">
        <f t="shared" si="429"/>
        <v/>
      </c>
      <c r="B760" s="1">
        <v>43858</v>
      </c>
      <c r="C760" s="9">
        <f t="shared" si="404"/>
        <v>0.25126499702152949</v>
      </c>
      <c r="D760" s="9">
        <f t="shared" si="405"/>
        <v>0.24257106527008393</v>
      </c>
      <c r="E760" s="9">
        <f t="shared" si="406"/>
        <v>0</v>
      </c>
      <c r="F760" s="9">
        <f t="shared" si="407"/>
        <v>0</v>
      </c>
      <c r="G760" s="9">
        <f t="shared" si="408"/>
        <v>0.26123725410650334</v>
      </c>
      <c r="H760" s="9">
        <f t="shared" si="409"/>
        <v>0</v>
      </c>
      <c r="I760" s="9">
        <f t="shared" si="410"/>
        <v>0.24492668360188333</v>
      </c>
      <c r="J760" s="9">
        <f t="shared" si="411"/>
        <v>0</v>
      </c>
      <c r="K760" s="9">
        <v>0</v>
      </c>
      <c r="L760" s="8">
        <f>+VLOOKUP($B760,NIFTY_50!$B$3:$I$1238,8,0)</f>
        <v>-5.2149517286905755E-3</v>
      </c>
      <c r="M760" s="8">
        <f>+VLOOKUP($B760,NIFTY_BANK!$B$3:$I$41238,8,0)</f>
        <v>-2.4645398120464179E-3</v>
      </c>
      <c r="N760" s="8">
        <f>+VLOOKUP($B760,NIFTY_IT!$B$3:$I$1238,8,0)</f>
        <v>2.2081855363846881E-3</v>
      </c>
      <c r="O760" s="8">
        <f>+VLOOKUP($B760,NIFTY_PHARMA!$B$3:$I$1238,8,0)</f>
        <v>4.6338377087451477E-4</v>
      </c>
      <c r="P760" s="8">
        <f>+VLOOKUP($B760,NIFTY_FMCG!$B$3:$I$1238,8,0)</f>
        <v>-3.937437599720095E-3</v>
      </c>
      <c r="Q760" s="8">
        <f>+VLOOKUP($B760,NIFTY_METAL!$B$3:$I$1238,8,0)</f>
        <v>-2.4910047052311146E-2</v>
      </c>
      <c r="R760" s="8">
        <f>+VLOOKUP($B760,NIFTY_ENERGY!$B$3:$I$1238,8,0)</f>
        <v>-8.1282179576157576E-3</v>
      </c>
      <c r="S760" s="8">
        <f>+VLOOKUP($B760,NIFTY_AUTO!$B$3:$I$1238,8,0)</f>
        <v>-1.2363543893002649E-2</v>
      </c>
      <c r="T760" s="8">
        <v>0</v>
      </c>
      <c r="U760" s="8">
        <f>+VLOOKUP($B760,NIFTY_50!$B$63:$K$1238,10,0)</f>
        <v>1.5015849361605271E-2</v>
      </c>
      <c r="V760" s="8">
        <f>+VLOOKUP($B760,NIFTY_BANK!$B$63:$K$1238,10,0)</f>
        <v>2.3120608655885055E-2</v>
      </c>
      <c r="W760" s="8">
        <f>+VLOOKUP($B760,NIFTY_IT!$B$63:$K$1238,10,0)</f>
        <v>5.593724693754254E-2</v>
      </c>
      <c r="X760" s="8">
        <f>+VLOOKUP($B760,NIFTY_PHARMA!$B$63:$K$1238,10,0)</f>
        <v>6.8810571009691346E-2</v>
      </c>
      <c r="Y760" s="8">
        <f>+VLOOKUP($B760,NIFTY_FMCG!$B$63:$K$1238,10,0)</f>
        <v>-3.9997215324994784E-2</v>
      </c>
      <c r="Z760" s="8">
        <f>+VLOOKUP($B760,NIFTY_METAL!$B$63:$K$1238,10,0)</f>
        <v>5.658302509247215E-2</v>
      </c>
      <c r="AA760" s="8">
        <f>+VLOOKUP($B760,NIFTY_ENERGY!$B$63:$K$1238,10,0)</f>
        <v>-6.8105652320280985E-2</v>
      </c>
      <c r="AB760" s="8">
        <f>+VLOOKUP($B760,NIFTY_AUTO!$B$63:$K$1238,10,0)</f>
        <v>-3.4729865672525007E-2</v>
      </c>
      <c r="AC760" s="8"/>
      <c r="AD760" s="16">
        <f t="shared" si="412"/>
        <v>4.8252825700616279E-2</v>
      </c>
      <c r="AE760" s="8">
        <f t="shared" si="413"/>
        <v>6.8683404169680454E-2</v>
      </c>
      <c r="AF760" s="8">
        <f t="shared" si="414"/>
        <v>6.4275840739900406E-2</v>
      </c>
      <c r="AG760" s="8">
        <f t="shared" si="415"/>
        <v>7.1741869105614711E-2</v>
      </c>
      <c r="AH760" s="8">
        <f t="shared" si="416"/>
        <v>4.8118457643587111E-2</v>
      </c>
      <c r="AI760" s="8">
        <f t="shared" si="417"/>
        <v>0.12115280693364146</v>
      </c>
      <c r="AJ760" s="8">
        <f t="shared" si="418"/>
        <v>6.5630256642727827E-2</v>
      </c>
      <c r="AK760" s="8">
        <f t="shared" si="419"/>
        <v>7.3205135407806154E-2</v>
      </c>
      <c r="AL760" s="9">
        <v>0</v>
      </c>
      <c r="AM760" s="17">
        <f t="shared" si="396"/>
        <v>20.724174915775514</v>
      </c>
      <c r="AN760" s="13">
        <f t="shared" si="397"/>
        <v>14.55955790323857</v>
      </c>
      <c r="AO760" s="13">
        <f t="shared" si="398"/>
        <v>15.55794507685423</v>
      </c>
      <c r="AP760" s="13">
        <f t="shared" si="399"/>
        <v>13.938861817606831</v>
      </c>
      <c r="AQ760" s="13">
        <f t="shared" si="400"/>
        <v>20.782045995883514</v>
      </c>
      <c r="AR760" s="13">
        <f t="shared" si="401"/>
        <v>8.2540390545612858</v>
      </c>
      <c r="AS760" s="13">
        <f t="shared" si="402"/>
        <v>15.236874745800726</v>
      </c>
      <c r="AT760" s="13">
        <f t="shared" si="403"/>
        <v>13.660243839851788</v>
      </c>
      <c r="AU760" s="9">
        <v>0</v>
      </c>
      <c r="AV760" s="18">
        <f t="shared" si="420"/>
        <v>2</v>
      </c>
      <c r="AW760" s="18">
        <f t="shared" si="421"/>
        <v>5</v>
      </c>
      <c r="AX760" s="18">
        <f t="shared" si="422"/>
        <v>3</v>
      </c>
      <c r="AY760" s="18">
        <f t="shared" si="423"/>
        <v>6</v>
      </c>
      <c r="AZ760" s="18">
        <f t="shared" si="424"/>
        <v>1</v>
      </c>
      <c r="BA760" s="18">
        <f t="shared" si="425"/>
        <v>8</v>
      </c>
      <c r="BB760" s="18">
        <f t="shared" si="426"/>
        <v>4</v>
      </c>
      <c r="BC760" s="18">
        <f t="shared" si="427"/>
        <v>7</v>
      </c>
      <c r="BD760" s="18">
        <f t="shared" si="428"/>
        <v>9</v>
      </c>
      <c r="BE760" s="8">
        <f t="shared" si="430"/>
        <v>-4.9318665179262471E-3</v>
      </c>
    </row>
    <row r="761" spans="1:57" x14ac:dyDescent="0.25">
      <c r="A761" t="str">
        <f t="shared" si="429"/>
        <v/>
      </c>
      <c r="B761" s="1">
        <v>43859</v>
      </c>
      <c r="C761" s="9">
        <f t="shared" si="404"/>
        <v>0.2509887928598668</v>
      </c>
      <c r="D761" s="9">
        <f t="shared" si="405"/>
        <v>0.24173718990655219</v>
      </c>
      <c r="E761" s="9">
        <f t="shared" si="406"/>
        <v>0</v>
      </c>
      <c r="F761" s="9">
        <f t="shared" si="407"/>
        <v>0</v>
      </c>
      <c r="G761" s="9">
        <f t="shared" si="408"/>
        <v>0.2627015642406742</v>
      </c>
      <c r="H761" s="9">
        <f t="shared" si="409"/>
        <v>0</v>
      </c>
      <c r="I761" s="9">
        <f t="shared" si="410"/>
        <v>0.24457245299290672</v>
      </c>
      <c r="J761" s="9">
        <f t="shared" si="411"/>
        <v>0</v>
      </c>
      <c r="K761" s="9">
        <v>0</v>
      </c>
      <c r="L761" s="8">
        <f>+VLOOKUP($B761,NIFTY_50!$B$3:$I$1238,8,0)</f>
        <v>6.1132401002008674E-3</v>
      </c>
      <c r="M761" s="8">
        <f>+VLOOKUP($B761,NIFTY_BANK!$B$3:$I$41238,8,0)</f>
        <v>3.757956399903728E-3</v>
      </c>
      <c r="N761" s="8">
        <f>+VLOOKUP($B761,NIFTY_IT!$B$3:$I$1238,8,0)</f>
        <v>3.0158706005873892E-3</v>
      </c>
      <c r="O761" s="8">
        <f>+VLOOKUP($B761,NIFTY_PHARMA!$B$3:$I$1238,8,0)</f>
        <v>-8.8477182981516744E-4</v>
      </c>
      <c r="P761" s="8">
        <f>+VLOOKUP($B761,NIFTY_FMCG!$B$3:$I$1238,8,0)</f>
        <v>1.2866192564230161E-2</v>
      </c>
      <c r="Q761" s="8">
        <f>+VLOOKUP($B761,NIFTY_METAL!$B$3:$I$1238,8,0)</f>
        <v>8.9317816255085614E-3</v>
      </c>
      <c r="R761" s="8">
        <f>+VLOOKUP($B761,NIFTY_ENERGY!$B$3:$I$1238,8,0)</f>
        <v>5.7637168976818476E-3</v>
      </c>
      <c r="S761" s="8">
        <f>+VLOOKUP($B761,NIFTY_AUTO!$B$3:$I$1238,8,0)</f>
        <v>7.8898486399665568E-3</v>
      </c>
      <c r="T761" s="8">
        <v>0</v>
      </c>
      <c r="U761" s="8">
        <f>+VLOOKUP($B761,NIFTY_50!$B$63:$K$1238,10,0)</f>
        <v>2.0091500849410471E-2</v>
      </c>
      <c r="V761" s="8">
        <f>+VLOOKUP($B761,NIFTY_BANK!$B$63:$K$1238,10,0)</f>
        <v>1.8016488326126678E-2</v>
      </c>
      <c r="W761" s="8">
        <f>+VLOOKUP($B761,NIFTY_IT!$B$63:$K$1238,10,0)</f>
        <v>6.5159780753916818E-2</v>
      </c>
      <c r="X761" s="8">
        <f>+VLOOKUP($B761,NIFTY_PHARMA!$B$63:$K$1238,10,0)</f>
        <v>5.8287051305436099E-2</v>
      </c>
      <c r="Y761" s="8">
        <f>+VLOOKUP($B761,NIFTY_FMCG!$B$63:$K$1238,10,0)</f>
        <v>-3.1544059525698831E-2</v>
      </c>
      <c r="Z761" s="8">
        <f>+VLOOKUP($B761,NIFTY_METAL!$B$63:$K$1238,10,0)</f>
        <v>4.0636283790377536E-2</v>
      </c>
      <c r="AA761" s="8">
        <f>+VLOOKUP($B761,NIFTY_ENERGY!$B$63:$K$1238,10,0)</f>
        <v>-5.6721028261314088E-2</v>
      </c>
      <c r="AB761" s="8">
        <f>+VLOOKUP($B761,NIFTY_AUTO!$B$63:$K$1238,10,0)</f>
        <v>-2.0553086537430487E-2</v>
      </c>
      <c r="AC761" s="8"/>
      <c r="AD761" s="16">
        <f t="shared" si="412"/>
        <v>4.8594572478369728E-2</v>
      </c>
      <c r="AE761" s="8">
        <f t="shared" si="413"/>
        <v>6.8249575813661936E-2</v>
      </c>
      <c r="AF761" s="8">
        <f t="shared" si="414"/>
        <v>6.3961061047227596E-2</v>
      </c>
      <c r="AG761" s="8">
        <f t="shared" si="415"/>
        <v>7.1320936746881392E-2</v>
      </c>
      <c r="AH761" s="8">
        <f t="shared" si="416"/>
        <v>4.9748683418977986E-2</v>
      </c>
      <c r="AI761" s="8">
        <f t="shared" si="417"/>
        <v>0.11912383992899971</v>
      </c>
      <c r="AJ761" s="8">
        <f t="shared" si="418"/>
        <v>6.5762393192352553E-2</v>
      </c>
      <c r="AK761" s="8">
        <f t="shared" si="419"/>
        <v>7.34064250398168E-2</v>
      </c>
      <c r="AL761" s="9">
        <v>0</v>
      </c>
      <c r="AM761" s="17">
        <f t="shared" si="396"/>
        <v>20.578429832778486</v>
      </c>
      <c r="AN761" s="13">
        <f t="shared" si="397"/>
        <v>14.652105717554129</v>
      </c>
      <c r="AO761" s="13">
        <f t="shared" si="398"/>
        <v>15.634512367792329</v>
      </c>
      <c r="AP761" s="13">
        <f t="shared" si="399"/>
        <v>14.0211282354438</v>
      </c>
      <c r="AQ761" s="13">
        <f t="shared" si="400"/>
        <v>20.101034465135672</v>
      </c>
      <c r="AR761" s="13">
        <f t="shared" si="401"/>
        <v>8.3946252957931922</v>
      </c>
      <c r="AS761" s="13">
        <f t="shared" si="402"/>
        <v>15.206259253294466</v>
      </c>
      <c r="AT761" s="13">
        <f t="shared" si="403"/>
        <v>13.622785736501733</v>
      </c>
      <c r="AU761" s="9">
        <v>0</v>
      </c>
      <c r="AV761" s="18">
        <f t="shared" si="420"/>
        <v>1</v>
      </c>
      <c r="AW761" s="18">
        <f t="shared" si="421"/>
        <v>5</v>
      </c>
      <c r="AX761" s="18">
        <f t="shared" si="422"/>
        <v>3</v>
      </c>
      <c r="AY761" s="18">
        <f t="shared" si="423"/>
        <v>6</v>
      </c>
      <c r="AZ761" s="18">
        <f t="shared" si="424"/>
        <v>2</v>
      </c>
      <c r="BA761" s="18">
        <f t="shared" si="425"/>
        <v>8</v>
      </c>
      <c r="BB761" s="18">
        <f t="shared" si="426"/>
        <v>4</v>
      </c>
      <c r="BC761" s="18">
        <f t="shared" si="427"/>
        <v>7</v>
      </c>
      <c r="BD761" s="18">
        <f t="shared" si="428"/>
        <v>9</v>
      </c>
      <c r="BE761" s="8">
        <f t="shared" si="430"/>
        <v>7.2204316239863914E-3</v>
      </c>
    </row>
    <row r="762" spans="1:57" x14ac:dyDescent="0.25">
      <c r="A762" t="str">
        <f t="shared" si="429"/>
        <v/>
      </c>
      <c r="B762" s="1">
        <v>43860</v>
      </c>
      <c r="C762" s="9">
        <f t="shared" si="404"/>
        <v>0.25184763498087587</v>
      </c>
      <c r="D762" s="9">
        <f t="shared" si="405"/>
        <v>0.24263502447450586</v>
      </c>
      <c r="E762" s="9">
        <f t="shared" si="406"/>
        <v>0</v>
      </c>
      <c r="F762" s="9">
        <f t="shared" si="407"/>
        <v>0</v>
      </c>
      <c r="G762" s="9">
        <f t="shared" si="408"/>
        <v>0.26151226218857404</v>
      </c>
      <c r="H762" s="9">
        <f t="shared" si="409"/>
        <v>0</v>
      </c>
      <c r="I762" s="9">
        <f t="shared" si="410"/>
        <v>0.24400507835604424</v>
      </c>
      <c r="J762" s="9">
        <f t="shared" si="411"/>
        <v>0</v>
      </c>
      <c r="K762" s="9">
        <v>0</v>
      </c>
      <c r="L762" s="8">
        <f>+VLOOKUP($B762,NIFTY_50!$B$3:$I$1238,8,0)</f>
        <v>-7.7249680530937503E-3</v>
      </c>
      <c r="M762" s="8">
        <f>+VLOOKUP($B762,NIFTY_BANK!$B$3:$I$41238,8,0)</f>
        <v>-7.4359555656313692E-3</v>
      </c>
      <c r="N762" s="8">
        <f>+VLOOKUP($B762,NIFTY_IT!$B$3:$I$1238,8,0)</f>
        <v>-9.1872834404373993E-3</v>
      </c>
      <c r="O762" s="8">
        <f>+VLOOKUP($B762,NIFTY_PHARMA!$B$3:$I$1238,8,0)</f>
        <v>-2.089078546976042E-2</v>
      </c>
      <c r="P762" s="8">
        <f>+VLOOKUP($B762,NIFTY_FMCG!$B$3:$I$1238,8,0)</f>
        <v>-1.5585696670776805E-2</v>
      </c>
      <c r="Q762" s="8">
        <f>+VLOOKUP($B762,NIFTY_METAL!$B$3:$I$1238,8,0)</f>
        <v>-1.3860494776525289E-2</v>
      </c>
      <c r="R762" s="8">
        <f>+VLOOKUP($B762,NIFTY_ENERGY!$B$3:$I$1238,8,0)</f>
        <v>-1.3402882493415036E-2</v>
      </c>
      <c r="S762" s="8">
        <f>+VLOOKUP($B762,NIFTY_AUTO!$B$3:$I$1238,8,0)</f>
        <v>-4.7382122524450843E-3</v>
      </c>
      <c r="T762" s="8">
        <v>0</v>
      </c>
      <c r="U762" s="8">
        <f>+VLOOKUP($B762,NIFTY_50!$B$63:$K$1238,10,0)</f>
        <v>7.913711237469867E-3</v>
      </c>
      <c r="V762" s="8">
        <f>+VLOOKUP($B762,NIFTY_BANK!$B$63:$K$1238,10,0)</f>
        <v>1.0361618166293773E-2</v>
      </c>
      <c r="W762" s="8">
        <f>+VLOOKUP($B762,NIFTY_IT!$B$63:$K$1238,10,0)</f>
        <v>4.7244296498688332E-2</v>
      </c>
      <c r="X762" s="8">
        <f>+VLOOKUP($B762,NIFTY_PHARMA!$B$63:$K$1238,10,0)</f>
        <v>3.3915537508550919E-2</v>
      </c>
      <c r="Y762" s="8">
        <f>+VLOOKUP($B762,NIFTY_FMCG!$B$63:$K$1238,10,0)</f>
        <v>-4.0899747951524845E-2</v>
      </c>
      <c r="Z762" s="8">
        <f>+VLOOKUP($B762,NIFTY_METAL!$B$63:$K$1238,10,0)</f>
        <v>-5.0148553261548656E-3</v>
      </c>
      <c r="AA762" s="8">
        <f>+VLOOKUP($B762,NIFTY_ENERGY!$B$63:$K$1238,10,0)</f>
        <v>-6.893455889089084E-2</v>
      </c>
      <c r="AB762" s="8">
        <f>+VLOOKUP($B762,NIFTY_AUTO!$B$63:$K$1238,10,0)</f>
        <v>-1.1943939567771955E-2</v>
      </c>
      <c r="AC762" s="8"/>
      <c r="AD762" s="16">
        <f t="shared" si="412"/>
        <v>4.908009467016234E-2</v>
      </c>
      <c r="AE762" s="8">
        <f t="shared" si="413"/>
        <v>6.8682910013538115E-2</v>
      </c>
      <c r="AF762" s="8">
        <f t="shared" si="414"/>
        <v>6.4394777831160543E-2</v>
      </c>
      <c r="AG762" s="8">
        <f t="shared" si="415"/>
        <v>7.452774332502593E-2</v>
      </c>
      <c r="AH762" s="8">
        <f t="shared" si="416"/>
        <v>5.1680150349292596E-2</v>
      </c>
      <c r="AI762" s="8">
        <f t="shared" si="417"/>
        <v>0.11590370809241193</v>
      </c>
      <c r="AJ762" s="8">
        <f t="shared" si="418"/>
        <v>6.6914305955700637E-2</v>
      </c>
      <c r="AK762" s="8">
        <f t="shared" si="419"/>
        <v>7.2353490497338441E-2</v>
      </c>
      <c r="AL762" s="9">
        <v>0</v>
      </c>
      <c r="AM762" s="17">
        <f t="shared" si="396"/>
        <v>20.374858824547829</v>
      </c>
      <c r="AN762" s="13">
        <f t="shared" si="397"/>
        <v>14.559662655570209</v>
      </c>
      <c r="AO762" s="13">
        <f t="shared" si="398"/>
        <v>15.529209567613437</v>
      </c>
      <c r="AP762" s="13">
        <f t="shared" si="399"/>
        <v>13.417822080548715</v>
      </c>
      <c r="AQ762" s="13">
        <f t="shared" si="400"/>
        <v>19.349788908144848</v>
      </c>
      <c r="AR762" s="13">
        <f t="shared" si="401"/>
        <v>8.6278516577112754</v>
      </c>
      <c r="AS762" s="13">
        <f t="shared" si="402"/>
        <v>14.944487366603358</v>
      </c>
      <c r="AT762" s="13">
        <f t="shared" si="403"/>
        <v>13.82103327878543</v>
      </c>
      <c r="AU762" s="9">
        <v>0</v>
      </c>
      <c r="AV762" s="18">
        <f t="shared" si="420"/>
        <v>1</v>
      </c>
      <c r="AW762" s="18">
        <f t="shared" si="421"/>
        <v>5</v>
      </c>
      <c r="AX762" s="18">
        <f t="shared" si="422"/>
        <v>3</v>
      </c>
      <c r="AY762" s="18">
        <f t="shared" si="423"/>
        <v>7</v>
      </c>
      <c r="AZ762" s="18">
        <f t="shared" si="424"/>
        <v>2</v>
      </c>
      <c r="BA762" s="18">
        <f t="shared" si="425"/>
        <v>8</v>
      </c>
      <c r="BB762" s="18">
        <f t="shared" si="426"/>
        <v>4</v>
      </c>
      <c r="BC762" s="18">
        <f t="shared" si="427"/>
        <v>6</v>
      </c>
      <c r="BD762" s="18">
        <f t="shared" si="428"/>
        <v>9</v>
      </c>
      <c r="BE762" s="8">
        <f t="shared" si="430"/>
        <v>-1.1108790153016686E-2</v>
      </c>
    </row>
    <row r="763" spans="1:57" x14ac:dyDescent="0.25">
      <c r="A763" t="str">
        <f t="shared" si="429"/>
        <v>Y</v>
      </c>
      <c r="B763" s="1">
        <v>43861</v>
      </c>
      <c r="C763" s="9">
        <f t="shared" si="404"/>
        <v>0.25</v>
      </c>
      <c r="D763" s="9">
        <f t="shared" si="405"/>
        <v>0.25</v>
      </c>
      <c r="E763" s="9">
        <f t="shared" si="406"/>
        <v>0.25</v>
      </c>
      <c r="F763" s="9">
        <f t="shared" si="407"/>
        <v>0</v>
      </c>
      <c r="G763" s="9">
        <f t="shared" si="408"/>
        <v>0.25</v>
      </c>
      <c r="H763" s="9">
        <f t="shared" si="409"/>
        <v>0</v>
      </c>
      <c r="I763" s="9">
        <f t="shared" si="410"/>
        <v>0</v>
      </c>
      <c r="J763" s="9">
        <f t="shared" si="411"/>
        <v>0</v>
      </c>
      <c r="K763" s="9">
        <v>0</v>
      </c>
      <c r="L763" s="8">
        <f>+VLOOKUP($B763,NIFTY_50!$B$3:$I$1238,8,0)</f>
        <v>-6.1233985277254765E-3</v>
      </c>
      <c r="M763" s="8">
        <f>+VLOOKUP($B763,NIFTY_BANK!$B$3:$I$41238,8,0)</f>
        <v>6.075556164633733E-3</v>
      </c>
      <c r="N763" s="8">
        <f>+VLOOKUP($B763,NIFTY_IT!$B$3:$I$1238,8,0)</f>
        <v>-1.1253743592256171E-2</v>
      </c>
      <c r="O763" s="8">
        <f>+VLOOKUP($B763,NIFTY_PHARMA!$B$3:$I$1238,8,0)</f>
        <v>-1.1952094499851129E-2</v>
      </c>
      <c r="P763" s="8">
        <f>+VLOOKUP($B763,NIFTY_FMCG!$B$3:$I$1238,8,0)</f>
        <v>-5.2090656814210989E-3</v>
      </c>
      <c r="Q763" s="8">
        <f>+VLOOKUP($B763,NIFTY_METAL!$B$3:$I$1238,8,0)</f>
        <v>-2.2785195328844821E-2</v>
      </c>
      <c r="R763" s="8">
        <f>+VLOOKUP($B763,NIFTY_ENERGY!$B$3:$I$1238,8,0)</f>
        <v>-2.6632031905961417E-2</v>
      </c>
      <c r="S763" s="8">
        <f>+VLOOKUP($B763,NIFTY_AUTO!$B$3:$I$1238,8,0)</f>
        <v>-1.1599410862377701E-2</v>
      </c>
      <c r="T763" s="8">
        <v>0</v>
      </c>
      <c r="U763" s="8">
        <f>+VLOOKUP($B763,NIFTY_50!$B$63:$K$1238,10,0)</f>
        <v>3.7676635451280305E-3</v>
      </c>
      <c r="V763" s="8">
        <f>+VLOOKUP($B763,NIFTY_BANK!$B$63:$K$1238,10,0)</f>
        <v>2.0309498558066963E-2</v>
      </c>
      <c r="W763" s="8">
        <f>+VLOOKUP($B763,NIFTY_IT!$B$63:$K$1238,10,0)</f>
        <v>3.9315155358275122E-2</v>
      </c>
      <c r="X763" s="8">
        <f>+VLOOKUP($B763,NIFTY_PHARMA!$B$63:$K$1238,10,0)</f>
        <v>3.2876242932654787E-2</v>
      </c>
      <c r="Y763" s="8">
        <f>+VLOOKUP($B763,NIFTY_FMCG!$B$63:$K$1238,10,0)</f>
        <v>-4.9013563978128394E-2</v>
      </c>
      <c r="Z763" s="8">
        <f>+VLOOKUP($B763,NIFTY_METAL!$B$63:$K$1238,10,0)</f>
        <v>-1.8322856760732864E-2</v>
      </c>
      <c r="AA763" s="8">
        <f>+VLOOKUP($B763,NIFTY_ENERGY!$B$63:$K$1238,10,0)</f>
        <v>-8.8234571238970716E-2</v>
      </c>
      <c r="AB763" s="8">
        <f>+VLOOKUP($B763,NIFTY_AUTO!$B$63:$K$1238,10,0)</f>
        <v>-2.0542262434669833E-2</v>
      </c>
      <c r="AC763" s="8"/>
      <c r="AD763" s="16">
        <f t="shared" si="412"/>
        <v>4.9428994916760019E-2</v>
      </c>
      <c r="AE763" s="8">
        <f t="shared" si="413"/>
        <v>6.880888557339003E-2</v>
      </c>
      <c r="AF763" s="8">
        <f t="shared" si="414"/>
        <v>6.5349582140798557E-2</v>
      </c>
      <c r="AG763" s="8">
        <f t="shared" si="415"/>
        <v>7.4688171562332928E-2</v>
      </c>
      <c r="AH763" s="8">
        <f t="shared" si="416"/>
        <v>5.1718451302962674E-2</v>
      </c>
      <c r="AI763" s="8">
        <f t="shared" si="417"/>
        <v>0.11772733723348006</v>
      </c>
      <c r="AJ763" s="8">
        <f t="shared" si="418"/>
        <v>7.1391770424570497E-2</v>
      </c>
      <c r="AK763" s="8">
        <f t="shared" si="419"/>
        <v>7.3192375754932801E-2</v>
      </c>
      <c r="AL763" s="9">
        <v>0</v>
      </c>
      <c r="AM763" s="17">
        <f t="shared" si="396"/>
        <v>20.231040539748612</v>
      </c>
      <c r="AN763" s="13">
        <f t="shared" si="397"/>
        <v>14.533006771827777</v>
      </c>
      <c r="AO763" s="13">
        <f t="shared" si="398"/>
        <v>15.302316667388261</v>
      </c>
      <c r="AP763" s="13">
        <f t="shared" si="399"/>
        <v>13.389000949975383</v>
      </c>
      <c r="AQ763" s="13">
        <f t="shared" si="400"/>
        <v>19.335459102247235</v>
      </c>
      <c r="AR763" s="13">
        <f t="shared" si="401"/>
        <v>8.4942038399863993</v>
      </c>
      <c r="AS763" s="13">
        <f t="shared" si="402"/>
        <v>14.007216714937156</v>
      </c>
      <c r="AT763" s="13">
        <f t="shared" si="403"/>
        <v>13.662625235014385</v>
      </c>
      <c r="AU763" s="9">
        <v>0</v>
      </c>
      <c r="AV763" s="18">
        <f t="shared" si="420"/>
        <v>1</v>
      </c>
      <c r="AW763" s="18">
        <f t="shared" si="421"/>
        <v>4</v>
      </c>
      <c r="AX763" s="18">
        <f t="shared" si="422"/>
        <v>3</v>
      </c>
      <c r="AY763" s="18">
        <f t="shared" si="423"/>
        <v>7</v>
      </c>
      <c r="AZ763" s="18">
        <f t="shared" si="424"/>
        <v>2</v>
      </c>
      <c r="BA763" s="18">
        <f t="shared" si="425"/>
        <v>8</v>
      </c>
      <c r="BB763" s="18">
        <f t="shared" si="426"/>
        <v>5</v>
      </c>
      <c r="BC763" s="18">
        <f t="shared" si="427"/>
        <v>6</v>
      </c>
      <c r="BD763" s="18">
        <f t="shared" si="428"/>
        <v>9</v>
      </c>
      <c r="BE763" s="8">
        <f t="shared" si="430"/>
        <v>-7.9286063007829814E-3</v>
      </c>
    </row>
    <row r="764" spans="1:57" x14ac:dyDescent="0.25">
      <c r="A764" t="str">
        <f t="shared" si="429"/>
        <v/>
      </c>
      <c r="B764" s="1">
        <v>43862</v>
      </c>
      <c r="C764" s="9">
        <f t="shared" si="404"/>
        <v>0.24774683410630111</v>
      </c>
      <c r="D764" s="9">
        <f t="shared" si="405"/>
        <v>0.2461419961014191</v>
      </c>
      <c r="E764" s="9">
        <f t="shared" si="406"/>
        <v>0.25638142659981689</v>
      </c>
      <c r="F764" s="9">
        <f t="shared" si="407"/>
        <v>0</v>
      </c>
      <c r="G764" s="9">
        <f t="shared" si="408"/>
        <v>0.24972974319246294</v>
      </c>
      <c r="H764" s="9">
        <f t="shared" si="409"/>
        <v>0</v>
      </c>
      <c r="I764" s="9">
        <f t="shared" si="410"/>
        <v>0</v>
      </c>
      <c r="J764" s="9">
        <f t="shared" si="411"/>
        <v>0</v>
      </c>
      <c r="K764" s="9">
        <v>0</v>
      </c>
      <c r="L764" s="8">
        <f>+VLOOKUP($B764,NIFTY_50!$B$3:$I$1238,8,0)</f>
        <v>-2.682221349094227E-2</v>
      </c>
      <c r="M764" s="8">
        <f>+VLOOKUP($B764,NIFTY_BANK!$B$3:$I$41238,8,0)</f>
        <v>-3.312619998962163E-2</v>
      </c>
      <c r="N764" s="8">
        <f>+VLOOKUP($B764,NIFTY_IT!$B$3:$I$1238,8,0)</f>
        <v>7.0954494352444275E-3</v>
      </c>
      <c r="O764" s="8">
        <f>+VLOOKUP($B764,NIFTY_PHARMA!$B$3:$I$1238,8,0)</f>
        <v>-1.819723293932618E-2</v>
      </c>
      <c r="P764" s="8">
        <f>+VLOOKUP($B764,NIFTY_FMCG!$B$3:$I$1238,8,0)</f>
        <v>-1.9033120716938634E-2</v>
      </c>
      <c r="Q764" s="8">
        <f>+VLOOKUP($B764,NIFTY_METAL!$B$3:$I$1238,8,0)</f>
        <v>-4.0735694822888302E-2</v>
      </c>
      <c r="R764" s="8">
        <f>+VLOOKUP($B764,NIFTY_ENERGY!$B$3:$I$1238,8,0)</f>
        <v>-3.0359597811143724E-2</v>
      </c>
      <c r="S764" s="8">
        <f>+VLOOKUP($B764,NIFTY_AUTO!$B$3:$I$1238,8,0)</f>
        <v>-2.998188349790698E-2</v>
      </c>
      <c r="T764" s="8">
        <v>0</v>
      </c>
      <c r="U764" s="8">
        <f>+VLOOKUP($B764,NIFTY_50!$B$63:$K$1238,10,0)</f>
        <v>-2.7143460039027012E-2</v>
      </c>
      <c r="V764" s="8">
        <f>+VLOOKUP($B764,NIFTY_BANK!$B$63:$K$1238,10,0)</f>
        <v>-2.6050650776227036E-2</v>
      </c>
      <c r="W764" s="8">
        <f>+VLOOKUP($B764,NIFTY_IT!$B$63:$K$1238,10,0)</f>
        <v>4.481630712087048E-2</v>
      </c>
      <c r="X764" s="8">
        <f>+VLOOKUP($B764,NIFTY_PHARMA!$B$63:$K$1238,10,0)</f>
        <v>8.0932585616328989E-3</v>
      </c>
      <c r="Y764" s="8">
        <f>+VLOOKUP($B764,NIFTY_FMCG!$B$63:$K$1238,10,0)</f>
        <v>-6.8022412249560071E-2</v>
      </c>
      <c r="Z764" s="8">
        <f>+VLOOKUP($B764,NIFTY_METAL!$B$63:$K$1238,10,0)</f>
        <v>-6.4212345022688799E-2</v>
      </c>
      <c r="AA764" s="8">
        <f>+VLOOKUP($B764,NIFTY_ENERGY!$B$63:$K$1238,10,0)</f>
        <v>-0.1123319616758488</v>
      </c>
      <c r="AB764" s="8">
        <f>+VLOOKUP($B764,NIFTY_AUTO!$B$63:$K$1238,10,0)</f>
        <v>-5.0218856136144852E-2</v>
      </c>
      <c r="AC764" s="8"/>
      <c r="AD764" s="16">
        <f t="shared" si="412"/>
        <v>5.5993139649938878E-2</v>
      </c>
      <c r="AE764" s="8">
        <f t="shared" si="413"/>
        <v>7.5265323692619776E-2</v>
      </c>
      <c r="AF764" s="8">
        <f t="shared" si="414"/>
        <v>6.5651813460371133E-2</v>
      </c>
      <c r="AG764" s="8">
        <f t="shared" si="415"/>
        <v>7.6762248669670533E-2</v>
      </c>
      <c r="AH764" s="8">
        <f t="shared" si="416"/>
        <v>5.4749150465884001E-2</v>
      </c>
      <c r="AI764" s="8">
        <f t="shared" si="417"/>
        <v>0.12419852568319573</v>
      </c>
      <c r="AJ764" s="8">
        <f t="shared" si="418"/>
        <v>7.6898509120945688E-2</v>
      </c>
      <c r="AK764" s="8">
        <f t="shared" si="419"/>
        <v>7.8885401398255686E-2</v>
      </c>
      <c r="AL764" s="9">
        <v>0</v>
      </c>
      <c r="AM764" s="17">
        <f t="shared" si="396"/>
        <v>17.859330736798427</v>
      </c>
      <c r="AN764" s="13">
        <f t="shared" si="397"/>
        <v>13.286330954796068</v>
      </c>
      <c r="AO764" s="13">
        <f t="shared" si="398"/>
        <v>15.23187170760518</v>
      </c>
      <c r="AP764" s="13">
        <f t="shared" si="399"/>
        <v>13.027236920889072</v>
      </c>
      <c r="AQ764" s="13">
        <f t="shared" si="400"/>
        <v>18.26512359535392</v>
      </c>
      <c r="AR764" s="13">
        <f t="shared" si="401"/>
        <v>8.0516253675248066</v>
      </c>
      <c r="AS764" s="13">
        <f t="shared" si="402"/>
        <v>13.004153285042285</v>
      </c>
      <c r="AT764" s="13">
        <f t="shared" si="403"/>
        <v>12.676616741182126</v>
      </c>
      <c r="AU764" s="9">
        <v>0</v>
      </c>
      <c r="AV764" s="18">
        <f t="shared" si="420"/>
        <v>2</v>
      </c>
      <c r="AW764" s="18">
        <f t="shared" si="421"/>
        <v>4</v>
      </c>
      <c r="AX764" s="18">
        <f t="shared" si="422"/>
        <v>3</v>
      </c>
      <c r="AY764" s="18">
        <f t="shared" si="423"/>
        <v>5</v>
      </c>
      <c r="AZ764" s="18">
        <f t="shared" si="424"/>
        <v>1</v>
      </c>
      <c r="BA764" s="18">
        <f t="shared" si="425"/>
        <v>8</v>
      </c>
      <c r="BB764" s="18">
        <f t="shared" si="426"/>
        <v>6</v>
      </c>
      <c r="BC764" s="18">
        <f t="shared" si="427"/>
        <v>7</v>
      </c>
      <c r="BD764" s="18">
        <f t="shared" si="428"/>
        <v>9</v>
      </c>
      <c r="BE764" s="8">
        <f t="shared" si="430"/>
        <v>-1.7971521190564527E-2</v>
      </c>
    </row>
    <row r="765" spans="1:57" x14ac:dyDescent="0.25">
      <c r="A765" t="str">
        <f t="shared" si="429"/>
        <v/>
      </c>
      <c r="B765" s="1">
        <v>43864</v>
      </c>
      <c r="C765" s="9">
        <f t="shared" si="404"/>
        <v>0.24865330045689518</v>
      </c>
      <c r="D765" s="9">
        <f t="shared" si="405"/>
        <v>0.24737517872018569</v>
      </c>
      <c r="E765" s="9">
        <f t="shared" si="406"/>
        <v>0.25272622198121447</v>
      </c>
      <c r="F765" s="9">
        <f t="shared" si="407"/>
        <v>0</v>
      </c>
      <c r="G765" s="9">
        <f t="shared" si="408"/>
        <v>0.2512452988417046</v>
      </c>
      <c r="H765" s="9">
        <f t="shared" si="409"/>
        <v>0</v>
      </c>
      <c r="I765" s="9">
        <f t="shared" si="410"/>
        <v>0</v>
      </c>
      <c r="J765" s="9">
        <f t="shared" si="411"/>
        <v>0</v>
      </c>
      <c r="K765" s="9">
        <v>0</v>
      </c>
      <c r="L765" s="8">
        <f>+VLOOKUP($B765,NIFTY_50!$B$3:$I$1238,8,0)</f>
        <v>5.7253301836142079E-3</v>
      </c>
      <c r="M765" s="8">
        <f>+VLOOKUP($B765,NIFTY_BANK!$B$3:$I$41238,8,0)</f>
        <v>7.0793165214240172E-3</v>
      </c>
      <c r="N765" s="8">
        <f>+VLOOKUP($B765,NIFTY_IT!$B$3:$I$1238,8,0)</f>
        <v>-1.2227299845621209E-2</v>
      </c>
      <c r="O765" s="8">
        <f>+VLOOKUP($B765,NIFTY_PHARMA!$B$3:$I$1238,8,0)</f>
        <v>-2.8721606908203023E-3</v>
      </c>
      <c r="P765" s="8">
        <f>+VLOOKUP($B765,NIFTY_FMCG!$B$3:$I$1238,8,0)</f>
        <v>8.1402339551268632E-3</v>
      </c>
      <c r="Q765" s="8">
        <f>+VLOOKUP($B765,NIFTY_METAL!$B$3:$I$1238,8,0)</f>
        <v>1.8909651632276203E-2</v>
      </c>
      <c r="R765" s="8">
        <f>+VLOOKUP($B765,NIFTY_ENERGY!$B$3:$I$1238,8,0)</f>
        <v>7.7458768582807647E-3</v>
      </c>
      <c r="S765" s="8">
        <f>+VLOOKUP($B765,NIFTY_AUTO!$B$3:$I$1238,8,0)</f>
        <v>1.8389617674430481E-2</v>
      </c>
      <c r="T765" s="8">
        <v>0</v>
      </c>
      <c r="U765" s="8">
        <f>+VLOOKUP($B765,NIFTY_50!$B$63:$K$1238,10,0)</f>
        <v>-2.5320407424211488E-2</v>
      </c>
      <c r="V765" s="8">
        <f>+VLOOKUP($B765,NIFTY_BANK!$B$63:$K$1238,10,0)</f>
        <v>-1.9909803595124953E-2</v>
      </c>
      <c r="W765" s="8">
        <f>+VLOOKUP($B765,NIFTY_IT!$B$63:$K$1238,10,0)</f>
        <v>2.7873070325900473E-2</v>
      </c>
      <c r="X765" s="8">
        <f>+VLOOKUP($B765,NIFTY_PHARMA!$B$63:$K$1238,10,0)</f>
        <v>1.9457695204616599E-4</v>
      </c>
      <c r="Y765" s="8">
        <f>+VLOOKUP($B765,NIFTY_FMCG!$B$63:$K$1238,10,0)</f>
        <v>-6.4562529390611689E-2</v>
      </c>
      <c r="Z765" s="8">
        <f>+VLOOKUP($B765,NIFTY_METAL!$B$63:$K$1238,10,0)</f>
        <v>-5.5696583366239949E-2</v>
      </c>
      <c r="AA765" s="8">
        <f>+VLOOKUP($B765,NIFTY_ENERGY!$B$63:$K$1238,10,0)</f>
        <v>-0.1046580197781366</v>
      </c>
      <c r="AB765" s="8">
        <f>+VLOOKUP($B765,NIFTY_AUTO!$B$63:$K$1238,10,0)</f>
        <v>-3.0528283110231813E-2</v>
      </c>
      <c r="AC765" s="8"/>
      <c r="AD765" s="16">
        <f t="shared" si="412"/>
        <v>5.6167382908637792E-2</v>
      </c>
      <c r="AE765" s="8">
        <f t="shared" si="413"/>
        <v>7.5621503441845081E-2</v>
      </c>
      <c r="AF765" s="8">
        <f t="shared" si="414"/>
        <v>6.6808991385886043E-2</v>
      </c>
      <c r="AG765" s="8">
        <f t="shared" si="415"/>
        <v>7.6664810447395218E-2</v>
      </c>
      <c r="AH765" s="8">
        <f t="shared" si="416"/>
        <v>5.5249143603620508E-2</v>
      </c>
      <c r="AI765" s="8">
        <f t="shared" si="417"/>
        <v>0.12531806515990432</v>
      </c>
      <c r="AJ765" s="8">
        <f t="shared" si="418"/>
        <v>7.7486974137342485E-2</v>
      </c>
      <c r="AK765" s="8">
        <f t="shared" si="419"/>
        <v>8.1127185665680765E-2</v>
      </c>
      <c r="AL765" s="9">
        <v>0</v>
      </c>
      <c r="AM765" s="17">
        <f t="shared" si="396"/>
        <v>17.803927265520027</v>
      </c>
      <c r="AN765" s="13">
        <f t="shared" si="397"/>
        <v>13.223751902380865</v>
      </c>
      <c r="AO765" s="13">
        <f t="shared" si="398"/>
        <v>14.968045157635149</v>
      </c>
      <c r="AP765" s="13">
        <f t="shared" si="399"/>
        <v>13.043794071416455</v>
      </c>
      <c r="AQ765" s="13">
        <f t="shared" si="400"/>
        <v>18.099828065651128</v>
      </c>
      <c r="AR765" s="13">
        <f t="shared" si="401"/>
        <v>7.9796954950111321</v>
      </c>
      <c r="AS765" s="13">
        <f t="shared" si="402"/>
        <v>12.90539488904988</v>
      </c>
      <c r="AT765" s="13">
        <f t="shared" si="403"/>
        <v>12.326324299242023</v>
      </c>
      <c r="AU765" s="9">
        <v>0</v>
      </c>
      <c r="AV765" s="18">
        <f t="shared" si="420"/>
        <v>2</v>
      </c>
      <c r="AW765" s="18">
        <f t="shared" si="421"/>
        <v>4</v>
      </c>
      <c r="AX765" s="18">
        <f t="shared" si="422"/>
        <v>3</v>
      </c>
      <c r="AY765" s="18">
        <f t="shared" si="423"/>
        <v>5</v>
      </c>
      <c r="AZ765" s="18">
        <f t="shared" si="424"/>
        <v>1</v>
      </c>
      <c r="BA765" s="18">
        <f t="shared" si="425"/>
        <v>8</v>
      </c>
      <c r="BB765" s="18">
        <f t="shared" si="426"/>
        <v>6</v>
      </c>
      <c r="BC765" s="18">
        <f t="shared" si="427"/>
        <v>7</v>
      </c>
      <c r="BD765" s="18">
        <f t="shared" si="428"/>
        <v>9</v>
      </c>
      <c r="BE765" s="8">
        <f t="shared" si="430"/>
        <v>2.0589554840770418E-3</v>
      </c>
    </row>
    <row r="766" spans="1:57" x14ac:dyDescent="0.25">
      <c r="A766" t="str">
        <f t="shared" si="429"/>
        <v/>
      </c>
      <c r="B766" s="1">
        <v>43865</v>
      </c>
      <c r="C766" s="9">
        <f t="shared" si="404"/>
        <v>0.2498365552678242</v>
      </c>
      <c r="D766" s="9">
        <f t="shared" si="405"/>
        <v>0.24828200029581712</v>
      </c>
      <c r="E766" s="9">
        <f t="shared" si="406"/>
        <v>0.2526646196854383</v>
      </c>
      <c r="F766" s="9">
        <f t="shared" si="407"/>
        <v>0</v>
      </c>
      <c r="G766" s="9">
        <f t="shared" si="408"/>
        <v>0.24921682475092041</v>
      </c>
      <c r="H766" s="9">
        <f t="shared" si="409"/>
        <v>0</v>
      </c>
      <c r="I766" s="9">
        <f t="shared" si="410"/>
        <v>0</v>
      </c>
      <c r="J766" s="9">
        <f t="shared" si="411"/>
        <v>0</v>
      </c>
      <c r="K766" s="9">
        <v>0</v>
      </c>
      <c r="L766" s="8">
        <f>+VLOOKUP($B766,NIFTY_50!$B$3:$I$1238,8,0)</f>
        <v>2.3210823461081942E-2</v>
      </c>
      <c r="M766" s="8">
        <f>+VLOOKUP($B766,NIFTY_BANK!$B$3:$I$41238,8,0)</f>
        <v>2.2097874147535723E-2</v>
      </c>
      <c r="N766" s="8">
        <f>+VLOOKUP($B766,NIFTY_IT!$B$3:$I$1238,8,0)</f>
        <v>1.8116551161588834E-2</v>
      </c>
      <c r="O766" s="8">
        <f>+VLOOKUP($B766,NIFTY_PHARMA!$B$3:$I$1238,8,0)</f>
        <v>1.9435083557680866E-2</v>
      </c>
      <c r="P766" s="8">
        <f>+VLOOKUP($B766,NIFTY_FMCG!$B$3:$I$1238,8,0)</f>
        <v>1.0142827571931301E-2</v>
      </c>
      <c r="Q766" s="8">
        <f>+VLOOKUP($B766,NIFTY_METAL!$B$3:$I$1238,8,0)</f>
        <v>3.3174694836615615E-2</v>
      </c>
      <c r="R766" s="8">
        <f>+VLOOKUP($B766,NIFTY_ENERGY!$B$3:$I$1238,8,0)</f>
        <v>3.131433300574149E-2</v>
      </c>
      <c r="S766" s="8">
        <f>+VLOOKUP($B766,NIFTY_AUTO!$B$3:$I$1238,8,0)</f>
        <v>1.4076749266118682E-2</v>
      </c>
      <c r="T766" s="8">
        <v>0</v>
      </c>
      <c r="U766" s="8">
        <f>+VLOOKUP($B766,NIFTY_50!$B$63:$K$1238,10,0)</f>
        <v>6.0042911787305808E-3</v>
      </c>
      <c r="V766" s="8">
        <f>+VLOOKUP($B766,NIFTY_BANK!$B$63:$K$1238,10,0)</f>
        <v>-2.0390641768620599E-3</v>
      </c>
      <c r="W766" s="8">
        <f>+VLOOKUP($B766,NIFTY_IT!$B$63:$K$1238,10,0)</f>
        <v>6.2896127618911502E-2</v>
      </c>
      <c r="X766" s="8">
        <f>+VLOOKUP($B766,NIFTY_PHARMA!$B$63:$K$1238,10,0)</f>
        <v>4.3018208901558941E-2</v>
      </c>
      <c r="Y766" s="8">
        <f>+VLOOKUP($B766,NIFTY_FMCG!$B$63:$K$1238,10,0)</f>
        <v>-3.767117927850383E-2</v>
      </c>
      <c r="Z766" s="8">
        <f>+VLOOKUP($B766,NIFTY_METAL!$B$63:$K$1238,10,0)</f>
        <v>-7.1566620103713507E-3</v>
      </c>
      <c r="AA766" s="8">
        <f>+VLOOKUP($B766,NIFTY_ENERGY!$B$63:$K$1238,10,0)</f>
        <v>-6.0159637986298864E-2</v>
      </c>
      <c r="AB766" s="8">
        <f>+VLOOKUP($B766,NIFTY_AUTO!$B$63:$K$1238,10,0)</f>
        <v>-8.4275336152710434E-3</v>
      </c>
      <c r="AC766" s="8"/>
      <c r="AD766" s="16">
        <f t="shared" si="412"/>
        <v>6.0226158116389893E-2</v>
      </c>
      <c r="AE766" s="8">
        <f t="shared" si="413"/>
        <v>7.8723417553240332E-2</v>
      </c>
      <c r="AF766" s="8">
        <f t="shared" si="414"/>
        <v>6.7099826650289351E-2</v>
      </c>
      <c r="AG766" s="8">
        <f t="shared" si="415"/>
        <v>7.5627605954440416E-2</v>
      </c>
      <c r="AH766" s="8">
        <f t="shared" si="416"/>
        <v>5.3624125360954879E-2</v>
      </c>
      <c r="AI766" s="8">
        <f t="shared" si="417"/>
        <v>0.12862581734909068</v>
      </c>
      <c r="AJ766" s="8">
        <f t="shared" si="418"/>
        <v>8.2528466545150114E-2</v>
      </c>
      <c r="AK766" s="8">
        <f t="shared" si="419"/>
        <v>8.1970992667106488E-2</v>
      </c>
      <c r="AL766" s="9">
        <v>0</v>
      </c>
      <c r="AM766" s="17">
        <f t="shared" si="396"/>
        <v>16.604080872425115</v>
      </c>
      <c r="AN766" s="13">
        <f t="shared" si="397"/>
        <v>12.702700556968376</v>
      </c>
      <c r="AO766" s="13">
        <f t="shared" si="398"/>
        <v>14.903168158865695</v>
      </c>
      <c r="AP766" s="13">
        <f t="shared" si="399"/>
        <v>13.222684856670195</v>
      </c>
      <c r="AQ766" s="13">
        <f t="shared" si="400"/>
        <v>18.648322807482582</v>
      </c>
      <c r="AR766" s="13">
        <f t="shared" si="401"/>
        <v>7.7744889837006701</v>
      </c>
      <c r="AS766" s="13">
        <f t="shared" si="402"/>
        <v>12.117031151341152</v>
      </c>
      <c r="AT766" s="13">
        <f t="shared" si="403"/>
        <v>12.199437477366091</v>
      </c>
      <c r="AU766" s="9">
        <v>0</v>
      </c>
      <c r="AV766" s="18">
        <f t="shared" si="420"/>
        <v>2</v>
      </c>
      <c r="AW766" s="18">
        <f t="shared" si="421"/>
        <v>5</v>
      </c>
      <c r="AX766" s="18">
        <f t="shared" si="422"/>
        <v>3</v>
      </c>
      <c r="AY766" s="18">
        <f t="shared" si="423"/>
        <v>4</v>
      </c>
      <c r="AZ766" s="18">
        <f t="shared" si="424"/>
        <v>1</v>
      </c>
      <c r="BA766" s="18">
        <f t="shared" si="425"/>
        <v>8</v>
      </c>
      <c r="BB766" s="18">
        <f t="shared" si="426"/>
        <v>7</v>
      </c>
      <c r="BC766" s="18">
        <f t="shared" si="427"/>
        <v>6</v>
      </c>
      <c r="BD766" s="18">
        <f t="shared" si="428"/>
        <v>9</v>
      </c>
      <c r="BE766" s="8">
        <f t="shared" si="430"/>
        <v>1.8364778701310671E-2</v>
      </c>
    </row>
    <row r="767" spans="1:57" x14ac:dyDescent="0.25">
      <c r="A767" t="str">
        <f t="shared" si="429"/>
        <v/>
      </c>
      <c r="B767" s="1">
        <v>43866</v>
      </c>
      <c r="C767" s="9">
        <f t="shared" si="404"/>
        <v>0.25014716967487999</v>
      </c>
      <c r="D767" s="9">
        <f t="shared" si="405"/>
        <v>0.24886970512163564</v>
      </c>
      <c r="E767" s="9">
        <f t="shared" si="406"/>
        <v>0.25218525545411458</v>
      </c>
      <c r="F767" s="9">
        <f t="shared" si="407"/>
        <v>0</v>
      </c>
      <c r="G767" s="9">
        <f t="shared" si="408"/>
        <v>0.24879786974936982</v>
      </c>
      <c r="H767" s="9">
        <f t="shared" si="409"/>
        <v>0</v>
      </c>
      <c r="I767" s="9">
        <f t="shared" si="410"/>
        <v>0</v>
      </c>
      <c r="J767" s="9">
        <f t="shared" si="411"/>
        <v>0</v>
      </c>
      <c r="K767" s="9">
        <v>0</v>
      </c>
      <c r="L767" s="8">
        <f>+VLOOKUP($B767,NIFTY_50!$B$3:$I$1238,8,0)</f>
        <v>9.1405007658822424E-3</v>
      </c>
      <c r="M767" s="8">
        <f>+VLOOKUP($B767,NIFTY_BANK!$B$3:$I$41238,8,0)</f>
        <v>1.0273180237692525E-2</v>
      </c>
      <c r="N767" s="8">
        <f>+VLOOKUP($B767,NIFTY_IT!$B$3:$I$1238,8,0)</f>
        <v>5.9752245296116335E-3</v>
      </c>
      <c r="O767" s="8">
        <f>+VLOOKUP($B767,NIFTY_PHARMA!$B$3:$I$1238,8,0)</f>
        <v>3.939722249581834E-4</v>
      </c>
      <c r="P767" s="8">
        <f>+VLOOKUP($B767,NIFTY_FMCG!$B$3:$I$1238,8,0)</f>
        <v>6.1930783242258869E-3</v>
      </c>
      <c r="Q767" s="8">
        <f>+VLOOKUP($B767,NIFTY_METAL!$B$3:$I$1238,8,0)</f>
        <v>2.7426038354052329E-2</v>
      </c>
      <c r="R767" s="8">
        <f>+VLOOKUP($B767,NIFTY_ENERGY!$B$3:$I$1238,8,0)</f>
        <v>9.7199374072143296E-3</v>
      </c>
      <c r="S767" s="8">
        <f>+VLOOKUP($B767,NIFTY_AUTO!$B$3:$I$1238,8,0)</f>
        <v>3.8144380801896638E-3</v>
      </c>
      <c r="T767" s="8">
        <v>0</v>
      </c>
      <c r="U767" s="8">
        <f>+VLOOKUP($B767,NIFTY_50!$B$63:$K$1238,10,0)</f>
        <v>1.4748036882682891E-2</v>
      </c>
      <c r="V767" s="8">
        <f>+VLOOKUP($B767,NIFTY_BANK!$B$63:$K$1238,10,0)</f>
        <v>-3.6509076651384254E-3</v>
      </c>
      <c r="W767" s="8">
        <f>+VLOOKUP($B767,NIFTY_IT!$B$63:$K$1238,10,0)</f>
        <v>7.4468189345169966E-2</v>
      </c>
      <c r="X767" s="8">
        <f>+VLOOKUP($B767,NIFTY_PHARMA!$B$63:$K$1238,10,0)</f>
        <v>4.376421020180099E-2</v>
      </c>
      <c r="Y767" s="8">
        <f>+VLOOKUP($B767,NIFTY_FMCG!$B$63:$K$1238,10,0)</f>
        <v>-2.7298125464781831E-2</v>
      </c>
      <c r="Z767" s="8">
        <f>+VLOOKUP($B767,NIFTY_METAL!$B$63:$K$1238,10,0)</f>
        <v>2.1186927703919389E-2</v>
      </c>
      <c r="AA767" s="8">
        <f>+VLOOKUP($B767,NIFTY_ENERGY!$B$63:$K$1238,10,0)</f>
        <v>-5.2432905649010153E-2</v>
      </c>
      <c r="AB767" s="8">
        <f>+VLOOKUP($B767,NIFTY_AUTO!$B$63:$K$1238,10,0)</f>
        <v>-3.3459982841034241E-3</v>
      </c>
      <c r="AC767" s="8"/>
      <c r="AD767" s="16">
        <f t="shared" si="412"/>
        <v>6.0885766322188874E-2</v>
      </c>
      <c r="AE767" s="8">
        <f t="shared" si="413"/>
        <v>7.8492920004313252E-2</v>
      </c>
      <c r="AF767" s="8">
        <f t="shared" si="414"/>
        <v>6.7008037009575985E-2</v>
      </c>
      <c r="AG767" s="8">
        <f t="shared" si="415"/>
        <v>7.5620923188832817E-2</v>
      </c>
      <c r="AH767" s="8">
        <f t="shared" si="416"/>
        <v>5.3892729416178904E-2</v>
      </c>
      <c r="AI767" s="8">
        <f t="shared" si="417"/>
        <v>0.13145810576992514</v>
      </c>
      <c r="AJ767" s="8">
        <f t="shared" si="418"/>
        <v>8.3174057835913598E-2</v>
      </c>
      <c r="AK767" s="8">
        <f t="shared" si="419"/>
        <v>8.2051938191770327E-2</v>
      </c>
      <c r="AL767" s="9">
        <v>0</v>
      </c>
      <c r="AM767" s="17">
        <f t="shared" si="396"/>
        <v>16.424199946967992</v>
      </c>
      <c r="AN767" s="13">
        <f t="shared" si="397"/>
        <v>12.740002537108431</v>
      </c>
      <c r="AO767" s="13">
        <f t="shared" si="398"/>
        <v>14.92358297045908</v>
      </c>
      <c r="AP767" s="13">
        <f t="shared" si="399"/>
        <v>13.223853370619432</v>
      </c>
      <c r="AQ767" s="13">
        <f t="shared" si="400"/>
        <v>18.555378635170673</v>
      </c>
      <c r="AR767" s="13">
        <f t="shared" si="401"/>
        <v>7.6069862268529587</v>
      </c>
      <c r="AS767" s="13">
        <f t="shared" si="402"/>
        <v>12.022979592661061</v>
      </c>
      <c r="AT767" s="13">
        <f t="shared" si="403"/>
        <v>12.187402540849405</v>
      </c>
      <c r="AU767" s="9">
        <v>0</v>
      </c>
      <c r="AV767" s="18">
        <f t="shared" si="420"/>
        <v>2</v>
      </c>
      <c r="AW767" s="18">
        <f t="shared" si="421"/>
        <v>5</v>
      </c>
      <c r="AX767" s="18">
        <f t="shared" si="422"/>
        <v>3</v>
      </c>
      <c r="AY767" s="18">
        <f t="shared" si="423"/>
        <v>4</v>
      </c>
      <c r="AZ767" s="18">
        <f t="shared" si="424"/>
        <v>1</v>
      </c>
      <c r="BA767" s="18">
        <f t="shared" si="425"/>
        <v>8</v>
      </c>
      <c r="BB767" s="18">
        <f t="shared" si="426"/>
        <v>7</v>
      </c>
      <c r="BC767" s="18">
        <f t="shared" si="427"/>
        <v>6</v>
      </c>
      <c r="BD767" s="18">
        <f t="shared" si="428"/>
        <v>9</v>
      </c>
      <c r="BE767" s="8">
        <f t="shared" si="430"/>
        <v>7.8874241122914388E-3</v>
      </c>
    </row>
    <row r="768" spans="1:57" x14ac:dyDescent="0.25">
      <c r="A768" t="str">
        <f t="shared" si="429"/>
        <v/>
      </c>
      <c r="B768" s="1">
        <v>43867</v>
      </c>
      <c r="C768" s="9">
        <f t="shared" si="404"/>
        <v>0.25099194343731207</v>
      </c>
      <c r="D768" s="9">
        <f t="shared" si="405"/>
        <v>0.25112974771131391</v>
      </c>
      <c r="E768" s="9">
        <f t="shared" si="406"/>
        <v>0.25083369140156703</v>
      </c>
      <c r="F768" s="9">
        <f t="shared" si="407"/>
        <v>0</v>
      </c>
      <c r="G768" s="9">
        <f t="shared" si="408"/>
        <v>0.24704461744980696</v>
      </c>
      <c r="H768" s="9">
        <f t="shared" si="409"/>
        <v>0</v>
      </c>
      <c r="I768" s="9">
        <f t="shared" si="410"/>
        <v>0</v>
      </c>
      <c r="J768" s="9">
        <f t="shared" si="411"/>
        <v>0</v>
      </c>
      <c r="K768" s="9">
        <v>0</v>
      </c>
      <c r="L768" s="8">
        <f>+VLOOKUP($B768,NIFTY_50!$B$3:$I$1238,8,0)</f>
        <v>4.0366775166162938E-3</v>
      </c>
      <c r="M768" s="8">
        <f>+VLOOKUP($B768,NIFTY_BANK!$B$3:$I$41238,8,0)</f>
        <v>9.7445483267988298E-3</v>
      </c>
      <c r="N768" s="8">
        <f>+VLOOKUP($B768,NIFTY_IT!$B$3:$I$1238,8,0)</f>
        <v>-4.7055819509925767E-3</v>
      </c>
      <c r="O768" s="8">
        <f>+VLOOKUP($B768,NIFTY_PHARMA!$B$3:$I$1238,8,0)</f>
        <v>1.2589839519543178E-2</v>
      </c>
      <c r="P768" s="8">
        <f>+VLOOKUP($B768,NIFTY_FMCG!$B$3:$I$1238,8,0)</f>
        <v>-6.3941760628944966E-3</v>
      </c>
      <c r="Q768" s="8">
        <f>+VLOOKUP($B768,NIFTY_METAL!$B$3:$I$1238,8,0)</f>
        <v>8.7604111953176744E-3</v>
      </c>
      <c r="R768" s="8">
        <f>+VLOOKUP($B768,NIFTY_ENERGY!$B$3:$I$1238,8,0)</f>
        <v>8.5865760655401413E-3</v>
      </c>
      <c r="S768" s="8">
        <f>+VLOOKUP($B768,NIFTY_AUTO!$B$3:$I$1238,8,0)</f>
        <v>1.2850941377571257E-3</v>
      </c>
      <c r="T768" s="8">
        <v>0</v>
      </c>
      <c r="U768" s="8">
        <f>+VLOOKUP($B768,NIFTY_50!$B$63:$K$1238,10,0)</f>
        <v>2.5125734241519426E-2</v>
      </c>
      <c r="V768" s="8">
        <f>+VLOOKUP($B768,NIFTY_BANK!$B$63:$K$1238,10,0)</f>
        <v>2.4965988956028751E-2</v>
      </c>
      <c r="W768" s="8">
        <f>+VLOOKUP($B768,NIFTY_IT!$B$63:$K$1238,10,0)</f>
        <v>7.4155482433837738E-2</v>
      </c>
      <c r="X768" s="8">
        <f>+VLOOKUP($B768,NIFTY_PHARMA!$B$63:$K$1238,10,0)</f>
        <v>7.4075282783648388E-2</v>
      </c>
      <c r="Y768" s="8">
        <f>+VLOOKUP($B768,NIFTY_FMCG!$B$63:$K$1238,10,0)</f>
        <v>-2.6782279398843367E-2</v>
      </c>
      <c r="Z768" s="8">
        <f>+VLOOKUP($B768,NIFTY_METAL!$B$63:$K$1238,10,0)</f>
        <v>5.1669176461385025E-2</v>
      </c>
      <c r="AA768" s="8">
        <f>+VLOOKUP($B768,NIFTY_ENERGY!$B$63:$K$1238,10,0)</f>
        <v>-4.5972943089023444E-2</v>
      </c>
      <c r="AB768" s="8">
        <f>+VLOOKUP($B768,NIFTY_AUTO!$B$63:$K$1238,10,0)</f>
        <v>-9.8770582316998201E-4</v>
      </c>
      <c r="AC768" s="8"/>
      <c r="AD768" s="16">
        <f t="shared" si="412"/>
        <v>6.0651733610607522E-2</v>
      </c>
      <c r="AE768" s="8">
        <f t="shared" si="413"/>
        <v>7.6832819841757105E-2</v>
      </c>
      <c r="AF768" s="8">
        <f t="shared" si="414"/>
        <v>6.7032996445518717E-2</v>
      </c>
      <c r="AG768" s="8">
        <f t="shared" si="415"/>
        <v>7.4600747175021062E-2</v>
      </c>
      <c r="AH768" s="8">
        <f t="shared" si="416"/>
        <v>5.3831794013996632E-2</v>
      </c>
      <c r="AI768" s="8">
        <f t="shared" si="417"/>
        <v>0.12998542964195758</v>
      </c>
      <c r="AJ768" s="8">
        <f t="shared" si="418"/>
        <v>8.3660498740583317E-2</v>
      </c>
      <c r="AK768" s="8">
        <f t="shared" si="419"/>
        <v>8.205434622525877E-2</v>
      </c>
      <c r="AL768" s="9">
        <v>0</v>
      </c>
      <c r="AM768" s="17">
        <f t="shared" ref="AM768:AM831" si="431">1/AD768</f>
        <v>16.487574888133249</v>
      </c>
      <c r="AN768" s="13">
        <f t="shared" ref="AN768:AN831" si="432">1/AE768</f>
        <v>13.015271365278201</v>
      </c>
      <c r="AO768" s="13">
        <f t="shared" ref="AO768:AO831" si="433">1/AF768</f>
        <v>14.918026241192324</v>
      </c>
      <c r="AP768" s="13">
        <f t="shared" ref="AP768:AP831" si="434">1/AG768</f>
        <v>13.404691479213964</v>
      </c>
      <c r="AQ768" s="13">
        <f t="shared" ref="AQ768:AQ831" si="435">1/AH768</f>
        <v>18.576382569378854</v>
      </c>
      <c r="AR768" s="13">
        <f t="shared" ref="AR768:AR831" si="436">1/AI768</f>
        <v>7.6931699403116269</v>
      </c>
      <c r="AS768" s="13">
        <f t="shared" ref="AS768:AS831" si="437">1/AJ768</f>
        <v>11.953072418332413</v>
      </c>
      <c r="AT768" s="13">
        <f t="shared" ref="AT768:AT831" si="438">1/AK768</f>
        <v>12.187044879435895</v>
      </c>
      <c r="AU768" s="9">
        <v>0</v>
      </c>
      <c r="AV768" s="18">
        <f t="shared" si="420"/>
        <v>2</v>
      </c>
      <c r="AW768" s="18">
        <f t="shared" si="421"/>
        <v>5</v>
      </c>
      <c r="AX768" s="18">
        <f t="shared" si="422"/>
        <v>3</v>
      </c>
      <c r="AY768" s="18">
        <f t="shared" si="423"/>
        <v>4</v>
      </c>
      <c r="AZ768" s="18">
        <f t="shared" si="424"/>
        <v>1</v>
      </c>
      <c r="BA768" s="18">
        <f t="shared" si="425"/>
        <v>8</v>
      </c>
      <c r="BB768" s="18">
        <f t="shared" si="426"/>
        <v>7</v>
      </c>
      <c r="BC768" s="18">
        <f t="shared" si="427"/>
        <v>6</v>
      </c>
      <c r="BD768" s="18">
        <f t="shared" si="428"/>
        <v>9</v>
      </c>
      <c r="BE768" s="8">
        <f t="shared" si="430"/>
        <v>6.5735055468384477E-4</v>
      </c>
    </row>
    <row r="769" spans="1:57" x14ac:dyDescent="0.25">
      <c r="A769" t="str">
        <f t="shared" si="429"/>
        <v/>
      </c>
      <c r="B769" s="1">
        <v>43868</v>
      </c>
      <c r="C769" s="9">
        <f t="shared" ref="C769:C832" si="439">+IF($A769="Y",IF(AV769&lt;=4,0.25,0),C768*(1+L769)/SUMPRODUCT($C768:$J768,1+$L769:$S769))</f>
        <v>0.25005684587398602</v>
      </c>
      <c r="D769" s="9">
        <f t="shared" ref="D769:D832" si="440">+IF($A769="Y",IF(AW769&lt;=4,0.25,0),D768*(1+M769)/SUMPRODUCT($C768:$J768,1+$L769:$S769))</f>
        <v>0.25019437171523973</v>
      </c>
      <c r="E769" s="9">
        <f t="shared" ref="E769:E832" si="441">+IF($A769="Y",IF(AX769&lt;=4,0.25,0),E768*(1+N769)/SUMPRODUCT($C768:$J768,1+$L769:$S769))</f>
        <v>0.25223328941298967</v>
      </c>
      <c r="F769" s="9">
        <f t="shared" ref="F769:F832" si="442">+IF($A769="Y",IF(AY769&lt;=4,0.25,0),F768*(1+O769)/SUMPRODUCT($C768:$J768,1+$L769:$S769))</f>
        <v>0</v>
      </c>
      <c r="G769" s="9">
        <f t="shared" ref="G769:G832" si="443">+IF($A769="Y",IF(AZ769&lt;=4,0.25,0),G768*(1+P769)/SUMPRODUCT($C768:$J768,1+$L769:$S769))</f>
        <v>0.24751549299778455</v>
      </c>
      <c r="H769" s="9">
        <f t="shared" ref="H769:H832" si="444">+IF($A769="Y",IF(BA769&lt;=4,0.25,0),H768*(1+Q769)/SUMPRODUCT($C768:$J768,1+$L769:$S769))</f>
        <v>0</v>
      </c>
      <c r="I769" s="9">
        <f t="shared" ref="I769:I832" si="445">+IF($A769="Y",IF(BB769&lt;=4,0.25,0),I768*(1+R769)/SUMPRODUCT($C768:$J768,1+$L769:$S769))</f>
        <v>0</v>
      </c>
      <c r="J769" s="9">
        <f t="shared" ref="J769:J832" si="446">+IF($A769="Y",IF(BC769&lt;=4,0.25,0),J768*(1+S769)/SUMPRODUCT($C768:$J768,1+$L769:$S769))</f>
        <v>0</v>
      </c>
      <c r="K769" s="9">
        <v>0</v>
      </c>
      <c r="L769" s="8">
        <f>+VLOOKUP($B769,NIFTY_50!$B$3:$I$1238,8,0)</f>
        <v>-3.2624949023517535E-3</v>
      </c>
      <c r="M769" s="8">
        <f>+VLOOKUP($B769,NIFTY_BANK!$B$3:$I$41238,8,0)</f>
        <v>-3.2615588078858115E-3</v>
      </c>
      <c r="N769" s="8">
        <f>+VLOOKUP($B769,NIFTY_IT!$B$3:$I$1238,8,0)</f>
        <v>6.0472233166273259E-3</v>
      </c>
      <c r="O769" s="8">
        <f>+VLOOKUP($B769,NIFTY_PHARMA!$B$3:$I$1238,8,0)</f>
        <v>1.3849220335687251E-2</v>
      </c>
      <c r="P769" s="8">
        <f>+VLOOKUP($B769,NIFTY_FMCG!$B$3:$I$1238,8,0)</f>
        <v>2.3717652570551806E-3</v>
      </c>
      <c r="Q769" s="8">
        <f>+VLOOKUP($B769,NIFTY_METAL!$B$3:$I$1238,8,0)</f>
        <v>8.2008368200836568E-3</v>
      </c>
      <c r="R769" s="8">
        <f>+VLOOKUP($B769,NIFTY_ENERGY!$B$3:$I$1238,8,0)</f>
        <v>-2.5510874133219952E-3</v>
      </c>
      <c r="S769" s="8">
        <f>+VLOOKUP($B769,NIFTY_AUTO!$B$3:$I$1238,8,0)</f>
        <v>-9.5245113391425607E-3</v>
      </c>
      <c r="T769" s="8">
        <v>0</v>
      </c>
      <c r="U769" s="8">
        <f>+VLOOKUP($B769,NIFTY_50!$B$63:$K$1238,10,0)</f>
        <v>1.9057285568686355E-2</v>
      </c>
      <c r="V769" s="8">
        <f>+VLOOKUP($B769,NIFTY_BANK!$B$63:$K$1238,10,0)</f>
        <v>1.4699210893025949E-2</v>
      </c>
      <c r="W769" s="8">
        <f>+VLOOKUP($B769,NIFTY_IT!$B$63:$K$1238,10,0)</f>
        <v>7.0272114369263283E-2</v>
      </c>
      <c r="X769" s="8">
        <f>+VLOOKUP($B769,NIFTY_PHARMA!$B$63:$K$1238,10,0)</f>
        <v>9.8848046157190117E-2</v>
      </c>
      <c r="Y769" s="8">
        <f>+VLOOKUP($B769,NIFTY_FMCG!$B$63:$K$1238,10,0)</f>
        <v>-2.003692812692337E-2</v>
      </c>
      <c r="Z769" s="8">
        <f>+VLOOKUP($B769,NIFTY_METAL!$B$63:$K$1238,10,0)</f>
        <v>8.1464932577994142E-2</v>
      </c>
      <c r="AA769" s="8">
        <f>+VLOOKUP($B769,NIFTY_ENERGY!$B$63:$K$1238,10,0)</f>
        <v>-4.4957560515561101E-2</v>
      </c>
      <c r="AB769" s="8">
        <f>+VLOOKUP($B769,NIFTY_AUTO!$B$63:$K$1238,10,0)</f>
        <v>-1.5419550965095286E-2</v>
      </c>
      <c r="AC769" s="8"/>
      <c r="AD769" s="16">
        <f t="shared" ref="AD769:AD832" si="447">+_xlfn.STDEV.S(L709:L769)*SQRT(60)</f>
        <v>6.0718554062951263E-2</v>
      </c>
      <c r="AE769" s="8">
        <f t="shared" ref="AE769:AE832" si="448">+_xlfn.STDEV.S(M709:M769)*SQRT(60)</f>
        <v>7.6647424455701427E-2</v>
      </c>
      <c r="AF769" s="8">
        <f t="shared" ref="AF769:AF832" si="449">+_xlfn.STDEV.S(N709:N769)*SQRT(60)</f>
        <v>6.6667574618022155E-2</v>
      </c>
      <c r="AG769" s="8">
        <f t="shared" ref="AG769:AG832" si="450">+_xlfn.STDEV.S(O709:O769)*SQRT(60)</f>
        <v>7.4911387379756722E-2</v>
      </c>
      <c r="AH769" s="8">
        <f t="shared" ref="AH769:AH832" si="451">+_xlfn.STDEV.S(P709:P769)*SQRT(60)</f>
        <v>5.3740275136062082E-2</v>
      </c>
      <c r="AI769" s="8">
        <f t="shared" ref="AI769:AI832" si="452">+_xlfn.STDEV.S(Q709:Q769)*SQRT(60)</f>
        <v>0.12850671140182879</v>
      </c>
      <c r="AJ769" s="8">
        <f t="shared" ref="AJ769:AJ832" si="453">+_xlfn.STDEV.S(R709:R769)*SQRT(60)</f>
        <v>8.3630372108971035E-2</v>
      </c>
      <c r="AK769" s="8">
        <f t="shared" ref="AK769:AK832" si="454">+_xlfn.STDEV.S(S709:S769)*SQRT(60)</f>
        <v>8.244011729015932E-2</v>
      </c>
      <c r="AL769" s="9">
        <v>0</v>
      </c>
      <c r="AM769" s="17">
        <f t="shared" si="431"/>
        <v>16.469430397885109</v>
      </c>
      <c r="AN769" s="13">
        <f t="shared" si="432"/>
        <v>13.046752804824544</v>
      </c>
      <c r="AO769" s="13">
        <f t="shared" si="433"/>
        <v>14.999795713727245</v>
      </c>
      <c r="AP769" s="13">
        <f t="shared" si="434"/>
        <v>13.349105322673942</v>
      </c>
      <c r="AQ769" s="13">
        <f t="shared" si="435"/>
        <v>18.608017868687021</v>
      </c>
      <c r="AR769" s="13">
        <f t="shared" si="436"/>
        <v>7.7816947386747062</v>
      </c>
      <c r="AS769" s="13">
        <f t="shared" si="437"/>
        <v>11.957378339737531</v>
      </c>
      <c r="AT769" s="13">
        <f t="shared" si="438"/>
        <v>12.130016706312567</v>
      </c>
      <c r="AU769" s="9">
        <v>0</v>
      </c>
      <c r="AV769" s="18">
        <f t="shared" ref="AV769:AV832" si="455">+RANK(AM769,$AM769:$AU769)</f>
        <v>2</v>
      </c>
      <c r="AW769" s="18">
        <f t="shared" ref="AW769:AW832" si="456">+RANK(AN769,$AM769:$AU769)</f>
        <v>5</v>
      </c>
      <c r="AX769" s="18">
        <f t="shared" ref="AX769:AX832" si="457">+RANK(AO769,$AM769:$AU769)</f>
        <v>3</v>
      </c>
      <c r="AY769" s="18">
        <f t="shared" ref="AY769:AY832" si="458">+RANK(AP769,$AM769:$AU769)</f>
        <v>4</v>
      </c>
      <c r="AZ769" s="18">
        <f t="shared" ref="AZ769:AZ832" si="459">+RANK(AQ769,$AM769:$AU769)</f>
        <v>1</v>
      </c>
      <c r="BA769" s="18">
        <f t="shared" ref="BA769:BA832" si="460">+RANK(AR769,$AM769:$AU769)</f>
        <v>8</v>
      </c>
      <c r="BB769" s="18">
        <f t="shared" ref="BB769:BB832" si="461">+RANK(AS769,$AM769:$AU769)</f>
        <v>7</v>
      </c>
      <c r="BC769" s="18">
        <f t="shared" ref="BC769:BC832" si="462">+RANK(AT769,$AM769:$AU769)</f>
        <v>6</v>
      </c>
      <c r="BD769" s="18">
        <f t="shared" ref="BD769:BD832" si="463">+RANK(AU769,$AM769:$AU769)</f>
        <v>9</v>
      </c>
      <c r="BE769" s="8">
        <f t="shared" si="430"/>
        <v>4.6484481128363148E-4</v>
      </c>
    </row>
    <row r="770" spans="1:57" x14ac:dyDescent="0.25">
      <c r="A770" t="str">
        <f t="shared" si="429"/>
        <v/>
      </c>
      <c r="B770" s="1">
        <v>43871</v>
      </c>
      <c r="C770" s="9">
        <f t="shared" si="439"/>
        <v>0.2500196676372044</v>
      </c>
      <c r="D770" s="9">
        <f t="shared" si="440"/>
        <v>0.25038780665287741</v>
      </c>
      <c r="E770" s="9">
        <f t="shared" si="441"/>
        <v>0.25300887030573005</v>
      </c>
      <c r="F770" s="9">
        <f t="shared" si="442"/>
        <v>0</v>
      </c>
      <c r="G770" s="9">
        <f t="shared" si="443"/>
        <v>0.24658365540418814</v>
      </c>
      <c r="H770" s="9">
        <f t="shared" si="444"/>
        <v>0</v>
      </c>
      <c r="I770" s="9">
        <f t="shared" si="445"/>
        <v>0</v>
      </c>
      <c r="J770" s="9">
        <f t="shared" si="446"/>
        <v>0</v>
      </c>
      <c r="K770" s="9">
        <v>0</v>
      </c>
      <c r="L770" s="8">
        <f>+VLOOKUP($B770,NIFTY_50!$B$3:$I$1238,8,0)</f>
        <v>-5.525546872094167E-3</v>
      </c>
      <c r="M770" s="8">
        <f>+VLOOKUP($B770,NIFTY_BANK!$B$3:$I$41238,8,0)</f>
        <v>-4.6086863160795799E-3</v>
      </c>
      <c r="N770" s="8">
        <f>+VLOOKUP($B770,NIFTY_IT!$B$3:$I$1238,8,0)</f>
        <v>-2.3193474254940005E-3</v>
      </c>
      <c r="O770" s="8">
        <f>+VLOOKUP($B770,NIFTY_PHARMA!$B$3:$I$1238,8,0)</f>
        <v>-9.6621253079353098E-3</v>
      </c>
      <c r="P770" s="8">
        <f>+VLOOKUP($B770,NIFTY_FMCG!$B$3:$I$1238,8,0)</f>
        <v>-9.1221863386292679E-3</v>
      </c>
      <c r="Q770" s="8">
        <f>+VLOOKUP($B770,NIFTY_METAL!$B$3:$I$1238,8,0)</f>
        <v>-3.021248339973448E-2</v>
      </c>
      <c r="R770" s="8">
        <f>+VLOOKUP($B770,NIFTY_ENERGY!$B$3:$I$1238,8,0)</f>
        <v>-1.0826237084388124E-2</v>
      </c>
      <c r="S770" s="8">
        <f>+VLOOKUP($B770,NIFTY_AUTO!$B$3:$I$1238,8,0)</f>
        <v>-2.5301936859856711E-2</v>
      </c>
      <c r="T770" s="8">
        <v>0</v>
      </c>
      <c r="U770" s="8">
        <f>+VLOOKUP($B770,NIFTY_50!$B$63:$K$1238,10,0)</f>
        <v>1.1437146135707232E-2</v>
      </c>
      <c r="V770" s="8">
        <f>+VLOOKUP($B770,NIFTY_BANK!$B$63:$K$1238,10,0)</f>
        <v>1.6044039679570243E-3</v>
      </c>
      <c r="W770" s="8">
        <f>+VLOOKUP($B770,NIFTY_IT!$B$63:$K$1238,10,0)</f>
        <v>7.3236603279416723E-2</v>
      </c>
      <c r="X770" s="8">
        <f>+VLOOKUP($B770,NIFTY_PHARMA!$B$63:$K$1238,10,0)</f>
        <v>7.0026940911328106E-2</v>
      </c>
      <c r="Y770" s="8">
        <f>+VLOOKUP($B770,NIFTY_FMCG!$B$63:$K$1238,10,0)</f>
        <v>-2.4329092321115242E-2</v>
      </c>
      <c r="Z770" s="8">
        <f>+VLOOKUP($B770,NIFTY_METAL!$B$63:$K$1238,10,0)</f>
        <v>5.2064991195774013E-2</v>
      </c>
      <c r="AA770" s="8">
        <f>+VLOOKUP($B770,NIFTY_ENERGY!$B$63:$K$1238,10,0)</f>
        <v>-5.2416494026165661E-2</v>
      </c>
      <c r="AB770" s="8">
        <f>+VLOOKUP($B770,NIFTY_AUTO!$B$63:$K$1238,10,0)</f>
        <v>-3.597664921080701E-2</v>
      </c>
      <c r="AC770" s="8"/>
      <c r="AD770" s="16">
        <f t="shared" si="447"/>
        <v>6.0971941671833167E-2</v>
      </c>
      <c r="AE770" s="8">
        <f t="shared" si="448"/>
        <v>7.6355313525442711E-2</v>
      </c>
      <c r="AF770" s="8">
        <f t="shared" si="449"/>
        <v>6.6465955521076162E-2</v>
      </c>
      <c r="AG770" s="8">
        <f t="shared" si="450"/>
        <v>7.4087309246151312E-2</v>
      </c>
      <c r="AH770" s="8">
        <f t="shared" si="451"/>
        <v>5.4272894445366725E-2</v>
      </c>
      <c r="AI770" s="8">
        <f t="shared" si="452"/>
        <v>0.13221962057813177</v>
      </c>
      <c r="AJ770" s="8">
        <f t="shared" si="453"/>
        <v>8.4203131358725189E-2</v>
      </c>
      <c r="AK770" s="8">
        <f t="shared" si="454"/>
        <v>8.6027920721547912E-2</v>
      </c>
      <c r="AL770" s="9">
        <v>0</v>
      </c>
      <c r="AM770" s="17">
        <f t="shared" si="431"/>
        <v>16.400986627295879</v>
      </c>
      <c r="AN770" s="13">
        <f t="shared" si="432"/>
        <v>13.096665494887731</v>
      </c>
      <c r="AO770" s="13">
        <f t="shared" si="433"/>
        <v>15.045296380082927</v>
      </c>
      <c r="AP770" s="13">
        <f t="shared" si="434"/>
        <v>13.497588320795279</v>
      </c>
      <c r="AQ770" s="13">
        <f t="shared" si="435"/>
        <v>18.425403881980905</v>
      </c>
      <c r="AR770" s="13">
        <f t="shared" si="436"/>
        <v>7.563174025363927</v>
      </c>
      <c r="AS770" s="13">
        <f t="shared" si="437"/>
        <v>11.876042896074306</v>
      </c>
      <c r="AT770" s="13">
        <f t="shared" si="438"/>
        <v>11.624133090892247</v>
      </c>
      <c r="AU770" s="9">
        <v>0</v>
      </c>
      <c r="AV770" s="18">
        <f t="shared" si="455"/>
        <v>2</v>
      </c>
      <c r="AW770" s="18">
        <f t="shared" si="456"/>
        <v>5</v>
      </c>
      <c r="AX770" s="18">
        <f t="shared" si="457"/>
        <v>3</v>
      </c>
      <c r="AY770" s="18">
        <f t="shared" si="458"/>
        <v>4</v>
      </c>
      <c r="AZ770" s="18">
        <f t="shared" si="459"/>
        <v>1</v>
      </c>
      <c r="BA770" s="18">
        <f t="shared" si="460"/>
        <v>8</v>
      </c>
      <c r="BB770" s="18">
        <f t="shared" si="461"/>
        <v>6</v>
      </c>
      <c r="BC770" s="18">
        <f t="shared" si="462"/>
        <v>7</v>
      </c>
      <c r="BD770" s="18">
        <f t="shared" si="463"/>
        <v>9</v>
      </c>
      <c r="BE770" s="8">
        <f t="shared" si="430"/>
        <v>-5.3776672790962696E-3</v>
      </c>
    </row>
    <row r="771" spans="1:57" x14ac:dyDescent="0.25">
      <c r="A771" t="str">
        <f t="shared" si="429"/>
        <v/>
      </c>
      <c r="B771" s="1">
        <v>43872</v>
      </c>
      <c r="C771" s="9">
        <f t="shared" si="439"/>
        <v>0.2508708408113014</v>
      </c>
      <c r="D771" s="9">
        <f t="shared" si="440"/>
        <v>0.25160381225293449</v>
      </c>
      <c r="E771" s="9">
        <f t="shared" si="441"/>
        <v>0.25258073612616661</v>
      </c>
      <c r="F771" s="9">
        <f t="shared" si="442"/>
        <v>0</v>
      </c>
      <c r="G771" s="9">
        <f t="shared" si="443"/>
        <v>0.24494461080959753</v>
      </c>
      <c r="H771" s="9">
        <f t="shared" si="444"/>
        <v>0</v>
      </c>
      <c r="I771" s="9">
        <f t="shared" si="445"/>
        <v>0</v>
      </c>
      <c r="J771" s="9">
        <f t="shared" si="446"/>
        <v>0</v>
      </c>
      <c r="K771" s="9">
        <v>0</v>
      </c>
      <c r="L771" s="8">
        <f>+VLOOKUP($B771,NIFTY_50!$B$3:$I$1238,8,0)</f>
        <v>6.3499979221210978E-3</v>
      </c>
      <c r="M771" s="8">
        <f>+VLOOKUP($B771,NIFTY_BANK!$B$3:$I$41238,8,0)</f>
        <v>7.8063245879100851E-3</v>
      </c>
      <c r="N771" s="8">
        <f>+VLOOKUP($B771,NIFTY_IT!$B$3:$I$1238,8,0)</f>
        <v>1.2384409640973093E-3</v>
      </c>
      <c r="O771" s="8">
        <f>+VLOOKUP($B771,NIFTY_PHARMA!$B$3:$I$1238,8,0)</f>
        <v>7.6743834165531322E-3</v>
      </c>
      <c r="P771" s="8">
        <f>+VLOOKUP($B771,NIFTY_FMCG!$B$3:$I$1238,8,0)</f>
        <v>-3.7309460519614479E-3</v>
      </c>
      <c r="Q771" s="8">
        <f>+VLOOKUP($B771,NIFTY_METAL!$B$3:$I$1238,8,0)</f>
        <v>8.6918483015709924E-3</v>
      </c>
      <c r="R771" s="8">
        <f>+VLOOKUP($B771,NIFTY_ENERGY!$B$3:$I$1238,8,0)</f>
        <v>1.3839805663705018E-2</v>
      </c>
      <c r="S771" s="8">
        <f>+VLOOKUP($B771,NIFTY_AUTO!$B$3:$I$1238,8,0)</f>
        <v>4.051879321421481E-3</v>
      </c>
      <c r="T771" s="8">
        <v>0</v>
      </c>
      <c r="U771" s="8">
        <f>+VLOOKUP($B771,NIFTY_50!$B$63:$K$1238,10,0)</f>
        <v>1.8797593504144006E-2</v>
      </c>
      <c r="V771" s="8">
        <f>+VLOOKUP($B771,NIFTY_BANK!$B$63:$K$1238,10,0)</f>
        <v>9.9541496058672685E-3</v>
      </c>
      <c r="W771" s="8">
        <f>+VLOOKUP($B771,NIFTY_IT!$B$63:$K$1238,10,0)</f>
        <v>7.5647668393782341E-2</v>
      </c>
      <c r="X771" s="8">
        <f>+VLOOKUP($B771,NIFTY_PHARMA!$B$63:$K$1238,10,0)</f>
        <v>6.5003102391720136E-2</v>
      </c>
      <c r="Y771" s="8">
        <f>+VLOOKUP($B771,NIFTY_FMCG!$B$63:$K$1238,10,0)</f>
        <v>-2.4087725912675162E-2</v>
      </c>
      <c r="Z771" s="8">
        <f>+VLOOKUP($B771,NIFTY_METAL!$B$63:$K$1238,10,0)</f>
        <v>4.4139940542988088E-2</v>
      </c>
      <c r="AA771" s="8">
        <f>+VLOOKUP($B771,NIFTY_ENERGY!$B$63:$K$1238,10,0)</f>
        <v>-4.0908003425002559E-2</v>
      </c>
      <c r="AB771" s="8">
        <f>+VLOOKUP($B771,NIFTY_AUTO!$B$63:$K$1238,10,0)</f>
        <v>-2.7909841113437639E-2</v>
      </c>
      <c r="AC771" s="8"/>
      <c r="AD771" s="16">
        <f t="shared" si="447"/>
        <v>6.1261988614623071E-2</v>
      </c>
      <c r="AE771" s="8">
        <f t="shared" si="448"/>
        <v>7.6736048540629848E-2</v>
      </c>
      <c r="AF771" s="8">
        <f t="shared" si="449"/>
        <v>6.6428883842613612E-2</v>
      </c>
      <c r="AG771" s="8">
        <f t="shared" si="450"/>
        <v>7.351180648097215E-2</v>
      </c>
      <c r="AH771" s="8">
        <f t="shared" si="451"/>
        <v>5.4257107946381812E-2</v>
      </c>
      <c r="AI771" s="8">
        <f t="shared" si="452"/>
        <v>0.13154584086615592</v>
      </c>
      <c r="AJ771" s="8">
        <f t="shared" si="453"/>
        <v>8.5419708664580082E-2</v>
      </c>
      <c r="AK771" s="8">
        <f t="shared" si="454"/>
        <v>8.6062514944616739E-2</v>
      </c>
      <c r="AL771" s="9">
        <v>0</v>
      </c>
      <c r="AM771" s="17">
        <f t="shared" si="431"/>
        <v>16.323335605225566</v>
      </c>
      <c r="AN771" s="13">
        <f t="shared" si="432"/>
        <v>13.0316848341562</v>
      </c>
      <c r="AO771" s="13">
        <f t="shared" si="433"/>
        <v>15.053692643237033</v>
      </c>
      <c r="AP771" s="13">
        <f t="shared" si="434"/>
        <v>13.603257053121673</v>
      </c>
      <c r="AQ771" s="13">
        <f t="shared" si="435"/>
        <v>18.430764886846241</v>
      </c>
      <c r="AR771" s="13">
        <f t="shared" si="436"/>
        <v>7.601912712827394</v>
      </c>
      <c r="AS771" s="13">
        <f t="shared" si="437"/>
        <v>11.706900147912322</v>
      </c>
      <c r="AT771" s="13">
        <f t="shared" si="438"/>
        <v>11.61946058215384</v>
      </c>
      <c r="AU771" s="9">
        <v>0</v>
      </c>
      <c r="AV771" s="18">
        <f t="shared" si="455"/>
        <v>2</v>
      </c>
      <c r="AW771" s="18">
        <f t="shared" si="456"/>
        <v>5</v>
      </c>
      <c r="AX771" s="18">
        <f t="shared" si="457"/>
        <v>3</v>
      </c>
      <c r="AY771" s="18">
        <f t="shared" si="458"/>
        <v>4</v>
      </c>
      <c r="AZ771" s="18">
        <f t="shared" si="459"/>
        <v>1</v>
      </c>
      <c r="BA771" s="18">
        <f t="shared" si="460"/>
        <v>8</v>
      </c>
      <c r="BB771" s="18">
        <f t="shared" si="461"/>
        <v>6</v>
      </c>
      <c r="BC771" s="18">
        <f t="shared" si="462"/>
        <v>7</v>
      </c>
      <c r="BD771" s="18">
        <f t="shared" si="463"/>
        <v>9</v>
      </c>
      <c r="BE771" s="8">
        <f t="shared" si="430"/>
        <v>2.9355790952310099E-3</v>
      </c>
    </row>
    <row r="772" spans="1:57" x14ac:dyDescent="0.25">
      <c r="A772" t="str">
        <f t="shared" ref="A772:A835" si="464">+IF(MONTH(B772)&lt;&gt;MONTH(B773),"Y","")</f>
        <v/>
      </c>
      <c r="B772" s="1">
        <v>43873</v>
      </c>
      <c r="C772" s="9">
        <f t="shared" si="439"/>
        <v>0.25044966789683171</v>
      </c>
      <c r="D772" s="9">
        <f t="shared" si="440"/>
        <v>0.25079204851023634</v>
      </c>
      <c r="E772" s="9">
        <f t="shared" si="441"/>
        <v>0.25153346432358009</v>
      </c>
      <c r="F772" s="9">
        <f t="shared" si="442"/>
        <v>0</v>
      </c>
      <c r="G772" s="9">
        <f t="shared" si="443"/>
        <v>0.24722481926935189</v>
      </c>
      <c r="H772" s="9">
        <f t="shared" si="444"/>
        <v>0</v>
      </c>
      <c r="I772" s="9">
        <f t="shared" si="445"/>
        <v>0</v>
      </c>
      <c r="J772" s="9">
        <f t="shared" si="446"/>
        <v>0</v>
      </c>
      <c r="K772" s="9">
        <v>0</v>
      </c>
      <c r="L772" s="8">
        <f>+VLOOKUP($B772,NIFTY_50!$B$3:$I$1238,8,0)</f>
        <v>7.7057127990816099E-3</v>
      </c>
      <c r="M772" s="8">
        <f>+VLOOKUP($B772,NIFTY_BANK!$B$3:$I$41238,8,0)</f>
        <v>6.1436521983604386E-3</v>
      </c>
      <c r="N772" s="8">
        <f>+VLOOKUP($B772,NIFTY_IT!$B$3:$I$1238,8,0)</f>
        <v>5.2150763115186294E-3</v>
      </c>
      <c r="O772" s="8">
        <f>+VLOOKUP($B772,NIFTY_PHARMA!$B$3:$I$1238,8,0)</f>
        <v>-7.1594601574841432E-3</v>
      </c>
      <c r="P772" s="8">
        <f>+VLOOKUP($B772,NIFTY_FMCG!$B$3:$I$1238,8,0)</f>
        <v>1.8796924498307499E-2</v>
      </c>
      <c r="Q772" s="8">
        <f>+VLOOKUP($B772,NIFTY_METAL!$B$3:$I$1238,8,0)</f>
        <v>6.2223060243236095E-3</v>
      </c>
      <c r="R772" s="8">
        <f>+VLOOKUP($B772,NIFTY_ENERGY!$B$3:$I$1238,8,0)</f>
        <v>4.9233758603550726E-5</v>
      </c>
      <c r="S772" s="8">
        <f>+VLOOKUP($B772,NIFTY_AUTO!$B$3:$I$1238,8,0)</f>
        <v>5.24555268359439E-3</v>
      </c>
      <c r="T772" s="8">
        <v>0</v>
      </c>
      <c r="U772" s="8">
        <f>+VLOOKUP($B772,NIFTY_50!$B$63:$K$1238,10,0)</f>
        <v>2.186748854699716E-2</v>
      </c>
      <c r="V772" s="8">
        <f>+VLOOKUP($B772,NIFTY_BANK!$B$63:$K$1238,10,0)</f>
        <v>8.2164152226980036E-3</v>
      </c>
      <c r="W772" s="8">
        <f>+VLOOKUP($B772,NIFTY_IT!$B$63:$K$1238,10,0)</f>
        <v>8.0579032136871565E-2</v>
      </c>
      <c r="X772" s="8">
        <f>+VLOOKUP($B772,NIFTY_PHARMA!$B$63:$K$1238,10,0)</f>
        <v>5.2678167726980307E-2</v>
      </c>
      <c r="Y772" s="8">
        <f>+VLOOKUP($B772,NIFTY_FMCG!$B$63:$K$1238,10,0)</f>
        <v>4.2940695025817099E-4</v>
      </c>
      <c r="Z772" s="8">
        <f>+VLOOKUP($B772,NIFTY_METAL!$B$63:$K$1238,10,0)</f>
        <v>5.9691415635735545E-2</v>
      </c>
      <c r="AA772" s="8">
        <f>+VLOOKUP($B772,NIFTY_ENERGY!$B$63:$K$1238,10,0)</f>
        <v>-5.4624886359757818E-2</v>
      </c>
      <c r="AB772" s="8">
        <f>+VLOOKUP($B772,NIFTY_AUTO!$B$63:$K$1238,10,0)</f>
        <v>-1.6139733009257196E-2</v>
      </c>
      <c r="AC772" s="8"/>
      <c r="AD772" s="16">
        <f t="shared" si="447"/>
        <v>6.1549464625126692E-2</v>
      </c>
      <c r="AE772" s="8">
        <f t="shared" si="448"/>
        <v>7.6581901045892922E-2</v>
      </c>
      <c r="AF772" s="8">
        <f t="shared" si="449"/>
        <v>6.6542832340931835E-2</v>
      </c>
      <c r="AG772" s="8">
        <f t="shared" si="450"/>
        <v>7.3879186257267165E-2</v>
      </c>
      <c r="AH772" s="8">
        <f t="shared" si="451"/>
        <v>5.7163051852911394E-2</v>
      </c>
      <c r="AI772" s="8">
        <f t="shared" si="452"/>
        <v>0.13130622030057423</v>
      </c>
      <c r="AJ772" s="8">
        <f t="shared" si="453"/>
        <v>8.4041512091752923E-2</v>
      </c>
      <c r="AK772" s="8">
        <f t="shared" si="454"/>
        <v>8.5997808395769204E-2</v>
      </c>
      <c r="AL772" s="9">
        <v>0</v>
      </c>
      <c r="AM772" s="17">
        <f t="shared" si="431"/>
        <v>16.247095016838934</v>
      </c>
      <c r="AN772" s="13">
        <f t="shared" si="432"/>
        <v>13.05791559549735</v>
      </c>
      <c r="AO772" s="13">
        <f t="shared" si="433"/>
        <v>15.027914575028991</v>
      </c>
      <c r="AP772" s="13">
        <f t="shared" si="434"/>
        <v>13.535611999267717</v>
      </c>
      <c r="AQ772" s="13">
        <f t="shared" si="435"/>
        <v>17.493817554967869</v>
      </c>
      <c r="AR772" s="13">
        <f t="shared" si="436"/>
        <v>7.6157854343144686</v>
      </c>
      <c r="AS772" s="13">
        <f t="shared" si="437"/>
        <v>11.898881577811723</v>
      </c>
      <c r="AT772" s="13">
        <f t="shared" si="438"/>
        <v>11.62820330720424</v>
      </c>
      <c r="AU772" s="9">
        <v>0</v>
      </c>
      <c r="AV772" s="18">
        <f t="shared" si="455"/>
        <v>2</v>
      </c>
      <c r="AW772" s="18">
        <f t="shared" si="456"/>
        <v>5</v>
      </c>
      <c r="AX772" s="18">
        <f t="shared" si="457"/>
        <v>3</v>
      </c>
      <c r="AY772" s="18">
        <f t="shared" si="458"/>
        <v>4</v>
      </c>
      <c r="AZ772" s="18">
        <f t="shared" si="459"/>
        <v>1</v>
      </c>
      <c r="BA772" s="18">
        <f t="shared" si="460"/>
        <v>8</v>
      </c>
      <c r="BB772" s="18">
        <f t="shared" si="461"/>
        <v>6</v>
      </c>
      <c r="BC772" s="18">
        <f t="shared" si="462"/>
        <v>7</v>
      </c>
      <c r="BD772" s="18">
        <f t="shared" si="463"/>
        <v>9</v>
      </c>
      <c r="BE772" s="8">
        <f t="shared" ref="BE772:BE835" si="465">+SUMPRODUCT(C771:J771,L772:S772)</f>
        <v>9.4003381325924468E-3</v>
      </c>
    </row>
    <row r="773" spans="1:57" x14ac:dyDescent="0.25">
      <c r="A773" t="str">
        <f t="shared" si="464"/>
        <v/>
      </c>
      <c r="B773" s="1">
        <v>43874</v>
      </c>
      <c r="C773" s="9">
        <f t="shared" si="439"/>
        <v>0.24994488196972034</v>
      </c>
      <c r="D773" s="9">
        <f t="shared" si="440"/>
        <v>0.24874045181273866</v>
      </c>
      <c r="E773" s="9">
        <f t="shared" si="441"/>
        <v>0.25362675231321752</v>
      </c>
      <c r="F773" s="9">
        <f t="shared" si="442"/>
        <v>0</v>
      </c>
      <c r="G773" s="9">
        <f t="shared" si="443"/>
        <v>0.24768791390432346</v>
      </c>
      <c r="H773" s="9">
        <f t="shared" si="444"/>
        <v>0</v>
      </c>
      <c r="I773" s="9">
        <f t="shared" si="445"/>
        <v>0</v>
      </c>
      <c r="J773" s="9">
        <f t="shared" si="446"/>
        <v>0</v>
      </c>
      <c r="K773" s="9">
        <v>0</v>
      </c>
      <c r="L773" s="8">
        <f>+VLOOKUP($B773,NIFTY_50!$B$3:$I$1238,8,0)</f>
        <v>-2.1760154738879045E-3</v>
      </c>
      <c r="M773" s="8">
        <f>+VLOOKUP($B773,NIFTY_BANK!$B$3:$I$41238,8,0)</f>
        <v>-8.3399750419936858E-3</v>
      </c>
      <c r="N773" s="8">
        <f>+VLOOKUP($B773,NIFTY_IT!$B$3:$I$1238,8,0)</f>
        <v>8.1599458220715793E-3</v>
      </c>
      <c r="O773" s="8">
        <f>+VLOOKUP($B773,NIFTY_PHARMA!$B$3:$I$1238,8,0)</f>
        <v>8.5480426615691663E-3</v>
      </c>
      <c r="P773" s="8">
        <f>+VLOOKUP($B773,NIFTY_FMCG!$B$3:$I$1238,8,0)</f>
        <v>1.7120496994633694E-3</v>
      </c>
      <c r="Q773" s="8">
        <f>+VLOOKUP($B773,NIFTY_METAL!$B$3:$I$1238,8,0)</f>
        <v>-6.2400449732971097E-3</v>
      </c>
      <c r="R773" s="8">
        <f>+VLOOKUP($B773,NIFTY_ENERGY!$B$3:$I$1238,8,0)</f>
        <v>-2.8193144372530288E-3</v>
      </c>
      <c r="S773" s="8">
        <f>+VLOOKUP($B773,NIFTY_AUTO!$B$3:$I$1238,8,0)</f>
        <v>-2.3822128110111418E-3</v>
      </c>
      <c r="T773" s="8">
        <v>0</v>
      </c>
      <c r="U773" s="8">
        <f>+VLOOKUP($B773,NIFTY_50!$B$63:$K$1238,10,0)</f>
        <v>1.463026393646194E-2</v>
      </c>
      <c r="V773" s="8">
        <f>+VLOOKUP($B773,NIFTY_BANK!$B$63:$K$1238,10,0)</f>
        <v>-3.9420996145608234E-3</v>
      </c>
      <c r="W773" s="8">
        <f>+VLOOKUP($B773,NIFTY_IT!$B$63:$K$1238,10,0)</f>
        <v>8.8425759702320583E-2</v>
      </c>
      <c r="X773" s="8">
        <f>+VLOOKUP($B773,NIFTY_PHARMA!$B$63:$K$1238,10,0)</f>
        <v>2.813409640337472E-2</v>
      </c>
      <c r="Y773" s="8">
        <f>+VLOOKUP($B773,NIFTY_FMCG!$B$63:$K$1238,10,0)</f>
        <v>-1.6098760508019838E-3</v>
      </c>
      <c r="Z773" s="8">
        <f>+VLOOKUP($B773,NIFTY_METAL!$B$63:$K$1238,10,0)</f>
        <v>5.018020515663979E-2</v>
      </c>
      <c r="AA773" s="8">
        <f>+VLOOKUP($B773,NIFTY_ENERGY!$B$63:$K$1238,10,0)</f>
        <v>-7.015498182085278E-2</v>
      </c>
      <c r="AB773" s="8">
        <f>+VLOOKUP($B773,NIFTY_AUTO!$B$63:$K$1238,10,0)</f>
        <v>-2.0893639130112107E-2</v>
      </c>
      <c r="AC773" s="8"/>
      <c r="AD773" s="16">
        <f t="shared" si="447"/>
        <v>6.1427323009521327E-2</v>
      </c>
      <c r="AE773" s="8">
        <f t="shared" si="448"/>
        <v>7.6955716526940082E-2</v>
      </c>
      <c r="AF773" s="8">
        <f t="shared" si="449"/>
        <v>6.6886962844814504E-2</v>
      </c>
      <c r="AG773" s="8">
        <f t="shared" si="450"/>
        <v>6.7082249726473017E-2</v>
      </c>
      <c r="AH773" s="8">
        <f t="shared" si="451"/>
        <v>5.7065681472910169E-2</v>
      </c>
      <c r="AI773" s="8">
        <f t="shared" si="452"/>
        <v>0.13149518009419503</v>
      </c>
      <c r="AJ773" s="8">
        <f t="shared" si="453"/>
        <v>8.2741954040369506E-2</v>
      </c>
      <c r="AK773" s="8">
        <f t="shared" si="454"/>
        <v>8.5981735410748814E-2</v>
      </c>
      <c r="AL773" s="9">
        <v>0</v>
      </c>
      <c r="AM773" s="17">
        <f t="shared" si="431"/>
        <v>16.279400615341785</v>
      </c>
      <c r="AN773" s="13">
        <f t="shared" si="432"/>
        <v>12.99448624651461</v>
      </c>
      <c r="AO773" s="13">
        <f t="shared" si="433"/>
        <v>14.950596610584872</v>
      </c>
      <c r="AP773" s="13">
        <f t="shared" si="434"/>
        <v>14.907073094260952</v>
      </c>
      <c r="AQ773" s="13">
        <f t="shared" si="435"/>
        <v>17.523667012978951</v>
      </c>
      <c r="AR773" s="13">
        <f t="shared" si="436"/>
        <v>7.6048414799969226</v>
      </c>
      <c r="AS773" s="13">
        <f t="shared" si="437"/>
        <v>12.085767270036959</v>
      </c>
      <c r="AT773" s="13">
        <f t="shared" si="438"/>
        <v>11.630377023943939</v>
      </c>
      <c r="AU773" s="9">
        <v>0</v>
      </c>
      <c r="AV773" s="18">
        <f t="shared" si="455"/>
        <v>2</v>
      </c>
      <c r="AW773" s="18">
        <f t="shared" si="456"/>
        <v>5</v>
      </c>
      <c r="AX773" s="18">
        <f t="shared" si="457"/>
        <v>3</v>
      </c>
      <c r="AY773" s="18">
        <f t="shared" si="458"/>
        <v>4</v>
      </c>
      <c r="AZ773" s="18">
        <f t="shared" si="459"/>
        <v>1</v>
      </c>
      <c r="BA773" s="18">
        <f t="shared" si="460"/>
        <v>8</v>
      </c>
      <c r="BB773" s="18">
        <f t="shared" si="461"/>
        <v>6</v>
      </c>
      <c r="BC773" s="18">
        <f t="shared" si="462"/>
        <v>7</v>
      </c>
      <c r="BD773" s="18">
        <f t="shared" si="463"/>
        <v>9</v>
      </c>
      <c r="BE773" s="8">
        <f t="shared" si="465"/>
        <v>-1.6082115923106563E-4</v>
      </c>
    </row>
    <row r="774" spans="1:57" x14ac:dyDescent="0.25">
      <c r="A774" t="str">
        <f t="shared" si="464"/>
        <v/>
      </c>
      <c r="B774" s="1">
        <v>43875</v>
      </c>
      <c r="C774" s="9">
        <f t="shared" si="439"/>
        <v>0.25069386952945127</v>
      </c>
      <c r="D774" s="9">
        <f t="shared" si="440"/>
        <v>0.24757124078781942</v>
      </c>
      <c r="E774" s="9">
        <f t="shared" si="441"/>
        <v>0.25520736111471259</v>
      </c>
      <c r="F774" s="9">
        <f t="shared" si="442"/>
        <v>0</v>
      </c>
      <c r="G774" s="9">
        <f t="shared" si="443"/>
        <v>0.24652752856801671</v>
      </c>
      <c r="H774" s="9">
        <f t="shared" si="444"/>
        <v>0</v>
      </c>
      <c r="I774" s="9">
        <f t="shared" si="445"/>
        <v>0</v>
      </c>
      <c r="J774" s="9">
        <f t="shared" si="446"/>
        <v>0</v>
      </c>
      <c r="K774" s="9">
        <v>0</v>
      </c>
      <c r="L774" s="8">
        <f>+VLOOKUP($B774,NIFTY_50!$B$3:$I$1238,8,0)</f>
        <v>-5.0268385538803084E-3</v>
      </c>
      <c r="M774" s="8">
        <f>+VLOOKUP($B774,NIFTY_BANK!$B$3:$I$41238,8,0)</f>
        <v>-1.2662402638467518E-2</v>
      </c>
      <c r="N774" s="8">
        <f>+VLOOKUP($B774,NIFTY_IT!$B$3:$I$1238,8,0)</f>
        <v>-1.8173039725785101E-3</v>
      </c>
      <c r="O774" s="8">
        <f>+VLOOKUP($B774,NIFTY_PHARMA!$B$3:$I$1238,8,0)</f>
        <v>-4.7986371870389899E-4</v>
      </c>
      <c r="P774" s="8">
        <f>+VLOOKUP($B774,NIFTY_FMCG!$B$3:$I$1238,8,0)</f>
        <v>-1.2646870258027687E-2</v>
      </c>
      <c r="Q774" s="8">
        <f>+VLOOKUP($B774,NIFTY_METAL!$B$3:$I$1238,8,0)</f>
        <v>-1.4330969980389185E-2</v>
      </c>
      <c r="R774" s="8">
        <f>+VLOOKUP($B774,NIFTY_ENERGY!$B$3:$I$1238,8,0)</f>
        <v>-9.3869826380318377E-3</v>
      </c>
      <c r="S774" s="8">
        <f>+VLOOKUP($B774,NIFTY_AUTO!$B$3:$I$1238,8,0)</f>
        <v>-1.1712087328961784E-2</v>
      </c>
      <c r="T774" s="8">
        <v>0</v>
      </c>
      <c r="U774" s="8">
        <f>+VLOOKUP($B774,NIFTY_50!$B$63:$K$1238,10,0)</f>
        <v>1.2119414458072963E-2</v>
      </c>
      <c r="V774" s="8">
        <f>+VLOOKUP($B774,NIFTY_BANK!$B$63:$K$1238,10,0)</f>
        <v>-1.6432243113625455E-2</v>
      </c>
      <c r="W774" s="8">
        <f>+VLOOKUP($B774,NIFTY_IT!$B$63:$K$1238,10,0)</f>
        <v>8.8191735947874772E-2</v>
      </c>
      <c r="X774" s="8">
        <f>+VLOOKUP($B774,NIFTY_PHARMA!$B$63:$K$1238,10,0)</f>
        <v>3.2563096809374414E-2</v>
      </c>
      <c r="Y774" s="8">
        <f>+VLOOKUP($B774,NIFTY_FMCG!$B$63:$K$1238,10,0)</f>
        <v>-7.9887225650661087E-3</v>
      </c>
      <c r="Z774" s="8">
        <f>+VLOOKUP($B774,NIFTY_METAL!$B$63:$K$1238,10,0)</f>
        <v>5.7944908822279428E-2</v>
      </c>
      <c r="AA774" s="8">
        <f>+VLOOKUP($B774,NIFTY_ENERGY!$B$63:$K$1238,10,0)</f>
        <v>-6.4455765925106268E-2</v>
      </c>
      <c r="AB774" s="8">
        <f>+VLOOKUP($B774,NIFTY_AUTO!$B$63:$K$1238,10,0)</f>
        <v>-2.27930015678387E-2</v>
      </c>
      <c r="AC774" s="8"/>
      <c r="AD774" s="16">
        <f t="shared" si="447"/>
        <v>6.1589509532053215E-2</v>
      </c>
      <c r="AE774" s="8">
        <f t="shared" si="448"/>
        <v>7.7971301867659201E-2</v>
      </c>
      <c r="AF774" s="8">
        <f t="shared" si="449"/>
        <v>6.6897023094990349E-2</v>
      </c>
      <c r="AG774" s="8">
        <f t="shared" si="450"/>
        <v>6.6880598056620388E-2</v>
      </c>
      <c r="AH774" s="8">
        <f t="shared" si="451"/>
        <v>5.8104335344243557E-2</v>
      </c>
      <c r="AI774" s="8">
        <f t="shared" si="452"/>
        <v>0.1304483397619553</v>
      </c>
      <c r="AJ774" s="8">
        <f t="shared" si="453"/>
        <v>8.1912306366585572E-2</v>
      </c>
      <c r="AK774" s="8">
        <f t="shared" si="454"/>
        <v>8.6214892436631455E-2</v>
      </c>
      <c r="AL774" s="9">
        <v>0</v>
      </c>
      <c r="AM774" s="17">
        <f t="shared" si="431"/>
        <v>16.236531311871659</v>
      </c>
      <c r="AN774" s="13">
        <f t="shared" si="432"/>
        <v>12.825231540923882</v>
      </c>
      <c r="AO774" s="13">
        <f t="shared" si="433"/>
        <v>14.948348278219363</v>
      </c>
      <c r="AP774" s="13">
        <f t="shared" si="434"/>
        <v>14.952019405589208</v>
      </c>
      <c r="AQ774" s="13">
        <f t="shared" si="435"/>
        <v>17.21041974020396</v>
      </c>
      <c r="AR774" s="13">
        <f t="shared" si="436"/>
        <v>7.66586989014057</v>
      </c>
      <c r="AS774" s="13">
        <f t="shared" si="437"/>
        <v>12.208177798396472</v>
      </c>
      <c r="AT774" s="13">
        <f t="shared" si="438"/>
        <v>11.598924173512215</v>
      </c>
      <c r="AU774" s="9">
        <v>0</v>
      </c>
      <c r="AV774" s="18">
        <f t="shared" si="455"/>
        <v>2</v>
      </c>
      <c r="AW774" s="18">
        <f t="shared" si="456"/>
        <v>5</v>
      </c>
      <c r="AX774" s="18">
        <f t="shared" si="457"/>
        <v>4</v>
      </c>
      <c r="AY774" s="18">
        <f t="shared" si="458"/>
        <v>3</v>
      </c>
      <c r="AZ774" s="18">
        <f t="shared" si="459"/>
        <v>1</v>
      </c>
      <c r="BA774" s="18">
        <f t="shared" si="460"/>
        <v>8</v>
      </c>
      <c r="BB774" s="18">
        <f t="shared" si="461"/>
        <v>6</v>
      </c>
      <c r="BC774" s="18">
        <f t="shared" si="462"/>
        <v>7</v>
      </c>
      <c r="BD774" s="18">
        <f t="shared" si="463"/>
        <v>9</v>
      </c>
      <c r="BE774" s="8">
        <f t="shared" si="465"/>
        <v>-7.9994781385181839E-3</v>
      </c>
    </row>
    <row r="775" spans="1:57" x14ac:dyDescent="0.25">
      <c r="A775" t="str">
        <f t="shared" si="464"/>
        <v/>
      </c>
      <c r="B775" s="1">
        <v>43878</v>
      </c>
      <c r="C775" s="9">
        <f t="shared" si="439"/>
        <v>0.25026844585285257</v>
      </c>
      <c r="D775" s="9">
        <f t="shared" si="440"/>
        <v>0.24729703378508702</v>
      </c>
      <c r="E775" s="9">
        <f t="shared" si="441"/>
        <v>0.25628130937425453</v>
      </c>
      <c r="F775" s="9">
        <f t="shared" si="442"/>
        <v>0</v>
      </c>
      <c r="G775" s="9">
        <f t="shared" si="443"/>
        <v>0.24615321098780579</v>
      </c>
      <c r="H775" s="9">
        <f t="shared" si="444"/>
        <v>0</v>
      </c>
      <c r="I775" s="9">
        <f t="shared" si="445"/>
        <v>0</v>
      </c>
      <c r="J775" s="9">
        <f t="shared" si="446"/>
        <v>0</v>
      </c>
      <c r="K775" s="9">
        <v>0</v>
      </c>
      <c r="L775" s="8">
        <f>+VLOOKUP($B775,NIFTY_50!$B$3:$I$1238,8,0)</f>
        <v>-5.5847013030970727E-3</v>
      </c>
      <c r="M775" s="8">
        <f>+VLOOKUP($B775,NIFTY_BANK!$B$3:$I$41238,8,0)</f>
        <v>-4.9976001141567306E-3</v>
      </c>
      <c r="N775" s="8">
        <f>+VLOOKUP($B775,NIFTY_IT!$B$3:$I$1238,8,0)</f>
        <v>2.9742680746869254E-4</v>
      </c>
      <c r="O775" s="8">
        <f>+VLOOKUP($B775,NIFTY_PHARMA!$B$3:$I$1238,8,0)</f>
        <v>-1.5224984096882999E-2</v>
      </c>
      <c r="P775" s="8">
        <f>+VLOOKUP($B775,NIFTY_FMCG!$B$3:$I$1238,8,0)</f>
        <v>-5.4067723331185924E-3</v>
      </c>
      <c r="Q775" s="8">
        <f>+VLOOKUP($B775,NIFTY_METAL!$B$3:$I$1238,8,0)</f>
        <v>-1.0292317110498939E-2</v>
      </c>
      <c r="R775" s="8">
        <f>+VLOOKUP($B775,NIFTY_ENERGY!$B$3:$I$1238,8,0)</f>
        <v>-1.5429955510959381E-2</v>
      </c>
      <c r="S775" s="8">
        <f>+VLOOKUP($B775,NIFTY_AUTO!$B$3:$I$1238,8,0)</f>
        <v>-6.6093937766867894E-3</v>
      </c>
      <c r="T775" s="8">
        <v>0</v>
      </c>
      <c r="U775" s="8">
        <f>+VLOOKUP($B775,NIFTY_50!$B$63:$K$1238,10,0)</f>
        <v>1.102867118780626E-2</v>
      </c>
      <c r="V775" s="8">
        <f>+VLOOKUP($B775,NIFTY_BANK!$B$63:$K$1238,10,0)</f>
        <v>-1.3850139497807779E-2</v>
      </c>
      <c r="W775" s="8">
        <f>+VLOOKUP($B775,NIFTY_IT!$B$63:$K$1238,10,0)</f>
        <v>0.11015010769610378</v>
      </c>
      <c r="X775" s="8">
        <f>+VLOOKUP($B775,NIFTY_PHARMA!$B$63:$K$1238,10,0)</f>
        <v>1.7062921459738201E-2</v>
      </c>
      <c r="Y775" s="8">
        <f>+VLOOKUP($B775,NIFTY_FMCG!$B$63:$K$1238,10,0)</f>
        <v>-1.0662278416919468E-2</v>
      </c>
      <c r="Z775" s="8">
        <f>+VLOOKUP($B775,NIFTY_METAL!$B$63:$K$1238,10,0)</f>
        <v>2.6000039664438646E-2</v>
      </c>
      <c r="AA775" s="8">
        <f>+VLOOKUP($B775,NIFTY_ENERGY!$B$63:$K$1238,10,0)</f>
        <v>-8.6610896716682872E-2</v>
      </c>
      <c r="AB775" s="8">
        <f>+VLOOKUP($B775,NIFTY_AUTO!$B$63:$K$1238,10,0)</f>
        <v>-3.2912463674322767E-2</v>
      </c>
      <c r="AC775" s="8"/>
      <c r="AD775" s="16">
        <f t="shared" si="447"/>
        <v>6.1681206410185166E-2</v>
      </c>
      <c r="AE775" s="8">
        <f t="shared" si="448"/>
        <v>7.7767212876919914E-2</v>
      </c>
      <c r="AF775" s="8">
        <f t="shared" si="449"/>
        <v>6.350418802820143E-2</v>
      </c>
      <c r="AG775" s="8">
        <f t="shared" si="450"/>
        <v>6.8687317227529202E-2</v>
      </c>
      <c r="AH775" s="8">
        <f t="shared" si="451"/>
        <v>5.8286170014260542E-2</v>
      </c>
      <c r="AI775" s="8">
        <f t="shared" si="452"/>
        <v>0.12942762796539045</v>
      </c>
      <c r="AJ775" s="8">
        <f t="shared" si="453"/>
        <v>8.2567662886562115E-2</v>
      </c>
      <c r="AK775" s="8">
        <f t="shared" si="454"/>
        <v>8.63365787768966E-2</v>
      </c>
      <c r="AL775" s="9">
        <v>0</v>
      </c>
      <c r="AM775" s="17">
        <f t="shared" si="431"/>
        <v>16.212393664123827</v>
      </c>
      <c r="AN775" s="13">
        <f t="shared" si="432"/>
        <v>12.858889537197035</v>
      </c>
      <c r="AO775" s="13">
        <f t="shared" si="433"/>
        <v>15.746992931488428</v>
      </c>
      <c r="AP775" s="13">
        <f t="shared" si="434"/>
        <v>14.558728457649091</v>
      </c>
      <c r="AQ775" s="13">
        <f t="shared" si="435"/>
        <v>17.156728598831176</v>
      </c>
      <c r="AR775" s="13">
        <f t="shared" si="436"/>
        <v>7.7263256363425326</v>
      </c>
      <c r="AS775" s="13">
        <f t="shared" si="437"/>
        <v>12.111278980657087</v>
      </c>
      <c r="AT775" s="13">
        <f t="shared" si="438"/>
        <v>11.582576170687886</v>
      </c>
      <c r="AU775" s="9">
        <v>0</v>
      </c>
      <c r="AV775" s="18">
        <f t="shared" si="455"/>
        <v>2</v>
      </c>
      <c r="AW775" s="18">
        <f t="shared" si="456"/>
        <v>5</v>
      </c>
      <c r="AX775" s="18">
        <f t="shared" si="457"/>
        <v>3</v>
      </c>
      <c r="AY775" s="18">
        <f t="shared" si="458"/>
        <v>4</v>
      </c>
      <c r="AZ775" s="18">
        <f t="shared" si="459"/>
        <v>1</v>
      </c>
      <c r="BA775" s="18">
        <f t="shared" si="460"/>
        <v>8</v>
      </c>
      <c r="BB775" s="18">
        <f t="shared" si="461"/>
        <v>6</v>
      </c>
      <c r="BC775" s="18">
        <f t="shared" si="462"/>
        <v>7</v>
      </c>
      <c r="BD775" s="18">
        <f t="shared" si="463"/>
        <v>9</v>
      </c>
      <c r="BE775" s="8">
        <f t="shared" si="465"/>
        <v>-3.8943251512175013E-3</v>
      </c>
    </row>
    <row r="776" spans="1:57" x14ac:dyDescent="0.25">
      <c r="A776" t="str">
        <f t="shared" si="464"/>
        <v/>
      </c>
      <c r="B776" s="1">
        <v>43879</v>
      </c>
      <c r="C776" s="9">
        <f t="shared" si="439"/>
        <v>0.24952967338019755</v>
      </c>
      <c r="D776" s="9">
        <f t="shared" si="440"/>
        <v>0.24670874387915911</v>
      </c>
      <c r="E776" s="9">
        <f t="shared" si="441"/>
        <v>0.25821835835379403</v>
      </c>
      <c r="F776" s="9">
        <f t="shared" si="442"/>
        <v>0</v>
      </c>
      <c r="G776" s="9">
        <f t="shared" si="443"/>
        <v>0.24554322438684933</v>
      </c>
      <c r="H776" s="9">
        <f t="shared" si="444"/>
        <v>0</v>
      </c>
      <c r="I776" s="9">
        <f t="shared" si="445"/>
        <v>0</v>
      </c>
      <c r="J776" s="9">
        <f t="shared" si="446"/>
        <v>0</v>
      </c>
      <c r="K776" s="9">
        <v>0</v>
      </c>
      <c r="L776" s="8">
        <f>+VLOOKUP($B776,NIFTY_50!$B$3:$I$1238,8,0)</f>
        <v>-4.4247787610618428E-3</v>
      </c>
      <c r="M776" s="8">
        <f>+VLOOKUP($B776,NIFTY_BANK!$B$3:$I$41238,8,0)</f>
        <v>-3.8525848497590331E-3</v>
      </c>
      <c r="N776" s="8">
        <f>+VLOOKUP($B776,NIFTY_IT!$B$3:$I$1238,8,0)</f>
        <v>6.0699075547974157E-3</v>
      </c>
      <c r="O776" s="8">
        <f>+VLOOKUP($B776,NIFTY_PHARMA!$B$3:$I$1238,8,0)</f>
        <v>-7.9830831764149401E-4</v>
      </c>
      <c r="P776" s="8">
        <f>+VLOOKUP($B776,NIFTY_FMCG!$B$3:$I$1238,8,0)</f>
        <v>-3.9516355243668366E-3</v>
      </c>
      <c r="Q776" s="8">
        <f>+VLOOKUP($B776,NIFTY_METAL!$B$3:$I$1238,8,0)</f>
        <v>-1.1849074109869573E-2</v>
      </c>
      <c r="R776" s="8">
        <f>+VLOOKUP($B776,NIFTY_ENERGY!$B$3:$I$1238,8,0)</f>
        <v>-1.7953018435590273E-3</v>
      </c>
      <c r="S776" s="8">
        <f>+VLOOKUP($B776,NIFTY_AUTO!$B$3:$I$1238,8,0)</f>
        <v>-1.0063702464448876E-2</v>
      </c>
      <c r="T776" s="8">
        <v>0</v>
      </c>
      <c r="U776" s="8">
        <f>+VLOOKUP($B776,NIFTY_50!$B$63:$K$1238,10,0)</f>
        <v>-6.7294751009421283E-3</v>
      </c>
      <c r="V776" s="8">
        <f>+VLOOKUP($B776,NIFTY_BANK!$B$63:$K$1238,10,0)</f>
        <v>-3.1480642288763794E-2</v>
      </c>
      <c r="W776" s="8">
        <f>+VLOOKUP($B776,NIFTY_IT!$B$63:$K$1238,10,0)</f>
        <v>0.1091446697482219</v>
      </c>
      <c r="X776" s="8">
        <f>+VLOOKUP($B776,NIFTY_PHARMA!$B$63:$K$1238,10,0)</f>
        <v>-1.6135808708465094E-3</v>
      </c>
      <c r="Y776" s="8">
        <f>+VLOOKUP($B776,NIFTY_FMCG!$B$63:$K$1238,10,0)</f>
        <v>-2.3322696039323687E-2</v>
      </c>
      <c r="Z776" s="8">
        <f>+VLOOKUP($B776,NIFTY_METAL!$B$63:$K$1238,10,0)</f>
        <v>-1.765949269792455E-2</v>
      </c>
      <c r="AA776" s="8">
        <f>+VLOOKUP($B776,NIFTY_ENERGY!$B$63:$K$1238,10,0)</f>
        <v>-9.1200408011527512E-2</v>
      </c>
      <c r="AB776" s="8">
        <f>+VLOOKUP($B776,NIFTY_AUTO!$B$63:$K$1238,10,0)</f>
        <v>-5.9017095324016E-2</v>
      </c>
      <c r="AC776" s="8"/>
      <c r="AD776" s="16">
        <f t="shared" si="447"/>
        <v>6.0395284691572342E-2</v>
      </c>
      <c r="AE776" s="8">
        <f t="shared" si="448"/>
        <v>7.6464119036678005E-2</v>
      </c>
      <c r="AF776" s="8">
        <f t="shared" si="449"/>
        <v>6.3435419199110443E-2</v>
      </c>
      <c r="AG776" s="8">
        <f t="shared" si="450"/>
        <v>6.6366392826842452E-2</v>
      </c>
      <c r="AH776" s="8">
        <f t="shared" si="451"/>
        <v>5.7672027721492013E-2</v>
      </c>
      <c r="AI776" s="8">
        <f t="shared" si="452"/>
        <v>0.12601962441991418</v>
      </c>
      <c r="AJ776" s="8">
        <f t="shared" si="453"/>
        <v>8.2433568451277653E-2</v>
      </c>
      <c r="AK776" s="8">
        <f t="shared" si="454"/>
        <v>8.4931922986353228E-2</v>
      </c>
      <c r="AL776" s="9">
        <v>0</v>
      </c>
      <c r="AM776" s="17">
        <f t="shared" si="431"/>
        <v>16.557584008533397</v>
      </c>
      <c r="AN776" s="13">
        <f t="shared" si="432"/>
        <v>13.078029441761096</v>
      </c>
      <c r="AO776" s="13">
        <f t="shared" si="433"/>
        <v>15.764063871970487</v>
      </c>
      <c r="AP776" s="13">
        <f t="shared" si="434"/>
        <v>15.067867295562001</v>
      </c>
      <c r="AQ776" s="13">
        <f t="shared" si="435"/>
        <v>17.339428480461436</v>
      </c>
      <c r="AR776" s="13">
        <f t="shared" si="436"/>
        <v>7.9352720229340372</v>
      </c>
      <c r="AS776" s="13">
        <f t="shared" si="437"/>
        <v>12.130980361368801</v>
      </c>
      <c r="AT776" s="13">
        <f t="shared" si="438"/>
        <v>11.774135858912308</v>
      </c>
      <c r="AU776" s="9">
        <v>0</v>
      </c>
      <c r="AV776" s="18">
        <f t="shared" si="455"/>
        <v>2</v>
      </c>
      <c r="AW776" s="18">
        <f t="shared" si="456"/>
        <v>5</v>
      </c>
      <c r="AX776" s="18">
        <f t="shared" si="457"/>
        <v>3</v>
      </c>
      <c r="AY776" s="18">
        <f t="shared" si="458"/>
        <v>4</v>
      </c>
      <c r="AZ776" s="18">
        <f t="shared" si="459"/>
        <v>1</v>
      </c>
      <c r="BA776" s="18">
        <f t="shared" si="460"/>
        <v>8</v>
      </c>
      <c r="BB776" s="18">
        <f t="shared" si="461"/>
        <v>6</v>
      </c>
      <c r="BC776" s="18">
        <f t="shared" si="462"/>
        <v>7</v>
      </c>
      <c r="BD776" s="18">
        <f t="shared" si="463"/>
        <v>9</v>
      </c>
      <c r="BE776" s="8">
        <f t="shared" si="465"/>
        <v>-1.4772192265766486E-3</v>
      </c>
    </row>
    <row r="777" spans="1:57" x14ac:dyDescent="0.25">
      <c r="A777" t="str">
        <f t="shared" si="464"/>
        <v/>
      </c>
      <c r="B777" s="1">
        <v>43880</v>
      </c>
      <c r="C777" s="9">
        <f t="shared" si="439"/>
        <v>0.25000428324300017</v>
      </c>
      <c r="D777" s="9">
        <f t="shared" si="440"/>
        <v>0.24666395025246562</v>
      </c>
      <c r="E777" s="9">
        <f t="shared" si="441"/>
        <v>0.25622618606815395</v>
      </c>
      <c r="F777" s="9">
        <f t="shared" si="442"/>
        <v>0</v>
      </c>
      <c r="G777" s="9">
        <f t="shared" si="443"/>
        <v>0.2471055804363804</v>
      </c>
      <c r="H777" s="9">
        <f t="shared" si="444"/>
        <v>0</v>
      </c>
      <c r="I777" s="9">
        <f t="shared" si="445"/>
        <v>0</v>
      </c>
      <c r="J777" s="9">
        <f t="shared" si="446"/>
        <v>0</v>
      </c>
      <c r="K777" s="9">
        <v>0</v>
      </c>
      <c r="L777" s="8">
        <f>+VLOOKUP($B777,NIFTY_50!$B$3:$I$1238,8,0)</f>
        <v>1.1123618928496892E-2</v>
      </c>
      <c r="M777" s="8">
        <f>+VLOOKUP($B777,NIFTY_BANK!$B$3:$I$41238,8,0)</f>
        <v>9.0208588957054747E-3</v>
      </c>
      <c r="N777" s="8">
        <f>+VLOOKUP($B777,NIFTY_IT!$B$3:$I$1238,8,0)</f>
        <v>1.4180162698709253E-3</v>
      </c>
      <c r="O777" s="8">
        <f>+VLOOKUP($B777,NIFTY_PHARMA!$B$3:$I$1238,8,0)</f>
        <v>2.1998463096007725E-2</v>
      </c>
      <c r="P777" s="8">
        <f>+VLOOKUP($B777,NIFTY_FMCG!$B$3:$I$1238,8,0)</f>
        <v>1.5625514647273242E-2</v>
      </c>
      <c r="Q777" s="8">
        <f>+VLOOKUP($B777,NIFTY_METAL!$B$3:$I$1238,8,0)</f>
        <v>1.3693002875530658E-2</v>
      </c>
      <c r="R777" s="8">
        <f>+VLOOKUP($B777,NIFTY_ENERGY!$B$3:$I$1238,8,0)</f>
        <v>1.8076586307501419E-2</v>
      </c>
      <c r="S777" s="8">
        <f>+VLOOKUP($B777,NIFTY_AUTO!$B$3:$I$1238,8,0)</f>
        <v>-6.4350064350060521E-4</v>
      </c>
      <c r="T777" s="8">
        <v>0</v>
      </c>
      <c r="U777" s="8">
        <f>+VLOOKUP($B777,NIFTY_50!$B$63:$K$1238,10,0)</f>
        <v>7.3269810678118219E-3</v>
      </c>
      <c r="V777" s="8">
        <f>+VLOOKUP($B777,NIFTY_BANK!$B$63:$K$1238,10,0)</f>
        <v>-2.7748921365707835E-2</v>
      </c>
      <c r="W777" s="8">
        <f>+VLOOKUP($B777,NIFTY_IT!$B$63:$K$1238,10,0)</f>
        <v>0.12400022784920406</v>
      </c>
      <c r="X777" s="8">
        <f>+VLOOKUP($B777,NIFTY_PHARMA!$B$63:$K$1238,10,0)</f>
        <v>2.4554130975745325E-2</v>
      </c>
      <c r="Y777" s="8">
        <f>+VLOOKUP($B777,NIFTY_FMCG!$B$63:$K$1238,10,0)</f>
        <v>-7.0953958013675322E-3</v>
      </c>
      <c r="Z777" s="8">
        <f>+VLOOKUP($B777,NIFTY_METAL!$B$63:$K$1238,10,0)</f>
        <v>4.0689000406890496E-3</v>
      </c>
      <c r="AA777" s="8">
        <f>+VLOOKUP($B777,NIFTY_ENERGY!$B$63:$K$1238,10,0)</f>
        <v>-6.9167071071120523E-2</v>
      </c>
      <c r="AB777" s="8">
        <f>+VLOOKUP($B777,NIFTY_AUTO!$B$63:$K$1238,10,0)</f>
        <v>-5.0932727564537705E-2</v>
      </c>
      <c r="AC777" s="8"/>
      <c r="AD777" s="16">
        <f t="shared" si="447"/>
        <v>6.1330456450682518E-2</v>
      </c>
      <c r="AE777" s="8">
        <f t="shared" si="448"/>
        <v>7.6844502722125882E-2</v>
      </c>
      <c r="AF777" s="8">
        <f t="shared" si="449"/>
        <v>6.1948999876391964E-2</v>
      </c>
      <c r="AG777" s="8">
        <f t="shared" si="450"/>
        <v>6.9713084757628288E-2</v>
      </c>
      <c r="AH777" s="8">
        <f t="shared" si="451"/>
        <v>5.9805439905024176E-2</v>
      </c>
      <c r="AI777" s="8">
        <f t="shared" si="452"/>
        <v>0.12648984899619517</v>
      </c>
      <c r="AJ777" s="8">
        <f t="shared" si="453"/>
        <v>8.4552253687937715E-2</v>
      </c>
      <c r="AK777" s="8">
        <f t="shared" si="454"/>
        <v>8.4526810143237804E-2</v>
      </c>
      <c r="AL777" s="9">
        <v>0</v>
      </c>
      <c r="AM777" s="17">
        <f t="shared" si="431"/>
        <v>16.30511262873328</v>
      </c>
      <c r="AN777" s="13">
        <f t="shared" si="432"/>
        <v>13.013292617899516</v>
      </c>
      <c r="AO777" s="13">
        <f t="shared" si="433"/>
        <v>16.142310642549827</v>
      </c>
      <c r="AP777" s="13">
        <f t="shared" si="434"/>
        <v>14.344509405611634</v>
      </c>
      <c r="AQ777" s="13">
        <f t="shared" si="435"/>
        <v>16.720886955903676</v>
      </c>
      <c r="AR777" s="13">
        <f t="shared" si="436"/>
        <v>7.9057727393609278</v>
      </c>
      <c r="AS777" s="13">
        <f t="shared" si="437"/>
        <v>11.827005861851566</v>
      </c>
      <c r="AT777" s="13">
        <f t="shared" si="438"/>
        <v>11.830565927016714</v>
      </c>
      <c r="AU777" s="9">
        <v>0</v>
      </c>
      <c r="AV777" s="18">
        <f t="shared" si="455"/>
        <v>2</v>
      </c>
      <c r="AW777" s="18">
        <f t="shared" si="456"/>
        <v>5</v>
      </c>
      <c r="AX777" s="18">
        <f t="shared" si="457"/>
        <v>3</v>
      </c>
      <c r="AY777" s="18">
        <f t="shared" si="458"/>
        <v>4</v>
      </c>
      <c r="AZ777" s="18">
        <f t="shared" si="459"/>
        <v>1</v>
      </c>
      <c r="BA777" s="18">
        <f t="shared" si="460"/>
        <v>8</v>
      </c>
      <c r="BB777" s="18">
        <f t="shared" si="461"/>
        <v>7</v>
      </c>
      <c r="BC777" s="18">
        <f t="shared" si="462"/>
        <v>6</v>
      </c>
      <c r="BD777" s="18">
        <f t="shared" si="463"/>
        <v>9</v>
      </c>
      <c r="BE777" s="8">
        <f t="shared" si="465"/>
        <v>9.2040948474247028E-3</v>
      </c>
    </row>
    <row r="778" spans="1:57" x14ac:dyDescent="0.25">
      <c r="A778" t="str">
        <f t="shared" si="464"/>
        <v/>
      </c>
      <c r="B778" s="1">
        <v>43881</v>
      </c>
      <c r="C778" s="9">
        <f t="shared" si="439"/>
        <v>0.24996661190191086</v>
      </c>
      <c r="D778" s="9">
        <f t="shared" si="440"/>
        <v>0.24838651741891096</v>
      </c>
      <c r="E778" s="9">
        <f t="shared" si="441"/>
        <v>0.25525563813286622</v>
      </c>
      <c r="F778" s="9">
        <f t="shared" si="442"/>
        <v>0</v>
      </c>
      <c r="G778" s="9">
        <f t="shared" si="443"/>
        <v>0.24639123254631201</v>
      </c>
      <c r="H778" s="9">
        <f t="shared" si="444"/>
        <v>0</v>
      </c>
      <c r="I778" s="9">
        <f t="shared" si="445"/>
        <v>0</v>
      </c>
      <c r="J778" s="9">
        <f t="shared" si="446"/>
        <v>0</v>
      </c>
      <c r="K778" s="9">
        <v>0</v>
      </c>
      <c r="L778" s="8">
        <f>+VLOOKUP($B778,NIFTY_50!$B$3:$I$1238,8,0)</f>
        <v>-3.7151881509825957E-3</v>
      </c>
      <c r="M778" s="8">
        <f>+VLOOKUP($B778,NIFTY_BANK!$B$3:$I$41238,8,0)</f>
        <v>3.393518428442599E-3</v>
      </c>
      <c r="N778" s="8">
        <f>+VLOOKUP($B778,NIFTY_IT!$B$3:$I$1238,8,0)</f>
        <v>-7.3393948427484812E-3</v>
      </c>
      <c r="O778" s="8">
        <f>+VLOOKUP($B778,NIFTY_PHARMA!$B$3:$I$1238,8,0)</f>
        <v>-1.7067188628239194E-3</v>
      </c>
      <c r="P778" s="8">
        <f>+VLOOKUP($B778,NIFTY_FMCG!$B$3:$I$1238,8,0)</f>
        <v>-6.4455975352684103E-3</v>
      </c>
      <c r="Q778" s="8">
        <f>+VLOOKUP($B778,NIFTY_METAL!$B$3:$I$1238,8,0)</f>
        <v>8.1820111537793672E-3</v>
      </c>
      <c r="R778" s="8">
        <f>+VLOOKUP($B778,NIFTY_ENERGY!$B$3:$I$1238,8,0)</f>
        <v>-4.6190526791169972E-3</v>
      </c>
      <c r="S778" s="8">
        <f>+VLOOKUP($B778,NIFTY_AUTO!$B$3:$I$1238,8,0)</f>
        <v>1.37238450181143E-3</v>
      </c>
      <c r="T778" s="8">
        <v>0</v>
      </c>
      <c r="U778" s="8">
        <f>+VLOOKUP($B778,NIFTY_50!$B$63:$K$1238,10,0)</f>
        <v>-1.6404009685390131E-3</v>
      </c>
      <c r="V778" s="8">
        <f>+VLOOKUP($B778,NIFTY_BANK!$B$63:$K$1238,10,0)</f>
        <v>-2.9272853044379876E-2</v>
      </c>
      <c r="W778" s="8">
        <f>+VLOOKUP($B778,NIFTY_IT!$B$63:$K$1238,10,0)</f>
        <v>0.10832337581504659</v>
      </c>
      <c r="X778" s="8">
        <f>+VLOOKUP($B778,NIFTY_PHARMA!$B$63:$K$1238,10,0)</f>
        <v>1.4340112295509355E-2</v>
      </c>
      <c r="Y778" s="8">
        <f>+VLOOKUP($B778,NIFTY_FMCG!$B$63:$K$1238,10,0)</f>
        <v>-1.8759238292291203E-2</v>
      </c>
      <c r="Z778" s="8">
        <f>+VLOOKUP($B778,NIFTY_METAL!$B$63:$K$1238,10,0)</f>
        <v>3.6114259369537383E-3</v>
      </c>
      <c r="AA778" s="8">
        <f>+VLOOKUP($B778,NIFTY_ENERGY!$B$63:$K$1238,10,0)</f>
        <v>-7.8921573146261803E-2</v>
      </c>
      <c r="AB778" s="8">
        <f>+VLOOKUP($B778,NIFTY_AUTO!$B$63:$K$1238,10,0)</f>
        <v>-6.1557873178224698E-2</v>
      </c>
      <c r="AC778" s="8"/>
      <c r="AD778" s="16">
        <f t="shared" si="447"/>
        <v>6.1230869584388732E-2</v>
      </c>
      <c r="AE778" s="8">
        <f t="shared" si="448"/>
        <v>7.6750013341335049E-2</v>
      </c>
      <c r="AF778" s="8">
        <f t="shared" si="449"/>
        <v>6.2435162160888388E-2</v>
      </c>
      <c r="AG778" s="8">
        <f t="shared" si="450"/>
        <v>6.9284318398528416E-2</v>
      </c>
      <c r="AH778" s="8">
        <f t="shared" si="451"/>
        <v>5.9875756743772164E-2</v>
      </c>
      <c r="AI778" s="8">
        <f t="shared" si="452"/>
        <v>0.12645999030551525</v>
      </c>
      <c r="AJ778" s="8">
        <f t="shared" si="453"/>
        <v>8.4320833355421038E-2</v>
      </c>
      <c r="AK778" s="8">
        <f t="shared" si="454"/>
        <v>8.3456096354018502E-2</v>
      </c>
      <c r="AL778" s="9">
        <v>0</v>
      </c>
      <c r="AM778" s="17">
        <f t="shared" si="431"/>
        <v>16.331631524876425</v>
      </c>
      <c r="AN778" s="13">
        <f t="shared" si="432"/>
        <v>13.02931369604639</v>
      </c>
      <c r="AO778" s="13">
        <f t="shared" si="433"/>
        <v>16.016615724054862</v>
      </c>
      <c r="AP778" s="13">
        <f t="shared" si="434"/>
        <v>14.433280475502805</v>
      </c>
      <c r="AQ778" s="13">
        <f t="shared" si="435"/>
        <v>16.701250295329466</v>
      </c>
      <c r="AR778" s="13">
        <f t="shared" si="436"/>
        <v>7.9076393852640319</v>
      </c>
      <c r="AS778" s="13">
        <f t="shared" si="437"/>
        <v>11.859465332664545</v>
      </c>
      <c r="AT778" s="13">
        <f t="shared" si="438"/>
        <v>11.982348128985414</v>
      </c>
      <c r="AU778" s="9">
        <v>0</v>
      </c>
      <c r="AV778" s="18">
        <f t="shared" si="455"/>
        <v>2</v>
      </c>
      <c r="AW778" s="18">
        <f t="shared" si="456"/>
        <v>5</v>
      </c>
      <c r="AX778" s="18">
        <f t="shared" si="457"/>
        <v>3</v>
      </c>
      <c r="AY778" s="18">
        <f t="shared" si="458"/>
        <v>4</v>
      </c>
      <c r="AZ778" s="18">
        <f t="shared" si="459"/>
        <v>1</v>
      </c>
      <c r="BA778" s="18">
        <f t="shared" si="460"/>
        <v>8</v>
      </c>
      <c r="BB778" s="18">
        <f t="shared" si="461"/>
        <v>7</v>
      </c>
      <c r="BC778" s="18">
        <f t="shared" si="462"/>
        <v>6</v>
      </c>
      <c r="BD778" s="18">
        <f t="shared" si="463"/>
        <v>9</v>
      </c>
      <c r="BE778" s="8">
        <f t="shared" si="465"/>
        <v>-3.5650425588026257E-3</v>
      </c>
    </row>
    <row r="779" spans="1:57" x14ac:dyDescent="0.25">
      <c r="A779" t="str">
        <f t="shared" si="464"/>
        <v/>
      </c>
      <c r="B779" s="1">
        <v>43885</v>
      </c>
      <c r="C779" s="9">
        <f t="shared" si="439"/>
        <v>0.24872455817554218</v>
      </c>
      <c r="D779" s="9">
        <f t="shared" si="440"/>
        <v>0.24842721758943484</v>
      </c>
      <c r="E779" s="9">
        <f t="shared" si="441"/>
        <v>0.25646347137018061</v>
      </c>
      <c r="F779" s="9">
        <f t="shared" si="442"/>
        <v>0</v>
      </c>
      <c r="G779" s="9">
        <f t="shared" si="443"/>
        <v>0.24638475286484238</v>
      </c>
      <c r="H779" s="9">
        <f t="shared" si="444"/>
        <v>0</v>
      </c>
      <c r="I779" s="9">
        <f t="shared" si="445"/>
        <v>0</v>
      </c>
      <c r="J779" s="9">
        <f t="shared" si="446"/>
        <v>0</v>
      </c>
      <c r="K779" s="9">
        <v>0</v>
      </c>
      <c r="L779" s="8">
        <f>+VLOOKUP($B779,NIFTY_50!$B$3:$I$1238,8,0)</f>
        <v>-2.0813932794463974E-2</v>
      </c>
      <c r="M779" s="8">
        <f>+VLOOKUP($B779,NIFTY_BANK!$B$3:$I$41238,8,0)</f>
        <v>-1.5762930693197341E-2</v>
      </c>
      <c r="N779" s="8">
        <f>+VLOOKUP($B779,NIFTY_IT!$B$3:$I$1238,8,0)</f>
        <v>-1.1267673309548809E-2</v>
      </c>
      <c r="O779" s="8">
        <f>+VLOOKUP($B779,NIFTY_PHARMA!$B$3:$I$1238,8,0)</f>
        <v>-2.9745288037922868E-2</v>
      </c>
      <c r="P779" s="8">
        <f>+VLOOKUP($B779,NIFTY_FMCG!$B$3:$I$1238,8,0)</f>
        <v>-1.5950059161940588E-2</v>
      </c>
      <c r="Q779" s="8">
        <f>+VLOOKUP($B779,NIFTY_METAL!$B$3:$I$1238,8,0)</f>
        <v>-5.4608096468561573E-2</v>
      </c>
      <c r="R779" s="8">
        <f>+VLOOKUP($B779,NIFTY_ENERGY!$B$3:$I$1238,8,0)</f>
        <v>-2.403312060262941E-2</v>
      </c>
      <c r="S779" s="8">
        <f>+VLOOKUP($B779,NIFTY_AUTO!$B$3:$I$1238,8,0)</f>
        <v>-3.4918614167500084E-2</v>
      </c>
      <c r="T779" s="8">
        <v>0</v>
      </c>
      <c r="U779" s="8">
        <f>+VLOOKUP($B779,NIFTY_50!$B$63:$K$1238,10,0)</f>
        <v>-2.6478975241026603E-2</v>
      </c>
      <c r="V779" s="8">
        <f>+VLOOKUP($B779,NIFTY_BANK!$B$63:$K$1238,10,0)</f>
        <v>-5.1920822963021807E-2</v>
      </c>
      <c r="W779" s="8">
        <f>+VLOOKUP($B779,NIFTY_IT!$B$63:$K$1238,10,0)</f>
        <v>8.8613789363700013E-2</v>
      </c>
      <c r="X779" s="8">
        <f>+VLOOKUP($B779,NIFTY_PHARMA!$B$63:$K$1238,10,0)</f>
        <v>-1.9108857638406196E-2</v>
      </c>
      <c r="Y779" s="8">
        <f>+VLOOKUP($B779,NIFTY_FMCG!$B$63:$K$1238,10,0)</f>
        <v>-3.5690296001074873E-2</v>
      </c>
      <c r="Z779" s="8">
        <f>+VLOOKUP($B779,NIFTY_METAL!$B$63:$K$1238,10,0)</f>
        <v>-7.0478197865893821E-2</v>
      </c>
      <c r="AA779" s="8">
        <f>+VLOOKUP($B779,NIFTY_ENERGY!$B$63:$K$1238,10,0)</f>
        <v>-0.10628671629890529</v>
      </c>
      <c r="AB779" s="8">
        <f>+VLOOKUP($B779,NIFTY_AUTO!$B$63:$K$1238,10,0)</f>
        <v>-9.1769308352944723E-2</v>
      </c>
      <c r="AC779" s="8"/>
      <c r="AD779" s="16">
        <f t="shared" si="447"/>
        <v>6.4459431471274253E-2</v>
      </c>
      <c r="AE779" s="8">
        <f t="shared" si="448"/>
        <v>7.7777308934196654E-2</v>
      </c>
      <c r="AF779" s="8">
        <f t="shared" si="449"/>
        <v>6.3540608671725535E-2</v>
      </c>
      <c r="AG779" s="8">
        <f t="shared" si="450"/>
        <v>7.5326230541126624E-2</v>
      </c>
      <c r="AH779" s="8">
        <f t="shared" si="451"/>
        <v>6.1831577537961237E-2</v>
      </c>
      <c r="AI779" s="8">
        <f t="shared" si="452"/>
        <v>0.13593894048855062</v>
      </c>
      <c r="AJ779" s="8">
        <f t="shared" si="453"/>
        <v>8.6958137276306496E-2</v>
      </c>
      <c r="AK779" s="8">
        <f t="shared" si="454"/>
        <v>8.9979116580938129E-2</v>
      </c>
      <c r="AL779" s="9">
        <v>0</v>
      </c>
      <c r="AM779" s="17">
        <f t="shared" si="431"/>
        <v>15.513633570374271</v>
      </c>
      <c r="AN779" s="13">
        <f t="shared" si="432"/>
        <v>12.857220360324476</v>
      </c>
      <c r="AO779" s="13">
        <f t="shared" si="433"/>
        <v>15.737966961669704</v>
      </c>
      <c r="AP779" s="13">
        <f t="shared" si="434"/>
        <v>13.27558797003681</v>
      </c>
      <c r="AQ779" s="13">
        <f t="shared" si="435"/>
        <v>16.1729659798192</v>
      </c>
      <c r="AR779" s="13">
        <f t="shared" si="436"/>
        <v>7.3562438871901046</v>
      </c>
      <c r="AS779" s="13">
        <f t="shared" si="437"/>
        <v>11.499786349177816</v>
      </c>
      <c r="AT779" s="13">
        <f t="shared" si="438"/>
        <v>11.113689909374457</v>
      </c>
      <c r="AU779" s="9">
        <v>0</v>
      </c>
      <c r="AV779" s="18">
        <f t="shared" si="455"/>
        <v>3</v>
      </c>
      <c r="AW779" s="18">
        <f t="shared" si="456"/>
        <v>5</v>
      </c>
      <c r="AX779" s="18">
        <f t="shared" si="457"/>
        <v>2</v>
      </c>
      <c r="AY779" s="18">
        <f t="shared" si="458"/>
        <v>4</v>
      </c>
      <c r="AZ779" s="18">
        <f t="shared" si="459"/>
        <v>1</v>
      </c>
      <c r="BA779" s="18">
        <f t="shared" si="460"/>
        <v>8</v>
      </c>
      <c r="BB779" s="18">
        <f t="shared" si="461"/>
        <v>6</v>
      </c>
      <c r="BC779" s="18">
        <f t="shared" si="462"/>
        <v>7</v>
      </c>
      <c r="BD779" s="18">
        <f t="shared" si="463"/>
        <v>9</v>
      </c>
      <c r="BE779" s="8">
        <f t="shared" si="465"/>
        <v>-1.5924179597183865E-2</v>
      </c>
    </row>
    <row r="780" spans="1:57" x14ac:dyDescent="0.25">
      <c r="A780" t="str">
        <f t="shared" si="464"/>
        <v/>
      </c>
      <c r="B780" s="1">
        <v>43886</v>
      </c>
      <c r="C780" s="9">
        <f t="shared" si="439"/>
        <v>0.24783100970585753</v>
      </c>
      <c r="D780" s="9">
        <f t="shared" si="440"/>
        <v>0.24801309669458022</v>
      </c>
      <c r="E780" s="9">
        <f t="shared" si="441"/>
        <v>0.25779178367851258</v>
      </c>
      <c r="F780" s="9">
        <f t="shared" si="442"/>
        <v>0</v>
      </c>
      <c r="G780" s="9">
        <f t="shared" si="443"/>
        <v>0.24636410992104965</v>
      </c>
      <c r="H780" s="9">
        <f t="shared" si="444"/>
        <v>0</v>
      </c>
      <c r="I780" s="9">
        <f t="shared" si="445"/>
        <v>0</v>
      </c>
      <c r="J780" s="9">
        <f t="shared" si="446"/>
        <v>0</v>
      </c>
      <c r="K780" s="9">
        <v>0</v>
      </c>
      <c r="L780" s="8">
        <f>+VLOOKUP($B780,NIFTY_50!$B$3:$I$1238,8,0)</f>
        <v>-2.6628569496339738E-3</v>
      </c>
      <c r="M780" s="8">
        <f>+VLOOKUP($B780,NIFTY_BANK!$B$3:$I$41238,8,0)</f>
        <v>-7.3550899520924418E-4</v>
      </c>
      <c r="N780" s="8">
        <f>+VLOOKUP($B780,NIFTY_IT!$B$3:$I$1238,8,0)</f>
        <v>6.1171925305860686E-3</v>
      </c>
      <c r="O780" s="8">
        <f>+VLOOKUP($B780,NIFTY_PHARMA!$B$3:$I$1238,8,0)</f>
        <v>-2.1822304095224676E-2</v>
      </c>
      <c r="P780" s="8">
        <f>+VLOOKUP($B780,NIFTY_FMCG!$B$3:$I$1238,8,0)</f>
        <v>8.4915548833075505E-4</v>
      </c>
      <c r="Q780" s="8">
        <f>+VLOOKUP($B780,NIFTY_METAL!$B$3:$I$1238,8,0)</f>
        <v>3.0369290573362129E-4</v>
      </c>
      <c r="R780" s="8">
        <f>+VLOOKUP($B780,NIFTY_ENERGY!$B$3:$I$1238,8,0)</f>
        <v>-1.1731368078509941E-2</v>
      </c>
      <c r="S780" s="8">
        <f>+VLOOKUP($B780,NIFTY_AUTO!$B$3:$I$1238,8,0)</f>
        <v>-8.493626415043587E-3</v>
      </c>
      <c r="T780" s="8">
        <v>0</v>
      </c>
      <c r="U780" s="8">
        <f>+VLOOKUP($B780,NIFTY_50!$B$63:$K$1238,10,0)</f>
        <v>-2.1412485847354668E-2</v>
      </c>
      <c r="V780" s="8">
        <f>+VLOOKUP($B780,NIFTY_BANK!$B$63:$K$1238,10,0)</f>
        <v>-4.737354481454692E-2</v>
      </c>
      <c r="W780" s="8">
        <f>+VLOOKUP($B780,NIFTY_IT!$B$63:$K$1238,10,0)</f>
        <v>0.1043102269961762</v>
      </c>
      <c r="X780" s="8">
        <f>+VLOOKUP($B780,NIFTY_PHARMA!$B$63:$K$1238,10,0)</f>
        <v>-3.070836818295597E-2</v>
      </c>
      <c r="Y780" s="8">
        <f>+VLOOKUP($B780,NIFTY_FMCG!$B$63:$K$1238,10,0)</f>
        <v>-2.5901115397652941E-2</v>
      </c>
      <c r="Z780" s="8">
        <f>+VLOOKUP($B780,NIFTY_METAL!$B$63:$K$1238,10,0)</f>
        <v>-5.9093505998857432E-2</v>
      </c>
      <c r="AA780" s="8">
        <f>+VLOOKUP($B780,NIFTY_ENERGY!$B$63:$K$1238,10,0)</f>
        <v>-0.1094309749478658</v>
      </c>
      <c r="AB780" s="8">
        <f>+VLOOKUP($B780,NIFTY_AUTO!$B$63:$K$1238,10,0)</f>
        <v>-8.9042790007420214E-2</v>
      </c>
      <c r="AC780" s="8"/>
      <c r="AD780" s="16">
        <f t="shared" si="447"/>
        <v>6.4067221010091102E-2</v>
      </c>
      <c r="AE780" s="8">
        <f t="shared" si="448"/>
        <v>7.7633937349945586E-2</v>
      </c>
      <c r="AF780" s="8">
        <f t="shared" si="449"/>
        <v>6.2958112629395241E-2</v>
      </c>
      <c r="AG780" s="8">
        <f t="shared" si="450"/>
        <v>7.7713271762947692E-2</v>
      </c>
      <c r="AH780" s="8">
        <f t="shared" si="451"/>
        <v>6.1227070609349517E-2</v>
      </c>
      <c r="AI780" s="8">
        <f t="shared" si="452"/>
        <v>0.13551067410962592</v>
      </c>
      <c r="AJ780" s="8">
        <f t="shared" si="453"/>
        <v>8.7285736233113281E-2</v>
      </c>
      <c r="AK780" s="8">
        <f t="shared" si="454"/>
        <v>8.9698614041466049E-2</v>
      </c>
      <c r="AL780" s="9">
        <v>0</v>
      </c>
      <c r="AM780" s="17">
        <f t="shared" si="431"/>
        <v>15.60860583983332</v>
      </c>
      <c r="AN780" s="13">
        <f t="shared" si="432"/>
        <v>12.880964615930315</v>
      </c>
      <c r="AO780" s="13">
        <f t="shared" si="433"/>
        <v>15.883576527881784</v>
      </c>
      <c r="AP780" s="13">
        <f t="shared" si="434"/>
        <v>12.867814947366329</v>
      </c>
      <c r="AQ780" s="13">
        <f t="shared" si="435"/>
        <v>16.33264485868278</v>
      </c>
      <c r="AR780" s="13">
        <f t="shared" si="436"/>
        <v>7.3794924759286218</v>
      </c>
      <c r="AS780" s="13">
        <f t="shared" si="437"/>
        <v>11.456625597214513</v>
      </c>
      <c r="AT780" s="13">
        <f t="shared" si="438"/>
        <v>11.148444272926202</v>
      </c>
      <c r="AU780" s="9">
        <v>0</v>
      </c>
      <c r="AV780" s="18">
        <f t="shared" si="455"/>
        <v>3</v>
      </c>
      <c r="AW780" s="18">
        <f t="shared" si="456"/>
        <v>4</v>
      </c>
      <c r="AX780" s="18">
        <f t="shared" si="457"/>
        <v>2</v>
      </c>
      <c r="AY780" s="18">
        <f t="shared" si="458"/>
        <v>5</v>
      </c>
      <c r="AZ780" s="18">
        <f t="shared" si="459"/>
        <v>1</v>
      </c>
      <c r="BA780" s="18">
        <f t="shared" si="460"/>
        <v>8</v>
      </c>
      <c r="BB780" s="18">
        <f t="shared" si="461"/>
        <v>6</v>
      </c>
      <c r="BC780" s="18">
        <f t="shared" si="462"/>
        <v>7</v>
      </c>
      <c r="BD780" s="18">
        <f t="shared" si="463"/>
        <v>9</v>
      </c>
      <c r="BE780" s="8">
        <f t="shared" si="465"/>
        <v>9.330170250958249E-4</v>
      </c>
    </row>
    <row r="781" spans="1:57" x14ac:dyDescent="0.25">
      <c r="A781" t="str">
        <f t="shared" si="464"/>
        <v/>
      </c>
      <c r="B781" s="1">
        <v>43887</v>
      </c>
      <c r="C781" s="9">
        <f t="shared" si="439"/>
        <v>0.24750411225567492</v>
      </c>
      <c r="D781" s="9">
        <f t="shared" si="440"/>
        <v>0.24918353817754577</v>
      </c>
      <c r="E781" s="9">
        <f t="shared" si="441"/>
        <v>0.25646825549789087</v>
      </c>
      <c r="F781" s="9">
        <f t="shared" si="442"/>
        <v>0</v>
      </c>
      <c r="G781" s="9">
        <f t="shared" si="443"/>
        <v>0.24684409406888852</v>
      </c>
      <c r="H781" s="9">
        <f t="shared" si="444"/>
        <v>0</v>
      </c>
      <c r="I781" s="9">
        <f t="shared" si="445"/>
        <v>0</v>
      </c>
      <c r="J781" s="9">
        <f t="shared" si="446"/>
        <v>0</v>
      </c>
      <c r="K781" s="9">
        <v>0</v>
      </c>
      <c r="L781" s="8">
        <f>+VLOOKUP($B781,NIFTY_50!$B$3:$I$1238,8,0)</f>
        <v>-1.0120445163969816E-2</v>
      </c>
      <c r="M781" s="8">
        <f>+VLOOKUP($B781,NIFTY_BANK!$B$3:$I$41238,8,0)</f>
        <v>-4.1353544049658186E-3</v>
      </c>
      <c r="N781" s="8">
        <f>+VLOOKUP($B781,NIFTY_IT!$B$3:$I$1238,8,0)</f>
        <v>-1.3901886792452856E-2</v>
      </c>
      <c r="O781" s="8">
        <f>+VLOOKUP($B781,NIFTY_PHARMA!$B$3:$I$1238,8,0)</f>
        <v>-1.2502440652772284E-2</v>
      </c>
      <c r="P781" s="8">
        <f>+VLOOKUP($B781,NIFTY_FMCG!$B$3:$I$1238,8,0)</f>
        <v>-6.8819349621518366E-3</v>
      </c>
      <c r="Q781" s="8">
        <f>+VLOOKUP($B781,NIFTY_METAL!$B$3:$I$1238,8,0)</f>
        <v>-1.6333717894225441E-2</v>
      </c>
      <c r="R781" s="8">
        <f>+VLOOKUP($B781,NIFTY_ENERGY!$B$3:$I$1238,8,0)</f>
        <v>-1.8411231439175113E-2</v>
      </c>
      <c r="S781" s="8">
        <f>+VLOOKUP($B781,NIFTY_AUTO!$B$3:$I$1238,8,0)</f>
        <v>-2.1456692913385811E-2</v>
      </c>
      <c r="T781" s="8">
        <v>0</v>
      </c>
      <c r="U781" s="8">
        <f>+VLOOKUP($B781,NIFTY_50!$B$63:$K$1238,10,0)</f>
        <v>-3.0689104226754971E-2</v>
      </c>
      <c r="V781" s="8">
        <f>+VLOOKUP($B781,NIFTY_BANK!$B$63:$K$1238,10,0)</f>
        <v>-4.8840271097713495E-2</v>
      </c>
      <c r="W781" s="8">
        <f>+VLOOKUP($B781,NIFTY_IT!$B$63:$K$1238,10,0)</f>
        <v>0.10029271973348708</v>
      </c>
      <c r="X781" s="8">
        <f>+VLOOKUP($B781,NIFTY_PHARMA!$B$63:$K$1238,10,0)</f>
        <v>-3.56442098918065E-2</v>
      </c>
      <c r="Y781" s="8">
        <f>+VLOOKUP($B781,NIFTY_FMCG!$B$63:$K$1238,10,0)</f>
        <v>-3.0308570762875742E-2</v>
      </c>
      <c r="Z781" s="8">
        <f>+VLOOKUP($B781,NIFTY_METAL!$B$63:$K$1238,10,0)</f>
        <v>-7.5694180296690727E-2</v>
      </c>
      <c r="AA781" s="8">
        <f>+VLOOKUP($B781,NIFTY_ENERGY!$B$63:$K$1238,10,0)</f>
        <v>-0.12781820863963811</v>
      </c>
      <c r="AB781" s="8">
        <f>+VLOOKUP($B781,NIFTY_AUTO!$B$63:$K$1238,10,0)</f>
        <v>-9.9973778188447437E-2</v>
      </c>
      <c r="AC781" s="8"/>
      <c r="AD781" s="16">
        <f t="shared" si="447"/>
        <v>6.4800151228712979E-2</v>
      </c>
      <c r="AE781" s="8">
        <f t="shared" si="448"/>
        <v>7.7685532625732731E-2</v>
      </c>
      <c r="AF781" s="8">
        <f t="shared" si="449"/>
        <v>6.3738624942328945E-2</v>
      </c>
      <c r="AG781" s="8">
        <f t="shared" si="450"/>
        <v>7.8326907998539669E-2</v>
      </c>
      <c r="AH781" s="8">
        <f t="shared" si="451"/>
        <v>6.1535098335694739E-2</v>
      </c>
      <c r="AI781" s="8">
        <f t="shared" si="452"/>
        <v>0.13635665224785085</v>
      </c>
      <c r="AJ781" s="8">
        <f t="shared" si="453"/>
        <v>8.8710624544568337E-2</v>
      </c>
      <c r="AK781" s="8">
        <f t="shared" si="454"/>
        <v>9.1528980652379757E-2</v>
      </c>
      <c r="AL781" s="9">
        <v>0</v>
      </c>
      <c r="AM781" s="17">
        <f t="shared" si="431"/>
        <v>15.432062750447711</v>
      </c>
      <c r="AN781" s="13">
        <f t="shared" si="432"/>
        <v>12.872409652099853</v>
      </c>
      <c r="AO781" s="13">
        <f t="shared" si="433"/>
        <v>15.689073946995334</v>
      </c>
      <c r="AP781" s="13">
        <f t="shared" si="434"/>
        <v>12.767004667395323</v>
      </c>
      <c r="AQ781" s="13">
        <f t="shared" si="435"/>
        <v>16.25088814426951</v>
      </c>
      <c r="AR781" s="13">
        <f t="shared" si="436"/>
        <v>7.3337089427975544</v>
      </c>
      <c r="AS781" s="13">
        <f t="shared" si="437"/>
        <v>11.272606918662811</v>
      </c>
      <c r="AT781" s="13">
        <f t="shared" si="438"/>
        <v>10.925501331626597</v>
      </c>
      <c r="AU781" s="9">
        <v>0</v>
      </c>
      <c r="AV781" s="18">
        <f t="shared" si="455"/>
        <v>3</v>
      </c>
      <c r="AW781" s="18">
        <f t="shared" si="456"/>
        <v>4</v>
      </c>
      <c r="AX781" s="18">
        <f t="shared" si="457"/>
        <v>2</v>
      </c>
      <c r="AY781" s="18">
        <f t="shared" si="458"/>
        <v>5</v>
      </c>
      <c r="AZ781" s="18">
        <f t="shared" si="459"/>
        <v>1</v>
      </c>
      <c r="BA781" s="18">
        <f t="shared" si="460"/>
        <v>8</v>
      </c>
      <c r="BB781" s="18">
        <f t="shared" si="461"/>
        <v>6</v>
      </c>
      <c r="BC781" s="18">
        <f t="shared" si="462"/>
        <v>7</v>
      </c>
      <c r="BD781" s="18">
        <f t="shared" si="463"/>
        <v>9</v>
      </c>
      <c r="BE781" s="8">
        <f t="shared" si="465"/>
        <v>-8.8130361697728154E-3</v>
      </c>
    </row>
    <row r="782" spans="1:57" x14ac:dyDescent="0.25">
      <c r="A782" t="str">
        <f t="shared" si="464"/>
        <v/>
      </c>
      <c r="B782" s="1">
        <v>43888</v>
      </c>
      <c r="C782" s="9">
        <f t="shared" si="439"/>
        <v>0.24780696174431949</v>
      </c>
      <c r="D782" s="9">
        <f t="shared" si="440"/>
        <v>0.24946735622561764</v>
      </c>
      <c r="E782" s="9">
        <f t="shared" si="441"/>
        <v>0.2544897073539894</v>
      </c>
      <c r="F782" s="9">
        <f t="shared" si="442"/>
        <v>0</v>
      </c>
      <c r="G782" s="9">
        <f t="shared" si="443"/>
        <v>0.24823597467607345</v>
      </c>
      <c r="H782" s="9">
        <f t="shared" si="444"/>
        <v>0</v>
      </c>
      <c r="I782" s="9">
        <f t="shared" si="445"/>
        <v>0</v>
      </c>
      <c r="J782" s="9">
        <f t="shared" si="446"/>
        <v>0</v>
      </c>
      <c r="K782" s="9">
        <v>0</v>
      </c>
      <c r="L782" s="8">
        <f>+VLOOKUP($B782,NIFTY_50!$B$3:$I$1238,8,0)</f>
        <v>-3.8703600633643864E-3</v>
      </c>
      <c r="M782" s="8">
        <f>+VLOOKUP($B782,NIFTY_BANK!$B$3:$I$41238,8,0)</f>
        <v>-3.9545515287797706E-3</v>
      </c>
      <c r="N782" s="8">
        <f>+VLOOKUP($B782,NIFTY_IT!$B$3:$I$1238,8,0)</f>
        <v>-1.2763091429533691E-2</v>
      </c>
      <c r="O782" s="8">
        <f>+VLOOKUP($B782,NIFTY_PHARMA!$B$3:$I$1238,8,0)</f>
        <v>5.8615675068884876E-3</v>
      </c>
      <c r="P782" s="8">
        <f>+VLOOKUP($B782,NIFTY_FMCG!$B$3:$I$1238,8,0)</f>
        <v>5.2226640258568047E-4</v>
      </c>
      <c r="Q782" s="8">
        <f>+VLOOKUP($B782,NIFTY_METAL!$B$3:$I$1238,8,0)</f>
        <v>-8.2098765432098153E-3</v>
      </c>
      <c r="R782" s="8">
        <f>+VLOOKUP($B782,NIFTY_ENERGY!$B$3:$I$1238,8,0)</f>
        <v>-8.5026462856861995E-3</v>
      </c>
      <c r="S782" s="8">
        <f>+VLOOKUP($B782,NIFTY_AUTO!$B$3:$I$1238,8,0)</f>
        <v>-4.0372089151561319E-3</v>
      </c>
      <c r="T782" s="8">
        <v>0</v>
      </c>
      <c r="U782" s="8">
        <f>+VLOOKUP($B782,NIFTY_50!$B$63:$K$1238,10,0)</f>
        <v>-3.0089543279251729E-2</v>
      </c>
      <c r="V782" s="8">
        <f>+VLOOKUP($B782,NIFTY_BANK!$B$63:$K$1238,10,0)</f>
        <v>-4.5118597048398823E-2</v>
      </c>
      <c r="W782" s="8">
        <f>+VLOOKUP($B782,NIFTY_IT!$B$63:$K$1238,10,0)</f>
        <v>8.0629324933398028E-2</v>
      </c>
      <c r="X782" s="8">
        <f>+VLOOKUP($B782,NIFTY_PHARMA!$B$63:$K$1238,10,0)</f>
        <v>-1.9851209158654348E-2</v>
      </c>
      <c r="Y782" s="8">
        <f>+VLOOKUP($B782,NIFTY_FMCG!$B$63:$K$1238,10,0)</f>
        <v>-2.2697416673457704E-2</v>
      </c>
      <c r="Z782" s="8">
        <f>+VLOOKUP($B782,NIFTY_METAL!$B$63:$K$1238,10,0)</f>
        <v>-6.0116215583807642E-2</v>
      </c>
      <c r="AA782" s="8">
        <f>+VLOOKUP($B782,NIFTY_ENERGY!$B$63:$K$1238,10,0)</f>
        <v>-0.1267778284657376</v>
      </c>
      <c r="AB782" s="8">
        <f>+VLOOKUP($B782,NIFTY_AUTO!$B$63:$K$1238,10,0)</f>
        <v>-9.8615688859591266E-2</v>
      </c>
      <c r="AC782" s="8"/>
      <c r="AD782" s="16">
        <f t="shared" si="447"/>
        <v>6.4764916099807515E-2</v>
      </c>
      <c r="AE782" s="8">
        <f t="shared" si="448"/>
        <v>7.7427420867827834E-2</v>
      </c>
      <c r="AF782" s="8">
        <f t="shared" si="449"/>
        <v>6.5197391700348953E-2</v>
      </c>
      <c r="AG782" s="8">
        <f t="shared" si="450"/>
        <v>7.7947212159248686E-2</v>
      </c>
      <c r="AH782" s="8">
        <f t="shared" si="451"/>
        <v>6.1158595705788556E-2</v>
      </c>
      <c r="AI782" s="8">
        <f t="shared" si="452"/>
        <v>0.13448391140331456</v>
      </c>
      <c r="AJ782" s="8">
        <f t="shared" si="453"/>
        <v>8.8618318628419304E-2</v>
      </c>
      <c r="AK782" s="8">
        <f t="shared" si="454"/>
        <v>9.1477428184476781E-2</v>
      </c>
      <c r="AL782" s="9">
        <v>0</v>
      </c>
      <c r="AM782" s="17">
        <f t="shared" si="431"/>
        <v>15.4404585108846</v>
      </c>
      <c r="AN782" s="13">
        <f t="shared" si="432"/>
        <v>12.915321068320821</v>
      </c>
      <c r="AO782" s="13">
        <f t="shared" si="433"/>
        <v>15.338036904851329</v>
      </c>
      <c r="AP782" s="13">
        <f t="shared" si="434"/>
        <v>12.829195198886236</v>
      </c>
      <c r="AQ782" s="13">
        <f t="shared" si="435"/>
        <v>16.350931352489372</v>
      </c>
      <c r="AR782" s="13">
        <f t="shared" si="436"/>
        <v>7.4358336961290483</v>
      </c>
      <c r="AS782" s="13">
        <f t="shared" si="437"/>
        <v>11.284348602832853</v>
      </c>
      <c r="AT782" s="13">
        <f t="shared" si="438"/>
        <v>10.931658441286334</v>
      </c>
      <c r="AU782" s="9">
        <v>0</v>
      </c>
      <c r="AV782" s="18">
        <f t="shared" si="455"/>
        <v>2</v>
      </c>
      <c r="AW782" s="18">
        <f t="shared" si="456"/>
        <v>4</v>
      </c>
      <c r="AX782" s="18">
        <f t="shared" si="457"/>
        <v>3</v>
      </c>
      <c r="AY782" s="18">
        <f t="shared" si="458"/>
        <v>5</v>
      </c>
      <c r="AZ782" s="18">
        <f t="shared" si="459"/>
        <v>1</v>
      </c>
      <c r="BA782" s="18">
        <f t="shared" si="460"/>
        <v>8</v>
      </c>
      <c r="BB782" s="18">
        <f t="shared" si="461"/>
        <v>6</v>
      </c>
      <c r="BC782" s="18">
        <f t="shared" si="462"/>
        <v>7</v>
      </c>
      <c r="BD782" s="18">
        <f t="shared" si="463"/>
        <v>9</v>
      </c>
      <c r="BE782" s="8">
        <f t="shared" si="465"/>
        <v>-5.0877485901232944E-3</v>
      </c>
    </row>
    <row r="783" spans="1:57" x14ac:dyDescent="0.25">
      <c r="A783" t="str">
        <f t="shared" si="464"/>
        <v>Y</v>
      </c>
      <c r="B783" s="1">
        <v>43889</v>
      </c>
      <c r="C783" s="9">
        <f t="shared" si="439"/>
        <v>0.25</v>
      </c>
      <c r="D783" s="9">
        <f t="shared" si="440"/>
        <v>0.25</v>
      </c>
      <c r="E783" s="9">
        <f t="shared" si="441"/>
        <v>0.25</v>
      </c>
      <c r="F783" s="9">
        <f t="shared" si="442"/>
        <v>0</v>
      </c>
      <c r="G783" s="9">
        <f t="shared" si="443"/>
        <v>0.25</v>
      </c>
      <c r="H783" s="9">
        <f t="shared" si="444"/>
        <v>0</v>
      </c>
      <c r="I783" s="9">
        <f t="shared" si="445"/>
        <v>0</v>
      </c>
      <c r="J783" s="9">
        <f t="shared" si="446"/>
        <v>0</v>
      </c>
      <c r="K783" s="9">
        <v>0</v>
      </c>
      <c r="L783" s="8">
        <f>+VLOOKUP($B783,NIFTY_50!$B$3:$I$1238,8,0)</f>
        <v>-3.709609483121723E-2</v>
      </c>
      <c r="M783" s="8">
        <f>+VLOOKUP($B783,NIFTY_BANK!$B$3:$I$41238,8,0)</f>
        <v>-3.4446947361446933E-2</v>
      </c>
      <c r="N783" s="8">
        <f>+VLOOKUP($B783,NIFTY_IT!$B$3:$I$1238,8,0)</f>
        <v>-5.6491025688733321E-2</v>
      </c>
      <c r="O783" s="8">
        <f>+VLOOKUP($B783,NIFTY_PHARMA!$B$3:$I$1238,8,0)</f>
        <v>-3.9111494391355861E-2</v>
      </c>
      <c r="P783" s="8">
        <f>+VLOOKUP($B783,NIFTY_FMCG!$B$3:$I$1238,8,0)</f>
        <v>-2.237902418849147E-2</v>
      </c>
      <c r="Q783" s="8">
        <f>+VLOOKUP($B783,NIFTY_METAL!$B$3:$I$1238,8,0)</f>
        <v>-6.8048380738988778E-2</v>
      </c>
      <c r="R783" s="8">
        <f>+VLOOKUP($B783,NIFTY_ENERGY!$B$3:$I$1238,8,0)</f>
        <v>-2.971415980467762E-2</v>
      </c>
      <c r="S783" s="8">
        <f>+VLOOKUP($B783,NIFTY_AUTO!$B$3:$I$1238,8,0)</f>
        <v>-3.8293041364564018E-2</v>
      </c>
      <c r="T783" s="8">
        <v>0</v>
      </c>
      <c r="U783" s="8">
        <f>+VLOOKUP($B783,NIFTY_50!$B$63:$K$1238,10,0)</f>
        <v>-6.9869303839511177E-2</v>
      </c>
      <c r="V783" s="8">
        <f>+VLOOKUP($B783,NIFTY_BANK!$B$63:$K$1238,10,0)</f>
        <v>-8.8561976028243228E-2</v>
      </c>
      <c r="W783" s="8">
        <f>+VLOOKUP($B783,NIFTY_IT!$B$63:$K$1238,10,0)</f>
        <v>2.4909144225921942E-3</v>
      </c>
      <c r="X783" s="8">
        <f>+VLOOKUP($B783,NIFTY_PHARMA!$B$63:$K$1238,10,0)</f>
        <v>-6.707504771286088E-2</v>
      </c>
      <c r="Y783" s="8">
        <f>+VLOOKUP($B783,NIFTY_FMCG!$B$63:$K$1238,10,0)</f>
        <v>-4.5441296443151091E-2</v>
      </c>
      <c r="Z783" s="8">
        <f>+VLOOKUP($B783,NIFTY_METAL!$B$63:$K$1238,10,0)</f>
        <v>-0.13746159754224263</v>
      </c>
      <c r="AA783" s="8">
        <f>+VLOOKUP($B783,NIFTY_ENERGY!$B$63:$K$1238,10,0)</f>
        <v>-0.14848891245360696</v>
      </c>
      <c r="AB783" s="8">
        <f>+VLOOKUP($B783,NIFTY_AUTO!$B$63:$K$1238,10,0)</f>
        <v>-0.13663392337945746</v>
      </c>
      <c r="AC783" s="8"/>
      <c r="AD783" s="16">
        <f t="shared" si="447"/>
        <v>7.4079155868419302E-2</v>
      </c>
      <c r="AE783" s="8">
        <f t="shared" si="448"/>
        <v>8.3353320368994441E-2</v>
      </c>
      <c r="AF783" s="8">
        <f t="shared" si="449"/>
        <v>8.5174969203828069E-2</v>
      </c>
      <c r="AG783" s="8">
        <f t="shared" si="450"/>
        <v>8.6306451443410356E-2</v>
      </c>
      <c r="AH783" s="8">
        <f t="shared" si="451"/>
        <v>6.4925819810174992E-2</v>
      </c>
      <c r="AI783" s="8">
        <f t="shared" si="452"/>
        <v>0.14905127946410812</v>
      </c>
      <c r="AJ783" s="8">
        <f t="shared" si="453"/>
        <v>9.2707654703361717E-2</v>
      </c>
      <c r="AK783" s="8">
        <f t="shared" si="454"/>
        <v>9.8236624578105919E-2</v>
      </c>
      <c r="AL783" s="9">
        <v>0</v>
      </c>
      <c r="AM783" s="17">
        <f t="shared" si="431"/>
        <v>13.499073906514507</v>
      </c>
      <c r="AN783" s="13">
        <f t="shared" si="432"/>
        <v>11.99712255700347</v>
      </c>
      <c r="AO783" s="13">
        <f t="shared" si="433"/>
        <v>11.740538439256124</v>
      </c>
      <c r="AP783" s="13">
        <f t="shared" si="434"/>
        <v>11.58661934624531</v>
      </c>
      <c r="AQ783" s="13">
        <f t="shared" si="435"/>
        <v>15.40219288603088</v>
      </c>
      <c r="AR783" s="13">
        <f t="shared" si="436"/>
        <v>6.7091004089019055</v>
      </c>
      <c r="AS783" s="13">
        <f t="shared" si="437"/>
        <v>10.786595812392378</v>
      </c>
      <c r="AT783" s="13">
        <f t="shared" si="438"/>
        <v>10.179502851351744</v>
      </c>
      <c r="AU783" s="9">
        <v>0</v>
      </c>
      <c r="AV783" s="18">
        <f t="shared" si="455"/>
        <v>2</v>
      </c>
      <c r="AW783" s="18">
        <f t="shared" si="456"/>
        <v>3</v>
      </c>
      <c r="AX783" s="18">
        <f t="shared" si="457"/>
        <v>4</v>
      </c>
      <c r="AY783" s="18">
        <f t="shared" si="458"/>
        <v>5</v>
      </c>
      <c r="AZ783" s="18">
        <f t="shared" si="459"/>
        <v>1</v>
      </c>
      <c r="BA783" s="18">
        <f t="shared" si="460"/>
        <v>8</v>
      </c>
      <c r="BB783" s="18">
        <f t="shared" si="461"/>
        <v>6</v>
      </c>
      <c r="BC783" s="18">
        <f t="shared" si="462"/>
        <v>7</v>
      </c>
      <c r="BD783" s="18">
        <f t="shared" si="463"/>
        <v>9</v>
      </c>
      <c r="BE783" s="8">
        <f t="shared" si="465"/>
        <v>-3.7717722918388319E-2</v>
      </c>
    </row>
    <row r="784" spans="1:57" x14ac:dyDescent="0.25">
      <c r="A784" t="str">
        <f t="shared" si="464"/>
        <v/>
      </c>
      <c r="B784" s="1">
        <v>43892</v>
      </c>
      <c r="C784" s="9">
        <f t="shared" si="439"/>
        <v>0.24892408115466819</v>
      </c>
      <c r="D784" s="9">
        <f t="shared" si="440"/>
        <v>0.24807154433955567</v>
      </c>
      <c r="E784" s="9">
        <f t="shared" si="441"/>
        <v>0.25400172837642815</v>
      </c>
      <c r="F784" s="9">
        <f t="shared" si="442"/>
        <v>0</v>
      </c>
      <c r="G784" s="9">
        <f t="shared" si="443"/>
        <v>0.24900264612934797</v>
      </c>
      <c r="H784" s="9">
        <f t="shared" si="444"/>
        <v>0</v>
      </c>
      <c r="I784" s="9">
        <f t="shared" si="445"/>
        <v>0</v>
      </c>
      <c r="J784" s="9">
        <f t="shared" si="446"/>
        <v>0</v>
      </c>
      <c r="K784" s="9">
        <v>0</v>
      </c>
      <c r="L784" s="8">
        <f>+VLOOKUP($B784,NIFTY_50!$B$3:$I$1238,8,0)</f>
        <v>-6.1597518244916882E-3</v>
      </c>
      <c r="M784" s="8">
        <f>+VLOOKUP($B784,NIFTY_BANK!$B$3:$I$41238,8,0)</f>
        <v>-9.5635422331171727E-3</v>
      </c>
      <c r="N784" s="8">
        <f>+VLOOKUP($B784,NIFTY_IT!$B$3:$I$1238,8,0)</f>
        <v>1.411297611574347E-2</v>
      </c>
      <c r="O784" s="8">
        <f>+VLOOKUP($B784,NIFTY_PHARMA!$B$3:$I$1238,8,0)</f>
        <v>-5.4970798825353384E-3</v>
      </c>
      <c r="P784" s="8">
        <f>+VLOOKUP($B784,NIFTY_FMCG!$B$3:$I$1238,8,0)</f>
        <v>-5.8460777373102735E-3</v>
      </c>
      <c r="Q784" s="8">
        <f>+VLOOKUP($B784,NIFTY_METAL!$B$3:$I$1238,8,0)</f>
        <v>-2.1571202778210785E-2</v>
      </c>
      <c r="R784" s="8">
        <f>+VLOOKUP($B784,NIFTY_ENERGY!$B$3:$I$1238,8,0)</f>
        <v>-1.6991429199326058E-2</v>
      </c>
      <c r="S784" s="8">
        <f>+VLOOKUP($B784,NIFTY_AUTO!$B$3:$I$1238,8,0)</f>
        <v>-6.8149392738939829E-3</v>
      </c>
      <c r="T784" s="8">
        <v>0</v>
      </c>
      <c r="U784" s="8">
        <f>+VLOOKUP($B784,NIFTY_50!$B$63:$K$1238,10,0)</f>
        <v>-7.3691173533914633E-2</v>
      </c>
      <c r="V784" s="8">
        <f>+VLOOKUP($B784,NIFTY_BANK!$B$63:$K$1238,10,0)</f>
        <v>-8.9696795788471229E-2</v>
      </c>
      <c r="W784" s="8">
        <f>+VLOOKUP($B784,NIFTY_IT!$B$63:$K$1238,10,0)</f>
        <v>3.9141044411907799E-3</v>
      </c>
      <c r="X784" s="8">
        <f>+VLOOKUP($B784,NIFTY_PHARMA!$B$63:$K$1238,10,0)</f>
        <v>-6.4177797648987456E-2</v>
      </c>
      <c r="Y784" s="8">
        <f>+VLOOKUP($B784,NIFTY_FMCG!$B$63:$K$1238,10,0)</f>
        <v>-5.3781283385993084E-2</v>
      </c>
      <c r="Z784" s="8">
        <f>+VLOOKUP($B784,NIFTY_METAL!$B$63:$K$1238,10,0)</f>
        <v>-0.13614654376068713</v>
      </c>
      <c r="AA784" s="8">
        <f>+VLOOKUP($B784,NIFTY_ENERGY!$B$63:$K$1238,10,0)</f>
        <v>-0.15762926786398079</v>
      </c>
      <c r="AB784" s="8">
        <f>+VLOOKUP($B784,NIFTY_AUTO!$B$63:$K$1238,10,0)</f>
        <v>-0.13660631091188402</v>
      </c>
      <c r="AC784" s="8"/>
      <c r="AD784" s="16">
        <f t="shared" si="447"/>
        <v>7.4241413324047101E-2</v>
      </c>
      <c r="AE784" s="8">
        <f t="shared" si="448"/>
        <v>8.346396468516043E-2</v>
      </c>
      <c r="AF784" s="8">
        <f t="shared" si="449"/>
        <v>8.5398844765440352E-2</v>
      </c>
      <c r="AG784" s="8">
        <f t="shared" si="450"/>
        <v>8.6092650102378154E-2</v>
      </c>
      <c r="AH784" s="8">
        <f t="shared" si="451"/>
        <v>6.5015577865216806E-2</v>
      </c>
      <c r="AI784" s="8">
        <f t="shared" si="452"/>
        <v>0.1488503670699402</v>
      </c>
      <c r="AJ784" s="8">
        <f t="shared" si="453"/>
        <v>9.3738539604227442E-2</v>
      </c>
      <c r="AK784" s="8">
        <f t="shared" si="454"/>
        <v>9.8235167871894111E-2</v>
      </c>
      <c r="AL784" s="9">
        <v>0</v>
      </c>
      <c r="AM784" s="17">
        <f t="shared" si="431"/>
        <v>13.469571162865995</v>
      </c>
      <c r="AN784" s="13">
        <f t="shared" si="432"/>
        <v>11.981218526727812</v>
      </c>
      <c r="AO784" s="13">
        <f t="shared" si="433"/>
        <v>11.709760275406971</v>
      </c>
      <c r="AP784" s="13">
        <f t="shared" si="434"/>
        <v>11.615393402466268</v>
      </c>
      <c r="AQ784" s="13">
        <f t="shared" si="435"/>
        <v>15.380929199354204</v>
      </c>
      <c r="AR784" s="13">
        <f t="shared" si="436"/>
        <v>6.7181560898007779</v>
      </c>
      <c r="AS784" s="13">
        <f t="shared" si="437"/>
        <v>10.66797076444854</v>
      </c>
      <c r="AT784" s="13">
        <f t="shared" si="438"/>
        <v>10.179653800806587</v>
      </c>
      <c r="AU784" s="9">
        <v>0</v>
      </c>
      <c r="AV784" s="18">
        <f t="shared" si="455"/>
        <v>2</v>
      </c>
      <c r="AW784" s="18">
        <f t="shared" si="456"/>
        <v>3</v>
      </c>
      <c r="AX784" s="18">
        <f t="shared" si="457"/>
        <v>4</v>
      </c>
      <c r="AY784" s="18">
        <f t="shared" si="458"/>
        <v>5</v>
      </c>
      <c r="AZ784" s="18">
        <f t="shared" si="459"/>
        <v>1</v>
      </c>
      <c r="BA784" s="18">
        <f t="shared" si="460"/>
        <v>8</v>
      </c>
      <c r="BB784" s="18">
        <f t="shared" si="461"/>
        <v>6</v>
      </c>
      <c r="BC784" s="18">
        <f t="shared" si="462"/>
        <v>7</v>
      </c>
      <c r="BD784" s="18">
        <f t="shared" si="463"/>
        <v>9</v>
      </c>
      <c r="BE784" s="8">
        <f t="shared" si="465"/>
        <v>-1.8640989197939162E-3</v>
      </c>
    </row>
    <row r="785" spans="1:57" x14ac:dyDescent="0.25">
      <c r="A785" t="str">
        <f t="shared" si="464"/>
        <v/>
      </c>
      <c r="B785" s="1">
        <v>43893</v>
      </c>
      <c r="C785" s="9">
        <f t="shared" si="439"/>
        <v>0.24934250453191723</v>
      </c>
      <c r="D785" s="9">
        <f t="shared" si="440"/>
        <v>0.24735587090489936</v>
      </c>
      <c r="E785" s="9">
        <f t="shared" si="441"/>
        <v>0.25539032444097026</v>
      </c>
      <c r="F785" s="9">
        <f t="shared" si="442"/>
        <v>0</v>
      </c>
      <c r="G785" s="9">
        <f t="shared" si="443"/>
        <v>0.2479113001222131</v>
      </c>
      <c r="H785" s="9">
        <f t="shared" si="444"/>
        <v>0</v>
      </c>
      <c r="I785" s="9">
        <f t="shared" si="445"/>
        <v>0</v>
      </c>
      <c r="J785" s="9">
        <f t="shared" si="446"/>
        <v>0</v>
      </c>
      <c r="K785" s="9">
        <v>0</v>
      </c>
      <c r="L785" s="8">
        <f>+VLOOKUP($B785,NIFTY_50!$B$3:$I$1238,8,0)</f>
        <v>1.5319664952504919E-2</v>
      </c>
      <c r="M785" s="8">
        <f>+VLOOKUP($B785,NIFTY_BANK!$B$3:$I$41238,8,0)</f>
        <v>1.0691621288329012E-2</v>
      </c>
      <c r="N785" s="8">
        <f>+VLOOKUP($B785,NIFTY_IT!$B$3:$I$1238,8,0)</f>
        <v>1.9157162626842084E-2</v>
      </c>
      <c r="O785" s="8">
        <f>+VLOOKUP($B785,NIFTY_PHARMA!$B$3:$I$1238,8,0)</f>
        <v>5.1160568539236451E-2</v>
      </c>
      <c r="P785" s="8">
        <f>+VLOOKUP($B785,NIFTY_FMCG!$B$3:$I$1238,8,0)</f>
        <v>9.1733044143738063E-3</v>
      </c>
      <c r="Q785" s="8">
        <f>+VLOOKUP($B785,NIFTY_METAL!$B$3:$I$1238,8,0)</f>
        <v>5.6038405533309188E-2</v>
      </c>
      <c r="R785" s="8">
        <f>+VLOOKUP($B785,NIFTY_ENERGY!$B$3:$I$1238,8,0)</f>
        <v>3.3135728684221322E-2</v>
      </c>
      <c r="S785" s="8">
        <f>+VLOOKUP($B785,NIFTY_AUTO!$B$3:$I$1238,8,0)</f>
        <v>1.8922545173474914E-2</v>
      </c>
      <c r="T785" s="8">
        <v>0</v>
      </c>
      <c r="U785" s="8">
        <f>+VLOOKUP($B785,NIFTY_50!$B$63:$K$1238,10,0)</f>
        <v>-5.18558906177915E-2</v>
      </c>
      <c r="V785" s="8">
        <f>+VLOOKUP($B785,NIFTY_BANK!$B$63:$K$1238,10,0)</f>
        <v>-6.9061676911320591E-2</v>
      </c>
      <c r="W785" s="8">
        <f>+VLOOKUP($B785,NIFTY_IT!$B$63:$K$1238,10,0)</f>
        <v>2.8359146086228471E-2</v>
      </c>
      <c r="X785" s="8">
        <f>+VLOOKUP($B785,NIFTY_PHARMA!$B$63:$K$1238,10,0)</f>
        <v>-4.6433889827899311E-3</v>
      </c>
      <c r="Y785" s="8">
        <f>+VLOOKUP($B785,NIFTY_FMCG!$B$63:$K$1238,10,0)</f>
        <v>-3.7013143309061802E-2</v>
      </c>
      <c r="Z785" s="8">
        <f>+VLOOKUP($B785,NIFTY_METAL!$B$63:$K$1238,10,0)</f>
        <v>-8.4823629157876002E-2</v>
      </c>
      <c r="AA785" s="8">
        <f>+VLOOKUP($B785,NIFTY_ENERGY!$B$63:$K$1238,10,0)</f>
        <v>-0.12320268155011305</v>
      </c>
      <c r="AB785" s="8">
        <f>+VLOOKUP($B785,NIFTY_AUTO!$B$63:$K$1238,10,0)</f>
        <v>-0.10503292086183491</v>
      </c>
      <c r="AC785" s="8"/>
      <c r="AD785" s="16">
        <f t="shared" si="447"/>
        <v>7.5690351412307955E-2</v>
      </c>
      <c r="AE785" s="8">
        <f t="shared" si="448"/>
        <v>8.3675340277464857E-2</v>
      </c>
      <c r="AF785" s="8">
        <f t="shared" si="449"/>
        <v>8.7284573019106651E-2</v>
      </c>
      <c r="AG785" s="8">
        <f t="shared" si="450"/>
        <v>9.9781489910063456E-2</v>
      </c>
      <c r="AH785" s="8">
        <f t="shared" si="451"/>
        <v>6.5316033758323386E-2</v>
      </c>
      <c r="AI785" s="8">
        <f t="shared" si="452"/>
        <v>0.15965933131826748</v>
      </c>
      <c r="AJ785" s="8">
        <f t="shared" si="453"/>
        <v>0.10012331600071447</v>
      </c>
      <c r="AK785" s="8">
        <f t="shared" si="454"/>
        <v>9.9319647126757629E-2</v>
      </c>
      <c r="AL785" s="9">
        <v>0</v>
      </c>
      <c r="AM785" s="17">
        <f t="shared" si="431"/>
        <v>13.211723572965083</v>
      </c>
      <c r="AN785" s="13">
        <f t="shared" si="432"/>
        <v>11.95095229590977</v>
      </c>
      <c r="AO785" s="13">
        <f t="shared" si="433"/>
        <v>11.456778276054571</v>
      </c>
      <c r="AP785" s="13">
        <f t="shared" si="434"/>
        <v>10.021898860212801</v>
      </c>
      <c r="AQ785" s="13">
        <f t="shared" si="435"/>
        <v>15.31017642161359</v>
      </c>
      <c r="AR785" s="13">
        <f t="shared" si="436"/>
        <v>6.2633357646136192</v>
      </c>
      <c r="AS785" s="13">
        <f t="shared" si="437"/>
        <v>9.9876835880352193</v>
      </c>
      <c r="AT785" s="13">
        <f t="shared" si="438"/>
        <v>10.068501338146527</v>
      </c>
      <c r="AU785" s="9">
        <v>0</v>
      </c>
      <c r="AV785" s="18">
        <f t="shared" si="455"/>
        <v>2</v>
      </c>
      <c r="AW785" s="18">
        <f t="shared" si="456"/>
        <v>3</v>
      </c>
      <c r="AX785" s="18">
        <f t="shared" si="457"/>
        <v>4</v>
      </c>
      <c r="AY785" s="18">
        <f t="shared" si="458"/>
        <v>6</v>
      </c>
      <c r="AZ785" s="18">
        <f t="shared" si="459"/>
        <v>1</v>
      </c>
      <c r="BA785" s="18">
        <f t="shared" si="460"/>
        <v>8</v>
      </c>
      <c r="BB785" s="18">
        <f t="shared" si="461"/>
        <v>7</v>
      </c>
      <c r="BC785" s="18">
        <f t="shared" si="462"/>
        <v>5</v>
      </c>
      <c r="BD785" s="18">
        <f t="shared" si="463"/>
        <v>9</v>
      </c>
      <c r="BE785" s="8">
        <f t="shared" si="465"/>
        <v>1.3615850017324418E-2</v>
      </c>
    </row>
    <row r="786" spans="1:57" x14ac:dyDescent="0.25">
      <c r="A786" t="str">
        <f t="shared" si="464"/>
        <v/>
      </c>
      <c r="B786" s="1">
        <v>43894</v>
      </c>
      <c r="C786" s="9">
        <f t="shared" si="439"/>
        <v>0.24939508375507108</v>
      </c>
      <c r="D786" s="9">
        <f t="shared" si="440"/>
        <v>0.24409970407323109</v>
      </c>
      <c r="E786" s="9">
        <f t="shared" si="441"/>
        <v>0.25893461710905624</v>
      </c>
      <c r="F786" s="9">
        <f t="shared" si="442"/>
        <v>0</v>
      </c>
      <c r="G786" s="9">
        <f t="shared" si="443"/>
        <v>0.24757059506264156</v>
      </c>
      <c r="H786" s="9">
        <f t="shared" si="444"/>
        <v>0</v>
      </c>
      <c r="I786" s="9">
        <f t="shared" si="445"/>
        <v>0</v>
      </c>
      <c r="J786" s="9">
        <f t="shared" si="446"/>
        <v>0</v>
      </c>
      <c r="K786" s="9">
        <v>0</v>
      </c>
      <c r="L786" s="8">
        <f>+VLOOKUP($B786,NIFTY_50!$B$3:$I$1238,8,0)</f>
        <v>-4.626967345819244E-3</v>
      </c>
      <c r="M786" s="8">
        <f>+VLOOKUP($B786,NIFTY_BANK!$B$3:$I$41238,8,0)</f>
        <v>-1.7937042984126128E-2</v>
      </c>
      <c r="N786" s="8">
        <f>+VLOOKUP($B786,NIFTY_IT!$B$3:$I$1238,8,0)</f>
        <v>8.9740002035207933E-3</v>
      </c>
      <c r="O786" s="8">
        <f>+VLOOKUP($B786,NIFTY_PHARMA!$B$3:$I$1238,8,0)</f>
        <v>2.0951695578617757E-2</v>
      </c>
      <c r="P786" s="8">
        <f>+VLOOKUP($B786,NIFTY_FMCG!$B$3:$I$1238,8,0)</f>
        <v>-6.204473886459394E-3</v>
      </c>
      <c r="Q786" s="8">
        <f>+VLOOKUP($B786,NIFTY_METAL!$B$3:$I$1238,8,0)</f>
        <v>-7.0882257890767519E-3</v>
      </c>
      <c r="R786" s="8">
        <f>+VLOOKUP($B786,NIFTY_ENERGY!$B$3:$I$1238,8,0)</f>
        <v>9.3409407301070502E-4</v>
      </c>
      <c r="S786" s="8">
        <f>+VLOOKUP($B786,NIFTY_AUTO!$B$3:$I$1238,8,0)</f>
        <v>-6.8416193740918896E-3</v>
      </c>
      <c r="T786" s="8">
        <v>0</v>
      </c>
      <c r="U786" s="8">
        <f>+VLOOKUP($B786,NIFTY_50!$B$63:$K$1238,10,0)</f>
        <v>-5.7507853403141351E-2</v>
      </c>
      <c r="V786" s="8">
        <f>+VLOOKUP($B786,NIFTY_BANK!$B$63:$K$1238,10,0)</f>
        <v>-8.5033041529026909E-2</v>
      </c>
      <c r="W786" s="8">
        <f>+VLOOKUP($B786,NIFTY_IT!$B$63:$K$1238,10,0)</f>
        <v>4.6654549173162474E-2</v>
      </c>
      <c r="X786" s="8">
        <f>+VLOOKUP($B786,NIFTY_PHARMA!$B$63:$K$1238,10,0)</f>
        <v>1.5853574277512994E-2</v>
      </c>
      <c r="Y786" s="8">
        <f>+VLOOKUP($B786,NIFTY_FMCG!$B$63:$K$1238,10,0)</f>
        <v>-3.7901234567901287E-2</v>
      </c>
      <c r="Z786" s="8">
        <f>+VLOOKUP($B786,NIFTY_METAL!$B$63:$K$1238,10,0)</f>
        <v>-9.6954971195673312E-2</v>
      </c>
      <c r="AA786" s="8">
        <f>+VLOOKUP($B786,NIFTY_ENERGY!$B$63:$K$1238,10,0)</f>
        <v>-0.1300178677784396</v>
      </c>
      <c r="AB786" s="8">
        <f>+VLOOKUP($B786,NIFTY_AUTO!$B$63:$K$1238,10,0)</f>
        <v>-0.11756514440502075</v>
      </c>
      <c r="AC786" s="8"/>
      <c r="AD786" s="16">
        <f t="shared" si="447"/>
        <v>7.575091193906186E-2</v>
      </c>
      <c r="AE786" s="8">
        <f t="shared" si="448"/>
        <v>8.5320768627872912E-2</v>
      </c>
      <c r="AF786" s="8">
        <f t="shared" si="449"/>
        <v>8.7181288148964697E-2</v>
      </c>
      <c r="AG786" s="8">
        <f t="shared" si="450"/>
        <v>0.10192167704770969</v>
      </c>
      <c r="AH786" s="8">
        <f t="shared" si="451"/>
        <v>6.5388397611630081E-2</v>
      </c>
      <c r="AI786" s="8">
        <f t="shared" si="452"/>
        <v>0.1595814857897597</v>
      </c>
      <c r="AJ786" s="8">
        <f t="shared" si="453"/>
        <v>9.9574421133680743E-2</v>
      </c>
      <c r="AK786" s="8">
        <f t="shared" si="454"/>
        <v>9.9026325291450917E-2</v>
      </c>
      <c r="AL786" s="9">
        <v>0</v>
      </c>
      <c r="AM786" s="17">
        <f t="shared" si="431"/>
        <v>13.201161205880323</v>
      </c>
      <c r="AN786" s="13">
        <f t="shared" si="432"/>
        <v>11.720475753816828</v>
      </c>
      <c r="AO786" s="13">
        <f t="shared" si="433"/>
        <v>11.470351278720758</v>
      </c>
      <c r="AP786" s="13">
        <f t="shared" si="434"/>
        <v>9.8114555113913458</v>
      </c>
      <c r="AQ786" s="13">
        <f t="shared" si="435"/>
        <v>15.293232997380233</v>
      </c>
      <c r="AR786" s="13">
        <f t="shared" si="436"/>
        <v>6.2663910857268741</v>
      </c>
      <c r="AS786" s="13">
        <f t="shared" si="437"/>
        <v>10.04273977809501</v>
      </c>
      <c r="AT786" s="13">
        <f t="shared" si="438"/>
        <v>10.098324834904597</v>
      </c>
      <c r="AU786" s="9">
        <v>0</v>
      </c>
      <c r="AV786" s="18">
        <f t="shared" si="455"/>
        <v>2</v>
      </c>
      <c r="AW786" s="18">
        <f t="shared" si="456"/>
        <v>3</v>
      </c>
      <c r="AX786" s="18">
        <f t="shared" si="457"/>
        <v>4</v>
      </c>
      <c r="AY786" s="18">
        <f t="shared" si="458"/>
        <v>7</v>
      </c>
      <c r="AZ786" s="18">
        <f t="shared" si="459"/>
        <v>1</v>
      </c>
      <c r="BA786" s="18">
        <f t="shared" si="460"/>
        <v>8</v>
      </c>
      <c r="BB786" s="18">
        <f t="shared" si="461"/>
        <v>6</v>
      </c>
      <c r="BC786" s="18">
        <f t="shared" si="462"/>
        <v>5</v>
      </c>
      <c r="BD786" s="18">
        <f t="shared" si="463"/>
        <v>9</v>
      </c>
      <c r="BE786" s="8">
        <f t="shared" si="465"/>
        <v>-4.8368188794470617E-3</v>
      </c>
    </row>
    <row r="787" spans="1:57" x14ac:dyDescent="0.25">
      <c r="A787" t="str">
        <f t="shared" si="464"/>
        <v/>
      </c>
      <c r="B787" s="1">
        <v>43895</v>
      </c>
      <c r="C787" s="9">
        <f t="shared" si="439"/>
        <v>0.24867756668509264</v>
      </c>
      <c r="D787" s="9">
        <f t="shared" si="440"/>
        <v>0.24437957724006859</v>
      </c>
      <c r="E787" s="9">
        <f t="shared" si="441"/>
        <v>0.25789180224677338</v>
      </c>
      <c r="F787" s="9">
        <f t="shared" si="442"/>
        <v>0</v>
      </c>
      <c r="G787" s="9">
        <f t="shared" si="443"/>
        <v>0.24905105382806547</v>
      </c>
      <c r="H787" s="9">
        <f t="shared" si="444"/>
        <v>0</v>
      </c>
      <c r="I787" s="9">
        <f t="shared" si="445"/>
        <v>0</v>
      </c>
      <c r="J787" s="9">
        <f t="shared" si="446"/>
        <v>0</v>
      </c>
      <c r="K787" s="9">
        <v>0</v>
      </c>
      <c r="L787" s="8">
        <f>+VLOOKUP($B787,NIFTY_50!$B$3:$I$1238,8,0)</f>
        <v>1.5998577904186018E-3</v>
      </c>
      <c r="M787" s="8">
        <f>+VLOOKUP($B787,NIFTY_BANK!$B$3:$I$41238,8,0)</f>
        <v>5.6415052855303127E-3</v>
      </c>
      <c r="N787" s="8">
        <f>+VLOOKUP($B787,NIFTY_IT!$B$3:$I$1238,8,0)</f>
        <v>4.4439401675466783E-4</v>
      </c>
      <c r="O787" s="8">
        <f>+VLOOKUP($B787,NIFTY_PHARMA!$B$3:$I$1238,8,0)</f>
        <v>7.3517136479710476E-3</v>
      </c>
      <c r="P787" s="8">
        <f>+VLOOKUP($B787,NIFTY_FMCG!$B$3:$I$1238,8,0)</f>
        <v>1.0496599512382909E-2</v>
      </c>
      <c r="Q787" s="8">
        <f>+VLOOKUP($B787,NIFTY_METAL!$B$3:$I$1238,8,0)</f>
        <v>-8.4407412229311474E-3</v>
      </c>
      <c r="R787" s="8">
        <f>+VLOOKUP($B787,NIFTY_ENERGY!$B$3:$I$1238,8,0)</f>
        <v>-9.5844458136510324E-3</v>
      </c>
      <c r="S787" s="8">
        <f>+VLOOKUP($B787,NIFTY_AUTO!$B$3:$I$1238,8,0)</f>
        <v>2.1473298889584935E-3</v>
      </c>
      <c r="T787" s="8">
        <v>0</v>
      </c>
      <c r="U787" s="8">
        <f>+VLOOKUP($B787,NIFTY_50!$B$63:$K$1238,10,0)</f>
        <v>-4.9574927467782137E-2</v>
      </c>
      <c r="V787" s="8">
        <f>+VLOOKUP($B787,NIFTY_BANK!$B$63:$K$1238,10,0)</f>
        <v>-7.5255894109020005E-2</v>
      </c>
      <c r="W787" s="8">
        <f>+VLOOKUP($B787,NIFTY_IT!$B$63:$K$1238,10,0)</f>
        <v>6.1873810344193148E-2</v>
      </c>
      <c r="X787" s="8">
        <f>+VLOOKUP($B787,NIFTY_PHARMA!$B$63:$K$1238,10,0)</f>
        <v>2.5879982368868459E-2</v>
      </c>
      <c r="Y787" s="8">
        <f>+VLOOKUP($B787,NIFTY_FMCG!$B$63:$K$1238,10,0)</f>
        <v>-1.7582088559166986E-2</v>
      </c>
      <c r="Z787" s="8">
        <f>+VLOOKUP($B787,NIFTY_METAL!$B$63:$K$1238,10,0)</f>
        <v>-9.1835923526372376E-2</v>
      </c>
      <c r="AA787" s="8">
        <f>+VLOOKUP($B787,NIFTY_ENERGY!$B$63:$K$1238,10,0)</f>
        <v>-0.12363981852556805</v>
      </c>
      <c r="AB787" s="8">
        <f>+VLOOKUP($B787,NIFTY_AUTO!$B$63:$K$1238,10,0)</f>
        <v>-0.10864786222897327</v>
      </c>
      <c r="AC787" s="8"/>
      <c r="AD787" s="16">
        <f t="shared" si="447"/>
        <v>7.5560231793117424E-2</v>
      </c>
      <c r="AE787" s="8">
        <f t="shared" si="448"/>
        <v>8.5524133164445543E-2</v>
      </c>
      <c r="AF787" s="8">
        <f t="shared" si="449"/>
        <v>8.591326942598658E-2</v>
      </c>
      <c r="AG787" s="8">
        <f t="shared" si="450"/>
        <v>0.10211522221894956</v>
      </c>
      <c r="AH787" s="8">
        <f t="shared" si="451"/>
        <v>6.553954817669376E-2</v>
      </c>
      <c r="AI787" s="8">
        <f t="shared" si="452"/>
        <v>0.15923713710887191</v>
      </c>
      <c r="AJ787" s="8">
        <f t="shared" si="453"/>
        <v>9.8771409632805215E-2</v>
      </c>
      <c r="AK787" s="8">
        <f t="shared" si="454"/>
        <v>9.8927015537983859E-2</v>
      </c>
      <c r="AL787" s="9">
        <v>0</v>
      </c>
      <c r="AM787" s="17">
        <f t="shared" si="431"/>
        <v>13.234475017731315</v>
      </c>
      <c r="AN787" s="13">
        <f t="shared" si="432"/>
        <v>11.692606086719442</v>
      </c>
      <c r="AO787" s="13">
        <f t="shared" si="433"/>
        <v>11.639645501577494</v>
      </c>
      <c r="AP787" s="13">
        <f t="shared" si="434"/>
        <v>9.7928592649571655</v>
      </c>
      <c r="AQ787" s="13">
        <f t="shared" si="435"/>
        <v>15.257962982961267</v>
      </c>
      <c r="AR787" s="13">
        <f t="shared" si="436"/>
        <v>6.2799420923794349</v>
      </c>
      <c r="AS787" s="13">
        <f t="shared" si="437"/>
        <v>10.12438724644735</v>
      </c>
      <c r="AT787" s="13">
        <f t="shared" si="438"/>
        <v>10.108462229066655</v>
      </c>
      <c r="AU787" s="9">
        <v>0</v>
      </c>
      <c r="AV787" s="18">
        <f t="shared" si="455"/>
        <v>2</v>
      </c>
      <c r="AW787" s="18">
        <f t="shared" si="456"/>
        <v>3</v>
      </c>
      <c r="AX787" s="18">
        <f t="shared" si="457"/>
        <v>4</v>
      </c>
      <c r="AY787" s="18">
        <f t="shared" si="458"/>
        <v>7</v>
      </c>
      <c r="AZ787" s="18">
        <f t="shared" si="459"/>
        <v>1</v>
      </c>
      <c r="BA787" s="18">
        <f t="shared" si="460"/>
        <v>8</v>
      </c>
      <c r="BB787" s="18">
        <f t="shared" si="461"/>
        <v>5</v>
      </c>
      <c r="BC787" s="18">
        <f t="shared" si="462"/>
        <v>6</v>
      </c>
      <c r="BD787" s="18">
        <f t="shared" si="463"/>
        <v>9</v>
      </c>
      <c r="BE787" s="8">
        <f t="shared" si="465"/>
        <v>4.4898048203519635E-3</v>
      </c>
    </row>
    <row r="788" spans="1:57" x14ac:dyDescent="0.25">
      <c r="A788" t="str">
        <f t="shared" si="464"/>
        <v/>
      </c>
      <c r="B788" s="1">
        <v>43896</v>
      </c>
      <c r="C788" s="9">
        <f t="shared" si="439"/>
        <v>0.24825585505783429</v>
      </c>
      <c r="D788" s="9">
        <f t="shared" si="440"/>
        <v>0.24136859915841308</v>
      </c>
      <c r="E788" s="9">
        <f t="shared" si="441"/>
        <v>0.26054622913599229</v>
      </c>
      <c r="F788" s="9">
        <f t="shared" si="442"/>
        <v>0</v>
      </c>
      <c r="G788" s="9">
        <f t="shared" si="443"/>
        <v>0.24982931664776034</v>
      </c>
      <c r="H788" s="9">
        <f t="shared" si="444"/>
        <v>0</v>
      </c>
      <c r="I788" s="9">
        <f t="shared" si="445"/>
        <v>0</v>
      </c>
      <c r="J788" s="9">
        <f t="shared" si="446"/>
        <v>0</v>
      </c>
      <c r="K788" s="9">
        <v>0</v>
      </c>
      <c r="L788" s="8">
        <f>+VLOOKUP($B788,NIFTY_50!$B$3:$I$1238,8,0)</f>
        <v>-2.4806992634661351E-2</v>
      </c>
      <c r="M788" s="8">
        <f>+VLOOKUP($B788,NIFTY_BANK!$B$3:$I$41238,8,0)</f>
        <v>-3.5186107404560296E-2</v>
      </c>
      <c r="N788" s="8">
        <f>+VLOOKUP($B788,NIFTY_IT!$B$3:$I$1238,8,0)</f>
        <v>-1.309592441726759E-2</v>
      </c>
      <c r="O788" s="8">
        <f>+VLOOKUP($B788,NIFTY_PHARMA!$B$3:$I$1238,8,0)</f>
        <v>-1.5676405597839449E-2</v>
      </c>
      <c r="P788" s="8">
        <f>+VLOOKUP($B788,NIFTY_FMCG!$B$3:$I$1238,8,0)</f>
        <v>-2.0097864919320751E-2</v>
      </c>
      <c r="Q788" s="8">
        <f>+VLOOKUP($B788,NIFTY_METAL!$B$3:$I$1238,8,0)</f>
        <v>-4.4182331444077239E-2</v>
      </c>
      <c r="R788" s="8">
        <f>+VLOOKUP($B788,NIFTY_ENERGY!$B$3:$I$1238,8,0)</f>
        <v>-2.9180748927686517E-2</v>
      </c>
      <c r="S788" s="8">
        <f>+VLOOKUP($B788,NIFTY_AUTO!$B$3:$I$1238,8,0)</f>
        <v>-8.4486787704476374E-3</v>
      </c>
      <c r="T788" s="8">
        <v>0</v>
      </c>
      <c r="U788" s="8">
        <f>+VLOOKUP($B788,NIFTY_50!$B$63:$K$1238,10,0)</f>
        <v>-7.7303812294555407E-2</v>
      </c>
      <c r="V788" s="8">
        <f>+VLOOKUP($B788,NIFTY_BANK!$B$63:$K$1238,10,0)</f>
        <v>-0.11054572212402114</v>
      </c>
      <c r="W788" s="8">
        <f>+VLOOKUP($B788,NIFTY_IT!$B$63:$K$1238,10,0)</f>
        <v>3.5240543809442082E-2</v>
      </c>
      <c r="X788" s="8">
        <f>+VLOOKUP($B788,NIFTY_PHARMA!$B$63:$K$1238,10,0)</f>
        <v>6.3316955012957532E-3</v>
      </c>
      <c r="Y788" s="8">
        <f>+VLOOKUP($B788,NIFTY_FMCG!$B$63:$K$1238,10,0)</f>
        <v>-3.8716117791076865E-2</v>
      </c>
      <c r="Z788" s="8">
        <f>+VLOOKUP($B788,NIFTY_METAL!$B$63:$K$1238,10,0)</f>
        <v>-0.1297643003725768</v>
      </c>
      <c r="AA788" s="8">
        <f>+VLOOKUP($B788,NIFTY_ENERGY!$B$63:$K$1238,10,0)</f>
        <v>-0.15735027567086224</v>
      </c>
      <c r="AB788" s="8">
        <f>+VLOOKUP($B788,NIFTY_AUTO!$B$63:$K$1238,10,0)</f>
        <v>-0.12035619514186569</v>
      </c>
      <c r="AC788" s="8"/>
      <c r="AD788" s="16">
        <f t="shared" si="447"/>
        <v>7.9021112714554531E-2</v>
      </c>
      <c r="AE788" s="8">
        <f t="shared" si="448"/>
        <v>9.178962168755174E-2</v>
      </c>
      <c r="AF788" s="8">
        <f t="shared" si="449"/>
        <v>8.6278666616156727E-2</v>
      </c>
      <c r="AG788" s="8">
        <f t="shared" si="450"/>
        <v>0.10331840591427346</v>
      </c>
      <c r="AH788" s="8">
        <f t="shared" si="451"/>
        <v>6.8400664377772716E-2</v>
      </c>
      <c r="AI788" s="8">
        <f t="shared" si="452"/>
        <v>0.16480209509704769</v>
      </c>
      <c r="AJ788" s="8">
        <f t="shared" si="453"/>
        <v>0.10162509066326882</v>
      </c>
      <c r="AK788" s="8">
        <f t="shared" si="454"/>
        <v>9.8918829594288452E-2</v>
      </c>
      <c r="AL788" s="9">
        <v>0</v>
      </c>
      <c r="AM788" s="17">
        <f t="shared" si="431"/>
        <v>12.654845846226797</v>
      </c>
      <c r="AN788" s="13">
        <f t="shared" si="432"/>
        <v>10.894477846351307</v>
      </c>
      <c r="AO788" s="13">
        <f t="shared" si="433"/>
        <v>11.590350653526881</v>
      </c>
      <c r="AP788" s="13">
        <f t="shared" si="434"/>
        <v>9.6788175461178856</v>
      </c>
      <c r="AQ788" s="13">
        <f t="shared" si="435"/>
        <v>14.619741037558653</v>
      </c>
      <c r="AR788" s="13">
        <f t="shared" si="436"/>
        <v>6.0678840242360144</v>
      </c>
      <c r="AS788" s="13">
        <f t="shared" si="437"/>
        <v>9.8400896222908667</v>
      </c>
      <c r="AT788" s="13">
        <f t="shared" si="438"/>
        <v>10.109298746269635</v>
      </c>
      <c r="AU788" s="9">
        <v>0</v>
      </c>
      <c r="AV788" s="18">
        <f t="shared" si="455"/>
        <v>2</v>
      </c>
      <c r="AW788" s="18">
        <f t="shared" si="456"/>
        <v>4</v>
      </c>
      <c r="AX788" s="18">
        <f t="shared" si="457"/>
        <v>3</v>
      </c>
      <c r="AY788" s="18">
        <f t="shared" si="458"/>
        <v>7</v>
      </c>
      <c r="AZ788" s="18">
        <f t="shared" si="459"/>
        <v>1</v>
      </c>
      <c r="BA788" s="18">
        <f t="shared" si="460"/>
        <v>8</v>
      </c>
      <c r="BB788" s="18">
        <f t="shared" si="461"/>
        <v>6</v>
      </c>
      <c r="BC788" s="18">
        <f t="shared" si="462"/>
        <v>5</v>
      </c>
      <c r="BD788" s="18">
        <f t="shared" si="463"/>
        <v>9</v>
      </c>
      <c r="BE788" s="8">
        <f t="shared" si="465"/>
        <v>-2.3150434605320298E-2</v>
      </c>
    </row>
    <row r="789" spans="1:57" x14ac:dyDescent="0.25">
      <c r="A789" t="str">
        <f t="shared" si="464"/>
        <v/>
      </c>
      <c r="B789" s="1">
        <v>43899</v>
      </c>
      <c r="C789" s="9">
        <f t="shared" si="439"/>
        <v>0.24718331689218423</v>
      </c>
      <c r="D789" s="9">
        <f t="shared" si="440"/>
        <v>0.24052759037483953</v>
      </c>
      <c r="E789" s="9">
        <f t="shared" si="441"/>
        <v>0.25869306059029457</v>
      </c>
      <c r="F789" s="9">
        <f t="shared" si="442"/>
        <v>0</v>
      </c>
      <c r="G789" s="9">
        <f t="shared" si="443"/>
        <v>0.25359603214268167</v>
      </c>
      <c r="H789" s="9">
        <f t="shared" si="444"/>
        <v>0</v>
      </c>
      <c r="I789" s="9">
        <f t="shared" si="445"/>
        <v>0</v>
      </c>
      <c r="J789" s="9">
        <f t="shared" si="446"/>
        <v>0</v>
      </c>
      <c r="K789" s="9">
        <v>0</v>
      </c>
      <c r="L789" s="8">
        <f>+VLOOKUP($B789,NIFTY_50!$B$3:$I$1238,8,0)</f>
        <v>-4.8956044206033944E-2</v>
      </c>
      <c r="M789" s="8">
        <f>+VLOOKUP($B789,NIFTY_BANK!$B$3:$I$41238,8,0)</f>
        <v>-4.815756012725958E-2</v>
      </c>
      <c r="N789" s="8">
        <f>+VLOOKUP($B789,NIFTY_IT!$B$3:$I$1238,8,0)</f>
        <v>-5.1623200434130379E-2</v>
      </c>
      <c r="O789" s="8">
        <f>+VLOOKUP($B789,NIFTY_PHARMA!$B$3:$I$1238,8,0)</f>
        <v>-3.2656548146115849E-2</v>
      </c>
      <c r="P789" s="8">
        <f>+VLOOKUP($B789,NIFTY_FMCG!$B$3:$I$1238,8,0)</f>
        <v>-3.0428171545080707E-2</v>
      </c>
      <c r="Q789" s="8">
        <f>+VLOOKUP($B789,NIFTY_METAL!$B$3:$I$1238,8,0)</f>
        <v>-7.5026329044370232E-2</v>
      </c>
      <c r="R789" s="8">
        <f>+VLOOKUP($B789,NIFTY_ENERGY!$B$3:$I$1238,8,0)</f>
        <v>-6.4627583829238722E-2</v>
      </c>
      <c r="S789" s="8">
        <f>+VLOOKUP($B789,NIFTY_AUTO!$B$3:$I$1238,8,0)</f>
        <v>-3.8121827411167541E-2</v>
      </c>
      <c r="T789" s="8">
        <v>0</v>
      </c>
      <c r="U789" s="8">
        <f>+VLOOKUP($B789,NIFTY_50!$B$63:$K$1238,10,0)</f>
        <v>-0.12699426986752194</v>
      </c>
      <c r="V789" s="8">
        <f>+VLOOKUP($B789,NIFTY_BANK!$B$63:$K$1238,10,0)</f>
        <v>-0.16430683915750455</v>
      </c>
      <c r="W789" s="8">
        <f>+VLOOKUP($B789,NIFTY_IT!$B$63:$K$1238,10,0)</f>
        <v>-7.8643393120122473E-3</v>
      </c>
      <c r="X789" s="8">
        <f>+VLOOKUP($B789,NIFTY_PHARMA!$B$63:$K$1238,10,0)</f>
        <v>-3.5908941189631394E-2</v>
      </c>
      <c r="Y789" s="8">
        <f>+VLOOKUP($B789,NIFTY_FMCG!$B$63:$K$1238,10,0)</f>
        <v>-7.1835834054244541E-2</v>
      </c>
      <c r="Z789" s="8">
        <f>+VLOOKUP($B789,NIFTY_METAL!$B$63:$K$1238,10,0)</f>
        <v>-0.21362114606041738</v>
      </c>
      <c r="AA789" s="8">
        <f>+VLOOKUP($B789,NIFTY_ENERGY!$B$63:$K$1238,10,0)</f>
        <v>-0.21753359728400412</v>
      </c>
      <c r="AB789" s="8">
        <f>+VLOOKUP($B789,NIFTY_AUTO!$B$63:$K$1238,10,0)</f>
        <v>-0.16489542541269508</v>
      </c>
      <c r="AC789" s="8"/>
      <c r="AD789" s="16">
        <f t="shared" si="447"/>
        <v>9.1810032264770761E-2</v>
      </c>
      <c r="AE789" s="8">
        <f t="shared" si="448"/>
        <v>0.10141800352924651</v>
      </c>
      <c r="AF789" s="8">
        <f t="shared" si="449"/>
        <v>0.1001222872943127</v>
      </c>
      <c r="AG789" s="8">
        <f t="shared" si="450"/>
        <v>0.10785758373116236</v>
      </c>
      <c r="AH789" s="8">
        <f t="shared" si="451"/>
        <v>7.4333071348503879E-2</v>
      </c>
      <c r="AI789" s="8">
        <f t="shared" si="452"/>
        <v>0.17795261885459374</v>
      </c>
      <c r="AJ789" s="8">
        <f t="shared" si="453"/>
        <v>0.11821559760361719</v>
      </c>
      <c r="AK789" s="8">
        <f t="shared" si="454"/>
        <v>0.10399137403591058</v>
      </c>
      <c r="AL789" s="9">
        <v>0</v>
      </c>
      <c r="AM789" s="17">
        <f t="shared" si="431"/>
        <v>10.892055860693983</v>
      </c>
      <c r="AN789" s="13">
        <f t="shared" si="432"/>
        <v>9.8601822674573167</v>
      </c>
      <c r="AO789" s="13">
        <f t="shared" si="433"/>
        <v>9.9877862064863496</v>
      </c>
      <c r="AP789" s="13">
        <f t="shared" si="434"/>
        <v>9.2714852809286388</v>
      </c>
      <c r="AQ789" s="13">
        <f t="shared" si="435"/>
        <v>13.45296221262795</v>
      </c>
      <c r="AR789" s="13">
        <f t="shared" si="436"/>
        <v>5.6194733544051223</v>
      </c>
      <c r="AS789" s="13">
        <f t="shared" si="437"/>
        <v>8.459120625968918</v>
      </c>
      <c r="AT789" s="13">
        <f t="shared" si="438"/>
        <v>9.6161822004070974</v>
      </c>
      <c r="AU789" s="9">
        <v>0</v>
      </c>
      <c r="AV789" s="18">
        <f t="shared" si="455"/>
        <v>2</v>
      </c>
      <c r="AW789" s="18">
        <f t="shared" si="456"/>
        <v>4</v>
      </c>
      <c r="AX789" s="18">
        <f t="shared" si="457"/>
        <v>3</v>
      </c>
      <c r="AY789" s="18">
        <f t="shared" si="458"/>
        <v>6</v>
      </c>
      <c r="AZ789" s="18">
        <f t="shared" si="459"/>
        <v>1</v>
      </c>
      <c r="BA789" s="18">
        <f t="shared" si="460"/>
        <v>8</v>
      </c>
      <c r="BB789" s="18">
        <f t="shared" si="461"/>
        <v>7</v>
      </c>
      <c r="BC789" s="18">
        <f t="shared" si="462"/>
        <v>5</v>
      </c>
      <c r="BD789" s="18">
        <f t="shared" si="463"/>
        <v>9</v>
      </c>
      <c r="BE789" s="8">
        <f t="shared" si="465"/>
        <v>-4.4829426954414317E-2</v>
      </c>
    </row>
    <row r="790" spans="1:57" x14ac:dyDescent="0.25">
      <c r="A790" t="str">
        <f t="shared" si="464"/>
        <v/>
      </c>
      <c r="B790" s="1">
        <v>43901</v>
      </c>
      <c r="C790" s="9">
        <f t="shared" si="439"/>
        <v>0.24794943924507082</v>
      </c>
      <c r="D790" s="9">
        <f t="shared" si="440"/>
        <v>0.24134235749726934</v>
      </c>
      <c r="E790" s="9">
        <f t="shared" si="441"/>
        <v>0.25629361782539206</v>
      </c>
      <c r="F790" s="9">
        <f t="shared" si="442"/>
        <v>0</v>
      </c>
      <c r="G790" s="9">
        <f t="shared" si="443"/>
        <v>0.25441458543226775</v>
      </c>
      <c r="H790" s="9">
        <f t="shared" si="444"/>
        <v>0</v>
      </c>
      <c r="I790" s="9">
        <f t="shared" si="445"/>
        <v>0</v>
      </c>
      <c r="J790" s="9">
        <f t="shared" si="446"/>
        <v>0</v>
      </c>
      <c r="K790" s="9">
        <v>0</v>
      </c>
      <c r="L790" s="8">
        <f>+VLOOKUP($B790,NIFTY_50!$B$3:$I$1238,8,0)</f>
        <v>6.6497950045207865E-4</v>
      </c>
      <c r="M790" s="8">
        <f>+VLOOKUP($B790,NIFTY_BANK!$B$3:$I$41238,8,0)</f>
        <v>9.5228737916919215E-4</v>
      </c>
      <c r="N790" s="8">
        <f>+VLOOKUP($B790,NIFTY_IT!$B$3:$I$1238,8,0)</f>
        <v>-1.1679647792984138E-2</v>
      </c>
      <c r="O790" s="8">
        <f>+VLOOKUP($B790,NIFTY_PHARMA!$B$3:$I$1238,8,0)</f>
        <v>-1.7198589560945998E-2</v>
      </c>
      <c r="P790" s="8">
        <f>+VLOOKUP($B790,NIFTY_FMCG!$B$3:$I$1238,8,0)</f>
        <v>7.9304261044677027E-4</v>
      </c>
      <c r="Q790" s="8">
        <f>+VLOOKUP($B790,NIFTY_METAL!$B$3:$I$1238,8,0)</f>
        <v>-1.6385733026410221E-2</v>
      </c>
      <c r="R790" s="8">
        <f>+VLOOKUP($B790,NIFTY_ENERGY!$B$3:$I$1238,8,0)</f>
        <v>-6.538304367683323E-3</v>
      </c>
      <c r="S790" s="8">
        <f>+VLOOKUP($B790,NIFTY_AUTO!$B$3:$I$1238,8,0)</f>
        <v>-9.6047284817140088E-3</v>
      </c>
      <c r="T790" s="8">
        <v>0</v>
      </c>
      <c r="U790" s="8">
        <f>+VLOOKUP($B790,NIFTY_50!$B$63:$K$1238,10,0)</f>
        <v>-0.13471832675585571</v>
      </c>
      <c r="V790" s="8">
        <f>+VLOOKUP($B790,NIFTY_BANK!$B$63:$K$1238,10,0)</f>
        <v>-0.17262469056748164</v>
      </c>
      <c r="W790" s="8">
        <f>+VLOOKUP($B790,NIFTY_IT!$B$63:$K$1238,10,0)</f>
        <v>-3.4153369450447446E-2</v>
      </c>
      <c r="X790" s="8">
        <f>+VLOOKUP($B790,NIFTY_PHARMA!$B$63:$K$1238,10,0)</f>
        <v>-5.245461494956527E-2</v>
      </c>
      <c r="Y790" s="8">
        <f>+VLOOKUP($B790,NIFTY_FMCG!$B$63:$K$1238,10,0)</f>
        <v>-7.7153773468633169E-2</v>
      </c>
      <c r="Z790" s="8">
        <f>+VLOOKUP($B790,NIFTY_METAL!$B$63:$K$1238,10,0)</f>
        <v>-0.24357095269820117</v>
      </c>
      <c r="AA790" s="8">
        <f>+VLOOKUP($B790,NIFTY_ENERGY!$B$63:$K$1238,10,0)</f>
        <v>-0.22836311811327437</v>
      </c>
      <c r="AB790" s="8">
        <f>+VLOOKUP($B790,NIFTY_AUTO!$B$63:$K$1238,10,0)</f>
        <v>-0.18603541643431598</v>
      </c>
      <c r="AC790" s="8"/>
      <c r="AD790" s="16">
        <f t="shared" si="447"/>
        <v>9.1091290082441351E-2</v>
      </c>
      <c r="AE790" s="8">
        <f t="shared" si="448"/>
        <v>0.10052915017729708</v>
      </c>
      <c r="AF790" s="8">
        <f t="shared" si="449"/>
        <v>9.9573536932215656E-2</v>
      </c>
      <c r="AG790" s="8">
        <f t="shared" si="450"/>
        <v>0.10911883513830735</v>
      </c>
      <c r="AH790" s="8">
        <f t="shared" si="451"/>
        <v>7.3951953447595892E-2</v>
      </c>
      <c r="AI790" s="8">
        <f t="shared" si="452"/>
        <v>0.17639767084391308</v>
      </c>
      <c r="AJ790" s="8">
        <f t="shared" si="453"/>
        <v>0.1176902143887559</v>
      </c>
      <c r="AK790" s="8">
        <f t="shared" si="454"/>
        <v>0.10241431862157081</v>
      </c>
      <c r="AL790" s="9">
        <v>0</v>
      </c>
      <c r="AM790" s="17">
        <f t="shared" si="431"/>
        <v>10.977997996240465</v>
      </c>
      <c r="AN790" s="13">
        <f t="shared" si="432"/>
        <v>9.9473635083591336</v>
      </c>
      <c r="AO790" s="13">
        <f t="shared" si="433"/>
        <v>10.042828956460054</v>
      </c>
      <c r="AP790" s="13">
        <f t="shared" si="434"/>
        <v>9.1643207035018932</v>
      </c>
      <c r="AQ790" s="13">
        <f t="shared" si="435"/>
        <v>13.522293237441303</v>
      </c>
      <c r="AR790" s="13">
        <f t="shared" si="436"/>
        <v>5.6690090930104065</v>
      </c>
      <c r="AS790" s="13">
        <f t="shared" si="437"/>
        <v>8.4968831537411127</v>
      </c>
      <c r="AT790" s="13">
        <f t="shared" si="438"/>
        <v>9.7642596607519394</v>
      </c>
      <c r="AU790" s="9">
        <v>0</v>
      </c>
      <c r="AV790" s="18">
        <f t="shared" si="455"/>
        <v>2</v>
      </c>
      <c r="AW790" s="18">
        <f t="shared" si="456"/>
        <v>4</v>
      </c>
      <c r="AX790" s="18">
        <f t="shared" si="457"/>
        <v>3</v>
      </c>
      <c r="AY790" s="18">
        <f t="shared" si="458"/>
        <v>6</v>
      </c>
      <c r="AZ790" s="18">
        <f t="shared" si="459"/>
        <v>1</v>
      </c>
      <c r="BA790" s="18">
        <f t="shared" si="460"/>
        <v>8</v>
      </c>
      <c r="BB790" s="18">
        <f t="shared" si="461"/>
        <v>7</v>
      </c>
      <c r="BC790" s="18">
        <f t="shared" si="462"/>
        <v>5</v>
      </c>
      <c r="BD790" s="18">
        <f t="shared" si="463"/>
        <v>9</v>
      </c>
      <c r="BE790" s="8">
        <f t="shared" si="465"/>
        <v>-2.4269081476113812E-3</v>
      </c>
    </row>
    <row r="791" spans="1:57" x14ac:dyDescent="0.25">
      <c r="A791" t="str">
        <f t="shared" si="464"/>
        <v/>
      </c>
      <c r="B791" s="1">
        <v>43902</v>
      </c>
      <c r="C791" s="9">
        <f t="shared" si="439"/>
        <v>0.24827772118112915</v>
      </c>
      <c r="D791" s="9">
        <f t="shared" si="440"/>
        <v>0.23850143693147161</v>
      </c>
      <c r="E791" s="9">
        <f t="shared" si="441"/>
        <v>0.25515160059202147</v>
      </c>
      <c r="F791" s="9">
        <f t="shared" si="442"/>
        <v>0</v>
      </c>
      <c r="G791" s="9">
        <f t="shared" si="443"/>
        <v>0.25806924129537767</v>
      </c>
      <c r="H791" s="9">
        <f t="shared" si="444"/>
        <v>0</v>
      </c>
      <c r="I791" s="9">
        <f t="shared" si="445"/>
        <v>0</v>
      </c>
      <c r="J791" s="9">
        <f t="shared" si="446"/>
        <v>0</v>
      </c>
      <c r="K791" s="9">
        <v>0</v>
      </c>
      <c r="L791" s="8">
        <f>+VLOOKUP($B791,NIFTY_50!$B$3:$I$1238,8,0)</f>
        <v>-8.3019391111451069E-2</v>
      </c>
      <c r="M791" s="8">
        <f>+VLOOKUP($B791,NIFTY_BANK!$B$3:$I$41238,8,0)</f>
        <v>-9.5011665748004681E-2</v>
      </c>
      <c r="N791" s="8">
        <f>+VLOOKUP($B791,NIFTY_IT!$B$3:$I$1238,8,0)</f>
        <v>-8.8312422521012901E-2</v>
      </c>
      <c r="O791" s="8">
        <f>+VLOOKUP($B791,NIFTY_PHARMA!$B$3:$I$1238,8,0)</f>
        <v>-8.9268731019736203E-2</v>
      </c>
      <c r="P791" s="8">
        <f>+VLOOKUP($B791,NIFTY_FMCG!$B$3:$I$1238,8,0)</f>
        <v>-7.1076881983706541E-2</v>
      </c>
      <c r="Q791" s="8">
        <f>+VLOOKUP($B791,NIFTY_METAL!$B$3:$I$1238,8,0)</f>
        <v>-9.3786959913435219E-2</v>
      </c>
      <c r="R791" s="8">
        <f>+VLOOKUP($B791,NIFTY_ENERGY!$B$3:$I$1238,8,0)</f>
        <v>-9.628428786888954E-2</v>
      </c>
      <c r="S791" s="8">
        <f>+VLOOKUP($B791,NIFTY_AUTO!$B$3:$I$1238,8,0)</f>
        <v>-8.1457573704603048E-2</v>
      </c>
      <c r="T791" s="8">
        <v>0</v>
      </c>
      <c r="U791" s="8">
        <f>+VLOOKUP($B791,NIFTY_50!$B$63:$K$1238,10,0)</f>
        <v>-0.2043977285454146</v>
      </c>
      <c r="V791" s="8">
        <f>+VLOOKUP($B791,NIFTY_BANK!$B$63:$K$1238,10,0)</f>
        <v>-0.25029711454860482</v>
      </c>
      <c r="W791" s="8">
        <f>+VLOOKUP($B791,NIFTY_IT!$B$63:$K$1238,10,0)</f>
        <v>-0.12795178760485382</v>
      </c>
      <c r="X791" s="8">
        <f>+VLOOKUP($B791,NIFTY_PHARMA!$B$63:$K$1238,10,0)</f>
        <v>-0.13497635764436167</v>
      </c>
      <c r="Y791" s="8">
        <f>+VLOOKUP($B791,NIFTY_FMCG!$B$63:$K$1238,10,0)</f>
        <v>-0.13181396060992367</v>
      </c>
      <c r="Z791" s="8">
        <f>+VLOOKUP($B791,NIFTY_METAL!$B$63:$K$1238,10,0)</f>
        <v>-0.30508278337385664</v>
      </c>
      <c r="AA791" s="8">
        <f>+VLOOKUP($B791,NIFTY_ENERGY!$B$63:$K$1238,10,0)</f>
        <v>-0.29856268232524952</v>
      </c>
      <c r="AB791" s="8">
        <f>+VLOOKUP($B791,NIFTY_AUTO!$B$63:$K$1238,10,0)</f>
        <v>-0.24495670020523608</v>
      </c>
      <c r="AC791" s="8"/>
      <c r="AD791" s="16">
        <f t="shared" si="447"/>
        <v>0.12127360422668791</v>
      </c>
      <c r="AE791" s="8">
        <f t="shared" si="448"/>
        <v>0.13572675810718213</v>
      </c>
      <c r="AF791" s="8">
        <f t="shared" si="449"/>
        <v>0.13177952994261122</v>
      </c>
      <c r="AG791" s="8">
        <f t="shared" si="450"/>
        <v>0.14003540111112861</v>
      </c>
      <c r="AH791" s="8">
        <f t="shared" si="451"/>
        <v>0.10078478797971176</v>
      </c>
      <c r="AI791" s="8">
        <f t="shared" si="452"/>
        <v>0.19731080161938233</v>
      </c>
      <c r="AJ791" s="8">
        <f t="shared" si="453"/>
        <v>0.14902053240493751</v>
      </c>
      <c r="AK791" s="8">
        <f t="shared" si="454"/>
        <v>0.12834991234468265</v>
      </c>
      <c r="AL791" s="9">
        <v>0</v>
      </c>
      <c r="AM791" s="17">
        <f t="shared" si="431"/>
        <v>8.2458174338644454</v>
      </c>
      <c r="AN791" s="13">
        <f t="shared" si="432"/>
        <v>7.3677439433888896</v>
      </c>
      <c r="AO791" s="13">
        <f t="shared" si="433"/>
        <v>7.5884319851155251</v>
      </c>
      <c r="AP791" s="13">
        <f t="shared" si="434"/>
        <v>7.1410514203221007</v>
      </c>
      <c r="AQ791" s="13">
        <f t="shared" si="435"/>
        <v>9.9221322983911282</v>
      </c>
      <c r="AR791" s="13">
        <f t="shared" si="436"/>
        <v>5.0681462534880684</v>
      </c>
      <c r="AS791" s="13">
        <f t="shared" si="437"/>
        <v>6.7104846819542496</v>
      </c>
      <c r="AT791" s="13">
        <f t="shared" si="438"/>
        <v>7.7912012694991803</v>
      </c>
      <c r="AU791" s="9">
        <v>0</v>
      </c>
      <c r="AV791" s="18">
        <f t="shared" si="455"/>
        <v>2</v>
      </c>
      <c r="AW791" s="18">
        <f t="shared" si="456"/>
        <v>5</v>
      </c>
      <c r="AX791" s="18">
        <f t="shared" si="457"/>
        <v>4</v>
      </c>
      <c r="AY791" s="18">
        <f t="shared" si="458"/>
        <v>6</v>
      </c>
      <c r="AZ791" s="18">
        <f t="shared" si="459"/>
        <v>1</v>
      </c>
      <c r="BA791" s="18">
        <f t="shared" si="460"/>
        <v>8</v>
      </c>
      <c r="BB791" s="18">
        <f t="shared" si="461"/>
        <v>7</v>
      </c>
      <c r="BC791" s="18">
        <f t="shared" si="462"/>
        <v>3</v>
      </c>
      <c r="BD791" s="18">
        <f t="shared" si="463"/>
        <v>9</v>
      </c>
      <c r="BE791" s="8">
        <f t="shared" si="465"/>
        <v>-8.423185660445548E-2</v>
      </c>
    </row>
    <row r="792" spans="1:57" x14ac:dyDescent="0.25">
      <c r="A792" t="str">
        <f t="shared" si="464"/>
        <v/>
      </c>
      <c r="B792" s="1">
        <v>43903</v>
      </c>
      <c r="C792" s="9">
        <f t="shared" si="439"/>
        <v>0.25131474141451138</v>
      </c>
      <c r="D792" s="9">
        <f t="shared" si="440"/>
        <v>0.24416292118333122</v>
      </c>
      <c r="E792" s="9">
        <f t="shared" si="441"/>
        <v>0.25166928099050334</v>
      </c>
      <c r="F792" s="9">
        <f t="shared" si="442"/>
        <v>0</v>
      </c>
      <c r="G792" s="9">
        <f t="shared" si="443"/>
        <v>0.25285305641165401</v>
      </c>
      <c r="H792" s="9">
        <f t="shared" si="444"/>
        <v>0</v>
      </c>
      <c r="I792" s="9">
        <f t="shared" si="445"/>
        <v>0</v>
      </c>
      <c r="J792" s="9">
        <f t="shared" si="446"/>
        <v>0</v>
      </c>
      <c r="K792" s="9">
        <v>0</v>
      </c>
      <c r="L792" s="8">
        <f>+VLOOKUP($B792,NIFTY_50!$B$3:$I$1238,8,0)</f>
        <v>3.8065098043305046E-2</v>
      </c>
      <c r="M792" s="8">
        <f>+VLOOKUP($B792,NIFTY_BANK!$B$3:$I$41238,8,0)</f>
        <v>4.9864107479199005E-2</v>
      </c>
      <c r="N792" s="8">
        <f>+VLOOKUP($B792,NIFTY_IT!$B$3:$I$1238,8,0)</f>
        <v>1.1524223282292967E-2</v>
      </c>
      <c r="O792" s="8">
        <f>+VLOOKUP($B792,NIFTY_PHARMA!$B$3:$I$1238,8,0)</f>
        <v>4.6877588206062581E-2</v>
      </c>
      <c r="P792" s="8">
        <f>+VLOOKUP($B792,NIFTY_FMCG!$B$3:$I$1238,8,0)</f>
        <v>4.79239351301608E-3</v>
      </c>
      <c r="Q792" s="8">
        <f>+VLOOKUP($B792,NIFTY_METAL!$B$3:$I$1238,8,0)</f>
        <v>5.7064311896034559E-2</v>
      </c>
      <c r="R792" s="8">
        <f>+VLOOKUP($B792,NIFTY_ENERGY!$B$3:$I$1238,8,0)</f>
        <v>4.6082517470035445E-2</v>
      </c>
      <c r="S792" s="8">
        <f>+VLOOKUP($B792,NIFTY_AUTO!$B$3:$I$1238,8,0)</f>
        <v>2.462956210428624E-2</v>
      </c>
      <c r="T792" s="8">
        <v>0</v>
      </c>
      <c r="U792" s="8">
        <f>+VLOOKUP($B792,NIFTY_50!$B$63:$K$1238,10,0)</f>
        <v>-0.18165228113440191</v>
      </c>
      <c r="V792" s="8">
        <f>+VLOOKUP($B792,NIFTY_BANK!$B$63:$K$1238,10,0)</f>
        <v>-0.2169802661771455</v>
      </c>
      <c r="W792" s="8">
        <f>+VLOOKUP($B792,NIFTY_IT!$B$63:$K$1238,10,0)</f>
        <v>-0.13417086873247364</v>
      </c>
      <c r="X792" s="8">
        <f>+VLOOKUP($B792,NIFTY_PHARMA!$B$63:$K$1238,10,0)</f>
        <v>-9.1454572728636441E-2</v>
      </c>
      <c r="Y792" s="8">
        <f>+VLOOKUP($B792,NIFTY_FMCG!$B$63:$K$1238,10,0)</f>
        <v>-0.13166932000974085</v>
      </c>
      <c r="Z792" s="8">
        <f>+VLOOKUP($B792,NIFTY_METAL!$B$63:$K$1238,10,0)</f>
        <v>-0.28599831191972247</v>
      </c>
      <c r="AA792" s="8">
        <f>+VLOOKUP($B792,NIFTY_ENERGY!$B$63:$K$1238,10,0)</f>
        <v>-0.26630069074304163</v>
      </c>
      <c r="AB792" s="8">
        <f>+VLOOKUP($B792,NIFTY_AUTO!$B$63:$K$1238,10,0)</f>
        <v>-0.2310849637433301</v>
      </c>
      <c r="AC792" s="8"/>
      <c r="AD792" s="16">
        <f t="shared" si="447"/>
        <v>0.12753991357559458</v>
      </c>
      <c r="AE792" s="8">
        <f t="shared" si="448"/>
        <v>0.14579243522356233</v>
      </c>
      <c r="AF792" s="8">
        <f t="shared" si="449"/>
        <v>0.13082163259277471</v>
      </c>
      <c r="AG792" s="8">
        <f t="shared" si="450"/>
        <v>0.14824682318356311</v>
      </c>
      <c r="AH792" s="8">
        <f t="shared" si="451"/>
        <v>0.10079630656145872</v>
      </c>
      <c r="AI792" s="8">
        <f t="shared" si="452"/>
        <v>0.20411379277701305</v>
      </c>
      <c r="AJ792" s="8">
        <f t="shared" si="453"/>
        <v>0.15751822112538619</v>
      </c>
      <c r="AK792" s="8">
        <f t="shared" si="454"/>
        <v>0.13115538421574965</v>
      </c>
      <c r="AL792" s="9">
        <v>0</v>
      </c>
      <c r="AM792" s="17">
        <f t="shared" si="431"/>
        <v>7.8406827475799323</v>
      </c>
      <c r="AN792" s="13">
        <f t="shared" si="432"/>
        <v>6.8590664424156929</v>
      </c>
      <c r="AO792" s="13">
        <f t="shared" si="433"/>
        <v>7.6439957228849789</v>
      </c>
      <c r="AP792" s="13">
        <f t="shared" si="434"/>
        <v>6.7455071112166349</v>
      </c>
      <c r="AQ792" s="13">
        <f t="shared" si="435"/>
        <v>9.9209984384722283</v>
      </c>
      <c r="AR792" s="13">
        <f t="shared" si="436"/>
        <v>4.899227957085996</v>
      </c>
      <c r="AS792" s="13">
        <f t="shared" si="437"/>
        <v>6.3484718964924651</v>
      </c>
      <c r="AT792" s="13">
        <f t="shared" si="438"/>
        <v>7.6245440168510905</v>
      </c>
      <c r="AU792" s="9">
        <v>0</v>
      </c>
      <c r="AV792" s="18">
        <f t="shared" si="455"/>
        <v>2</v>
      </c>
      <c r="AW792" s="18">
        <f t="shared" si="456"/>
        <v>5</v>
      </c>
      <c r="AX792" s="18">
        <f t="shared" si="457"/>
        <v>3</v>
      </c>
      <c r="AY792" s="18">
        <f t="shared" si="458"/>
        <v>6</v>
      </c>
      <c r="AZ792" s="18">
        <f t="shared" si="459"/>
        <v>1</v>
      </c>
      <c r="BA792" s="18">
        <f t="shared" si="460"/>
        <v>8</v>
      </c>
      <c r="BB792" s="18">
        <f t="shared" si="461"/>
        <v>7</v>
      </c>
      <c r="BC792" s="18">
        <f t="shared" si="462"/>
        <v>4</v>
      </c>
      <c r="BD792" s="18">
        <f t="shared" si="463"/>
        <v>9</v>
      </c>
      <c r="BE792" s="8">
        <f t="shared" si="465"/>
        <v>2.5520570457772177E-2</v>
      </c>
    </row>
    <row r="793" spans="1:57" x14ac:dyDescent="0.25">
      <c r="A793" t="str">
        <f t="shared" si="464"/>
        <v/>
      </c>
      <c r="B793" s="1">
        <v>43906</v>
      </c>
      <c r="C793" s="9">
        <f t="shared" si="439"/>
        <v>0.25070185974716419</v>
      </c>
      <c r="D793" s="9">
        <f t="shared" si="440"/>
        <v>0.24200027584411377</v>
      </c>
      <c r="E793" s="9">
        <f t="shared" si="441"/>
        <v>0.24990869120958117</v>
      </c>
      <c r="F793" s="9">
        <f t="shared" si="442"/>
        <v>0</v>
      </c>
      <c r="G793" s="9">
        <f t="shared" si="443"/>
        <v>0.25738917319914084</v>
      </c>
      <c r="H793" s="9">
        <f t="shared" si="444"/>
        <v>0</v>
      </c>
      <c r="I793" s="9">
        <f t="shared" si="445"/>
        <v>0</v>
      </c>
      <c r="J793" s="9">
        <f t="shared" si="446"/>
        <v>0</v>
      </c>
      <c r="K793" s="9">
        <v>0</v>
      </c>
      <c r="L793" s="8">
        <f>+VLOOKUP($B793,NIFTY_50!$B$3:$I$1238,8,0)</f>
        <v>-7.6121022179363673E-2</v>
      </c>
      <c r="M793" s="8">
        <f>+VLOOKUP($B793,NIFTY_BANK!$B$3:$I$41238,8,0)</f>
        <v>-8.2065607187346568E-2</v>
      </c>
      <c r="N793" s="8">
        <f>+VLOOKUP($B793,NIFTY_IT!$B$3:$I$1238,8,0)</f>
        <v>-8.034138162802551E-2</v>
      </c>
      <c r="O793" s="8">
        <f>+VLOOKUP($B793,NIFTY_PHARMA!$B$3:$I$1238,8,0)</f>
        <v>-4.2466978536048416E-2</v>
      </c>
      <c r="P793" s="8">
        <f>+VLOOKUP($B793,NIFTY_FMCG!$B$3:$I$1238,8,0)</f>
        <v>-5.7247786935286871E-2</v>
      </c>
      <c r="Q793" s="8">
        <f>+VLOOKUP($B793,NIFTY_METAL!$B$3:$I$1238,8,0)</f>
        <v>-9.0761026610975404E-2</v>
      </c>
      <c r="R793" s="8">
        <f>+VLOOKUP($B793,NIFTY_ENERGY!$B$3:$I$1238,8,0)</f>
        <v>-6.0044790444705121E-2</v>
      </c>
      <c r="S793" s="8">
        <f>+VLOOKUP($B793,NIFTY_AUTO!$B$3:$I$1238,8,0)</f>
        <v>-5.4723390488515045E-2</v>
      </c>
      <c r="T793" s="8">
        <v>0</v>
      </c>
      <c r="U793" s="8">
        <f>+VLOOKUP($B793,NIFTY_50!$B$63:$K$1238,10,0)</f>
        <v>-0.24745022153309904</v>
      </c>
      <c r="V793" s="8">
        <f>+VLOOKUP($B793,NIFTY_BANK!$B$63:$K$1238,10,0)</f>
        <v>-0.28355753351372726</v>
      </c>
      <c r="W793" s="8">
        <f>+VLOOKUP($B793,NIFTY_IT!$B$63:$K$1238,10,0)</f>
        <v>-0.20745799823686473</v>
      </c>
      <c r="X793" s="8">
        <f>+VLOOKUP($B793,NIFTY_PHARMA!$B$63:$K$1238,10,0)</f>
        <v>-0.13987591304025415</v>
      </c>
      <c r="Y793" s="8">
        <f>+VLOOKUP($B793,NIFTY_FMCG!$B$63:$K$1238,10,0)</f>
        <v>-0.18432507291757794</v>
      </c>
      <c r="Z793" s="8">
        <f>+VLOOKUP($B793,NIFTY_METAL!$B$63:$K$1238,10,0)</f>
        <v>-0.35609175301843621</v>
      </c>
      <c r="AA793" s="8">
        <f>+VLOOKUP($B793,NIFTY_ENERGY!$B$63:$K$1238,10,0)</f>
        <v>-0.30954731040274241</v>
      </c>
      <c r="AB793" s="8">
        <f>+VLOOKUP($B793,NIFTY_AUTO!$B$63:$K$1238,10,0)</f>
        <v>-0.27698008623729486</v>
      </c>
      <c r="AC793" s="8"/>
      <c r="AD793" s="16">
        <f t="shared" si="447"/>
        <v>0.14637031276900764</v>
      </c>
      <c r="AE793" s="8">
        <f t="shared" si="448"/>
        <v>0.164949426598127</v>
      </c>
      <c r="AF793" s="8">
        <f t="shared" si="449"/>
        <v>0.151828669311391</v>
      </c>
      <c r="AG793" s="8">
        <f t="shared" si="450"/>
        <v>0.15314210830241415</v>
      </c>
      <c r="AH793" s="8">
        <f t="shared" si="451"/>
        <v>0.11442225707836799</v>
      </c>
      <c r="AI793" s="8">
        <f t="shared" si="452"/>
        <v>0.22056927395642476</v>
      </c>
      <c r="AJ793" s="8">
        <f t="shared" si="453"/>
        <v>0.16669602474537923</v>
      </c>
      <c r="AK793" s="8">
        <f t="shared" si="454"/>
        <v>0.14003919275077925</v>
      </c>
      <c r="AL793" s="9">
        <v>0</v>
      </c>
      <c r="AM793" s="17">
        <f t="shared" si="431"/>
        <v>6.8319864942704376</v>
      </c>
      <c r="AN793" s="13">
        <f t="shared" si="432"/>
        <v>6.0624642390321286</v>
      </c>
      <c r="AO793" s="13">
        <f t="shared" si="433"/>
        <v>6.5863713654044034</v>
      </c>
      <c r="AP793" s="13">
        <f t="shared" si="434"/>
        <v>6.5298826761955704</v>
      </c>
      <c r="AQ793" s="13">
        <f t="shared" si="435"/>
        <v>8.7395584175122352</v>
      </c>
      <c r="AR793" s="13">
        <f t="shared" si="436"/>
        <v>4.5337230433897977</v>
      </c>
      <c r="AS793" s="13">
        <f t="shared" si="437"/>
        <v>5.998943295303266</v>
      </c>
      <c r="AT793" s="13">
        <f t="shared" si="438"/>
        <v>7.1408580723515733</v>
      </c>
      <c r="AU793" s="9">
        <v>0</v>
      </c>
      <c r="AV793" s="18">
        <f t="shared" si="455"/>
        <v>3</v>
      </c>
      <c r="AW793" s="18">
        <f t="shared" si="456"/>
        <v>6</v>
      </c>
      <c r="AX793" s="18">
        <f t="shared" si="457"/>
        <v>4</v>
      </c>
      <c r="AY793" s="18">
        <f t="shared" si="458"/>
        <v>5</v>
      </c>
      <c r="AZ793" s="18">
        <f t="shared" si="459"/>
        <v>1</v>
      </c>
      <c r="BA793" s="18">
        <f t="shared" si="460"/>
        <v>8</v>
      </c>
      <c r="BB793" s="18">
        <f t="shared" si="461"/>
        <v>7</v>
      </c>
      <c r="BC793" s="18">
        <f t="shared" si="462"/>
        <v>2</v>
      </c>
      <c r="BD793" s="18">
        <f t="shared" si="463"/>
        <v>9</v>
      </c>
      <c r="BE793" s="8">
        <f t="shared" si="465"/>
        <v>-7.3862449032260635E-2</v>
      </c>
    </row>
    <row r="794" spans="1:57" x14ac:dyDescent="0.25">
      <c r="A794" t="str">
        <f t="shared" si="464"/>
        <v/>
      </c>
      <c r="B794" s="1">
        <v>43907</v>
      </c>
      <c r="C794" s="9">
        <f t="shared" si="439"/>
        <v>0.24965095219542399</v>
      </c>
      <c r="D794" s="9">
        <f t="shared" si="440"/>
        <v>0.23705444878271448</v>
      </c>
      <c r="E794" s="9">
        <f t="shared" si="441"/>
        <v>0.24803588855202222</v>
      </c>
      <c r="F794" s="9">
        <f t="shared" si="442"/>
        <v>0</v>
      </c>
      <c r="G794" s="9">
        <f t="shared" si="443"/>
        <v>0.26525871046983934</v>
      </c>
      <c r="H794" s="9">
        <f t="shared" si="444"/>
        <v>0</v>
      </c>
      <c r="I794" s="9">
        <f t="shared" si="445"/>
        <v>0</v>
      </c>
      <c r="J794" s="9">
        <f t="shared" si="446"/>
        <v>0</v>
      </c>
      <c r="K794" s="9">
        <v>0</v>
      </c>
      <c r="L794" s="8">
        <f>+VLOOKUP($B794,NIFTY_50!$B$3:$I$1238,8,0)</f>
        <v>-2.5045121447365593E-2</v>
      </c>
      <c r="M794" s="8">
        <f>+VLOOKUP($B794,NIFTY_BANK!$B$3:$I$41238,8,0)</f>
        <v>-4.0950342298976428E-2</v>
      </c>
      <c r="N794" s="8">
        <f>+VLOOKUP($B794,NIFTY_IT!$B$3:$I$1238,8,0)</f>
        <v>-2.827805820252427E-2</v>
      </c>
      <c r="O794" s="8">
        <f>+VLOOKUP($B794,NIFTY_PHARMA!$B$3:$I$1238,8,0)</f>
        <v>2.8379087127390346E-3</v>
      </c>
      <c r="P794" s="8">
        <f>+VLOOKUP($B794,NIFTY_FMCG!$B$3:$I$1238,8,0)</f>
        <v>8.9931660841884309E-3</v>
      </c>
      <c r="Q794" s="8">
        <f>+VLOOKUP($B794,NIFTY_METAL!$B$3:$I$1238,8,0)</f>
        <v>-1.1643360684155724E-2</v>
      </c>
      <c r="R794" s="8">
        <f>+VLOOKUP($B794,NIFTY_ENERGY!$B$3:$I$1238,8,0)</f>
        <v>-5.1872257192001614E-3</v>
      </c>
      <c r="S794" s="8">
        <f>+VLOOKUP($B794,NIFTY_AUTO!$B$3:$I$1238,8,0)</f>
        <v>-6.8193096839330725E-3</v>
      </c>
      <c r="T794" s="8">
        <v>0</v>
      </c>
      <c r="U794" s="8">
        <f>+VLOOKUP($B794,NIFTY_50!$B$63:$K$1238,10,0)</f>
        <v>-0.2685750874817493</v>
      </c>
      <c r="V794" s="8">
        <f>+VLOOKUP($B794,NIFTY_BANK!$B$63:$K$1238,10,0)</f>
        <v>-0.31283642640141807</v>
      </c>
      <c r="W794" s="8">
        <f>+VLOOKUP($B794,NIFTY_IT!$B$63:$K$1238,10,0)</f>
        <v>-0.23485181449381676</v>
      </c>
      <c r="X794" s="8">
        <f>+VLOOKUP($B794,NIFTY_PHARMA!$B$63:$K$1238,10,0)</f>
        <v>-0.13550640711998563</v>
      </c>
      <c r="Y794" s="8">
        <f>+VLOOKUP($B794,NIFTY_FMCG!$B$63:$K$1238,10,0)</f>
        <v>-0.17956401117616283</v>
      </c>
      <c r="Z794" s="8">
        <f>+VLOOKUP($B794,NIFTY_METAL!$B$63:$K$1238,10,0)</f>
        <v>-0.36440489019360112</v>
      </c>
      <c r="AA794" s="8">
        <f>+VLOOKUP($B794,NIFTY_ENERGY!$B$63:$K$1238,10,0)</f>
        <v>-0.3197810450012103</v>
      </c>
      <c r="AB794" s="8">
        <f>+VLOOKUP($B794,NIFTY_AUTO!$B$63:$K$1238,10,0)</f>
        <v>-0.28922295021737798</v>
      </c>
      <c r="AC794" s="8"/>
      <c r="AD794" s="16">
        <f t="shared" si="447"/>
        <v>0.14757101197529349</v>
      </c>
      <c r="AE794" s="8">
        <f t="shared" si="448"/>
        <v>0.16861546363526822</v>
      </c>
      <c r="AF794" s="8">
        <f t="shared" si="449"/>
        <v>0.15342214031862958</v>
      </c>
      <c r="AG794" s="8">
        <f t="shared" si="450"/>
        <v>0.15322593180068977</v>
      </c>
      <c r="AH794" s="8">
        <f t="shared" si="451"/>
        <v>0.11489419971850272</v>
      </c>
      <c r="AI794" s="8">
        <f t="shared" si="452"/>
        <v>0.22046920627974753</v>
      </c>
      <c r="AJ794" s="8">
        <f t="shared" si="453"/>
        <v>0.16595468995304496</v>
      </c>
      <c r="AK794" s="8">
        <f t="shared" si="454"/>
        <v>0.13917995262275457</v>
      </c>
      <c r="AL794" s="9">
        <v>0</v>
      </c>
      <c r="AM794" s="17">
        <f t="shared" si="431"/>
        <v>6.7763986071154756</v>
      </c>
      <c r="AN794" s="13">
        <f t="shared" si="432"/>
        <v>5.93065415496587</v>
      </c>
      <c r="AO794" s="13">
        <f t="shared" si="433"/>
        <v>6.5179640821278069</v>
      </c>
      <c r="AP794" s="13">
        <f t="shared" si="434"/>
        <v>6.5263104505101683</v>
      </c>
      <c r="AQ794" s="13">
        <f t="shared" si="435"/>
        <v>8.703659562014936</v>
      </c>
      <c r="AR794" s="13">
        <f t="shared" si="436"/>
        <v>4.5357808324992401</v>
      </c>
      <c r="AS794" s="13">
        <f t="shared" si="437"/>
        <v>6.0257411241763572</v>
      </c>
      <c r="AT794" s="13">
        <f t="shared" si="438"/>
        <v>7.1849428107687814</v>
      </c>
      <c r="AU794" s="9">
        <v>0</v>
      </c>
      <c r="AV794" s="18">
        <f t="shared" si="455"/>
        <v>3</v>
      </c>
      <c r="AW794" s="18">
        <f t="shared" si="456"/>
        <v>7</v>
      </c>
      <c r="AX794" s="18">
        <f t="shared" si="457"/>
        <v>5</v>
      </c>
      <c r="AY794" s="18">
        <f t="shared" si="458"/>
        <v>4</v>
      </c>
      <c r="AZ794" s="18">
        <f t="shared" si="459"/>
        <v>1</v>
      </c>
      <c r="BA794" s="18">
        <f t="shared" si="460"/>
        <v>8</v>
      </c>
      <c r="BB794" s="18">
        <f t="shared" si="461"/>
        <v>6</v>
      </c>
      <c r="BC794" s="18">
        <f t="shared" si="462"/>
        <v>2</v>
      </c>
      <c r="BD794" s="18">
        <f t="shared" si="463"/>
        <v>9</v>
      </c>
      <c r="BE794" s="8">
        <f t="shared" si="465"/>
        <v>-2.0941041589200706E-2</v>
      </c>
    </row>
    <row r="795" spans="1:57" x14ac:dyDescent="0.25">
      <c r="A795" t="str">
        <f t="shared" si="464"/>
        <v/>
      </c>
      <c r="B795" s="1">
        <v>43908</v>
      </c>
      <c r="C795" s="9">
        <f t="shared" si="439"/>
        <v>0.2470783160970858</v>
      </c>
      <c r="D795" s="9">
        <f t="shared" si="440"/>
        <v>0.23075553503230248</v>
      </c>
      <c r="E795" s="9">
        <f t="shared" si="441"/>
        <v>0.25248403977421857</v>
      </c>
      <c r="F795" s="9">
        <f t="shared" si="442"/>
        <v>0</v>
      </c>
      <c r="G795" s="9">
        <f t="shared" si="443"/>
        <v>0.26968210909639323</v>
      </c>
      <c r="H795" s="9">
        <f t="shared" si="444"/>
        <v>0</v>
      </c>
      <c r="I795" s="9">
        <f t="shared" si="445"/>
        <v>0</v>
      </c>
      <c r="J795" s="9">
        <f t="shared" si="446"/>
        <v>0</v>
      </c>
      <c r="K795" s="9">
        <v>0</v>
      </c>
      <c r="L795" s="8">
        <f>+VLOOKUP($B795,NIFTY_50!$B$3:$I$1238,8,0)</f>
        <v>-5.5564539062456397E-2</v>
      </c>
      <c r="M795" s="8">
        <f>+VLOOKUP($B795,NIFTY_BANK!$B$3:$I$41238,8,0)</f>
        <v>-7.1087309271207877E-2</v>
      </c>
      <c r="N795" s="8">
        <f>+VLOOKUP($B795,NIFTY_IT!$B$3:$I$1238,8,0)</f>
        <v>-2.8617476289852672E-2</v>
      </c>
      <c r="O795" s="8">
        <f>+VLOOKUP($B795,NIFTY_PHARMA!$B$3:$I$1238,8,0)</f>
        <v>-3.9166941296155722E-2</v>
      </c>
      <c r="P795" s="8">
        <f>+VLOOKUP($B795,NIFTY_FMCG!$B$3:$I$1238,8,0)</f>
        <v>-2.9817668377467133E-2</v>
      </c>
      <c r="Q795" s="8">
        <f>+VLOOKUP($B795,NIFTY_METAL!$B$3:$I$1238,8,0)</f>
        <v>-2.7039667923645871E-2</v>
      </c>
      <c r="R795" s="8">
        <f>+VLOOKUP($B795,NIFTY_ENERGY!$B$3:$I$1238,8,0)</f>
        <v>-4.5017015957592332E-2</v>
      </c>
      <c r="S795" s="8">
        <f>+VLOOKUP($B795,NIFTY_AUTO!$B$3:$I$1238,8,0)</f>
        <v>-4.9510238893148539E-2</v>
      </c>
      <c r="T795" s="8">
        <v>0</v>
      </c>
      <c r="U795" s="8">
        <f>+VLOOKUP($B795,NIFTY_50!$B$63:$K$1238,10,0)</f>
        <v>-0.30989748855098687</v>
      </c>
      <c r="V795" s="8">
        <f>+VLOOKUP($B795,NIFTY_BANK!$B$63:$K$1238,10,0)</f>
        <v>-0.36451345455219164</v>
      </c>
      <c r="W795" s="8">
        <f>+VLOOKUP($B795,NIFTY_IT!$B$63:$K$1238,10,0)</f>
        <v>-0.25823074811212687</v>
      </c>
      <c r="X795" s="8">
        <f>+VLOOKUP($B795,NIFTY_PHARMA!$B$63:$K$1238,10,0)</f>
        <v>-0.16693065985874811</v>
      </c>
      <c r="Y795" s="8">
        <f>+VLOOKUP($B795,NIFTY_FMCG!$B$63:$K$1238,10,0)</f>
        <v>-0.2032474259915964</v>
      </c>
      <c r="Z795" s="8">
        <f>+VLOOKUP($B795,NIFTY_METAL!$B$63:$K$1238,10,0)</f>
        <v>-0.38533702677746995</v>
      </c>
      <c r="AA795" s="8">
        <f>+VLOOKUP($B795,NIFTY_ENERGY!$B$63:$K$1238,10,0)</f>
        <v>-0.34911993234314709</v>
      </c>
      <c r="AB795" s="8">
        <f>+VLOOKUP($B795,NIFTY_AUTO!$B$63:$K$1238,10,0)</f>
        <v>-0.32175987115097349</v>
      </c>
      <c r="AC795" s="8"/>
      <c r="AD795" s="16">
        <f t="shared" si="447"/>
        <v>0.15573583340482738</v>
      </c>
      <c r="AE795" s="8">
        <f t="shared" si="448"/>
        <v>0.18022561587392202</v>
      </c>
      <c r="AF795" s="8">
        <f t="shared" si="449"/>
        <v>0.15518422955364697</v>
      </c>
      <c r="AG795" s="8">
        <f t="shared" si="450"/>
        <v>0.15755488174456578</v>
      </c>
      <c r="AH795" s="8">
        <f t="shared" si="451"/>
        <v>0.11787603383403233</v>
      </c>
      <c r="AI795" s="8">
        <f t="shared" si="452"/>
        <v>0.22095085076006485</v>
      </c>
      <c r="AJ795" s="8">
        <f t="shared" si="453"/>
        <v>0.17032638134859346</v>
      </c>
      <c r="AK795" s="8">
        <f t="shared" si="454"/>
        <v>0.14587263197247827</v>
      </c>
      <c r="AL795" s="9">
        <v>0</v>
      </c>
      <c r="AM795" s="17">
        <f t="shared" si="431"/>
        <v>6.421129794840156</v>
      </c>
      <c r="AN795" s="13">
        <f t="shared" si="432"/>
        <v>5.548600819872112</v>
      </c>
      <c r="AO795" s="13">
        <f t="shared" si="433"/>
        <v>6.4439537630613515</v>
      </c>
      <c r="AP795" s="13">
        <f t="shared" si="434"/>
        <v>6.3469947038596981</v>
      </c>
      <c r="AQ795" s="13">
        <f t="shared" si="435"/>
        <v>8.4834886912464729</v>
      </c>
      <c r="AR795" s="13">
        <f t="shared" si="436"/>
        <v>4.525893412765905</v>
      </c>
      <c r="AS795" s="13">
        <f t="shared" si="437"/>
        <v>5.8710811095867736</v>
      </c>
      <c r="AT795" s="13">
        <f t="shared" si="438"/>
        <v>6.8552955169045662</v>
      </c>
      <c r="AU795" s="9">
        <v>0</v>
      </c>
      <c r="AV795" s="18">
        <f t="shared" si="455"/>
        <v>4</v>
      </c>
      <c r="AW795" s="18">
        <f t="shared" si="456"/>
        <v>7</v>
      </c>
      <c r="AX795" s="18">
        <f t="shared" si="457"/>
        <v>3</v>
      </c>
      <c r="AY795" s="18">
        <f t="shared" si="458"/>
        <v>5</v>
      </c>
      <c r="AZ795" s="18">
        <f t="shared" si="459"/>
        <v>1</v>
      </c>
      <c r="BA795" s="18">
        <f t="shared" si="460"/>
        <v>8</v>
      </c>
      <c r="BB795" s="18">
        <f t="shared" si="461"/>
        <v>6</v>
      </c>
      <c r="BC795" s="18">
        <f t="shared" si="462"/>
        <v>2</v>
      </c>
      <c r="BD795" s="18">
        <f t="shared" si="463"/>
        <v>9</v>
      </c>
      <c r="BE795" s="8">
        <f t="shared" si="465"/>
        <v>-4.5730860422668877E-2</v>
      </c>
    </row>
    <row r="796" spans="1:57" x14ac:dyDescent="0.25">
      <c r="A796" t="str">
        <f t="shared" si="464"/>
        <v/>
      </c>
      <c r="B796" s="1">
        <v>43909</v>
      </c>
      <c r="C796" s="9">
        <f t="shared" si="439"/>
        <v>0.24672190732425048</v>
      </c>
      <c r="D796" s="9">
        <f t="shared" si="440"/>
        <v>0.23044935167212866</v>
      </c>
      <c r="E796" s="9">
        <f t="shared" si="441"/>
        <v>0.24930546727031869</v>
      </c>
      <c r="F796" s="9">
        <f t="shared" si="442"/>
        <v>0</v>
      </c>
      <c r="G796" s="9">
        <f t="shared" si="443"/>
        <v>0.27352327373330215</v>
      </c>
      <c r="H796" s="9">
        <f t="shared" si="444"/>
        <v>0</v>
      </c>
      <c r="I796" s="9">
        <f t="shared" si="445"/>
        <v>0</v>
      </c>
      <c r="J796" s="9">
        <f t="shared" si="446"/>
        <v>0</v>
      </c>
      <c r="K796" s="9">
        <v>0</v>
      </c>
      <c r="L796" s="8">
        <f>+VLOOKUP($B796,NIFTY_50!$B$3:$I$1238,8,0)</f>
        <v>-2.4247827319100579E-2</v>
      </c>
      <c r="M796" s="8">
        <f>+VLOOKUP($B796,NIFTY_BANK!$B$3:$I$41238,8,0)</f>
        <v>-2.4134848057842051E-2</v>
      </c>
      <c r="N796" s="8">
        <f>+VLOOKUP($B796,NIFTY_IT!$B$3:$I$1238,8,0)</f>
        <v>-3.5139964264443102E-2</v>
      </c>
      <c r="O796" s="8">
        <f>+VLOOKUP($B796,NIFTY_PHARMA!$B$3:$I$1238,8,0)</f>
        <v>-7.4935689520188031E-3</v>
      </c>
      <c r="P796" s="8">
        <f>+VLOOKUP($B796,NIFTY_FMCG!$B$3:$I$1238,8,0)</f>
        <v>-8.92026543733071E-3</v>
      </c>
      <c r="Q796" s="8">
        <f>+VLOOKUP($B796,NIFTY_METAL!$B$3:$I$1238,8,0)</f>
        <v>-5.4080038456916224E-2</v>
      </c>
      <c r="R796" s="8">
        <f>+VLOOKUP($B796,NIFTY_ENERGY!$B$3:$I$1238,8,0)</f>
        <v>-4.0503874117455929E-2</v>
      </c>
      <c r="S796" s="8">
        <f>+VLOOKUP($B796,NIFTY_AUTO!$B$3:$I$1238,8,0)</f>
        <v>-6.0908184537297183E-2</v>
      </c>
      <c r="T796" s="8">
        <v>0</v>
      </c>
      <c r="U796" s="8">
        <f>+VLOOKUP($B796,NIFTY_50!$B$63:$K$1238,10,0)</f>
        <v>-0.32613402377117684</v>
      </c>
      <c r="V796" s="8">
        <f>+VLOOKUP($B796,NIFTY_BANK!$B$63:$K$1238,10,0)</f>
        <v>-0.37897830668115884</v>
      </c>
      <c r="W796" s="8">
        <f>+VLOOKUP($B796,NIFTY_IT!$B$63:$K$1238,10,0)</f>
        <v>-0.28524156187954997</v>
      </c>
      <c r="X796" s="8">
        <f>+VLOOKUP($B796,NIFTY_PHARMA!$B$63:$K$1238,10,0)</f>
        <v>-0.17338384152021358</v>
      </c>
      <c r="Y796" s="8">
        <f>+VLOOKUP($B796,NIFTY_FMCG!$B$63:$K$1238,10,0)</f>
        <v>-0.20673804808069374</v>
      </c>
      <c r="Z796" s="8">
        <f>+VLOOKUP($B796,NIFTY_METAL!$B$63:$K$1238,10,0)</f>
        <v>-0.41833096236628664</v>
      </c>
      <c r="AA796" s="8">
        <f>+VLOOKUP($B796,NIFTY_ENERGY!$B$63:$K$1238,10,0)</f>
        <v>-0.37119950411981262</v>
      </c>
      <c r="AB796" s="8">
        <f>+VLOOKUP($B796,NIFTY_AUTO!$B$63:$K$1238,10,0)</f>
        <v>-0.36672575025976406</v>
      </c>
      <c r="AC796" s="8"/>
      <c r="AD796" s="16">
        <f t="shared" si="447"/>
        <v>0.15670548633684436</v>
      </c>
      <c r="AE796" s="8">
        <f t="shared" si="448"/>
        <v>0.18091222274696611</v>
      </c>
      <c r="AF796" s="8">
        <f t="shared" si="449"/>
        <v>0.15796253068895777</v>
      </c>
      <c r="AG796" s="8">
        <f t="shared" si="450"/>
        <v>0.15759292167205802</v>
      </c>
      <c r="AH796" s="8">
        <f t="shared" si="451"/>
        <v>0.11799078538827558</v>
      </c>
      <c r="AI796" s="8">
        <f t="shared" si="452"/>
        <v>0.22558337319745866</v>
      </c>
      <c r="AJ796" s="8">
        <f t="shared" si="453"/>
        <v>0.1735810879311927</v>
      </c>
      <c r="AK796" s="8">
        <f t="shared" si="454"/>
        <v>0.15511340369248058</v>
      </c>
      <c r="AL796" s="9">
        <v>0</v>
      </c>
      <c r="AM796" s="17">
        <f t="shared" si="431"/>
        <v>6.3813975080008509</v>
      </c>
      <c r="AN796" s="13">
        <f t="shared" si="432"/>
        <v>5.5275424999816378</v>
      </c>
      <c r="AO796" s="13">
        <f t="shared" si="433"/>
        <v>6.3306152138641583</v>
      </c>
      <c r="AP796" s="13">
        <f t="shared" si="434"/>
        <v>6.345462660315059</v>
      </c>
      <c r="AQ796" s="13">
        <f t="shared" si="435"/>
        <v>8.4752381019354353</v>
      </c>
      <c r="AR796" s="13">
        <f t="shared" si="436"/>
        <v>4.4329508235727788</v>
      </c>
      <c r="AS796" s="13">
        <f t="shared" si="437"/>
        <v>5.7609962693424217</v>
      </c>
      <c r="AT796" s="13">
        <f t="shared" si="438"/>
        <v>6.4468961172597679</v>
      </c>
      <c r="AU796" s="9">
        <v>0</v>
      </c>
      <c r="AV796" s="18">
        <f t="shared" si="455"/>
        <v>3</v>
      </c>
      <c r="AW796" s="18">
        <f t="shared" si="456"/>
        <v>7</v>
      </c>
      <c r="AX796" s="18">
        <f t="shared" si="457"/>
        <v>5</v>
      </c>
      <c r="AY796" s="18">
        <f t="shared" si="458"/>
        <v>4</v>
      </c>
      <c r="AZ796" s="18">
        <f t="shared" si="459"/>
        <v>1</v>
      </c>
      <c r="BA796" s="18">
        <f t="shared" si="460"/>
        <v>8</v>
      </c>
      <c r="BB796" s="18">
        <f t="shared" si="461"/>
        <v>6</v>
      </c>
      <c r="BC796" s="18">
        <f t="shared" si="462"/>
        <v>2</v>
      </c>
      <c r="BD796" s="18">
        <f t="shared" si="463"/>
        <v>9</v>
      </c>
      <c r="BE796" s="8">
        <f t="shared" si="465"/>
        <v>-2.2838278251374234E-2</v>
      </c>
    </row>
    <row r="797" spans="1:57" x14ac:dyDescent="0.25">
      <c r="A797" t="str">
        <f t="shared" si="464"/>
        <v/>
      </c>
      <c r="B797" s="1">
        <v>43910</v>
      </c>
      <c r="C797" s="9">
        <f t="shared" si="439"/>
        <v>0.24588018898586797</v>
      </c>
      <c r="D797" s="9">
        <f t="shared" si="440"/>
        <v>0.21953489597350903</v>
      </c>
      <c r="E797" s="9">
        <f t="shared" si="441"/>
        <v>0.25594903230595062</v>
      </c>
      <c r="F797" s="9">
        <f t="shared" si="442"/>
        <v>0</v>
      </c>
      <c r="G797" s="9">
        <f t="shared" si="443"/>
        <v>0.27863588273467238</v>
      </c>
      <c r="H797" s="9">
        <f t="shared" si="444"/>
        <v>0</v>
      </c>
      <c r="I797" s="9">
        <f t="shared" si="445"/>
        <v>0</v>
      </c>
      <c r="J797" s="9">
        <f t="shared" si="446"/>
        <v>0</v>
      </c>
      <c r="K797" s="9">
        <v>0</v>
      </c>
      <c r="L797" s="8">
        <f>+VLOOKUP($B797,NIFTY_50!$B$3:$I$1238,8,0)</f>
        <v>5.8329148237116435E-2</v>
      </c>
      <c r="M797" s="8">
        <f>+VLOOKUP($B797,NIFTY_BANK!$B$3:$I$41238,8,0)</f>
        <v>1.1656334802200741E-2</v>
      </c>
      <c r="N797" s="8">
        <f>+VLOOKUP($B797,NIFTY_IT!$B$3:$I$1238,8,0)</f>
        <v>9.025132275132286E-2</v>
      </c>
      <c r="O797" s="8">
        <f>+VLOOKUP($B797,NIFTY_PHARMA!$B$3:$I$1238,8,0)</f>
        <v>4.453459544737437E-2</v>
      </c>
      <c r="P797" s="8">
        <f>+VLOOKUP($B797,NIFTY_FMCG!$B$3:$I$1238,8,0)</f>
        <v>8.1801779251796436E-2</v>
      </c>
      <c r="Q797" s="8">
        <f>+VLOOKUP($B797,NIFTY_METAL!$B$3:$I$1238,8,0)</f>
        <v>7.537161732943698E-2</v>
      </c>
      <c r="R797" s="8">
        <f>+VLOOKUP($B797,NIFTY_ENERGY!$B$3:$I$1238,8,0)</f>
        <v>8.6344151867728147E-2</v>
      </c>
      <c r="S797" s="8">
        <f>+VLOOKUP($B797,NIFTY_AUTO!$B$3:$I$1238,8,0)</f>
        <v>3.6608435479200674E-2</v>
      </c>
      <c r="T797" s="8">
        <v>0</v>
      </c>
      <c r="U797" s="8">
        <f>+VLOOKUP($B797,NIFTY_50!$B$63:$K$1238,10,0)</f>
        <v>-0.28401373771444705</v>
      </c>
      <c r="V797" s="8">
        <f>+VLOOKUP($B797,NIFTY_BANK!$B$63:$K$1238,10,0)</f>
        <v>-0.37059702764031199</v>
      </c>
      <c r="W797" s="8">
        <f>+VLOOKUP($B797,NIFTY_IT!$B$63:$K$1238,10,0)</f>
        <v>-0.21642202532608279</v>
      </c>
      <c r="X797" s="8">
        <f>+VLOOKUP($B797,NIFTY_PHARMA!$B$63:$K$1238,10,0)</f>
        <v>-0.13895563427382407</v>
      </c>
      <c r="Y797" s="8">
        <f>+VLOOKUP($B797,NIFTY_FMCG!$B$63:$K$1238,10,0)</f>
        <v>-0.14126808300673399</v>
      </c>
      <c r="Z797" s="8">
        <f>+VLOOKUP($B797,NIFTY_METAL!$B$63:$K$1238,10,0)</f>
        <v>-0.37834860363916789</v>
      </c>
      <c r="AA797" s="8">
        <f>+VLOOKUP($B797,NIFTY_ENERGY!$B$63:$K$1238,10,0)</f>
        <v>-0.31215600234533103</v>
      </c>
      <c r="AB797" s="8">
        <f>+VLOOKUP($B797,NIFTY_AUTO!$B$63:$K$1238,10,0)</f>
        <v>-0.34129602826092298</v>
      </c>
      <c r="AC797" s="8"/>
      <c r="AD797" s="16">
        <f t="shared" si="447"/>
        <v>0.16928433197685375</v>
      </c>
      <c r="AE797" s="8">
        <f t="shared" si="448"/>
        <v>0.181826706574712</v>
      </c>
      <c r="AF797" s="8">
        <f t="shared" si="449"/>
        <v>0.18419427367074989</v>
      </c>
      <c r="AG797" s="8">
        <f t="shared" si="450"/>
        <v>0.16439467864201443</v>
      </c>
      <c r="AH797" s="8">
        <f t="shared" si="451"/>
        <v>0.1452830018992263</v>
      </c>
      <c r="AI797" s="8">
        <f t="shared" si="452"/>
        <v>0.24003312220003922</v>
      </c>
      <c r="AJ797" s="8">
        <f t="shared" si="453"/>
        <v>0.19687865687523201</v>
      </c>
      <c r="AK797" s="8">
        <f t="shared" si="454"/>
        <v>0.16106965517329463</v>
      </c>
      <c r="AL797" s="9">
        <v>0</v>
      </c>
      <c r="AM797" s="17">
        <f t="shared" si="431"/>
        <v>5.9072212314175063</v>
      </c>
      <c r="AN797" s="13">
        <f t="shared" si="432"/>
        <v>5.4997421382051117</v>
      </c>
      <c r="AO797" s="13">
        <f t="shared" si="433"/>
        <v>5.4290504263314689</v>
      </c>
      <c r="AP797" s="13">
        <f t="shared" si="434"/>
        <v>6.0829219550202005</v>
      </c>
      <c r="AQ797" s="13">
        <f t="shared" si="435"/>
        <v>6.8831176870480499</v>
      </c>
      <c r="AR797" s="13">
        <f t="shared" si="436"/>
        <v>4.1660917078211321</v>
      </c>
      <c r="AS797" s="13">
        <f t="shared" si="437"/>
        <v>5.0792707339207945</v>
      </c>
      <c r="AT797" s="13">
        <f t="shared" si="438"/>
        <v>6.208494076206355</v>
      </c>
      <c r="AU797" s="9">
        <v>0</v>
      </c>
      <c r="AV797" s="18">
        <f t="shared" si="455"/>
        <v>4</v>
      </c>
      <c r="AW797" s="18">
        <f t="shared" si="456"/>
        <v>5</v>
      </c>
      <c r="AX797" s="18">
        <f t="shared" si="457"/>
        <v>6</v>
      </c>
      <c r="AY797" s="18">
        <f t="shared" si="458"/>
        <v>3</v>
      </c>
      <c r="AZ797" s="18">
        <f t="shared" si="459"/>
        <v>1</v>
      </c>
      <c r="BA797" s="18">
        <f t="shared" si="460"/>
        <v>8</v>
      </c>
      <c r="BB797" s="18">
        <f t="shared" si="461"/>
        <v>7</v>
      </c>
      <c r="BC797" s="18">
        <f t="shared" si="462"/>
        <v>2</v>
      </c>
      <c r="BD797" s="18">
        <f t="shared" si="463"/>
        <v>9</v>
      </c>
      <c r="BE797" s="8">
        <f t="shared" si="465"/>
        <v>6.1952112152143912E-2</v>
      </c>
    </row>
    <row r="798" spans="1:57" x14ac:dyDescent="0.25">
      <c r="A798" t="str">
        <f t="shared" si="464"/>
        <v/>
      </c>
      <c r="B798" s="1">
        <v>43913</v>
      </c>
      <c r="C798" s="9">
        <f t="shared" si="439"/>
        <v>0.24388454308742713</v>
      </c>
      <c r="D798" s="9">
        <f t="shared" si="440"/>
        <v>0.20836039325745642</v>
      </c>
      <c r="E798" s="9">
        <f t="shared" si="441"/>
        <v>0.26380562752181841</v>
      </c>
      <c r="F798" s="9">
        <f t="shared" si="442"/>
        <v>0</v>
      </c>
      <c r="G798" s="9">
        <f t="shared" si="443"/>
        <v>0.28394943613329793</v>
      </c>
      <c r="H798" s="9">
        <f t="shared" si="444"/>
        <v>0</v>
      </c>
      <c r="I798" s="9">
        <f t="shared" si="445"/>
        <v>0</v>
      </c>
      <c r="J798" s="9">
        <f t="shared" si="446"/>
        <v>0</v>
      </c>
      <c r="K798" s="9">
        <v>0</v>
      </c>
      <c r="L798" s="8">
        <f>+VLOOKUP($B798,NIFTY_50!$B$3:$I$1238,8,0)</f>
        <v>-0.12980464127060365</v>
      </c>
      <c r="M798" s="8">
        <f>+VLOOKUP($B798,NIFTY_BANK!$B$3:$I$41238,8,0)</f>
        <v>-0.16734013859904695</v>
      </c>
      <c r="N798" s="8">
        <f>+VLOOKUP($B798,NIFTY_IT!$B$3:$I$1238,8,0)</f>
        <v>-9.5754016880401527E-2</v>
      </c>
      <c r="O798" s="8">
        <f>+VLOOKUP($B798,NIFTY_PHARMA!$B$3:$I$1238,8,0)</f>
        <v>-7.47421568204375E-2</v>
      </c>
      <c r="P798" s="8">
        <f>+VLOOKUP($B798,NIFTY_FMCG!$B$3:$I$1238,8,0)</f>
        <v>-0.10595373983865242</v>
      </c>
      <c r="Q798" s="8">
        <f>+VLOOKUP($B798,NIFTY_METAL!$B$3:$I$1238,8,0)</f>
        <v>-0.11601736716188671</v>
      </c>
      <c r="R798" s="8">
        <f>+VLOOKUP($B798,NIFTY_ENERGY!$B$3:$I$1238,8,0)</f>
        <v>-9.7121016305991681E-2</v>
      </c>
      <c r="S798" s="8">
        <f>+VLOOKUP($B798,NIFTY_AUTO!$B$3:$I$1238,8,0)</f>
        <v>-0.13847844101188977</v>
      </c>
      <c r="T798" s="8">
        <v>0</v>
      </c>
      <c r="U798" s="8">
        <f>+VLOOKUP($B798,NIFTY_50!$B$63:$K$1238,10,0)</f>
        <v>-0.3724307408125147</v>
      </c>
      <c r="V798" s="8">
        <f>+VLOOKUP($B798,NIFTY_BANK!$B$63:$K$1238,10,0)</f>
        <v>-0.4712854361407226</v>
      </c>
      <c r="W798" s="8">
        <f>+VLOOKUP($B798,NIFTY_IT!$B$63:$K$1238,10,0)</f>
        <v>-0.288215987699321</v>
      </c>
      <c r="X798" s="8">
        <f>+VLOOKUP($B798,NIFTY_PHARMA!$B$63:$K$1238,10,0)</f>
        <v>-0.19572121636490947</v>
      </c>
      <c r="Y798" s="8">
        <f>+VLOOKUP($B798,NIFTY_FMCG!$B$63:$K$1238,10,0)</f>
        <v>-0.22883192437353539</v>
      </c>
      <c r="Z798" s="8">
        <f>+VLOOKUP($B798,NIFTY_METAL!$B$63:$K$1238,10,0)</f>
        <v>-0.45365096750638922</v>
      </c>
      <c r="AA798" s="8">
        <f>+VLOOKUP($B798,NIFTY_ENERGY!$B$63:$K$1238,10,0)</f>
        <v>-0.37279135069053115</v>
      </c>
      <c r="AB798" s="8">
        <f>+VLOOKUP($B798,NIFTY_AUTO!$B$63:$K$1238,10,0)</f>
        <v>-0.43091030979193445</v>
      </c>
      <c r="AC798" s="8"/>
      <c r="AD798" s="16">
        <f t="shared" si="447"/>
        <v>0.20958955727985534</v>
      </c>
      <c r="AE798" s="8">
        <f t="shared" si="448"/>
        <v>0.24138245391621935</v>
      </c>
      <c r="AF798" s="8">
        <f t="shared" si="449"/>
        <v>0.20557965180436769</v>
      </c>
      <c r="AG798" s="8">
        <f t="shared" si="450"/>
        <v>0.1793389299955446</v>
      </c>
      <c r="AH798" s="8">
        <f t="shared" si="451"/>
        <v>0.17797085159837675</v>
      </c>
      <c r="AI798" s="8">
        <f t="shared" si="452"/>
        <v>0.26272477182911352</v>
      </c>
      <c r="AJ798" s="8">
        <f t="shared" si="453"/>
        <v>0.21670381789671297</v>
      </c>
      <c r="AK798" s="8">
        <f t="shared" si="454"/>
        <v>0.20740922834884074</v>
      </c>
      <c r="AL798" s="9">
        <v>0</v>
      </c>
      <c r="AM798" s="17">
        <f t="shared" si="431"/>
        <v>4.7712300792961058</v>
      </c>
      <c r="AN798" s="13">
        <f t="shared" si="432"/>
        <v>4.1428031896099906</v>
      </c>
      <c r="AO798" s="13">
        <f t="shared" si="433"/>
        <v>4.8642946479528684</v>
      </c>
      <c r="AP798" s="13">
        <f t="shared" si="434"/>
        <v>5.5760341607081267</v>
      </c>
      <c r="AQ798" s="13">
        <f t="shared" si="435"/>
        <v>5.6188976510416433</v>
      </c>
      <c r="AR798" s="13">
        <f t="shared" si="436"/>
        <v>3.8062646054953628</v>
      </c>
      <c r="AS798" s="13">
        <f t="shared" si="437"/>
        <v>4.6145933639093872</v>
      </c>
      <c r="AT798" s="13">
        <f t="shared" si="438"/>
        <v>4.8213862418797691</v>
      </c>
      <c r="AU798" s="9">
        <v>0</v>
      </c>
      <c r="AV798" s="18">
        <f t="shared" si="455"/>
        <v>5</v>
      </c>
      <c r="AW798" s="18">
        <f t="shared" si="456"/>
        <v>7</v>
      </c>
      <c r="AX798" s="18">
        <f t="shared" si="457"/>
        <v>3</v>
      </c>
      <c r="AY798" s="18">
        <f t="shared" si="458"/>
        <v>2</v>
      </c>
      <c r="AZ798" s="18">
        <f t="shared" si="459"/>
        <v>1</v>
      </c>
      <c r="BA798" s="18">
        <f t="shared" si="460"/>
        <v>8</v>
      </c>
      <c r="BB798" s="18">
        <f t="shared" si="461"/>
        <v>6</v>
      </c>
      <c r="BC798" s="18">
        <f t="shared" si="462"/>
        <v>4</v>
      </c>
      <c r="BD798" s="18">
        <f t="shared" si="463"/>
        <v>9</v>
      </c>
      <c r="BE798" s="8">
        <f t="shared" si="465"/>
        <v>-0.12268405143532235</v>
      </c>
    </row>
    <row r="799" spans="1:57" x14ac:dyDescent="0.25">
      <c r="A799" t="str">
        <f t="shared" si="464"/>
        <v/>
      </c>
      <c r="B799" s="1">
        <v>43914</v>
      </c>
      <c r="C799" s="9">
        <f t="shared" si="439"/>
        <v>0.24181932038457674</v>
      </c>
      <c r="D799" s="9">
        <f t="shared" si="440"/>
        <v>0.20380234936794564</v>
      </c>
      <c r="E799" s="9">
        <f t="shared" si="441"/>
        <v>0.27081950845804015</v>
      </c>
      <c r="F799" s="9">
        <f t="shared" si="442"/>
        <v>0</v>
      </c>
      <c r="G799" s="9">
        <f t="shared" si="443"/>
        <v>0.28355882178943759</v>
      </c>
      <c r="H799" s="9">
        <f t="shared" si="444"/>
        <v>0</v>
      </c>
      <c r="I799" s="9">
        <f t="shared" si="445"/>
        <v>0</v>
      </c>
      <c r="J799" s="9">
        <f t="shared" si="446"/>
        <v>0</v>
      </c>
      <c r="K799" s="9">
        <v>0</v>
      </c>
      <c r="L799" s="8">
        <f>+VLOOKUP($B799,NIFTY_50!$B$3:$I$1238,8,0)</f>
        <v>2.507144968956343E-2</v>
      </c>
      <c r="M799" s="8">
        <f>+VLOOKUP($B799,NIFTY_BANK!$B$3:$I$41238,8,0)</f>
        <v>1.1210185811859175E-2</v>
      </c>
      <c r="N799" s="8">
        <f>+VLOOKUP($B799,NIFTY_IT!$B$3:$I$1238,8,0)</f>
        <v>6.1312569322694799E-2</v>
      </c>
      <c r="O799" s="8">
        <f>+VLOOKUP($B799,NIFTY_PHARMA!$B$3:$I$1238,8,0)</f>
        <v>2.7789437681700058E-2</v>
      </c>
      <c r="P799" s="8">
        <f>+VLOOKUP($B799,NIFTY_FMCG!$B$3:$I$1238,8,0)</f>
        <v>3.2403743090616111E-2</v>
      </c>
      <c r="Q799" s="8">
        <f>+VLOOKUP($B799,NIFTY_METAL!$B$3:$I$1238,8,0)</f>
        <v>3.976076714891974E-3</v>
      </c>
      <c r="R799" s="8">
        <f>+VLOOKUP($B799,NIFTY_ENERGY!$B$3:$I$1238,8,0)</f>
        <v>1.761331912085673E-2</v>
      </c>
      <c r="S799" s="8">
        <f>+VLOOKUP($B799,NIFTY_AUTO!$B$3:$I$1238,8,0)</f>
        <v>1.4449367772614297E-2</v>
      </c>
      <c r="T799" s="8">
        <v>0</v>
      </c>
      <c r="U799" s="8">
        <f>+VLOOKUP($B799,NIFTY_50!$B$63:$K$1238,10,0)</f>
        <v>-0.36296117852651522</v>
      </c>
      <c r="V799" s="8">
        <f>+VLOOKUP($B799,NIFTY_BANK!$B$63:$K$1238,10,0)</f>
        <v>-0.47219809733018436</v>
      </c>
      <c r="W799" s="8">
        <f>+VLOOKUP($B799,NIFTY_IT!$B$63:$K$1238,10,0)</f>
        <v>-0.24812904370528566</v>
      </c>
      <c r="X799" s="8">
        <f>+VLOOKUP($B799,NIFTY_PHARMA!$B$63:$K$1238,10,0)</f>
        <v>-0.18058886595893675</v>
      </c>
      <c r="Y799" s="8">
        <f>+VLOOKUP($B799,NIFTY_FMCG!$B$63:$K$1238,10,0)</f>
        <v>-0.20600621320962209</v>
      </c>
      <c r="Z799" s="8">
        <f>+VLOOKUP($B799,NIFTY_METAL!$B$63:$K$1238,10,0)</f>
        <v>-0.45572119477602469</v>
      </c>
      <c r="AA799" s="8">
        <f>+VLOOKUP($B799,NIFTY_ENERGY!$B$63:$K$1238,10,0)</f>
        <v>-0.37133700638760236</v>
      </c>
      <c r="AB799" s="8">
        <f>+VLOOKUP($B799,NIFTY_AUTO!$B$63:$K$1238,10,0)</f>
        <v>-0.42805176763060715</v>
      </c>
      <c r="AC799" s="8"/>
      <c r="AD799" s="16">
        <f t="shared" si="447"/>
        <v>0.21136752442116657</v>
      </c>
      <c r="AE799" s="8">
        <f t="shared" si="448"/>
        <v>0.24122318537715601</v>
      </c>
      <c r="AF799" s="8">
        <f t="shared" si="449"/>
        <v>0.2157224854738658</v>
      </c>
      <c r="AG799" s="8">
        <f t="shared" si="450"/>
        <v>0.18159375823678597</v>
      </c>
      <c r="AH799" s="8">
        <f t="shared" si="451"/>
        <v>0.18148905751716277</v>
      </c>
      <c r="AI799" s="8">
        <f t="shared" si="452"/>
        <v>0.26250380488556285</v>
      </c>
      <c r="AJ799" s="8">
        <f t="shared" si="453"/>
        <v>0.21696050020967311</v>
      </c>
      <c r="AK799" s="8">
        <f t="shared" si="454"/>
        <v>0.20791461027931307</v>
      </c>
      <c r="AL799" s="9">
        <v>0</v>
      </c>
      <c r="AM799" s="17">
        <f t="shared" si="431"/>
        <v>4.7310957666676394</v>
      </c>
      <c r="AN799" s="13">
        <f t="shared" si="432"/>
        <v>4.1455384914036566</v>
      </c>
      <c r="AO799" s="13">
        <f t="shared" si="433"/>
        <v>4.6355853809275125</v>
      </c>
      <c r="AP799" s="13">
        <f t="shared" si="434"/>
        <v>5.5067972033271522</v>
      </c>
      <c r="AQ799" s="13">
        <f t="shared" si="435"/>
        <v>5.5099740649952604</v>
      </c>
      <c r="AR799" s="13">
        <f t="shared" si="436"/>
        <v>3.8094685920302935</v>
      </c>
      <c r="AS799" s="13">
        <f t="shared" si="437"/>
        <v>4.6091339162363125</v>
      </c>
      <c r="AT799" s="13">
        <f t="shared" si="438"/>
        <v>4.809666808198795</v>
      </c>
      <c r="AU799" s="9">
        <v>0</v>
      </c>
      <c r="AV799" s="18">
        <f t="shared" si="455"/>
        <v>4</v>
      </c>
      <c r="AW799" s="18">
        <f t="shared" si="456"/>
        <v>7</v>
      </c>
      <c r="AX799" s="18">
        <f t="shared" si="457"/>
        <v>5</v>
      </c>
      <c r="AY799" s="18">
        <f t="shared" si="458"/>
        <v>2</v>
      </c>
      <c r="AZ799" s="18">
        <f t="shared" si="459"/>
        <v>1</v>
      </c>
      <c r="BA799" s="18">
        <f t="shared" si="460"/>
        <v>8</v>
      </c>
      <c r="BB799" s="18">
        <f t="shared" si="461"/>
        <v>6</v>
      </c>
      <c r="BC799" s="18">
        <f t="shared" si="462"/>
        <v>3</v>
      </c>
      <c r="BD799" s="18">
        <f t="shared" si="463"/>
        <v>9</v>
      </c>
      <c r="BE799" s="8">
        <f t="shared" si="465"/>
        <v>3.3825923180663915E-2</v>
      </c>
    </row>
    <row r="800" spans="1:57" x14ac:dyDescent="0.25">
      <c r="A800" t="str">
        <f t="shared" si="464"/>
        <v/>
      </c>
      <c r="B800" s="1">
        <v>43915</v>
      </c>
      <c r="C800" s="9">
        <f t="shared" si="439"/>
        <v>0.24623028260972571</v>
      </c>
      <c r="D800" s="9">
        <f t="shared" si="440"/>
        <v>0.21025522696619264</v>
      </c>
      <c r="E800" s="9">
        <f t="shared" si="441"/>
        <v>0.26665407104969446</v>
      </c>
      <c r="F800" s="9">
        <f t="shared" si="442"/>
        <v>0</v>
      </c>
      <c r="G800" s="9">
        <f t="shared" si="443"/>
        <v>0.27686041937438716</v>
      </c>
      <c r="H800" s="9">
        <f t="shared" si="444"/>
        <v>0</v>
      </c>
      <c r="I800" s="9">
        <f t="shared" si="445"/>
        <v>0</v>
      </c>
      <c r="J800" s="9">
        <f t="shared" si="446"/>
        <v>0</v>
      </c>
      <c r="K800" s="9">
        <v>0</v>
      </c>
      <c r="L800" s="8">
        <f>+VLOOKUP($B800,NIFTY_50!$B$3:$I$1238,8,0)</f>
        <v>6.6247492324751134E-2</v>
      </c>
      <c r="M800" s="8">
        <f>+VLOOKUP($B800,NIFTY_BANK!$B$3:$I$41238,8,0)</f>
        <v>8.0301976349277826E-2</v>
      </c>
      <c r="N800" s="8">
        <f>+VLOOKUP($B800,NIFTY_IT!$B$3:$I$1238,8,0)</f>
        <v>3.1040745719571383E-2</v>
      </c>
      <c r="O800" s="8">
        <f>+VLOOKUP($B800,NIFTY_PHARMA!$B$3:$I$1238,8,0)</f>
        <v>1.2781630754570061E-2</v>
      </c>
      <c r="P800" s="8">
        <f>+VLOOKUP($B800,NIFTY_FMCG!$B$3:$I$1238,8,0)</f>
        <v>2.2410414743078366E-2</v>
      </c>
      <c r="Q800" s="8">
        <f>+VLOOKUP($B800,NIFTY_METAL!$B$3:$I$1238,8,0)</f>
        <v>2.5825346112886116E-2</v>
      </c>
      <c r="R800" s="8">
        <f>+VLOOKUP($B800,NIFTY_ENERGY!$B$3:$I$1238,8,0)</f>
        <v>5.3322027134876215E-2</v>
      </c>
      <c r="S800" s="8">
        <f>+VLOOKUP($B800,NIFTY_AUTO!$B$3:$I$1238,8,0)</f>
        <v>5.1732770835330788E-2</v>
      </c>
      <c r="T800" s="8">
        <v>0</v>
      </c>
      <c r="U800" s="8">
        <f>+VLOOKUP($B800,NIFTY_50!$B$63:$K$1238,10,0)</f>
        <v>-0.32131594299864963</v>
      </c>
      <c r="V800" s="8">
        <f>+VLOOKUP($B800,NIFTY_BANK!$B$63:$K$1238,10,0)</f>
        <v>-0.42880212888928726</v>
      </c>
      <c r="W800" s="8">
        <f>+VLOOKUP($B800,NIFTY_IT!$B$63:$K$1238,10,0)</f>
        <v>-0.22451030110935022</v>
      </c>
      <c r="X800" s="8">
        <f>+VLOOKUP($B800,NIFTY_PHARMA!$B$63:$K$1238,10,0)</f>
        <v>-0.17166062525516201</v>
      </c>
      <c r="Y800" s="8">
        <f>+VLOOKUP($B800,NIFTY_FMCG!$B$63:$K$1238,10,0)</f>
        <v>-0.19035842430277894</v>
      </c>
      <c r="Z800" s="8">
        <f>+VLOOKUP($B800,NIFTY_METAL!$B$63:$K$1238,10,0)</f>
        <v>-0.44888253173609871</v>
      </c>
      <c r="AA800" s="8">
        <f>+VLOOKUP($B800,NIFTY_ENERGY!$B$63:$K$1238,10,0)</f>
        <v>-0.33852895756524026</v>
      </c>
      <c r="AB800" s="8">
        <f>+VLOOKUP($B800,NIFTY_AUTO!$B$63:$K$1238,10,0)</f>
        <v>-0.40709755687414417</v>
      </c>
      <c r="AC800" s="8"/>
      <c r="AD800" s="16">
        <f t="shared" si="447"/>
        <v>0.22340027788752964</v>
      </c>
      <c r="AE800" s="8">
        <f t="shared" si="448"/>
        <v>0.25719647621020986</v>
      </c>
      <c r="AF800" s="8">
        <f t="shared" si="449"/>
        <v>0.21852212941247648</v>
      </c>
      <c r="AG800" s="8">
        <f t="shared" si="450"/>
        <v>0.18220697003064962</v>
      </c>
      <c r="AH800" s="8">
        <f t="shared" si="451"/>
        <v>0.18320839360771551</v>
      </c>
      <c r="AI800" s="8">
        <f t="shared" si="452"/>
        <v>0.26389174938552157</v>
      </c>
      <c r="AJ800" s="8">
        <f t="shared" si="453"/>
        <v>0.2249891044647887</v>
      </c>
      <c r="AK800" s="8">
        <f t="shared" si="454"/>
        <v>0.21522091202885835</v>
      </c>
      <c r="AL800" s="9">
        <v>0</v>
      </c>
      <c r="AM800" s="17">
        <f t="shared" si="431"/>
        <v>4.4762701705476289</v>
      </c>
      <c r="AN800" s="13">
        <f t="shared" si="432"/>
        <v>3.8880781522943093</v>
      </c>
      <c r="AO800" s="13">
        <f t="shared" si="433"/>
        <v>4.5761955674174626</v>
      </c>
      <c r="AP800" s="13">
        <f t="shared" si="434"/>
        <v>5.4882642515365179</v>
      </c>
      <c r="AQ800" s="13">
        <f t="shared" si="435"/>
        <v>5.4582652044927196</v>
      </c>
      <c r="AR800" s="13">
        <f t="shared" si="436"/>
        <v>3.7894326076071896</v>
      </c>
      <c r="AS800" s="13">
        <f t="shared" si="437"/>
        <v>4.4446596753155321</v>
      </c>
      <c r="AT800" s="13">
        <f t="shared" si="438"/>
        <v>4.6463886365555078</v>
      </c>
      <c r="AU800" s="9">
        <v>0</v>
      </c>
      <c r="AV800" s="18">
        <f t="shared" si="455"/>
        <v>5</v>
      </c>
      <c r="AW800" s="18">
        <f t="shared" si="456"/>
        <v>7</v>
      </c>
      <c r="AX800" s="18">
        <f t="shared" si="457"/>
        <v>4</v>
      </c>
      <c r="AY800" s="18">
        <f t="shared" si="458"/>
        <v>1</v>
      </c>
      <c r="AZ800" s="18">
        <f t="shared" si="459"/>
        <v>2</v>
      </c>
      <c r="BA800" s="18">
        <f t="shared" si="460"/>
        <v>8</v>
      </c>
      <c r="BB800" s="18">
        <f t="shared" si="461"/>
        <v>6</v>
      </c>
      <c r="BC800" s="18">
        <f t="shared" si="462"/>
        <v>3</v>
      </c>
      <c r="BD800" s="18">
        <f t="shared" si="463"/>
        <v>9</v>
      </c>
      <c r="BE800" s="8">
        <f t="shared" si="465"/>
        <v>4.7146765308331097E-2</v>
      </c>
    </row>
    <row r="801" spans="1:57" x14ac:dyDescent="0.25">
      <c r="A801" t="str">
        <f t="shared" si="464"/>
        <v/>
      </c>
      <c r="B801" s="1">
        <v>43916</v>
      </c>
      <c r="C801" s="9">
        <f t="shared" si="439"/>
        <v>0.24532756427345842</v>
      </c>
      <c r="D801" s="9">
        <f t="shared" si="440"/>
        <v>0.21399984668073307</v>
      </c>
      <c r="E801" s="9">
        <f t="shared" si="441"/>
        <v>0.26204585184937351</v>
      </c>
      <c r="F801" s="9">
        <f t="shared" si="442"/>
        <v>0</v>
      </c>
      <c r="G801" s="9">
        <f t="shared" si="443"/>
        <v>0.2786267371964351</v>
      </c>
      <c r="H801" s="9">
        <f t="shared" si="444"/>
        <v>0</v>
      </c>
      <c r="I801" s="9">
        <f t="shared" si="445"/>
        <v>0</v>
      </c>
      <c r="J801" s="9">
        <f t="shared" si="446"/>
        <v>0</v>
      </c>
      <c r="K801" s="9">
        <v>0</v>
      </c>
      <c r="L801" s="8">
        <f>+VLOOKUP($B801,NIFTY_50!$B$3:$I$1238,8,0)</f>
        <v>3.890428415996916E-2</v>
      </c>
      <c r="M801" s="8">
        <f>+VLOOKUP($B801,NIFTY_BANK!$B$3:$I$41238,8,0)</f>
        <v>6.1297924089811051E-2</v>
      </c>
      <c r="N801" s="8">
        <f>+VLOOKUP($B801,NIFTY_IT!$B$3:$I$1238,8,0)</f>
        <v>2.4707050807832642E-2</v>
      </c>
      <c r="O801" s="8">
        <f>+VLOOKUP($B801,NIFTY_PHARMA!$B$3:$I$1238,8,0)</f>
        <v>1.1866090164362797E-2</v>
      </c>
      <c r="P801" s="8">
        <f>+VLOOKUP($B801,NIFTY_FMCG!$B$3:$I$1238,8,0)</f>
        <v>4.9379487326176585E-2</v>
      </c>
      <c r="Q801" s="8">
        <f>+VLOOKUP($B801,NIFTY_METAL!$B$3:$I$1238,8,0)</f>
        <v>1.1354788476511946E-3</v>
      </c>
      <c r="R801" s="8">
        <f>+VLOOKUP($B801,NIFTY_ENERGY!$B$3:$I$1238,8,0)</f>
        <v>7.7851967609035011E-3</v>
      </c>
      <c r="S801" s="8">
        <f>+VLOOKUP($B801,NIFTY_AUTO!$B$3:$I$1238,8,0)</f>
        <v>2.5353767612410705E-2</v>
      </c>
      <c r="T801" s="8">
        <v>0</v>
      </c>
      <c r="U801" s="8">
        <f>+VLOOKUP($B801,NIFTY_50!$B$63:$K$1238,10,0)</f>
        <v>-0.28984792639982904</v>
      </c>
      <c r="V801" s="8">
        <f>+VLOOKUP($B801,NIFTY_BANK!$B$63:$K$1238,10,0)</f>
        <v>-0.3901463388849763</v>
      </c>
      <c r="W801" s="8">
        <f>+VLOOKUP($B801,NIFTY_IT!$B$63:$K$1238,10,0)</f>
        <v>-0.19912601262426211</v>
      </c>
      <c r="X801" s="8">
        <f>+VLOOKUP($B801,NIFTY_PHARMA!$B$63:$K$1238,10,0)</f>
        <v>-0.1573540294646244</v>
      </c>
      <c r="Y801" s="8">
        <f>+VLOOKUP($B801,NIFTY_FMCG!$B$63:$K$1238,10,0)</f>
        <v>-0.1474494962070283</v>
      </c>
      <c r="Z801" s="8">
        <f>+VLOOKUP($B801,NIFTY_METAL!$B$63:$K$1238,10,0)</f>
        <v>-0.44920215614179138</v>
      </c>
      <c r="AA801" s="8">
        <f>+VLOOKUP($B801,NIFTY_ENERGY!$B$63:$K$1238,10,0)</f>
        <v>-0.33111854263838769</v>
      </c>
      <c r="AB801" s="8">
        <f>+VLOOKUP($B801,NIFTY_AUTO!$B$63:$K$1238,10,0)</f>
        <v>-0.38638264854576088</v>
      </c>
      <c r="AC801" s="8"/>
      <c r="AD801" s="16">
        <f t="shared" si="447"/>
        <v>0.22777112244998435</v>
      </c>
      <c r="AE801" s="8">
        <f t="shared" si="448"/>
        <v>0.26636396651418981</v>
      </c>
      <c r="AF801" s="8">
        <f t="shared" si="449"/>
        <v>0.22029283314492326</v>
      </c>
      <c r="AG801" s="8">
        <f t="shared" si="450"/>
        <v>0.18276622773542947</v>
      </c>
      <c r="AH801" s="8">
        <f t="shared" si="451"/>
        <v>0.19047672871170582</v>
      </c>
      <c r="AI801" s="8">
        <f t="shared" si="452"/>
        <v>0.26386849242985344</v>
      </c>
      <c r="AJ801" s="8">
        <f t="shared" si="453"/>
        <v>0.22540761570603227</v>
      </c>
      <c r="AK801" s="8">
        <f t="shared" si="454"/>
        <v>0.21776265660702593</v>
      </c>
      <c r="AL801" s="9">
        <v>0</v>
      </c>
      <c r="AM801" s="17">
        <f t="shared" si="431"/>
        <v>4.3903721825824844</v>
      </c>
      <c r="AN801" s="13">
        <f t="shared" si="432"/>
        <v>3.7542615582980057</v>
      </c>
      <c r="AO801" s="13">
        <f t="shared" si="433"/>
        <v>4.5394123164330704</v>
      </c>
      <c r="AP801" s="13">
        <f t="shared" si="434"/>
        <v>5.4714703716902768</v>
      </c>
      <c r="AQ801" s="13">
        <f t="shared" si="435"/>
        <v>5.249985164925528</v>
      </c>
      <c r="AR801" s="13">
        <f t="shared" si="436"/>
        <v>3.7897666022624472</v>
      </c>
      <c r="AS801" s="13">
        <f t="shared" si="437"/>
        <v>4.4364073364058854</v>
      </c>
      <c r="AT801" s="13">
        <f t="shared" si="438"/>
        <v>4.5921555861829795</v>
      </c>
      <c r="AU801" s="9">
        <v>0</v>
      </c>
      <c r="AV801" s="18">
        <f t="shared" si="455"/>
        <v>6</v>
      </c>
      <c r="AW801" s="18">
        <f t="shared" si="456"/>
        <v>8</v>
      </c>
      <c r="AX801" s="18">
        <f t="shared" si="457"/>
        <v>4</v>
      </c>
      <c r="AY801" s="18">
        <f t="shared" si="458"/>
        <v>1</v>
      </c>
      <c r="AZ801" s="18">
        <f t="shared" si="459"/>
        <v>2</v>
      </c>
      <c r="BA801" s="18">
        <f t="shared" si="460"/>
        <v>7</v>
      </c>
      <c r="BB801" s="18">
        <f t="shared" si="461"/>
        <v>5</v>
      </c>
      <c r="BC801" s="18">
        <f t="shared" si="462"/>
        <v>3</v>
      </c>
      <c r="BD801" s="18">
        <f t="shared" si="463"/>
        <v>9</v>
      </c>
      <c r="BE801" s="8">
        <f t="shared" si="465"/>
        <v>4.2727083076655653E-2</v>
      </c>
    </row>
    <row r="802" spans="1:57" x14ac:dyDescent="0.25">
      <c r="A802" t="str">
        <f t="shared" si="464"/>
        <v/>
      </c>
      <c r="B802" s="1">
        <v>43917</v>
      </c>
      <c r="C802" s="9">
        <f t="shared" si="439"/>
        <v>0.24445246883117785</v>
      </c>
      <c r="D802" s="9">
        <f t="shared" si="440"/>
        <v>0.21662575802604345</v>
      </c>
      <c r="E802" s="9">
        <f t="shared" si="441"/>
        <v>0.26124056721314098</v>
      </c>
      <c r="F802" s="9">
        <f t="shared" si="442"/>
        <v>0</v>
      </c>
      <c r="G802" s="9">
        <f t="shared" si="443"/>
        <v>0.27768120592963774</v>
      </c>
      <c r="H802" s="9">
        <f t="shared" si="444"/>
        <v>0</v>
      </c>
      <c r="I802" s="9">
        <f t="shared" si="445"/>
        <v>0</v>
      </c>
      <c r="J802" s="9">
        <f t="shared" si="446"/>
        <v>0</v>
      </c>
      <c r="K802" s="9">
        <v>0</v>
      </c>
      <c r="L802" s="8">
        <f>+VLOOKUP($B802,NIFTY_50!$B$3:$I$1238,8,0)</f>
        <v>2.1755608144464755E-3</v>
      </c>
      <c r="M802" s="8">
        <f>+VLOOKUP($B802,NIFTY_BANK!$B$3:$I$41238,8,0)</f>
        <v>1.8104507517627821E-2</v>
      </c>
      <c r="N802" s="8">
        <f>+VLOOKUP($B802,NIFTY_IT!$B$3:$I$1238,8,0)</f>
        <v>2.6723890360254021E-3</v>
      </c>
      <c r="O802" s="8">
        <f>+VLOOKUP($B802,NIFTY_PHARMA!$B$3:$I$1238,8,0)</f>
        <v>5.6162361623617318E-3</v>
      </c>
      <c r="P802" s="8">
        <f>+VLOOKUP($B802,NIFTY_FMCG!$B$3:$I$1238,8,0)</f>
        <v>2.3500687302620005E-3</v>
      </c>
      <c r="Q802" s="8">
        <f>+VLOOKUP($B802,NIFTY_METAL!$B$3:$I$1238,8,0)</f>
        <v>7.7124987847951854E-3</v>
      </c>
      <c r="R802" s="8">
        <f>+VLOOKUP($B802,NIFTY_ENERGY!$B$3:$I$1238,8,0)</f>
        <v>-1.3532944261187563E-3</v>
      </c>
      <c r="S802" s="8">
        <f>+VLOOKUP($B802,NIFTY_AUTO!$B$3:$I$1238,8,0)</f>
        <v>-2.4223025704858459E-2</v>
      </c>
      <c r="T802" s="8">
        <v>0</v>
      </c>
      <c r="U802" s="8">
        <f>+VLOOKUP($B802,NIFTY_50!$B$63:$K$1238,10,0)</f>
        <v>-0.28912374307408173</v>
      </c>
      <c r="V802" s="8">
        <f>+VLOOKUP($B802,NIFTY_BANK!$B$63:$K$1238,10,0)</f>
        <v>-0.37796896853555284</v>
      </c>
      <c r="W802" s="8">
        <f>+VLOOKUP($B802,NIFTY_IT!$B$63:$K$1238,10,0)</f>
        <v>-0.20054827106979645</v>
      </c>
      <c r="X802" s="8">
        <f>+VLOOKUP($B802,NIFTY_PHARMA!$B$63:$K$1238,10,0)</f>
        <v>-0.15335338196368875</v>
      </c>
      <c r="Y802" s="8">
        <f>+VLOOKUP($B802,NIFTY_FMCG!$B$63:$K$1238,10,0)</f>
        <v>-0.14863275920520602</v>
      </c>
      <c r="Z802" s="8">
        <f>+VLOOKUP($B802,NIFTY_METAL!$B$63:$K$1238,10,0)</f>
        <v>-0.4439119472112445</v>
      </c>
      <c r="AA802" s="8">
        <f>+VLOOKUP($B802,NIFTY_ENERGY!$B$63:$K$1238,10,0)</f>
        <v>-0.33534945395864346</v>
      </c>
      <c r="AB802" s="8">
        <f>+VLOOKUP($B802,NIFTY_AUTO!$B$63:$K$1238,10,0)</f>
        <v>-0.39846043288145094</v>
      </c>
      <c r="AC802" s="8"/>
      <c r="AD802" s="16">
        <f t="shared" si="447"/>
        <v>0.22780164973725678</v>
      </c>
      <c r="AE802" s="8">
        <f t="shared" si="448"/>
        <v>0.26751652773465917</v>
      </c>
      <c r="AF802" s="8">
        <f t="shared" si="449"/>
        <v>0.22023770841162155</v>
      </c>
      <c r="AG802" s="8">
        <f t="shared" si="450"/>
        <v>0.18291501071950303</v>
      </c>
      <c r="AH802" s="8">
        <f t="shared" si="451"/>
        <v>0.19043747755901558</v>
      </c>
      <c r="AI802" s="8">
        <f t="shared" si="452"/>
        <v>0.26430349592637947</v>
      </c>
      <c r="AJ802" s="8">
        <f t="shared" si="453"/>
        <v>0.22518119393879679</v>
      </c>
      <c r="AK802" s="8">
        <f t="shared" si="454"/>
        <v>0.218364594410001</v>
      </c>
      <c r="AL802" s="9">
        <v>0</v>
      </c>
      <c r="AM802" s="17">
        <f t="shared" si="431"/>
        <v>4.3897838367429998</v>
      </c>
      <c r="AN802" s="13">
        <f t="shared" si="432"/>
        <v>3.7380867958628223</v>
      </c>
      <c r="AO802" s="13">
        <f t="shared" si="433"/>
        <v>4.5405485155657921</v>
      </c>
      <c r="AP802" s="13">
        <f t="shared" si="434"/>
        <v>5.4670198802518319</v>
      </c>
      <c r="AQ802" s="13">
        <f t="shared" si="435"/>
        <v>5.2510672416888386</v>
      </c>
      <c r="AR802" s="13">
        <f t="shared" si="436"/>
        <v>3.7835292208111597</v>
      </c>
      <c r="AS802" s="13">
        <f t="shared" si="437"/>
        <v>4.4408681848973384</v>
      </c>
      <c r="AT802" s="13">
        <f t="shared" si="438"/>
        <v>4.5794969770712992</v>
      </c>
      <c r="AU802" s="9">
        <v>0</v>
      </c>
      <c r="AV802" s="18">
        <f t="shared" si="455"/>
        <v>6</v>
      </c>
      <c r="AW802" s="18">
        <f t="shared" si="456"/>
        <v>8</v>
      </c>
      <c r="AX802" s="18">
        <f t="shared" si="457"/>
        <v>4</v>
      </c>
      <c r="AY802" s="18">
        <f t="shared" si="458"/>
        <v>1</v>
      </c>
      <c r="AZ802" s="18">
        <f t="shared" si="459"/>
        <v>2</v>
      </c>
      <c r="BA802" s="18">
        <f t="shared" si="460"/>
        <v>7</v>
      </c>
      <c r="BB802" s="18">
        <f t="shared" si="461"/>
        <v>5</v>
      </c>
      <c r="BC802" s="18">
        <f t="shared" si="462"/>
        <v>3</v>
      </c>
      <c r="BD802" s="18">
        <f t="shared" si="463"/>
        <v>9</v>
      </c>
      <c r="BE802" s="8">
        <f t="shared" si="465"/>
        <v>5.7631673124579411E-3</v>
      </c>
    </row>
    <row r="803" spans="1:57" x14ac:dyDescent="0.25">
      <c r="A803" t="str">
        <f t="shared" si="464"/>
        <v/>
      </c>
      <c r="B803" s="1">
        <v>43920</v>
      </c>
      <c r="C803" s="9">
        <f t="shared" si="439"/>
        <v>0.24043285053729918</v>
      </c>
      <c r="D803" s="9">
        <f t="shared" si="440"/>
        <v>0.2095784584040066</v>
      </c>
      <c r="E803" s="9">
        <f t="shared" si="441"/>
        <v>0.26335806261450884</v>
      </c>
      <c r="F803" s="9">
        <f t="shared" si="442"/>
        <v>0</v>
      </c>
      <c r="G803" s="9">
        <f t="shared" si="443"/>
        <v>0.28663062844418541</v>
      </c>
      <c r="H803" s="9">
        <f t="shared" si="444"/>
        <v>0</v>
      </c>
      <c r="I803" s="9">
        <f t="shared" si="445"/>
        <v>0</v>
      </c>
      <c r="J803" s="9">
        <f t="shared" si="446"/>
        <v>0</v>
      </c>
      <c r="K803" s="9">
        <v>0</v>
      </c>
      <c r="L803" s="8">
        <f>+VLOOKUP($B803,NIFTY_50!$B$3:$I$1238,8,0)</f>
        <v>-4.3780491325308146E-2</v>
      </c>
      <c r="M803" s="8">
        <f>+VLOOKUP($B803,NIFTY_BANK!$B$3:$I$41238,8,0)</f>
        <v>-5.9422104261605435E-2</v>
      </c>
      <c r="N803" s="8">
        <f>+VLOOKUP($B803,NIFTY_IT!$B$3:$I$1238,8,0)</f>
        <v>-1.99139158730538E-2</v>
      </c>
      <c r="O803" s="8">
        <f>+VLOOKUP($B803,NIFTY_PHARMA!$B$3:$I$1238,8,0)</f>
        <v>1.2175163839983627E-2</v>
      </c>
      <c r="P803" s="8">
        <f>+VLOOKUP($B803,NIFTY_FMCG!$B$3:$I$1238,8,0)</f>
        <v>3.5391766655206158E-3</v>
      </c>
      <c r="Q803" s="8">
        <f>+VLOOKUP($B803,NIFTY_METAL!$B$3:$I$1238,8,0)</f>
        <v>-3.0324468598256993E-2</v>
      </c>
      <c r="R803" s="8">
        <f>+VLOOKUP($B803,NIFTY_ENERGY!$B$3:$I$1238,8,0)</f>
        <v>-2.1192701128332381E-2</v>
      </c>
      <c r="S803" s="8">
        <f>+VLOOKUP($B803,NIFTY_AUTO!$B$3:$I$1238,8,0)</f>
        <v>-5.4579140259582548E-2</v>
      </c>
      <c r="T803" s="8">
        <v>0</v>
      </c>
      <c r="U803" s="8">
        <f>+VLOOKUP($B803,NIFTY_50!$B$63:$K$1238,10,0)</f>
        <v>-0.32576411392095883</v>
      </c>
      <c r="V803" s="8">
        <f>+VLOOKUP($B803,NIFTY_BANK!$B$63:$K$1238,10,0)</f>
        <v>-0.42107980403065592</v>
      </c>
      <c r="W803" s="8">
        <f>+VLOOKUP($B803,NIFTY_IT!$B$63:$K$1238,10,0)</f>
        <v>-0.21584503792255083</v>
      </c>
      <c r="X803" s="8">
        <f>+VLOOKUP($B803,NIFTY_PHARMA!$B$63:$K$1238,10,0)</f>
        <v>-0.14377417292136152</v>
      </c>
      <c r="Y803" s="8">
        <f>+VLOOKUP($B803,NIFTY_FMCG!$B$63:$K$1238,10,0)</f>
        <v>-0.14652153227032139</v>
      </c>
      <c r="Z803" s="8">
        <f>+VLOOKUP($B803,NIFTY_METAL!$B$63:$K$1238,10,0)</f>
        <v>-0.47465068469284644</v>
      </c>
      <c r="AA803" s="8">
        <f>+VLOOKUP($B803,NIFTY_ENERGY!$B$63:$K$1238,10,0)</f>
        <v>-0.35511051864711529</v>
      </c>
      <c r="AB803" s="8">
        <f>+VLOOKUP($B803,NIFTY_AUTO!$B$63:$K$1238,10,0)</f>
        <v>-0.43523698359228069</v>
      </c>
      <c r="AC803" s="8"/>
      <c r="AD803" s="16">
        <f t="shared" si="447"/>
        <v>0.2305756520174653</v>
      </c>
      <c r="AE803" s="8">
        <f t="shared" si="448"/>
        <v>0.27185194457389944</v>
      </c>
      <c r="AF803" s="8">
        <f t="shared" si="449"/>
        <v>0.22083939851498319</v>
      </c>
      <c r="AG803" s="8">
        <f t="shared" si="450"/>
        <v>0.18346306574130905</v>
      </c>
      <c r="AH803" s="8">
        <f t="shared" si="451"/>
        <v>0.190497543014059</v>
      </c>
      <c r="AI803" s="8">
        <f t="shared" si="452"/>
        <v>0.26268978997588205</v>
      </c>
      <c r="AJ803" s="8">
        <f t="shared" si="453"/>
        <v>0.22514108637494137</v>
      </c>
      <c r="AK803" s="8">
        <f t="shared" si="454"/>
        <v>0.22266525775153226</v>
      </c>
      <c r="AL803" s="9">
        <v>0</v>
      </c>
      <c r="AM803" s="17">
        <f t="shared" si="431"/>
        <v>4.3369713638465761</v>
      </c>
      <c r="AN803" s="13">
        <f t="shared" si="432"/>
        <v>3.6784728598038883</v>
      </c>
      <c r="AO803" s="13">
        <f t="shared" si="433"/>
        <v>4.5281775205168087</v>
      </c>
      <c r="AP803" s="13">
        <f t="shared" si="434"/>
        <v>5.4506883767550454</v>
      </c>
      <c r="AQ803" s="13">
        <f t="shared" si="435"/>
        <v>5.249411536642226</v>
      </c>
      <c r="AR803" s="13">
        <f t="shared" si="436"/>
        <v>3.8067714778401229</v>
      </c>
      <c r="AS803" s="13">
        <f t="shared" si="437"/>
        <v>4.441659299514253</v>
      </c>
      <c r="AT803" s="13">
        <f t="shared" si="438"/>
        <v>4.491046381002465</v>
      </c>
      <c r="AU803" s="9">
        <v>0</v>
      </c>
      <c r="AV803" s="18">
        <f t="shared" si="455"/>
        <v>6</v>
      </c>
      <c r="AW803" s="18">
        <f t="shared" si="456"/>
        <v>8</v>
      </c>
      <c r="AX803" s="18">
        <f t="shared" si="457"/>
        <v>3</v>
      </c>
      <c r="AY803" s="18">
        <f t="shared" si="458"/>
        <v>1</v>
      </c>
      <c r="AZ803" s="18">
        <f t="shared" si="459"/>
        <v>2</v>
      </c>
      <c r="BA803" s="18">
        <f t="shared" si="460"/>
        <v>7</v>
      </c>
      <c r="BB803" s="18">
        <f t="shared" si="461"/>
        <v>5</v>
      </c>
      <c r="BC803" s="18">
        <f t="shared" si="462"/>
        <v>4</v>
      </c>
      <c r="BD803" s="18">
        <f t="shared" si="463"/>
        <v>9</v>
      </c>
      <c r="BE803" s="8">
        <f t="shared" si="465"/>
        <v>-2.7794167403917953E-2</v>
      </c>
    </row>
    <row r="804" spans="1:57" x14ac:dyDescent="0.25">
      <c r="A804" t="str">
        <f t="shared" si="464"/>
        <v>Y</v>
      </c>
      <c r="B804" s="1">
        <v>43921</v>
      </c>
      <c r="C804" s="9">
        <f t="shared" si="439"/>
        <v>0</v>
      </c>
      <c r="D804" s="9">
        <f t="shared" si="440"/>
        <v>0</v>
      </c>
      <c r="E804" s="9">
        <f t="shared" si="441"/>
        <v>0.25</v>
      </c>
      <c r="F804" s="9">
        <f t="shared" si="442"/>
        <v>0.25</v>
      </c>
      <c r="G804" s="9">
        <f t="shared" si="443"/>
        <v>0.25</v>
      </c>
      <c r="H804" s="9">
        <f t="shared" si="444"/>
        <v>0</v>
      </c>
      <c r="I804" s="9">
        <f t="shared" si="445"/>
        <v>0</v>
      </c>
      <c r="J804" s="9">
        <f t="shared" si="446"/>
        <v>0.25</v>
      </c>
      <c r="K804" s="9">
        <v>0</v>
      </c>
      <c r="L804" s="8">
        <f>+VLOOKUP($B804,NIFTY_50!$B$3:$I$1238,8,0)</f>
        <v>3.8237673738996003E-2</v>
      </c>
      <c r="M804" s="8">
        <f>+VLOOKUP($B804,NIFTY_BANK!$B$3:$I$41238,8,0)</f>
        <v>1.9252065763693649E-2</v>
      </c>
      <c r="N804" s="8">
        <f>+VLOOKUP($B804,NIFTY_IT!$B$3:$I$1238,8,0)</f>
        <v>3.6111471896613345E-2</v>
      </c>
      <c r="O804" s="8">
        <f>+VLOOKUP($B804,NIFTY_PHARMA!$B$3:$I$1238,8,0)</f>
        <v>4.0675754060324865E-2</v>
      </c>
      <c r="P804" s="8">
        <f>+VLOOKUP($B804,NIFTY_FMCG!$B$3:$I$1238,8,0)</f>
        <v>5.7590427210136408E-2</v>
      </c>
      <c r="Q804" s="8">
        <f>+VLOOKUP($B804,NIFTY_METAL!$B$3:$I$1238,8,0)</f>
        <v>5.1867082310804502E-2</v>
      </c>
      <c r="R804" s="8">
        <f>+VLOOKUP($B804,NIFTY_ENERGY!$B$3:$I$1238,8,0)</f>
        <v>6.9516685735162564E-2</v>
      </c>
      <c r="S804" s="8">
        <f>+VLOOKUP($B804,NIFTY_AUTO!$B$3:$I$1238,8,0)</f>
        <v>1.3310773909598117E-2</v>
      </c>
      <c r="T804" s="8">
        <v>0</v>
      </c>
      <c r="U804" s="8">
        <f>+VLOOKUP($B804,NIFTY_50!$B$63:$K$1238,10,0)</f>
        <v>-0.29680247655735625</v>
      </c>
      <c r="V804" s="8">
        <f>+VLOOKUP($B804,NIFTY_BANK!$B$63:$K$1238,10,0)</f>
        <v>-0.40304185473623488</v>
      </c>
      <c r="W804" s="8">
        <f>+VLOOKUP($B804,NIFTY_IT!$B$63:$K$1238,10,0)</f>
        <v>-0.19909830202176126</v>
      </c>
      <c r="X804" s="8">
        <f>+VLOOKUP($B804,NIFTY_PHARMA!$B$63:$K$1238,10,0)</f>
        <v>-0.11531752537922446</v>
      </c>
      <c r="Y804" s="8">
        <f>+VLOOKUP($B804,NIFTY_FMCG!$B$63:$K$1238,10,0)</f>
        <v>-9.2664214485581597E-2</v>
      </c>
      <c r="Z804" s="8">
        <f>+VLOOKUP($B804,NIFTY_METAL!$B$63:$K$1238,10,0)</f>
        <v>-0.44322151420998113</v>
      </c>
      <c r="AA804" s="8">
        <f>+VLOOKUP($B804,NIFTY_ENERGY!$B$63:$K$1238,10,0)</f>
        <v>-0.30711376037073024</v>
      </c>
      <c r="AB804" s="8">
        <f>+VLOOKUP($B804,NIFTY_AUTO!$B$63:$K$1238,10,0)</f>
        <v>-0.42076235132802409</v>
      </c>
      <c r="AC804" s="8">
        <f>+VLOOKUP($B804,EBBETF0430!$B$63:$K$1238,10,0)</f>
        <v>0.47637311599196952</v>
      </c>
      <c r="AD804" s="16">
        <f t="shared" si="447"/>
        <v>0.23471056636200108</v>
      </c>
      <c r="AE804" s="8">
        <f t="shared" si="448"/>
        <v>0.27319483792626031</v>
      </c>
      <c r="AF804" s="8">
        <f t="shared" si="449"/>
        <v>0.22363451451467672</v>
      </c>
      <c r="AG804" s="8">
        <f t="shared" si="450"/>
        <v>0.18813368792188573</v>
      </c>
      <c r="AH804" s="8">
        <f t="shared" si="451"/>
        <v>0.19950445387787055</v>
      </c>
      <c r="AI804" s="8">
        <f t="shared" si="452"/>
        <v>0.2697395598302163</v>
      </c>
      <c r="AJ804" s="8">
        <f t="shared" si="453"/>
        <v>0.23750653281390996</v>
      </c>
      <c r="AK804" s="8">
        <f t="shared" si="454"/>
        <v>0.22372483977556637</v>
      </c>
      <c r="AL804" s="9">
        <v>0</v>
      </c>
      <c r="AM804" s="17">
        <f t="shared" si="431"/>
        <v>4.2605666012397174</v>
      </c>
      <c r="AN804" s="13">
        <f t="shared" si="432"/>
        <v>3.6603912708991819</v>
      </c>
      <c r="AO804" s="13">
        <f t="shared" si="433"/>
        <v>4.4715816884087083</v>
      </c>
      <c r="AP804" s="13">
        <f t="shared" si="434"/>
        <v>5.3153691454515375</v>
      </c>
      <c r="AQ804" s="13">
        <f t="shared" si="435"/>
        <v>5.0124194250428316</v>
      </c>
      <c r="AR804" s="13">
        <f t="shared" si="436"/>
        <v>3.7072797205920986</v>
      </c>
      <c r="AS804" s="13">
        <f t="shared" si="437"/>
        <v>4.2104105017756099</v>
      </c>
      <c r="AT804" s="13">
        <f t="shared" si="438"/>
        <v>4.4697763601179386</v>
      </c>
      <c r="AU804" s="9">
        <v>0</v>
      </c>
      <c r="AV804" s="18">
        <f t="shared" si="455"/>
        <v>5</v>
      </c>
      <c r="AW804" s="18">
        <f t="shared" si="456"/>
        <v>8</v>
      </c>
      <c r="AX804" s="18">
        <f t="shared" si="457"/>
        <v>3</v>
      </c>
      <c r="AY804" s="18">
        <f t="shared" si="458"/>
        <v>1</v>
      </c>
      <c r="AZ804" s="18">
        <f t="shared" si="459"/>
        <v>2</v>
      </c>
      <c r="BA804" s="18">
        <f t="shared" si="460"/>
        <v>7</v>
      </c>
      <c r="BB804" s="18">
        <f t="shared" si="461"/>
        <v>6</v>
      </c>
      <c r="BC804" s="18">
        <f t="shared" si="462"/>
        <v>4</v>
      </c>
      <c r="BD804" s="18">
        <f t="shared" si="463"/>
        <v>9</v>
      </c>
      <c r="BE804" s="8">
        <f t="shared" si="465"/>
        <v>3.9245838779290387E-2</v>
      </c>
    </row>
    <row r="805" spans="1:57" x14ac:dyDescent="0.25">
      <c r="A805" t="str">
        <f t="shared" si="464"/>
        <v/>
      </c>
      <c r="B805" s="1">
        <v>43922</v>
      </c>
      <c r="C805" s="9">
        <f t="shared" si="439"/>
        <v>0</v>
      </c>
      <c r="D805" s="9">
        <f t="shared" si="440"/>
        <v>0</v>
      </c>
      <c r="E805" s="9">
        <f t="shared" si="441"/>
        <v>0.24373103673816104</v>
      </c>
      <c r="F805" s="9">
        <f t="shared" si="442"/>
        <v>0.25286399462764947</v>
      </c>
      <c r="G805" s="9">
        <f t="shared" si="443"/>
        <v>0.24917583879236022</v>
      </c>
      <c r="H805" s="9">
        <f t="shared" si="444"/>
        <v>0</v>
      </c>
      <c r="I805" s="9">
        <f t="shared" si="445"/>
        <v>0</v>
      </c>
      <c r="J805" s="9">
        <f t="shared" si="446"/>
        <v>0.25422912984182933</v>
      </c>
      <c r="K805" s="9">
        <v>0</v>
      </c>
      <c r="L805" s="8">
        <f>+VLOOKUP($B805,NIFTY_50!$B$3:$I$1238,8,0)</f>
        <v>-4.0004652379983185E-2</v>
      </c>
      <c r="M805" s="8">
        <f>+VLOOKUP($B805,NIFTY_BANK!$B$3:$I$41238,8,0)</f>
        <v>-4.8874320936063587E-2</v>
      </c>
      <c r="N805" s="8">
        <f>+VLOOKUP($B805,NIFTY_IT!$B$3:$I$1238,8,0)</f>
        <v>-5.6237831654738168E-2</v>
      </c>
      <c r="O805" s="8">
        <f>+VLOOKUP($B805,NIFTY_PHARMA!$B$3:$I$1238,8,0)</f>
        <v>-2.0873684943914173E-2</v>
      </c>
      <c r="P805" s="8">
        <f>+VLOOKUP($B805,NIFTY_FMCG!$B$3:$I$1238,8,0)</f>
        <v>-3.5154762950598939E-2</v>
      </c>
      <c r="Q805" s="8">
        <f>+VLOOKUP($B805,NIFTY_METAL!$B$3:$I$1238,8,0)</f>
        <v>-2.0398511885995396E-2</v>
      </c>
      <c r="R805" s="8">
        <f>+VLOOKUP($B805,NIFTY_ENERGY!$B$3:$I$1238,8,0)</f>
        <v>-3.1665340722661917E-2</v>
      </c>
      <c r="S805" s="8">
        <f>+VLOOKUP($B805,NIFTY_AUTO!$B$3:$I$1238,8,0)</f>
        <v>-1.5587682032422334E-2</v>
      </c>
      <c r="T805" s="8">
        <v>0</v>
      </c>
      <c r="U805" s="8">
        <f>+VLOOKUP($B805,NIFTY_50!$B$63:$K$1238,10,0)</f>
        <v>-0.31178474199640627</v>
      </c>
      <c r="V805" s="8">
        <f>+VLOOKUP($B805,NIFTY_BANK!$B$63:$K$1238,10,0)</f>
        <v>-0.4170931086862919</v>
      </c>
      <c r="W805" s="8">
        <f>+VLOOKUP($B805,NIFTY_IT!$B$63:$K$1238,10,0)</f>
        <v>-0.24143566039874553</v>
      </c>
      <c r="X805" s="8">
        <f>+VLOOKUP($B805,NIFTY_PHARMA!$B$63:$K$1238,10,0)</f>
        <v>-0.12027142919741851</v>
      </c>
      <c r="Y805" s="8">
        <f>+VLOOKUP($B805,NIFTY_FMCG!$B$63:$K$1238,10,0)</f>
        <v>-0.11545573218162841</v>
      </c>
      <c r="Z805" s="8">
        <f>+VLOOKUP($B805,NIFTY_METAL!$B$63:$K$1238,10,0)</f>
        <v>-0.43828979481153396</v>
      </c>
      <c r="AA805" s="8">
        <f>+VLOOKUP($B805,NIFTY_ENERGY!$B$63:$K$1238,10,0)</f>
        <v>-0.31550703594383955</v>
      </c>
      <c r="AB805" s="8">
        <f>+VLOOKUP($B805,NIFTY_AUTO!$B$63:$K$1238,10,0)</f>
        <v>-0.4162556791477362</v>
      </c>
      <c r="AC805" s="8">
        <f>+VLOOKUP($B805,EBBETF0430!$B$63:$K$1238,10,0)</f>
        <v>-0.87784762790321602</v>
      </c>
      <c r="AD805" s="16">
        <f t="shared" si="447"/>
        <v>0.2368463258095059</v>
      </c>
      <c r="AE805" s="8">
        <f t="shared" si="448"/>
        <v>0.27565490137935977</v>
      </c>
      <c r="AF805" s="8">
        <f t="shared" si="449"/>
        <v>0.22973498294547548</v>
      </c>
      <c r="AG805" s="8">
        <f t="shared" si="450"/>
        <v>0.18861255463793128</v>
      </c>
      <c r="AH805" s="8">
        <f t="shared" si="451"/>
        <v>0.2021362792833033</v>
      </c>
      <c r="AI805" s="8">
        <f t="shared" si="452"/>
        <v>0.2692344307030044</v>
      </c>
      <c r="AJ805" s="8">
        <f t="shared" si="453"/>
        <v>0.23850941271188497</v>
      </c>
      <c r="AK805" s="8">
        <f t="shared" si="454"/>
        <v>0.22335195011155351</v>
      </c>
      <c r="AL805" s="9">
        <v>0</v>
      </c>
      <c r="AM805" s="17">
        <f t="shared" si="431"/>
        <v>4.22214698320587</v>
      </c>
      <c r="AN805" s="13">
        <f t="shared" si="432"/>
        <v>3.6277243575066613</v>
      </c>
      <c r="AO805" s="13">
        <f t="shared" si="433"/>
        <v>4.3528416403057628</v>
      </c>
      <c r="AP805" s="13">
        <f t="shared" si="434"/>
        <v>5.3018740026062563</v>
      </c>
      <c r="AQ805" s="13">
        <f t="shared" si="435"/>
        <v>4.9471574501401303</v>
      </c>
      <c r="AR805" s="13">
        <f t="shared" si="436"/>
        <v>3.7142352016006135</v>
      </c>
      <c r="AS805" s="13">
        <f t="shared" si="437"/>
        <v>4.1927066467937761</v>
      </c>
      <c r="AT805" s="13">
        <f t="shared" si="438"/>
        <v>4.4772387234611042</v>
      </c>
      <c r="AU805" s="9">
        <v>0</v>
      </c>
      <c r="AV805" s="18">
        <f t="shared" si="455"/>
        <v>5</v>
      </c>
      <c r="AW805" s="18">
        <f t="shared" si="456"/>
        <v>8</v>
      </c>
      <c r="AX805" s="18">
        <f t="shared" si="457"/>
        <v>4</v>
      </c>
      <c r="AY805" s="18">
        <f t="shared" si="458"/>
        <v>1</v>
      </c>
      <c r="AZ805" s="18">
        <f t="shared" si="459"/>
        <v>2</v>
      </c>
      <c r="BA805" s="18">
        <f t="shared" si="460"/>
        <v>7</v>
      </c>
      <c r="BB805" s="18">
        <f t="shared" si="461"/>
        <v>6</v>
      </c>
      <c r="BC805" s="18">
        <f t="shared" si="462"/>
        <v>3</v>
      </c>
      <c r="BD805" s="18">
        <f t="shared" si="463"/>
        <v>9</v>
      </c>
      <c r="BE805" s="8">
        <f t="shared" si="465"/>
        <v>-3.1963490395418404E-2</v>
      </c>
    </row>
    <row r="806" spans="1:57" x14ac:dyDescent="0.25">
      <c r="A806" t="str">
        <f t="shared" si="464"/>
        <v/>
      </c>
      <c r="B806" s="1">
        <v>43924</v>
      </c>
      <c r="C806" s="9">
        <f t="shared" si="439"/>
        <v>0</v>
      </c>
      <c r="D806" s="9">
        <f t="shared" si="440"/>
        <v>0</v>
      </c>
      <c r="E806" s="9">
        <f t="shared" si="441"/>
        <v>0.2366345845275144</v>
      </c>
      <c r="F806" s="9">
        <f t="shared" si="442"/>
        <v>0.26525765700152942</v>
      </c>
      <c r="G806" s="9">
        <f t="shared" si="443"/>
        <v>0.25119125942829523</v>
      </c>
      <c r="H806" s="9">
        <f t="shared" si="444"/>
        <v>0</v>
      </c>
      <c r="I806" s="9">
        <f t="shared" si="445"/>
        <v>0</v>
      </c>
      <c r="J806" s="9">
        <f t="shared" si="446"/>
        <v>0.24691649904266094</v>
      </c>
      <c r="K806" s="9">
        <v>0</v>
      </c>
      <c r="L806" s="8">
        <f>+VLOOKUP($B806,NIFTY_50!$B$3:$I$1238,8,0)</f>
        <v>-2.0596573699386833E-2</v>
      </c>
      <c r="M806" s="8">
        <f>+VLOOKUP($B806,NIFTY_BANK!$B$3:$I$41238,8,0)</f>
        <v>-5.2670890003762016E-2</v>
      </c>
      <c r="N806" s="8">
        <f>+VLOOKUP($B806,NIFTY_IT!$B$3:$I$1238,8,0)</f>
        <v>-3.0367304922442218E-2</v>
      </c>
      <c r="O806" s="8">
        <f>+VLOOKUP($B806,NIFTY_PHARMA!$B$3:$I$1238,8,0)</f>
        <v>4.7661064226450556E-2</v>
      </c>
      <c r="P806" s="8">
        <f>+VLOOKUP($B806,NIFTY_FMCG!$B$3:$I$1238,8,0)</f>
        <v>6.7890040517777361E-3</v>
      </c>
      <c r="Q806" s="8">
        <f>+VLOOKUP($B806,NIFTY_METAL!$B$3:$I$1238,8,0)</f>
        <v>-1.9729007756428718E-2</v>
      </c>
      <c r="R806" s="8">
        <f>+VLOOKUP($B806,NIFTY_ENERGY!$B$3:$I$1238,8,0)</f>
        <v>1.0815176524104464E-2</v>
      </c>
      <c r="S806" s="8">
        <f>+VLOOKUP($B806,NIFTY_AUTO!$B$3:$I$1238,8,0)</f>
        <v>-3.0015780828976601E-2</v>
      </c>
      <c r="T806" s="8">
        <v>0</v>
      </c>
      <c r="U806" s="8">
        <f>+VLOOKUP($B806,NIFTY_50!$B$63:$K$1238,10,0)</f>
        <v>-0.32930942217465431</v>
      </c>
      <c r="V806" s="8">
        <f>+VLOOKUP($B806,NIFTY_BANK!$B$63:$K$1238,10,0)</f>
        <v>-0.45064873851092702</v>
      </c>
      <c r="W806" s="8">
        <f>+VLOOKUP($B806,NIFTY_IT!$B$63:$K$1238,10,0)</f>
        <v>-0.26518382908047722</v>
      </c>
      <c r="X806" s="8">
        <f>+VLOOKUP($B806,NIFTY_PHARMA!$B$63:$K$1238,10,0)</f>
        <v>-8.3979344241896348E-2</v>
      </c>
      <c r="Y806" s="8">
        <f>+VLOOKUP($B806,NIFTY_FMCG!$B$63:$K$1238,10,0)</f>
        <v>-0.11131445525721828</v>
      </c>
      <c r="Z806" s="8">
        <f>+VLOOKUP($B806,NIFTY_METAL!$B$63:$K$1238,10,0)</f>
        <v>-0.45335439175849812</v>
      </c>
      <c r="AA806" s="8">
        <f>+VLOOKUP($B806,NIFTY_ENERGY!$B$63:$K$1238,10,0)</f>
        <v>-0.31058804907004356</v>
      </c>
      <c r="AB806" s="8">
        <f>+VLOOKUP($B806,NIFTY_AUTO!$B$63:$K$1238,10,0)</f>
        <v>-0.43545766947828801</v>
      </c>
      <c r="AC806" s="8">
        <f>+VLOOKUP($B806,EBBETF0430!$B$63:$K$1238,10,0)</f>
        <v>-0.92891765431061057</v>
      </c>
      <c r="AD806" s="16">
        <f t="shared" si="447"/>
        <v>0.23705802031927603</v>
      </c>
      <c r="AE806" s="8">
        <f t="shared" si="448"/>
        <v>0.27880889137154852</v>
      </c>
      <c r="AF806" s="8">
        <f t="shared" si="449"/>
        <v>0.23114422075284174</v>
      </c>
      <c r="AG806" s="8">
        <f t="shared" si="450"/>
        <v>0.19475554550816762</v>
      </c>
      <c r="AH806" s="8">
        <f t="shared" si="451"/>
        <v>0.20227719668167621</v>
      </c>
      <c r="AI806" s="8">
        <f t="shared" si="452"/>
        <v>0.26895325034115353</v>
      </c>
      <c r="AJ806" s="8">
        <f t="shared" si="453"/>
        <v>0.23889836235041087</v>
      </c>
      <c r="AK806" s="8">
        <f t="shared" si="454"/>
        <v>0.22407335366620032</v>
      </c>
      <c r="AL806" s="9">
        <v>0</v>
      </c>
      <c r="AM806" s="17">
        <f t="shared" si="431"/>
        <v>4.2183765757141369</v>
      </c>
      <c r="AN806" s="13">
        <f t="shared" si="432"/>
        <v>3.5866861888108583</v>
      </c>
      <c r="AO806" s="13">
        <f t="shared" si="433"/>
        <v>4.3263032782865096</v>
      </c>
      <c r="AP806" s="13">
        <f t="shared" si="434"/>
        <v>5.1346419810061956</v>
      </c>
      <c r="AQ806" s="13">
        <f t="shared" si="435"/>
        <v>4.9437109887067541</v>
      </c>
      <c r="AR806" s="13">
        <f t="shared" si="436"/>
        <v>3.7181182927945686</v>
      </c>
      <c r="AS806" s="13">
        <f t="shared" si="437"/>
        <v>4.1858805148828182</v>
      </c>
      <c r="AT806" s="13">
        <f t="shared" si="438"/>
        <v>4.462824265529088</v>
      </c>
      <c r="AU806" s="9">
        <v>0</v>
      </c>
      <c r="AV806" s="18">
        <f t="shared" si="455"/>
        <v>5</v>
      </c>
      <c r="AW806" s="18">
        <f t="shared" si="456"/>
        <v>8</v>
      </c>
      <c r="AX806" s="18">
        <f t="shared" si="457"/>
        <v>4</v>
      </c>
      <c r="AY806" s="18">
        <f t="shared" si="458"/>
        <v>1</v>
      </c>
      <c r="AZ806" s="18">
        <f t="shared" si="459"/>
        <v>2</v>
      </c>
      <c r="BA806" s="18">
        <f t="shared" si="460"/>
        <v>7</v>
      </c>
      <c r="BB806" s="18">
        <f t="shared" si="461"/>
        <v>6</v>
      </c>
      <c r="BC806" s="18">
        <f t="shared" si="462"/>
        <v>3</v>
      </c>
      <c r="BD806" s="18">
        <f t="shared" si="463"/>
        <v>9</v>
      </c>
      <c r="BE806" s="8">
        <f t="shared" si="465"/>
        <v>-1.2889176856927878E-3</v>
      </c>
    </row>
    <row r="807" spans="1:57" x14ac:dyDescent="0.25">
      <c r="A807" t="str">
        <f t="shared" si="464"/>
        <v/>
      </c>
      <c r="B807" s="1">
        <v>43928</v>
      </c>
      <c r="C807" s="9">
        <f t="shared" si="439"/>
        <v>0</v>
      </c>
      <c r="D807" s="9">
        <f t="shared" si="440"/>
        <v>0</v>
      </c>
      <c r="E807" s="9">
        <f t="shared" si="441"/>
        <v>0.23387788195894935</v>
      </c>
      <c r="F807" s="9">
        <f t="shared" si="442"/>
        <v>0.26845852070810794</v>
      </c>
      <c r="G807" s="9">
        <f t="shared" si="443"/>
        <v>0.24950163622853169</v>
      </c>
      <c r="H807" s="9">
        <f t="shared" si="444"/>
        <v>0</v>
      </c>
      <c r="I807" s="9">
        <f t="shared" si="445"/>
        <v>0</v>
      </c>
      <c r="J807" s="9">
        <f t="shared" si="446"/>
        <v>0.24816196110441116</v>
      </c>
      <c r="K807" s="9">
        <v>0</v>
      </c>
      <c r="L807" s="8">
        <f>+VLOOKUP($B807,NIFTY_50!$B$3:$I$1238,8,0)</f>
        <v>8.7632054231920664E-2</v>
      </c>
      <c r="M807" s="8">
        <f>+VLOOKUP($B807,NIFTY_BANK!$B$3:$I$41238,8,0)</f>
        <v>0.10511730910819583</v>
      </c>
      <c r="N807" s="8">
        <f>+VLOOKUP($B807,NIFTY_IT!$B$3:$I$1238,8,0)</f>
        <v>7.7816447703562996E-2</v>
      </c>
      <c r="O807" s="8">
        <f>+VLOOKUP($B807,NIFTY_PHARMA!$B$3:$I$1238,8,0)</f>
        <v>0.10367990654205617</v>
      </c>
      <c r="P807" s="8">
        <f>+VLOOKUP($B807,NIFTY_FMCG!$B$3:$I$1238,8,0)</f>
        <v>8.318527380806584E-2</v>
      </c>
      <c r="Q807" s="8">
        <f>+VLOOKUP($B807,NIFTY_METAL!$B$3:$I$1238,8,0)</f>
        <v>7.4922844572854252E-2</v>
      </c>
      <c r="R807" s="8">
        <f>+VLOOKUP($B807,NIFTY_ENERGY!$B$3:$I$1238,8,0)</f>
        <v>7.1576172807758853E-2</v>
      </c>
      <c r="S807" s="8">
        <f>+VLOOKUP($B807,NIFTY_AUTO!$B$3:$I$1238,8,0)</f>
        <v>9.6021249515798823E-2</v>
      </c>
      <c r="T807" s="8">
        <v>0</v>
      </c>
      <c r="U807" s="8">
        <f>+VLOOKUP($B807,NIFTY_50!$B$63:$K$1238,10,0)</f>
        <v>-0.26886119738718617</v>
      </c>
      <c r="V807" s="8">
        <f>+VLOOKUP($B807,NIFTY_BANK!$B$63:$K$1238,10,0)</f>
        <v>-0.39240413531737628</v>
      </c>
      <c r="W807" s="8">
        <f>+VLOOKUP($B807,NIFTY_IT!$B$63:$K$1238,10,0)</f>
        <v>-0.21089482212311439</v>
      </c>
      <c r="X807" s="8">
        <f>+VLOOKUP($B807,NIFTY_PHARMA!$B$63:$K$1238,10,0)</f>
        <v>1.6095245837059124E-2</v>
      </c>
      <c r="Y807" s="8">
        <f>+VLOOKUP($B807,NIFTY_FMCG!$B$63:$K$1238,10,0)</f>
        <v>-3.8400037466714831E-2</v>
      </c>
      <c r="Z807" s="8">
        <f>+VLOOKUP($B807,NIFTY_METAL!$B$63:$K$1238,10,0)</f>
        <v>-0.40843797994398767</v>
      </c>
      <c r="AA807" s="8">
        <f>+VLOOKUP($B807,NIFTY_ENERGY!$B$63:$K$1238,10,0)</f>
        <v>-0.25516838547202514</v>
      </c>
      <c r="AB807" s="8">
        <f>+VLOOKUP($B807,NIFTY_AUTO!$B$63:$K$1238,10,0)</f>
        <v>-0.37659500802618739</v>
      </c>
      <c r="AC807" s="8">
        <f>+VLOOKUP($B807,EBBETF0430!$B$63:$K$1238,10,0)</f>
        <v>18.254039978555564</v>
      </c>
      <c r="AD807" s="16">
        <f t="shared" si="447"/>
        <v>0.25461000717609039</v>
      </c>
      <c r="AE807" s="8">
        <f t="shared" si="448"/>
        <v>0.30087847137548768</v>
      </c>
      <c r="AF807" s="8">
        <f t="shared" si="449"/>
        <v>0.24507262967093896</v>
      </c>
      <c r="AG807" s="8">
        <f t="shared" si="450"/>
        <v>0.2206899867907397</v>
      </c>
      <c r="AH807" s="8">
        <f t="shared" si="451"/>
        <v>0.2190562529563273</v>
      </c>
      <c r="AI807" s="8">
        <f t="shared" si="452"/>
        <v>0.28161002884438779</v>
      </c>
      <c r="AJ807" s="8">
        <f t="shared" si="453"/>
        <v>0.25083587253857498</v>
      </c>
      <c r="AK807" s="8">
        <f t="shared" si="454"/>
        <v>0.24706147309984344</v>
      </c>
      <c r="AL807" s="9">
        <v>0</v>
      </c>
      <c r="AM807" s="17">
        <f t="shared" si="431"/>
        <v>3.9275753969418479</v>
      </c>
      <c r="AN807" s="13">
        <f t="shared" si="432"/>
        <v>3.3236010387464008</v>
      </c>
      <c r="AO807" s="13">
        <f t="shared" si="433"/>
        <v>4.0804230213006987</v>
      </c>
      <c r="AP807" s="13">
        <f t="shared" si="434"/>
        <v>4.5312431911476319</v>
      </c>
      <c r="AQ807" s="13">
        <f t="shared" si="435"/>
        <v>4.5650374572935268</v>
      </c>
      <c r="AR807" s="13">
        <f t="shared" si="436"/>
        <v>3.5510098987013721</v>
      </c>
      <c r="AS807" s="13">
        <f t="shared" si="437"/>
        <v>3.9866706060801342</v>
      </c>
      <c r="AT807" s="13">
        <f t="shared" si="438"/>
        <v>4.0475756395894074</v>
      </c>
      <c r="AU807" s="9">
        <v>0</v>
      </c>
      <c r="AV807" s="18">
        <f t="shared" si="455"/>
        <v>6</v>
      </c>
      <c r="AW807" s="18">
        <f t="shared" si="456"/>
        <v>8</v>
      </c>
      <c r="AX807" s="18">
        <f t="shared" si="457"/>
        <v>3</v>
      </c>
      <c r="AY807" s="18">
        <f t="shared" si="458"/>
        <v>2</v>
      </c>
      <c r="AZ807" s="18">
        <f t="shared" si="459"/>
        <v>1</v>
      </c>
      <c r="BA807" s="18">
        <f t="shared" si="460"/>
        <v>7</v>
      </c>
      <c r="BB807" s="18">
        <f t="shared" si="461"/>
        <v>5</v>
      </c>
      <c r="BC807" s="18">
        <f t="shared" si="462"/>
        <v>4</v>
      </c>
      <c r="BD807" s="18">
        <f t="shared" si="463"/>
        <v>9</v>
      </c>
      <c r="BE807" s="8">
        <f t="shared" si="465"/>
        <v>9.0520596317101534E-2</v>
      </c>
    </row>
    <row r="808" spans="1:57" x14ac:dyDescent="0.25">
      <c r="A808" t="str">
        <f t="shared" si="464"/>
        <v/>
      </c>
      <c r="B808" s="1">
        <v>43929</v>
      </c>
      <c r="C808" s="9">
        <f t="shared" si="439"/>
        <v>0</v>
      </c>
      <c r="D808" s="9">
        <f t="shared" si="440"/>
        <v>0</v>
      </c>
      <c r="E808" s="9">
        <f t="shared" si="441"/>
        <v>0.22906318993157018</v>
      </c>
      <c r="F808" s="9">
        <f t="shared" si="442"/>
        <v>0.27435366152419027</v>
      </c>
      <c r="G808" s="9">
        <f t="shared" si="443"/>
        <v>0.24708116078142622</v>
      </c>
      <c r="H808" s="9">
        <f t="shared" si="444"/>
        <v>0</v>
      </c>
      <c r="I808" s="9">
        <f t="shared" si="445"/>
        <v>0</v>
      </c>
      <c r="J808" s="9">
        <f t="shared" si="446"/>
        <v>0.24950198776281324</v>
      </c>
      <c r="K808" s="9">
        <v>0</v>
      </c>
      <c r="L808" s="8">
        <f>+VLOOKUP($B808,NIFTY_50!$B$3:$I$1238,8,0)</f>
        <v>-4.9418803029959157E-3</v>
      </c>
      <c r="M808" s="8">
        <f>+VLOOKUP($B808,NIFTY_BANK!$B$3:$I$41238,8,0)</f>
        <v>-6.0878688524589331E-3</v>
      </c>
      <c r="N808" s="8">
        <f>+VLOOKUP($B808,NIFTY_IT!$B$3:$I$1238,8,0)</f>
        <v>-7.7369439071567347E-3</v>
      </c>
      <c r="O808" s="8">
        <f>+VLOOKUP($B808,NIFTY_PHARMA!$B$3:$I$1238,8,0)</f>
        <v>3.5366806771817361E-2</v>
      </c>
      <c r="P808" s="8">
        <f>+VLOOKUP($B808,NIFTY_FMCG!$B$3:$I$1238,8,0)</f>
        <v>3.2909727851162529E-3</v>
      </c>
      <c r="Q808" s="8">
        <f>+VLOOKUP($B808,NIFTY_METAL!$B$3:$I$1238,8,0)</f>
        <v>-7.422113622480242E-3</v>
      </c>
      <c r="R808" s="8">
        <f>+VLOOKUP($B808,NIFTY_ENERGY!$B$3:$I$1238,8,0)</f>
        <v>1.4912900944912266E-3</v>
      </c>
      <c r="S808" s="8">
        <f>+VLOOKUP($B808,NIFTY_AUTO!$B$3:$I$1238,8,0)</f>
        <v>1.859013844149815E-2</v>
      </c>
      <c r="T808" s="8">
        <v>0</v>
      </c>
      <c r="U808" s="8">
        <f>+VLOOKUP($B808,NIFTY_50!$B$63:$K$1238,10,0)</f>
        <v>-0.28382272284481702</v>
      </c>
      <c r="V808" s="8">
        <f>+VLOOKUP($B808,NIFTY_BANK!$B$63:$K$1238,10,0)</f>
        <v>-0.40962813625655914</v>
      </c>
      <c r="W808" s="8">
        <f>+VLOOKUP($B808,NIFTY_IT!$B$63:$K$1238,10,0)</f>
        <v>-0.21560864418859482</v>
      </c>
      <c r="X808" s="8">
        <f>+VLOOKUP($B808,NIFTY_PHARMA!$B$63:$K$1238,10,0)</f>
        <v>4.7185724155530684E-2</v>
      </c>
      <c r="Y808" s="8">
        <f>+VLOOKUP($B808,NIFTY_FMCG!$B$63:$K$1238,10,0)</f>
        <v>-4.2614428554355932E-2</v>
      </c>
      <c r="Z808" s="8">
        <f>+VLOOKUP($B808,NIFTY_METAL!$B$63:$K$1238,10,0)</f>
        <v>-0.42110232293002714</v>
      </c>
      <c r="AA808" s="8">
        <f>+VLOOKUP($B808,NIFTY_ENERGY!$B$63:$K$1238,10,0)</f>
        <v>-0.26510108268056998</v>
      </c>
      <c r="AB808" s="8">
        <f>+VLOOKUP($B808,NIFTY_AUTO!$B$63:$K$1238,10,0)</f>
        <v>-0.38155176113546485</v>
      </c>
      <c r="AC808" s="8">
        <f>+VLOOKUP($B808,EBBETF0430!$B$63:$K$1238,10,0)</f>
        <v>-0.4097698033223246</v>
      </c>
      <c r="AD808" s="16">
        <f t="shared" si="447"/>
        <v>0.25377596049145346</v>
      </c>
      <c r="AE808" s="8">
        <f t="shared" si="448"/>
        <v>0.29933117616919891</v>
      </c>
      <c r="AF808" s="8">
        <f t="shared" si="449"/>
        <v>0.24510497571447359</v>
      </c>
      <c r="AG808" s="8">
        <f t="shared" si="450"/>
        <v>0.22333237850042498</v>
      </c>
      <c r="AH808" s="8">
        <f t="shared" si="451"/>
        <v>0.21893967406074727</v>
      </c>
      <c r="AI808" s="8">
        <f t="shared" si="452"/>
        <v>0.28072041761604583</v>
      </c>
      <c r="AJ808" s="8">
        <f t="shared" si="453"/>
        <v>0.25015133027777692</v>
      </c>
      <c r="AK808" s="8">
        <f t="shared" si="454"/>
        <v>0.24607013012629275</v>
      </c>
      <c r="AL808" s="9">
        <v>0</v>
      </c>
      <c r="AM808" s="17">
        <f t="shared" si="431"/>
        <v>3.9404835590551435</v>
      </c>
      <c r="AN808" s="13">
        <f t="shared" si="432"/>
        <v>3.3407813138540017</v>
      </c>
      <c r="AO808" s="13">
        <f t="shared" si="433"/>
        <v>4.0798845355343367</v>
      </c>
      <c r="AP808" s="13">
        <f t="shared" si="434"/>
        <v>4.4776310838336286</v>
      </c>
      <c r="AQ808" s="13">
        <f t="shared" si="435"/>
        <v>4.5674682046093613</v>
      </c>
      <c r="AR808" s="13">
        <f t="shared" si="436"/>
        <v>3.5622631531125242</v>
      </c>
      <c r="AS808" s="13">
        <f t="shared" si="437"/>
        <v>3.9975801803235047</v>
      </c>
      <c r="AT808" s="13">
        <f t="shared" si="438"/>
        <v>4.0638821115214636</v>
      </c>
      <c r="AU808" s="9">
        <v>0</v>
      </c>
      <c r="AV808" s="18">
        <f t="shared" si="455"/>
        <v>6</v>
      </c>
      <c r="AW808" s="18">
        <f t="shared" si="456"/>
        <v>8</v>
      </c>
      <c r="AX808" s="18">
        <f t="shared" si="457"/>
        <v>3</v>
      </c>
      <c r="AY808" s="18">
        <f t="shared" si="458"/>
        <v>2</v>
      </c>
      <c r="AZ808" s="18">
        <f t="shared" si="459"/>
        <v>1</v>
      </c>
      <c r="BA808" s="18">
        <f t="shared" si="460"/>
        <v>7</v>
      </c>
      <c r="BB808" s="18">
        <f t="shared" si="461"/>
        <v>5</v>
      </c>
      <c r="BC808" s="18">
        <f t="shared" si="462"/>
        <v>4</v>
      </c>
      <c r="BD808" s="18">
        <f t="shared" si="463"/>
        <v>9</v>
      </c>
      <c r="BE808" s="8">
        <f t="shared" si="465"/>
        <v>1.3119488881805324E-2</v>
      </c>
    </row>
    <row r="809" spans="1:57" x14ac:dyDescent="0.25">
      <c r="A809" t="str">
        <f t="shared" si="464"/>
        <v/>
      </c>
      <c r="B809" s="1">
        <v>43930</v>
      </c>
      <c r="C809" s="9">
        <f t="shared" si="439"/>
        <v>0</v>
      </c>
      <c r="D809" s="9">
        <f t="shared" si="440"/>
        <v>0</v>
      </c>
      <c r="E809" s="9">
        <f t="shared" si="441"/>
        <v>0.2235842532379122</v>
      </c>
      <c r="F809" s="9">
        <f t="shared" si="442"/>
        <v>0.2749345743099173</v>
      </c>
      <c r="G809" s="9">
        <f t="shared" si="443"/>
        <v>0.23761057210001768</v>
      </c>
      <c r="H809" s="9">
        <f t="shared" si="444"/>
        <v>0</v>
      </c>
      <c r="I809" s="9">
        <f t="shared" si="445"/>
        <v>0</v>
      </c>
      <c r="J809" s="9">
        <f t="shared" si="446"/>
        <v>0.26387060035215293</v>
      </c>
      <c r="K809" s="9">
        <v>0</v>
      </c>
      <c r="L809" s="8">
        <f>+VLOOKUP($B809,NIFTY_50!$B$3:$I$1238,8,0)</f>
        <v>4.1508786969566946E-2</v>
      </c>
      <c r="M809" s="8">
        <f>+VLOOKUP($B809,NIFTY_BANK!$B$3:$I$41238,8,0)</f>
        <v>5.104650211517181E-2</v>
      </c>
      <c r="N809" s="8">
        <f>+VLOOKUP($B809,NIFTY_IT!$B$3:$I$1238,8,0)</f>
        <v>1.8972825630126033E-2</v>
      </c>
      <c r="O809" s="8">
        <f>+VLOOKUP($B809,NIFTY_PHARMA!$B$3:$I$1238,8,0)</f>
        <v>4.6153206057868434E-2</v>
      </c>
      <c r="P809" s="8">
        <f>+VLOOKUP($B809,NIFTY_FMCG!$B$3:$I$1238,8,0)</f>
        <v>3.9285850505723641E-3</v>
      </c>
      <c r="Q809" s="8">
        <f>+VLOOKUP($B809,NIFTY_METAL!$B$3:$I$1238,8,0)</f>
        <v>4.9604578884204775E-2</v>
      </c>
      <c r="R809" s="8">
        <f>+VLOOKUP($B809,NIFTY_ENERGY!$B$3:$I$1238,8,0)</f>
        <v>2.5831931982045697E-2</v>
      </c>
      <c r="S809" s="8">
        <f>+VLOOKUP($B809,NIFTY_AUTO!$B$3:$I$1238,8,0)</f>
        <v>0.10406257435165345</v>
      </c>
      <c r="T809" s="8">
        <v>0</v>
      </c>
      <c r="U809" s="8">
        <f>+VLOOKUP($B809,NIFTY_50!$B$63:$K$1238,10,0)</f>
        <v>-0.25658410025455258</v>
      </c>
      <c r="V809" s="8">
        <f>+VLOOKUP($B809,NIFTY_BANK!$B$63:$K$1238,10,0)</f>
        <v>-0.37958837787484356</v>
      </c>
      <c r="W809" s="8">
        <f>+VLOOKUP($B809,NIFTY_IT!$B$63:$K$1238,10,0)</f>
        <v>-0.20246680743613688</v>
      </c>
      <c r="X809" s="8">
        <f>+VLOOKUP($B809,NIFTY_PHARMA!$B$63:$K$1238,10,0)</f>
        <v>9.2070484581497913E-2</v>
      </c>
      <c r="Y809" s="8">
        <f>+VLOOKUP($B809,NIFTY_FMCG!$B$63:$K$1238,10,0)</f>
        <v>-4.6665426426016121E-2</v>
      </c>
      <c r="Z809" s="8">
        <f>+VLOOKUP($B809,NIFTY_METAL!$B$63:$K$1238,10,0)</f>
        <v>-0.39964798028689608</v>
      </c>
      <c r="AA809" s="8">
        <f>+VLOOKUP($B809,NIFTY_ENERGY!$B$63:$K$1238,10,0)</f>
        <v>-0.24799954831039861</v>
      </c>
      <c r="AB809" s="8">
        <f>+VLOOKUP($B809,NIFTY_AUTO!$B$63:$K$1238,10,0)</f>
        <v>-0.32302595586894411</v>
      </c>
      <c r="AC809" s="8">
        <f>+VLOOKUP($B809,EBBETF0430!$B$63:$K$1238,10,0)</f>
        <v>-0.12075330161675579</v>
      </c>
      <c r="AD809" s="16">
        <f t="shared" si="447"/>
        <v>0.25780890366559978</v>
      </c>
      <c r="AE809" s="8">
        <f t="shared" si="448"/>
        <v>0.30489414813279425</v>
      </c>
      <c r="AF809" s="8">
        <f t="shared" si="449"/>
        <v>0.24605634351643196</v>
      </c>
      <c r="AG809" s="8">
        <f t="shared" si="450"/>
        <v>0.22774336141743431</v>
      </c>
      <c r="AH809" s="8">
        <f t="shared" si="451"/>
        <v>0.21881465721960622</v>
      </c>
      <c r="AI809" s="8">
        <f t="shared" si="452"/>
        <v>0.28585835094527845</v>
      </c>
      <c r="AJ809" s="8">
        <f t="shared" si="453"/>
        <v>0.25187034701961397</v>
      </c>
      <c r="AK809" s="8">
        <f t="shared" si="454"/>
        <v>0.26936282494121389</v>
      </c>
      <c r="AL809" s="9">
        <v>0</v>
      </c>
      <c r="AM809" s="17">
        <f t="shared" si="431"/>
        <v>3.8788419863771875</v>
      </c>
      <c r="AN809" s="13">
        <f t="shared" si="432"/>
        <v>3.2798268058738138</v>
      </c>
      <c r="AO809" s="13">
        <f t="shared" si="433"/>
        <v>4.0641098120407477</v>
      </c>
      <c r="AP809" s="13">
        <f t="shared" si="434"/>
        <v>4.3909073519253301</v>
      </c>
      <c r="AQ809" s="13">
        <f t="shared" si="435"/>
        <v>4.5700777667575645</v>
      </c>
      <c r="AR809" s="13">
        <f t="shared" si="436"/>
        <v>3.4982360903335263</v>
      </c>
      <c r="AS809" s="13">
        <f t="shared" si="437"/>
        <v>3.9702966698264275</v>
      </c>
      <c r="AT809" s="13">
        <f t="shared" si="438"/>
        <v>3.712464777640498</v>
      </c>
      <c r="AU809" s="9">
        <v>0</v>
      </c>
      <c r="AV809" s="18">
        <f t="shared" si="455"/>
        <v>5</v>
      </c>
      <c r="AW809" s="18">
        <f t="shared" si="456"/>
        <v>8</v>
      </c>
      <c r="AX809" s="18">
        <f t="shared" si="457"/>
        <v>3</v>
      </c>
      <c r="AY809" s="18">
        <f t="shared" si="458"/>
        <v>2</v>
      </c>
      <c r="AZ809" s="18">
        <f t="shared" si="459"/>
        <v>1</v>
      </c>
      <c r="BA809" s="18">
        <f t="shared" si="460"/>
        <v>7</v>
      </c>
      <c r="BB809" s="18">
        <f t="shared" si="461"/>
        <v>4</v>
      </c>
      <c r="BC809" s="18">
        <f t="shared" si="462"/>
        <v>6</v>
      </c>
      <c r="BD809" s="18">
        <f t="shared" si="463"/>
        <v>9</v>
      </c>
      <c r="BE809" s="8">
        <f t="shared" si="465"/>
        <v>4.3942775540885826E-2</v>
      </c>
    </row>
    <row r="810" spans="1:57" x14ac:dyDescent="0.25">
      <c r="A810" t="str">
        <f t="shared" si="464"/>
        <v/>
      </c>
      <c r="B810" s="1">
        <v>43934</v>
      </c>
      <c r="C810" s="9">
        <f t="shared" si="439"/>
        <v>0</v>
      </c>
      <c r="D810" s="9">
        <f t="shared" si="440"/>
        <v>0</v>
      </c>
      <c r="E810" s="9">
        <f t="shared" si="441"/>
        <v>0.22242237962319683</v>
      </c>
      <c r="F810" s="9">
        <f t="shared" si="442"/>
        <v>0.28388383169995929</v>
      </c>
      <c r="G810" s="9">
        <f t="shared" si="443"/>
        <v>0.23507310402926349</v>
      </c>
      <c r="H810" s="9">
        <f t="shared" si="444"/>
        <v>0</v>
      </c>
      <c r="I810" s="9">
        <f t="shared" si="445"/>
        <v>0</v>
      </c>
      <c r="J810" s="9">
        <f t="shared" si="446"/>
        <v>0.25862068464758048</v>
      </c>
      <c r="K810" s="9">
        <v>0</v>
      </c>
      <c r="L810" s="8">
        <f>+VLOOKUP($B810,NIFTY_50!$B$3:$I$1238,8,0)</f>
        <v>-1.2955585552958171E-2</v>
      </c>
      <c r="M810" s="8">
        <f>+VLOOKUP($B810,NIFTY_BANK!$B$3:$I$41238,8,0)</f>
        <v>-2.1372328458942547E-2</v>
      </c>
      <c r="N810" s="8">
        <f>+VLOOKUP($B810,NIFTY_IT!$B$3:$I$1238,8,0)</f>
        <v>-9.8557966146968212E-3</v>
      </c>
      <c r="O810" s="8">
        <f>+VLOOKUP($B810,NIFTY_PHARMA!$B$3:$I$1238,8,0)</f>
        <v>2.7714491872574687E-2</v>
      </c>
      <c r="P810" s="8">
        <f>+VLOOKUP($B810,NIFTY_FMCG!$B$3:$I$1238,8,0)</f>
        <v>-1.5312642471298599E-2</v>
      </c>
      <c r="Q810" s="8">
        <f>+VLOOKUP($B810,NIFTY_METAL!$B$3:$I$1238,8,0)</f>
        <v>1.9320413966988248E-2</v>
      </c>
      <c r="R810" s="8">
        <f>+VLOOKUP($B810,NIFTY_ENERGY!$B$3:$I$1238,8,0)</f>
        <v>-1.3043296904980406E-2</v>
      </c>
      <c r="S810" s="8">
        <f>+VLOOKUP($B810,NIFTY_AUTO!$B$3:$I$1238,8,0)</f>
        <v>-2.4486167604988673E-2</v>
      </c>
      <c r="T810" s="8">
        <v>0</v>
      </c>
      <c r="U810" s="8">
        <f>+VLOOKUP($B810,NIFTY_50!$B$63:$K$1238,10,0)</f>
        <v>-0.27054515371607224</v>
      </c>
      <c r="V810" s="8">
        <f>+VLOOKUP($B810,NIFTY_BANK!$B$63:$K$1238,10,0)</f>
        <v>-0.39436223589976271</v>
      </c>
      <c r="W810" s="8">
        <f>+VLOOKUP($B810,NIFTY_IT!$B$63:$K$1238,10,0)</f>
        <v>-0.22327266900449283</v>
      </c>
      <c r="X810" s="8">
        <f>+VLOOKUP($B810,NIFTY_PHARMA!$B$63:$K$1238,10,0)</f>
        <v>0.11956501556610499</v>
      </c>
      <c r="Y810" s="8">
        <f>+VLOOKUP($B810,NIFTY_FMCG!$B$63:$K$1238,10,0)</f>
        <v>-7.1747068466746722E-2</v>
      </c>
      <c r="Z810" s="8">
        <f>+VLOOKUP($B810,NIFTY_METAL!$B$63:$K$1238,10,0)</f>
        <v>-0.39514978601997142</v>
      </c>
      <c r="AA810" s="8">
        <f>+VLOOKUP($B810,NIFTY_ENERGY!$B$63:$K$1238,10,0)</f>
        <v>-0.26258231603748594</v>
      </c>
      <c r="AB810" s="8">
        <f>+VLOOKUP($B810,NIFTY_AUTO!$B$63:$K$1238,10,0)</f>
        <v>-0.34043237795734504</v>
      </c>
      <c r="AC810" s="8">
        <f>+VLOOKUP($B810,EBBETF0430!$B$63:$K$1238,10,0)</f>
        <v>-0.26174560131172353</v>
      </c>
      <c r="AD810" s="16">
        <f t="shared" si="447"/>
        <v>0.25774027089584467</v>
      </c>
      <c r="AE810" s="8">
        <f t="shared" si="448"/>
        <v>0.30506902227078847</v>
      </c>
      <c r="AF810" s="8">
        <f t="shared" si="449"/>
        <v>0.24531984343346683</v>
      </c>
      <c r="AG810" s="8">
        <f t="shared" si="450"/>
        <v>0.22918155384428884</v>
      </c>
      <c r="AH810" s="8">
        <f t="shared" si="451"/>
        <v>0.21898526064547025</v>
      </c>
      <c r="AI810" s="8">
        <f t="shared" si="452"/>
        <v>0.2864706747125077</v>
      </c>
      <c r="AJ810" s="8">
        <f t="shared" si="453"/>
        <v>0.25179185442959839</v>
      </c>
      <c r="AK810" s="8">
        <f t="shared" si="454"/>
        <v>0.26990056722938183</v>
      </c>
      <c r="AL810" s="9">
        <v>0</v>
      </c>
      <c r="AM810" s="17">
        <f t="shared" si="431"/>
        <v>3.8798748698611778</v>
      </c>
      <c r="AN810" s="13">
        <f t="shared" si="432"/>
        <v>3.2779467169641689</v>
      </c>
      <c r="AO810" s="13">
        <f t="shared" si="433"/>
        <v>4.0763110965836313</v>
      </c>
      <c r="AP810" s="13">
        <f t="shared" si="434"/>
        <v>4.3633529105026607</v>
      </c>
      <c r="AQ810" s="13">
        <f t="shared" si="435"/>
        <v>4.5665173859302168</v>
      </c>
      <c r="AR810" s="13">
        <f t="shared" si="436"/>
        <v>3.4907586998339926</v>
      </c>
      <c r="AS810" s="13">
        <f t="shared" si="437"/>
        <v>3.971534354299783</v>
      </c>
      <c r="AT810" s="13">
        <f t="shared" si="438"/>
        <v>3.7050681673822665</v>
      </c>
      <c r="AU810" s="9">
        <v>0</v>
      </c>
      <c r="AV810" s="18">
        <f t="shared" si="455"/>
        <v>5</v>
      </c>
      <c r="AW810" s="18">
        <f t="shared" si="456"/>
        <v>8</v>
      </c>
      <c r="AX810" s="18">
        <f t="shared" si="457"/>
        <v>3</v>
      </c>
      <c r="AY810" s="18">
        <f t="shared" si="458"/>
        <v>2</v>
      </c>
      <c r="AZ810" s="18">
        <f t="shared" si="459"/>
        <v>1</v>
      </c>
      <c r="BA810" s="18">
        <f t="shared" si="460"/>
        <v>7</v>
      </c>
      <c r="BB810" s="18">
        <f t="shared" si="461"/>
        <v>4</v>
      </c>
      <c r="BC810" s="18">
        <f t="shared" si="462"/>
        <v>6</v>
      </c>
      <c r="BD810" s="18">
        <f t="shared" si="463"/>
        <v>9</v>
      </c>
      <c r="BE810" s="8">
        <f t="shared" si="465"/>
        <v>-4.6835543851798354E-3</v>
      </c>
    </row>
    <row r="811" spans="1:57" x14ac:dyDescent="0.25">
      <c r="A811" t="str">
        <f t="shared" si="464"/>
        <v/>
      </c>
      <c r="B811" s="1">
        <v>43936</v>
      </c>
      <c r="C811" s="9">
        <f t="shared" si="439"/>
        <v>0</v>
      </c>
      <c r="D811" s="9">
        <f t="shared" si="440"/>
        <v>0</v>
      </c>
      <c r="E811" s="9">
        <f t="shared" si="441"/>
        <v>0.22271530560007943</v>
      </c>
      <c r="F811" s="9">
        <f t="shared" si="442"/>
        <v>0.28185803234883322</v>
      </c>
      <c r="G811" s="9">
        <f t="shared" si="443"/>
        <v>0.24318116321255778</v>
      </c>
      <c r="H811" s="9">
        <f t="shared" si="444"/>
        <v>0</v>
      </c>
      <c r="I811" s="9">
        <f t="shared" si="445"/>
        <v>0</v>
      </c>
      <c r="J811" s="9">
        <f t="shared" si="446"/>
        <v>0.25224549883852965</v>
      </c>
      <c r="K811" s="9">
        <v>0</v>
      </c>
      <c r="L811" s="8">
        <f>+VLOOKUP($B811,NIFTY_50!$B$3:$I$1238,8,0)</f>
        <v>-7.6218749478811354E-3</v>
      </c>
      <c r="M811" s="8">
        <f>+VLOOKUP($B811,NIFTY_BANK!$B$3:$I$41238,8,0)</f>
        <v>-2.2113608374384253E-2</v>
      </c>
      <c r="N811" s="8">
        <f>+VLOOKUP($B811,NIFTY_IT!$B$3:$I$1238,8,0)</f>
        <v>7.8948830049749841E-3</v>
      </c>
      <c r="O811" s="8">
        <f>+VLOOKUP($B811,NIFTY_PHARMA!$B$3:$I$1238,8,0)</f>
        <v>-6.1364277145414814E-4</v>
      </c>
      <c r="P811" s="8">
        <f>+VLOOKUP($B811,NIFTY_FMCG!$B$3:$I$1238,8,0)</f>
        <v>4.1287484851726841E-2</v>
      </c>
      <c r="Q811" s="8">
        <f>+VLOOKUP($B811,NIFTY_METAL!$B$3:$I$1238,8,0)</f>
        <v>8.341003221352894E-3</v>
      </c>
      <c r="R811" s="8">
        <f>+VLOOKUP($B811,NIFTY_ENERGY!$B$3:$I$1238,8,0)</f>
        <v>-9.192225279253452E-3</v>
      </c>
      <c r="S811" s="8">
        <f>+VLOOKUP($B811,NIFTY_AUTO!$B$3:$I$1238,8,0)</f>
        <v>-1.8243404944680797E-2</v>
      </c>
      <c r="T811" s="8">
        <v>0</v>
      </c>
      <c r="U811" s="8">
        <f>+VLOOKUP($B811,NIFTY_50!$B$63:$K$1238,10,0)</f>
        <v>-0.2780226980416266</v>
      </c>
      <c r="V811" s="8">
        <f>+VLOOKUP($B811,NIFTY_BANK!$B$63:$K$1238,10,0)</f>
        <v>-0.40579764371337312</v>
      </c>
      <c r="W811" s="8">
        <f>+VLOOKUP($B811,NIFTY_IT!$B$63:$K$1238,10,0)</f>
        <v>-0.22366897175527967</v>
      </c>
      <c r="X811" s="8">
        <f>+VLOOKUP($B811,NIFTY_PHARMA!$B$63:$K$1238,10,0)</f>
        <v>0.11356412467660459</v>
      </c>
      <c r="Y811" s="8">
        <f>+VLOOKUP($B811,NIFTY_FMCG!$B$63:$K$1238,10,0)</f>
        <v>-4.6827139802346429E-2</v>
      </c>
      <c r="Z811" s="8">
        <f>+VLOOKUP($B811,NIFTY_METAL!$B$63:$K$1238,10,0)</f>
        <v>-0.39568717356454586</v>
      </c>
      <c r="AA811" s="8">
        <f>+VLOOKUP($B811,NIFTY_ENERGY!$B$63:$K$1238,10,0)</f>
        <v>-0.26981140890473898</v>
      </c>
      <c r="AB811" s="8">
        <f>+VLOOKUP($B811,NIFTY_AUTO!$B$63:$K$1238,10,0)</f>
        <v>-0.35664048834039053</v>
      </c>
      <c r="AC811" s="8">
        <f>+VLOOKUP($B811,EBBETF0430!$B$63:$K$1238,10,0)</f>
        <v>27.450592885375492</v>
      </c>
      <c r="AD811" s="16">
        <f t="shared" si="447"/>
        <v>0.25765241197886651</v>
      </c>
      <c r="AE811" s="8">
        <f t="shared" si="448"/>
        <v>0.30538667873847464</v>
      </c>
      <c r="AF811" s="8">
        <f t="shared" si="449"/>
        <v>0.24529511336139725</v>
      </c>
      <c r="AG811" s="8">
        <f t="shared" si="450"/>
        <v>0.22918531609915768</v>
      </c>
      <c r="AH811" s="8">
        <f t="shared" si="451"/>
        <v>0.22247273058139638</v>
      </c>
      <c r="AI811" s="8">
        <f t="shared" si="452"/>
        <v>0.28641958904091358</v>
      </c>
      <c r="AJ811" s="8">
        <f t="shared" si="453"/>
        <v>0.25178210983337879</v>
      </c>
      <c r="AK811" s="8">
        <f t="shared" si="454"/>
        <v>0.26985300563683773</v>
      </c>
      <c r="AL811" s="9">
        <v>0</v>
      </c>
      <c r="AM811" s="17">
        <f t="shared" si="431"/>
        <v>3.8811978988266689</v>
      </c>
      <c r="AN811" s="13">
        <f t="shared" si="432"/>
        <v>3.2745370693014886</v>
      </c>
      <c r="AO811" s="13">
        <f t="shared" si="433"/>
        <v>4.0767220606090255</v>
      </c>
      <c r="AP811" s="13">
        <f t="shared" si="434"/>
        <v>4.3632812826775824</v>
      </c>
      <c r="AQ811" s="13">
        <f t="shared" si="435"/>
        <v>4.4949329177857544</v>
      </c>
      <c r="AR811" s="13">
        <f t="shared" si="436"/>
        <v>3.4913813100163171</v>
      </c>
      <c r="AS811" s="13">
        <f t="shared" si="437"/>
        <v>3.9716880625941511</v>
      </c>
      <c r="AT811" s="13">
        <f t="shared" si="438"/>
        <v>3.7057211856508951</v>
      </c>
      <c r="AU811" s="9">
        <v>0</v>
      </c>
      <c r="AV811" s="18">
        <f t="shared" si="455"/>
        <v>5</v>
      </c>
      <c r="AW811" s="18">
        <f t="shared" si="456"/>
        <v>8</v>
      </c>
      <c r="AX811" s="18">
        <f t="shared" si="457"/>
        <v>3</v>
      </c>
      <c r="AY811" s="18">
        <f t="shared" si="458"/>
        <v>2</v>
      </c>
      <c r="AZ811" s="18">
        <f t="shared" si="459"/>
        <v>1</v>
      </c>
      <c r="BA811" s="18">
        <f t="shared" si="460"/>
        <v>7</v>
      </c>
      <c r="BB811" s="18">
        <f t="shared" si="461"/>
        <v>4</v>
      </c>
      <c r="BC811" s="18">
        <f t="shared" si="462"/>
        <v>6</v>
      </c>
      <c r="BD811" s="18">
        <f t="shared" si="463"/>
        <v>9</v>
      </c>
      <c r="BE811" s="8">
        <f t="shared" si="465"/>
        <v>6.5692507481181061E-3</v>
      </c>
    </row>
    <row r="812" spans="1:57" x14ac:dyDescent="0.25">
      <c r="A812" t="str">
        <f t="shared" si="464"/>
        <v/>
      </c>
      <c r="B812" s="1">
        <v>43937</v>
      </c>
      <c r="C812" s="9">
        <f t="shared" si="439"/>
        <v>0</v>
      </c>
      <c r="D812" s="9">
        <f t="shared" si="440"/>
        <v>0</v>
      </c>
      <c r="E812" s="9">
        <f t="shared" si="441"/>
        <v>0.21802863506114492</v>
      </c>
      <c r="F812" s="9">
        <f t="shared" si="442"/>
        <v>0.28621145586741314</v>
      </c>
      <c r="G812" s="9">
        <f t="shared" si="443"/>
        <v>0.24120149729832566</v>
      </c>
      <c r="H812" s="9">
        <f t="shared" si="444"/>
        <v>0</v>
      </c>
      <c r="I812" s="9">
        <f t="shared" si="445"/>
        <v>0</v>
      </c>
      <c r="J812" s="9">
        <f t="shared" si="446"/>
        <v>0.25455841177311639</v>
      </c>
      <c r="K812" s="9">
        <v>0</v>
      </c>
      <c r="L812" s="8">
        <f>+VLOOKUP($B812,NIFTY_50!$B$3:$I$1238,8,0)</f>
        <v>7.5627709992940328E-3</v>
      </c>
      <c r="M812" s="8">
        <f>+VLOOKUP($B812,NIFTY_BANK!$B$3:$I$41238,8,0)</f>
        <v>1.7995964747954174E-2</v>
      </c>
      <c r="N812" s="8">
        <f>+VLOOKUP($B812,NIFTY_IT!$B$3:$I$1238,8,0)</f>
        <v>-1.8815045738667657E-2</v>
      </c>
      <c r="O812" s="8">
        <f>+VLOOKUP($B812,NIFTY_PHARMA!$B$3:$I$1238,8,0)</f>
        <v>1.7756781873700112E-2</v>
      </c>
      <c r="P812" s="8">
        <f>+VLOOKUP($B812,NIFTY_FMCG!$B$3:$I$1238,8,0)</f>
        <v>-5.8830563597810359E-3</v>
      </c>
      <c r="Q812" s="8">
        <f>+VLOOKUP($B812,NIFTY_METAL!$B$3:$I$1238,8,0)</f>
        <v>1.5317473900393619E-2</v>
      </c>
      <c r="R812" s="8">
        <f>+VLOOKUP($B812,NIFTY_ENERGY!$B$3:$I$1238,8,0)</f>
        <v>2.1911976727322369E-2</v>
      </c>
      <c r="S812" s="8">
        <f>+VLOOKUP($B812,NIFTY_AUTO!$B$3:$I$1238,8,0)</f>
        <v>1.146634164635274E-2</v>
      </c>
      <c r="T812" s="8">
        <v>0</v>
      </c>
      <c r="U812" s="8">
        <f>+VLOOKUP($B812,NIFTY_50!$B$63:$K$1238,10,0)</f>
        <v>-0.27144280702891443</v>
      </c>
      <c r="V812" s="8">
        <f>+VLOOKUP($B812,NIFTY_BANK!$B$63:$K$1238,10,0)</f>
        <v>-0.39041442392591963</v>
      </c>
      <c r="W812" s="8">
        <f>+VLOOKUP($B812,NIFTY_IT!$B$63:$K$1238,10,0)</f>
        <v>-0.23755341243114114</v>
      </c>
      <c r="X812" s="8">
        <f>+VLOOKUP($B812,NIFTY_PHARMA!$B$63:$K$1238,10,0)</f>
        <v>0.12650926991746458</v>
      </c>
      <c r="Y812" s="8">
        <f>+VLOOKUP($B812,NIFTY_FMCG!$B$63:$K$1238,10,0)</f>
        <v>-5.5216393327165436E-2</v>
      </c>
      <c r="Z812" s="8">
        <f>+VLOOKUP($B812,NIFTY_METAL!$B$63:$K$1238,10,0)</f>
        <v>-0.39079908949323106</v>
      </c>
      <c r="AA812" s="8">
        <f>+VLOOKUP($B812,NIFTY_ENERGY!$B$63:$K$1238,10,0)</f>
        <v>-0.25221611835944813</v>
      </c>
      <c r="AB812" s="8">
        <f>+VLOOKUP($B812,NIFTY_AUTO!$B$63:$K$1238,10,0)</f>
        <v>-0.35671737017536542</v>
      </c>
      <c r="AC812" s="8">
        <f>+VLOOKUP($B812,EBBETF0430!$B$63:$K$1238,10,0)</f>
        <v>0.42905436272270436</v>
      </c>
      <c r="AD812" s="16">
        <f t="shared" si="447"/>
        <v>0.2579245059099573</v>
      </c>
      <c r="AE812" s="8">
        <f t="shared" si="448"/>
        <v>0.30644869684704801</v>
      </c>
      <c r="AF812" s="8">
        <f t="shared" si="449"/>
        <v>0.24573845820225695</v>
      </c>
      <c r="AG812" s="8">
        <f t="shared" si="450"/>
        <v>0.22967560704531015</v>
      </c>
      <c r="AH812" s="8">
        <f t="shared" si="451"/>
        <v>0.22251317761478959</v>
      </c>
      <c r="AI812" s="8">
        <f t="shared" si="452"/>
        <v>0.28695140531789093</v>
      </c>
      <c r="AJ812" s="8">
        <f t="shared" si="453"/>
        <v>0.25314506593650993</v>
      </c>
      <c r="AK812" s="8">
        <f t="shared" si="454"/>
        <v>0.26984488556638436</v>
      </c>
      <c r="AL812" s="9">
        <v>0</v>
      </c>
      <c r="AM812" s="17">
        <f t="shared" si="431"/>
        <v>3.8771034821681694</v>
      </c>
      <c r="AN812" s="13">
        <f t="shared" si="432"/>
        <v>3.2631889457800867</v>
      </c>
      <c r="AO812" s="13">
        <f t="shared" si="433"/>
        <v>4.0693671121552422</v>
      </c>
      <c r="AP812" s="13">
        <f t="shared" si="434"/>
        <v>4.3539669400012562</v>
      </c>
      <c r="AQ812" s="13">
        <f t="shared" si="435"/>
        <v>4.494115857404096</v>
      </c>
      <c r="AR812" s="13">
        <f t="shared" si="436"/>
        <v>3.4849106206403784</v>
      </c>
      <c r="AS812" s="13">
        <f t="shared" si="437"/>
        <v>3.9503041321406007</v>
      </c>
      <c r="AT812" s="13">
        <f t="shared" si="438"/>
        <v>3.7058326968142246</v>
      </c>
      <c r="AU812" s="9">
        <v>0</v>
      </c>
      <c r="AV812" s="18">
        <f t="shared" si="455"/>
        <v>5</v>
      </c>
      <c r="AW812" s="18">
        <f t="shared" si="456"/>
        <v>8</v>
      </c>
      <c r="AX812" s="18">
        <f t="shared" si="457"/>
        <v>3</v>
      </c>
      <c r="AY812" s="18">
        <f t="shared" si="458"/>
        <v>2</v>
      </c>
      <c r="AZ812" s="18">
        <f t="shared" si="459"/>
        <v>1</v>
      </c>
      <c r="BA812" s="18">
        <f t="shared" si="460"/>
        <v>7</v>
      </c>
      <c r="BB812" s="18">
        <f t="shared" si="461"/>
        <v>4</v>
      </c>
      <c r="BC812" s="18">
        <f t="shared" si="462"/>
        <v>6</v>
      </c>
      <c r="BD812" s="18">
        <f t="shared" si="463"/>
        <v>9</v>
      </c>
      <c r="BE812" s="8">
        <f t="shared" si="465"/>
        <v>2.2761775178223682E-3</v>
      </c>
    </row>
    <row r="813" spans="1:57" x14ac:dyDescent="0.25">
      <c r="A813" t="str">
        <f t="shared" si="464"/>
        <v/>
      </c>
      <c r="B813" s="1">
        <v>43938</v>
      </c>
      <c r="C813" s="9">
        <f t="shared" si="439"/>
        <v>0</v>
      </c>
      <c r="D813" s="9">
        <f t="shared" si="440"/>
        <v>0</v>
      </c>
      <c r="E813" s="9">
        <f t="shared" si="441"/>
        <v>0.21856871352762877</v>
      </c>
      <c r="F813" s="9">
        <f t="shared" si="442"/>
        <v>0.28143246907100178</v>
      </c>
      <c r="G813" s="9">
        <f t="shared" si="443"/>
        <v>0.23574795323986508</v>
      </c>
      <c r="H813" s="9">
        <f t="shared" si="444"/>
        <v>0</v>
      </c>
      <c r="I813" s="9">
        <f t="shared" si="445"/>
        <v>0</v>
      </c>
      <c r="J813" s="9">
        <f t="shared" si="446"/>
        <v>0.2642508641615044</v>
      </c>
      <c r="K813" s="9">
        <v>0</v>
      </c>
      <c r="L813" s="8">
        <f>+VLOOKUP($B813,NIFTY_50!$B$3:$I$1238,8,0)</f>
        <v>3.0463259496486206E-2</v>
      </c>
      <c r="M813" s="8">
        <f>+VLOOKUP($B813,NIFTY_BANK!$B$3:$I$41238,8,0)</f>
        <v>6.605412371134034E-2</v>
      </c>
      <c r="N813" s="8">
        <f>+VLOOKUP($B813,NIFTY_IT!$B$3:$I$1238,8,0)</f>
        <v>1.4895375332969474E-2</v>
      </c>
      <c r="O813" s="8">
        <f>+VLOOKUP($B813,NIFTY_PHARMA!$B$3:$I$1238,8,0)</f>
        <v>-4.5166480058264069E-3</v>
      </c>
      <c r="P813" s="8">
        <f>+VLOOKUP($B813,NIFTY_FMCG!$B$3:$I$1238,8,0)</f>
        <v>-1.0502400693947922E-2</v>
      </c>
      <c r="Q813" s="8">
        <f>+VLOOKUP($B813,NIFTY_METAL!$B$3:$I$1238,8,0)</f>
        <v>2.0648967551622377E-2</v>
      </c>
      <c r="R813" s="8">
        <f>+VLOOKUP($B813,NIFTY_ENERGY!$B$3:$I$1238,8,0)</f>
        <v>2.5244704163623011E-2</v>
      </c>
      <c r="S813" s="8">
        <f>+VLOOKUP($B813,NIFTY_AUTO!$B$3:$I$1238,8,0)</f>
        <v>5.093480900605285E-2</v>
      </c>
      <c r="T813" s="8">
        <v>0</v>
      </c>
      <c r="U813" s="8">
        <f>+VLOOKUP($B813,NIFTY_50!$B$63:$K$1238,10,0)</f>
        <v>-0.24998988304803527</v>
      </c>
      <c r="V813" s="8">
        <f>+VLOOKUP($B813,NIFTY_BANK!$B$63:$K$1238,10,0)</f>
        <v>-0.35074041169213188</v>
      </c>
      <c r="W813" s="8">
        <f>+VLOOKUP($B813,NIFTY_IT!$B$63:$K$1238,10,0)</f>
        <v>-0.22784029691758767</v>
      </c>
      <c r="X813" s="8">
        <f>+VLOOKUP($B813,NIFTY_PHARMA!$B$63:$K$1238,10,0)</f>
        <v>0.11637673562433704</v>
      </c>
      <c r="Y813" s="8">
        <f>+VLOOKUP($B813,NIFTY_FMCG!$B$63:$K$1238,10,0)</f>
        <v>-6.8154839780204424E-2</v>
      </c>
      <c r="Z813" s="8">
        <f>+VLOOKUP($B813,NIFTY_METAL!$B$63:$K$1238,10,0)</f>
        <v>-0.37032029950083201</v>
      </c>
      <c r="AA813" s="8">
        <f>+VLOOKUP($B813,NIFTY_ENERGY!$B$63:$K$1238,10,0)</f>
        <v>-0.23119804186698723</v>
      </c>
      <c r="AB813" s="8">
        <f>+VLOOKUP($B813,NIFTY_AUTO!$B$63:$K$1238,10,0)</f>
        <v>-0.32480139115520668</v>
      </c>
      <c r="AC813" s="8">
        <f>+VLOOKUP($B813,EBBETF0430!$B$63:$K$1238,10,0)</f>
        <v>-5.9949124871862991E-2</v>
      </c>
      <c r="AD813" s="16">
        <f t="shared" si="447"/>
        <v>0.2602118998056781</v>
      </c>
      <c r="AE813" s="8">
        <f t="shared" si="448"/>
        <v>0.31488519851221602</v>
      </c>
      <c r="AF813" s="8">
        <f t="shared" si="449"/>
        <v>0.24637887333793099</v>
      </c>
      <c r="AG813" s="8">
        <f t="shared" si="450"/>
        <v>0.2297665333683</v>
      </c>
      <c r="AH813" s="8">
        <f t="shared" si="451"/>
        <v>0.22269821231851694</v>
      </c>
      <c r="AI813" s="8">
        <f t="shared" si="452"/>
        <v>0.28824222815723965</v>
      </c>
      <c r="AJ813" s="8">
        <f t="shared" si="453"/>
        <v>0.25482517955959921</v>
      </c>
      <c r="AK813" s="8">
        <f t="shared" si="454"/>
        <v>0.27572514005375276</v>
      </c>
      <c r="AL813" s="9">
        <v>0</v>
      </c>
      <c r="AM813" s="17">
        <f t="shared" si="431"/>
        <v>3.8430217862702793</v>
      </c>
      <c r="AN813" s="13">
        <f t="shared" si="432"/>
        <v>3.1757605779021869</v>
      </c>
      <c r="AO813" s="13">
        <f t="shared" si="433"/>
        <v>4.0587895644299392</v>
      </c>
      <c r="AP813" s="13">
        <f t="shared" si="434"/>
        <v>4.352243929263051</v>
      </c>
      <c r="AQ813" s="13">
        <f t="shared" si="435"/>
        <v>4.4903818023008526</v>
      </c>
      <c r="AR813" s="13">
        <f t="shared" si="436"/>
        <v>3.4693042944925052</v>
      </c>
      <c r="AS813" s="13">
        <f t="shared" si="437"/>
        <v>3.9242589830732064</v>
      </c>
      <c r="AT813" s="13">
        <f t="shared" si="438"/>
        <v>3.6268002250540139</v>
      </c>
      <c r="AU813" s="9">
        <v>0</v>
      </c>
      <c r="AV813" s="18">
        <f t="shared" si="455"/>
        <v>5</v>
      </c>
      <c r="AW813" s="18">
        <f t="shared" si="456"/>
        <v>8</v>
      </c>
      <c r="AX813" s="18">
        <f t="shared" si="457"/>
        <v>3</v>
      </c>
      <c r="AY813" s="18">
        <f t="shared" si="458"/>
        <v>2</v>
      </c>
      <c r="AZ813" s="18">
        <f t="shared" si="459"/>
        <v>1</v>
      </c>
      <c r="BA813" s="18">
        <f t="shared" si="460"/>
        <v>7</v>
      </c>
      <c r="BB813" s="18">
        <f t="shared" si="461"/>
        <v>4</v>
      </c>
      <c r="BC813" s="18">
        <f t="shared" si="462"/>
        <v>6</v>
      </c>
      <c r="BD813" s="18">
        <f t="shared" si="463"/>
        <v>9</v>
      </c>
      <c r="BE813" s="8">
        <f t="shared" si="465"/>
        <v>1.2387591263123183E-2</v>
      </c>
    </row>
    <row r="814" spans="1:57" x14ac:dyDescent="0.25">
      <c r="A814" t="str">
        <f t="shared" si="464"/>
        <v/>
      </c>
      <c r="B814" s="1">
        <v>43941</v>
      </c>
      <c r="C814" s="9">
        <f t="shared" si="439"/>
        <v>0</v>
      </c>
      <c r="D814" s="9">
        <f t="shared" si="440"/>
        <v>0</v>
      </c>
      <c r="E814" s="9">
        <f t="shared" si="441"/>
        <v>0.22318959806235872</v>
      </c>
      <c r="F814" s="9">
        <f t="shared" si="442"/>
        <v>0.28268031846931435</v>
      </c>
      <c r="G814" s="9">
        <f t="shared" si="443"/>
        <v>0.23211026247327712</v>
      </c>
      <c r="H814" s="9">
        <f t="shared" si="444"/>
        <v>0</v>
      </c>
      <c r="I814" s="9">
        <f t="shared" si="445"/>
        <v>0</v>
      </c>
      <c r="J814" s="9">
        <f t="shared" si="446"/>
        <v>0.26201982099504972</v>
      </c>
      <c r="K814" s="9">
        <v>0</v>
      </c>
      <c r="L814" s="8">
        <f>+VLOOKUP($B814,NIFTY_50!$B$3:$I$1238,8,0)</f>
        <v>-5.2877222327130102E-4</v>
      </c>
      <c r="M814" s="8">
        <f>+VLOOKUP($B814,NIFTY_BANK!$B$3:$I$41238,8,0)</f>
        <v>-7.6783784502536534E-3</v>
      </c>
      <c r="N814" s="8">
        <f>+VLOOKUP($B814,NIFTY_IT!$B$3:$I$1238,8,0)</f>
        <v>1.5684724390774063E-2</v>
      </c>
      <c r="O814" s="8">
        <f>+VLOOKUP($B814,NIFTY_PHARMA!$B$3:$I$1238,8,0)</f>
        <v>-9.3363544538771492E-4</v>
      </c>
      <c r="P814" s="8">
        <f>+VLOOKUP($B814,NIFTY_FMCG!$B$3:$I$1238,8,0)</f>
        <v>-2.069182788371482E-2</v>
      </c>
      <c r="Q814" s="8">
        <f>+VLOOKUP($B814,NIFTY_METAL!$B$3:$I$1238,8,0)</f>
        <v>-3.3058078722818629E-2</v>
      </c>
      <c r="R814" s="8">
        <f>+VLOOKUP($B814,NIFTY_ENERGY!$B$3:$I$1238,8,0)</f>
        <v>9.8443549667579511E-3</v>
      </c>
      <c r="S814" s="8">
        <f>+VLOOKUP($B814,NIFTY_AUTO!$B$3:$I$1238,8,0)</f>
        <v>-1.3741642999523629E-2</v>
      </c>
      <c r="T814" s="8">
        <v>0</v>
      </c>
      <c r="U814" s="8">
        <f>+VLOOKUP($B814,NIFTY_50!$B$63:$K$1238,10,0)</f>
        <v>-0.25019530696588099</v>
      </c>
      <c r="V814" s="8">
        <f>+VLOOKUP($B814,NIFTY_BANK!$B$63:$K$1238,10,0)</f>
        <v>-0.35035683026465103</v>
      </c>
      <c r="W814" s="8">
        <f>+VLOOKUP($B814,NIFTY_IT!$B$63:$K$1238,10,0)</f>
        <v>-0.21452808040790883</v>
      </c>
      <c r="X814" s="8">
        <f>+VLOOKUP($B814,NIFTY_PHARMA!$B$63:$K$1238,10,0)</f>
        <v>9.6329670593028549E-2</v>
      </c>
      <c r="Y814" s="8">
        <f>+VLOOKUP($B814,NIFTY_FMCG!$B$63:$K$1238,10,0)</f>
        <v>-8.8403628139598345E-2</v>
      </c>
      <c r="Z814" s="8">
        <f>+VLOOKUP($B814,NIFTY_METAL!$B$63:$K$1238,10,0)</f>
        <v>-0.38685354231756064</v>
      </c>
      <c r="AA814" s="8">
        <f>+VLOOKUP($B814,NIFTY_ENERGY!$B$63:$K$1238,10,0)</f>
        <v>-0.22861550039962308</v>
      </c>
      <c r="AB814" s="8">
        <f>+VLOOKUP($B814,NIFTY_AUTO!$B$63:$K$1238,10,0)</f>
        <v>-0.33658455550809252</v>
      </c>
      <c r="AC814" s="8">
        <f>+VLOOKUP($B814,EBBETF0430!$B$63:$K$1238,10,0)</f>
        <v>-0.77244750181028243</v>
      </c>
      <c r="AD814" s="16">
        <f t="shared" si="447"/>
        <v>0.2602079557799169</v>
      </c>
      <c r="AE814" s="8">
        <f t="shared" si="448"/>
        <v>0.31488192541218313</v>
      </c>
      <c r="AF814" s="8">
        <f t="shared" si="449"/>
        <v>0.24712275633456604</v>
      </c>
      <c r="AG814" s="8">
        <f t="shared" si="450"/>
        <v>0.22928008574533601</v>
      </c>
      <c r="AH814" s="8">
        <f t="shared" si="451"/>
        <v>0.22356484861743203</v>
      </c>
      <c r="AI814" s="8">
        <f t="shared" si="452"/>
        <v>0.28941107647897196</v>
      </c>
      <c r="AJ814" s="8">
        <f t="shared" si="453"/>
        <v>0.254982889389262</v>
      </c>
      <c r="AK814" s="8">
        <f t="shared" si="454"/>
        <v>0.27566499175011616</v>
      </c>
      <c r="AL814" s="9">
        <v>0</v>
      </c>
      <c r="AM814" s="17">
        <f t="shared" si="431"/>
        <v>3.8430800357457056</v>
      </c>
      <c r="AN814" s="13">
        <f t="shared" si="432"/>
        <v>3.1757935889492273</v>
      </c>
      <c r="AO814" s="13">
        <f t="shared" si="433"/>
        <v>4.0465718933878936</v>
      </c>
      <c r="AP814" s="13">
        <f t="shared" si="434"/>
        <v>4.3614777827268929</v>
      </c>
      <c r="AQ814" s="13">
        <f t="shared" si="435"/>
        <v>4.4729750950750624</v>
      </c>
      <c r="AR814" s="13">
        <f t="shared" si="436"/>
        <v>3.455292769600192</v>
      </c>
      <c r="AS814" s="13">
        <f t="shared" si="437"/>
        <v>3.921831784066812</v>
      </c>
      <c r="AT814" s="13">
        <f t="shared" si="438"/>
        <v>3.6275915692133895</v>
      </c>
      <c r="AU814" s="9">
        <v>0</v>
      </c>
      <c r="AV814" s="18">
        <f t="shared" si="455"/>
        <v>5</v>
      </c>
      <c r="AW814" s="18">
        <f t="shared" si="456"/>
        <v>8</v>
      </c>
      <c r="AX814" s="18">
        <f t="shared" si="457"/>
        <v>3</v>
      </c>
      <c r="AY814" s="18">
        <f t="shared" si="458"/>
        <v>2</v>
      </c>
      <c r="AZ814" s="18">
        <f t="shared" si="459"/>
        <v>1</v>
      </c>
      <c r="BA814" s="18">
        <f t="shared" si="460"/>
        <v>7</v>
      </c>
      <c r="BB814" s="18">
        <f t="shared" si="461"/>
        <v>4</v>
      </c>
      <c r="BC814" s="18">
        <f t="shared" si="462"/>
        <v>6</v>
      </c>
      <c r="BD814" s="18">
        <f t="shared" si="463"/>
        <v>9</v>
      </c>
      <c r="BE814" s="8">
        <f t="shared" si="465"/>
        <v>-5.3438624064811053E-3</v>
      </c>
    </row>
    <row r="815" spans="1:57" x14ac:dyDescent="0.25">
      <c r="A815" t="str">
        <f t="shared" si="464"/>
        <v/>
      </c>
      <c r="B815" s="1">
        <v>43942</v>
      </c>
      <c r="C815" s="9">
        <f t="shared" si="439"/>
        <v>0</v>
      </c>
      <c r="D815" s="9">
        <f t="shared" si="440"/>
        <v>0</v>
      </c>
      <c r="E815" s="9">
        <f t="shared" si="441"/>
        <v>0.21891861879730648</v>
      </c>
      <c r="F815" s="9">
        <f t="shared" si="442"/>
        <v>0.29436934995923653</v>
      </c>
      <c r="G815" s="9">
        <f t="shared" si="443"/>
        <v>0.23475086869205286</v>
      </c>
      <c r="H815" s="9">
        <f t="shared" si="444"/>
        <v>0</v>
      </c>
      <c r="I815" s="9">
        <f t="shared" si="445"/>
        <v>0</v>
      </c>
      <c r="J815" s="9">
        <f t="shared" si="446"/>
        <v>0.25196116255140411</v>
      </c>
      <c r="K815" s="9">
        <v>0</v>
      </c>
      <c r="L815" s="8">
        <f>+VLOOKUP($B815,NIFTY_50!$B$3:$I$1238,8,0)</f>
        <v>-3.0274729130789213E-2</v>
      </c>
      <c r="M815" s="8">
        <f>+VLOOKUP($B815,NIFTY_BANK!$B$3:$I$41238,8,0)</f>
        <v>-5.4247380333436568E-2</v>
      </c>
      <c r="N815" s="8">
        <f>+VLOOKUP($B815,NIFTY_IT!$B$3:$I$1238,8,0)</f>
        <v>-3.4154106003821627E-2</v>
      </c>
      <c r="O815" s="8">
        <f>+VLOOKUP($B815,NIFTY_PHARMA!$B$3:$I$1238,8,0)</f>
        <v>2.5406592926157323E-2</v>
      </c>
      <c r="P815" s="8">
        <f>+VLOOKUP($B815,NIFTY_FMCG!$B$3:$I$1238,8,0)</f>
        <v>-4.1086645616317252E-3</v>
      </c>
      <c r="Q815" s="8">
        <f>+VLOOKUP($B815,NIFTY_METAL!$B$3:$I$1238,8,0)</f>
        <v>-5.1154316946112943E-2</v>
      </c>
      <c r="R815" s="8">
        <f>+VLOOKUP($B815,NIFTY_ENERGY!$B$3:$I$1238,8,0)</f>
        <v>-2.5116815365201717E-2</v>
      </c>
      <c r="S815" s="8">
        <f>+VLOOKUP($B815,NIFTY_AUTO!$B$3:$I$1238,8,0)</f>
        <v>-5.3112144517975302E-2</v>
      </c>
      <c r="T815" s="8">
        <v>0</v>
      </c>
      <c r="U815" s="8">
        <f>+VLOOKUP($B815,NIFTY_50!$B$63:$K$1238,10,0)</f>
        <v>-0.26529401900274441</v>
      </c>
      <c r="V815" s="8">
        <f>+VLOOKUP($B815,NIFTY_BANK!$B$63:$K$1238,10,0)</f>
        <v>-0.37551659955631567</v>
      </c>
      <c r="W815" s="8">
        <f>+VLOOKUP($B815,NIFTY_IT!$B$63:$K$1238,10,0)</f>
        <v>-0.23435952650527692</v>
      </c>
      <c r="X815" s="8">
        <f>+VLOOKUP($B815,NIFTY_PHARMA!$B$63:$K$1238,10,0)</f>
        <v>0.13450875824581132</v>
      </c>
      <c r="Y815" s="8">
        <f>+VLOOKUP($B815,NIFTY_FMCG!$B$63:$K$1238,10,0)</f>
        <v>-9.3746569403454161E-2</v>
      </c>
      <c r="Z815" s="8">
        <f>+VLOOKUP($B815,NIFTY_METAL!$B$63:$K$1238,10,0)</f>
        <v>-0.4123102420790945</v>
      </c>
      <c r="AA815" s="8">
        <f>+VLOOKUP($B815,NIFTY_ENERGY!$B$63:$K$1238,10,0)</f>
        <v>-0.23742261831553124</v>
      </c>
      <c r="AB815" s="8">
        <f>+VLOOKUP($B815,NIFTY_AUTO!$B$63:$K$1238,10,0)</f>
        <v>-0.36618698145509843</v>
      </c>
      <c r="AC815" s="8">
        <f>+VLOOKUP($B815,EBBETF0430!$B$63:$K$1238,10,0)</f>
        <v>5.8669086509376891</v>
      </c>
      <c r="AD815" s="16">
        <f t="shared" si="447"/>
        <v>0.26143086269069854</v>
      </c>
      <c r="AE815" s="8">
        <f t="shared" si="448"/>
        <v>0.31833303563592213</v>
      </c>
      <c r="AF815" s="8">
        <f t="shared" si="449"/>
        <v>0.24893791423748859</v>
      </c>
      <c r="AG815" s="8">
        <f t="shared" si="450"/>
        <v>0.23017095443093569</v>
      </c>
      <c r="AH815" s="8">
        <f t="shared" si="451"/>
        <v>0.22356539260695366</v>
      </c>
      <c r="AI815" s="8">
        <f t="shared" si="452"/>
        <v>0.2926563614776288</v>
      </c>
      <c r="AJ815" s="8">
        <f t="shared" si="453"/>
        <v>0.25567458462777665</v>
      </c>
      <c r="AK815" s="8">
        <f t="shared" si="454"/>
        <v>0.2795780130802003</v>
      </c>
      <c r="AL815" s="9">
        <v>0</v>
      </c>
      <c r="AM815" s="17">
        <f t="shared" si="431"/>
        <v>3.8251030873241234</v>
      </c>
      <c r="AN815" s="13">
        <f t="shared" si="432"/>
        <v>3.1413641942701203</v>
      </c>
      <c r="AO815" s="13">
        <f t="shared" si="433"/>
        <v>4.0170658738869029</v>
      </c>
      <c r="AP815" s="13">
        <f t="shared" si="434"/>
        <v>4.34459683443706</v>
      </c>
      <c r="AQ815" s="13">
        <f t="shared" si="435"/>
        <v>4.4729642112278185</v>
      </c>
      <c r="AR815" s="13">
        <f t="shared" si="436"/>
        <v>3.4169768084007353</v>
      </c>
      <c r="AS815" s="13">
        <f t="shared" si="437"/>
        <v>3.9112217643996492</v>
      </c>
      <c r="AT815" s="13">
        <f t="shared" si="438"/>
        <v>3.576819181818629</v>
      </c>
      <c r="AU815" s="9">
        <v>0</v>
      </c>
      <c r="AV815" s="18">
        <f t="shared" si="455"/>
        <v>5</v>
      </c>
      <c r="AW815" s="18">
        <f t="shared" si="456"/>
        <v>8</v>
      </c>
      <c r="AX815" s="18">
        <f t="shared" si="457"/>
        <v>3</v>
      </c>
      <c r="AY815" s="18">
        <f t="shared" si="458"/>
        <v>2</v>
      </c>
      <c r="AZ815" s="18">
        <f t="shared" si="459"/>
        <v>1</v>
      </c>
      <c r="BA815" s="18">
        <f t="shared" si="460"/>
        <v>7</v>
      </c>
      <c r="BB815" s="18">
        <f t="shared" si="461"/>
        <v>4</v>
      </c>
      <c r="BC815" s="18">
        <f t="shared" si="462"/>
        <v>6</v>
      </c>
      <c r="BD815" s="18">
        <f t="shared" si="463"/>
        <v>9</v>
      </c>
      <c r="BE815" s="8">
        <f t="shared" si="465"/>
        <v>-1.5310995220663851E-2</v>
      </c>
    </row>
    <row r="816" spans="1:57" x14ac:dyDescent="0.25">
      <c r="A816" t="str">
        <f t="shared" si="464"/>
        <v/>
      </c>
      <c r="B816" s="1">
        <v>43943</v>
      </c>
      <c r="C816" s="9">
        <f t="shared" si="439"/>
        <v>0</v>
      </c>
      <c r="D816" s="9">
        <f t="shared" si="440"/>
        <v>0</v>
      </c>
      <c r="E816" s="9">
        <f t="shared" si="441"/>
        <v>0.21853977310949699</v>
      </c>
      <c r="F816" s="9">
        <f t="shared" si="442"/>
        <v>0.28991882163884736</v>
      </c>
      <c r="G816" s="9">
        <f t="shared" si="443"/>
        <v>0.23703863425279442</v>
      </c>
      <c r="H816" s="9">
        <f t="shared" si="444"/>
        <v>0</v>
      </c>
      <c r="I816" s="9">
        <f t="shared" si="445"/>
        <v>0</v>
      </c>
      <c r="J816" s="9">
        <f t="shared" si="446"/>
        <v>0.25450277099886115</v>
      </c>
      <c r="K816" s="9">
        <v>0</v>
      </c>
      <c r="L816" s="8">
        <f>+VLOOKUP($B816,NIFTY_50!$B$3:$I$1238,8,0)</f>
        <v>2.2919461779556505E-2</v>
      </c>
      <c r="M816" s="8">
        <f>+VLOOKUP($B816,NIFTY_BANK!$B$3:$I$41238,8,0)</f>
        <v>1.5070056441869539E-2</v>
      </c>
      <c r="N816" s="8">
        <f>+VLOOKUP($B816,NIFTY_IT!$B$3:$I$1238,8,0)</f>
        <v>1.309146294781538E-2</v>
      </c>
      <c r="O816" s="8">
        <f>+VLOOKUP($B816,NIFTY_PHARMA!$B$3:$I$1238,8,0)</f>
        <v>-4.9564842005400678E-4</v>
      </c>
      <c r="P816" s="8">
        <f>+VLOOKUP($B816,NIFTY_FMCG!$B$3:$I$1238,8,0)</f>
        <v>2.4737891757898423E-2</v>
      </c>
      <c r="Q816" s="8">
        <f>+VLOOKUP($B816,NIFTY_METAL!$B$3:$I$1238,8,0)</f>
        <v>4.0201608064323047E-3</v>
      </c>
      <c r="R816" s="8">
        <f>+VLOOKUP($B816,NIFTY_ENERGY!$B$3:$I$1238,8,0)</f>
        <v>3.2690820516849906E-2</v>
      </c>
      <c r="S816" s="8">
        <f>+VLOOKUP($B816,NIFTY_AUTO!$B$3:$I$1238,8,0)</f>
        <v>2.5084764971996965E-2</v>
      </c>
      <c r="T816" s="8">
        <v>0</v>
      </c>
      <c r="U816" s="8">
        <f>+VLOOKUP($B816,NIFTY_50!$B$63:$K$1238,10,0)</f>
        <v>-0.24507697301117115</v>
      </c>
      <c r="V816" s="8">
        <f>+VLOOKUP($B816,NIFTY_BANK!$B$63:$K$1238,10,0)</f>
        <v>-0.36337933051243154</v>
      </c>
      <c r="W816" s="8">
        <f>+VLOOKUP($B816,NIFTY_IT!$B$63:$K$1238,10,0)</f>
        <v>-0.22280404569958956</v>
      </c>
      <c r="X816" s="8">
        <f>+VLOOKUP($B816,NIFTY_PHARMA!$B$63:$K$1238,10,0)</f>
        <v>0.13328176742162379</v>
      </c>
      <c r="Y816" s="8">
        <f>+VLOOKUP($B816,NIFTY_FMCG!$B$63:$K$1238,10,0)</f>
        <v>-6.2955215686148591E-2</v>
      </c>
      <c r="Z816" s="8">
        <f>+VLOOKUP($B816,NIFTY_METAL!$B$63:$K$1238,10,0)</f>
        <v>-0.40238218539616777</v>
      </c>
      <c r="AA816" s="8">
        <f>+VLOOKUP($B816,NIFTY_ENERGY!$B$63:$K$1238,10,0)</f>
        <v>-0.20860495849958338</v>
      </c>
      <c r="AB816" s="8">
        <f>+VLOOKUP($B816,NIFTY_AUTO!$B$63:$K$1238,10,0)</f>
        <v>-0.34187293078984704</v>
      </c>
      <c r="AC816" s="8">
        <f>+VLOOKUP($B816,EBBETF0430!$B$63:$K$1238,10,0)</f>
        <v>-0.19038066911069607</v>
      </c>
      <c r="AD816" s="16">
        <f t="shared" si="447"/>
        <v>0.26283817523177494</v>
      </c>
      <c r="AE816" s="8">
        <f t="shared" si="448"/>
        <v>0.31906580390910921</v>
      </c>
      <c r="AF816" s="8">
        <f t="shared" si="449"/>
        <v>0.24949946061697817</v>
      </c>
      <c r="AG816" s="8">
        <f t="shared" si="450"/>
        <v>0.2301824758501067</v>
      </c>
      <c r="AH816" s="8">
        <f t="shared" si="451"/>
        <v>0.22489078405891549</v>
      </c>
      <c r="AI816" s="8">
        <f t="shared" si="452"/>
        <v>0.2928560392631756</v>
      </c>
      <c r="AJ816" s="8">
        <f t="shared" si="453"/>
        <v>0.25823185294900786</v>
      </c>
      <c r="AK816" s="8">
        <f t="shared" si="454"/>
        <v>0.28128459097871483</v>
      </c>
      <c r="AL816" s="9">
        <v>0</v>
      </c>
      <c r="AM816" s="17">
        <f t="shared" si="431"/>
        <v>3.8046223655227553</v>
      </c>
      <c r="AN816" s="13">
        <f t="shared" si="432"/>
        <v>3.1341497200523105</v>
      </c>
      <c r="AO816" s="13">
        <f t="shared" si="433"/>
        <v>4.0080246968355615</v>
      </c>
      <c r="AP816" s="13">
        <f t="shared" si="434"/>
        <v>4.3443793725252711</v>
      </c>
      <c r="AQ816" s="13">
        <f t="shared" si="435"/>
        <v>4.4466028440633041</v>
      </c>
      <c r="AR816" s="13">
        <f t="shared" si="436"/>
        <v>3.4146470139936169</v>
      </c>
      <c r="AS816" s="13">
        <f t="shared" si="437"/>
        <v>3.8724889612958262</v>
      </c>
      <c r="AT816" s="13">
        <f t="shared" si="438"/>
        <v>3.5551183110335085</v>
      </c>
      <c r="AU816" s="9">
        <v>0</v>
      </c>
      <c r="AV816" s="18">
        <f t="shared" si="455"/>
        <v>5</v>
      </c>
      <c r="AW816" s="18">
        <f t="shared" si="456"/>
        <v>8</v>
      </c>
      <c r="AX816" s="18">
        <f t="shared" si="457"/>
        <v>3</v>
      </c>
      <c r="AY816" s="18">
        <f t="shared" si="458"/>
        <v>2</v>
      </c>
      <c r="AZ816" s="18">
        <f t="shared" si="459"/>
        <v>1</v>
      </c>
      <c r="BA816" s="18">
        <f t="shared" si="460"/>
        <v>7</v>
      </c>
      <c r="BB816" s="18">
        <f t="shared" si="461"/>
        <v>4</v>
      </c>
      <c r="BC816" s="18">
        <f t="shared" si="462"/>
        <v>6</v>
      </c>
      <c r="BD816" s="18">
        <f t="shared" si="463"/>
        <v>9</v>
      </c>
      <c r="BE816" s="8">
        <f t="shared" si="465"/>
        <v>1.484768940780196E-2</v>
      </c>
    </row>
    <row r="817" spans="1:57" x14ac:dyDescent="0.25">
      <c r="A817" t="str">
        <f t="shared" si="464"/>
        <v/>
      </c>
      <c r="B817" s="1">
        <v>43944</v>
      </c>
      <c r="C817" s="9">
        <f t="shared" si="439"/>
        <v>0</v>
      </c>
      <c r="D817" s="9">
        <f t="shared" si="440"/>
        <v>0</v>
      </c>
      <c r="E817" s="9">
        <f t="shared" si="441"/>
        <v>0.22627796381763449</v>
      </c>
      <c r="F817" s="9">
        <f t="shared" si="442"/>
        <v>0.28781537404949614</v>
      </c>
      <c r="G817" s="9">
        <f t="shared" si="443"/>
        <v>0.23180835208714407</v>
      </c>
      <c r="H817" s="9">
        <f t="shared" si="444"/>
        <v>0</v>
      </c>
      <c r="I817" s="9">
        <f t="shared" si="445"/>
        <v>0</v>
      </c>
      <c r="J817" s="9">
        <f t="shared" si="446"/>
        <v>0.25409831004572547</v>
      </c>
      <c r="K817" s="9">
        <v>0</v>
      </c>
      <c r="L817" s="8">
        <f>+VLOOKUP($B817,NIFTY_50!$B$3:$I$1238,8,0)</f>
        <v>1.3779891807168543E-2</v>
      </c>
      <c r="M817" s="8">
        <f>+VLOOKUP($B817,NIFTY_BANK!$B$3:$I$41238,8,0)</f>
        <v>2.8733342300342413E-2</v>
      </c>
      <c r="N817" s="8">
        <f>+VLOOKUP($B817,NIFTY_IT!$B$3:$I$1238,8,0)</f>
        <v>4.4299316697557156E-2</v>
      </c>
      <c r="O817" s="8">
        <f>+VLOOKUP($B817,NIFTY_PHARMA!$B$3:$I$1238,8,0)</f>
        <v>1.2690625999787208E-3</v>
      </c>
      <c r="P817" s="8">
        <f>+VLOOKUP($B817,NIFTY_FMCG!$B$3:$I$1238,8,0)</f>
        <v>-1.3667909878825379E-2</v>
      </c>
      <c r="Q817" s="8">
        <f>+VLOOKUP($B817,NIFTY_METAL!$B$3:$I$1238,8,0)</f>
        <v>1.2818980457778073E-2</v>
      </c>
      <c r="R817" s="8">
        <f>+VLOOKUP($B817,NIFTY_ENERGY!$B$3:$I$1238,8,0)</f>
        <v>-3.7722853161189507E-3</v>
      </c>
      <c r="S817" s="8">
        <f>+VLOOKUP($B817,NIFTY_AUTO!$B$3:$I$1238,8,0)</f>
        <v>6.9837935450582922E-3</v>
      </c>
      <c r="T817" s="8">
        <v>0</v>
      </c>
      <c r="U817" s="8">
        <f>+VLOOKUP($B817,NIFTY_50!$B$63:$K$1238,10,0)</f>
        <v>-0.23069489299490376</v>
      </c>
      <c r="V817" s="8">
        <f>+VLOOKUP($B817,NIFTY_BANK!$B$63:$K$1238,10,0)</f>
        <v>-0.33983736924477503</v>
      </c>
      <c r="W817" s="8">
        <f>+VLOOKUP($B817,NIFTY_IT!$B$63:$K$1238,10,0)</f>
        <v>-0.19629252106730821</v>
      </c>
      <c r="X817" s="8">
        <f>+VLOOKUP($B817,NIFTY_PHARMA!$B$63:$K$1238,10,0)</f>
        <v>0.13713188762997097</v>
      </c>
      <c r="Y817" s="8">
        <f>+VLOOKUP($B817,NIFTY_FMCG!$B$63:$K$1238,10,0)</f>
        <v>-7.5976265642479168E-2</v>
      </c>
      <c r="Z817" s="8">
        <f>+VLOOKUP($B817,NIFTY_METAL!$B$63:$K$1238,10,0)</f>
        <v>-0.38523623832411358</v>
      </c>
      <c r="AA817" s="8">
        <f>+VLOOKUP($B817,NIFTY_ENERGY!$B$63:$K$1238,10,0)</f>
        <v>-0.19929061578669549</v>
      </c>
      <c r="AB817" s="8">
        <f>+VLOOKUP($B817,NIFTY_AUTO!$B$63:$K$1238,10,0)</f>
        <v>-0.33105035407600547</v>
      </c>
      <c r="AC817" s="8">
        <f>+VLOOKUP($B817,EBBETF0430!$B$63:$K$1238,10,0)</f>
        <v>4.2969736842105259</v>
      </c>
      <c r="AD817" s="16">
        <f t="shared" si="447"/>
        <v>0.26342648276652209</v>
      </c>
      <c r="AE817" s="8">
        <f t="shared" si="448"/>
        <v>0.32096930813507274</v>
      </c>
      <c r="AF817" s="8">
        <f t="shared" si="449"/>
        <v>0.25366206056039786</v>
      </c>
      <c r="AG817" s="8">
        <f t="shared" si="450"/>
        <v>0.23013915723019912</v>
      </c>
      <c r="AH817" s="8">
        <f t="shared" si="451"/>
        <v>0.22525859150067964</v>
      </c>
      <c r="AI817" s="8">
        <f t="shared" si="452"/>
        <v>0.29344875375835533</v>
      </c>
      <c r="AJ817" s="8">
        <f t="shared" si="453"/>
        <v>0.25794517390980415</v>
      </c>
      <c r="AK817" s="8">
        <f t="shared" si="454"/>
        <v>0.28156719967398874</v>
      </c>
      <c r="AL817" s="9">
        <v>0</v>
      </c>
      <c r="AM817" s="17">
        <f t="shared" si="431"/>
        <v>3.7961255432556924</v>
      </c>
      <c r="AN817" s="13">
        <f t="shared" si="432"/>
        <v>3.1155626866951791</v>
      </c>
      <c r="AO817" s="13">
        <f t="shared" si="433"/>
        <v>3.9422529241888595</v>
      </c>
      <c r="AP817" s="13">
        <f t="shared" si="434"/>
        <v>4.3451971061132353</v>
      </c>
      <c r="AQ817" s="13">
        <f t="shared" si="435"/>
        <v>4.4393423280238471</v>
      </c>
      <c r="AR817" s="13">
        <f t="shared" si="436"/>
        <v>3.4077500319645746</v>
      </c>
      <c r="AS817" s="13">
        <f t="shared" si="437"/>
        <v>3.8767928271054632</v>
      </c>
      <c r="AT817" s="13">
        <f t="shared" si="438"/>
        <v>3.5515500426109479</v>
      </c>
      <c r="AU817" s="9">
        <v>0</v>
      </c>
      <c r="AV817" s="18">
        <f t="shared" si="455"/>
        <v>5</v>
      </c>
      <c r="AW817" s="18">
        <f t="shared" si="456"/>
        <v>8</v>
      </c>
      <c r="AX817" s="18">
        <f t="shared" si="457"/>
        <v>3</v>
      </c>
      <c r="AY817" s="18">
        <f t="shared" si="458"/>
        <v>2</v>
      </c>
      <c r="AZ817" s="18">
        <f t="shared" si="459"/>
        <v>1</v>
      </c>
      <c r="BA817" s="18">
        <f t="shared" si="460"/>
        <v>7</v>
      </c>
      <c r="BB817" s="18">
        <f t="shared" si="461"/>
        <v>4</v>
      </c>
      <c r="BC817" s="18">
        <f t="shared" si="462"/>
        <v>6</v>
      </c>
      <c r="BD817" s="18">
        <f t="shared" si="463"/>
        <v>9</v>
      </c>
      <c r="BE817" s="8">
        <f t="shared" si="465"/>
        <v>8.5866598720959059E-3</v>
      </c>
    </row>
    <row r="818" spans="1:57" x14ac:dyDescent="0.25">
      <c r="A818" t="str">
        <f t="shared" si="464"/>
        <v/>
      </c>
      <c r="B818" s="1">
        <v>43945</v>
      </c>
      <c r="C818" s="9">
        <f t="shared" si="439"/>
        <v>0</v>
      </c>
      <c r="D818" s="9">
        <f t="shared" si="440"/>
        <v>0</v>
      </c>
      <c r="E818" s="9">
        <f t="shared" si="441"/>
        <v>0.22238566944250243</v>
      </c>
      <c r="F818" s="9">
        <f t="shared" si="442"/>
        <v>0.29374869920314189</v>
      </c>
      <c r="G818" s="9">
        <f t="shared" si="443"/>
        <v>0.23215465735619922</v>
      </c>
      <c r="H818" s="9">
        <f t="shared" si="444"/>
        <v>0</v>
      </c>
      <c r="I818" s="9">
        <f t="shared" si="445"/>
        <v>0</v>
      </c>
      <c r="J818" s="9">
        <f t="shared" si="446"/>
        <v>0.25171097399815645</v>
      </c>
      <c r="K818" s="9">
        <v>0</v>
      </c>
      <c r="L818" s="8">
        <f>+VLOOKUP($B818,NIFTY_50!$B$3:$I$1238,8,0)</f>
        <v>-1.7124942290554945E-2</v>
      </c>
      <c r="M818" s="8">
        <f>+VLOOKUP($B818,NIFTY_BANK!$B$3:$I$41238,8,0)</f>
        <v>-3.3614647756679883E-2</v>
      </c>
      <c r="N818" s="8">
        <f>+VLOOKUP($B818,NIFTY_IT!$B$3:$I$1238,8,0)</f>
        <v>-2.3765634283450909E-2</v>
      </c>
      <c r="O818" s="8">
        <f>+VLOOKUP($B818,NIFTY_PHARMA!$B$3:$I$1238,8,0)</f>
        <v>1.3798208522830313E-2</v>
      </c>
      <c r="P818" s="8">
        <f>+VLOOKUP($B818,NIFTY_FMCG!$B$3:$I$1238,8,0)</f>
        <v>-5.1951886751486764E-3</v>
      </c>
      <c r="Q818" s="8">
        <f>+VLOOKUP($B818,NIFTY_METAL!$B$3:$I$1238,8,0)</f>
        <v>-2.9237350641687532E-2</v>
      </c>
      <c r="R818" s="8">
        <f>+VLOOKUP($B818,NIFTY_ENERGY!$B$3:$I$1238,8,0)</f>
        <v>4.9924831373051592E-3</v>
      </c>
      <c r="S818" s="8">
        <f>+VLOOKUP($B818,NIFTY_AUTO!$B$3:$I$1238,8,0)</f>
        <v>-1.6011711423212449E-2</v>
      </c>
      <c r="T818" s="8">
        <v>0</v>
      </c>
      <c r="U818" s="8">
        <f>+VLOOKUP($B818,NIFTY_50!$B$63:$K$1238,10,0)</f>
        <v>-0.24842882183188497</v>
      </c>
      <c r="V818" s="8">
        <f>+VLOOKUP($B818,NIFTY_BANK!$B$63:$K$1238,10,0)</f>
        <v>-0.36825511505754882</v>
      </c>
      <c r="W818" s="8">
        <f>+VLOOKUP($B818,NIFTY_IT!$B$63:$K$1238,10,0)</f>
        <v>-0.22205361045015304</v>
      </c>
      <c r="X818" s="8">
        <f>+VLOOKUP($B818,NIFTY_PHARMA!$B$63:$K$1238,10,0)</f>
        <v>0.14677357172116334</v>
      </c>
      <c r="Y818" s="8">
        <f>+VLOOKUP($B818,NIFTY_FMCG!$B$63:$K$1238,10,0)</f>
        <v>-8.2947714950891704E-2</v>
      </c>
      <c r="Z818" s="8">
        <f>+VLOOKUP($B818,NIFTY_METAL!$B$63:$K$1238,10,0)</f>
        <v>-0.40590412566579392</v>
      </c>
      <c r="AA818" s="8">
        <f>+VLOOKUP($B818,NIFTY_ENERGY!$B$63:$K$1238,10,0)</f>
        <v>-0.2040165936000663</v>
      </c>
      <c r="AB818" s="8">
        <f>+VLOOKUP($B818,NIFTY_AUTO!$B$63:$K$1238,10,0)</f>
        <v>-0.34755968089301426</v>
      </c>
      <c r="AC818" s="8">
        <f>+VLOOKUP($B818,EBBETF0430!$B$63:$K$1238,10,0)</f>
        <v>0.87330541851498689</v>
      </c>
      <c r="AD818" s="16">
        <f t="shared" si="447"/>
        <v>0.26356995018442386</v>
      </c>
      <c r="AE818" s="8">
        <f t="shared" si="448"/>
        <v>0.3217281281444041</v>
      </c>
      <c r="AF818" s="8">
        <f t="shared" si="449"/>
        <v>0.25420874967369461</v>
      </c>
      <c r="AG818" s="8">
        <f t="shared" si="450"/>
        <v>0.2303954491352207</v>
      </c>
      <c r="AH818" s="8">
        <f t="shared" si="451"/>
        <v>0.22527456242344801</v>
      </c>
      <c r="AI818" s="8">
        <f t="shared" si="452"/>
        <v>0.29400640959733498</v>
      </c>
      <c r="AJ818" s="8">
        <f t="shared" si="453"/>
        <v>0.25768799731908332</v>
      </c>
      <c r="AK818" s="8">
        <f t="shared" si="454"/>
        <v>0.28134142991475786</v>
      </c>
      <c r="AL818" s="9">
        <v>0</v>
      </c>
      <c r="AM818" s="17">
        <f t="shared" si="431"/>
        <v>3.7940592214715103</v>
      </c>
      <c r="AN818" s="13">
        <f t="shared" si="432"/>
        <v>3.1082143975647698</v>
      </c>
      <c r="AO818" s="13">
        <f t="shared" si="433"/>
        <v>3.9337749046152499</v>
      </c>
      <c r="AP818" s="13">
        <f t="shared" si="434"/>
        <v>4.3403635087127652</v>
      </c>
      <c r="AQ818" s="13">
        <f t="shared" si="435"/>
        <v>4.4390275992204682</v>
      </c>
      <c r="AR818" s="13">
        <f t="shared" si="436"/>
        <v>3.4012863915775817</v>
      </c>
      <c r="AS818" s="13">
        <f t="shared" si="437"/>
        <v>3.8806619260645872</v>
      </c>
      <c r="AT818" s="13">
        <f t="shared" si="438"/>
        <v>3.5544000764586454</v>
      </c>
      <c r="AU818" s="9">
        <v>0</v>
      </c>
      <c r="AV818" s="18">
        <f t="shared" si="455"/>
        <v>5</v>
      </c>
      <c r="AW818" s="18">
        <f t="shared" si="456"/>
        <v>8</v>
      </c>
      <c r="AX818" s="18">
        <f t="shared" si="457"/>
        <v>3</v>
      </c>
      <c r="AY818" s="18">
        <f t="shared" si="458"/>
        <v>2</v>
      </c>
      <c r="AZ818" s="18">
        <f t="shared" si="459"/>
        <v>1</v>
      </c>
      <c r="BA818" s="18">
        <f t="shared" si="460"/>
        <v>7</v>
      </c>
      <c r="BB818" s="18">
        <f t="shared" si="461"/>
        <v>4</v>
      </c>
      <c r="BC818" s="18">
        <f t="shared" si="462"/>
        <v>6</v>
      </c>
      <c r="BD818" s="18">
        <f t="shared" si="463"/>
        <v>9</v>
      </c>
      <c r="BE818" s="8">
        <f t="shared" si="465"/>
        <v>-6.6791397264286158E-3</v>
      </c>
    </row>
    <row r="819" spans="1:57" x14ac:dyDescent="0.25">
      <c r="A819" t="str">
        <f t="shared" si="464"/>
        <v/>
      </c>
      <c r="B819" s="1">
        <v>43948</v>
      </c>
      <c r="C819" s="9">
        <f t="shared" si="439"/>
        <v>0</v>
      </c>
      <c r="D819" s="9">
        <f t="shared" si="440"/>
        <v>0</v>
      </c>
      <c r="E819" s="9">
        <f t="shared" si="441"/>
        <v>0.22456428631209838</v>
      </c>
      <c r="F819" s="9">
        <f t="shared" si="442"/>
        <v>0.29227720754707376</v>
      </c>
      <c r="G819" s="9">
        <f t="shared" si="443"/>
        <v>0.23230574768225951</v>
      </c>
      <c r="H819" s="9">
        <f t="shared" si="444"/>
        <v>0</v>
      </c>
      <c r="I819" s="9">
        <f t="shared" si="445"/>
        <v>0</v>
      </c>
      <c r="J819" s="9">
        <f t="shared" si="446"/>
        <v>0.25085275845856825</v>
      </c>
      <c r="K819" s="9">
        <v>0</v>
      </c>
      <c r="L819" s="8">
        <f>+VLOOKUP($B819,NIFTY_50!$B$3:$I$1238,8,0)</f>
        <v>1.3971423577733066E-2</v>
      </c>
      <c r="M819" s="8">
        <f>+VLOOKUP($B819,NIFTY_BANK!$B$3:$I$41238,8,0)</f>
        <v>2.5246787990799824E-2</v>
      </c>
      <c r="N819" s="8">
        <f>+VLOOKUP($B819,NIFTY_IT!$B$3:$I$1238,8,0)</f>
        <v>2.3794104336698707E-2</v>
      </c>
      <c r="O819" s="8">
        <f>+VLOOKUP($B819,NIFTY_PHARMA!$B$3:$I$1238,8,0)</f>
        <v>8.7829426009484735E-3</v>
      </c>
      <c r="P819" s="8">
        <f>+VLOOKUP($B819,NIFTY_FMCG!$B$3:$I$1238,8,0)</f>
        <v>1.4521575460859637E-2</v>
      </c>
      <c r="Q819" s="8">
        <f>+VLOOKUP($B819,NIFTY_METAL!$B$3:$I$1238,8,0)</f>
        <v>1.3007537077558862E-2</v>
      </c>
      <c r="R819" s="8">
        <f>+VLOOKUP($B819,NIFTY_ENERGY!$B$3:$I$1238,8,0)</f>
        <v>6.4915845385895565E-3</v>
      </c>
      <c r="S819" s="8">
        <f>+VLOOKUP($B819,NIFTY_AUTO!$B$3:$I$1238,8,0)</f>
        <v>1.0404946766469747E-2</v>
      </c>
      <c r="T819" s="8">
        <v>0</v>
      </c>
      <c r="U819" s="8">
        <f>+VLOOKUP($B819,NIFTY_50!$B$63:$K$1238,10,0)</f>
        <v>-0.2421529606270284</v>
      </c>
      <c r="V819" s="8">
        <f>+VLOOKUP($B819,NIFTY_BANK!$B$63:$K$1238,10,0)</f>
        <v>-0.35723350964654665</v>
      </c>
      <c r="W819" s="8">
        <f>+VLOOKUP($B819,NIFTY_IT!$B$63:$K$1238,10,0)</f>
        <v>-0.20346329544247321</v>
      </c>
      <c r="X819" s="8">
        <f>+VLOOKUP($B819,NIFTY_PHARMA!$B$63:$K$1238,10,0)</f>
        <v>0.15770341389309195</v>
      </c>
      <c r="Y819" s="8">
        <f>+VLOOKUP($B819,NIFTY_FMCG!$B$63:$K$1238,10,0)</f>
        <v>-7.6961324738124781E-2</v>
      </c>
      <c r="Z819" s="8">
        <f>+VLOOKUP($B819,NIFTY_METAL!$B$63:$K$1238,10,0)</f>
        <v>-0.40397682569201054</v>
      </c>
      <c r="AA819" s="8">
        <f>+VLOOKUP($B819,NIFTY_ENERGY!$B$63:$K$1238,10,0)</f>
        <v>-0.19730584095976622</v>
      </c>
      <c r="AB819" s="8">
        <f>+VLOOKUP($B819,NIFTY_AUTO!$B$63:$K$1238,10,0)</f>
        <v>-0.34340803760793248</v>
      </c>
      <c r="AC819" s="8">
        <f>+VLOOKUP($B819,EBBETF0430!$B$63:$K$1238,10,0)</f>
        <v>-0.64359492210040392</v>
      </c>
      <c r="AD819" s="16">
        <f t="shared" si="447"/>
        <v>0.26400901442688535</v>
      </c>
      <c r="AE819" s="8">
        <f t="shared" si="448"/>
        <v>0.32297913025021291</v>
      </c>
      <c r="AF819" s="8">
        <f t="shared" si="449"/>
        <v>0.2556356988702142</v>
      </c>
      <c r="AG819" s="8">
        <f t="shared" si="450"/>
        <v>0.23044754580786925</v>
      </c>
      <c r="AH819" s="8">
        <f t="shared" si="451"/>
        <v>0.22562997018160305</v>
      </c>
      <c r="AI819" s="8">
        <f t="shared" si="452"/>
        <v>0.29421936831467727</v>
      </c>
      <c r="AJ819" s="8">
        <f t="shared" si="453"/>
        <v>0.25786427829494429</v>
      </c>
      <c r="AK819" s="8">
        <f t="shared" si="454"/>
        <v>0.28164729677322037</v>
      </c>
      <c r="AL819" s="9">
        <v>0</v>
      </c>
      <c r="AM819" s="17">
        <f t="shared" si="431"/>
        <v>3.7877494530662701</v>
      </c>
      <c r="AN819" s="13">
        <f t="shared" si="432"/>
        <v>3.0961752829828262</v>
      </c>
      <c r="AO819" s="13">
        <f t="shared" si="433"/>
        <v>3.9118167158167463</v>
      </c>
      <c r="AP819" s="13">
        <f t="shared" si="434"/>
        <v>4.3393822941109939</v>
      </c>
      <c r="AQ819" s="13">
        <f t="shared" si="435"/>
        <v>4.4320353328732383</v>
      </c>
      <c r="AR819" s="13">
        <f t="shared" si="436"/>
        <v>3.3988245088286209</v>
      </c>
      <c r="AS819" s="13">
        <f t="shared" si="437"/>
        <v>3.878009030999646</v>
      </c>
      <c r="AT819" s="13">
        <f t="shared" si="438"/>
        <v>3.5505400245513101</v>
      </c>
      <c r="AU819" s="9">
        <v>0</v>
      </c>
      <c r="AV819" s="18">
        <f t="shared" si="455"/>
        <v>5</v>
      </c>
      <c r="AW819" s="18">
        <f t="shared" si="456"/>
        <v>8</v>
      </c>
      <c r="AX819" s="18">
        <f t="shared" si="457"/>
        <v>3</v>
      </c>
      <c r="AY819" s="18">
        <f t="shared" si="458"/>
        <v>2</v>
      </c>
      <c r="AZ819" s="18">
        <f t="shared" si="459"/>
        <v>1</v>
      </c>
      <c r="BA819" s="18">
        <f t="shared" si="460"/>
        <v>7</v>
      </c>
      <c r="BB819" s="18">
        <f t="shared" si="461"/>
        <v>4</v>
      </c>
      <c r="BC819" s="18">
        <f t="shared" si="462"/>
        <v>6</v>
      </c>
      <c r="BD819" s="18">
        <f t="shared" si="463"/>
        <v>9</v>
      </c>
      <c r="BE819" s="8">
        <f t="shared" si="465"/>
        <v>1.3861736446281095E-2</v>
      </c>
    </row>
    <row r="820" spans="1:57" x14ac:dyDescent="0.25">
      <c r="A820" t="str">
        <f t="shared" si="464"/>
        <v/>
      </c>
      <c r="B820" s="1">
        <v>43949</v>
      </c>
      <c r="C820" s="9">
        <f t="shared" si="439"/>
        <v>0</v>
      </c>
      <c r="D820" s="9">
        <f t="shared" si="440"/>
        <v>0</v>
      </c>
      <c r="E820" s="9">
        <f t="shared" si="441"/>
        <v>0.22657009084651544</v>
      </c>
      <c r="F820" s="9">
        <f t="shared" si="442"/>
        <v>0.28798451850779405</v>
      </c>
      <c r="G820" s="9">
        <f t="shared" si="443"/>
        <v>0.23194601810450946</v>
      </c>
      <c r="H820" s="9">
        <f t="shared" si="444"/>
        <v>0</v>
      </c>
      <c r="I820" s="9">
        <f t="shared" si="445"/>
        <v>0</v>
      </c>
      <c r="J820" s="9">
        <f t="shared" si="446"/>
        <v>0.25349937254118093</v>
      </c>
      <c r="K820" s="9">
        <v>0</v>
      </c>
      <c r="L820" s="8">
        <f>+VLOOKUP($B820,NIFTY_50!$B$3:$I$1238,8,0)</f>
        <v>1.0622367301207802E-2</v>
      </c>
      <c r="M820" s="8">
        <f>+VLOOKUP($B820,NIFTY_BANK!$B$3:$I$41238,8,0)</f>
        <v>2.9378297557659749E-2</v>
      </c>
      <c r="N820" s="8">
        <f>+VLOOKUP($B820,NIFTY_IT!$B$3:$I$1238,8,0)</f>
        <v>9.5266039943142644E-4</v>
      </c>
      <c r="O820" s="8">
        <f>+VLOOKUP($B820,NIFTY_PHARMA!$B$3:$I$1238,8,0)</f>
        <v>-2.2479574674157954E-2</v>
      </c>
      <c r="P820" s="8">
        <f>+VLOOKUP($B820,NIFTY_FMCG!$B$3:$I$1238,8,0)</f>
        <v>-9.4449540573889879E-3</v>
      </c>
      <c r="Q820" s="8">
        <f>+VLOOKUP($B820,NIFTY_METAL!$B$3:$I$1238,8,0)</f>
        <v>-2.9701188047520644E-3</v>
      </c>
      <c r="R820" s="8">
        <f>+VLOOKUP($B820,NIFTY_ENERGY!$B$3:$I$1238,8,0)</f>
        <v>-2.7221535612523828E-3</v>
      </c>
      <c r="S820" s="8">
        <f>+VLOOKUP($B820,NIFTY_AUTO!$B$3:$I$1238,8,0)</f>
        <v>2.5583449900612454E-3</v>
      </c>
      <c r="T820" s="8">
        <v>0</v>
      </c>
      <c r="U820" s="8">
        <f>+VLOOKUP($B820,NIFTY_50!$B$63:$K$1238,10,0)</f>
        <v>-0.22593448304315544</v>
      </c>
      <c r="V820" s="8">
        <f>+VLOOKUP($B820,NIFTY_BANK!$B$63:$K$1238,10,0)</f>
        <v>-0.32967435646325571</v>
      </c>
      <c r="W820" s="8">
        <f>+VLOOKUP($B820,NIFTY_IT!$B$63:$K$1238,10,0)</f>
        <v>-0.19885259751548623</v>
      </c>
      <c r="X820" s="8">
        <f>+VLOOKUP($B820,NIFTY_PHARMA!$B$63:$K$1238,10,0)</f>
        <v>0.11523403850837965</v>
      </c>
      <c r="Y820" s="8">
        <f>+VLOOKUP($B820,NIFTY_FMCG!$B$63:$K$1238,10,0)</f>
        <v>-7.6133959556592856E-2</v>
      </c>
      <c r="Z820" s="8">
        <f>+VLOOKUP($B820,NIFTY_METAL!$B$63:$K$1238,10,0)</f>
        <v>-0.38678844911892241</v>
      </c>
      <c r="AA820" s="8">
        <f>+VLOOKUP($B820,NIFTY_ENERGY!$B$63:$K$1238,10,0)</f>
        <v>-0.18990913052600988</v>
      </c>
      <c r="AB820" s="8">
        <f>+VLOOKUP($B820,NIFTY_AUTO!$B$63:$K$1238,10,0)</f>
        <v>-0.34039706229603472</v>
      </c>
      <c r="AC820" s="8">
        <f>+VLOOKUP($B820,EBBETF0430!$B$63:$K$1238,10,0)</f>
        <v>0.77971603241930021</v>
      </c>
      <c r="AD820" s="16">
        <f t="shared" si="447"/>
        <v>0.2643146467987515</v>
      </c>
      <c r="AE820" s="8">
        <f t="shared" si="448"/>
        <v>0.32483562603970595</v>
      </c>
      <c r="AF820" s="8">
        <f t="shared" si="449"/>
        <v>0.25566287612648259</v>
      </c>
      <c r="AG820" s="8">
        <f t="shared" si="450"/>
        <v>0.23147914113981891</v>
      </c>
      <c r="AH820" s="8">
        <f t="shared" si="451"/>
        <v>0.22559456938442068</v>
      </c>
      <c r="AI820" s="8">
        <f t="shared" si="452"/>
        <v>0.29332054803573776</v>
      </c>
      <c r="AJ820" s="8">
        <f t="shared" si="453"/>
        <v>0.25771229347004154</v>
      </c>
      <c r="AK820" s="8">
        <f t="shared" si="454"/>
        <v>0.28175202415596667</v>
      </c>
      <c r="AL820" s="9">
        <v>0</v>
      </c>
      <c r="AM820" s="17">
        <f t="shared" si="431"/>
        <v>3.7833696017663279</v>
      </c>
      <c r="AN820" s="13">
        <f t="shared" si="432"/>
        <v>3.0784800675704393</v>
      </c>
      <c r="AO820" s="13">
        <f t="shared" si="433"/>
        <v>3.911400885223852</v>
      </c>
      <c r="AP820" s="13">
        <f t="shared" si="434"/>
        <v>4.3200436768338282</v>
      </c>
      <c r="AQ820" s="13">
        <f t="shared" si="435"/>
        <v>4.4327308176287108</v>
      </c>
      <c r="AR820" s="13">
        <f t="shared" si="436"/>
        <v>3.4092395050283399</v>
      </c>
      <c r="AS820" s="13">
        <f t="shared" si="437"/>
        <v>3.8802960717752786</v>
      </c>
      <c r="AT820" s="13">
        <f t="shared" si="438"/>
        <v>3.5492202868662974</v>
      </c>
      <c r="AU820" s="9">
        <v>0</v>
      </c>
      <c r="AV820" s="18">
        <f t="shared" si="455"/>
        <v>5</v>
      </c>
      <c r="AW820" s="18">
        <f t="shared" si="456"/>
        <v>8</v>
      </c>
      <c r="AX820" s="18">
        <f t="shared" si="457"/>
        <v>3</v>
      </c>
      <c r="AY820" s="18">
        <f t="shared" si="458"/>
        <v>2</v>
      </c>
      <c r="AZ820" s="18">
        <f t="shared" si="459"/>
        <v>1</v>
      </c>
      <c r="BA820" s="18">
        <f t="shared" si="460"/>
        <v>7</v>
      </c>
      <c r="BB820" s="18">
        <f t="shared" si="461"/>
        <v>4</v>
      </c>
      <c r="BC820" s="18">
        <f t="shared" si="462"/>
        <v>6</v>
      </c>
      <c r="BD820" s="18">
        <f t="shared" si="463"/>
        <v>9</v>
      </c>
      <c r="BE820" s="8">
        <f t="shared" si="465"/>
        <v>-7.9086830261935089E-3</v>
      </c>
    </row>
    <row r="821" spans="1:57" x14ac:dyDescent="0.25">
      <c r="A821" t="str">
        <f t="shared" si="464"/>
        <v/>
      </c>
      <c r="B821" s="1">
        <v>43950</v>
      </c>
      <c r="C821" s="9">
        <f t="shared" si="439"/>
        <v>0</v>
      </c>
      <c r="D821" s="9">
        <f t="shared" si="440"/>
        <v>0</v>
      </c>
      <c r="E821" s="9">
        <f t="shared" si="441"/>
        <v>0.22962328738172622</v>
      </c>
      <c r="F821" s="9">
        <f t="shared" si="442"/>
        <v>0.2855094918835136</v>
      </c>
      <c r="G821" s="9">
        <f t="shared" si="443"/>
        <v>0.22906677868437486</v>
      </c>
      <c r="H821" s="9">
        <f t="shared" si="444"/>
        <v>0</v>
      </c>
      <c r="I821" s="9">
        <f t="shared" si="445"/>
        <v>0</v>
      </c>
      <c r="J821" s="9">
        <f t="shared" si="446"/>
        <v>0.25580044205038532</v>
      </c>
      <c r="K821" s="9">
        <v>0</v>
      </c>
      <c r="L821" s="8">
        <f>+VLOOKUP($B821,NIFTY_50!$B$3:$I$1238,8,0)</f>
        <v>1.8383097570595641E-2</v>
      </c>
      <c r="M821" s="8">
        <f>+VLOOKUP($B821,NIFTY_BANK!$B$3:$I$41238,8,0)</f>
        <v>2.0274683011547667E-2</v>
      </c>
      <c r="N821" s="8">
        <f>+VLOOKUP($B821,NIFTY_IT!$B$3:$I$1238,8,0)</f>
        <v>2.2179668256729901E-2</v>
      </c>
      <c r="O821" s="8">
        <f>+VLOOKUP($B821,NIFTY_PHARMA!$B$3:$I$1238,8,0)</f>
        <v>-7.9904540708719551E-5</v>
      </c>
      <c r="P821" s="8">
        <f>+VLOOKUP($B821,NIFTY_FMCG!$B$3:$I$1238,8,0)</f>
        <v>-3.9318024264937135E-3</v>
      </c>
      <c r="Q821" s="8">
        <f>+VLOOKUP($B821,NIFTY_METAL!$B$3:$I$1238,8,0)</f>
        <v>3.7402581771130983E-2</v>
      </c>
      <c r="R821" s="8">
        <f>+VLOOKUP($B821,NIFTY_ENERGY!$B$3:$I$1238,8,0)</f>
        <v>5.0885819711978808E-3</v>
      </c>
      <c r="S821" s="8">
        <f>+VLOOKUP($B821,NIFTY_AUTO!$B$3:$I$1238,8,0)</f>
        <v>1.7743386389087679E-2</v>
      </c>
      <c r="T821" s="8">
        <v>0</v>
      </c>
      <c r="U821" s="8">
        <f>+VLOOKUP($B821,NIFTY_50!$B$63:$K$1238,10,0)</f>
        <v>-0.20757228885681578</v>
      </c>
      <c r="V821" s="8">
        <f>+VLOOKUP($B821,NIFTY_BANK!$B$63:$K$1238,10,0)</f>
        <v>-0.31439401327637884</v>
      </c>
      <c r="W821" s="8">
        <f>+VLOOKUP($B821,NIFTY_IT!$B$63:$K$1238,10,0)</f>
        <v>-0.18288774935711127</v>
      </c>
      <c r="X821" s="8">
        <f>+VLOOKUP($B821,NIFTY_PHARMA!$B$63:$K$1238,10,0)</f>
        <v>0.11462842552180774</v>
      </c>
      <c r="Y821" s="8">
        <f>+VLOOKUP($B821,NIFTY_FMCG!$B$63:$K$1238,10,0)</f>
        <v>-7.6128732831513113E-2</v>
      </c>
      <c r="Z821" s="8">
        <f>+VLOOKUP($B821,NIFTY_METAL!$B$63:$K$1238,10,0)</f>
        <v>-0.34760147601476021</v>
      </c>
      <c r="AA821" s="8">
        <f>+VLOOKUP($B821,NIFTY_ENERGY!$B$63:$K$1238,10,0)</f>
        <v>-0.17911458112976664</v>
      </c>
      <c r="AB821" s="8">
        <f>+VLOOKUP($B821,NIFTY_AUTO!$B$63:$K$1238,10,0)</f>
        <v>-0.32028984618779921</v>
      </c>
      <c r="AC821" s="8">
        <f>+VLOOKUP($B821,EBBETF0430!$B$63:$K$1238,10,0)</f>
        <v>9.8913807531380762</v>
      </c>
      <c r="AD821" s="16">
        <f t="shared" si="447"/>
        <v>0.26520550037053414</v>
      </c>
      <c r="AE821" s="8">
        <f t="shared" si="448"/>
        <v>0.32583950508557163</v>
      </c>
      <c r="AF821" s="8">
        <f t="shared" si="449"/>
        <v>0.25684102841877349</v>
      </c>
      <c r="AG821" s="8">
        <f t="shared" si="450"/>
        <v>0.23148391070714291</v>
      </c>
      <c r="AH821" s="8">
        <f t="shared" si="451"/>
        <v>0.22559449302576917</v>
      </c>
      <c r="AI821" s="8">
        <f t="shared" si="452"/>
        <v>0.29606975118346512</v>
      </c>
      <c r="AJ821" s="8">
        <f t="shared" si="453"/>
        <v>0.25777739583365067</v>
      </c>
      <c r="AK821" s="8">
        <f t="shared" si="454"/>
        <v>0.28266756169456142</v>
      </c>
      <c r="AL821" s="9">
        <v>0</v>
      </c>
      <c r="AM821" s="17">
        <f t="shared" si="431"/>
        <v>3.7706608596082716</v>
      </c>
      <c r="AN821" s="13">
        <f t="shared" si="432"/>
        <v>3.0689955772470898</v>
      </c>
      <c r="AO821" s="13">
        <f t="shared" si="433"/>
        <v>3.8934589467907075</v>
      </c>
      <c r="AP821" s="13">
        <f t="shared" si="434"/>
        <v>4.3199546652947705</v>
      </c>
      <c r="AQ821" s="13">
        <f t="shared" si="435"/>
        <v>4.4327323180081892</v>
      </c>
      <c r="AR821" s="13">
        <f t="shared" si="436"/>
        <v>3.3775824649520896</v>
      </c>
      <c r="AS821" s="13">
        <f t="shared" si="437"/>
        <v>3.8793160927318922</v>
      </c>
      <c r="AT821" s="13">
        <f t="shared" si="438"/>
        <v>3.5377246473033845</v>
      </c>
      <c r="AU821" s="9">
        <v>0</v>
      </c>
      <c r="AV821" s="18">
        <f t="shared" si="455"/>
        <v>5</v>
      </c>
      <c r="AW821" s="18">
        <f t="shared" si="456"/>
        <v>8</v>
      </c>
      <c r="AX821" s="18">
        <f t="shared" si="457"/>
        <v>3</v>
      </c>
      <c r="AY821" s="18">
        <f t="shared" si="458"/>
        <v>2</v>
      </c>
      <c r="AZ821" s="18">
        <f t="shared" si="459"/>
        <v>1</v>
      </c>
      <c r="BA821" s="18">
        <f t="shared" si="460"/>
        <v>7</v>
      </c>
      <c r="BB821" s="18">
        <f t="shared" si="461"/>
        <v>4</v>
      </c>
      <c r="BC821" s="18">
        <f t="shared" si="462"/>
        <v>6</v>
      </c>
      <c r="BD821" s="18">
        <f t="shared" si="463"/>
        <v>9</v>
      </c>
      <c r="BE821" s="8">
        <f t="shared" si="465"/>
        <v>8.5882095807808742E-3</v>
      </c>
    </row>
    <row r="822" spans="1:57" x14ac:dyDescent="0.25">
      <c r="A822" t="str">
        <f t="shared" si="464"/>
        <v>Y</v>
      </c>
      <c r="B822" s="1">
        <v>43951</v>
      </c>
      <c r="C822" s="9">
        <f t="shared" si="439"/>
        <v>0</v>
      </c>
      <c r="D822" s="9">
        <f t="shared" si="440"/>
        <v>0</v>
      </c>
      <c r="E822" s="9">
        <f t="shared" si="441"/>
        <v>0.25</v>
      </c>
      <c r="F822" s="9">
        <f t="shared" si="442"/>
        <v>0.25</v>
      </c>
      <c r="G822" s="9">
        <f t="shared" si="443"/>
        <v>0.25</v>
      </c>
      <c r="H822" s="9">
        <f t="shared" si="444"/>
        <v>0</v>
      </c>
      <c r="I822" s="9">
        <f t="shared" si="445"/>
        <v>0.25</v>
      </c>
      <c r="J822" s="9">
        <f t="shared" si="446"/>
        <v>0</v>
      </c>
      <c r="K822" s="9">
        <v>0</v>
      </c>
      <c r="L822" s="8">
        <f>+VLOOKUP($B822,NIFTY_50!$B$3:$I$1238,8,0)</f>
        <v>3.2088220362490594E-2</v>
      </c>
      <c r="M822" s="8">
        <f>+VLOOKUP($B822,NIFTY_BANK!$B$3:$I$41238,8,0)</f>
        <v>2.1066656551383955E-2</v>
      </c>
      <c r="N822" s="8">
        <f>+VLOOKUP($B822,NIFTY_IT!$B$3:$I$1238,8,0)</f>
        <v>5.0908941932744645E-2</v>
      </c>
      <c r="O822" s="8">
        <f>+VLOOKUP($B822,NIFTY_PHARMA!$B$3:$I$1238,8,0)</f>
        <v>-6.217070039262973E-3</v>
      </c>
      <c r="P822" s="8">
        <f>+VLOOKUP($B822,NIFTY_FMCG!$B$3:$I$1238,8,0)</f>
        <v>1.5000872143722255E-4</v>
      </c>
      <c r="Q822" s="8">
        <f>+VLOOKUP($B822,NIFTY_METAL!$B$3:$I$1238,8,0)</f>
        <v>7.8953474881076735E-2</v>
      </c>
      <c r="R822" s="8">
        <f>+VLOOKUP($B822,NIFTY_ENERGY!$B$3:$I$1238,8,0)</f>
        <v>4.3067664164991637E-2</v>
      </c>
      <c r="S822" s="8">
        <f>+VLOOKUP($B822,NIFTY_AUTO!$B$3:$I$1238,8,0)</f>
        <v>6.4514092446448679E-2</v>
      </c>
      <c r="T822" s="8">
        <v>0</v>
      </c>
      <c r="U822" s="8">
        <f>+VLOOKUP($B822,NIFTY_50!$B$63:$K$1238,10,0)</f>
        <v>-0.18711406076095471</v>
      </c>
      <c r="V822" s="8">
        <f>+VLOOKUP($B822,NIFTY_BANK!$B$63:$K$1238,10,0)</f>
        <v>-0.30257149334456068</v>
      </c>
      <c r="W822" s="8">
        <f>+VLOOKUP($B822,NIFTY_IT!$B$63:$K$1238,10,0)</f>
        <v>-0.14387140230470952</v>
      </c>
      <c r="X822" s="8">
        <f>+VLOOKUP($B822,NIFTY_PHARMA!$B$63:$K$1238,10,0)</f>
        <v>0.10867963103841771</v>
      </c>
      <c r="Y822" s="8">
        <f>+VLOOKUP($B822,NIFTY_FMCG!$B$63:$K$1238,10,0)</f>
        <v>-8.7727616244381745E-2</v>
      </c>
      <c r="Z822" s="8">
        <f>+VLOOKUP($B822,NIFTY_METAL!$B$63:$K$1238,10,0)</f>
        <v>-0.30232383667498164</v>
      </c>
      <c r="AA822" s="8">
        <f>+VLOOKUP($B822,NIFTY_ENERGY!$B$63:$K$1238,10,0)</f>
        <v>-0.14866780137070512</v>
      </c>
      <c r="AB822" s="8">
        <f>+VLOOKUP($B822,NIFTY_AUTO!$B$63:$K$1238,10,0)</f>
        <v>-0.28210306067831248</v>
      </c>
      <c r="AC822" s="8">
        <f>+VLOOKUP($B822,EBBETF0430!$B$63:$K$1238,10,0)</f>
        <v>0.33810137803207341</v>
      </c>
      <c r="AD822" s="16">
        <f t="shared" si="447"/>
        <v>0.26736179210953315</v>
      </c>
      <c r="AE822" s="8">
        <f t="shared" si="448"/>
        <v>0.3267700026890043</v>
      </c>
      <c r="AF822" s="8">
        <f t="shared" si="449"/>
        <v>0.26225297263154379</v>
      </c>
      <c r="AG822" s="8">
        <f t="shared" si="450"/>
        <v>0.23161578915596323</v>
      </c>
      <c r="AH822" s="8">
        <f t="shared" si="451"/>
        <v>0.22517190412775601</v>
      </c>
      <c r="AI822" s="8">
        <f t="shared" si="452"/>
        <v>0.30757980216699027</v>
      </c>
      <c r="AJ822" s="8">
        <f t="shared" si="453"/>
        <v>0.26162569597046925</v>
      </c>
      <c r="AK822" s="8">
        <f t="shared" si="454"/>
        <v>0.29083932526558043</v>
      </c>
      <c r="AL822" s="9">
        <v>0</v>
      </c>
      <c r="AM822" s="17">
        <f t="shared" si="431"/>
        <v>3.7402502134273496</v>
      </c>
      <c r="AN822" s="13">
        <f t="shared" si="432"/>
        <v>3.0602564243074863</v>
      </c>
      <c r="AO822" s="13">
        <f t="shared" si="433"/>
        <v>3.813112164051482</v>
      </c>
      <c r="AP822" s="13">
        <f t="shared" si="434"/>
        <v>4.3174949499087454</v>
      </c>
      <c r="AQ822" s="13">
        <f t="shared" si="435"/>
        <v>4.4410513997013989</v>
      </c>
      <c r="AR822" s="13">
        <f t="shared" si="436"/>
        <v>3.2511887742781078</v>
      </c>
      <c r="AS822" s="13">
        <f t="shared" si="437"/>
        <v>3.8222545239320609</v>
      </c>
      <c r="AT822" s="13">
        <f t="shared" si="438"/>
        <v>3.4383245769355582</v>
      </c>
      <c r="AU822" s="9">
        <v>0</v>
      </c>
      <c r="AV822" s="18">
        <f t="shared" si="455"/>
        <v>5</v>
      </c>
      <c r="AW822" s="18">
        <f t="shared" si="456"/>
        <v>8</v>
      </c>
      <c r="AX822" s="18">
        <f t="shared" si="457"/>
        <v>4</v>
      </c>
      <c r="AY822" s="18">
        <f t="shared" si="458"/>
        <v>2</v>
      </c>
      <c r="AZ822" s="18">
        <f t="shared" si="459"/>
        <v>1</v>
      </c>
      <c r="BA822" s="18">
        <f t="shared" si="460"/>
        <v>7</v>
      </c>
      <c r="BB822" s="18">
        <f t="shared" si="461"/>
        <v>3</v>
      </c>
      <c r="BC822" s="18">
        <f t="shared" si="462"/>
        <v>6</v>
      </c>
      <c r="BD822" s="18">
        <f t="shared" si="463"/>
        <v>9</v>
      </c>
      <c r="BE822" s="8">
        <f t="shared" si="465"/>
        <v>2.6451941476683234E-2</v>
      </c>
    </row>
    <row r="823" spans="1:57" x14ac:dyDescent="0.25">
      <c r="A823" t="str">
        <f t="shared" si="464"/>
        <v/>
      </c>
      <c r="B823" s="1">
        <v>43955</v>
      </c>
      <c r="C823" s="9">
        <f t="shared" si="439"/>
        <v>0</v>
      </c>
      <c r="D823" s="9">
        <f t="shared" si="440"/>
        <v>0</v>
      </c>
      <c r="E823" s="9">
        <f t="shared" si="441"/>
        <v>0.2452899748248831</v>
      </c>
      <c r="F823" s="9">
        <f t="shared" si="442"/>
        <v>0.25825020099985063</v>
      </c>
      <c r="G823" s="9">
        <f t="shared" si="443"/>
        <v>0.24761350455791145</v>
      </c>
      <c r="H823" s="9">
        <f t="shared" si="444"/>
        <v>0</v>
      </c>
      <c r="I823" s="9">
        <f t="shared" si="445"/>
        <v>0.24884631961735484</v>
      </c>
      <c r="J823" s="9">
        <f t="shared" si="446"/>
        <v>0</v>
      </c>
      <c r="K823" s="9">
        <v>0</v>
      </c>
      <c r="L823" s="8">
        <f>+VLOOKUP($B823,NIFTY_50!$B$3:$I$1238,8,0)</f>
        <v>-5.7444801671416523E-2</v>
      </c>
      <c r="M823" s="8">
        <f>+VLOOKUP($B823,NIFTY_BANK!$B$3:$I$41238,8,0)</f>
        <v>-8.3157259281617879E-2</v>
      </c>
      <c r="N823" s="8">
        <f>+VLOOKUP($B823,NIFTY_IT!$B$3:$I$1238,8,0)</f>
        <v>-4.63659947265459E-2</v>
      </c>
      <c r="O823" s="8">
        <f>+VLOOKUP($B823,NIFTY_PHARMA!$B$3:$I$1238,8,0)</f>
        <v>4.0205422907442223E-3</v>
      </c>
      <c r="P823" s="8">
        <f>+VLOOKUP($B823,NIFTY_FMCG!$B$3:$I$1238,8,0)</f>
        <v>-3.73326171200552E-2</v>
      </c>
      <c r="Q823" s="8">
        <f>+VLOOKUP($B823,NIFTY_METAL!$B$3:$I$1238,8,0)</f>
        <v>-7.8552610355395514E-2</v>
      </c>
      <c r="R823" s="8">
        <f>+VLOOKUP($B823,NIFTY_ENERGY!$B$3:$I$1238,8,0)</f>
        <v>-3.2539700639315328E-2</v>
      </c>
      <c r="S823" s="8">
        <f>+VLOOKUP($B823,NIFTY_AUTO!$B$3:$I$1238,8,0)</f>
        <v>-7.2050699833937637E-2</v>
      </c>
      <c r="T823" s="8">
        <v>0</v>
      </c>
      <c r="U823" s="8">
        <f>+VLOOKUP($B823,NIFTY_50!$B$63:$K$1238,10,0)</f>
        <v>-0.22784526163611885</v>
      </c>
      <c r="V823" s="8">
        <f>+VLOOKUP($B823,NIFTY_BANK!$B$63:$K$1238,10,0)</f>
        <v>-0.35577732531960304</v>
      </c>
      <c r="W823" s="8">
        <f>+VLOOKUP($B823,NIFTY_IT!$B$63:$K$1238,10,0)</f>
        <v>-0.17599630081026951</v>
      </c>
      <c r="X823" s="8">
        <f>+VLOOKUP($B823,NIFTY_PHARMA!$B$63:$K$1238,10,0)</f>
        <v>0.13688759932257311</v>
      </c>
      <c r="Y823" s="8">
        <f>+VLOOKUP($B823,NIFTY_FMCG!$B$63:$K$1238,10,0)</f>
        <v>-0.10788083312726571</v>
      </c>
      <c r="Z823" s="8">
        <f>+VLOOKUP($B823,NIFTY_METAL!$B$63:$K$1238,10,0)</f>
        <v>-0.3480923580204649</v>
      </c>
      <c r="AA823" s="8">
        <f>+VLOOKUP($B823,NIFTY_ENERGY!$B$63:$K$1238,10,0)</f>
        <v>-0.16518091414777492</v>
      </c>
      <c r="AB823" s="8">
        <f>+VLOOKUP($B823,NIFTY_AUTO!$B$63:$K$1238,10,0)</f>
        <v>-0.33065654621124618</v>
      </c>
      <c r="AC823" s="8">
        <f>+VLOOKUP($B823,EBBETF0430!$B$63:$K$1238,10,0)</f>
        <v>0.48935369394558559</v>
      </c>
      <c r="AD823" s="16">
        <f t="shared" si="447"/>
        <v>0.27277175208593857</v>
      </c>
      <c r="AE823" s="8">
        <f t="shared" si="448"/>
        <v>0.33584094051812668</v>
      </c>
      <c r="AF823" s="8">
        <f t="shared" si="449"/>
        <v>0.26584315019463534</v>
      </c>
      <c r="AG823" s="8">
        <f t="shared" si="450"/>
        <v>0.23045436674878023</v>
      </c>
      <c r="AH823" s="8">
        <f t="shared" si="451"/>
        <v>0.2275921859508625</v>
      </c>
      <c r="AI823" s="8">
        <f t="shared" si="452"/>
        <v>0.3159994774764685</v>
      </c>
      <c r="AJ823" s="8">
        <f t="shared" si="453"/>
        <v>0.26313872358968038</v>
      </c>
      <c r="AK823" s="8">
        <f t="shared" si="454"/>
        <v>0.29840756513205602</v>
      </c>
      <c r="AL823" s="9">
        <v>0</v>
      </c>
      <c r="AM823" s="17">
        <f t="shared" si="431"/>
        <v>3.6660687639127065</v>
      </c>
      <c r="AN823" s="13">
        <f t="shared" si="432"/>
        <v>2.9776000461921823</v>
      </c>
      <c r="AO823" s="13">
        <f t="shared" si="433"/>
        <v>3.7616165745397483</v>
      </c>
      <c r="AP823" s="13">
        <f t="shared" si="434"/>
        <v>4.3392538579670585</v>
      </c>
      <c r="AQ823" s="13">
        <f t="shared" si="435"/>
        <v>4.3938239611438217</v>
      </c>
      <c r="AR823" s="13">
        <f t="shared" si="436"/>
        <v>3.1645621948044735</v>
      </c>
      <c r="AS823" s="13">
        <f t="shared" si="437"/>
        <v>3.8002768515337491</v>
      </c>
      <c r="AT823" s="13">
        <f t="shared" si="438"/>
        <v>3.3511214756149506</v>
      </c>
      <c r="AU823" s="9">
        <v>0</v>
      </c>
      <c r="AV823" s="18">
        <f t="shared" si="455"/>
        <v>5</v>
      </c>
      <c r="AW823" s="18">
        <f t="shared" si="456"/>
        <v>8</v>
      </c>
      <c r="AX823" s="18">
        <f t="shared" si="457"/>
        <v>4</v>
      </c>
      <c r="AY823" s="18">
        <f t="shared" si="458"/>
        <v>2</v>
      </c>
      <c r="AZ823" s="18">
        <f t="shared" si="459"/>
        <v>1</v>
      </c>
      <c r="BA823" s="18">
        <f t="shared" si="460"/>
        <v>7</v>
      </c>
      <c r="BB823" s="18">
        <f t="shared" si="461"/>
        <v>3</v>
      </c>
      <c r="BC823" s="18">
        <f t="shared" si="462"/>
        <v>6</v>
      </c>
      <c r="BD823" s="18">
        <f t="shared" si="463"/>
        <v>9</v>
      </c>
      <c r="BE823" s="8">
        <f t="shared" si="465"/>
        <v>-2.8054442548793052E-2</v>
      </c>
    </row>
    <row r="824" spans="1:57" x14ac:dyDescent="0.25">
      <c r="A824" t="str">
        <f t="shared" si="464"/>
        <v/>
      </c>
      <c r="B824" s="1">
        <v>43956</v>
      </c>
      <c r="C824" s="9">
        <f t="shared" si="439"/>
        <v>0</v>
      </c>
      <c r="D824" s="9">
        <f t="shared" si="440"/>
        <v>0</v>
      </c>
      <c r="E824" s="9">
        <f t="shared" si="441"/>
        <v>0.24581320411488855</v>
      </c>
      <c r="F824" s="9">
        <f t="shared" si="442"/>
        <v>0.25499557957426505</v>
      </c>
      <c r="G824" s="9">
        <f t="shared" si="443"/>
        <v>0.24520876901924293</v>
      </c>
      <c r="H824" s="9">
        <f t="shared" si="444"/>
        <v>0</v>
      </c>
      <c r="I824" s="9">
        <f t="shared" si="445"/>
        <v>0.25398244729160346</v>
      </c>
      <c r="J824" s="9">
        <f t="shared" si="446"/>
        <v>0</v>
      </c>
      <c r="K824" s="9">
        <v>0</v>
      </c>
      <c r="L824" s="8">
        <f>+VLOOKUP($B824,NIFTY_50!$B$3:$I$1238,8,0)</f>
        <v>-9.4582234895356221E-3</v>
      </c>
      <c r="M824" s="8">
        <f>+VLOOKUP($B824,NIFTY_BANK!$B$3:$I$41238,8,0)</f>
        <v>-2.3906299461854963E-2</v>
      </c>
      <c r="N824" s="8">
        <f>+VLOOKUP($B824,NIFTY_IT!$B$3:$I$1238,8,0)</f>
        <v>-4.9203783191185124E-3</v>
      </c>
      <c r="O824" s="8">
        <f>+VLOOKUP($B824,NIFTY_PHARMA!$B$3:$I$1238,8,0)</f>
        <v>-1.9552356747752242E-2</v>
      </c>
      <c r="P824" s="8">
        <f>+VLOOKUP($B824,NIFTY_FMCG!$B$3:$I$1238,8,0)</f>
        <v>-1.6681763832022911E-2</v>
      </c>
      <c r="Q824" s="8">
        <f>+VLOOKUP($B824,NIFTY_METAL!$B$3:$I$1238,8,0)</f>
        <v>-1.1757497957754603E-2</v>
      </c>
      <c r="R824" s="8">
        <f>+VLOOKUP($B824,NIFTY_ENERGY!$B$3:$I$1238,8,0)</f>
        <v>1.3456015526474019E-2</v>
      </c>
      <c r="S824" s="8">
        <f>+VLOOKUP($B824,NIFTY_AUTO!$B$3:$I$1238,8,0)</f>
        <v>-4.4373835871590606E-3</v>
      </c>
      <c r="T824" s="8">
        <v>0</v>
      </c>
      <c r="U824" s="8">
        <f>+VLOOKUP($B824,NIFTY_50!$B$63:$K$1238,10,0)</f>
        <v>-0.23043612743581809</v>
      </c>
      <c r="V824" s="8">
        <f>+VLOOKUP($B824,NIFTY_BANK!$B$63:$K$1238,10,0)</f>
        <v>-0.37497567588604641</v>
      </c>
      <c r="W824" s="8">
        <f>+VLOOKUP($B824,NIFTY_IT!$B$63:$K$1238,10,0)</f>
        <v>-0.17071818584440801</v>
      </c>
      <c r="X824" s="8">
        <f>+VLOOKUP($B824,NIFTY_PHARMA!$B$63:$K$1238,10,0)</f>
        <v>0.12814243235937384</v>
      </c>
      <c r="Y824" s="8">
        <f>+VLOOKUP($B824,NIFTY_FMCG!$B$63:$K$1238,10,0)</f>
        <v>-0.11816944107774741</v>
      </c>
      <c r="Z824" s="8">
        <f>+VLOOKUP($B824,NIFTY_METAL!$B$63:$K$1238,10,0)</f>
        <v>-0.34073569482288824</v>
      </c>
      <c r="AA824" s="8">
        <f>+VLOOKUP($B824,NIFTY_ENERGY!$B$63:$K$1238,10,0)</f>
        <v>-0.13079898644095211</v>
      </c>
      <c r="AB824" s="8">
        <f>+VLOOKUP($B824,NIFTY_AUTO!$B$63:$K$1238,10,0)</f>
        <v>-0.32580643166739842</v>
      </c>
      <c r="AC824" s="8">
        <f>+VLOOKUP($B824,EBBETF0430!$B$63:$K$1238,10,0)</f>
        <v>1.6091129963755169E-2</v>
      </c>
      <c r="AD824" s="16">
        <f t="shared" si="447"/>
        <v>0.2728225661299441</v>
      </c>
      <c r="AE824" s="8">
        <f t="shared" si="448"/>
        <v>0.33605875774142219</v>
      </c>
      <c r="AF824" s="8">
        <f t="shared" si="449"/>
        <v>0.26571076468975102</v>
      </c>
      <c r="AG824" s="8">
        <f t="shared" si="450"/>
        <v>0.23105481259602764</v>
      </c>
      <c r="AH824" s="8">
        <f t="shared" si="451"/>
        <v>0.22806597719212662</v>
      </c>
      <c r="AI824" s="8">
        <f t="shared" si="452"/>
        <v>0.31560822854294285</v>
      </c>
      <c r="AJ824" s="8">
        <f t="shared" si="453"/>
        <v>0.26244717769063464</v>
      </c>
      <c r="AK824" s="8">
        <f t="shared" si="454"/>
        <v>0.29835339712478798</v>
      </c>
      <c r="AL824" s="9">
        <v>0</v>
      </c>
      <c r="AM824" s="17">
        <f t="shared" si="431"/>
        <v>3.6653859473035846</v>
      </c>
      <c r="AN824" s="13">
        <f t="shared" si="432"/>
        <v>2.9756701081703167</v>
      </c>
      <c r="AO824" s="13">
        <f t="shared" si="433"/>
        <v>3.7634907308615033</v>
      </c>
      <c r="AP824" s="13">
        <f t="shared" si="434"/>
        <v>4.3279773693715837</v>
      </c>
      <c r="AQ824" s="13">
        <f t="shared" si="435"/>
        <v>4.3846960967684501</v>
      </c>
      <c r="AR824" s="13">
        <f t="shared" si="436"/>
        <v>3.1684851963989153</v>
      </c>
      <c r="AS824" s="13">
        <f t="shared" si="437"/>
        <v>3.8102905460799885</v>
      </c>
      <c r="AT824" s="13">
        <f t="shared" si="438"/>
        <v>3.3517298935991144</v>
      </c>
      <c r="AU824" s="9">
        <v>0</v>
      </c>
      <c r="AV824" s="18">
        <f t="shared" si="455"/>
        <v>5</v>
      </c>
      <c r="AW824" s="18">
        <f t="shared" si="456"/>
        <v>8</v>
      </c>
      <c r="AX824" s="18">
        <f t="shared" si="457"/>
        <v>4</v>
      </c>
      <c r="AY824" s="18">
        <f t="shared" si="458"/>
        <v>2</v>
      </c>
      <c r="AZ824" s="18">
        <f t="shared" si="459"/>
        <v>1</v>
      </c>
      <c r="BA824" s="18">
        <f t="shared" si="460"/>
        <v>7</v>
      </c>
      <c r="BB824" s="18">
        <f t="shared" si="461"/>
        <v>3</v>
      </c>
      <c r="BC824" s="18">
        <f t="shared" si="462"/>
        <v>6</v>
      </c>
      <c r="BD824" s="18">
        <f t="shared" si="463"/>
        <v>9</v>
      </c>
      <c r="BE824" s="8">
        <f t="shared" si="465"/>
        <v>-7.038469598330847E-3</v>
      </c>
    </row>
    <row r="825" spans="1:57" x14ac:dyDescent="0.25">
      <c r="A825" t="str">
        <f t="shared" si="464"/>
        <v/>
      </c>
      <c r="B825" s="1">
        <v>43957</v>
      </c>
      <c r="C825" s="9">
        <f t="shared" si="439"/>
        <v>0</v>
      </c>
      <c r="D825" s="9">
        <f t="shared" si="440"/>
        <v>0</v>
      </c>
      <c r="E825" s="9">
        <f t="shared" si="441"/>
        <v>0.24665508001074715</v>
      </c>
      <c r="F825" s="9">
        <f t="shared" si="442"/>
        <v>0.25701341081720774</v>
      </c>
      <c r="G825" s="9">
        <f t="shared" si="443"/>
        <v>0.24131936643157664</v>
      </c>
      <c r="H825" s="9">
        <f t="shared" si="444"/>
        <v>0</v>
      </c>
      <c r="I825" s="9">
        <f t="shared" si="445"/>
        <v>0.25501214274046841</v>
      </c>
      <c r="J825" s="9">
        <f t="shared" si="446"/>
        <v>0</v>
      </c>
      <c r="K825" s="9">
        <v>0</v>
      </c>
      <c r="L825" s="8">
        <f>+VLOOKUP($B825,NIFTY_50!$B$3:$I$1238,8,0)</f>
        <v>7.093508299296003E-3</v>
      </c>
      <c r="M825" s="8">
        <f>+VLOOKUP($B825,NIFTY_BANK!$B$3:$I$41238,8,0)</f>
        <v>2.1938848314242421E-2</v>
      </c>
      <c r="N825" s="8">
        <f>+VLOOKUP($B825,NIFTY_IT!$B$3:$I$1238,8,0)</f>
        <v>4.967116196907817E-4</v>
      </c>
      <c r="O825" s="8">
        <f>+VLOOKUP($B825,NIFTY_PHARMA!$B$3:$I$1238,8,0)</f>
        <v>4.9719544736699373E-3</v>
      </c>
      <c r="P825" s="8">
        <f>+VLOOKUP($B825,NIFTY_FMCG!$B$3:$I$1238,8,0)</f>
        <v>-1.8733464511802245E-2</v>
      </c>
      <c r="Q825" s="8">
        <f>+VLOOKUP($B825,NIFTY_METAL!$B$3:$I$1238,8,0)</f>
        <v>2.5388952853304669E-3</v>
      </c>
      <c r="R825" s="8">
        <f>+VLOOKUP($B825,NIFTY_ENERGY!$B$3:$I$1238,8,0)</f>
        <v>1.1242140193363781E-3</v>
      </c>
      <c r="S825" s="8">
        <f>+VLOOKUP($B825,NIFTY_AUTO!$B$3:$I$1238,8,0)</f>
        <v>1.8433940461123566E-2</v>
      </c>
      <c r="T825" s="8">
        <v>0</v>
      </c>
      <c r="U825" s="8">
        <f>+VLOOKUP($B825,NIFTY_50!$B$63:$K$1238,10,0)</f>
        <v>-0.20361645012348328</v>
      </c>
      <c r="V825" s="8">
        <f>+VLOOKUP($B825,NIFTY_BANK!$B$63:$K$1238,10,0)</f>
        <v>-0.33937951576871217</v>
      </c>
      <c r="W825" s="8">
        <f>+VLOOKUP($B825,NIFTY_IT!$B$63:$K$1238,10,0)</f>
        <v>-0.17615184485844504</v>
      </c>
      <c r="X825" s="8">
        <f>+VLOOKUP($B825,NIFTY_PHARMA!$B$63:$K$1238,10,0)</f>
        <v>0.15476503347725412</v>
      </c>
      <c r="Y825" s="8">
        <f>+VLOOKUP($B825,NIFTY_FMCG!$B$63:$K$1238,10,0)</f>
        <v>-0.1179000680699116</v>
      </c>
      <c r="Z825" s="8">
        <f>+VLOOKUP($B825,NIFTY_METAL!$B$63:$K$1238,10,0)</f>
        <v>-0.31099478564327299</v>
      </c>
      <c r="AA825" s="8">
        <f>+VLOOKUP($B825,NIFTY_ENERGY!$B$63:$K$1238,10,0)</f>
        <v>-0.1025763988796452</v>
      </c>
      <c r="AB825" s="8">
        <f>+VLOOKUP($B825,NIFTY_AUTO!$B$63:$K$1238,10,0)</f>
        <v>-0.29215588786476465</v>
      </c>
      <c r="AC825" s="8">
        <f>+VLOOKUP($B825,EBBETF0430!$B$63:$K$1238,10,0)</f>
        <v>0.55195526588653543</v>
      </c>
      <c r="AD825" s="16">
        <f t="shared" si="447"/>
        <v>0.2720157022138246</v>
      </c>
      <c r="AE825" s="8">
        <f t="shared" si="448"/>
        <v>0.33616941254439026</v>
      </c>
      <c r="AF825" s="8">
        <f t="shared" si="449"/>
        <v>0.26555352169219965</v>
      </c>
      <c r="AG825" s="8">
        <f t="shared" si="450"/>
        <v>0.23012857405397377</v>
      </c>
      <c r="AH825" s="8">
        <f t="shared" si="451"/>
        <v>0.22804330467404754</v>
      </c>
      <c r="AI825" s="8">
        <f t="shared" si="452"/>
        <v>0.31375496108834566</v>
      </c>
      <c r="AJ825" s="8">
        <f t="shared" si="453"/>
        <v>0.26086493839002556</v>
      </c>
      <c r="AK825" s="8">
        <f t="shared" si="454"/>
        <v>0.29827746652514342</v>
      </c>
      <c r="AL825" s="9">
        <v>0</v>
      </c>
      <c r="AM825" s="17">
        <f t="shared" si="431"/>
        <v>3.6762583625188134</v>
      </c>
      <c r="AN825" s="13">
        <f t="shared" si="432"/>
        <v>2.9746906252749952</v>
      </c>
      <c r="AO825" s="13">
        <f t="shared" si="433"/>
        <v>3.7657192178346999</v>
      </c>
      <c r="AP825" s="13">
        <f t="shared" si="434"/>
        <v>4.3453969334788587</v>
      </c>
      <c r="AQ825" s="13">
        <f t="shared" si="435"/>
        <v>4.3851320319592126</v>
      </c>
      <c r="AR825" s="13">
        <f t="shared" si="436"/>
        <v>3.1872005992549854</v>
      </c>
      <c r="AS825" s="13">
        <f t="shared" si="437"/>
        <v>3.8334013231968931</v>
      </c>
      <c r="AT825" s="13">
        <f t="shared" si="438"/>
        <v>3.3525831221840039</v>
      </c>
      <c r="AU825" s="9">
        <v>0</v>
      </c>
      <c r="AV825" s="18">
        <f t="shared" si="455"/>
        <v>5</v>
      </c>
      <c r="AW825" s="18">
        <f t="shared" si="456"/>
        <v>8</v>
      </c>
      <c r="AX825" s="18">
        <f t="shared" si="457"/>
        <v>4</v>
      </c>
      <c r="AY825" s="18">
        <f t="shared" si="458"/>
        <v>2</v>
      </c>
      <c r="AZ825" s="18">
        <f t="shared" si="459"/>
        <v>1</v>
      </c>
      <c r="BA825" s="18">
        <f t="shared" si="460"/>
        <v>7</v>
      </c>
      <c r="BB825" s="18">
        <f t="shared" si="461"/>
        <v>3</v>
      </c>
      <c r="BC825" s="18">
        <f t="shared" si="462"/>
        <v>6</v>
      </c>
      <c r="BD825" s="18">
        <f t="shared" si="463"/>
        <v>9</v>
      </c>
      <c r="BE825" s="8">
        <f t="shared" si="465"/>
        <v>-2.9181544571065051E-3</v>
      </c>
    </row>
    <row r="826" spans="1:57" x14ac:dyDescent="0.25">
      <c r="A826" t="str">
        <f t="shared" si="464"/>
        <v/>
      </c>
      <c r="B826" s="1">
        <v>43958</v>
      </c>
      <c r="C826" s="9">
        <f t="shared" si="439"/>
        <v>0</v>
      </c>
      <c r="D826" s="9">
        <f t="shared" si="440"/>
        <v>0</v>
      </c>
      <c r="E826" s="9">
        <f t="shared" si="441"/>
        <v>0.24703057696153599</v>
      </c>
      <c r="F826" s="9">
        <f t="shared" si="442"/>
        <v>0.25715770654950371</v>
      </c>
      <c r="G826" s="9">
        <f t="shared" si="443"/>
        <v>0.240105862099184</v>
      </c>
      <c r="H826" s="9">
        <f t="shared" si="444"/>
        <v>0</v>
      </c>
      <c r="I826" s="9">
        <f t="shared" si="445"/>
        <v>0.25570585438977633</v>
      </c>
      <c r="J826" s="9">
        <f t="shared" si="446"/>
        <v>0</v>
      </c>
      <c r="K826" s="9">
        <v>0</v>
      </c>
      <c r="L826" s="8">
        <f>+VLOOKUP($B826,NIFTY_50!$B$3:$I$1238,8,0)</f>
        <v>-7.7500566288063455E-3</v>
      </c>
      <c r="M826" s="8">
        <f>+VLOOKUP($B826,NIFTY_BANK!$B$3:$I$41238,8,0)</f>
        <v>-1.029472620598082E-2</v>
      </c>
      <c r="N826" s="8">
        <f>+VLOOKUP($B826,NIFTY_IT!$B$3:$I$1238,8,0)</f>
        <v>-7.6149521825796818E-3</v>
      </c>
      <c r="O826" s="8">
        <f>+VLOOKUP($B826,NIFTY_PHARMA!$B$3:$I$1238,8,0)</f>
        <v>-8.5671090206618228E-3</v>
      </c>
      <c r="P826" s="8">
        <f>+VLOOKUP($B826,NIFTY_FMCG!$B$3:$I$1238,8,0)</f>
        <v>-1.4106165180884922E-2</v>
      </c>
      <c r="Q826" s="8">
        <f>+VLOOKUP($B826,NIFTY_METAL!$B$3:$I$1238,8,0)</f>
        <v>-1.4134691834271074E-3</v>
      </c>
      <c r="R826" s="8">
        <f>+VLOOKUP($B826,NIFTY_ENERGY!$B$3:$I$1238,8,0)</f>
        <v>-6.4279297419534975E-3</v>
      </c>
      <c r="S826" s="8">
        <f>+VLOOKUP($B826,NIFTY_AUTO!$B$3:$I$1238,8,0)</f>
        <v>-6.0154167567177952E-3</v>
      </c>
      <c r="T826" s="8">
        <v>0</v>
      </c>
      <c r="U826" s="8">
        <f>+VLOOKUP($B826,NIFTY_50!$B$63:$K$1238,10,0)</f>
        <v>-0.21428693446305491</v>
      </c>
      <c r="V826" s="8">
        <f>+VLOOKUP($B826,NIFTY_BANK!$B$63:$K$1238,10,0)</f>
        <v>-0.35077648156012431</v>
      </c>
      <c r="W826" s="8">
        <f>+VLOOKUP($B826,NIFTY_IT!$B$63:$K$1238,10,0)</f>
        <v>-0.17230493340556285</v>
      </c>
      <c r="X826" s="8">
        <f>+VLOOKUP($B826,NIFTY_PHARMA!$B$63:$K$1238,10,0)</f>
        <v>0.14816976360361722</v>
      </c>
      <c r="Y826" s="8">
        <f>+VLOOKUP($B826,NIFTY_FMCG!$B$63:$K$1238,10,0)</f>
        <v>-0.13736516479219851</v>
      </c>
      <c r="Z826" s="8">
        <f>+VLOOKUP($B826,NIFTY_METAL!$B$63:$K$1238,10,0)</f>
        <v>-0.32473764909695535</v>
      </c>
      <c r="AA826" s="8">
        <f>+VLOOKUP($B826,NIFTY_ENERGY!$B$63:$K$1238,10,0)</f>
        <v>-0.11519853790582602</v>
      </c>
      <c r="AB826" s="8">
        <f>+VLOOKUP($B826,NIFTY_AUTO!$B$63:$K$1238,10,0)</f>
        <v>-0.30911890440453915</v>
      </c>
      <c r="AC826" s="8">
        <f>+VLOOKUP($B826,EBBETF0430!$B$63:$K$1238,10,0)</f>
        <v>6.5655909872064155</v>
      </c>
      <c r="AD826" s="16">
        <f t="shared" si="447"/>
        <v>0.27190651996853782</v>
      </c>
      <c r="AE826" s="8">
        <f t="shared" si="448"/>
        <v>0.3359443916834553</v>
      </c>
      <c r="AF826" s="8">
        <f t="shared" si="449"/>
        <v>0.26542546345274787</v>
      </c>
      <c r="AG826" s="8">
        <f t="shared" si="450"/>
        <v>0.23033805031123053</v>
      </c>
      <c r="AH826" s="8">
        <f t="shared" si="451"/>
        <v>0.22815788150942348</v>
      </c>
      <c r="AI826" s="8">
        <f t="shared" si="452"/>
        <v>0.31283499696366601</v>
      </c>
      <c r="AJ826" s="8">
        <f t="shared" si="453"/>
        <v>0.26075705864372223</v>
      </c>
      <c r="AK826" s="8">
        <f t="shared" si="454"/>
        <v>0.297351758534809</v>
      </c>
      <c r="AL826" s="9">
        <v>0</v>
      </c>
      <c r="AM826" s="17">
        <f t="shared" si="431"/>
        <v>3.677734539486988</v>
      </c>
      <c r="AN826" s="13">
        <f t="shared" si="432"/>
        <v>2.9766831200511699</v>
      </c>
      <c r="AO826" s="13">
        <f t="shared" si="433"/>
        <v>3.7675360419141706</v>
      </c>
      <c r="AP826" s="13">
        <f t="shared" si="434"/>
        <v>4.3414451005763475</v>
      </c>
      <c r="AQ826" s="13">
        <f t="shared" si="435"/>
        <v>4.382929896544896</v>
      </c>
      <c r="AR826" s="13">
        <f t="shared" si="436"/>
        <v>3.1965733044763667</v>
      </c>
      <c r="AS826" s="13">
        <f t="shared" si="437"/>
        <v>3.8349872682308503</v>
      </c>
      <c r="AT826" s="13">
        <f t="shared" si="438"/>
        <v>3.3630202993500595</v>
      </c>
      <c r="AU826" s="9">
        <v>0</v>
      </c>
      <c r="AV826" s="18">
        <f t="shared" si="455"/>
        <v>5</v>
      </c>
      <c r="AW826" s="18">
        <f t="shared" si="456"/>
        <v>8</v>
      </c>
      <c r="AX826" s="18">
        <f t="shared" si="457"/>
        <v>4</v>
      </c>
      <c r="AY826" s="18">
        <f t="shared" si="458"/>
        <v>2</v>
      </c>
      <c r="AZ826" s="18">
        <f t="shared" si="459"/>
        <v>1</v>
      </c>
      <c r="BA826" s="18">
        <f t="shared" si="460"/>
        <v>7</v>
      </c>
      <c r="BB826" s="18">
        <f t="shared" si="461"/>
        <v>3</v>
      </c>
      <c r="BC826" s="18">
        <f t="shared" si="462"/>
        <v>6</v>
      </c>
      <c r="BD826" s="18">
        <f t="shared" si="463"/>
        <v>9</v>
      </c>
      <c r="BE826" s="8">
        <f t="shared" si="465"/>
        <v>-9.1234195312264316E-3</v>
      </c>
    </row>
    <row r="827" spans="1:57" x14ac:dyDescent="0.25">
      <c r="A827" t="str">
        <f t="shared" si="464"/>
        <v/>
      </c>
      <c r="B827" s="1">
        <v>43959</v>
      </c>
      <c r="C827" s="9">
        <f t="shared" si="439"/>
        <v>0</v>
      </c>
      <c r="D827" s="9">
        <f t="shared" si="440"/>
        <v>0</v>
      </c>
      <c r="E827" s="9">
        <f t="shared" si="441"/>
        <v>0.2457707850617169</v>
      </c>
      <c r="F827" s="9">
        <f t="shared" si="442"/>
        <v>0.25914482872343964</v>
      </c>
      <c r="G827" s="9">
        <f t="shared" si="443"/>
        <v>0.24146396969964876</v>
      </c>
      <c r="H827" s="9">
        <f t="shared" si="444"/>
        <v>0</v>
      </c>
      <c r="I827" s="9">
        <f t="shared" si="445"/>
        <v>0.25362041651519485</v>
      </c>
      <c r="J827" s="9">
        <f t="shared" si="446"/>
        <v>0</v>
      </c>
      <c r="K827" s="9">
        <v>0</v>
      </c>
      <c r="L827" s="8">
        <f>+VLOOKUP($B827,NIFTY_50!$B$3:$I$1238,8,0)</f>
        <v>5.701675716514254E-3</v>
      </c>
      <c r="M827" s="8">
        <f>+VLOOKUP($B827,NIFTY_BANK!$B$3:$I$41238,8,0)</f>
        <v>-7.12607352835537E-3</v>
      </c>
      <c r="N827" s="8">
        <f>+VLOOKUP($B827,NIFTY_IT!$B$3:$I$1238,8,0)</f>
        <v>8.3429250641329222E-3</v>
      </c>
      <c r="O827" s="8">
        <f>+VLOOKUP($B827,NIFTY_PHARMA!$B$3:$I$1238,8,0)</f>
        <v>2.1343229741694891E-2</v>
      </c>
      <c r="P827" s="8">
        <f>+VLOOKUP($B827,NIFTY_FMCG!$B$3:$I$1238,8,0)</f>
        <v>1.9244283371834703E-2</v>
      </c>
      <c r="Q827" s="8">
        <f>+VLOOKUP($B827,NIFTY_METAL!$B$3:$I$1238,8,0)</f>
        <v>-1.1205803426616701E-2</v>
      </c>
      <c r="R827" s="8">
        <f>+VLOOKUP($B827,NIFTY_ENERGY!$B$3:$I$1238,8,0)</f>
        <v>5.2457636366471938E-3</v>
      </c>
      <c r="S827" s="8">
        <f>+VLOOKUP($B827,NIFTY_AUTO!$B$3:$I$1238,8,0)</f>
        <v>-1.2909947454249004E-2</v>
      </c>
      <c r="T827" s="8">
        <v>0</v>
      </c>
      <c r="U827" s="8">
        <f>+VLOOKUP($B827,NIFTY_50!$B$63:$K$1238,10,0)</f>
        <v>-0.2277320288990079</v>
      </c>
      <c r="V827" s="8">
        <f>+VLOOKUP($B827,NIFTY_BANK!$B$63:$K$1238,10,0)</f>
        <v>-0.36933915996180755</v>
      </c>
      <c r="W827" s="8">
        <f>+VLOOKUP($B827,NIFTY_IT!$B$63:$K$1238,10,0)</f>
        <v>-0.18025056801328376</v>
      </c>
      <c r="X827" s="8">
        <f>+VLOOKUP($B827,NIFTY_PHARMA!$B$63:$K$1238,10,0)</f>
        <v>0.15031887126957555</v>
      </c>
      <c r="Y827" s="8">
        <f>+VLOOKUP($B827,NIFTY_FMCG!$B$63:$K$1238,10,0)</f>
        <v>-0.12959276606817594</v>
      </c>
      <c r="Z827" s="8">
        <f>+VLOOKUP($B827,NIFTY_METAL!$B$63:$K$1238,10,0)</f>
        <v>-0.35374385660595553</v>
      </c>
      <c r="AA827" s="8">
        <f>+VLOOKUP($B827,NIFTY_ENERGY!$B$63:$K$1238,10,0)</f>
        <v>-0.13756369618424735</v>
      </c>
      <c r="AB827" s="8">
        <f>+VLOOKUP($B827,NIFTY_AUTO!$B$63:$K$1238,10,0)</f>
        <v>-0.32750469089472645</v>
      </c>
      <c r="AC827" s="8">
        <f>+VLOOKUP($B827,EBBETF0430!$B$63:$K$1238,10,0)</f>
        <v>3.5666309396212936</v>
      </c>
      <c r="AD827" s="16">
        <f t="shared" si="447"/>
        <v>0.27074972553148663</v>
      </c>
      <c r="AE827" s="8">
        <f t="shared" si="448"/>
        <v>0.33473932532648759</v>
      </c>
      <c r="AF827" s="8">
        <f t="shared" si="449"/>
        <v>0.26484221498295463</v>
      </c>
      <c r="AG827" s="8">
        <f t="shared" si="450"/>
        <v>0.23048439402412912</v>
      </c>
      <c r="AH827" s="8">
        <f t="shared" si="451"/>
        <v>0.2288194912297353</v>
      </c>
      <c r="AI827" s="8">
        <f t="shared" si="452"/>
        <v>0.31042126386047753</v>
      </c>
      <c r="AJ827" s="8">
        <f t="shared" si="453"/>
        <v>0.25875632704760798</v>
      </c>
      <c r="AK827" s="8">
        <f t="shared" si="454"/>
        <v>0.29679635652906294</v>
      </c>
      <c r="AL827" s="9">
        <v>0</v>
      </c>
      <c r="AM827" s="17">
        <f t="shared" si="431"/>
        <v>3.6934478808315756</v>
      </c>
      <c r="AN827" s="13">
        <f t="shared" si="432"/>
        <v>2.987399221841208</v>
      </c>
      <c r="AO827" s="13">
        <f t="shared" si="433"/>
        <v>3.7758330939210749</v>
      </c>
      <c r="AP827" s="13">
        <f t="shared" si="434"/>
        <v>4.3386885443329026</v>
      </c>
      <c r="AQ827" s="13">
        <f t="shared" si="435"/>
        <v>4.3702570730567603</v>
      </c>
      <c r="AR827" s="13">
        <f t="shared" si="436"/>
        <v>3.2214288015058843</v>
      </c>
      <c r="AS827" s="13">
        <f t="shared" si="437"/>
        <v>3.8646397999613447</v>
      </c>
      <c r="AT827" s="13">
        <f t="shared" si="438"/>
        <v>3.3693135983698568</v>
      </c>
      <c r="AU827" s="9">
        <v>0</v>
      </c>
      <c r="AV827" s="18">
        <f t="shared" si="455"/>
        <v>5</v>
      </c>
      <c r="AW827" s="18">
        <f t="shared" si="456"/>
        <v>8</v>
      </c>
      <c r="AX827" s="18">
        <f t="shared" si="457"/>
        <v>4</v>
      </c>
      <c r="AY827" s="18">
        <f t="shared" si="458"/>
        <v>2</v>
      </c>
      <c r="AZ827" s="18">
        <f t="shared" si="459"/>
        <v>1</v>
      </c>
      <c r="BA827" s="18">
        <f t="shared" si="460"/>
        <v>7</v>
      </c>
      <c r="BB827" s="18">
        <f t="shared" si="461"/>
        <v>3</v>
      </c>
      <c r="BC827" s="18">
        <f t="shared" si="462"/>
        <v>6</v>
      </c>
      <c r="BD827" s="18">
        <f t="shared" si="463"/>
        <v>9</v>
      </c>
      <c r="BE827" s="8">
        <f t="shared" si="465"/>
        <v>1.3511571324984085E-2</v>
      </c>
    </row>
    <row r="828" spans="1:57" x14ac:dyDescent="0.25">
      <c r="A828" t="str">
        <f t="shared" si="464"/>
        <v/>
      </c>
      <c r="B828" s="1">
        <v>43962</v>
      </c>
      <c r="C828" s="9">
        <f t="shared" si="439"/>
        <v>0</v>
      </c>
      <c r="D828" s="9">
        <f t="shared" si="440"/>
        <v>0</v>
      </c>
      <c r="E828" s="9">
        <f t="shared" si="441"/>
        <v>0.24872790916689591</v>
      </c>
      <c r="F828" s="9">
        <f t="shared" si="442"/>
        <v>0.25760036498762534</v>
      </c>
      <c r="G828" s="9">
        <f t="shared" si="443"/>
        <v>0.24012617038427533</v>
      </c>
      <c r="H828" s="9">
        <f t="shared" si="444"/>
        <v>0</v>
      </c>
      <c r="I828" s="9">
        <f t="shared" si="445"/>
        <v>0.2535455554612035</v>
      </c>
      <c r="J828" s="9">
        <f t="shared" si="446"/>
        <v>0</v>
      </c>
      <c r="K828" s="9">
        <v>0</v>
      </c>
      <c r="L828" s="8">
        <f>+VLOOKUP($B828,NIFTY_50!$B$3:$I$1238,8,0)</f>
        <v>-1.3295141328432125E-3</v>
      </c>
      <c r="M828" s="8">
        <f>+VLOOKUP($B828,NIFTY_BANK!$B$3:$I$41238,8,0)</f>
        <v>-2.0792749407065658E-2</v>
      </c>
      <c r="N828" s="8">
        <f>+VLOOKUP($B828,NIFTY_IT!$B$3:$I$1238,8,0)</f>
        <v>1.4171565847981071E-2</v>
      </c>
      <c r="O828" s="8">
        <f>+VLOOKUP($B828,NIFTY_PHARMA!$B$3:$I$1238,8,0)</f>
        <v>-3.8583591538368101E-3</v>
      </c>
      <c r="P828" s="8">
        <f>+VLOOKUP($B828,NIFTY_FMCG!$B$3:$I$1238,8,0)</f>
        <v>-3.4379928101107016E-3</v>
      </c>
      <c r="Q828" s="8">
        <f>+VLOOKUP($B828,NIFTY_METAL!$B$3:$I$1238,8,0)</f>
        <v>1.2734484506874422E-2</v>
      </c>
      <c r="R828" s="8">
        <f>+VLOOKUP($B828,NIFTY_ENERGY!$B$3:$I$1238,8,0)</f>
        <v>1.8182946024951629E-3</v>
      </c>
      <c r="S828" s="8">
        <f>+VLOOKUP($B828,NIFTY_AUTO!$B$3:$I$1238,8,0)</f>
        <v>4.2577210775090579E-2</v>
      </c>
      <c r="T828" s="8">
        <v>0</v>
      </c>
      <c r="U828" s="8">
        <f>+VLOOKUP($B828,NIFTY_50!$B$63:$K$1238,10,0)</f>
        <v>-0.23574444853442955</v>
      </c>
      <c r="V828" s="8">
        <f>+VLOOKUP($B828,NIFTY_BANK!$B$63:$K$1238,10,0)</f>
        <v>-0.38873199911618461</v>
      </c>
      <c r="W828" s="8">
        <f>+VLOOKUP($B828,NIFTY_IT!$B$63:$K$1238,10,0)</f>
        <v>-0.1735715306212402</v>
      </c>
      <c r="X828" s="8">
        <f>+VLOOKUP($B828,NIFTY_PHARMA!$B$63:$K$1238,10,0)</f>
        <v>0.1454292606084473</v>
      </c>
      <c r="Y828" s="8">
        <f>+VLOOKUP($B828,NIFTY_FMCG!$B$63:$K$1238,10,0)</f>
        <v>-0.13792412330609294</v>
      </c>
      <c r="Z828" s="8">
        <f>+VLOOKUP($B828,NIFTY_METAL!$B$63:$K$1238,10,0)</f>
        <v>-0.36298491783597209</v>
      </c>
      <c r="AA828" s="8">
        <f>+VLOOKUP($B828,NIFTY_ENERGY!$B$63:$K$1238,10,0)</f>
        <v>-0.14431275932751186</v>
      </c>
      <c r="AB828" s="8">
        <f>+VLOOKUP($B828,NIFTY_AUTO!$B$63:$K$1238,10,0)</f>
        <v>-0.30153596418952988</v>
      </c>
      <c r="AC828" s="8">
        <f>+VLOOKUP($B828,EBBETF0430!$B$63:$K$1238,10,0)</f>
        <v>1.2756022991317111</v>
      </c>
      <c r="AD828" s="16">
        <f t="shared" si="447"/>
        <v>0.27045548889042398</v>
      </c>
      <c r="AE828" s="8">
        <f t="shared" si="448"/>
        <v>0.3345929832611052</v>
      </c>
      <c r="AF828" s="8">
        <f t="shared" si="449"/>
        <v>0.26523430370874562</v>
      </c>
      <c r="AG828" s="8">
        <f t="shared" si="450"/>
        <v>0.23056612825095285</v>
      </c>
      <c r="AH828" s="8">
        <f t="shared" si="451"/>
        <v>0.22868064402046603</v>
      </c>
      <c r="AI828" s="8">
        <f t="shared" si="452"/>
        <v>0.30916317388383907</v>
      </c>
      <c r="AJ828" s="8">
        <f t="shared" si="453"/>
        <v>0.2585209773485253</v>
      </c>
      <c r="AK828" s="8">
        <f t="shared" si="454"/>
        <v>0.30051226674691794</v>
      </c>
      <c r="AL828" s="9">
        <v>0</v>
      </c>
      <c r="AM828" s="17">
        <f t="shared" si="431"/>
        <v>3.6974660935986905</v>
      </c>
      <c r="AN828" s="13">
        <f t="shared" si="432"/>
        <v>2.9887058307484988</v>
      </c>
      <c r="AO828" s="13">
        <f t="shared" si="433"/>
        <v>3.7702513815788405</v>
      </c>
      <c r="AP828" s="13">
        <f t="shared" si="434"/>
        <v>4.3371505068237068</v>
      </c>
      <c r="AQ828" s="13">
        <f t="shared" si="435"/>
        <v>4.372910546423439</v>
      </c>
      <c r="AR828" s="13">
        <f t="shared" si="436"/>
        <v>3.2345378896120627</v>
      </c>
      <c r="AS828" s="13">
        <f t="shared" si="437"/>
        <v>3.8681580514522387</v>
      </c>
      <c r="AT828" s="13">
        <f t="shared" si="438"/>
        <v>3.3276511831783853</v>
      </c>
      <c r="AU828" s="9">
        <v>0</v>
      </c>
      <c r="AV828" s="18">
        <f t="shared" si="455"/>
        <v>5</v>
      </c>
      <c r="AW828" s="18">
        <f t="shared" si="456"/>
        <v>8</v>
      </c>
      <c r="AX828" s="18">
        <f t="shared" si="457"/>
        <v>4</v>
      </c>
      <c r="AY828" s="18">
        <f t="shared" si="458"/>
        <v>2</v>
      </c>
      <c r="AZ828" s="18">
        <f t="shared" si="459"/>
        <v>1</v>
      </c>
      <c r="BA828" s="18">
        <f t="shared" si="460"/>
        <v>7</v>
      </c>
      <c r="BB828" s="18">
        <f t="shared" si="461"/>
        <v>3</v>
      </c>
      <c r="BC828" s="18">
        <f t="shared" si="462"/>
        <v>6</v>
      </c>
      <c r="BD828" s="18">
        <f t="shared" si="463"/>
        <v>9</v>
      </c>
      <c r="BE828" s="8">
        <f t="shared" si="465"/>
        <v>2.1140882846415413E-3</v>
      </c>
    </row>
    <row r="829" spans="1:57" x14ac:dyDescent="0.25">
      <c r="A829" t="str">
        <f t="shared" si="464"/>
        <v/>
      </c>
      <c r="B829" s="1">
        <v>43963</v>
      </c>
      <c r="C829" s="9">
        <f t="shared" si="439"/>
        <v>0</v>
      </c>
      <c r="D829" s="9">
        <f t="shared" si="440"/>
        <v>0</v>
      </c>
      <c r="E829" s="9">
        <f t="shared" si="441"/>
        <v>0.25127291307143146</v>
      </c>
      <c r="F829" s="9">
        <f t="shared" si="442"/>
        <v>0.25676106042677888</v>
      </c>
      <c r="G829" s="9">
        <f t="shared" si="443"/>
        <v>0.24262425231826892</v>
      </c>
      <c r="H829" s="9">
        <f t="shared" si="444"/>
        <v>0</v>
      </c>
      <c r="I829" s="9">
        <f t="shared" si="445"/>
        <v>0.2493417741835208</v>
      </c>
      <c r="J829" s="9">
        <f t="shared" si="446"/>
        <v>0</v>
      </c>
      <c r="K829" s="9">
        <v>0</v>
      </c>
      <c r="L829" s="8">
        <f>+VLOOKUP($B829,NIFTY_50!$B$3:$I$1238,8,0)</f>
        <v>-4.6162005368431958E-3</v>
      </c>
      <c r="M829" s="8">
        <f>+VLOOKUP($B829,NIFTY_BANK!$B$3:$I$41238,8,0)</f>
        <v>-4.6252077781590017E-3</v>
      </c>
      <c r="N829" s="8">
        <f>+VLOOKUP($B829,NIFTY_IT!$B$3:$I$1238,8,0)</f>
        <v>6.9297571274611336E-3</v>
      </c>
      <c r="O829" s="8">
        <f>+VLOOKUP($B829,NIFTY_PHARMA!$B$3:$I$1238,8,0)</f>
        <v>-6.5163903602548645E-3</v>
      </c>
      <c r="P829" s="8">
        <f>+VLOOKUP($B829,NIFTY_FMCG!$B$3:$I$1238,8,0)</f>
        <v>7.100323236262529E-3</v>
      </c>
      <c r="Q829" s="8">
        <f>+VLOOKUP($B829,NIFTY_METAL!$B$3:$I$1238,8,0)</f>
        <v>1.157311973614461E-2</v>
      </c>
      <c r="R829" s="8">
        <f>+VLOOKUP($B829,NIFTY_ENERGY!$B$3:$I$1238,8,0)</f>
        <v>-1.9794661826681548E-2</v>
      </c>
      <c r="S829" s="8">
        <f>+VLOOKUP($B829,NIFTY_AUTO!$B$3:$I$1238,8,0)</f>
        <v>5.149919890135024E-3</v>
      </c>
      <c r="T829" s="8">
        <v>0</v>
      </c>
      <c r="U829" s="8">
        <f>+VLOOKUP($B829,NIFTY_50!$B$63:$K$1238,10,0)</f>
        <v>-0.24233087135801357</v>
      </c>
      <c r="V829" s="8">
        <f>+VLOOKUP($B829,NIFTY_BANK!$B$63:$K$1238,10,0)</f>
        <v>-0.39743100333662895</v>
      </c>
      <c r="W829" s="8">
        <f>+VLOOKUP($B829,NIFTY_IT!$B$63:$K$1238,10,0)</f>
        <v>-0.16391029341249697</v>
      </c>
      <c r="X829" s="8">
        <f>+VLOOKUP($B829,NIFTY_PHARMA!$B$63:$K$1238,10,0)</f>
        <v>0.12381652669575471</v>
      </c>
      <c r="Y829" s="8">
        <f>+VLOOKUP($B829,NIFTY_FMCG!$B$63:$K$1238,10,0)</f>
        <v>-0.12621597704365473</v>
      </c>
      <c r="Z829" s="8">
        <f>+VLOOKUP($B829,NIFTY_METAL!$B$63:$K$1238,10,0)</f>
        <v>-0.36120874012087401</v>
      </c>
      <c r="AA829" s="8">
        <f>+VLOOKUP($B829,NIFTY_ENERGY!$B$63:$K$1238,10,0)</f>
        <v>-0.16839146879596556</v>
      </c>
      <c r="AB829" s="8">
        <f>+VLOOKUP($B829,NIFTY_AUTO!$B$63:$K$1238,10,0)</f>
        <v>-0.29883998698132552</v>
      </c>
      <c r="AC829" s="8">
        <f>+VLOOKUP($B829,EBBETF0430!$B$63:$K$1238,10,0)</f>
        <v>2.1209321982732598</v>
      </c>
      <c r="AD829" s="16">
        <f t="shared" si="447"/>
        <v>0.27034136947878806</v>
      </c>
      <c r="AE829" s="8">
        <f t="shared" si="448"/>
        <v>0.33417319721696542</v>
      </c>
      <c r="AF829" s="8">
        <f t="shared" si="449"/>
        <v>0.26539019970478778</v>
      </c>
      <c r="AG829" s="8">
        <f t="shared" si="450"/>
        <v>0.23052225063496198</v>
      </c>
      <c r="AH829" s="8">
        <f t="shared" si="451"/>
        <v>0.22881288664200383</v>
      </c>
      <c r="AI829" s="8">
        <f t="shared" si="452"/>
        <v>0.30931518352489196</v>
      </c>
      <c r="AJ829" s="8">
        <f t="shared" si="453"/>
        <v>0.25889092654747897</v>
      </c>
      <c r="AK829" s="8">
        <f t="shared" si="454"/>
        <v>0.3006190197814434</v>
      </c>
      <c r="AL829" s="9">
        <v>0</v>
      </c>
      <c r="AM829" s="17">
        <f t="shared" si="431"/>
        <v>3.6990269078239004</v>
      </c>
      <c r="AN829" s="13">
        <f t="shared" si="432"/>
        <v>2.9924602222084844</v>
      </c>
      <c r="AO829" s="13">
        <f t="shared" si="433"/>
        <v>3.7680366536231196</v>
      </c>
      <c r="AP829" s="13">
        <f t="shared" si="434"/>
        <v>4.3379760402544658</v>
      </c>
      <c r="AQ829" s="13">
        <f t="shared" si="435"/>
        <v>4.3703832186889908</v>
      </c>
      <c r="AR829" s="13">
        <f t="shared" si="436"/>
        <v>3.2329483105362189</v>
      </c>
      <c r="AS829" s="13">
        <f t="shared" si="437"/>
        <v>3.8626305422743594</v>
      </c>
      <c r="AT829" s="13">
        <f t="shared" si="438"/>
        <v>3.3264694985933421</v>
      </c>
      <c r="AU829" s="9">
        <v>0</v>
      </c>
      <c r="AV829" s="18">
        <f t="shared" si="455"/>
        <v>5</v>
      </c>
      <c r="AW829" s="18">
        <f t="shared" si="456"/>
        <v>8</v>
      </c>
      <c r="AX829" s="18">
        <f t="shared" si="457"/>
        <v>4</v>
      </c>
      <c r="AY829" s="18">
        <f t="shared" si="458"/>
        <v>2</v>
      </c>
      <c r="AZ829" s="18">
        <f t="shared" si="459"/>
        <v>1</v>
      </c>
      <c r="BA829" s="18">
        <f t="shared" si="460"/>
        <v>7</v>
      </c>
      <c r="BB829" s="18">
        <f t="shared" si="461"/>
        <v>3</v>
      </c>
      <c r="BC829" s="18">
        <f t="shared" si="462"/>
        <v>6</v>
      </c>
      <c r="BD829" s="18">
        <f t="shared" si="463"/>
        <v>9</v>
      </c>
      <c r="BE829" s="8">
        <f t="shared" si="465"/>
        <v>-3.2688756346541427E-3</v>
      </c>
    </row>
    <row r="830" spans="1:57" x14ac:dyDescent="0.25">
      <c r="A830" t="str">
        <f t="shared" si="464"/>
        <v/>
      </c>
      <c r="B830" s="1">
        <v>43964</v>
      </c>
      <c r="C830" s="9">
        <f t="shared" si="439"/>
        <v>0</v>
      </c>
      <c r="D830" s="9">
        <f t="shared" si="440"/>
        <v>0</v>
      </c>
      <c r="E830" s="9">
        <f t="shared" si="441"/>
        <v>0.25221538409616528</v>
      </c>
      <c r="F830" s="9">
        <f t="shared" si="442"/>
        <v>0.25331675109868879</v>
      </c>
      <c r="G830" s="9">
        <f t="shared" si="443"/>
        <v>0.24096064946915022</v>
      </c>
      <c r="H830" s="9">
        <f t="shared" si="444"/>
        <v>0</v>
      </c>
      <c r="I830" s="9">
        <f t="shared" si="445"/>
        <v>0.25350721533599574</v>
      </c>
      <c r="J830" s="9">
        <f t="shared" si="446"/>
        <v>0</v>
      </c>
      <c r="K830" s="9">
        <v>0</v>
      </c>
      <c r="L830" s="8">
        <f>+VLOOKUP($B830,NIFTY_50!$B$3:$I$1238,8,0)</f>
        <v>2.0333712098558721E-2</v>
      </c>
      <c r="M830" s="8">
        <f>+VLOOKUP($B830,NIFTY_BANK!$B$3:$I$41238,8,0)</f>
        <v>4.0932308744436874E-2</v>
      </c>
      <c r="N830" s="8">
        <f>+VLOOKUP($B830,NIFTY_IT!$B$3:$I$1238,8,0)</f>
        <v>6.5167759492978927E-3</v>
      </c>
      <c r="O830" s="8">
        <f>+VLOOKUP($B830,NIFTY_PHARMA!$B$3:$I$1238,8,0)</f>
        <v>-1.0695765493448972E-2</v>
      </c>
      <c r="P830" s="8">
        <f>+VLOOKUP($B830,NIFTY_FMCG!$B$3:$I$1238,8,0)</f>
        <v>-4.119945712780404E-3</v>
      </c>
      <c r="Q830" s="8">
        <f>+VLOOKUP($B830,NIFTY_METAL!$B$3:$I$1238,8,0)</f>
        <v>2.5064772495706045E-2</v>
      </c>
      <c r="R830" s="8">
        <f>+VLOOKUP($B830,NIFTY_ENERGY!$B$3:$I$1238,8,0)</f>
        <v>1.9507438173146818E-2</v>
      </c>
      <c r="S830" s="8">
        <f>+VLOOKUP($B830,NIFTY_AUTO!$B$3:$I$1238,8,0)</f>
        <v>2.3760936774713581E-2</v>
      </c>
      <c r="T830" s="8">
        <v>0</v>
      </c>
      <c r="U830" s="8">
        <f>+VLOOKUP($B830,NIFTY_50!$B$63:$K$1238,10,0)</f>
        <v>-0.22439423557757887</v>
      </c>
      <c r="V830" s="8">
        <f>+VLOOKUP($B830,NIFTY_BANK!$B$63:$K$1238,10,0)</f>
        <v>-0.37071400986156311</v>
      </c>
      <c r="W830" s="8">
        <f>+VLOOKUP($B830,NIFTY_IT!$B$63:$K$1238,10,0)</f>
        <v>-0.1635200650874461</v>
      </c>
      <c r="X830" s="8">
        <f>+VLOOKUP($B830,NIFTY_PHARMA!$B$63:$K$1238,10,0)</f>
        <v>9.6609265330831917E-2</v>
      </c>
      <c r="Y830" s="8">
        <f>+VLOOKUP($B830,NIFTY_FMCG!$B$63:$K$1238,10,0)</f>
        <v>-0.13187490871322161</v>
      </c>
      <c r="Z830" s="8">
        <f>+VLOOKUP($B830,NIFTY_METAL!$B$63:$K$1238,10,0)</f>
        <v>-0.350523830603512</v>
      </c>
      <c r="AA830" s="8">
        <f>+VLOOKUP($B830,NIFTY_ENERGY!$B$63:$K$1238,10,0)</f>
        <v>-0.15000049374751068</v>
      </c>
      <c r="AB830" s="8">
        <f>+VLOOKUP($B830,NIFTY_AUTO!$B$63:$K$1238,10,0)</f>
        <v>-0.27527713711777402</v>
      </c>
      <c r="AC830" s="8">
        <f>+VLOOKUP($B830,EBBETF0430!$B$63:$K$1238,10,0)</f>
        <v>0.95231598778665627</v>
      </c>
      <c r="AD830" s="16">
        <f t="shared" si="447"/>
        <v>0.27141013748593051</v>
      </c>
      <c r="AE830" s="8">
        <f t="shared" si="448"/>
        <v>0.33756791443274736</v>
      </c>
      <c r="AF830" s="8">
        <f t="shared" si="449"/>
        <v>0.2654054602470779</v>
      </c>
      <c r="AG830" s="8">
        <f t="shared" si="450"/>
        <v>0.23058322683717664</v>
      </c>
      <c r="AH830" s="8">
        <f t="shared" si="451"/>
        <v>0.22878573101418612</v>
      </c>
      <c r="AI830" s="8">
        <f t="shared" si="452"/>
        <v>0.31056755323654467</v>
      </c>
      <c r="AJ830" s="8">
        <f t="shared" si="453"/>
        <v>0.25980625731656598</v>
      </c>
      <c r="AK830" s="8">
        <f t="shared" si="454"/>
        <v>0.30193356451378212</v>
      </c>
      <c r="AL830" s="9">
        <v>0</v>
      </c>
      <c r="AM830" s="17">
        <f t="shared" si="431"/>
        <v>3.6844607547197401</v>
      </c>
      <c r="AN830" s="13">
        <f t="shared" si="432"/>
        <v>2.9623668519575101</v>
      </c>
      <c r="AO830" s="13">
        <f t="shared" si="433"/>
        <v>3.7678199953725704</v>
      </c>
      <c r="AP830" s="13">
        <f t="shared" si="434"/>
        <v>4.3368288913145321</v>
      </c>
      <c r="AQ830" s="13">
        <f t="shared" si="435"/>
        <v>4.3709019595194682</v>
      </c>
      <c r="AR830" s="13">
        <f t="shared" si="436"/>
        <v>3.2199113834610635</v>
      </c>
      <c r="AS830" s="13">
        <f t="shared" si="437"/>
        <v>3.8490219994260206</v>
      </c>
      <c r="AT830" s="13">
        <f t="shared" si="438"/>
        <v>3.3119868657542173</v>
      </c>
      <c r="AU830" s="9">
        <v>0</v>
      </c>
      <c r="AV830" s="18">
        <f t="shared" si="455"/>
        <v>5</v>
      </c>
      <c r="AW830" s="18">
        <f t="shared" si="456"/>
        <v>8</v>
      </c>
      <c r="AX830" s="18">
        <f t="shared" si="457"/>
        <v>4</v>
      </c>
      <c r="AY830" s="18">
        <f t="shared" si="458"/>
        <v>2</v>
      </c>
      <c r="AZ830" s="18">
        <f t="shared" si="459"/>
        <v>1</v>
      </c>
      <c r="BA830" s="18">
        <f t="shared" si="460"/>
        <v>7</v>
      </c>
      <c r="BB830" s="18">
        <f t="shared" si="461"/>
        <v>3</v>
      </c>
      <c r="BC830" s="18">
        <f t="shared" si="462"/>
        <v>6</v>
      </c>
      <c r="BD830" s="18">
        <f t="shared" si="463"/>
        <v>9</v>
      </c>
      <c r="BE830" s="8">
        <f t="shared" si="465"/>
        <v>2.7556536821523813E-3</v>
      </c>
    </row>
    <row r="831" spans="1:57" x14ac:dyDescent="0.25">
      <c r="A831" t="str">
        <f t="shared" si="464"/>
        <v/>
      </c>
      <c r="B831" s="1">
        <v>43965</v>
      </c>
      <c r="C831" s="9">
        <f t="shared" si="439"/>
        <v>0</v>
      </c>
      <c r="D831" s="9">
        <f t="shared" si="440"/>
        <v>0</v>
      </c>
      <c r="E831" s="9">
        <f t="shared" si="441"/>
        <v>0.24703473235910653</v>
      </c>
      <c r="F831" s="9">
        <f t="shared" si="442"/>
        <v>0.25781914153395474</v>
      </c>
      <c r="G831" s="9">
        <f t="shared" si="443"/>
        <v>0.24630112646830191</v>
      </c>
      <c r="H831" s="9">
        <f t="shared" si="444"/>
        <v>0</v>
      </c>
      <c r="I831" s="9">
        <f t="shared" si="445"/>
        <v>0.24884499963863677</v>
      </c>
      <c r="J831" s="9">
        <f t="shared" si="446"/>
        <v>0</v>
      </c>
      <c r="K831" s="9">
        <v>0</v>
      </c>
      <c r="L831" s="8">
        <f>+VLOOKUP($B831,NIFTY_50!$B$3:$I$1238,8,0)</f>
        <v>-2.5661929653489235E-2</v>
      </c>
      <c r="M831" s="8">
        <f>+VLOOKUP($B831,NIFTY_BANK!$B$3:$I$41238,8,0)</f>
        <v>-2.8849067606487422E-2</v>
      </c>
      <c r="N831" s="8">
        <f>+VLOOKUP($B831,NIFTY_IT!$B$3:$I$1238,8,0)</f>
        <v>-3.5073074954906636E-2</v>
      </c>
      <c r="O831" s="8">
        <f>+VLOOKUP($B831,NIFTY_PHARMA!$B$3:$I$1238,8,0)</f>
        <v>2.6727883905879324E-3</v>
      </c>
      <c r="P831" s="8">
        <f>+VLOOKUP($B831,NIFTY_FMCG!$B$3:$I$1238,8,0)</f>
        <v>6.9971772007553223E-3</v>
      </c>
      <c r="Q831" s="8">
        <f>+VLOOKUP($B831,NIFTY_METAL!$B$3:$I$1238,8,0)</f>
        <v>-2.5871861865273127E-2</v>
      </c>
      <c r="R831" s="8">
        <f>+VLOOKUP($B831,NIFTY_ENERGY!$B$3:$I$1238,8,0)</f>
        <v>-3.2955245150622092E-2</v>
      </c>
      <c r="S831" s="8">
        <f>+VLOOKUP($B831,NIFTY_AUTO!$B$3:$I$1238,8,0)</f>
        <v>-6.9380282654074588E-3</v>
      </c>
      <c r="T831" s="8">
        <v>0</v>
      </c>
      <c r="U831" s="8">
        <f>+VLOOKUP($B831,NIFTY_50!$B$63:$K$1238,10,0)</f>
        <v>-0.24009890703569792</v>
      </c>
      <c r="V831" s="8">
        <f>+VLOOKUP($B831,NIFTY_BANK!$B$63:$K$1238,10,0)</f>
        <v>-0.38603876921194602</v>
      </c>
      <c r="W831" s="8">
        <f>+VLOOKUP($B831,NIFTY_IT!$B$63:$K$1238,10,0)</f>
        <v>-0.19098159378527813</v>
      </c>
      <c r="X831" s="8">
        <f>+VLOOKUP($B831,NIFTY_PHARMA!$B$63:$K$1238,10,0)</f>
        <v>0.11026781661370877</v>
      </c>
      <c r="Y831" s="8">
        <f>+VLOOKUP($B831,NIFTY_FMCG!$B$63:$K$1238,10,0)</f>
        <v>-0.11775245713424687</v>
      </c>
      <c r="Z831" s="8">
        <f>+VLOOKUP($B831,NIFTY_METAL!$B$63:$K$1238,10,0)</f>
        <v>-0.34761687397770935</v>
      </c>
      <c r="AA831" s="8">
        <f>+VLOOKUP($B831,NIFTY_ENERGY!$B$63:$K$1238,10,0)</f>
        <v>-0.16901600612292433</v>
      </c>
      <c r="AB831" s="8">
        <f>+VLOOKUP($B831,NIFTY_AUTO!$B$63:$K$1238,10,0)</f>
        <v>-0.2616229144271075</v>
      </c>
      <c r="AC831" s="8">
        <f>+VLOOKUP($B831,EBBETF0430!$B$63:$K$1238,10,0)</f>
        <v>-0.11262331387155222</v>
      </c>
      <c r="AD831" s="16">
        <f t="shared" si="447"/>
        <v>0.27229074770251804</v>
      </c>
      <c r="AE831" s="8">
        <f t="shared" si="448"/>
        <v>0.3382800943224602</v>
      </c>
      <c r="AF831" s="8">
        <f t="shared" si="449"/>
        <v>0.2673835251511279</v>
      </c>
      <c r="AG831" s="8">
        <f t="shared" si="450"/>
        <v>0.23028645927016125</v>
      </c>
      <c r="AH831" s="8">
        <f t="shared" si="451"/>
        <v>0.22883432413040794</v>
      </c>
      <c r="AI831" s="8">
        <f t="shared" si="452"/>
        <v>0.31026227636636733</v>
      </c>
      <c r="AJ831" s="8">
        <f t="shared" si="453"/>
        <v>0.26147091088160029</v>
      </c>
      <c r="AK831" s="8">
        <f t="shared" si="454"/>
        <v>0.3012172635661875</v>
      </c>
      <c r="AL831" s="9">
        <v>0</v>
      </c>
      <c r="AM831" s="17">
        <f t="shared" si="431"/>
        <v>3.6725449117812694</v>
      </c>
      <c r="AN831" s="13">
        <f t="shared" si="432"/>
        <v>2.9561301914701659</v>
      </c>
      <c r="AO831" s="13">
        <f t="shared" si="433"/>
        <v>3.7399462043698835</v>
      </c>
      <c r="AP831" s="13">
        <f t="shared" si="434"/>
        <v>4.3424177138736892</v>
      </c>
      <c r="AQ831" s="13">
        <f t="shared" si="435"/>
        <v>4.3699737956711457</v>
      </c>
      <c r="AR831" s="13">
        <f t="shared" si="436"/>
        <v>3.2230795561467773</v>
      </c>
      <c r="AS831" s="13">
        <f t="shared" si="437"/>
        <v>3.8245172154267735</v>
      </c>
      <c r="AT831" s="13">
        <f t="shared" si="438"/>
        <v>3.3198628397348369</v>
      </c>
      <c r="AU831" s="9">
        <v>0</v>
      </c>
      <c r="AV831" s="18">
        <f t="shared" si="455"/>
        <v>5</v>
      </c>
      <c r="AW831" s="18">
        <f t="shared" si="456"/>
        <v>8</v>
      </c>
      <c r="AX831" s="18">
        <f t="shared" si="457"/>
        <v>4</v>
      </c>
      <c r="AY831" s="18">
        <f t="shared" si="458"/>
        <v>2</v>
      </c>
      <c r="AZ831" s="18">
        <f t="shared" si="459"/>
        <v>1</v>
      </c>
      <c r="BA831" s="18">
        <f t="shared" si="460"/>
        <v>7</v>
      </c>
      <c r="BB831" s="18">
        <f t="shared" si="461"/>
        <v>3</v>
      </c>
      <c r="BC831" s="18">
        <f t="shared" si="462"/>
        <v>6</v>
      </c>
      <c r="BD831" s="18">
        <f t="shared" si="463"/>
        <v>9</v>
      </c>
      <c r="BE831" s="8">
        <f t="shared" si="465"/>
        <v>-1.4837255065811896E-2</v>
      </c>
    </row>
    <row r="832" spans="1:57" x14ac:dyDescent="0.25">
      <c r="A832" t="str">
        <f t="shared" si="464"/>
        <v/>
      </c>
      <c r="B832" s="1">
        <v>43966</v>
      </c>
      <c r="C832" s="9">
        <f t="shared" si="439"/>
        <v>0</v>
      </c>
      <c r="D832" s="9">
        <f t="shared" si="440"/>
        <v>0</v>
      </c>
      <c r="E832" s="9">
        <f t="shared" si="441"/>
        <v>0.24552593783858567</v>
      </c>
      <c r="F832" s="9">
        <f t="shared" si="442"/>
        <v>0.25590682892843897</v>
      </c>
      <c r="G832" s="9">
        <f t="shared" si="443"/>
        <v>0.2468325150760563</v>
      </c>
      <c r="H832" s="9">
        <f t="shared" si="444"/>
        <v>0</v>
      </c>
      <c r="I832" s="9">
        <f t="shared" si="445"/>
        <v>0.251734718156919</v>
      </c>
      <c r="J832" s="9">
        <f t="shared" si="446"/>
        <v>0</v>
      </c>
      <c r="K832" s="9">
        <v>0</v>
      </c>
      <c r="L832" s="8">
        <f>+VLOOKUP($B832,NIFTY_50!$B$3:$I$1238,8,0)</f>
        <v>-6.4532006234441219E-4</v>
      </c>
      <c r="M832" s="8">
        <f>+VLOOKUP($B832,NIFTY_BANK!$B$3:$I$41238,8,0)</f>
        <v>-1.2300390696698749E-2</v>
      </c>
      <c r="N832" s="8">
        <f>+VLOOKUP($B832,NIFTY_IT!$B$3:$I$1238,8,0)</f>
        <v>-7.3267512929007239E-3</v>
      </c>
      <c r="O832" s="8">
        <f>+VLOOKUP($B832,NIFTY_PHARMA!$B$3:$I$1238,8,0)</f>
        <v>-8.6347877281350849E-3</v>
      </c>
      <c r="P832" s="8">
        <f>+VLOOKUP($B832,NIFTY_FMCG!$B$3:$I$1238,8,0)</f>
        <v>9.2820690845840659E-4</v>
      </c>
      <c r="Q832" s="8">
        <f>+VLOOKUP($B832,NIFTY_METAL!$B$3:$I$1238,8,0)</f>
        <v>1.6063671613072428E-2</v>
      </c>
      <c r="R832" s="8">
        <f>+VLOOKUP($B832,NIFTY_ENERGY!$B$3:$I$1238,8,0)</f>
        <v>1.0371657743303508E-2</v>
      </c>
      <c r="S832" s="8">
        <f>+VLOOKUP($B832,NIFTY_AUTO!$B$3:$I$1238,8,0)</f>
        <v>-1.0053324833521504E-2</v>
      </c>
      <c r="T832" s="8">
        <v>0</v>
      </c>
      <c r="U832" s="8">
        <f>+VLOOKUP($B832,NIFTY_50!$B$63:$K$1238,10,0)</f>
        <v>-0.24538111480933933</v>
      </c>
      <c r="V832" s="8">
        <f>+VLOOKUP($B832,NIFTY_BANK!$B$63:$K$1238,10,0)</f>
        <v>-0.39828789224487704</v>
      </c>
      <c r="W832" s="8">
        <f>+VLOOKUP($B832,NIFTY_IT!$B$63:$K$1238,10,0)</f>
        <v>-0.19790242093810584</v>
      </c>
      <c r="X832" s="8">
        <f>+VLOOKUP($B832,NIFTY_PHARMA!$B$63:$K$1238,10,0)</f>
        <v>9.2298174698035362E-2</v>
      </c>
      <c r="Y832" s="8">
        <f>+VLOOKUP($B832,NIFTY_FMCG!$B$63:$K$1238,10,0)</f>
        <v>-0.11362653729875993</v>
      </c>
      <c r="Z832" s="8">
        <f>+VLOOKUP($B832,NIFTY_METAL!$B$63:$K$1238,10,0)</f>
        <v>-0.34284906194022824</v>
      </c>
      <c r="AA832" s="8">
        <f>+VLOOKUP($B832,NIFTY_ENERGY!$B$63:$K$1238,10,0)</f>
        <v>-0.17185864003229734</v>
      </c>
      <c r="AB832" s="8">
        <f>+VLOOKUP($B832,NIFTY_AUTO!$B$63:$K$1238,10,0)</f>
        <v>-0.27199584410318789</v>
      </c>
      <c r="AC832" s="8">
        <f>+VLOOKUP($B832,EBBETF0430!$B$63:$K$1238,10,0)</f>
        <v>-0.43702277294038849</v>
      </c>
      <c r="AD832" s="16">
        <f t="shared" si="447"/>
        <v>0.27211651406324139</v>
      </c>
      <c r="AE832" s="8">
        <f t="shared" si="448"/>
        <v>0.33798770072417916</v>
      </c>
      <c r="AF832" s="8">
        <f t="shared" si="449"/>
        <v>0.26738664438357651</v>
      </c>
      <c r="AG832" s="8">
        <f t="shared" si="450"/>
        <v>0.23046323379810393</v>
      </c>
      <c r="AH832" s="8">
        <f t="shared" si="451"/>
        <v>0.22883800088953316</v>
      </c>
      <c r="AI832" s="8">
        <f t="shared" si="452"/>
        <v>0.31070134413066341</v>
      </c>
      <c r="AJ832" s="8">
        <f t="shared" si="453"/>
        <v>0.2612771880172039</v>
      </c>
      <c r="AK832" s="8">
        <f t="shared" si="454"/>
        <v>0.30115539223986371</v>
      </c>
      <c r="AL832" s="9">
        <v>0</v>
      </c>
      <c r="AM832" s="17">
        <f t="shared" ref="AM832:AM895" si="466">1/AD832</f>
        <v>3.6748964076748183</v>
      </c>
      <c r="AN832" s="13">
        <f t="shared" ref="AN832:AN895" si="467">1/AE832</f>
        <v>2.9586875435330344</v>
      </c>
      <c r="AO832" s="13">
        <f t="shared" ref="AO832:AO895" si="468">1/AF832</f>
        <v>3.7399025755581912</v>
      </c>
      <c r="AP832" s="13">
        <f t="shared" ref="AP832:AP895" si="469">1/AG832</f>
        <v>4.339086905619161</v>
      </c>
      <c r="AQ832" s="13">
        <f t="shared" ref="AQ832:AQ895" si="470">1/AH832</f>
        <v>4.369903582940009</v>
      </c>
      <c r="AR832" s="13">
        <f t="shared" ref="AR832:AR895" si="471">1/AI832</f>
        <v>3.2185248596139209</v>
      </c>
      <c r="AS832" s="13">
        <f t="shared" ref="AS832:AS895" si="472">1/AJ832</f>
        <v>3.8273528875171245</v>
      </c>
      <c r="AT832" s="13">
        <f t="shared" ref="AT832:AT895" si="473">1/AK832</f>
        <v>3.3205448939912117</v>
      </c>
      <c r="AU832" s="9">
        <v>0</v>
      </c>
      <c r="AV832" s="18">
        <f t="shared" si="455"/>
        <v>5</v>
      </c>
      <c r="AW832" s="18">
        <f t="shared" si="456"/>
        <v>8</v>
      </c>
      <c r="AX832" s="18">
        <f t="shared" si="457"/>
        <v>4</v>
      </c>
      <c r="AY832" s="18">
        <f t="shared" si="458"/>
        <v>2</v>
      </c>
      <c r="AZ832" s="18">
        <f t="shared" si="459"/>
        <v>1</v>
      </c>
      <c r="BA832" s="18">
        <f t="shared" si="460"/>
        <v>7</v>
      </c>
      <c r="BB832" s="18">
        <f t="shared" si="461"/>
        <v>3</v>
      </c>
      <c r="BC832" s="18">
        <f t="shared" si="462"/>
        <v>6</v>
      </c>
      <c r="BD832" s="18">
        <f t="shared" si="463"/>
        <v>9</v>
      </c>
      <c r="BE832" s="8">
        <f t="shared" si="465"/>
        <v>-1.2266220295657922E-3</v>
      </c>
    </row>
    <row r="833" spans="1:57" x14ac:dyDescent="0.25">
      <c r="A833" t="str">
        <f t="shared" si="464"/>
        <v/>
      </c>
      <c r="B833" s="1">
        <v>43969</v>
      </c>
      <c r="C833" s="9">
        <f t="shared" ref="C833:C896" si="474">+IF($A833="Y",IF(AV833&lt;=4,0.25,0),C832*(1+L833)/SUMPRODUCT($C832:$J832,1+$L833:$S833))</f>
        <v>0</v>
      </c>
      <c r="D833" s="9">
        <f t="shared" ref="D833:D896" si="475">+IF($A833="Y",IF(AW833&lt;=4,0.25,0),D832*(1+M833)/SUMPRODUCT($C832:$J832,1+$L833:$S833))</f>
        <v>0</v>
      </c>
      <c r="E833" s="9">
        <f t="shared" ref="E833:E896" si="476">+IF($A833="Y",IF(AX833&lt;=4,0.25,0),E832*(1+N833)/SUMPRODUCT($C832:$J832,1+$L833:$S833))</f>
        <v>0.24977809824934338</v>
      </c>
      <c r="F833" s="9">
        <f t="shared" ref="F833:F896" si="477">+IF($A833="Y",IF(AY833&lt;=4,0.25,0),F832*(1+O833)/SUMPRODUCT($C832:$J832,1+$L833:$S833))</f>
        <v>0.25802058761621294</v>
      </c>
      <c r="G833" s="9">
        <f t="shared" ref="G833:G896" si="478">+IF($A833="Y",IF(AZ833&lt;=4,0.25,0),G832*(1+P833)/SUMPRODUCT($C832:$J832,1+$L833:$S833))</f>
        <v>0.24644366604682136</v>
      </c>
      <c r="H833" s="9">
        <f t="shared" ref="H833:H896" si="479">+IF($A833="Y",IF(BA833&lt;=4,0.25,0),H832*(1+Q833)/SUMPRODUCT($C832:$J832,1+$L833:$S833))</f>
        <v>0</v>
      </c>
      <c r="I833" s="9">
        <f t="shared" ref="I833:I896" si="480">+IF($A833="Y",IF(BB833&lt;=4,0.25,0),I832*(1+R833)/SUMPRODUCT($C832:$J832,1+$L833:$S833))</f>
        <v>0.24575764808762232</v>
      </c>
      <c r="J833" s="9">
        <f t="shared" ref="J833:J896" si="481">+IF($A833="Y",IF(BC833&lt;=4,0.25,0),J832*(1+S833)/SUMPRODUCT($C832:$J832,1+$L833:$S833))</f>
        <v>0</v>
      </c>
      <c r="K833" s="9">
        <v>0</v>
      </c>
      <c r="L833" s="8">
        <f>+VLOOKUP($B833,NIFTY_50!$B$3:$I$1238,8,0)</f>
        <v>-3.4322550988579281E-2</v>
      </c>
      <c r="M833" s="8">
        <f>+VLOOKUP($B833,NIFTY_BANK!$B$3:$I$41238,8,0)</f>
        <v>-6.6940286026032747E-2</v>
      </c>
      <c r="N833" s="8">
        <f>+VLOOKUP($B833,NIFTY_IT!$B$3:$I$1238,8,0)</f>
        <v>8.9456554274476296E-3</v>
      </c>
      <c r="O833" s="8">
        <f>+VLOOKUP($B833,NIFTY_PHARMA!$B$3:$I$1238,8,0)</f>
        <v>-3.8491147036245899E-5</v>
      </c>
      <c r="P833" s="8">
        <f>+VLOOKUP($B833,NIFTY_FMCG!$B$3:$I$1238,8,0)</f>
        <v>-9.7927752316974148E-3</v>
      </c>
      <c r="Q833" s="8">
        <f>+VLOOKUP($B833,NIFTY_METAL!$B$3:$I$1238,8,0)</f>
        <v>-3.9653391483989386E-2</v>
      </c>
      <c r="R833" s="8">
        <f>+VLOOKUP($B833,NIFTY_ENERGY!$B$3:$I$1238,8,0)</f>
        <v>-3.1778493830977195E-2</v>
      </c>
      <c r="S833" s="8">
        <f>+VLOOKUP($B833,NIFTY_AUTO!$B$3:$I$1238,8,0)</f>
        <v>-5.4936735297700823E-2</v>
      </c>
      <c r="T833" s="8">
        <v>0</v>
      </c>
      <c r="U833" s="8">
        <f>+VLOOKUP($B833,NIFTY_50!$B$63:$K$1238,10,0)</f>
        <v>-0.27685391600826148</v>
      </c>
      <c r="V833" s="8">
        <f>+VLOOKUP($B833,NIFTY_BANK!$B$63:$K$1238,10,0)</f>
        <v>-0.44199486233404994</v>
      </c>
      <c r="W833" s="8">
        <f>+VLOOKUP($B833,NIFTY_IT!$B$63:$K$1238,10,0)</f>
        <v>-0.19492565651435168</v>
      </c>
      <c r="X833" s="8">
        <f>+VLOOKUP($B833,NIFTY_PHARMA!$B$63:$K$1238,10,0)</f>
        <v>0.10013248558689902</v>
      </c>
      <c r="Y833" s="8">
        <f>+VLOOKUP($B833,NIFTY_FMCG!$B$63:$K$1238,10,0)</f>
        <v>-0.13850014119165754</v>
      </c>
      <c r="Z833" s="8">
        <f>+VLOOKUP($B833,NIFTY_METAL!$B$63:$K$1238,10,0)</f>
        <v>-0.37280989412536303</v>
      </c>
      <c r="AA833" s="8">
        <f>+VLOOKUP($B833,NIFTY_ENERGY!$B$63:$K$1238,10,0)</f>
        <v>-0.19821520001050275</v>
      </c>
      <c r="AB833" s="8">
        <f>+VLOOKUP($B833,NIFTY_AUTO!$B$63:$K$1238,10,0)</f>
        <v>-0.31558017595603616</v>
      </c>
      <c r="AC833" s="8">
        <f>+VLOOKUP($B833,EBBETF0430!$B$63:$K$1238,10,0)</f>
        <v>1.0992936925098555</v>
      </c>
      <c r="AD833" s="16">
        <f t="shared" ref="AD833:AD896" si="482">+_xlfn.STDEV.S(L773:L833)*SQRT(60)</f>
        <v>0.27349981582355321</v>
      </c>
      <c r="AE833" s="8">
        <f t="shared" ref="AE833:AE896" si="483">+_xlfn.STDEV.S(M773:M833)*SQRT(60)</f>
        <v>0.3428120696357716</v>
      </c>
      <c r="AF833" s="8">
        <f t="shared" ref="AF833:AF896" si="484">+_xlfn.STDEV.S(N773:N833)*SQRT(60)</f>
        <v>0.26752705916959307</v>
      </c>
      <c r="AG833" s="8">
        <f t="shared" ref="AG833:AG896" si="485">+_xlfn.STDEV.S(O773:O833)*SQRT(60)</f>
        <v>0.23029197746866026</v>
      </c>
      <c r="AH833" s="8">
        <f t="shared" ref="AH833:AH896" si="486">+_xlfn.STDEV.S(P773:P833)*SQRT(60)</f>
        <v>0.22805204149853378</v>
      </c>
      <c r="AI833" s="8">
        <f t="shared" ref="AI833:AI896" si="487">+_xlfn.STDEV.S(Q773:Q833)*SQRT(60)</f>
        <v>0.31221629920332034</v>
      </c>
      <c r="AJ833" s="8">
        <f t="shared" ref="AJ833:AJ896" si="488">+_xlfn.STDEV.S(R773:R833)*SQRT(60)</f>
        <v>0.2628658678638795</v>
      </c>
      <c r="AK833" s="8">
        <f t="shared" ref="AK833:AK896" si="489">+_xlfn.STDEV.S(S773:S833)*SQRT(60)</f>
        <v>0.30510917684543643</v>
      </c>
      <c r="AL833" s="9">
        <v>0</v>
      </c>
      <c r="AM833" s="17">
        <f t="shared" si="466"/>
        <v>3.6563095919784607</v>
      </c>
      <c r="AN833" s="13">
        <f t="shared" si="467"/>
        <v>2.917050152471214</v>
      </c>
      <c r="AO833" s="13">
        <f t="shared" si="468"/>
        <v>3.7379396428309382</v>
      </c>
      <c r="AP833" s="13">
        <f t="shared" si="469"/>
        <v>4.3423136619515414</v>
      </c>
      <c r="AQ833" s="13">
        <f t="shared" si="470"/>
        <v>4.3849640346518424</v>
      </c>
      <c r="AR833" s="13">
        <f t="shared" si="471"/>
        <v>3.2029077359243945</v>
      </c>
      <c r="AS833" s="13">
        <f t="shared" si="472"/>
        <v>3.8042215527115624</v>
      </c>
      <c r="AT833" s="13">
        <f t="shared" si="473"/>
        <v>3.2775153154655343</v>
      </c>
      <c r="AU833" s="9">
        <v>0</v>
      </c>
      <c r="AV833" s="18">
        <f t="shared" ref="AV833:AV896" si="490">+RANK(AM833,$AM833:$AU833)</f>
        <v>5</v>
      </c>
      <c r="AW833" s="18">
        <f t="shared" ref="AW833:AW896" si="491">+RANK(AN833,$AM833:$AU833)</f>
        <v>8</v>
      </c>
      <c r="AX833" s="18">
        <f t="shared" ref="AX833:AX896" si="492">+RANK(AO833,$AM833:$AU833)</f>
        <v>4</v>
      </c>
      <c r="AY833" s="18">
        <f t="shared" ref="AY833:AY896" si="493">+RANK(AP833,$AM833:$AU833)</f>
        <v>2</v>
      </c>
      <c r="AZ833" s="18">
        <f t="shared" ref="AZ833:AZ896" si="494">+RANK(AQ833,$AM833:$AU833)</f>
        <v>1</v>
      </c>
      <c r="BA833" s="18">
        <f t="shared" ref="BA833:BA896" si="495">+RANK(AR833,$AM833:$AU833)</f>
        <v>7</v>
      </c>
      <c r="BB833" s="18">
        <f t="shared" ref="BB833:BB896" si="496">+RANK(AS833,$AM833:$AU833)</f>
        <v>3</v>
      </c>
      <c r="BC833" s="18">
        <f t="shared" ref="BC833:BC896" si="497">+RANK(AT833,$AM833:$AU833)</f>
        <v>6</v>
      </c>
      <c r="BD833" s="18">
        <f t="shared" ref="BD833:BD896" si="498">+RANK(AU833,$AM833:$AU833)</f>
        <v>9</v>
      </c>
      <c r="BE833" s="8">
        <f t="shared" si="465"/>
        <v>-8.2303852369817673E-3</v>
      </c>
    </row>
    <row r="834" spans="1:57" x14ac:dyDescent="0.25">
      <c r="A834" t="str">
        <f t="shared" si="464"/>
        <v/>
      </c>
      <c r="B834" s="1">
        <v>43970</v>
      </c>
      <c r="C834" s="9">
        <f t="shared" si="474"/>
        <v>0</v>
      </c>
      <c r="D834" s="9">
        <f t="shared" si="475"/>
        <v>0</v>
      </c>
      <c r="E834" s="9">
        <f t="shared" si="476"/>
        <v>0.2510593204682377</v>
      </c>
      <c r="F834" s="9">
        <f t="shared" si="477"/>
        <v>0.25656700471077037</v>
      </c>
      <c r="G834" s="9">
        <f t="shared" si="478"/>
        <v>0.24712017188346627</v>
      </c>
      <c r="H834" s="9">
        <f t="shared" si="479"/>
        <v>0</v>
      </c>
      <c r="I834" s="9">
        <f t="shared" si="480"/>
        <v>0.2452535029375256</v>
      </c>
      <c r="J834" s="9">
        <f t="shared" si="481"/>
        <v>0</v>
      </c>
      <c r="K834" s="9">
        <v>0</v>
      </c>
      <c r="L834" s="8">
        <f>+VLOOKUP($B834,NIFTY_50!$B$3:$I$1238,8,0)</f>
        <v>6.3298671124585315E-3</v>
      </c>
      <c r="M834" s="8">
        <f>+VLOOKUP($B834,NIFTY_BANK!$B$3:$I$41238,8,0)</f>
        <v>-4.9478751735597681E-3</v>
      </c>
      <c r="N834" s="8">
        <f>+VLOOKUP($B834,NIFTY_IT!$B$3:$I$1238,8,0)</f>
        <v>9.9290993210359169E-3</v>
      </c>
      <c r="O834" s="8">
        <f>+VLOOKUP($B834,NIFTY_PHARMA!$B$3:$I$1238,8,0)</f>
        <v>-8.8533045921701525E-4</v>
      </c>
      <c r="P834" s="8">
        <f>+VLOOKUP($B834,NIFTY_FMCG!$B$3:$I$1238,8,0)</f>
        <v>7.5333446964092055E-3</v>
      </c>
      <c r="Q834" s="8">
        <f>+VLOOKUP($B834,NIFTY_METAL!$B$3:$I$1238,8,0)</f>
        <v>1.1980878398565764E-2</v>
      </c>
      <c r="R834" s="8">
        <f>+VLOOKUP($B834,NIFTY_ENERGY!$B$3:$I$1238,8,0)</f>
        <v>2.7139763642543002E-3</v>
      </c>
      <c r="S834" s="8">
        <f>+VLOOKUP($B834,NIFTY_AUTO!$B$3:$I$1238,8,0)</f>
        <v>1.0331396580141927E-2</v>
      </c>
      <c r="T834" s="8">
        <v>0</v>
      </c>
      <c r="U834" s="8">
        <f>+VLOOKUP($B834,NIFTY_50!$B$63:$K$1238,10,0)</f>
        <v>-0.27068950647451873</v>
      </c>
      <c r="V834" s="8">
        <f>+VLOOKUP($B834,NIFTY_BANK!$B$63:$K$1238,10,0)</f>
        <v>-0.4400861344369642</v>
      </c>
      <c r="W834" s="8">
        <f>+VLOOKUP($B834,NIFTY_IT!$B$63:$K$1238,10,0)</f>
        <v>-0.19351288456521143</v>
      </c>
      <c r="X834" s="8">
        <f>+VLOOKUP($B834,NIFTY_PHARMA!$B$63:$K$1238,10,0)</f>
        <v>8.9842484734335315E-2</v>
      </c>
      <c r="Y834" s="8">
        <f>+VLOOKUP($B834,NIFTY_FMCG!$B$63:$K$1238,10,0)</f>
        <v>-0.13349366770513504</v>
      </c>
      <c r="Z834" s="8">
        <f>+VLOOKUP($B834,NIFTY_METAL!$B$63:$K$1238,10,0)</f>
        <v>-0.36131015236083874</v>
      </c>
      <c r="AA834" s="8">
        <f>+VLOOKUP($B834,NIFTY_ENERGY!$B$63:$K$1238,10,0)</f>
        <v>-0.1937661482761458</v>
      </c>
      <c r="AB834" s="8">
        <f>+VLOOKUP($B834,NIFTY_AUTO!$B$63:$K$1238,10,0)</f>
        <v>-0.30685795145864136</v>
      </c>
      <c r="AC834" s="8">
        <f>+VLOOKUP($B834,EBBETF0430!$B$63:$K$1238,10,0)</f>
        <v>4.249914704878881</v>
      </c>
      <c r="AD834" s="16">
        <f t="shared" si="482"/>
        <v>0.27370751754592842</v>
      </c>
      <c r="AE834" s="8">
        <f t="shared" si="483"/>
        <v>0.34283042801882685</v>
      </c>
      <c r="AF834" s="8">
        <f t="shared" si="484"/>
        <v>0.26760630973113175</v>
      </c>
      <c r="AG834" s="8">
        <f t="shared" si="485"/>
        <v>0.23021377462591441</v>
      </c>
      <c r="AH834" s="8">
        <f t="shared" si="486"/>
        <v>0.22822013141862563</v>
      </c>
      <c r="AI834" s="8">
        <f t="shared" si="487"/>
        <v>0.31277181879594818</v>
      </c>
      <c r="AJ834" s="8">
        <f t="shared" si="488"/>
        <v>0.26292787762872571</v>
      </c>
      <c r="AK834" s="8">
        <f t="shared" si="489"/>
        <v>0.30549622205319238</v>
      </c>
      <c r="AL834" s="9">
        <v>0</v>
      </c>
      <c r="AM834" s="17">
        <f t="shared" si="466"/>
        <v>3.6535350178396135</v>
      </c>
      <c r="AN834" s="13">
        <f t="shared" si="467"/>
        <v>2.9168939460212795</v>
      </c>
      <c r="AO834" s="13">
        <f t="shared" si="468"/>
        <v>3.7368326666314995</v>
      </c>
      <c r="AP834" s="13">
        <f t="shared" si="469"/>
        <v>4.3437887312561934</v>
      </c>
      <c r="AQ834" s="13">
        <f t="shared" si="470"/>
        <v>4.3817343973292768</v>
      </c>
      <c r="AR834" s="13">
        <f t="shared" si="471"/>
        <v>3.1972189945040999</v>
      </c>
      <c r="AS834" s="13">
        <f t="shared" si="472"/>
        <v>3.8033243527416158</v>
      </c>
      <c r="AT834" s="13">
        <f t="shared" si="473"/>
        <v>3.2733629020979578</v>
      </c>
      <c r="AU834" s="9">
        <v>0</v>
      </c>
      <c r="AV834" s="18">
        <f t="shared" si="490"/>
        <v>5</v>
      </c>
      <c r="AW834" s="18">
        <f t="shared" si="491"/>
        <v>8</v>
      </c>
      <c r="AX834" s="18">
        <f t="shared" si="492"/>
        <v>4</v>
      </c>
      <c r="AY834" s="18">
        <f t="shared" si="493"/>
        <v>2</v>
      </c>
      <c r="AZ834" s="18">
        <f t="shared" si="494"/>
        <v>1</v>
      </c>
      <c r="BA834" s="18">
        <f t="shared" si="495"/>
        <v>7</v>
      </c>
      <c r="BB834" s="18">
        <f t="shared" si="496"/>
        <v>3</v>
      </c>
      <c r="BC834" s="18">
        <f t="shared" si="497"/>
        <v>6</v>
      </c>
      <c r="BD834" s="18">
        <f t="shared" si="498"/>
        <v>9</v>
      </c>
      <c r="BE834" s="8">
        <f t="shared" si="465"/>
        <v>4.7751635932374876E-3</v>
      </c>
    </row>
    <row r="835" spans="1:57" x14ac:dyDescent="0.25">
      <c r="A835" t="str">
        <f t="shared" si="464"/>
        <v/>
      </c>
      <c r="B835" s="1">
        <v>43971</v>
      </c>
      <c r="C835" s="9">
        <f t="shared" si="474"/>
        <v>0</v>
      </c>
      <c r="D835" s="9">
        <f t="shared" si="475"/>
        <v>0</v>
      </c>
      <c r="E835" s="9">
        <f t="shared" si="476"/>
        <v>0.24726734428733499</v>
      </c>
      <c r="F835" s="9">
        <f t="shared" si="477"/>
        <v>0.26166698751480061</v>
      </c>
      <c r="G835" s="9">
        <f t="shared" si="478"/>
        <v>0.2456650525375409</v>
      </c>
      <c r="H835" s="9">
        <f t="shared" si="479"/>
        <v>0</v>
      </c>
      <c r="I835" s="9">
        <f t="shared" si="480"/>
        <v>0.24540061566032362</v>
      </c>
      <c r="J835" s="9">
        <f t="shared" si="481"/>
        <v>0</v>
      </c>
      <c r="K835" s="9">
        <v>0</v>
      </c>
      <c r="L835" s="8">
        <f>+VLOOKUP($B835,NIFTY_50!$B$3:$I$1238,8,0)</f>
        <v>2.1111373900507768E-2</v>
      </c>
      <c r="M835" s="8">
        <f>+VLOOKUP($B835,NIFTY_BANK!$B$3:$I$41238,8,0)</f>
        <v>2.0241618414468476E-2</v>
      </c>
      <c r="N835" s="8">
        <f>+VLOOKUP($B835,NIFTY_IT!$B$3:$I$1238,8,0)</f>
        <v>5.2652715184506871E-3</v>
      </c>
      <c r="O835" s="8">
        <f>+VLOOKUP($B835,NIFTY_PHARMA!$B$3:$I$1238,8,0)</f>
        <v>4.0970433480835622E-2</v>
      </c>
      <c r="P835" s="8">
        <f>+VLOOKUP($B835,NIFTY_FMCG!$B$3:$I$1238,8,0)</f>
        <v>1.4671462963479209E-2</v>
      </c>
      <c r="Q835" s="8">
        <f>+VLOOKUP($B835,NIFTY_METAL!$B$3:$I$1238,8,0)</f>
        <v>1.059903752472624E-2</v>
      </c>
      <c r="R835" s="8">
        <f>+VLOOKUP($B835,NIFTY_ENERGY!$B$3:$I$1238,8,0)</f>
        <v>2.1293793936820737E-2</v>
      </c>
      <c r="S835" s="8">
        <f>+VLOOKUP($B835,NIFTY_AUTO!$B$3:$I$1238,8,0)</f>
        <v>2.1444911276578438E-2</v>
      </c>
      <c r="T835" s="8">
        <v>0</v>
      </c>
      <c r="U835" s="8">
        <f>+VLOOKUP($B835,NIFTY_50!$B$63:$K$1238,10,0)</f>
        <v>-0.25153032373105944</v>
      </c>
      <c r="V835" s="8">
        <f>+VLOOKUP($B835,NIFTY_BANK!$B$63:$K$1238,10,0)</f>
        <v>-0.42142644025581477</v>
      </c>
      <c r="W835" s="8">
        <f>+VLOOKUP($B835,NIFTY_IT!$B$63:$K$1238,10,0)</f>
        <v>-0.18779047933784987</v>
      </c>
      <c r="X835" s="8">
        <f>+VLOOKUP($B835,NIFTY_PHARMA!$B$63:$K$1238,10,0)</f>
        <v>0.13503846753963766</v>
      </c>
      <c r="Y835" s="8">
        <f>+VLOOKUP($B835,NIFTY_FMCG!$B$63:$K$1238,10,0)</f>
        <v>-0.10951895388581179</v>
      </c>
      <c r="Z835" s="8">
        <f>+VLOOKUP($B835,NIFTY_METAL!$B$63:$K$1238,10,0)</f>
        <v>-0.34515610651974282</v>
      </c>
      <c r="AA835" s="8">
        <f>+VLOOKUP($B835,NIFTY_ENERGY!$B$63:$K$1238,10,0)</f>
        <v>-0.16879587205496838</v>
      </c>
      <c r="AB835" s="8">
        <f>+VLOOKUP($B835,NIFTY_AUTO!$B$63:$K$1238,10,0)</f>
        <v>-0.28360307841783639</v>
      </c>
      <c r="AC835" s="8">
        <f>+VLOOKUP($B835,EBBETF0430!$B$63:$K$1238,10,0)</f>
        <v>4.0358953281271406</v>
      </c>
      <c r="AD835" s="16">
        <f t="shared" si="482"/>
        <v>0.27488555218429794</v>
      </c>
      <c r="AE835" s="8">
        <f t="shared" si="483"/>
        <v>0.34397940834819474</v>
      </c>
      <c r="AF835" s="8">
        <f t="shared" si="484"/>
        <v>0.26772783587618526</v>
      </c>
      <c r="AG835" s="8">
        <f t="shared" si="485"/>
        <v>0.233442907958648</v>
      </c>
      <c r="AH835" s="8">
        <f t="shared" si="486"/>
        <v>0.22854374212025691</v>
      </c>
      <c r="AI835" s="8">
        <f t="shared" si="487"/>
        <v>0.31312529687633056</v>
      </c>
      <c r="AJ835" s="8">
        <f t="shared" si="488"/>
        <v>0.2639359389464615</v>
      </c>
      <c r="AK835" s="8">
        <f t="shared" si="489"/>
        <v>0.30655913027575488</v>
      </c>
      <c r="AL835" s="9">
        <v>0</v>
      </c>
      <c r="AM835" s="17">
        <f t="shared" si="466"/>
        <v>3.637877625993041</v>
      </c>
      <c r="AN835" s="13">
        <f t="shared" si="467"/>
        <v>2.9071507646403805</v>
      </c>
      <c r="AO835" s="13">
        <f t="shared" si="468"/>
        <v>3.7351364557492817</v>
      </c>
      <c r="AP835" s="13">
        <f t="shared" si="469"/>
        <v>4.2837026352376473</v>
      </c>
      <c r="AQ835" s="13">
        <f t="shared" si="470"/>
        <v>4.375530000177438</v>
      </c>
      <c r="AR835" s="13">
        <f t="shared" si="471"/>
        <v>3.193609746564015</v>
      </c>
      <c r="AS835" s="13">
        <f t="shared" si="472"/>
        <v>3.7887981606129304</v>
      </c>
      <c r="AT835" s="13">
        <f t="shared" si="473"/>
        <v>3.2620134298413617</v>
      </c>
      <c r="AU835" s="9">
        <v>0</v>
      </c>
      <c r="AV835" s="18">
        <f t="shared" si="490"/>
        <v>5</v>
      </c>
      <c r="AW835" s="18">
        <f t="shared" si="491"/>
        <v>8</v>
      </c>
      <c r="AX835" s="18">
        <f t="shared" si="492"/>
        <v>4</v>
      </c>
      <c r="AY835" s="18">
        <f t="shared" si="493"/>
        <v>2</v>
      </c>
      <c r="AZ835" s="18">
        <f t="shared" si="494"/>
        <v>1</v>
      </c>
      <c r="BA835" s="18">
        <f t="shared" si="495"/>
        <v>7</v>
      </c>
      <c r="BB835" s="18">
        <f t="shared" si="496"/>
        <v>3</v>
      </c>
      <c r="BC835" s="18">
        <f t="shared" si="497"/>
        <v>6</v>
      </c>
      <c r="BD835" s="18">
        <f t="shared" si="498"/>
        <v>9</v>
      </c>
      <c r="BE835" s="8">
        <f t="shared" si="465"/>
        <v>2.0681548892534873E-2</v>
      </c>
    </row>
    <row r="836" spans="1:57" x14ac:dyDescent="0.25">
      <c r="A836" t="str">
        <f t="shared" ref="A836:A899" si="499">+IF(MONTH(B836)&lt;&gt;MONTH(B837),"Y","")</f>
        <v/>
      </c>
      <c r="B836" s="1">
        <v>43972</v>
      </c>
      <c r="C836" s="9">
        <f t="shared" si="474"/>
        <v>0</v>
      </c>
      <c r="D836" s="9">
        <f t="shared" si="475"/>
        <v>0</v>
      </c>
      <c r="E836" s="9">
        <f t="shared" si="476"/>
        <v>0.24732784282392178</v>
      </c>
      <c r="F836" s="9">
        <f t="shared" si="477"/>
        <v>0.26097586596000999</v>
      </c>
      <c r="G836" s="9">
        <f t="shared" si="478"/>
        <v>0.24869737825243174</v>
      </c>
      <c r="H836" s="9">
        <f t="shared" si="479"/>
        <v>0</v>
      </c>
      <c r="I836" s="9">
        <f t="shared" si="480"/>
        <v>0.24299891296363638</v>
      </c>
      <c r="J836" s="9">
        <f t="shared" si="481"/>
        <v>0</v>
      </c>
      <c r="K836" s="9">
        <v>0</v>
      </c>
      <c r="L836" s="8">
        <f>+VLOOKUP($B836,NIFTY_50!$B$3:$I$1238,8,0)</f>
        <v>4.3787328145767912E-3</v>
      </c>
      <c r="M836" s="8">
        <f>+VLOOKUP($B836,NIFTY_BANK!$B$3:$I$41238,8,0)</f>
        <v>-5.8911895606552633E-3</v>
      </c>
      <c r="N836" s="8">
        <f>+VLOOKUP($B836,NIFTY_IT!$B$3:$I$1238,8,0)</f>
        <v>9.6542234453371734E-3</v>
      </c>
      <c r="O836" s="8">
        <f>+VLOOKUP($B836,NIFTY_PHARMA!$B$3:$I$1238,8,0)</f>
        <v>6.7411809491582098E-3</v>
      </c>
      <c r="P836" s="8">
        <f>+VLOOKUP($B836,NIFTY_FMCG!$B$3:$I$1238,8,0)</f>
        <v>2.186670379822897E-2</v>
      </c>
      <c r="Q836" s="8">
        <f>+VLOOKUP($B836,NIFTY_METAL!$B$3:$I$1238,8,0)</f>
        <v>1.8346479696172979E-2</v>
      </c>
      <c r="R836" s="8">
        <f>+VLOOKUP($B836,NIFTY_ENERGY!$B$3:$I$1238,8,0)</f>
        <v>-4.7167925810442934E-4</v>
      </c>
      <c r="S836" s="8">
        <f>+VLOOKUP($B836,NIFTY_AUTO!$B$3:$I$1238,8,0)</f>
        <v>2.6071594275313137E-2</v>
      </c>
      <c r="T836" s="8">
        <v>0</v>
      </c>
      <c r="U836" s="8">
        <f>+VLOOKUP($B836,NIFTY_50!$B$63:$K$1238,10,0)</f>
        <v>-0.24403111457935545</v>
      </c>
      <c r="V836" s="8">
        <f>+VLOOKUP($B836,NIFTY_BANK!$B$63:$K$1238,10,0)</f>
        <v>-0.42194604425583515</v>
      </c>
      <c r="W836" s="8">
        <f>+VLOOKUP($B836,NIFTY_IT!$B$63:$K$1238,10,0)</f>
        <v>-0.18019305970194088</v>
      </c>
      <c r="X836" s="8">
        <f>+VLOOKUP($B836,NIFTY_PHARMA!$B$63:$K$1238,10,0)</f>
        <v>0.16035637458332563</v>
      </c>
      <c r="Y836" s="8">
        <f>+VLOOKUP($B836,NIFTY_FMCG!$B$63:$K$1238,10,0)</f>
        <v>-8.5100414847913752E-2</v>
      </c>
      <c r="Z836" s="8">
        <f>+VLOOKUP($B836,NIFTY_METAL!$B$63:$K$1238,10,0)</f>
        <v>-0.32620713650597277</v>
      </c>
      <c r="AA836" s="8">
        <f>+VLOOKUP($B836,NIFTY_ENERGY!$B$63:$K$1238,10,0)</f>
        <v>-0.1561676379969561</v>
      </c>
      <c r="AB836" s="8">
        <f>+VLOOKUP($B836,NIFTY_AUTO!$B$63:$K$1238,10,0)</f>
        <v>-0.26003474679879035</v>
      </c>
      <c r="AC836" s="8">
        <f>+VLOOKUP($B836,EBBETF0430!$B$63:$K$1238,10,0)</f>
        <v>0.92313107137829076</v>
      </c>
      <c r="AD836" s="16">
        <f t="shared" si="482"/>
        <v>0.27500952909181586</v>
      </c>
      <c r="AE836" s="8">
        <f t="shared" si="483"/>
        <v>0.3439729267174591</v>
      </c>
      <c r="AF836" s="8">
        <f t="shared" si="484"/>
        <v>0.26799715126685525</v>
      </c>
      <c r="AG836" s="8">
        <f t="shared" si="485"/>
        <v>0.23278833015094971</v>
      </c>
      <c r="AH836" s="8">
        <f t="shared" si="486"/>
        <v>0.22967173652912443</v>
      </c>
      <c r="AI836" s="8">
        <f t="shared" si="487"/>
        <v>0.31402865424176712</v>
      </c>
      <c r="AJ836" s="8">
        <f t="shared" si="488"/>
        <v>0.26361707602456186</v>
      </c>
      <c r="AK836" s="8">
        <f t="shared" si="489"/>
        <v>0.30806235101365204</v>
      </c>
      <c r="AL836" s="9">
        <v>0</v>
      </c>
      <c r="AM836" s="17">
        <f t="shared" si="466"/>
        <v>3.636237636209819</v>
      </c>
      <c r="AN836" s="13">
        <f t="shared" si="467"/>
        <v>2.9072055453405041</v>
      </c>
      <c r="AO836" s="13">
        <f t="shared" si="468"/>
        <v>3.7313829466950597</v>
      </c>
      <c r="AP836" s="13">
        <f t="shared" si="469"/>
        <v>4.29574798423769</v>
      </c>
      <c r="AQ836" s="13">
        <f t="shared" si="470"/>
        <v>4.3540403147219253</v>
      </c>
      <c r="AR836" s="13">
        <f t="shared" si="471"/>
        <v>3.1844227795534583</v>
      </c>
      <c r="AS836" s="13">
        <f t="shared" si="472"/>
        <v>3.793380971674337</v>
      </c>
      <c r="AT836" s="13">
        <f t="shared" si="473"/>
        <v>3.2460961123927934</v>
      </c>
      <c r="AU836" s="9">
        <v>0</v>
      </c>
      <c r="AV836" s="18">
        <f t="shared" si="490"/>
        <v>5</v>
      </c>
      <c r="AW836" s="18">
        <f t="shared" si="491"/>
        <v>8</v>
      </c>
      <c r="AX836" s="18">
        <f t="shared" si="492"/>
        <v>4</v>
      </c>
      <c r="AY836" s="18">
        <f t="shared" si="493"/>
        <v>2</v>
      </c>
      <c r="AZ836" s="18">
        <f t="shared" si="494"/>
        <v>1</v>
      </c>
      <c r="BA836" s="18">
        <f t="shared" si="495"/>
        <v>7</v>
      </c>
      <c r="BB836" s="18">
        <f t="shared" si="496"/>
        <v>3</v>
      </c>
      <c r="BC836" s="18">
        <f t="shared" si="497"/>
        <v>6</v>
      </c>
      <c r="BD836" s="18">
        <f t="shared" si="498"/>
        <v>9</v>
      </c>
      <c r="BE836" s="8">
        <f t="shared" ref="BE836:BE899" si="500">+SUMPRODUCT(C835:J835,L836:S836)</f>
        <v>9.4072532608251731E-3</v>
      </c>
    </row>
    <row r="837" spans="1:57" x14ac:dyDescent="0.25">
      <c r="A837" t="str">
        <f t="shared" si="499"/>
        <v/>
      </c>
      <c r="B837" s="1">
        <v>43973</v>
      </c>
      <c r="C837" s="9">
        <f t="shared" si="474"/>
        <v>0</v>
      </c>
      <c r="D837" s="9">
        <f t="shared" si="475"/>
        <v>0</v>
      </c>
      <c r="E837" s="9">
        <f t="shared" si="476"/>
        <v>0.24984143858969041</v>
      </c>
      <c r="F837" s="9">
        <f t="shared" si="477"/>
        <v>0.26210602385321369</v>
      </c>
      <c r="G837" s="9">
        <f t="shared" si="478"/>
        <v>0.24679337835219028</v>
      </c>
      <c r="H837" s="9">
        <f t="shared" si="479"/>
        <v>0</v>
      </c>
      <c r="I837" s="9">
        <f t="shared" si="480"/>
        <v>0.24125915920490576</v>
      </c>
      <c r="J837" s="9">
        <f t="shared" si="481"/>
        <v>0</v>
      </c>
      <c r="K837" s="9">
        <v>0</v>
      </c>
      <c r="L837" s="8">
        <f>+VLOOKUP($B837,NIFTY_50!$B$3:$I$1238,8,0)</f>
        <v>-7.3575840768702605E-3</v>
      </c>
      <c r="M837" s="8">
        <f>+VLOOKUP($B837,NIFTY_BANK!$B$3:$I$41238,8,0)</f>
        <v>-2.5723001279947533E-2</v>
      </c>
      <c r="N837" s="8">
        <f>+VLOOKUP($B837,NIFTY_IT!$B$3:$I$1238,8,0)</f>
        <v>1.426959458964383E-2</v>
      </c>
      <c r="O837" s="8">
        <f>+VLOOKUP($B837,NIFTY_PHARMA!$B$3:$I$1238,8,0)</f>
        <v>8.4133794791267924E-3</v>
      </c>
      <c r="P837" s="8">
        <f>+VLOOKUP($B837,NIFTY_FMCG!$B$3:$I$1238,8,0)</f>
        <v>-3.6217462554370972E-3</v>
      </c>
      <c r="Q837" s="8">
        <f>+VLOOKUP($B837,NIFTY_METAL!$B$3:$I$1238,8,0)</f>
        <v>-1.8618394629640322E-2</v>
      </c>
      <c r="R837" s="8">
        <f>+VLOOKUP($B837,NIFTY_ENERGY!$B$3:$I$1238,8,0)</f>
        <v>-3.1233503431287168E-3</v>
      </c>
      <c r="S837" s="8">
        <f>+VLOOKUP($B837,NIFTY_AUTO!$B$3:$I$1238,8,0)</f>
        <v>2.973964764604764E-3</v>
      </c>
      <c r="T837" s="8">
        <v>0</v>
      </c>
      <c r="U837" s="8">
        <f>+VLOOKUP($B837,NIFTY_50!$B$63:$K$1238,10,0)</f>
        <v>-0.24625807796539501</v>
      </c>
      <c r="V837" s="8">
        <f>+VLOOKUP($B837,NIFTY_BANK!$B$63:$K$1238,10,0)</f>
        <v>-0.43463721881390593</v>
      </c>
      <c r="W837" s="8">
        <f>+VLOOKUP($B837,NIFTY_IT!$B$63:$K$1238,10,0)</f>
        <v>-0.17351145607881191</v>
      </c>
      <c r="X837" s="8">
        <f>+VLOOKUP($B837,NIFTY_PHARMA!$B$63:$K$1238,10,0)</f>
        <v>0.17105375504677811</v>
      </c>
      <c r="Y837" s="8">
        <f>+VLOOKUP($B837,NIFTY_FMCG!$B$63:$K$1238,10,0)</f>
        <v>-8.4797401895878255E-2</v>
      </c>
      <c r="Z837" s="8">
        <f>+VLOOKUP($B837,NIFTY_METAL!$B$63:$K$1238,10,0)</f>
        <v>-0.33082294947281943</v>
      </c>
      <c r="AA837" s="8">
        <f>+VLOOKUP($B837,NIFTY_ENERGY!$B$63:$K$1238,10,0)</f>
        <v>-0.15729030382323017</v>
      </c>
      <c r="AB837" s="8">
        <f>+VLOOKUP($B837,NIFTY_AUTO!$B$63:$K$1238,10,0)</f>
        <v>-0.25028925028925031</v>
      </c>
      <c r="AC837" s="8">
        <f>+VLOOKUP($B837,EBBETF0430!$B$63:$K$1238,10,0)</f>
        <v>3.702730288338862</v>
      </c>
      <c r="AD837" s="16">
        <f t="shared" si="482"/>
        <v>0.2750300529934156</v>
      </c>
      <c r="AE837" s="8">
        <f t="shared" si="483"/>
        <v>0.34439623448269985</v>
      </c>
      <c r="AF837" s="8">
        <f t="shared" si="484"/>
        <v>0.26838727049294281</v>
      </c>
      <c r="AG837" s="8">
        <f t="shared" si="485"/>
        <v>0.23282185169797012</v>
      </c>
      <c r="AH837" s="8">
        <f t="shared" si="486"/>
        <v>0.22966776164454158</v>
      </c>
      <c r="AI837" s="8">
        <f t="shared" si="487"/>
        <v>0.31423442595633744</v>
      </c>
      <c r="AJ837" s="8">
        <f t="shared" si="488"/>
        <v>0.26361830075432324</v>
      </c>
      <c r="AK837" s="8">
        <f t="shared" si="489"/>
        <v>0.30808285922350614</v>
      </c>
      <c r="AL837" s="9">
        <v>0</v>
      </c>
      <c r="AM837" s="17">
        <f t="shared" si="466"/>
        <v>3.6359662848333913</v>
      </c>
      <c r="AN837" s="13">
        <f t="shared" si="467"/>
        <v>2.903632211606638</v>
      </c>
      <c r="AO837" s="13">
        <f t="shared" si="468"/>
        <v>3.7259591267622909</v>
      </c>
      <c r="AP837" s="13">
        <f t="shared" si="469"/>
        <v>4.2951294850848338</v>
      </c>
      <c r="AQ837" s="13">
        <f t="shared" si="470"/>
        <v>4.3541156705646262</v>
      </c>
      <c r="AR837" s="13">
        <f t="shared" si="471"/>
        <v>3.1823375079182097</v>
      </c>
      <c r="AS837" s="13">
        <f t="shared" si="472"/>
        <v>3.7933633482143607</v>
      </c>
      <c r="AT837" s="13">
        <f t="shared" si="473"/>
        <v>3.2458800289000367</v>
      </c>
      <c r="AU837" s="9">
        <v>0</v>
      </c>
      <c r="AV837" s="18">
        <f t="shared" si="490"/>
        <v>5</v>
      </c>
      <c r="AW837" s="18">
        <f t="shared" si="491"/>
        <v>8</v>
      </c>
      <c r="AX837" s="18">
        <f t="shared" si="492"/>
        <v>4</v>
      </c>
      <c r="AY837" s="18">
        <f t="shared" si="493"/>
        <v>2</v>
      </c>
      <c r="AZ837" s="18">
        <f t="shared" si="494"/>
        <v>1</v>
      </c>
      <c r="BA837" s="18">
        <f t="shared" si="495"/>
        <v>7</v>
      </c>
      <c r="BB837" s="18">
        <f t="shared" si="496"/>
        <v>3</v>
      </c>
      <c r="BC837" s="18">
        <f t="shared" si="497"/>
        <v>6</v>
      </c>
      <c r="BD837" s="18">
        <f t="shared" si="498"/>
        <v>9</v>
      </c>
      <c r="BE837" s="8">
        <f t="shared" si="500"/>
        <v>4.0652675064361595E-3</v>
      </c>
    </row>
    <row r="838" spans="1:57" x14ac:dyDescent="0.25">
      <c r="A838" t="str">
        <f t="shared" si="499"/>
        <v/>
      </c>
      <c r="B838" s="1">
        <v>43977</v>
      </c>
      <c r="C838" s="9">
        <f t="shared" si="474"/>
        <v>0</v>
      </c>
      <c r="D838" s="9">
        <f t="shared" si="475"/>
        <v>0</v>
      </c>
      <c r="E838" s="9">
        <f t="shared" si="476"/>
        <v>0.24598386317796442</v>
      </c>
      <c r="F838" s="9">
        <f t="shared" si="477"/>
        <v>0.25993703386532485</v>
      </c>
      <c r="G838" s="9">
        <f t="shared" si="478"/>
        <v>0.2507724893450487</v>
      </c>
      <c r="H838" s="9">
        <f t="shared" si="479"/>
        <v>0</v>
      </c>
      <c r="I838" s="9">
        <f t="shared" si="480"/>
        <v>0.24330661361166195</v>
      </c>
      <c r="J838" s="9">
        <f t="shared" si="481"/>
        <v>0</v>
      </c>
      <c r="K838" s="9">
        <v>0</v>
      </c>
      <c r="L838" s="8">
        <f>+VLOOKUP($B838,NIFTY_50!$B$3:$I$1238,8,0)</f>
        <v>-1.1284122023398346E-3</v>
      </c>
      <c r="M838" s="8">
        <f>+VLOOKUP($B838,NIFTY_BANK!$B$3:$I$41238,8,0)</f>
        <v>9.3437660962212288E-3</v>
      </c>
      <c r="N838" s="8">
        <f>+VLOOKUP($B838,NIFTY_IT!$B$3:$I$1238,8,0)</f>
        <v>-1.933878267528244E-2</v>
      </c>
      <c r="O838" s="8">
        <f>+VLOOKUP($B838,NIFTY_PHARMA!$B$3:$I$1238,8,0)</f>
        <v>-1.2202298802685196E-2</v>
      </c>
      <c r="P838" s="8">
        <f>+VLOOKUP($B838,NIFTY_FMCG!$B$3:$I$1238,8,0)</f>
        <v>1.2099574967339821E-2</v>
      </c>
      <c r="Q838" s="8">
        <f>+VLOOKUP($B838,NIFTY_METAL!$B$3:$I$1238,8,0)</f>
        <v>2.6835043409628945E-2</v>
      </c>
      <c r="R838" s="8">
        <f>+VLOOKUP($B838,NIFTY_ENERGY!$B$3:$I$1238,8,0)</f>
        <v>4.493101885096884E-3</v>
      </c>
      <c r="S838" s="8">
        <f>+VLOOKUP($B838,NIFTY_AUTO!$B$3:$I$1238,8,0)</f>
        <v>1.5137853303277327E-2</v>
      </c>
      <c r="T838" s="8">
        <v>0</v>
      </c>
      <c r="U838" s="8">
        <f>+VLOOKUP($B838,NIFTY_50!$B$63:$K$1238,10,0)</f>
        <v>-0.25539135239446153</v>
      </c>
      <c r="V838" s="8">
        <f>+VLOOKUP($B838,NIFTY_BANK!$B$63:$K$1238,10,0)</f>
        <v>-0.43445629122322316</v>
      </c>
      <c r="W838" s="8">
        <f>+VLOOKUP($B838,NIFTY_IT!$B$63:$K$1238,10,0)</f>
        <v>-0.19064242062900572</v>
      </c>
      <c r="X838" s="8">
        <f>+VLOOKUP($B838,NIFTY_PHARMA!$B$63:$K$1238,10,0)</f>
        <v>0.13186491857280114</v>
      </c>
      <c r="Y838" s="8">
        <f>+VLOOKUP($B838,NIFTY_FMCG!$B$63:$K$1238,10,0)</f>
        <v>-8.7974704070050258E-2</v>
      </c>
      <c r="Z838" s="8">
        <f>+VLOOKUP($B838,NIFTY_METAL!$B$63:$K$1238,10,0)</f>
        <v>-0.32214739198394482</v>
      </c>
      <c r="AA838" s="8">
        <f>+VLOOKUP($B838,NIFTY_ENERGY!$B$63:$K$1238,10,0)</f>
        <v>-0.16853399038333827</v>
      </c>
      <c r="AB838" s="8">
        <f>+VLOOKUP($B838,NIFTY_AUTO!$B$63:$K$1238,10,0)</f>
        <v>-0.23845018114174588</v>
      </c>
      <c r="AC838" s="8">
        <f>+VLOOKUP($B838,EBBETF0430!$B$63:$K$1238,10,0)</f>
        <v>0.73667043866072013</v>
      </c>
      <c r="AD838" s="16">
        <f t="shared" si="482"/>
        <v>0.27462487360927873</v>
      </c>
      <c r="AE838" s="8">
        <f t="shared" si="483"/>
        <v>0.34441262803761574</v>
      </c>
      <c r="AF838" s="8">
        <f t="shared" si="484"/>
        <v>0.26887154310280204</v>
      </c>
      <c r="AG838" s="8">
        <f t="shared" si="485"/>
        <v>0.23250690394487267</v>
      </c>
      <c r="AH838" s="8">
        <f t="shared" si="486"/>
        <v>0.22943877300767734</v>
      </c>
      <c r="AI838" s="8">
        <f t="shared" si="487"/>
        <v>0.31531562610544916</v>
      </c>
      <c r="AJ838" s="8">
        <f t="shared" si="488"/>
        <v>0.2629153952896634</v>
      </c>
      <c r="AK838" s="8">
        <f t="shared" si="489"/>
        <v>0.30864787983803199</v>
      </c>
      <c r="AL838" s="9">
        <v>0</v>
      </c>
      <c r="AM838" s="17">
        <f t="shared" si="466"/>
        <v>3.6413307609664862</v>
      </c>
      <c r="AN838" s="13">
        <f t="shared" si="467"/>
        <v>2.9034940028121818</v>
      </c>
      <c r="AO838" s="13">
        <f t="shared" si="468"/>
        <v>3.719248189897336</v>
      </c>
      <c r="AP838" s="13">
        <f t="shared" si="469"/>
        <v>4.3009475548179843</v>
      </c>
      <c r="AQ838" s="13">
        <f t="shared" si="470"/>
        <v>4.3584612438915835</v>
      </c>
      <c r="AR838" s="13">
        <f t="shared" si="471"/>
        <v>3.1714254455171713</v>
      </c>
      <c r="AS838" s="13">
        <f t="shared" si="472"/>
        <v>3.8035049217953318</v>
      </c>
      <c r="AT838" s="13">
        <f t="shared" si="473"/>
        <v>3.2399380177980368</v>
      </c>
      <c r="AU838" s="9">
        <v>0</v>
      </c>
      <c r="AV838" s="18">
        <f t="shared" si="490"/>
        <v>5</v>
      </c>
      <c r="AW838" s="18">
        <f t="shared" si="491"/>
        <v>8</v>
      </c>
      <c r="AX838" s="18">
        <f t="shared" si="492"/>
        <v>4</v>
      </c>
      <c r="AY838" s="18">
        <f t="shared" si="493"/>
        <v>2</v>
      </c>
      <c r="AZ838" s="18">
        <f t="shared" si="494"/>
        <v>1</v>
      </c>
      <c r="BA838" s="18">
        <f t="shared" si="495"/>
        <v>7</v>
      </c>
      <c r="BB838" s="18">
        <f t="shared" si="496"/>
        <v>3</v>
      </c>
      <c r="BC838" s="18">
        <f t="shared" si="497"/>
        <v>6</v>
      </c>
      <c r="BD838" s="18">
        <f t="shared" si="498"/>
        <v>9</v>
      </c>
      <c r="BE838" s="8">
        <f t="shared" si="500"/>
        <v>-3.9598283393707558E-3</v>
      </c>
    </row>
    <row r="839" spans="1:57" x14ac:dyDescent="0.25">
      <c r="A839" t="str">
        <f t="shared" si="499"/>
        <v/>
      </c>
      <c r="B839" s="1">
        <v>43978</v>
      </c>
      <c r="C839" s="9">
        <f t="shared" si="474"/>
        <v>0</v>
      </c>
      <c r="D839" s="9">
        <f t="shared" si="475"/>
        <v>0</v>
      </c>
      <c r="E839" s="9">
        <f t="shared" si="476"/>
        <v>0.25007777475572257</v>
      </c>
      <c r="F839" s="9">
        <f t="shared" si="477"/>
        <v>0.25656813094801645</v>
      </c>
      <c r="G839" s="9">
        <f t="shared" si="478"/>
        <v>0.2489231181305982</v>
      </c>
      <c r="H839" s="9">
        <f t="shared" si="479"/>
        <v>0</v>
      </c>
      <c r="I839" s="9">
        <f t="shared" si="480"/>
        <v>0.24443097616566256</v>
      </c>
      <c r="J839" s="9">
        <f t="shared" si="481"/>
        <v>0</v>
      </c>
      <c r="K839" s="9">
        <v>0</v>
      </c>
      <c r="L839" s="8">
        <f>+VLOOKUP($B839,NIFTY_50!$B$3:$I$1238,8,0)</f>
        <v>3.1664460823674911E-2</v>
      </c>
      <c r="M839" s="8">
        <f>+VLOOKUP($B839,NIFTY_BANK!$B$3:$I$41238,8,0)</f>
        <v>7.2831107173881415E-2</v>
      </c>
      <c r="N839" s="8">
        <f>+VLOOKUP($B839,NIFTY_IT!$B$3:$I$1238,8,0)</f>
        <v>2.7841723173934296E-2</v>
      </c>
      <c r="O839" s="8">
        <f>+VLOOKUP($B839,NIFTY_PHARMA!$B$3:$I$1238,8,0)</f>
        <v>-2.0878367691252731E-3</v>
      </c>
      <c r="P839" s="8">
        <f>+VLOOKUP($B839,NIFTY_FMCG!$B$3:$I$1238,8,0)</f>
        <v>3.5594528185818319E-3</v>
      </c>
      <c r="Q839" s="8">
        <f>+VLOOKUP($B839,NIFTY_METAL!$B$3:$I$1238,8,0)</f>
        <v>2.5564380675833442E-2</v>
      </c>
      <c r="R839" s="8">
        <f>+VLOOKUP($B839,NIFTY_ENERGY!$B$3:$I$1238,8,0)</f>
        <v>1.5687464805045126E-2</v>
      </c>
      <c r="S839" s="8">
        <f>+VLOOKUP($B839,NIFTY_AUTO!$B$3:$I$1238,8,0)</f>
        <v>7.2852433254189108E-3</v>
      </c>
      <c r="T839" s="8">
        <v>0</v>
      </c>
      <c r="U839" s="8">
        <f>+VLOOKUP($B839,NIFTY_50!$B$63:$K$1238,10,0)</f>
        <v>-0.22894912195747807</v>
      </c>
      <c r="V839" s="8">
        <f>+VLOOKUP($B839,NIFTY_BANK!$B$63:$K$1238,10,0)</f>
        <v>-0.39531911249286988</v>
      </c>
      <c r="W839" s="8">
        <f>+VLOOKUP($B839,NIFTY_IT!$B$63:$K$1238,10,0)</f>
        <v>-0.16195778826864637</v>
      </c>
      <c r="X839" s="8">
        <f>+VLOOKUP($B839,NIFTY_PHARMA!$B$63:$K$1238,10,0)</f>
        <v>0.13143280709200367</v>
      </c>
      <c r="Y839" s="8">
        <f>+VLOOKUP($B839,NIFTY_FMCG!$B$63:$K$1238,10,0)</f>
        <v>-7.8790648333265323E-2</v>
      </c>
      <c r="Z839" s="8">
        <f>+VLOOKUP($B839,NIFTY_METAL!$B$63:$K$1238,10,0)</f>
        <v>-0.31046033113216576</v>
      </c>
      <c r="AA839" s="8">
        <f>+VLOOKUP($B839,NIFTY_ENERGY!$B$63:$K$1238,10,0)</f>
        <v>-0.15157146050248027</v>
      </c>
      <c r="AB839" s="8">
        <f>+VLOOKUP($B839,NIFTY_AUTO!$B$63:$K$1238,10,0)</f>
        <v>-0.23395341586666496</v>
      </c>
      <c r="AC839" s="8">
        <f>+VLOOKUP($B839,EBBETF0430!$B$63:$K$1238,10,0)</f>
        <v>1.1535449089614485</v>
      </c>
      <c r="AD839" s="16">
        <f t="shared" si="482"/>
        <v>0.27691825934999226</v>
      </c>
      <c r="AE839" s="8">
        <f t="shared" si="483"/>
        <v>0.35353434281362572</v>
      </c>
      <c r="AF839" s="8">
        <f t="shared" si="484"/>
        <v>0.27054458258407627</v>
      </c>
      <c r="AG839" s="8">
        <f t="shared" si="485"/>
        <v>0.23251406592353971</v>
      </c>
      <c r="AH839" s="8">
        <f t="shared" si="486"/>
        <v>0.22941912229886655</v>
      </c>
      <c r="AI839" s="8">
        <f t="shared" si="487"/>
        <v>0.31654013162837275</v>
      </c>
      <c r="AJ839" s="8">
        <f t="shared" si="488"/>
        <v>0.2635184987638074</v>
      </c>
      <c r="AK839" s="8">
        <f t="shared" si="489"/>
        <v>0.30880003243762838</v>
      </c>
      <c r="AL839" s="9">
        <v>0</v>
      </c>
      <c r="AM839" s="17">
        <f t="shared" si="466"/>
        <v>3.6111739339518132</v>
      </c>
      <c r="AN839" s="13">
        <f t="shared" si="467"/>
        <v>2.8285795151934487</v>
      </c>
      <c r="AO839" s="13">
        <f t="shared" si="468"/>
        <v>3.696248472058143</v>
      </c>
      <c r="AP839" s="13">
        <f t="shared" si="469"/>
        <v>4.3008150755440386</v>
      </c>
      <c r="AQ839" s="13">
        <f t="shared" si="470"/>
        <v>4.3588345643537512</v>
      </c>
      <c r="AR839" s="13">
        <f t="shared" si="471"/>
        <v>3.15915708651448</v>
      </c>
      <c r="AS839" s="13">
        <f t="shared" si="472"/>
        <v>3.7948000033815603</v>
      </c>
      <c r="AT839" s="13">
        <f t="shared" si="473"/>
        <v>3.238341628743127</v>
      </c>
      <c r="AU839" s="9">
        <v>0</v>
      </c>
      <c r="AV839" s="18">
        <f t="shared" si="490"/>
        <v>5</v>
      </c>
      <c r="AW839" s="18">
        <f t="shared" si="491"/>
        <v>8</v>
      </c>
      <c r="AX839" s="18">
        <f t="shared" si="492"/>
        <v>4</v>
      </c>
      <c r="AY839" s="18">
        <f t="shared" si="493"/>
        <v>2</v>
      </c>
      <c r="AZ839" s="18">
        <f t="shared" si="494"/>
        <v>1</v>
      </c>
      <c r="BA839" s="18">
        <f t="shared" si="495"/>
        <v>7</v>
      </c>
      <c r="BB839" s="18">
        <f t="shared" si="496"/>
        <v>3</v>
      </c>
      <c r="BC839" s="18">
        <f t="shared" si="497"/>
        <v>6</v>
      </c>
      <c r="BD839" s="18">
        <f t="shared" si="498"/>
        <v>9</v>
      </c>
      <c r="BE839" s="8">
        <f t="shared" si="500"/>
        <v>1.1015385308784105E-2</v>
      </c>
    </row>
    <row r="840" spans="1:57" x14ac:dyDescent="0.25">
      <c r="A840" t="str">
        <f t="shared" si="499"/>
        <v/>
      </c>
      <c r="B840" s="1">
        <v>43979</v>
      </c>
      <c r="C840" s="9">
        <f t="shared" si="474"/>
        <v>0</v>
      </c>
      <c r="D840" s="9">
        <f t="shared" si="475"/>
        <v>0</v>
      </c>
      <c r="E840" s="9">
        <f t="shared" si="476"/>
        <v>0.24996458739569091</v>
      </c>
      <c r="F840" s="9">
        <f t="shared" si="477"/>
        <v>0.25508972217609838</v>
      </c>
      <c r="G840" s="9">
        <f t="shared" si="478"/>
        <v>0.24947758046627</v>
      </c>
      <c r="H840" s="9">
        <f t="shared" si="479"/>
        <v>0</v>
      </c>
      <c r="I840" s="9">
        <f t="shared" si="480"/>
        <v>0.2454681099619406</v>
      </c>
      <c r="J840" s="9">
        <f t="shared" si="481"/>
        <v>0</v>
      </c>
      <c r="K840" s="9">
        <v>0</v>
      </c>
      <c r="L840" s="8">
        <f>+VLOOKUP($B840,NIFTY_50!$B$3:$I$1238,8,0)</f>
        <v>1.8803106833638283E-2</v>
      </c>
      <c r="M840" s="8">
        <f>+VLOOKUP($B840,NIFTY_BANK!$B$3:$I$41238,8,0)</f>
        <v>2.4544975962758953E-2</v>
      </c>
      <c r="N840" s="8">
        <f>+VLOOKUP($B840,NIFTY_IT!$B$3:$I$1238,8,0)</f>
        <v>5.4253954375076408E-3</v>
      </c>
      <c r="O840" s="8">
        <f>+VLOOKUP($B840,NIFTY_PHARMA!$B$3:$I$1238,8,0)</f>
        <v>8.4533533395880767E-5</v>
      </c>
      <c r="P840" s="8">
        <f>+VLOOKUP($B840,NIFTY_FMCG!$B$3:$I$1238,8,0)</f>
        <v>8.1212086852995302E-3</v>
      </c>
      <c r="Q840" s="8">
        <f>+VLOOKUP($B840,NIFTY_METAL!$B$3:$I$1238,8,0)</f>
        <v>2.4011103400416456E-2</v>
      </c>
      <c r="R840" s="8">
        <f>+VLOOKUP($B840,NIFTY_ENERGY!$B$3:$I$1238,8,0)</f>
        <v>1.0148671550296973E-2</v>
      </c>
      <c r="S840" s="8">
        <f>+VLOOKUP($B840,NIFTY_AUTO!$B$3:$I$1238,8,0)</f>
        <v>3.6518878403242416E-2</v>
      </c>
      <c r="T840" s="8">
        <v>0</v>
      </c>
      <c r="U840" s="8">
        <f>+VLOOKUP($B840,NIFTY_50!$B$63:$K$1238,10,0)</f>
        <v>-0.19775305594535642</v>
      </c>
      <c r="V840" s="8">
        <f>+VLOOKUP($B840,NIFTY_BANK!$B$63:$K$1238,10,0)</f>
        <v>-0.37055534212660601</v>
      </c>
      <c r="W840" s="8">
        <f>+VLOOKUP($B840,NIFTY_IT!$B$63:$K$1238,10,0)</f>
        <v>-0.14780886658810088</v>
      </c>
      <c r="X840" s="8">
        <f>+VLOOKUP($B840,NIFTY_PHARMA!$B$63:$K$1238,10,0)</f>
        <v>0.16621793963440545</v>
      </c>
      <c r="Y840" s="8">
        <f>+VLOOKUP($B840,NIFTY_FMCG!$B$63:$K$1238,10,0)</f>
        <v>-5.6256551101911967E-2</v>
      </c>
      <c r="Z840" s="8">
        <f>+VLOOKUP($B840,NIFTY_METAL!$B$63:$K$1238,10,0)</f>
        <v>-0.2531179138321995</v>
      </c>
      <c r="AA840" s="8">
        <f>+VLOOKUP($B840,NIFTY_ENERGY!$B$63:$K$1238,10,0)</f>
        <v>-0.12185650950780902</v>
      </c>
      <c r="AB840" s="8">
        <f>+VLOOKUP($B840,NIFTY_AUTO!$B$63:$K$1238,10,0)</f>
        <v>-0.17724892651869006</v>
      </c>
      <c r="AC840" s="8">
        <f>+VLOOKUP($B840,EBBETF0430!$B$63:$K$1238,10,0)</f>
        <v>4.7698842227855041</v>
      </c>
      <c r="AD840" s="16">
        <f t="shared" si="482"/>
        <v>0.27724444434678919</v>
      </c>
      <c r="AE840" s="8">
        <f t="shared" si="483"/>
        <v>0.35481153522813214</v>
      </c>
      <c r="AF840" s="8">
        <f t="shared" si="484"/>
        <v>0.27049697405534162</v>
      </c>
      <c r="AG840" s="8">
        <f t="shared" si="485"/>
        <v>0.23025232345187832</v>
      </c>
      <c r="AH840" s="8">
        <f t="shared" si="486"/>
        <v>0.22908298882663169</v>
      </c>
      <c r="AI840" s="8">
        <f t="shared" si="487"/>
        <v>0.31387057390721057</v>
      </c>
      <c r="AJ840" s="8">
        <f t="shared" si="488"/>
        <v>0.26285541264168677</v>
      </c>
      <c r="AK840" s="8">
        <f t="shared" si="489"/>
        <v>0.30967361356575807</v>
      </c>
      <c r="AL840" s="9">
        <v>0</v>
      </c>
      <c r="AM840" s="17">
        <f t="shared" si="466"/>
        <v>3.6069252978398993</v>
      </c>
      <c r="AN840" s="13">
        <f t="shared" si="467"/>
        <v>2.8183976582301162</v>
      </c>
      <c r="AO840" s="13">
        <f t="shared" si="468"/>
        <v>3.6968990262915384</v>
      </c>
      <c r="AP840" s="13">
        <f t="shared" si="469"/>
        <v>4.3430614944869186</v>
      </c>
      <c r="AQ840" s="13">
        <f t="shared" si="470"/>
        <v>4.3652302823619635</v>
      </c>
      <c r="AR840" s="13">
        <f t="shared" si="471"/>
        <v>3.1860266082019835</v>
      </c>
      <c r="AS840" s="13">
        <f t="shared" si="472"/>
        <v>3.8043728677680195</v>
      </c>
      <c r="AT840" s="13">
        <f t="shared" si="473"/>
        <v>3.2292063520860927</v>
      </c>
      <c r="AU840" s="9">
        <v>0</v>
      </c>
      <c r="AV840" s="18">
        <f t="shared" si="490"/>
        <v>5</v>
      </c>
      <c r="AW840" s="18">
        <f t="shared" si="491"/>
        <v>8</v>
      </c>
      <c r="AX840" s="18">
        <f t="shared" si="492"/>
        <v>4</v>
      </c>
      <c r="AY840" s="18">
        <f t="shared" si="493"/>
        <v>2</v>
      </c>
      <c r="AZ840" s="18">
        <f t="shared" si="494"/>
        <v>1</v>
      </c>
      <c r="BA840" s="18">
        <f t="shared" si="495"/>
        <v>7</v>
      </c>
      <c r="BB840" s="18">
        <f t="shared" si="496"/>
        <v>3</v>
      </c>
      <c r="BC840" s="18">
        <f t="shared" si="497"/>
        <v>6</v>
      </c>
      <c r="BD840" s="18">
        <f t="shared" si="498"/>
        <v>9</v>
      </c>
      <c r="BE840" s="8">
        <f t="shared" si="500"/>
        <v>5.880665711605405E-3</v>
      </c>
    </row>
    <row r="841" spans="1:57" x14ac:dyDescent="0.25">
      <c r="A841" t="str">
        <f t="shared" si="499"/>
        <v>Y</v>
      </c>
      <c r="B841" s="1">
        <v>43980</v>
      </c>
      <c r="C841" s="9">
        <f t="shared" si="474"/>
        <v>0</v>
      </c>
      <c r="D841" s="9">
        <f t="shared" si="475"/>
        <v>0</v>
      </c>
      <c r="E841" s="9">
        <f t="shared" si="476"/>
        <v>0.25</v>
      </c>
      <c r="F841" s="9">
        <f t="shared" si="477"/>
        <v>0.25</v>
      </c>
      <c r="G841" s="9">
        <f t="shared" si="478"/>
        <v>0.25</v>
      </c>
      <c r="H841" s="9">
        <f t="shared" si="479"/>
        <v>0</v>
      </c>
      <c r="I841" s="9">
        <f t="shared" si="480"/>
        <v>0.25</v>
      </c>
      <c r="J841" s="9">
        <f t="shared" si="481"/>
        <v>0</v>
      </c>
      <c r="K841" s="9">
        <v>0</v>
      </c>
      <c r="L841" s="8">
        <f>+VLOOKUP($B841,NIFTY_50!$B$3:$I$1238,8,0)</f>
        <v>9.5046416792234911E-3</v>
      </c>
      <c r="M841" s="8">
        <f>+VLOOKUP($B841,NIFTY_BANK!$B$3:$I$41238,8,0)</f>
        <v>6.6484783357156907E-3</v>
      </c>
      <c r="N841" s="8">
        <f>+VLOOKUP($B841,NIFTY_IT!$B$3:$I$1238,8,0)</f>
        <v>-1.2902214048443605E-3</v>
      </c>
      <c r="O841" s="8">
        <f>+VLOOKUP($B841,NIFTY_PHARMA!$B$3:$I$1238,8,0)</f>
        <v>3.2130593269586338E-2</v>
      </c>
      <c r="P841" s="8">
        <f>+VLOOKUP($B841,NIFTY_FMCG!$B$3:$I$1238,8,0)</f>
        <v>2.9711861547329521E-2</v>
      </c>
      <c r="Q841" s="8">
        <f>+VLOOKUP($B841,NIFTY_METAL!$B$3:$I$1238,8,0)</f>
        <v>1.9165085388994196E-2</v>
      </c>
      <c r="R841" s="8">
        <f>+VLOOKUP($B841,NIFTY_ENERGY!$B$3:$I$1238,8,0)</f>
        <v>1.6776956014013189E-2</v>
      </c>
      <c r="S841" s="8">
        <f>+VLOOKUP($B841,NIFTY_AUTO!$B$3:$I$1238,8,0)</f>
        <v>1.7423882990036388E-2</v>
      </c>
      <c r="T841" s="8">
        <v>0</v>
      </c>
      <c r="U841" s="8">
        <f>+VLOOKUP($B841,NIFTY_50!$B$63:$K$1238,10,0)</f>
        <v>-0.18796565490468642</v>
      </c>
      <c r="V841" s="8">
        <f>+VLOOKUP($B841,NIFTY_BANK!$B$63:$K$1238,10,0)</f>
        <v>-0.36590410972407972</v>
      </c>
      <c r="W841" s="8">
        <f>+VLOOKUP($B841,NIFTY_IT!$B$63:$K$1238,10,0)</f>
        <v>-0.15408301886792453</v>
      </c>
      <c r="X841" s="8">
        <f>+VLOOKUP($B841,NIFTY_PHARMA!$B$63:$K$1238,10,0)</f>
        <v>0.23054248625361384</v>
      </c>
      <c r="Y841" s="8">
        <f>+VLOOKUP($B841,NIFTY_FMCG!$B$63:$K$1238,10,0)</f>
        <v>-2.9040671854493438E-2</v>
      </c>
      <c r="Z841" s="8">
        <f>+VLOOKUP($B841,NIFTY_METAL!$B$63:$K$1238,10,0)</f>
        <v>-0.23903495456109458</v>
      </c>
      <c r="AA841" s="8">
        <f>+VLOOKUP($B841,NIFTY_ENERGY!$B$63:$K$1238,10,0)</f>
        <v>-9.6524936271474848E-2</v>
      </c>
      <c r="AB841" s="8">
        <f>+VLOOKUP($B841,NIFTY_AUTO!$B$63:$K$1238,10,0)</f>
        <v>-0.15574260114037464</v>
      </c>
      <c r="AC841" s="8">
        <f>+VLOOKUP($B841,EBBETF0430!$B$63:$K$1238,10,0)</f>
        <v>1.5679191528248131</v>
      </c>
      <c r="AD841" s="16">
        <f t="shared" si="482"/>
        <v>0.27752005880520048</v>
      </c>
      <c r="AE841" s="8">
        <f t="shared" si="483"/>
        <v>0.35500703900129627</v>
      </c>
      <c r="AF841" s="8">
        <f t="shared" si="484"/>
        <v>0.27037407235821598</v>
      </c>
      <c r="AG841" s="8">
        <f t="shared" si="485"/>
        <v>0.23066294472178026</v>
      </c>
      <c r="AH841" s="8">
        <f t="shared" si="486"/>
        <v>0.23103508311076712</v>
      </c>
      <c r="AI841" s="8">
        <f t="shared" si="487"/>
        <v>0.3146826341125703</v>
      </c>
      <c r="AJ841" s="8">
        <f t="shared" si="488"/>
        <v>0.26327216733013759</v>
      </c>
      <c r="AK841" s="8">
        <f t="shared" si="489"/>
        <v>0.31022955074429953</v>
      </c>
      <c r="AL841" s="9">
        <v>0</v>
      </c>
      <c r="AM841" s="17">
        <f t="shared" si="466"/>
        <v>3.6033431396104221</v>
      </c>
      <c r="AN841" s="13">
        <f t="shared" si="467"/>
        <v>2.8168455555506564</v>
      </c>
      <c r="AO841" s="13">
        <f t="shared" si="468"/>
        <v>3.698579494986153</v>
      </c>
      <c r="AP841" s="13">
        <f t="shared" si="469"/>
        <v>4.3353300687554057</v>
      </c>
      <c r="AQ841" s="13">
        <f t="shared" si="470"/>
        <v>4.3283469615762273</v>
      </c>
      <c r="AR841" s="13">
        <f t="shared" si="471"/>
        <v>3.1778048471599916</v>
      </c>
      <c r="AS841" s="13">
        <f t="shared" si="472"/>
        <v>3.798350619972759</v>
      </c>
      <c r="AT841" s="13">
        <f t="shared" si="473"/>
        <v>3.2234195536847161</v>
      </c>
      <c r="AU841" s="9">
        <v>0</v>
      </c>
      <c r="AV841" s="18">
        <f t="shared" si="490"/>
        <v>5</v>
      </c>
      <c r="AW841" s="18">
        <f t="shared" si="491"/>
        <v>8</v>
      </c>
      <c r="AX841" s="18">
        <f t="shared" si="492"/>
        <v>4</v>
      </c>
      <c r="AY841" s="18">
        <f t="shared" si="493"/>
        <v>1</v>
      </c>
      <c r="AZ841" s="18">
        <f t="shared" si="494"/>
        <v>2</v>
      </c>
      <c r="BA841" s="18">
        <f t="shared" si="495"/>
        <v>7</v>
      </c>
      <c r="BB841" s="18">
        <f t="shared" si="496"/>
        <v>3</v>
      </c>
      <c r="BC841" s="18">
        <f t="shared" si="497"/>
        <v>6</v>
      </c>
      <c r="BD841" s="18">
        <f t="shared" si="498"/>
        <v>9</v>
      </c>
      <c r="BE841" s="8">
        <f t="shared" si="500"/>
        <v>1.9404325463031988E-2</v>
      </c>
    </row>
    <row r="842" spans="1:57" x14ac:dyDescent="0.25">
      <c r="A842" t="str">
        <f t="shared" si="499"/>
        <v/>
      </c>
      <c r="B842" s="1">
        <v>43983</v>
      </c>
      <c r="C842" s="9">
        <f t="shared" si="474"/>
        <v>0</v>
      </c>
      <c r="D842" s="9">
        <f t="shared" si="475"/>
        <v>0</v>
      </c>
      <c r="E842" s="9">
        <f t="shared" si="476"/>
        <v>0.25178057170663221</v>
      </c>
      <c r="F842" s="9">
        <f t="shared" si="477"/>
        <v>0.24740646228338686</v>
      </c>
      <c r="G842" s="9">
        <f t="shared" si="478"/>
        <v>0.24886982616753273</v>
      </c>
      <c r="H842" s="9">
        <f t="shared" si="479"/>
        <v>0</v>
      </c>
      <c r="I842" s="9">
        <f t="shared" si="480"/>
        <v>0.25194313984244826</v>
      </c>
      <c r="J842" s="9">
        <f t="shared" si="481"/>
        <v>0</v>
      </c>
      <c r="K842" s="9">
        <v>0</v>
      </c>
      <c r="L842" s="8">
        <f>+VLOOKUP($B842,NIFTY_50!$B$3:$I$1238,8,0)</f>
        <v>2.5662035635627412E-2</v>
      </c>
      <c r="M842" s="8">
        <f>+VLOOKUP($B842,NIFTY_BANK!$B$3:$I$41238,8,0)</f>
        <v>3.4339089766676656E-2</v>
      </c>
      <c r="N842" s="8">
        <f>+VLOOKUP($B842,NIFTY_IT!$B$3:$I$1238,8,0)</f>
        <v>2.1169836908033313E-2</v>
      </c>
      <c r="O842" s="8">
        <f>+VLOOKUP($B842,NIFTY_PHARMA!$B$3:$I$1238,8,0)</f>
        <v>3.4293552812070249E-3</v>
      </c>
      <c r="P842" s="8">
        <f>+VLOOKUP($B842,NIFTY_FMCG!$B$3:$I$1238,8,0)</f>
        <v>9.3644560269925403E-3</v>
      </c>
      <c r="Q842" s="8">
        <f>+VLOOKUP($B842,NIFTY_METAL!$B$3:$I$1238,8,0)</f>
        <v>3.8646700534617162E-2</v>
      </c>
      <c r="R842" s="8">
        <f>+VLOOKUP($B842,NIFTY_ENERGY!$B$3:$I$1238,8,0)</f>
        <v>2.1829179587305347E-2</v>
      </c>
      <c r="S842" s="8">
        <f>+VLOOKUP($B842,NIFTY_AUTO!$B$3:$I$1238,8,0)</f>
        <v>3.2273107351900698E-2</v>
      </c>
      <c r="T842" s="8">
        <v>0</v>
      </c>
      <c r="U842" s="8">
        <f>+VLOOKUP($B842,NIFTY_50!$B$63:$K$1238,10,0)</f>
        <v>-0.15861197927816073</v>
      </c>
      <c r="V842" s="8">
        <f>+VLOOKUP($B842,NIFTY_BANK!$B$63:$K$1238,10,0)</f>
        <v>-0.34140631573390168</v>
      </c>
      <c r="W842" s="8">
        <f>+VLOOKUP($B842,NIFTY_IT!$B$63:$K$1238,10,0)</f>
        <v>-0.1239969998010072</v>
      </c>
      <c r="X842" s="8">
        <f>+VLOOKUP($B842,NIFTY_PHARMA!$B$63:$K$1238,10,0)</f>
        <v>0.25039544851515472</v>
      </c>
      <c r="Y842" s="8">
        <f>+VLOOKUP($B842,NIFTY_FMCG!$B$63:$K$1238,10,0)</f>
        <v>-1.3156775029992795E-2</v>
      </c>
      <c r="Z842" s="8">
        <f>+VLOOKUP($B842,NIFTY_METAL!$B$63:$K$1238,10,0)</f>
        <v>-0.19650205761316875</v>
      </c>
      <c r="AA842" s="8">
        <f>+VLOOKUP($B842,NIFTY_ENERGY!$B$63:$K$1238,10,0)</f>
        <v>-5.9486810855761574E-2</v>
      </c>
      <c r="AB842" s="8">
        <f>+VLOOKUP($B842,NIFTY_AUTO!$B$63:$K$1238,10,0)</f>
        <v>-0.10938616388848421</v>
      </c>
      <c r="AC842" s="8">
        <f>+VLOOKUP($B842,EBBETF0430!$B$63:$K$1238,10,0)</f>
        <v>6.3706840390879478</v>
      </c>
      <c r="AD842" s="16">
        <f t="shared" si="482"/>
        <v>0.27883724947601629</v>
      </c>
      <c r="AE842" s="8">
        <f t="shared" si="483"/>
        <v>0.35729360921252362</v>
      </c>
      <c r="AF842" s="8">
        <f t="shared" si="484"/>
        <v>0.27108407501755716</v>
      </c>
      <c r="AG842" s="8">
        <f t="shared" si="485"/>
        <v>0.2300744421035178</v>
      </c>
      <c r="AH842" s="8">
        <f t="shared" si="486"/>
        <v>0.23111599114583253</v>
      </c>
      <c r="AI842" s="8">
        <f t="shared" si="487"/>
        <v>0.31717952224301643</v>
      </c>
      <c r="AJ842" s="8">
        <f t="shared" si="488"/>
        <v>0.26364917270964411</v>
      </c>
      <c r="AK842" s="8">
        <f t="shared" si="489"/>
        <v>0.31142898368364053</v>
      </c>
      <c r="AL842" s="9">
        <v>0</v>
      </c>
      <c r="AM842" s="17">
        <f t="shared" si="466"/>
        <v>3.5863214182437031</v>
      </c>
      <c r="AN842" s="13">
        <f t="shared" si="467"/>
        <v>2.7988186024485677</v>
      </c>
      <c r="AO842" s="13">
        <f t="shared" si="468"/>
        <v>3.6888924586781187</v>
      </c>
      <c r="AP842" s="13">
        <f t="shared" si="469"/>
        <v>4.3464193191439673</v>
      </c>
      <c r="AQ842" s="13">
        <f t="shared" si="470"/>
        <v>4.3268317135572296</v>
      </c>
      <c r="AR842" s="13">
        <f t="shared" si="471"/>
        <v>3.1527886571246571</v>
      </c>
      <c r="AS842" s="13">
        <f t="shared" si="472"/>
        <v>3.7929191649741925</v>
      </c>
      <c r="AT842" s="13">
        <f t="shared" si="473"/>
        <v>3.211004923728717</v>
      </c>
      <c r="AU842" s="9">
        <v>0</v>
      </c>
      <c r="AV842" s="18">
        <f t="shared" si="490"/>
        <v>5</v>
      </c>
      <c r="AW842" s="18">
        <f t="shared" si="491"/>
        <v>8</v>
      </c>
      <c r="AX842" s="18">
        <f t="shared" si="492"/>
        <v>4</v>
      </c>
      <c r="AY842" s="18">
        <f t="shared" si="493"/>
        <v>1</v>
      </c>
      <c r="AZ842" s="18">
        <f t="shared" si="494"/>
        <v>2</v>
      </c>
      <c r="BA842" s="18">
        <f t="shared" si="495"/>
        <v>7</v>
      </c>
      <c r="BB842" s="18">
        <f t="shared" si="496"/>
        <v>3</v>
      </c>
      <c r="BC842" s="18">
        <f t="shared" si="497"/>
        <v>6</v>
      </c>
      <c r="BD842" s="18">
        <f t="shared" si="498"/>
        <v>9</v>
      </c>
      <c r="BE842" s="8">
        <f t="shared" si="500"/>
        <v>1.3948206950884556E-2</v>
      </c>
    </row>
    <row r="843" spans="1:57" x14ac:dyDescent="0.25">
      <c r="A843" t="str">
        <f t="shared" si="499"/>
        <v/>
      </c>
      <c r="B843" s="1">
        <v>43984</v>
      </c>
      <c r="C843" s="9">
        <f t="shared" si="474"/>
        <v>0</v>
      </c>
      <c r="D843" s="9">
        <f t="shared" si="475"/>
        <v>0</v>
      </c>
      <c r="E843" s="9">
        <f t="shared" si="476"/>
        <v>0.25290426657285886</v>
      </c>
      <c r="F843" s="9">
        <f t="shared" si="477"/>
        <v>0.24731614366775348</v>
      </c>
      <c r="G843" s="9">
        <f t="shared" si="478"/>
        <v>0.2462088596829787</v>
      </c>
      <c r="H843" s="9">
        <f t="shared" si="479"/>
        <v>0</v>
      </c>
      <c r="I843" s="9">
        <f t="shared" si="480"/>
        <v>0.2535707300764089</v>
      </c>
      <c r="J843" s="9">
        <f t="shared" si="481"/>
        <v>0</v>
      </c>
      <c r="K843" s="9">
        <v>0</v>
      </c>
      <c r="L843" s="8">
        <f>+VLOOKUP($B843,NIFTY_50!$B$3:$I$1238,8,0)</f>
        <v>1.5565608096762329E-2</v>
      </c>
      <c r="M843" s="8">
        <f>+VLOOKUP($B843,NIFTY_BANK!$B$3:$I$41238,8,0)</f>
        <v>2.8572287436309685E-2</v>
      </c>
      <c r="N843" s="8">
        <f>+VLOOKUP($B843,NIFTY_IT!$B$3:$I$1238,8,0)</f>
        <v>8.0589357731475353E-3</v>
      </c>
      <c r="O843" s="8">
        <f>+VLOOKUP($B843,NIFTY_PHARMA!$B$3:$I$1238,8,0)</f>
        <v>3.2135970863387264E-3</v>
      </c>
      <c r="P843" s="8">
        <f>+VLOOKUP($B843,NIFTY_FMCG!$B$3:$I$1238,8,0)</f>
        <v>-7.1505141809795614E-3</v>
      </c>
      <c r="Q843" s="8">
        <f>+VLOOKUP($B843,NIFTY_METAL!$B$3:$I$1238,8,0)</f>
        <v>1.8437900128041029E-3</v>
      </c>
      <c r="R843" s="8">
        <f>+VLOOKUP($B843,NIFTY_ENERGY!$B$3:$I$1238,8,0)</f>
        <v>1.0063241817527713E-2</v>
      </c>
      <c r="S843" s="8">
        <f>+VLOOKUP($B843,NIFTY_AUTO!$B$3:$I$1238,8,0)</f>
        <v>8.0691642651296025E-3</v>
      </c>
      <c r="T843" s="8">
        <v>0</v>
      </c>
      <c r="U843" s="8">
        <f>+VLOOKUP($B843,NIFTY_50!$B$63:$K$1238,10,0)</f>
        <v>-0.14219524984312271</v>
      </c>
      <c r="V843" s="8">
        <f>+VLOOKUP($B843,NIFTY_BANK!$B$63:$K$1238,10,0)</f>
        <v>-0.31989929439825093</v>
      </c>
      <c r="W843" s="8">
        <f>+VLOOKUP($B843,NIFTY_IT!$B$63:$K$1238,10,0)</f>
        <v>-0.10552103102246368</v>
      </c>
      <c r="X843" s="8">
        <f>+VLOOKUP($B843,NIFTY_PHARMA!$B$63:$K$1238,10,0)</f>
        <v>0.24710373296639898</v>
      </c>
      <c r="Y843" s="8">
        <f>+VLOOKUP($B843,NIFTY_FMCG!$B$63:$K$1238,10,0)</f>
        <v>-2.0724654116579755E-2</v>
      </c>
      <c r="Z843" s="8">
        <f>+VLOOKUP($B843,NIFTY_METAL!$B$63:$K$1238,10,0)</f>
        <v>-0.1883570880272194</v>
      </c>
      <c r="AA843" s="8">
        <f>+VLOOKUP($B843,NIFTY_ENERGY!$B$63:$K$1238,10,0)</f>
        <v>-4.1875606384226383E-2</v>
      </c>
      <c r="AB843" s="8">
        <f>+VLOOKUP($B843,NIFTY_AUTO!$B$63:$K$1238,10,0)</f>
        <v>-9.8560354374307879E-2</v>
      </c>
      <c r="AC843" s="8">
        <f>+VLOOKUP($B843,EBBETF0430!$B$63:$K$1238,10,0)</f>
        <v>-0.38248662563855029</v>
      </c>
      <c r="AD843" s="16">
        <f t="shared" si="482"/>
        <v>0.27938487963981723</v>
      </c>
      <c r="AE843" s="8">
        <f t="shared" si="483"/>
        <v>0.3589096209364574</v>
      </c>
      <c r="AF843" s="8">
        <f t="shared" si="484"/>
        <v>0.27101006006923201</v>
      </c>
      <c r="AG843" s="8">
        <f t="shared" si="485"/>
        <v>0.23006919752692229</v>
      </c>
      <c r="AH843" s="8">
        <f t="shared" si="486"/>
        <v>0.23123132463238014</v>
      </c>
      <c r="AI843" s="8">
        <f t="shared" si="487"/>
        <v>0.31716288513777219</v>
      </c>
      <c r="AJ843" s="8">
        <f t="shared" si="488"/>
        <v>0.26372363877270338</v>
      </c>
      <c r="AK843" s="8">
        <f t="shared" si="489"/>
        <v>0.31154585094135268</v>
      </c>
      <c r="AL843" s="9">
        <v>0</v>
      </c>
      <c r="AM843" s="17">
        <f t="shared" si="466"/>
        <v>3.5792917687213395</v>
      </c>
      <c r="AN843" s="13">
        <f t="shared" si="467"/>
        <v>2.7862167567167098</v>
      </c>
      <c r="AO843" s="13">
        <f t="shared" si="468"/>
        <v>3.6898999238055623</v>
      </c>
      <c r="AP843" s="13">
        <f t="shared" si="469"/>
        <v>4.3465183985917184</v>
      </c>
      <c r="AQ843" s="13">
        <f t="shared" si="470"/>
        <v>4.324673577811466</v>
      </c>
      <c r="AR843" s="13">
        <f t="shared" si="471"/>
        <v>3.1529540398953384</v>
      </c>
      <c r="AS843" s="13">
        <f t="shared" si="472"/>
        <v>3.7918481811252205</v>
      </c>
      <c r="AT843" s="13">
        <f t="shared" si="473"/>
        <v>3.2098004097260349</v>
      </c>
      <c r="AU843" s="9">
        <v>0</v>
      </c>
      <c r="AV843" s="18">
        <f t="shared" si="490"/>
        <v>5</v>
      </c>
      <c r="AW843" s="18">
        <f t="shared" si="491"/>
        <v>8</v>
      </c>
      <c r="AX843" s="18">
        <f t="shared" si="492"/>
        <v>4</v>
      </c>
      <c r="AY843" s="18">
        <f t="shared" si="493"/>
        <v>1</v>
      </c>
      <c r="AZ843" s="18">
        <f t="shared" si="494"/>
        <v>2</v>
      </c>
      <c r="BA843" s="18">
        <f t="shared" si="495"/>
        <v>7</v>
      </c>
      <c r="BB843" s="18">
        <f t="shared" si="496"/>
        <v>3</v>
      </c>
      <c r="BC843" s="18">
        <f t="shared" si="497"/>
        <v>6</v>
      </c>
      <c r="BD843" s="18">
        <f t="shared" si="498"/>
        <v>9</v>
      </c>
      <c r="BE843" s="8">
        <f t="shared" si="500"/>
        <v>3.5799656619182772E-3</v>
      </c>
    </row>
    <row r="844" spans="1:57" x14ac:dyDescent="0.25">
      <c r="A844" t="str">
        <f t="shared" si="499"/>
        <v/>
      </c>
      <c r="B844" s="1">
        <v>43985</v>
      </c>
      <c r="C844" s="9">
        <f t="shared" si="474"/>
        <v>0</v>
      </c>
      <c r="D844" s="9">
        <f t="shared" si="475"/>
        <v>0</v>
      </c>
      <c r="E844" s="9">
        <f t="shared" si="476"/>
        <v>0.25137507416011712</v>
      </c>
      <c r="F844" s="9">
        <f t="shared" si="477"/>
        <v>0.24762411359986289</v>
      </c>
      <c r="G844" s="9">
        <f t="shared" si="478"/>
        <v>0.24715358241600516</v>
      </c>
      <c r="H844" s="9">
        <f t="shared" si="479"/>
        <v>0</v>
      </c>
      <c r="I844" s="9">
        <f t="shared" si="480"/>
        <v>0.25384722982401486</v>
      </c>
      <c r="J844" s="9">
        <f t="shared" si="481"/>
        <v>0</v>
      </c>
      <c r="K844" s="9">
        <v>0</v>
      </c>
      <c r="L844" s="8">
        <f>+VLOOKUP($B844,NIFTY_50!$B$3:$I$1238,8,0)</f>
        <v>8.2622681404134202E-3</v>
      </c>
      <c r="M844" s="8">
        <f>+VLOOKUP($B844,NIFTY_BANK!$B$3:$I$41238,8,0)</f>
        <v>1.9994934291921229E-2</v>
      </c>
      <c r="N844" s="8">
        <f>+VLOOKUP($B844,NIFTY_IT!$B$3:$I$1238,8,0)</f>
        <v>-4.2087308631018061E-3</v>
      </c>
      <c r="O844" s="8">
        <f>+VLOOKUP($B844,NIFTY_PHARMA!$B$3:$I$1238,8,0)</f>
        <v>3.0965261958997292E-3</v>
      </c>
      <c r="P844" s="8">
        <f>+VLOOKUP($B844,NIFTY_FMCG!$B$3:$I$1238,8,0)</f>
        <v>5.6931489772598098E-3</v>
      </c>
      <c r="Q844" s="8">
        <f>+VLOOKUP($B844,NIFTY_METAL!$B$3:$I$1238,8,0)</f>
        <v>-1.738152446193908E-3</v>
      </c>
      <c r="R844" s="8">
        <f>+VLOOKUP($B844,NIFTY_ENERGY!$B$3:$I$1238,8,0)</f>
        <v>2.9414164793506448E-3</v>
      </c>
      <c r="S844" s="8">
        <f>+VLOOKUP($B844,NIFTY_AUTO!$B$3:$I$1238,8,0)</f>
        <v>4.2263532829569517E-3</v>
      </c>
      <c r="T844" s="8">
        <v>0</v>
      </c>
      <c r="U844" s="8">
        <f>+VLOOKUP($B844,NIFTY_50!$B$63:$K$1238,10,0)</f>
        <v>-0.10178766710558629</v>
      </c>
      <c r="V844" s="8">
        <f>+VLOOKUP($B844,NIFTY_BANK!$B$63:$K$1238,10,0)</f>
        <v>-0.2815523987765528</v>
      </c>
      <c r="W844" s="8">
        <f>+VLOOKUP($B844,NIFTY_IT!$B$63:$K$1238,10,0)</f>
        <v>-5.595561676072025E-2</v>
      </c>
      <c r="X844" s="8">
        <f>+VLOOKUP($B844,NIFTY_PHARMA!$B$63:$K$1238,10,0)</f>
        <v>0.30188405318903211</v>
      </c>
      <c r="Y844" s="8">
        <f>+VLOOKUP($B844,NIFTY_FMCG!$B$63:$K$1238,10,0)</f>
        <v>7.3950239250775152E-3</v>
      </c>
      <c r="Z844" s="8">
        <f>+VLOOKUP($B844,NIFTY_METAL!$B$63:$K$1238,10,0)</f>
        <v>-0.13060706573762837</v>
      </c>
      <c r="AA844" s="8">
        <f>+VLOOKUP($B844,NIFTY_ENERGY!$B$63:$K$1238,10,0)</f>
        <v>-9.6293311845286889E-3</v>
      </c>
      <c r="AB844" s="8">
        <f>+VLOOKUP($B844,NIFTY_AUTO!$B$63:$K$1238,10,0)</f>
        <v>-5.8705523649504987E-2</v>
      </c>
      <c r="AC844" s="8">
        <f>+VLOOKUP($B844,EBBETF0430!$B$63:$K$1238,10,0)</f>
        <v>8.6778761061946899</v>
      </c>
      <c r="AD844" s="16">
        <f t="shared" si="482"/>
        <v>0.27727751309697712</v>
      </c>
      <c r="AE844" s="8">
        <f t="shared" si="483"/>
        <v>0.35853682641848439</v>
      </c>
      <c r="AF844" s="8">
        <f t="shared" si="484"/>
        <v>0.26524605909495214</v>
      </c>
      <c r="AG844" s="8">
        <f t="shared" si="485"/>
        <v>0.22591981806146433</v>
      </c>
      <c r="AH844" s="8">
        <f t="shared" si="486"/>
        <v>0.23017624301079048</v>
      </c>
      <c r="AI844" s="8">
        <f t="shared" si="487"/>
        <v>0.31021646003091807</v>
      </c>
      <c r="AJ844" s="8">
        <f t="shared" si="488"/>
        <v>0.26204306874708799</v>
      </c>
      <c r="AK844" s="8">
        <f t="shared" si="489"/>
        <v>0.30928710448717156</v>
      </c>
      <c r="AL844" s="9">
        <v>0</v>
      </c>
      <c r="AM844" s="17">
        <f t="shared" si="466"/>
        <v>3.606495127681892</v>
      </c>
      <c r="AN844" s="13">
        <f t="shared" si="467"/>
        <v>2.7891137710713139</v>
      </c>
      <c r="AO844" s="13">
        <f t="shared" si="468"/>
        <v>3.7700842885738122</v>
      </c>
      <c r="AP844" s="13">
        <f t="shared" si="469"/>
        <v>4.426349173705237</v>
      </c>
      <c r="AQ844" s="13">
        <f t="shared" si="470"/>
        <v>4.3444970120270874</v>
      </c>
      <c r="AR844" s="13">
        <f t="shared" si="471"/>
        <v>3.2235555776129154</v>
      </c>
      <c r="AS844" s="13">
        <f t="shared" si="472"/>
        <v>3.8161665743777196</v>
      </c>
      <c r="AT844" s="13">
        <f t="shared" si="473"/>
        <v>3.2332418180127438</v>
      </c>
      <c r="AU844" s="9">
        <v>0</v>
      </c>
      <c r="AV844" s="18">
        <f t="shared" si="490"/>
        <v>5</v>
      </c>
      <c r="AW844" s="18">
        <f t="shared" si="491"/>
        <v>8</v>
      </c>
      <c r="AX844" s="18">
        <f t="shared" si="492"/>
        <v>4</v>
      </c>
      <c r="AY844" s="18">
        <f t="shared" si="493"/>
        <v>1</v>
      </c>
      <c r="AZ844" s="18">
        <f t="shared" si="494"/>
        <v>2</v>
      </c>
      <c r="BA844" s="18">
        <f t="shared" si="495"/>
        <v>7</v>
      </c>
      <c r="BB844" s="18">
        <f t="shared" si="496"/>
        <v>3</v>
      </c>
      <c r="BC844" s="18">
        <f t="shared" si="497"/>
        <v>6</v>
      </c>
      <c r="BD844" s="18">
        <f t="shared" si="498"/>
        <v>9</v>
      </c>
      <c r="BE844" s="8">
        <f t="shared" si="500"/>
        <v>1.8489757672249594E-3</v>
      </c>
    </row>
    <row r="845" spans="1:57" x14ac:dyDescent="0.25">
      <c r="A845" t="str">
        <f t="shared" si="499"/>
        <v/>
      </c>
      <c r="B845" s="1">
        <v>43986</v>
      </c>
      <c r="C845" s="9">
        <f t="shared" si="474"/>
        <v>0</v>
      </c>
      <c r="D845" s="9">
        <f t="shared" si="475"/>
        <v>0</v>
      </c>
      <c r="E845" s="9">
        <f t="shared" si="476"/>
        <v>0.25242080422434932</v>
      </c>
      <c r="F845" s="9">
        <f t="shared" si="477"/>
        <v>0.2494282970190721</v>
      </c>
      <c r="G845" s="9">
        <f t="shared" si="478"/>
        <v>0.24445308836259289</v>
      </c>
      <c r="H845" s="9">
        <f t="shared" si="479"/>
        <v>0</v>
      </c>
      <c r="I845" s="9">
        <f t="shared" si="480"/>
        <v>0.2536978103939857</v>
      </c>
      <c r="J845" s="9">
        <f t="shared" si="481"/>
        <v>0</v>
      </c>
      <c r="K845" s="9">
        <v>0</v>
      </c>
      <c r="L845" s="8">
        <f>+VLOOKUP($B845,NIFTY_50!$B$3:$I$1238,8,0)</f>
        <v>-3.2251492066330822E-3</v>
      </c>
      <c r="M845" s="8">
        <f>+VLOOKUP($B845,NIFTY_BANK!$B$3:$I$41238,8,0)</f>
        <v>-2.6276581012096067E-2</v>
      </c>
      <c r="N845" s="8">
        <f>+VLOOKUP($B845,NIFTY_IT!$B$3:$I$1238,8,0)</f>
        <v>1.8504076815418768E-2</v>
      </c>
      <c r="O845" s="8">
        <f>+VLOOKUP($B845,NIFTY_PHARMA!$B$3:$I$1238,8,0)</f>
        <v>2.167466709921384E-2</v>
      </c>
      <c r="P845" s="8">
        <f>+VLOOKUP($B845,NIFTY_FMCG!$B$3:$I$1238,8,0)</f>
        <v>3.2021539607816063E-3</v>
      </c>
      <c r="Q845" s="8">
        <f>+VLOOKUP($B845,NIFTY_METAL!$B$3:$I$1238,8,0)</f>
        <v>1.0344650996056748E-2</v>
      </c>
      <c r="R845" s="8">
        <f>+VLOOKUP($B845,NIFTY_ENERGY!$B$3:$I$1238,8,0)</f>
        <v>1.3687585755443044E-2</v>
      </c>
      <c r="S845" s="8">
        <f>+VLOOKUP($B845,NIFTY_AUTO!$B$3:$I$1238,8,0)</f>
        <v>1.9542520369615346E-3</v>
      </c>
      <c r="T845" s="8">
        <v>0</v>
      </c>
      <c r="U845" s="8">
        <f>+VLOOKUP($B845,NIFTY_50!$B$63:$K$1238,10,0)</f>
        <v>-9.9135433742785883E-2</v>
      </c>
      <c r="V845" s="8">
        <f>+VLOOKUP($B845,NIFTY_BANK!$B$63:$K$1238,10,0)</f>
        <v>-0.29367578390212135</v>
      </c>
      <c r="W845" s="8">
        <f>+VLOOKUP($B845,NIFTY_IT!$B$63:$K$1238,10,0)</f>
        <v>-5.1867912481810219E-2</v>
      </c>
      <c r="X845" s="8">
        <f>+VLOOKUP($B845,NIFTY_PHARMA!$B$63:$K$1238,10,0)</f>
        <v>0.33745404838688264</v>
      </c>
      <c r="Y845" s="8">
        <f>+VLOOKUP($B845,NIFTY_FMCG!$B$63:$K$1238,10,0)</f>
        <v>1.6563768707809734E-2</v>
      </c>
      <c r="Z845" s="8">
        <f>+VLOOKUP($B845,NIFTY_METAL!$B$63:$K$1238,10,0)</f>
        <v>-0.10224790680742624</v>
      </c>
      <c r="AA845" s="8">
        <f>+VLOOKUP($B845,NIFTY_ENERGY!$B$63:$K$1238,10,0)</f>
        <v>2.1279449737500178E-2</v>
      </c>
      <c r="AB845" s="8">
        <f>+VLOOKUP($B845,NIFTY_AUTO!$B$63:$K$1238,10,0)</f>
        <v>-5.0394493138298579E-2</v>
      </c>
      <c r="AC845" s="8">
        <f>+VLOOKUP($B845,EBBETF0430!$B$63:$K$1238,10,0)</f>
        <v>1.0402590090090089</v>
      </c>
      <c r="AD845" s="16">
        <f t="shared" si="482"/>
        <v>0.27723938027160222</v>
      </c>
      <c r="AE845" s="8">
        <f t="shared" si="483"/>
        <v>0.35916369601124609</v>
      </c>
      <c r="AF845" s="8">
        <f t="shared" si="484"/>
        <v>0.2655212788518817</v>
      </c>
      <c r="AG845" s="8">
        <f t="shared" si="485"/>
        <v>0.22629402715042787</v>
      </c>
      <c r="AH845" s="8">
        <f t="shared" si="486"/>
        <v>0.23009941050968366</v>
      </c>
      <c r="AI845" s="8">
        <f t="shared" si="487"/>
        <v>0.30976487186900364</v>
      </c>
      <c r="AJ845" s="8">
        <f t="shared" si="488"/>
        <v>0.26177206318070645</v>
      </c>
      <c r="AK845" s="8">
        <f t="shared" si="489"/>
        <v>0.30922167124058125</v>
      </c>
      <c r="AL845" s="9">
        <v>0</v>
      </c>
      <c r="AM845" s="17">
        <f t="shared" si="466"/>
        <v>3.6069911822062695</v>
      </c>
      <c r="AN845" s="13">
        <f t="shared" si="467"/>
        <v>2.7842457662221185</v>
      </c>
      <c r="AO845" s="13">
        <f t="shared" si="468"/>
        <v>3.7661764975071534</v>
      </c>
      <c r="AP845" s="13">
        <f t="shared" si="469"/>
        <v>4.4190295810823796</v>
      </c>
      <c r="AQ845" s="13">
        <f t="shared" si="470"/>
        <v>4.3459476831554742</v>
      </c>
      <c r="AR845" s="13">
        <f t="shared" si="471"/>
        <v>3.2282550115072106</v>
      </c>
      <c r="AS845" s="13">
        <f t="shared" si="472"/>
        <v>3.8201173488466575</v>
      </c>
      <c r="AT845" s="13">
        <f t="shared" si="473"/>
        <v>3.2339259922761947</v>
      </c>
      <c r="AU845" s="9">
        <v>0</v>
      </c>
      <c r="AV845" s="18">
        <f t="shared" si="490"/>
        <v>5</v>
      </c>
      <c r="AW845" s="18">
        <f t="shared" si="491"/>
        <v>8</v>
      </c>
      <c r="AX845" s="18">
        <f t="shared" si="492"/>
        <v>4</v>
      </c>
      <c r="AY845" s="18">
        <f t="shared" si="493"/>
        <v>1</v>
      </c>
      <c r="AZ845" s="18">
        <f t="shared" si="494"/>
        <v>2</v>
      </c>
      <c r="BA845" s="18">
        <f t="shared" si="495"/>
        <v>7</v>
      </c>
      <c r="BB845" s="18">
        <f t="shared" si="496"/>
        <v>3</v>
      </c>
      <c r="BC845" s="18">
        <f t="shared" si="497"/>
        <v>6</v>
      </c>
      <c r="BD845" s="18">
        <f t="shared" si="498"/>
        <v>9</v>
      </c>
      <c r="BE845" s="8">
        <f t="shared" si="500"/>
        <v>1.4284613459607971E-2</v>
      </c>
    </row>
    <row r="846" spans="1:57" x14ac:dyDescent="0.25">
      <c r="A846" t="str">
        <f t="shared" si="499"/>
        <v/>
      </c>
      <c r="B846" s="1">
        <v>43987</v>
      </c>
      <c r="C846" s="9">
        <f t="shared" si="474"/>
        <v>0</v>
      </c>
      <c r="D846" s="9">
        <f t="shared" si="475"/>
        <v>0</v>
      </c>
      <c r="E846" s="9">
        <f t="shared" si="476"/>
        <v>0.25153632207920873</v>
      </c>
      <c r="F846" s="9">
        <f t="shared" si="477"/>
        <v>0.24863938943226527</v>
      </c>
      <c r="G846" s="9">
        <f t="shared" si="478"/>
        <v>0.24294233569792734</v>
      </c>
      <c r="H846" s="9">
        <f t="shared" si="479"/>
        <v>0</v>
      </c>
      <c r="I846" s="9">
        <f t="shared" si="480"/>
        <v>0.25688195279059867</v>
      </c>
      <c r="J846" s="9">
        <f t="shared" si="481"/>
        <v>0</v>
      </c>
      <c r="K846" s="9">
        <v>0</v>
      </c>
      <c r="L846" s="8">
        <f>+VLOOKUP($B846,NIFTY_50!$B$3:$I$1238,8,0)</f>
        <v>1.1272197904099057E-2</v>
      </c>
      <c r="M846" s="8">
        <f>+VLOOKUP($B846,NIFTY_BANK!$B$3:$I$41238,8,0)</f>
        <v>3.1585864951484632E-2</v>
      </c>
      <c r="N846" s="8">
        <f>+VLOOKUP($B846,NIFTY_IT!$B$3:$I$1238,8,0)</f>
        <v>0</v>
      </c>
      <c r="O846" s="8">
        <f>+VLOOKUP($B846,NIFTY_PHARMA!$B$3:$I$1238,8,0)</f>
        <v>3.4233492262725207E-4</v>
      </c>
      <c r="P846" s="8">
        <f>+VLOOKUP($B846,NIFTY_FMCG!$B$3:$I$1238,8,0)</f>
        <v>-2.6855448145015615E-3</v>
      </c>
      <c r="Q846" s="8">
        <f>+VLOOKUP($B846,NIFTY_METAL!$B$3:$I$1238,8,0)</f>
        <v>3.892746718029283E-2</v>
      </c>
      <c r="R846" s="8">
        <f>+VLOOKUP($B846,NIFTY_ENERGY!$B$3:$I$1238,8,0)</f>
        <v>1.611137866117951E-2</v>
      </c>
      <c r="S846" s="8">
        <f>+VLOOKUP($B846,NIFTY_AUTO!$B$3:$I$1238,8,0)</f>
        <v>1.8030055211284868E-2</v>
      </c>
      <c r="T846" s="8">
        <v>0</v>
      </c>
      <c r="U846" s="8">
        <f>+VLOOKUP($B846,NIFTY_50!$B$63:$K$1238,10,0)</f>
        <v>-0.10272663735369314</v>
      </c>
      <c r="V846" s="8">
        <f>+VLOOKUP($B846,NIFTY_BANK!$B$63:$K$1238,10,0)</f>
        <v>-0.27907379258698184</v>
      </c>
      <c r="W846" s="8">
        <f>+VLOOKUP($B846,NIFTY_IT!$B$63:$K$1238,10,0)</f>
        <v>-6.9690012211254704E-2</v>
      </c>
      <c r="X846" s="8">
        <f>+VLOOKUP($B846,NIFTY_PHARMA!$B$63:$K$1238,10,0)</f>
        <v>0.27279499027851406</v>
      </c>
      <c r="Y846" s="8">
        <f>+VLOOKUP($B846,NIFTY_FMCG!$B$63:$K$1238,10,0)</f>
        <v>4.618073739551587E-3</v>
      </c>
      <c r="Z846" s="8">
        <f>+VLOOKUP($B846,NIFTY_METAL!$B$63:$K$1238,10,0)</f>
        <v>-0.11679413982548748</v>
      </c>
      <c r="AA846" s="8">
        <f>+VLOOKUP($B846,NIFTY_ENERGY!$B$63:$K$1238,10,0)</f>
        <v>4.4504713748854119E-3</v>
      </c>
      <c r="AB846" s="8">
        <f>+VLOOKUP($B846,NIFTY_AUTO!$B$63:$K$1238,10,0)</f>
        <v>-5.122626723823287E-2</v>
      </c>
      <c r="AC846" s="8">
        <f>+VLOOKUP($B846,EBBETF0430!$B$63:$K$1238,10,0)</f>
        <v>0.39128380772410543</v>
      </c>
      <c r="AD846" s="16">
        <f t="shared" si="482"/>
        <v>0.27702914903164461</v>
      </c>
      <c r="AE846" s="8">
        <f t="shared" si="483"/>
        <v>0.36064785683791817</v>
      </c>
      <c r="AF846" s="8">
        <f t="shared" si="484"/>
        <v>0.26479703348899952</v>
      </c>
      <c r="AG846" s="8">
        <f t="shared" si="485"/>
        <v>0.22153470801266351</v>
      </c>
      <c r="AH846" s="8">
        <f t="shared" si="486"/>
        <v>0.22996358452915017</v>
      </c>
      <c r="AI846" s="8">
        <f t="shared" si="487"/>
        <v>0.30706917690645413</v>
      </c>
      <c r="AJ846" s="8">
        <f t="shared" si="488"/>
        <v>0.26021635725064662</v>
      </c>
      <c r="AK846" s="8">
        <f t="shared" si="489"/>
        <v>0.30916817144474568</v>
      </c>
      <c r="AL846" s="9">
        <v>0</v>
      </c>
      <c r="AM846" s="17">
        <f t="shared" si="466"/>
        <v>3.6097284473330693</v>
      </c>
      <c r="AN846" s="13">
        <f t="shared" si="467"/>
        <v>2.7727878622870024</v>
      </c>
      <c r="AO846" s="13">
        <f t="shared" si="468"/>
        <v>3.7764773525740538</v>
      </c>
      <c r="AP846" s="13">
        <f t="shared" si="469"/>
        <v>4.5139653689968862</v>
      </c>
      <c r="AQ846" s="13">
        <f t="shared" si="470"/>
        <v>4.3485145791560758</v>
      </c>
      <c r="AR846" s="13">
        <f t="shared" si="471"/>
        <v>3.256595175310093</v>
      </c>
      <c r="AS846" s="13">
        <f t="shared" si="472"/>
        <v>3.8429559562113771</v>
      </c>
      <c r="AT846" s="13">
        <f t="shared" si="473"/>
        <v>3.2344856047988086</v>
      </c>
      <c r="AU846" s="9">
        <v>0</v>
      </c>
      <c r="AV846" s="18">
        <f t="shared" si="490"/>
        <v>5</v>
      </c>
      <c r="AW846" s="18">
        <f t="shared" si="491"/>
        <v>8</v>
      </c>
      <c r="AX846" s="18">
        <f t="shared" si="492"/>
        <v>4</v>
      </c>
      <c r="AY846" s="18">
        <f t="shared" si="493"/>
        <v>1</v>
      </c>
      <c r="AZ846" s="18">
        <f t="shared" si="494"/>
        <v>2</v>
      </c>
      <c r="BA846" s="18">
        <f t="shared" si="495"/>
        <v>6</v>
      </c>
      <c r="BB846" s="18">
        <f t="shared" si="496"/>
        <v>3</v>
      </c>
      <c r="BC846" s="18">
        <f t="shared" si="497"/>
        <v>7</v>
      </c>
      <c r="BD846" s="18">
        <f t="shared" si="498"/>
        <v>9</v>
      </c>
      <c r="BE846" s="8">
        <f t="shared" si="500"/>
        <v>3.5163197816896444E-3</v>
      </c>
    </row>
    <row r="847" spans="1:57" x14ac:dyDescent="0.25">
      <c r="A847" t="str">
        <f t="shared" si="499"/>
        <v/>
      </c>
      <c r="B847" s="1">
        <v>43990</v>
      </c>
      <c r="C847" s="9">
        <f t="shared" si="474"/>
        <v>0</v>
      </c>
      <c r="D847" s="9">
        <f t="shared" si="475"/>
        <v>0</v>
      </c>
      <c r="E847" s="9">
        <f t="shared" si="476"/>
        <v>0.25492500141631325</v>
      </c>
      <c r="F847" s="9">
        <f t="shared" si="477"/>
        <v>0.24397872295398279</v>
      </c>
      <c r="G847" s="9">
        <f t="shared" si="478"/>
        <v>0.24147294411366818</v>
      </c>
      <c r="H847" s="9">
        <f t="shared" si="479"/>
        <v>0</v>
      </c>
      <c r="I847" s="9">
        <f t="shared" si="480"/>
        <v>0.25962333151603584</v>
      </c>
      <c r="J847" s="9">
        <f t="shared" si="481"/>
        <v>0</v>
      </c>
      <c r="K847" s="9">
        <v>0</v>
      </c>
      <c r="L847" s="8">
        <f>+VLOOKUP($B847,NIFTY_50!$B$3:$I$1238,8,0)</f>
        <v>2.4945401123037669E-3</v>
      </c>
      <c r="M847" s="8">
        <f>+VLOOKUP($B847,NIFTY_BANK!$B$3:$I$41238,8,0)</f>
        <v>7.2666333880053724E-3</v>
      </c>
      <c r="N847" s="8">
        <f>+VLOOKUP($B847,NIFTY_IT!$B$3:$I$1238,8,0)</f>
        <v>1.8263607122225745E-2</v>
      </c>
      <c r="O847" s="8">
        <f>+VLOOKUP($B847,NIFTY_PHARMA!$B$3:$I$1238,8,0)</f>
        <v>-1.4105323718171192E-2</v>
      </c>
      <c r="P847" s="8">
        <f>+VLOOKUP($B847,NIFTY_FMCG!$B$3:$I$1238,8,0)</f>
        <v>-1.3489269514589397E-3</v>
      </c>
      <c r="Q847" s="8">
        <f>+VLOOKUP($B847,NIFTY_METAL!$B$3:$I$1238,8,0)</f>
        <v>-2.3661999316972882E-3</v>
      </c>
      <c r="R847" s="8">
        <f>+VLOOKUP($B847,NIFTY_ENERGY!$B$3:$I$1238,8,0)</f>
        <v>1.5450184554842261E-2</v>
      </c>
      <c r="S847" s="8">
        <f>+VLOOKUP($B847,NIFTY_AUTO!$B$3:$I$1238,8,0)</f>
        <v>-2.7456156892324834E-3</v>
      </c>
      <c r="T847" s="8">
        <v>0</v>
      </c>
      <c r="U847" s="8">
        <f>+VLOOKUP($B847,NIFTY_50!$B$63:$K$1238,10,0)</f>
        <v>-9.6306994933783585E-2</v>
      </c>
      <c r="V847" s="8">
        <f>+VLOOKUP($B847,NIFTY_BANK!$B$63:$K$1238,10,0)</f>
        <v>-0.26057193311858506</v>
      </c>
      <c r="W847" s="8">
        <f>+VLOOKUP($B847,NIFTY_IT!$B$63:$K$1238,10,0)</f>
        <v>-6.1124663552756697E-2</v>
      </c>
      <c r="X847" s="8">
        <f>+VLOOKUP($B847,NIFTY_PHARMA!$B$63:$K$1238,10,0)</f>
        <v>0.22909027953824568</v>
      </c>
      <c r="Y847" s="8">
        <f>+VLOOKUP($B847,NIFTY_FMCG!$B$63:$K$1238,10,0)</f>
        <v>9.5264981393559101E-3</v>
      </c>
      <c r="Z847" s="8">
        <f>+VLOOKUP($B847,NIFTY_METAL!$B$63:$K$1238,10,0)</f>
        <v>-0.1125938462873759</v>
      </c>
      <c r="AA847" s="8">
        <f>+VLOOKUP($B847,NIFTY_ENERGY!$B$63:$K$1238,10,0)</f>
        <v>1.9017558272349522E-2</v>
      </c>
      <c r="AB847" s="8">
        <f>+VLOOKUP($B847,NIFTY_AUTO!$B$63:$K$1238,10,0)</f>
        <v>-4.7313315607053097E-2</v>
      </c>
      <c r="AC847" s="8">
        <f>+VLOOKUP($B847,EBBETF0430!$B$63:$K$1238,10,0)</f>
        <v>0.81412337662337664</v>
      </c>
      <c r="AD847" s="16">
        <f t="shared" si="482"/>
        <v>0.27702933948848207</v>
      </c>
      <c r="AE847" s="8">
        <f t="shared" si="483"/>
        <v>0.36055790734672055</v>
      </c>
      <c r="AF847" s="8">
        <f t="shared" si="484"/>
        <v>0.26529282402386517</v>
      </c>
      <c r="AG847" s="8">
        <f t="shared" si="485"/>
        <v>0.22163816825930233</v>
      </c>
      <c r="AH847" s="8">
        <f t="shared" si="486"/>
        <v>0.22987217265651722</v>
      </c>
      <c r="AI847" s="8">
        <f t="shared" si="487"/>
        <v>0.30701504403522867</v>
      </c>
      <c r="AJ847" s="8">
        <f t="shared" si="488"/>
        <v>0.26063101565894614</v>
      </c>
      <c r="AK847" s="8">
        <f t="shared" si="489"/>
        <v>0.30910508025712113</v>
      </c>
      <c r="AL847" s="9">
        <v>0</v>
      </c>
      <c r="AM847" s="17">
        <f t="shared" si="466"/>
        <v>3.6097259656556218</v>
      </c>
      <c r="AN847" s="13">
        <f t="shared" si="467"/>
        <v>2.7734795982116061</v>
      </c>
      <c r="AO847" s="13">
        <f t="shared" si="468"/>
        <v>3.769419710764744</v>
      </c>
      <c r="AP847" s="13">
        <f t="shared" si="469"/>
        <v>4.5118582591337093</v>
      </c>
      <c r="AQ847" s="13">
        <f t="shared" si="470"/>
        <v>4.3502438265732746</v>
      </c>
      <c r="AR847" s="13">
        <f t="shared" si="471"/>
        <v>3.2571693779450568</v>
      </c>
      <c r="AS847" s="13">
        <f t="shared" si="472"/>
        <v>3.8368418949361334</v>
      </c>
      <c r="AT847" s="13">
        <f t="shared" si="473"/>
        <v>3.2351457930363865</v>
      </c>
      <c r="AU847" s="9">
        <v>0</v>
      </c>
      <c r="AV847" s="18">
        <f t="shared" si="490"/>
        <v>5</v>
      </c>
      <c r="AW847" s="18">
        <f t="shared" si="491"/>
        <v>8</v>
      </c>
      <c r="AX847" s="18">
        <f t="shared" si="492"/>
        <v>4</v>
      </c>
      <c r="AY847" s="18">
        <f t="shared" si="493"/>
        <v>1</v>
      </c>
      <c r="AZ847" s="18">
        <f t="shared" si="494"/>
        <v>2</v>
      </c>
      <c r="BA847" s="18">
        <f t="shared" si="495"/>
        <v>6</v>
      </c>
      <c r="BB847" s="18">
        <f t="shared" si="496"/>
        <v>3</v>
      </c>
      <c r="BC847" s="18">
        <f t="shared" si="497"/>
        <v>7</v>
      </c>
      <c r="BD847" s="18">
        <f t="shared" si="498"/>
        <v>9</v>
      </c>
      <c r="BE847" s="8">
        <f t="shared" si="500"/>
        <v>4.7279836015434781E-3</v>
      </c>
    </row>
    <row r="848" spans="1:57" x14ac:dyDescent="0.25">
      <c r="A848" t="str">
        <f t="shared" si="499"/>
        <v/>
      </c>
      <c r="B848" s="1">
        <v>43991</v>
      </c>
      <c r="C848" s="9">
        <f t="shared" si="474"/>
        <v>0</v>
      </c>
      <c r="D848" s="9">
        <f t="shared" si="475"/>
        <v>0</v>
      </c>
      <c r="E848" s="9">
        <f t="shared" si="476"/>
        <v>0.25287838876517155</v>
      </c>
      <c r="F848" s="9">
        <f t="shared" si="477"/>
        <v>0.24909635335110947</v>
      </c>
      <c r="G848" s="9">
        <f t="shared" si="478"/>
        <v>0.24226866357108465</v>
      </c>
      <c r="H848" s="9">
        <f t="shared" si="479"/>
        <v>0</v>
      </c>
      <c r="I848" s="9">
        <f t="shared" si="480"/>
        <v>0.25575659431263426</v>
      </c>
      <c r="J848" s="9">
        <f t="shared" si="481"/>
        <v>0</v>
      </c>
      <c r="K848" s="9">
        <v>0</v>
      </c>
      <c r="L848" s="8">
        <f>+VLOOKUP($B848,NIFTY_50!$B$3:$I$1238,8,0)</f>
        <v>-1.1881051787813179E-2</v>
      </c>
      <c r="M848" s="8">
        <f>+VLOOKUP($B848,NIFTY_BANK!$B$3:$I$41238,8,0)</f>
        <v>-2.1826703197898589E-2</v>
      </c>
      <c r="N848" s="8">
        <f>+VLOOKUP($B848,NIFTY_IT!$B$3:$I$1238,8,0)</f>
        <v>-1.0523948276556561E-2</v>
      </c>
      <c r="O848" s="8">
        <f>+VLOOKUP($B848,NIFTY_PHARMA!$B$3:$I$1238,8,0)</f>
        <v>1.8407099234337032E-2</v>
      </c>
      <c r="P848" s="8">
        <f>+VLOOKUP($B848,NIFTY_FMCG!$B$3:$I$1238,8,0)</f>
        <v>7.711302396604669E-4</v>
      </c>
      <c r="Q848" s="8">
        <f>+VLOOKUP($B848,NIFTY_METAL!$B$3:$I$1238,8,0)</f>
        <v>-1.0929897058463922E-2</v>
      </c>
      <c r="R848" s="8">
        <f>+VLOOKUP($B848,NIFTY_ENERGY!$B$3:$I$1238,8,0)</f>
        <v>-1.7372025840579064E-2</v>
      </c>
      <c r="S848" s="8">
        <f>+VLOOKUP($B848,NIFTY_AUTO!$B$3:$I$1238,8,0)</f>
        <v>-4.9693293296322327E-3</v>
      </c>
      <c r="T848" s="8">
        <v>0</v>
      </c>
      <c r="U848" s="8">
        <f>+VLOOKUP($B848,NIFTY_50!$B$63:$K$1238,10,0)</f>
        <v>-0.10847013932025917</v>
      </c>
      <c r="V848" s="8">
        <f>+VLOOKUP($B848,NIFTY_BANK!$B$63:$K$1238,10,0)</f>
        <v>-0.28076875692990011</v>
      </c>
      <c r="W848" s="8">
        <f>+VLOOKUP($B848,NIFTY_IT!$B$63:$K$1238,10,0)</f>
        <v>-7.1417995318608707E-2</v>
      </c>
      <c r="X848" s="8">
        <f>+VLOOKUP($B848,NIFTY_PHARMA!$B$63:$K$1238,10,0)</f>
        <v>0.24257917996562717</v>
      </c>
      <c r="Y848" s="8">
        <f>+VLOOKUP($B848,NIFTY_FMCG!$B$63:$K$1238,10,0)</f>
        <v>-1.8963444574249255E-4</v>
      </c>
      <c r="Z848" s="8">
        <f>+VLOOKUP($B848,NIFTY_METAL!$B$63:$K$1238,10,0)</f>
        <v>-0.11482154189552918</v>
      </c>
      <c r="AA848" s="8">
        <f>+VLOOKUP($B848,NIFTY_ENERGY!$B$63:$K$1238,10,0)</f>
        <v>1.1005082347120387E-2</v>
      </c>
      <c r="AB848" s="8">
        <f>+VLOOKUP($B848,NIFTY_AUTO!$B$63:$K$1238,10,0)</f>
        <v>-5.4078734495775715E-2</v>
      </c>
      <c r="AC848" s="8">
        <f>+VLOOKUP($B848,EBBETF0430!$B$63:$K$1238,10,0)</f>
        <v>1.4743791641429436</v>
      </c>
      <c r="AD848" s="16">
        <f t="shared" si="482"/>
        <v>0.27722464275579778</v>
      </c>
      <c r="AE848" s="8">
        <f t="shared" si="483"/>
        <v>0.36086447177872144</v>
      </c>
      <c r="AF848" s="8">
        <f t="shared" si="484"/>
        <v>0.26547877723783575</v>
      </c>
      <c r="AG848" s="8">
        <f t="shared" si="485"/>
        <v>0.22208658822438188</v>
      </c>
      <c r="AH848" s="8">
        <f t="shared" si="486"/>
        <v>0.22965536864377498</v>
      </c>
      <c r="AI848" s="8">
        <f t="shared" si="487"/>
        <v>0.3070839210192588</v>
      </c>
      <c r="AJ848" s="8">
        <f t="shared" si="488"/>
        <v>0.26105754053389146</v>
      </c>
      <c r="AK848" s="8">
        <f t="shared" si="489"/>
        <v>0.30913625903034608</v>
      </c>
      <c r="AL848" s="9">
        <v>0</v>
      </c>
      <c r="AM848" s="17">
        <f t="shared" si="466"/>
        <v>3.607182933159669</v>
      </c>
      <c r="AN848" s="13">
        <f t="shared" si="467"/>
        <v>2.7711234499504571</v>
      </c>
      <c r="AO848" s="13">
        <f t="shared" si="468"/>
        <v>3.7667794405430954</v>
      </c>
      <c r="AP848" s="13">
        <f t="shared" si="469"/>
        <v>4.5027482658685578</v>
      </c>
      <c r="AQ848" s="13">
        <f t="shared" si="470"/>
        <v>4.3543506337582238</v>
      </c>
      <c r="AR848" s="13">
        <f t="shared" si="471"/>
        <v>3.2564388154249371</v>
      </c>
      <c r="AS848" s="13">
        <f t="shared" si="472"/>
        <v>3.8305731294138821</v>
      </c>
      <c r="AT848" s="13">
        <f t="shared" si="473"/>
        <v>3.2348195036604745</v>
      </c>
      <c r="AU848" s="9">
        <v>0</v>
      </c>
      <c r="AV848" s="18">
        <f t="shared" si="490"/>
        <v>5</v>
      </c>
      <c r="AW848" s="18">
        <f t="shared" si="491"/>
        <v>8</v>
      </c>
      <c r="AX848" s="18">
        <f t="shared" si="492"/>
        <v>4</v>
      </c>
      <c r="AY848" s="18">
        <f t="shared" si="493"/>
        <v>1</v>
      </c>
      <c r="AZ848" s="18">
        <f t="shared" si="494"/>
        <v>2</v>
      </c>
      <c r="BA848" s="18">
        <f t="shared" si="495"/>
        <v>6</v>
      </c>
      <c r="BB848" s="18">
        <f t="shared" si="496"/>
        <v>3</v>
      </c>
      <c r="BC848" s="18">
        <f t="shared" si="497"/>
        <v>7</v>
      </c>
      <c r="BD848" s="18">
        <f t="shared" si="498"/>
        <v>9</v>
      </c>
      <c r="BE848" s="8">
        <f t="shared" si="500"/>
        <v>-2.5158530994735125E-3</v>
      </c>
    </row>
    <row r="849" spans="1:57" x14ac:dyDescent="0.25">
      <c r="A849" t="str">
        <f t="shared" si="499"/>
        <v/>
      </c>
      <c r="B849" s="1">
        <v>43992</v>
      </c>
      <c r="C849" s="9">
        <f t="shared" si="474"/>
        <v>0</v>
      </c>
      <c r="D849" s="9">
        <f t="shared" si="475"/>
        <v>0</v>
      </c>
      <c r="E849" s="9">
        <f t="shared" si="476"/>
        <v>0.25381030514836561</v>
      </c>
      <c r="F849" s="9">
        <f t="shared" si="477"/>
        <v>0.24892620552112721</v>
      </c>
      <c r="G849" s="9">
        <f t="shared" si="478"/>
        <v>0.24127688031819713</v>
      </c>
      <c r="H849" s="9">
        <f t="shared" si="479"/>
        <v>0</v>
      </c>
      <c r="I849" s="9">
        <f t="shared" si="480"/>
        <v>0.25598660901230996</v>
      </c>
      <c r="J849" s="9">
        <f t="shared" si="481"/>
        <v>0</v>
      </c>
      <c r="K849" s="9">
        <v>0</v>
      </c>
      <c r="L849" s="8">
        <f>+VLOOKUP($B849,NIFTY_50!$B$3:$I$1238,8,0)</f>
        <v>6.9177287951704969E-3</v>
      </c>
      <c r="M849" s="8">
        <f>+VLOOKUP($B849,NIFTY_BANK!$B$3:$I$41238,8,0)</f>
        <v>1.8103826797716716E-2</v>
      </c>
      <c r="N849" s="8">
        <f>+VLOOKUP($B849,NIFTY_IT!$B$3:$I$1238,8,0)</f>
        <v>7.0702307324337355E-3</v>
      </c>
      <c r="O849" s="8">
        <f>+VLOOKUP($B849,NIFTY_PHARMA!$B$3:$I$1238,8,0)</f>
        <v>2.6872026911546332E-3</v>
      </c>
      <c r="P849" s="8">
        <f>+VLOOKUP($B849,NIFTY_FMCG!$B$3:$I$1238,8,0)</f>
        <v>-7.3497285342205565E-4</v>
      </c>
      <c r="Q849" s="8">
        <f>+VLOOKUP($B849,NIFTY_METAL!$B$3:$I$1238,8,0)</f>
        <v>-5.7849196538937164E-3</v>
      </c>
      <c r="R849" s="8">
        <f>+VLOOKUP($B849,NIFTY_ENERGY!$B$3:$I$1238,8,0)</f>
        <v>4.2749498017258247E-3</v>
      </c>
      <c r="S849" s="8">
        <f>+VLOOKUP($B849,NIFTY_AUTO!$B$3:$I$1238,8,0)</f>
        <v>-1.1409763291119979E-2</v>
      </c>
      <c r="T849" s="8">
        <v>0</v>
      </c>
      <c r="U849" s="8">
        <f>+VLOOKUP($B849,NIFTY_50!$B$63:$K$1238,10,0)</f>
        <v>-7.9467125288344875E-2</v>
      </c>
      <c r="V849" s="8">
        <f>+VLOOKUP($B849,NIFTY_BANK!$B$63:$K$1238,10,0)</f>
        <v>-0.24104318299944794</v>
      </c>
      <c r="W849" s="8">
        <f>+VLOOKUP($B849,NIFTY_IT!$B$63:$K$1238,10,0)</f>
        <v>-5.2443579021291598E-2</v>
      </c>
      <c r="X849" s="8">
        <f>+VLOOKUP($B849,NIFTY_PHARMA!$B$63:$K$1238,10,0)</f>
        <v>0.26576082211940188</v>
      </c>
      <c r="Y849" s="8">
        <f>+VLOOKUP($B849,NIFTY_FMCG!$B$63:$K$1238,10,0)</f>
        <v>1.9566644780039333E-2</v>
      </c>
      <c r="Z849" s="8">
        <f>+VLOOKUP($B849,NIFTY_METAL!$B$63:$K$1238,10,0)</f>
        <v>-7.9261870964787873E-2</v>
      </c>
      <c r="AA849" s="8">
        <f>+VLOOKUP($B849,NIFTY_ENERGY!$B$63:$K$1238,10,0)</f>
        <v>4.5845637282088791E-2</v>
      </c>
      <c r="AB849" s="8">
        <f>+VLOOKUP($B849,NIFTY_AUTO!$B$63:$K$1238,10,0)</f>
        <v>-5.6903553299492482E-2</v>
      </c>
      <c r="AC849" s="8">
        <f>+VLOOKUP($B849,EBBETF0430!$B$63:$K$1238,10,0)</f>
        <v>3.1459449120122418</v>
      </c>
      <c r="AD849" s="16">
        <f t="shared" si="482"/>
        <v>0.27631125668895579</v>
      </c>
      <c r="AE849" s="8">
        <f t="shared" si="483"/>
        <v>0.36017181374319907</v>
      </c>
      <c r="AF849" s="8">
        <f t="shared" si="484"/>
        <v>0.26528517855925488</v>
      </c>
      <c r="AG849" s="8">
        <f t="shared" si="485"/>
        <v>0.22120703307306852</v>
      </c>
      <c r="AH849" s="8">
        <f t="shared" si="486"/>
        <v>0.22872542983519259</v>
      </c>
      <c r="AI849" s="8">
        <f t="shared" si="487"/>
        <v>0.30405694874239175</v>
      </c>
      <c r="AJ849" s="8">
        <f t="shared" si="488"/>
        <v>0.25932536437326548</v>
      </c>
      <c r="AK849" s="8">
        <f t="shared" si="489"/>
        <v>0.3092300181358324</v>
      </c>
      <c r="AL849" s="9">
        <v>0</v>
      </c>
      <c r="AM849" s="17">
        <f t="shared" si="466"/>
        <v>3.6191069881952087</v>
      </c>
      <c r="AN849" s="13">
        <f t="shared" si="467"/>
        <v>2.7764526868640411</v>
      </c>
      <c r="AO849" s="13">
        <f t="shared" si="468"/>
        <v>3.7695283446701757</v>
      </c>
      <c r="AP849" s="13">
        <f t="shared" si="469"/>
        <v>4.520651925518492</v>
      </c>
      <c r="AQ849" s="13">
        <f t="shared" si="470"/>
        <v>4.3720543042395716</v>
      </c>
      <c r="AR849" s="13">
        <f t="shared" si="471"/>
        <v>3.2888575779507572</v>
      </c>
      <c r="AS849" s="13">
        <f t="shared" si="472"/>
        <v>3.8561596256378099</v>
      </c>
      <c r="AT849" s="13">
        <f t="shared" si="473"/>
        <v>3.2338387004871563</v>
      </c>
      <c r="AU849" s="9">
        <v>0</v>
      </c>
      <c r="AV849" s="18">
        <f t="shared" si="490"/>
        <v>5</v>
      </c>
      <c r="AW849" s="18">
        <f t="shared" si="491"/>
        <v>8</v>
      </c>
      <c r="AX849" s="18">
        <f t="shared" si="492"/>
        <v>4</v>
      </c>
      <c r="AY849" s="18">
        <f t="shared" si="493"/>
        <v>1</v>
      </c>
      <c r="AZ849" s="18">
        <f t="shared" si="494"/>
        <v>2</v>
      </c>
      <c r="BA849" s="18">
        <f t="shared" si="495"/>
        <v>6</v>
      </c>
      <c r="BB849" s="18">
        <f t="shared" si="496"/>
        <v>3</v>
      </c>
      <c r="BC849" s="18">
        <f t="shared" si="497"/>
        <v>7</v>
      </c>
      <c r="BD849" s="18">
        <f t="shared" si="498"/>
        <v>9</v>
      </c>
      <c r="BE849" s="8">
        <f t="shared" si="500"/>
        <v>3.3725666580850288E-3</v>
      </c>
    </row>
    <row r="850" spans="1:57" x14ac:dyDescent="0.25">
      <c r="A850" t="str">
        <f t="shared" si="499"/>
        <v/>
      </c>
      <c r="B850" s="1">
        <v>43993</v>
      </c>
      <c r="C850" s="9">
        <f t="shared" si="474"/>
        <v>0</v>
      </c>
      <c r="D850" s="9">
        <f t="shared" si="475"/>
        <v>0</v>
      </c>
      <c r="E850" s="9">
        <f t="shared" si="476"/>
        <v>0.25414276969436239</v>
      </c>
      <c r="F850" s="9">
        <f t="shared" si="477"/>
        <v>0.24766575260660109</v>
      </c>
      <c r="G850" s="9">
        <f t="shared" si="478"/>
        <v>0.24185676830117317</v>
      </c>
      <c r="H850" s="9">
        <f t="shared" si="479"/>
        <v>0</v>
      </c>
      <c r="I850" s="9">
        <f t="shared" si="480"/>
        <v>0.25633470939786324</v>
      </c>
      <c r="J850" s="9">
        <f t="shared" si="481"/>
        <v>0</v>
      </c>
      <c r="K850" s="9">
        <v>0</v>
      </c>
      <c r="L850" s="8">
        <f>+VLOOKUP($B850,NIFTY_50!$B$3:$I$1238,8,0)</f>
        <v>-2.1169120663493524E-2</v>
      </c>
      <c r="M850" s="8">
        <f>+VLOOKUP($B850,NIFTY_BANK!$B$3:$I$41238,8,0)</f>
        <v>-2.7248686025184599E-2</v>
      </c>
      <c r="N850" s="8">
        <f>+VLOOKUP($B850,NIFTY_IT!$B$3:$I$1238,8,0)</f>
        <v>-1.49979281837751E-2</v>
      </c>
      <c r="O850" s="8">
        <f>+VLOOKUP($B850,NIFTY_PHARMA!$B$3:$I$1238,8,0)</f>
        <v>-2.1267581348375586E-2</v>
      </c>
      <c r="P850" s="8">
        <f>+VLOOKUP($B850,NIFTY_FMCG!$B$3:$I$1238,8,0)</f>
        <v>-1.3922218606795211E-2</v>
      </c>
      <c r="Q850" s="8">
        <f>+VLOOKUP($B850,NIFTY_METAL!$B$3:$I$1238,8,0)</f>
        <v>-2.7824746369604192E-2</v>
      </c>
      <c r="R850" s="8">
        <f>+VLOOKUP($B850,NIFTY_ENERGY!$B$3:$I$1238,8,0)</f>
        <v>-1.4948797144965997E-2</v>
      </c>
      <c r="S850" s="8">
        <f>+VLOOKUP($B850,NIFTY_AUTO!$B$3:$I$1238,8,0)</f>
        <v>-1.9845755192113845E-2</v>
      </c>
      <c r="T850" s="8">
        <v>0</v>
      </c>
      <c r="U850" s="8">
        <f>+VLOOKUP($B850,NIFTY_50!$B$63:$K$1238,10,0)</f>
        <v>-5.2571652737180119E-2</v>
      </c>
      <c r="V850" s="8">
        <f>+VLOOKUP($B850,NIFTY_BANK!$B$63:$K$1238,10,0)</f>
        <v>-0.22437137696220322</v>
      </c>
      <c r="W850" s="8">
        <f>+VLOOKUP($B850,NIFTY_IT!$B$63:$K$1238,10,0)</f>
        <v>-1.5849988892553846E-2</v>
      </c>
      <c r="X850" s="8">
        <f>+VLOOKUP($B850,NIFTY_PHARMA!$B$63:$K$1238,10,0)</f>
        <v>0.28066318999026607</v>
      </c>
      <c r="Y850" s="8">
        <f>+VLOOKUP($B850,NIFTY_FMCG!$B$63:$K$1238,10,0)</f>
        <v>3.6923707518756732E-2</v>
      </c>
      <c r="Z850" s="8">
        <f>+VLOOKUP($B850,NIFTY_METAL!$B$63:$K$1238,10,0)</f>
        <v>-3.2276428801267354E-2</v>
      </c>
      <c r="AA850" s="8">
        <f>+VLOOKUP($B850,NIFTY_ENERGY!$B$63:$K$1238,10,0)</f>
        <v>0.1013917934665034</v>
      </c>
      <c r="AB850" s="8">
        <f>+VLOOKUP($B850,NIFTY_AUTO!$B$63:$K$1238,10,0)</f>
        <v>-3.8984341427741986E-2</v>
      </c>
      <c r="AC850" s="8">
        <f>+VLOOKUP($B850,EBBETF0430!$B$63:$K$1238,10,0)</f>
        <v>-3.5324015247776397E-2</v>
      </c>
      <c r="AD850" s="16">
        <f t="shared" si="482"/>
        <v>0.27281218949965486</v>
      </c>
      <c r="AE850" s="8">
        <f t="shared" si="483"/>
        <v>0.35816596243502397</v>
      </c>
      <c r="AF850" s="8">
        <f t="shared" si="484"/>
        <v>0.26064570171542062</v>
      </c>
      <c r="AG850" s="8">
        <f t="shared" si="485"/>
        <v>0.21958819719186862</v>
      </c>
      <c r="AH850" s="8">
        <f t="shared" si="486"/>
        <v>0.22705520288265293</v>
      </c>
      <c r="AI850" s="8">
        <f t="shared" si="487"/>
        <v>0.29599682225709517</v>
      </c>
      <c r="AJ850" s="8">
        <f t="shared" si="488"/>
        <v>0.25125182316653605</v>
      </c>
      <c r="AK850" s="8">
        <f t="shared" si="489"/>
        <v>0.30751307000098849</v>
      </c>
      <c r="AL850" s="9">
        <v>0</v>
      </c>
      <c r="AM850" s="17">
        <f t="shared" si="466"/>
        <v>3.6655253631959326</v>
      </c>
      <c r="AN850" s="13">
        <f t="shared" si="467"/>
        <v>2.7920017670060235</v>
      </c>
      <c r="AO850" s="13">
        <f t="shared" si="468"/>
        <v>3.8366257084562423</v>
      </c>
      <c r="AP850" s="13">
        <f t="shared" si="469"/>
        <v>4.5539788239448695</v>
      </c>
      <c r="AQ850" s="13">
        <f t="shared" si="470"/>
        <v>4.4042153066927154</v>
      </c>
      <c r="AR850" s="13">
        <f t="shared" si="471"/>
        <v>3.3784146477472179</v>
      </c>
      <c r="AS850" s="13">
        <f t="shared" si="472"/>
        <v>3.980070621565897</v>
      </c>
      <c r="AT850" s="13">
        <f t="shared" si="473"/>
        <v>3.2518943015878499</v>
      </c>
      <c r="AU850" s="9">
        <v>0</v>
      </c>
      <c r="AV850" s="18">
        <f t="shared" si="490"/>
        <v>5</v>
      </c>
      <c r="AW850" s="18">
        <f t="shared" si="491"/>
        <v>8</v>
      </c>
      <c r="AX850" s="18">
        <f t="shared" si="492"/>
        <v>4</v>
      </c>
      <c r="AY850" s="18">
        <f t="shared" si="493"/>
        <v>1</v>
      </c>
      <c r="AZ850" s="18">
        <f t="shared" si="494"/>
        <v>2</v>
      </c>
      <c r="BA850" s="18">
        <f t="shared" si="495"/>
        <v>6</v>
      </c>
      <c r="BB850" s="18">
        <f t="shared" si="496"/>
        <v>3</v>
      </c>
      <c r="BC850" s="18">
        <f t="shared" si="497"/>
        <v>7</v>
      </c>
      <c r="BD850" s="18">
        <f t="shared" si="498"/>
        <v>9</v>
      </c>
      <c r="BE850" s="8">
        <f t="shared" si="500"/>
        <v>-1.6286488417088515E-2</v>
      </c>
    </row>
    <row r="851" spans="1:57" x14ac:dyDescent="0.25">
      <c r="A851" t="str">
        <f t="shared" si="499"/>
        <v/>
      </c>
      <c r="B851" s="1">
        <v>43994</v>
      </c>
      <c r="C851" s="9">
        <f t="shared" si="474"/>
        <v>0</v>
      </c>
      <c r="D851" s="9">
        <f t="shared" si="475"/>
        <v>0</v>
      </c>
      <c r="E851" s="9">
        <f t="shared" si="476"/>
        <v>0.25038602553048872</v>
      </c>
      <c r="F851" s="9">
        <f t="shared" si="477"/>
        <v>0.24890770600294138</v>
      </c>
      <c r="G851" s="9">
        <f t="shared" si="478"/>
        <v>0.24230863382665049</v>
      </c>
      <c r="H851" s="9">
        <f t="shared" si="479"/>
        <v>0</v>
      </c>
      <c r="I851" s="9">
        <f t="shared" si="480"/>
        <v>0.25839763463991938</v>
      </c>
      <c r="J851" s="9">
        <f t="shared" si="481"/>
        <v>0</v>
      </c>
      <c r="K851" s="9">
        <v>0</v>
      </c>
      <c r="L851" s="8">
        <f>+VLOOKUP($B851,NIFTY_50!$B$3:$I$1238,8,0)</f>
        <v>7.1601696626943934E-3</v>
      </c>
      <c r="M851" s="8">
        <f>+VLOOKUP($B851,NIFTY_BANK!$B$3:$I$41238,8,0)</f>
        <v>6.3044606251354551E-3</v>
      </c>
      <c r="N851" s="8">
        <f>+VLOOKUP($B851,NIFTY_IT!$B$3:$I$1238,8,0)</f>
        <v>-1.4822719048938282E-2</v>
      </c>
      <c r="O851" s="8">
        <f>+VLOOKUP($B851,NIFTY_PHARMA!$B$3:$I$1238,8,0)</f>
        <v>4.9731209857650782E-3</v>
      </c>
      <c r="P851" s="8">
        <f>+VLOOKUP($B851,NIFTY_FMCG!$B$3:$I$1238,8,0)</f>
        <v>1.8269344795642795E-3</v>
      </c>
      <c r="Q851" s="8">
        <f>+VLOOKUP($B851,NIFTY_METAL!$B$3:$I$1238,8,0)</f>
        <v>5.7549172570785512E-3</v>
      </c>
      <c r="R851" s="8">
        <f>+VLOOKUP($B851,NIFTY_ENERGY!$B$3:$I$1238,8,0)</f>
        <v>8.0061401019955181E-3</v>
      </c>
      <c r="S851" s="8">
        <f>+VLOOKUP($B851,NIFTY_AUTO!$B$3:$I$1238,8,0)</f>
        <v>2.9151499937241088E-2</v>
      </c>
      <c r="T851" s="8">
        <v>0</v>
      </c>
      <c r="U851" s="8">
        <f>+VLOOKUP($B851,NIFTY_50!$B$63:$K$1238,10,0)</f>
        <v>-4.6422014839746062E-2</v>
      </c>
      <c r="V851" s="8">
        <f>+VLOOKUP($B851,NIFTY_BANK!$B$63:$K$1238,10,0)</f>
        <v>-0.22022402766556681</v>
      </c>
      <c r="W851" s="8">
        <f>+VLOOKUP($B851,NIFTY_IT!$B$63:$K$1238,10,0)</f>
        <v>-1.8979797566989531E-2</v>
      </c>
      <c r="X851" s="8">
        <f>+VLOOKUP($B851,NIFTY_PHARMA!$B$63:$K$1238,10,0)</f>
        <v>0.30955457461252367</v>
      </c>
      <c r="Y851" s="8">
        <f>+VLOOKUP($B851,NIFTY_FMCG!$B$63:$K$1238,10,0)</f>
        <v>3.7994924987757583E-2</v>
      </c>
      <c r="Z851" s="8">
        <f>+VLOOKUP($B851,NIFTY_METAL!$B$63:$K$1238,10,0)</f>
        <v>-1.0493469891039053E-2</v>
      </c>
      <c r="AA851" s="8">
        <f>+VLOOKUP($B851,NIFTY_ENERGY!$B$63:$K$1238,10,0)</f>
        <v>0.1175163525208287</v>
      </c>
      <c r="AB851" s="8">
        <f>+VLOOKUP($B851,NIFTY_AUTO!$B$63:$K$1238,10,0)</f>
        <v>-1.3777984151512879E-3</v>
      </c>
      <c r="AC851" s="8">
        <f>+VLOOKUP($B851,EBBETF0430!$B$63:$K$1238,10,0)</f>
        <v>1.340914475242827E-2</v>
      </c>
      <c r="AD851" s="16">
        <f t="shared" si="482"/>
        <v>0.27291026158752224</v>
      </c>
      <c r="AE851" s="8">
        <f t="shared" si="483"/>
        <v>0.35826547216273147</v>
      </c>
      <c r="AF851" s="8">
        <f t="shared" si="484"/>
        <v>0.26080875786170599</v>
      </c>
      <c r="AG851" s="8">
        <f t="shared" si="485"/>
        <v>0.21849975118657644</v>
      </c>
      <c r="AH851" s="8">
        <f t="shared" si="486"/>
        <v>0.22705648394314529</v>
      </c>
      <c r="AI851" s="8">
        <f t="shared" si="487"/>
        <v>0.29557084670936823</v>
      </c>
      <c r="AJ851" s="8">
        <f t="shared" si="488"/>
        <v>0.25116541045354646</v>
      </c>
      <c r="AK851" s="8">
        <f t="shared" si="489"/>
        <v>0.30868540688922619</v>
      </c>
      <c r="AL851" s="9">
        <v>0</v>
      </c>
      <c r="AM851" s="17">
        <f t="shared" si="466"/>
        <v>3.6642081326769764</v>
      </c>
      <c r="AN851" s="13">
        <f t="shared" si="467"/>
        <v>2.7912262768815737</v>
      </c>
      <c r="AO851" s="13">
        <f t="shared" si="468"/>
        <v>3.83422707196915</v>
      </c>
      <c r="AP851" s="13">
        <f t="shared" si="469"/>
        <v>4.5766642505057238</v>
      </c>
      <c r="AQ851" s="13">
        <f t="shared" si="470"/>
        <v>4.4041904579584656</v>
      </c>
      <c r="AR851" s="13">
        <f t="shared" si="471"/>
        <v>3.3832836057180216</v>
      </c>
      <c r="AS851" s="13">
        <f t="shared" si="472"/>
        <v>3.9814399530342652</v>
      </c>
      <c r="AT851" s="13">
        <f t="shared" si="473"/>
        <v>3.2395441367879649</v>
      </c>
      <c r="AU851" s="9">
        <v>0</v>
      </c>
      <c r="AV851" s="18">
        <f t="shared" si="490"/>
        <v>5</v>
      </c>
      <c r="AW851" s="18">
        <f t="shared" si="491"/>
        <v>8</v>
      </c>
      <c r="AX851" s="18">
        <f t="shared" si="492"/>
        <v>4</v>
      </c>
      <c r="AY851" s="18">
        <f t="shared" si="493"/>
        <v>1</v>
      </c>
      <c r="AZ851" s="18">
        <f t="shared" si="494"/>
        <v>2</v>
      </c>
      <c r="BA851" s="18">
        <f t="shared" si="495"/>
        <v>6</v>
      </c>
      <c r="BB851" s="18">
        <f t="shared" si="496"/>
        <v>3</v>
      </c>
      <c r="BC851" s="18">
        <f t="shared" si="497"/>
        <v>7</v>
      </c>
      <c r="BD851" s="18">
        <f t="shared" si="498"/>
        <v>9</v>
      </c>
      <c r="BE851" s="8">
        <f t="shared" si="500"/>
        <v>-4.13070561863676E-5</v>
      </c>
    </row>
    <row r="852" spans="1:57" x14ac:dyDescent="0.25">
      <c r="A852" t="str">
        <f t="shared" si="499"/>
        <v/>
      </c>
      <c r="B852" s="1">
        <v>43997</v>
      </c>
      <c r="C852" s="9">
        <f t="shared" si="474"/>
        <v>0</v>
      </c>
      <c r="D852" s="9">
        <f t="shared" si="475"/>
        <v>0</v>
      </c>
      <c r="E852" s="9">
        <f t="shared" si="476"/>
        <v>0.25138456127560393</v>
      </c>
      <c r="F852" s="9">
        <f t="shared" si="477"/>
        <v>0.25016188572274001</v>
      </c>
      <c r="G852" s="9">
        <f t="shared" si="478"/>
        <v>0.23967128571146856</v>
      </c>
      <c r="H852" s="9">
        <f t="shared" si="479"/>
        <v>0</v>
      </c>
      <c r="I852" s="9">
        <f t="shared" si="480"/>
        <v>0.25878226729018755</v>
      </c>
      <c r="J852" s="9">
        <f t="shared" si="481"/>
        <v>0</v>
      </c>
      <c r="K852" s="9">
        <v>0</v>
      </c>
      <c r="L852" s="8">
        <f>+VLOOKUP($B852,NIFTY_50!$B$3:$I$1238,8,0)</f>
        <v>-1.596326043578089E-2</v>
      </c>
      <c r="M852" s="8">
        <f>+VLOOKUP($B852,NIFTY_BANK!$B$3:$I$41238,8,0)</f>
        <v>-3.5907342449968516E-2</v>
      </c>
      <c r="N852" s="8">
        <f>+VLOOKUP($B852,NIFTY_IT!$B$3:$I$1238,8,0)</f>
        <v>-4.2005866935124203E-4</v>
      </c>
      <c r="O852" s="8">
        <f>+VLOOKUP($B852,NIFTY_PHARMA!$B$3:$I$1238,8,0)</f>
        <v>6.2607685218574183E-4</v>
      </c>
      <c r="P852" s="8">
        <f>+VLOOKUP($B852,NIFTY_FMCG!$B$3:$I$1238,8,0)</f>
        <v>-1.5226998243302536E-2</v>
      </c>
      <c r="Q852" s="8">
        <f>+VLOOKUP($B852,NIFTY_METAL!$B$3:$I$1238,8,0)</f>
        <v>-1.9098723360968406E-2</v>
      </c>
      <c r="R852" s="8">
        <f>+VLOOKUP($B852,NIFTY_ENERGY!$B$3:$I$1238,8,0)</f>
        <v>-2.9085397759052167E-3</v>
      </c>
      <c r="S852" s="8">
        <f>+VLOOKUP($B852,NIFTY_AUTO!$B$3:$I$1238,8,0)</f>
        <v>-1.7745525505381554E-2</v>
      </c>
      <c r="T852" s="8">
        <v>0</v>
      </c>
      <c r="U852" s="8">
        <f>+VLOOKUP($B852,NIFTY_50!$B$63:$K$1238,10,0)</f>
        <v>2.3310375750118739E-2</v>
      </c>
      <c r="V852" s="8">
        <f>+VLOOKUP($B852,NIFTY_BANK!$B$63:$K$1238,10,0)</f>
        <v>-0.16929725941392049</v>
      </c>
      <c r="W852" s="8">
        <f>+VLOOKUP($B852,NIFTY_IT!$B$63:$K$1238,10,0)</f>
        <v>7.5596663391819918E-2</v>
      </c>
      <c r="X852" s="8">
        <f>+VLOOKUP($B852,NIFTY_PHARMA!$B$63:$K$1238,10,0)</f>
        <v>0.43881570892539479</v>
      </c>
      <c r="Y852" s="8">
        <f>+VLOOKUP($B852,NIFTY_FMCG!$B$63:$K$1238,10,0)</f>
        <v>0.10040256105509338</v>
      </c>
      <c r="Z852" s="8">
        <f>+VLOOKUP($B852,NIFTY_METAL!$B$63:$K$1238,10,0)</f>
        <v>7.1059646784405128E-2</v>
      </c>
      <c r="AA852" s="8">
        <f>+VLOOKUP($B852,NIFTY_ENERGY!$B$63:$K$1238,10,0)</f>
        <v>0.23298289141357809</v>
      </c>
      <c r="AB852" s="8">
        <f>+VLOOKUP($B852,NIFTY_AUTO!$B$63:$K$1238,10,0)</f>
        <v>6.7888752610468561E-2</v>
      </c>
      <c r="AC852" s="8">
        <f>+VLOOKUP($B852,EBBETF0430!$B$63:$K$1238,10,0)</f>
        <v>0.74833427842358935</v>
      </c>
      <c r="AD852" s="16">
        <f t="shared" si="482"/>
        <v>0.26036432101337853</v>
      </c>
      <c r="AE852" s="8">
        <f t="shared" si="483"/>
        <v>0.3477243026363902</v>
      </c>
      <c r="AF852" s="8">
        <f t="shared" si="484"/>
        <v>0.2450548522604869</v>
      </c>
      <c r="AG852" s="8">
        <f t="shared" si="485"/>
        <v>0.19691156107082422</v>
      </c>
      <c r="AH852" s="8">
        <f t="shared" si="486"/>
        <v>0.21579528244602542</v>
      </c>
      <c r="AI852" s="8">
        <f t="shared" si="487"/>
        <v>0.28063547532999161</v>
      </c>
      <c r="AJ852" s="8">
        <f t="shared" si="488"/>
        <v>0.23073983786139735</v>
      </c>
      <c r="AK852" s="8">
        <f t="shared" si="489"/>
        <v>0.29799565810116607</v>
      </c>
      <c r="AL852" s="9">
        <v>0</v>
      </c>
      <c r="AM852" s="17">
        <f t="shared" si="466"/>
        <v>3.8407720232474407</v>
      </c>
      <c r="AN852" s="13">
        <f t="shared" si="467"/>
        <v>2.8758415572859288</v>
      </c>
      <c r="AO852" s="13">
        <f t="shared" si="468"/>
        <v>4.0807190340268233</v>
      </c>
      <c r="AP852" s="13">
        <f t="shared" si="469"/>
        <v>5.0784219807201909</v>
      </c>
      <c r="AQ852" s="13">
        <f t="shared" si="470"/>
        <v>4.6340215998471574</v>
      </c>
      <c r="AR852" s="13">
        <f t="shared" si="471"/>
        <v>3.5633413730895112</v>
      </c>
      <c r="AS852" s="13">
        <f t="shared" si="472"/>
        <v>4.333885337133192</v>
      </c>
      <c r="AT852" s="13">
        <f t="shared" si="473"/>
        <v>3.3557535917537149</v>
      </c>
      <c r="AU852" s="9">
        <v>0</v>
      </c>
      <c r="AV852" s="18">
        <f t="shared" si="490"/>
        <v>5</v>
      </c>
      <c r="AW852" s="18">
        <f t="shared" si="491"/>
        <v>8</v>
      </c>
      <c r="AX852" s="18">
        <f t="shared" si="492"/>
        <v>4</v>
      </c>
      <c r="AY852" s="18">
        <f t="shared" si="493"/>
        <v>1</v>
      </c>
      <c r="AZ852" s="18">
        <f t="shared" si="494"/>
        <v>2</v>
      </c>
      <c r="BA852" s="18">
        <f t="shared" si="495"/>
        <v>6</v>
      </c>
      <c r="BB852" s="18">
        <f t="shared" si="496"/>
        <v>3</v>
      </c>
      <c r="BC852" s="18">
        <f t="shared" si="497"/>
        <v>7</v>
      </c>
      <c r="BD852" s="18">
        <f t="shared" si="498"/>
        <v>9</v>
      </c>
      <c r="BE852" s="8">
        <f t="shared" si="500"/>
        <v>-4.3905344076148618E-3</v>
      </c>
    </row>
    <row r="853" spans="1:57" x14ac:dyDescent="0.25">
      <c r="A853" t="str">
        <f t="shared" si="499"/>
        <v/>
      </c>
      <c r="B853" s="1">
        <v>43998</v>
      </c>
      <c r="C853" s="9">
        <f t="shared" si="474"/>
        <v>0</v>
      </c>
      <c r="D853" s="9">
        <f t="shared" si="475"/>
        <v>0</v>
      </c>
      <c r="E853" s="9">
        <f t="shared" si="476"/>
        <v>0.25291951956596026</v>
      </c>
      <c r="F853" s="9">
        <f t="shared" si="477"/>
        <v>0.24917446664655751</v>
      </c>
      <c r="G853" s="9">
        <f t="shared" si="478"/>
        <v>0.23917360017650252</v>
      </c>
      <c r="H853" s="9">
        <f t="shared" si="479"/>
        <v>0</v>
      </c>
      <c r="I853" s="9">
        <f t="shared" si="480"/>
        <v>0.25873241361097971</v>
      </c>
      <c r="J853" s="9">
        <f t="shared" si="481"/>
        <v>0</v>
      </c>
      <c r="K853" s="9">
        <v>0</v>
      </c>
      <c r="L853" s="8">
        <f>+VLOOKUP($B853,NIFTY_50!$B$3:$I$1238,8,0)</f>
        <v>1.0220406166889129E-2</v>
      </c>
      <c r="M853" s="8">
        <f>+VLOOKUP($B853,NIFTY_BANK!$B$3:$I$41238,8,0)</f>
        <v>1.9273937999989998E-2</v>
      </c>
      <c r="N853" s="8">
        <f>+VLOOKUP($B853,NIFTY_IT!$B$3:$I$1238,8,0)</f>
        <v>3.7578056082294697E-3</v>
      </c>
      <c r="O853" s="8">
        <f>+VLOOKUP($B853,NIFTY_PHARMA!$B$3:$I$1238,8,0)</f>
        <v>-6.2718676951261099E-3</v>
      </c>
      <c r="P853" s="8">
        <f>+VLOOKUP($B853,NIFTY_FMCG!$B$3:$I$1238,8,0)</f>
        <v>-4.4056470325902763E-3</v>
      </c>
      <c r="Q853" s="8">
        <f>+VLOOKUP($B853,NIFTY_METAL!$B$3:$I$1238,8,0)</f>
        <v>1.418163905524894E-2</v>
      </c>
      <c r="R853" s="8">
        <f>+VLOOKUP($B853,NIFTY_ENERGY!$B$3:$I$1238,8,0)</f>
        <v>-2.5261573093892098E-3</v>
      </c>
      <c r="S853" s="8">
        <f>+VLOOKUP($B853,NIFTY_AUTO!$B$3:$I$1238,8,0)</f>
        <v>1.2494179729940491E-3</v>
      </c>
      <c r="T853" s="8">
        <v>0</v>
      </c>
      <c r="U853" s="8">
        <f>+VLOOKUP($B853,NIFTY_50!$B$63:$K$1238,10,0)</f>
        <v>-4.1385406621665677E-3</v>
      </c>
      <c r="V853" s="8">
        <f>+VLOOKUP($B853,NIFTY_BANK!$B$63:$K$1238,10,0)</f>
        <v>-0.19350166590838203</v>
      </c>
      <c r="W853" s="8">
        <f>+VLOOKUP($B853,NIFTY_IT!$B$63:$K$1238,10,0)</f>
        <v>6.7338301659637612E-2</v>
      </c>
      <c r="X853" s="8">
        <f>+VLOOKUP($B853,NIFTY_PHARMA!$B$63:$K$1238,10,0)</f>
        <v>0.36576774903687381</v>
      </c>
      <c r="Y853" s="8">
        <f>+VLOOKUP($B853,NIFTY_FMCG!$B$63:$K$1238,10,0)</f>
        <v>9.0329288766788807E-2</v>
      </c>
      <c r="Z853" s="8">
        <f>+VLOOKUP($B853,NIFTY_METAL!$B$63:$K$1238,10,0)</f>
        <v>2.7609215330864023E-2</v>
      </c>
      <c r="AA853" s="8">
        <f>+VLOOKUP($B853,NIFTY_ENERGY!$B$63:$K$1238,10,0)</f>
        <v>0.17568945291671101</v>
      </c>
      <c r="AB853" s="8">
        <f>+VLOOKUP($B853,NIFTY_AUTO!$B$63:$K$1238,10,0)</f>
        <v>4.3521514073115553E-2</v>
      </c>
      <c r="AC853" s="8">
        <f>+VLOOKUP($B853,EBBETF0430!$B$63:$K$1238,10,0)</f>
        <v>-0.63989198249371448</v>
      </c>
      <c r="AD853" s="16">
        <f t="shared" si="482"/>
        <v>0.25784686755060104</v>
      </c>
      <c r="AE853" s="8">
        <f t="shared" si="483"/>
        <v>0.34446826782233247</v>
      </c>
      <c r="AF853" s="8">
        <f t="shared" si="484"/>
        <v>0.24486415477660947</v>
      </c>
      <c r="AG853" s="8">
        <f t="shared" si="485"/>
        <v>0.19297391251219581</v>
      </c>
      <c r="AH853" s="8">
        <f t="shared" si="486"/>
        <v>0.21586704623800002</v>
      </c>
      <c r="AI853" s="8">
        <f t="shared" si="487"/>
        <v>0.27536098672926951</v>
      </c>
      <c r="AJ853" s="8">
        <f t="shared" si="488"/>
        <v>0.22685187550292799</v>
      </c>
      <c r="AK853" s="8">
        <f t="shared" si="489"/>
        <v>0.29710655567873834</v>
      </c>
      <c r="AL853" s="9">
        <v>0</v>
      </c>
      <c r="AM853" s="17">
        <f t="shared" si="466"/>
        <v>3.8782708880640384</v>
      </c>
      <c r="AN853" s="13">
        <f t="shared" si="467"/>
        <v>2.9030250197552978</v>
      </c>
      <c r="AO853" s="13">
        <f t="shared" si="468"/>
        <v>4.08389705268337</v>
      </c>
      <c r="AP853" s="13">
        <f t="shared" si="469"/>
        <v>5.1820475989820682</v>
      </c>
      <c r="AQ853" s="13">
        <f t="shared" si="470"/>
        <v>4.632481045288726</v>
      </c>
      <c r="AR853" s="13">
        <f t="shared" si="471"/>
        <v>3.6315965158244583</v>
      </c>
      <c r="AS853" s="13">
        <f t="shared" si="472"/>
        <v>4.4081628057207443</v>
      </c>
      <c r="AT853" s="13">
        <f t="shared" si="473"/>
        <v>3.3657958092358662</v>
      </c>
      <c r="AU853" s="9">
        <v>0</v>
      </c>
      <c r="AV853" s="18">
        <f t="shared" si="490"/>
        <v>5</v>
      </c>
      <c r="AW853" s="18">
        <f t="shared" si="491"/>
        <v>8</v>
      </c>
      <c r="AX853" s="18">
        <f t="shared" si="492"/>
        <v>4</v>
      </c>
      <c r="AY853" s="18">
        <f t="shared" si="493"/>
        <v>1</v>
      </c>
      <c r="AZ853" s="18">
        <f t="shared" si="494"/>
        <v>2</v>
      </c>
      <c r="BA853" s="18">
        <f t="shared" si="495"/>
        <v>6</v>
      </c>
      <c r="BB853" s="18">
        <f t="shared" si="496"/>
        <v>3</v>
      </c>
      <c r="BC853" s="18">
        <f t="shared" si="497"/>
        <v>7</v>
      </c>
      <c r="BD853" s="18">
        <f t="shared" si="498"/>
        <v>9</v>
      </c>
      <c r="BE853" s="8">
        <f t="shared" si="500"/>
        <v>-2.3339597401797608E-3</v>
      </c>
    </row>
    <row r="854" spans="1:57" x14ac:dyDescent="0.25">
      <c r="A854" t="str">
        <f t="shared" si="499"/>
        <v/>
      </c>
      <c r="B854" s="1">
        <v>43999</v>
      </c>
      <c r="C854" s="9">
        <f t="shared" si="474"/>
        <v>0</v>
      </c>
      <c r="D854" s="9">
        <f t="shared" si="475"/>
        <v>0</v>
      </c>
      <c r="E854" s="9">
        <f t="shared" si="476"/>
        <v>0.25344115068886064</v>
      </c>
      <c r="F854" s="9">
        <f t="shared" si="477"/>
        <v>0.25048691665199835</v>
      </c>
      <c r="G854" s="9">
        <f t="shared" si="478"/>
        <v>0.2380070806350503</v>
      </c>
      <c r="H854" s="9">
        <f t="shared" si="479"/>
        <v>0</v>
      </c>
      <c r="I854" s="9">
        <f t="shared" si="480"/>
        <v>0.2580648520240908</v>
      </c>
      <c r="J854" s="9">
        <f t="shared" si="481"/>
        <v>0</v>
      </c>
      <c r="K854" s="9">
        <v>0</v>
      </c>
      <c r="L854" s="8">
        <f>+VLOOKUP($B854,NIFTY_50!$B$3:$I$1238,8,0)</f>
        <v>-3.3134960661690416E-3</v>
      </c>
      <c r="M854" s="8">
        <f>+VLOOKUP($B854,NIFTY_BANK!$B$3:$I$41238,8,0)</f>
        <v>-4.6781003808501476E-3</v>
      </c>
      <c r="N854" s="8">
        <f>+VLOOKUP($B854,NIFTY_IT!$B$3:$I$1238,8,0)</f>
        <v>1.9133888781244224E-3</v>
      </c>
      <c r="O854" s="8">
        <f>+VLOOKUP($B854,NIFTY_PHARMA!$B$3:$I$1238,8,0)</f>
        <v>5.1176660219214298E-3</v>
      </c>
      <c r="P854" s="8">
        <f>+VLOOKUP($B854,NIFTY_FMCG!$B$3:$I$1238,8,0)</f>
        <v>-5.0253102761645962E-3</v>
      </c>
      <c r="Q854" s="8">
        <f>+VLOOKUP($B854,NIFTY_METAL!$B$3:$I$1238,8,0)</f>
        <v>-7.8991768495322301E-3</v>
      </c>
      <c r="R854" s="8">
        <f>+VLOOKUP($B854,NIFTY_ENERGY!$B$3:$I$1238,8,0)</f>
        <v>-2.728483260827641E-3</v>
      </c>
      <c r="S854" s="8">
        <f>+VLOOKUP($B854,NIFTY_AUTO!$B$3:$I$1238,8,0)</f>
        <v>8.1304593825810567E-3</v>
      </c>
      <c r="T854" s="8">
        <v>0</v>
      </c>
      <c r="U854" s="8">
        <f>+VLOOKUP($B854,NIFTY_50!$B$63:$K$1238,10,0)</f>
        <v>7.4341661773979606E-2</v>
      </c>
      <c r="V854" s="8">
        <f>+VLOOKUP($B854,NIFTY_BANK!$B$63:$K$1238,10,0)</f>
        <v>-0.12550890323641906</v>
      </c>
      <c r="W854" s="8">
        <f>+VLOOKUP($B854,NIFTY_IT!$B$63:$K$1238,10,0)</f>
        <v>0.16280162392029784</v>
      </c>
      <c r="X854" s="8">
        <f>+VLOOKUP($B854,NIFTY_PHARMA!$B$63:$K$1238,10,0)</f>
        <v>0.43363963588553522</v>
      </c>
      <c r="Y854" s="8">
        <f>+VLOOKUP($B854,NIFTY_FMCG!$B$63:$K$1238,10,0)</f>
        <v>0.15072659682325096</v>
      </c>
      <c r="Z854" s="8">
        <f>+VLOOKUP($B854,NIFTY_METAL!$B$63:$K$1238,10,0)</f>
        <v>0.12125852305558782</v>
      </c>
      <c r="AA854" s="8">
        <f>+VLOOKUP($B854,NIFTY_ENERGY!$B$63:$K$1238,10,0)</f>
        <v>0.24738029217287116</v>
      </c>
      <c r="AB854" s="8">
        <f>+VLOOKUP($B854,NIFTY_AUTO!$B$63:$K$1238,10,0)</f>
        <v>0.11290791792870958</v>
      </c>
      <c r="AC854" s="8">
        <f>+VLOOKUP($B854,EBBETF0430!$B$63:$K$1238,10,0)</f>
        <v>-0.93339621757949165</v>
      </c>
      <c r="AD854" s="16">
        <f t="shared" si="482"/>
        <v>0.24605593298879846</v>
      </c>
      <c r="AE854" s="8">
        <f t="shared" si="483"/>
        <v>0.33501854520141239</v>
      </c>
      <c r="AF854" s="8">
        <f t="shared" si="484"/>
        <v>0.23051984918085489</v>
      </c>
      <c r="AG854" s="8">
        <f t="shared" si="485"/>
        <v>0.18683763193100825</v>
      </c>
      <c r="AH854" s="8">
        <f t="shared" si="486"/>
        <v>0.20763818983735699</v>
      </c>
      <c r="AI854" s="8">
        <f t="shared" si="487"/>
        <v>0.25953277523901713</v>
      </c>
      <c r="AJ854" s="8">
        <f t="shared" si="488"/>
        <v>0.21784621247224786</v>
      </c>
      <c r="AK854" s="8">
        <f t="shared" si="489"/>
        <v>0.29171718176362332</v>
      </c>
      <c r="AL854" s="9">
        <v>0</v>
      </c>
      <c r="AM854" s="17">
        <f t="shared" si="466"/>
        <v>4.0641165927322884</v>
      </c>
      <c r="AN854" s="13">
        <f t="shared" si="467"/>
        <v>2.984909385833558</v>
      </c>
      <c r="AO854" s="13">
        <f t="shared" si="468"/>
        <v>4.3380212313753841</v>
      </c>
      <c r="AP854" s="13">
        <f t="shared" si="469"/>
        <v>5.3522408182162176</v>
      </c>
      <c r="AQ854" s="13">
        <f t="shared" si="470"/>
        <v>4.8160697258211513</v>
      </c>
      <c r="AR854" s="13">
        <f t="shared" si="471"/>
        <v>3.8530778976915281</v>
      </c>
      <c r="AS854" s="13">
        <f t="shared" si="472"/>
        <v>4.5903942448730577</v>
      </c>
      <c r="AT854" s="13">
        <f t="shared" si="473"/>
        <v>3.4279777212790092</v>
      </c>
      <c r="AU854" s="9">
        <v>0</v>
      </c>
      <c r="AV854" s="18">
        <f t="shared" si="490"/>
        <v>5</v>
      </c>
      <c r="AW854" s="18">
        <f t="shared" si="491"/>
        <v>8</v>
      </c>
      <c r="AX854" s="18">
        <f t="shared" si="492"/>
        <v>4</v>
      </c>
      <c r="AY854" s="18">
        <f t="shared" si="493"/>
        <v>1</v>
      </c>
      <c r="AZ854" s="18">
        <f t="shared" si="494"/>
        <v>2</v>
      </c>
      <c r="BA854" s="18">
        <f t="shared" si="495"/>
        <v>6</v>
      </c>
      <c r="BB854" s="18">
        <f t="shared" si="496"/>
        <v>3</v>
      </c>
      <c r="BC854" s="18">
        <f t="shared" si="497"/>
        <v>7</v>
      </c>
      <c r="BD854" s="18">
        <f t="shared" si="498"/>
        <v>9</v>
      </c>
      <c r="BE854" s="8">
        <f t="shared" si="500"/>
        <v>-1.4874351303978981E-4</v>
      </c>
    </row>
    <row r="855" spans="1:57" x14ac:dyDescent="0.25">
      <c r="A855" t="str">
        <f t="shared" si="499"/>
        <v/>
      </c>
      <c r="B855" s="1">
        <v>44000</v>
      </c>
      <c r="C855" s="9">
        <f t="shared" si="474"/>
        <v>0</v>
      </c>
      <c r="D855" s="9">
        <f t="shared" si="475"/>
        <v>0</v>
      </c>
      <c r="E855" s="9">
        <f t="shared" si="476"/>
        <v>0.25261625505558089</v>
      </c>
      <c r="F855" s="9">
        <f t="shared" si="477"/>
        <v>0.24837521941455681</v>
      </c>
      <c r="G855" s="9">
        <f t="shared" si="478"/>
        <v>0.2378467024078855</v>
      </c>
      <c r="H855" s="9">
        <f t="shared" si="479"/>
        <v>0</v>
      </c>
      <c r="I855" s="9">
        <f t="shared" si="480"/>
        <v>0.26116182312197683</v>
      </c>
      <c r="J855" s="9">
        <f t="shared" si="481"/>
        <v>0</v>
      </c>
      <c r="K855" s="9">
        <v>0</v>
      </c>
      <c r="L855" s="8">
        <f>+VLOOKUP($B855,NIFTY_50!$B$3:$I$1238,8,0)</f>
        <v>2.1303188394063532E-2</v>
      </c>
      <c r="M855" s="8">
        <f>+VLOOKUP($B855,NIFTY_BANK!$B$3:$I$41238,8,0)</f>
        <v>3.7350724565941018E-2</v>
      </c>
      <c r="N855" s="8">
        <f>+VLOOKUP($B855,NIFTY_IT!$B$3:$I$1238,8,0)</f>
        <v>5.0281625450236955E-3</v>
      </c>
      <c r="O855" s="8">
        <f>+VLOOKUP($B855,NIFTY_PHARMA!$B$3:$I$1238,8,0)</f>
        <v>-1.9043418995323691E-4</v>
      </c>
      <c r="P855" s="8">
        <f>+VLOOKUP($B855,NIFTY_FMCG!$B$3:$I$1238,8,0)</f>
        <v>7.6305538702330367E-3</v>
      </c>
      <c r="Q855" s="8">
        <f>+VLOOKUP($B855,NIFTY_METAL!$B$3:$I$1238,8,0)</f>
        <v>2.9993042850885221E-2</v>
      </c>
      <c r="R855" s="8">
        <f>+VLOOKUP($B855,NIFTY_ENERGY!$B$3:$I$1238,8,0)</f>
        <v>2.0410465002055567E-2</v>
      </c>
      <c r="S855" s="8">
        <f>+VLOOKUP($B855,NIFTY_AUTO!$B$3:$I$1238,8,0)</f>
        <v>4.9819328054123702E-3</v>
      </c>
      <c r="T855" s="8">
        <v>0</v>
      </c>
      <c r="U855" s="8">
        <f>+VLOOKUP($B855,NIFTY_50!$B$63:$K$1238,10,0)</f>
        <v>0.1254147127539158</v>
      </c>
      <c r="V855" s="8">
        <f>+VLOOKUP($B855,NIFTY_BANK!$B$63:$K$1238,10,0)</f>
        <v>-5.41115722529526E-2</v>
      </c>
      <c r="W855" s="8">
        <f>+VLOOKUP($B855,NIFTY_IT!$B$63:$K$1238,10,0)</f>
        <v>0.20265718949521672</v>
      </c>
      <c r="X855" s="8">
        <f>+VLOOKUP($B855,NIFTY_PHARMA!$B$63:$K$1238,10,0)</f>
        <v>0.42931036953188784</v>
      </c>
      <c r="Y855" s="8">
        <f>+VLOOKUP($B855,NIFTY_FMCG!$B$63:$K$1238,10,0)</f>
        <v>0.14917257825458252</v>
      </c>
      <c r="Z855" s="8">
        <f>+VLOOKUP($B855,NIFTY_METAL!$B$63:$K$1238,10,0)</f>
        <v>0.16849367125610226</v>
      </c>
      <c r="AA855" s="8">
        <f>+VLOOKUP($B855,NIFTY_ENERGY!$B$63:$K$1238,10,0)</f>
        <v>0.27947683913761501</v>
      </c>
      <c r="AB855" s="8">
        <f>+VLOOKUP($B855,NIFTY_AUTO!$B$63:$K$1238,10,0)</f>
        <v>0.12613179182783818</v>
      </c>
      <c r="AC855" s="8">
        <f>+VLOOKUP($B855,EBBETF0430!$B$63:$K$1238,10,0)</f>
        <v>-0.88159493150428914</v>
      </c>
      <c r="AD855" s="16">
        <f t="shared" si="482"/>
        <v>0.24531396022005614</v>
      </c>
      <c r="AE855" s="8">
        <f t="shared" si="483"/>
        <v>0.33474033154320515</v>
      </c>
      <c r="AF855" s="8">
        <f t="shared" si="484"/>
        <v>0.22837017864509784</v>
      </c>
      <c r="AG855" s="8">
        <f t="shared" si="485"/>
        <v>0.18691632558594448</v>
      </c>
      <c r="AH855" s="8">
        <f t="shared" si="486"/>
        <v>0.20760101022928071</v>
      </c>
      <c r="AI855" s="8">
        <f t="shared" si="487"/>
        <v>0.26055700649321217</v>
      </c>
      <c r="AJ855" s="8">
        <f t="shared" si="488"/>
        <v>0.21824332576028507</v>
      </c>
      <c r="AK855" s="8">
        <f t="shared" si="489"/>
        <v>0.2915764329502365</v>
      </c>
      <c r="AL855" s="9">
        <v>0</v>
      </c>
      <c r="AM855" s="17">
        <f t="shared" si="466"/>
        <v>4.0764088562385981</v>
      </c>
      <c r="AN855" s="13">
        <f t="shared" si="467"/>
        <v>2.9873902418326588</v>
      </c>
      <c r="AO855" s="13">
        <f t="shared" si="468"/>
        <v>4.3788554439678622</v>
      </c>
      <c r="AP855" s="13">
        <f t="shared" si="469"/>
        <v>5.3499874709456456</v>
      </c>
      <c r="AQ855" s="13">
        <f t="shared" si="470"/>
        <v>4.8169322437090765</v>
      </c>
      <c r="AR855" s="13">
        <f t="shared" si="471"/>
        <v>3.8379317196601703</v>
      </c>
      <c r="AS855" s="13">
        <f t="shared" si="472"/>
        <v>4.5820416111986111</v>
      </c>
      <c r="AT855" s="13">
        <f t="shared" si="473"/>
        <v>3.4296324633708326</v>
      </c>
      <c r="AU855" s="9">
        <v>0</v>
      </c>
      <c r="AV855" s="18">
        <f t="shared" si="490"/>
        <v>5</v>
      </c>
      <c r="AW855" s="18">
        <f t="shared" si="491"/>
        <v>8</v>
      </c>
      <c r="AX855" s="18">
        <f t="shared" si="492"/>
        <v>4</v>
      </c>
      <c r="AY855" s="18">
        <f t="shared" si="493"/>
        <v>1</v>
      </c>
      <c r="AZ855" s="18">
        <f t="shared" si="494"/>
        <v>2</v>
      </c>
      <c r="BA855" s="18">
        <f t="shared" si="495"/>
        <v>6</v>
      </c>
      <c r="BB855" s="18">
        <f t="shared" si="496"/>
        <v>3</v>
      </c>
      <c r="BC855" s="18">
        <f t="shared" si="497"/>
        <v>7</v>
      </c>
      <c r="BD855" s="18">
        <f t="shared" si="498"/>
        <v>9</v>
      </c>
      <c r="BE855" s="8">
        <f t="shared" si="500"/>
        <v>8.3099915089759301E-3</v>
      </c>
    </row>
    <row r="856" spans="1:57" x14ac:dyDescent="0.25">
      <c r="A856" t="str">
        <f t="shared" si="499"/>
        <v/>
      </c>
      <c r="B856" s="1">
        <v>44001</v>
      </c>
      <c r="C856" s="9">
        <f t="shared" si="474"/>
        <v>0</v>
      </c>
      <c r="D856" s="9">
        <f t="shared" si="475"/>
        <v>0</v>
      </c>
      <c r="E856" s="9">
        <f t="shared" si="476"/>
        <v>0.249277382988153</v>
      </c>
      <c r="F856" s="9">
        <f t="shared" si="477"/>
        <v>0.24662411268957812</v>
      </c>
      <c r="G856" s="9">
        <f t="shared" si="478"/>
        <v>0.23603530196643172</v>
      </c>
      <c r="H856" s="9">
        <f t="shared" si="479"/>
        <v>0</v>
      </c>
      <c r="I856" s="9">
        <f t="shared" si="480"/>
        <v>0.26806320235583714</v>
      </c>
      <c r="J856" s="9">
        <f t="shared" si="481"/>
        <v>0</v>
      </c>
      <c r="K856" s="9">
        <v>0</v>
      </c>
      <c r="L856" s="8">
        <f>+VLOOKUP($B856,NIFTY_50!$B$3:$I$1238,8,0)</f>
        <v>1.5136276030183415E-2</v>
      </c>
      <c r="M856" s="8">
        <f>+VLOOKUP($B856,NIFTY_BANK!$B$3:$I$41238,8,0)</f>
        <v>1.8218864971392801E-2</v>
      </c>
      <c r="N856" s="8">
        <f>+VLOOKUP($B856,NIFTY_IT!$B$3:$I$1238,8,0)</f>
        <v>-3.5357787131690133E-3</v>
      </c>
      <c r="O856" s="8">
        <f>+VLOOKUP($B856,NIFTY_PHARMA!$B$3:$I$1238,8,0)</f>
        <v>2.6916483714776174E-3</v>
      </c>
      <c r="P856" s="8">
        <f>+VLOOKUP($B856,NIFTY_FMCG!$B$3:$I$1238,8,0)</f>
        <v>2.1205150670013939E-3</v>
      </c>
      <c r="Q856" s="8">
        <f>+VLOOKUP($B856,NIFTY_METAL!$B$3:$I$1238,8,0)</f>
        <v>-5.503715007630916E-4</v>
      </c>
      <c r="R856" s="8">
        <f>+VLOOKUP($B856,NIFTY_ENERGY!$B$3:$I$1238,8,0)</f>
        <v>3.6496012036980829E-2</v>
      </c>
      <c r="S856" s="8">
        <f>+VLOOKUP($B856,NIFTY_AUTO!$B$3:$I$1238,8,0)</f>
        <v>1.5085910127143887E-2</v>
      </c>
      <c r="T856" s="8">
        <v>0</v>
      </c>
      <c r="U856" s="8">
        <f>+VLOOKUP($B856,NIFTY_50!$B$63:$K$1238,10,0)</f>
        <v>0.20966370678254309</v>
      </c>
      <c r="V856" s="8">
        <f>+VLOOKUP($B856,NIFTY_BANK!$B$63:$K$1238,10,0)</f>
        <v>3.6826658633055009E-2</v>
      </c>
      <c r="W856" s="8">
        <f>+VLOOKUP($B856,NIFTY_IT!$B$63:$K$1238,10,0)</f>
        <v>0.23371054198927932</v>
      </c>
      <c r="X856" s="8">
        <f>+VLOOKUP($B856,NIFTY_PHARMA!$B$63:$K$1238,10,0)</f>
        <v>0.49157812325243255</v>
      </c>
      <c r="Y856" s="8">
        <f>+VLOOKUP($B856,NIFTY_FMCG!$B$63:$K$1238,10,0)</f>
        <v>0.18700308023070722</v>
      </c>
      <c r="Z856" s="8">
        <f>+VLOOKUP($B856,NIFTY_METAL!$B$63:$K$1238,10,0)</f>
        <v>0.20030645355125576</v>
      </c>
      <c r="AA856" s="8">
        <f>+VLOOKUP($B856,NIFTY_ENERGY!$B$63:$K$1238,10,0)</f>
        <v>0.38868719487145187</v>
      </c>
      <c r="AB856" s="8">
        <f>+VLOOKUP($B856,NIFTY_AUTO!$B$63:$K$1238,10,0)</f>
        <v>0.20266473307350674</v>
      </c>
      <c r="AC856" s="8">
        <f>+VLOOKUP($B856,EBBETF0430!$B$63:$K$1238,10,0)</f>
        <v>-0.52099020903987281</v>
      </c>
      <c r="AD856" s="16">
        <f t="shared" si="482"/>
        <v>0.23852332908762153</v>
      </c>
      <c r="AE856" s="8">
        <f t="shared" si="483"/>
        <v>0.32740368176155155</v>
      </c>
      <c r="AF856" s="8">
        <f t="shared" si="484"/>
        <v>0.22619184488973329</v>
      </c>
      <c r="AG856" s="8">
        <f t="shared" si="485"/>
        <v>0.18129231002809179</v>
      </c>
      <c r="AH856" s="8">
        <f t="shared" si="486"/>
        <v>0.20500854380132341</v>
      </c>
      <c r="AI856" s="8">
        <f t="shared" si="487"/>
        <v>0.2588095064836019</v>
      </c>
      <c r="AJ856" s="8">
        <f t="shared" si="488"/>
        <v>0.21471613165106199</v>
      </c>
      <c r="AK856" s="8">
        <f t="shared" si="489"/>
        <v>0.28702185694969623</v>
      </c>
      <c r="AL856" s="9">
        <v>0</v>
      </c>
      <c r="AM856" s="17">
        <f t="shared" si="466"/>
        <v>4.1924620280335345</v>
      </c>
      <c r="AN856" s="13">
        <f t="shared" si="467"/>
        <v>3.0543333985116914</v>
      </c>
      <c r="AO856" s="13">
        <f t="shared" si="468"/>
        <v>4.4210258795470363</v>
      </c>
      <c r="AP856" s="13">
        <f t="shared" si="469"/>
        <v>5.5159537646414618</v>
      </c>
      <c r="AQ856" s="13">
        <f t="shared" si="470"/>
        <v>4.877845486133074</v>
      </c>
      <c r="AR856" s="13">
        <f t="shared" si="471"/>
        <v>3.8638457048460841</v>
      </c>
      <c r="AS856" s="13">
        <f t="shared" si="472"/>
        <v>4.6573119230049898</v>
      </c>
      <c r="AT856" s="13">
        <f t="shared" si="473"/>
        <v>3.4840552236245239</v>
      </c>
      <c r="AU856" s="9">
        <v>0</v>
      </c>
      <c r="AV856" s="18">
        <f t="shared" si="490"/>
        <v>5</v>
      </c>
      <c r="AW856" s="18">
        <f t="shared" si="491"/>
        <v>8</v>
      </c>
      <c r="AX856" s="18">
        <f t="shared" si="492"/>
        <v>4</v>
      </c>
      <c r="AY856" s="18">
        <f t="shared" si="493"/>
        <v>1</v>
      </c>
      <c r="AZ856" s="18">
        <f t="shared" si="494"/>
        <v>2</v>
      </c>
      <c r="BA856" s="18">
        <f t="shared" si="495"/>
        <v>6</v>
      </c>
      <c r="BB856" s="18">
        <f t="shared" si="496"/>
        <v>3</v>
      </c>
      <c r="BC856" s="18">
        <f t="shared" si="497"/>
        <v>7</v>
      </c>
      <c r="BD856" s="18">
        <f t="shared" si="498"/>
        <v>9</v>
      </c>
      <c r="BE856" s="8">
        <f t="shared" si="500"/>
        <v>9.811066133978634E-3</v>
      </c>
    </row>
    <row r="857" spans="1:57" x14ac:dyDescent="0.25">
      <c r="A857" t="str">
        <f t="shared" si="499"/>
        <v/>
      </c>
      <c r="B857" s="1">
        <v>44004</v>
      </c>
      <c r="C857" s="9">
        <f t="shared" si="474"/>
        <v>0</v>
      </c>
      <c r="D857" s="9">
        <f t="shared" si="475"/>
        <v>0</v>
      </c>
      <c r="E857" s="9">
        <f t="shared" si="476"/>
        <v>0.24654114686991491</v>
      </c>
      <c r="F857" s="9">
        <f t="shared" si="477"/>
        <v>0.24981130523487502</v>
      </c>
      <c r="G857" s="9">
        <f t="shared" si="478"/>
        <v>0.23529871941303659</v>
      </c>
      <c r="H857" s="9">
        <f t="shared" si="479"/>
        <v>0</v>
      </c>
      <c r="I857" s="9">
        <f t="shared" si="480"/>
        <v>0.26834882848217367</v>
      </c>
      <c r="J857" s="9">
        <f t="shared" si="481"/>
        <v>0</v>
      </c>
      <c r="K857" s="9">
        <v>0</v>
      </c>
      <c r="L857" s="8">
        <f>+VLOOKUP($B857,NIFTY_50!$B$3:$I$1238,8,0)</f>
        <v>6.5206356643630059E-3</v>
      </c>
      <c r="M857" s="8">
        <f>+VLOOKUP($B857,NIFTY_BANK!$B$3:$I$41238,8,0)</f>
        <v>1.7351591753717477E-2</v>
      </c>
      <c r="N857" s="8">
        <f>+VLOOKUP($B857,NIFTY_IT!$B$3:$I$1238,8,0)</f>
        <v>-2.4896895129586927E-3</v>
      </c>
      <c r="O857" s="8">
        <f>+VLOOKUP($B857,NIFTY_PHARMA!$B$3:$I$1238,8,0)</f>
        <v>2.161535269916981E-2</v>
      </c>
      <c r="P857" s="8">
        <f>+VLOOKUP($B857,NIFTY_FMCG!$B$3:$I$1238,8,0)</f>
        <v>5.4337509078021817E-3</v>
      </c>
      <c r="Q857" s="8">
        <f>+VLOOKUP($B857,NIFTY_METAL!$B$3:$I$1238,8,0)</f>
        <v>2.6157042376911743E-2</v>
      </c>
      <c r="R857" s="8">
        <f>+VLOOKUP($B857,NIFTY_ENERGY!$B$3:$I$1238,8,0)</f>
        <v>9.6558366729158074E-3</v>
      </c>
      <c r="S857" s="8">
        <f>+VLOOKUP($B857,NIFTY_AUTO!$B$3:$I$1238,8,0)</f>
        <v>1.425879870374569E-2</v>
      </c>
      <c r="T857" s="8">
        <v>0</v>
      </c>
      <c r="U857" s="8">
        <f>+VLOOKUP($B857,NIFTY_50!$B$63:$K$1238,10,0)</f>
        <v>0.24780811888496923</v>
      </c>
      <c r="V857" s="8">
        <f>+VLOOKUP($B857,NIFTY_BANK!$B$63:$K$1238,10,0)</f>
        <v>8.0904722782383587E-2</v>
      </c>
      <c r="W857" s="8">
        <f>+VLOOKUP($B857,NIFTY_IT!$B$63:$K$1238,10,0)</f>
        <v>0.27545855379188722</v>
      </c>
      <c r="X857" s="8">
        <f>+VLOOKUP($B857,NIFTY_PHARMA!$B$63:$K$1238,10,0)</f>
        <v>0.53532416798136895</v>
      </c>
      <c r="Y857" s="8">
        <f>+VLOOKUP($B857,NIFTY_FMCG!$B$63:$K$1238,10,0)</f>
        <v>0.20419469561861847</v>
      </c>
      <c r="Z857" s="8">
        <f>+VLOOKUP($B857,NIFTY_METAL!$B$63:$K$1238,10,0)</f>
        <v>0.3021217126159319</v>
      </c>
      <c r="AA857" s="8">
        <f>+VLOOKUP($B857,NIFTY_ENERGY!$B$63:$K$1238,10,0)</f>
        <v>0.46128378613853482</v>
      </c>
      <c r="AB857" s="8">
        <f>+VLOOKUP($B857,NIFTY_AUTO!$B$63:$K$1238,10,0)</f>
        <v>0.29892867483833618</v>
      </c>
      <c r="AC857" s="8">
        <f>+VLOOKUP($B857,EBBETF0430!$B$63:$K$1238,10,0)</f>
        <v>-0.6909737427525442</v>
      </c>
      <c r="AD857" s="16">
        <f t="shared" si="482"/>
        <v>0.23687723221119583</v>
      </c>
      <c r="AE857" s="8">
        <f t="shared" si="483"/>
        <v>0.32674060463494253</v>
      </c>
      <c r="AF857" s="8">
        <f t="shared" si="484"/>
        <v>0.22285434667963236</v>
      </c>
      <c r="AG857" s="8">
        <f t="shared" si="485"/>
        <v>0.18128926589887576</v>
      </c>
      <c r="AH857" s="8">
        <f t="shared" si="486"/>
        <v>0.20465674646758644</v>
      </c>
      <c r="AI857" s="8">
        <f t="shared" si="487"/>
        <v>0.2531128757515973</v>
      </c>
      <c r="AJ857" s="8">
        <f t="shared" si="488"/>
        <v>0.20960699698759833</v>
      </c>
      <c r="AK857" s="8">
        <f t="shared" si="489"/>
        <v>0.27968533153993735</v>
      </c>
      <c r="AL857" s="9">
        <v>0</v>
      </c>
      <c r="AM857" s="17">
        <f t="shared" si="466"/>
        <v>4.2215961013442458</v>
      </c>
      <c r="AN857" s="13">
        <f t="shared" si="467"/>
        <v>3.0605317668346426</v>
      </c>
      <c r="AO857" s="13">
        <f t="shared" si="468"/>
        <v>4.4872357883042104</v>
      </c>
      <c r="AP857" s="13">
        <f t="shared" si="469"/>
        <v>5.5160463860988109</v>
      </c>
      <c r="AQ857" s="13">
        <f t="shared" si="470"/>
        <v>4.8862303210628832</v>
      </c>
      <c r="AR857" s="13">
        <f t="shared" si="471"/>
        <v>3.9508065207294747</v>
      </c>
      <c r="AS857" s="13">
        <f t="shared" si="472"/>
        <v>4.7708331037210856</v>
      </c>
      <c r="AT857" s="13">
        <f t="shared" si="473"/>
        <v>3.5754467153998961</v>
      </c>
      <c r="AU857" s="9">
        <v>0</v>
      </c>
      <c r="AV857" s="18">
        <f t="shared" si="490"/>
        <v>5</v>
      </c>
      <c r="AW857" s="18">
        <f t="shared" si="491"/>
        <v>8</v>
      </c>
      <c r="AX857" s="18">
        <f t="shared" si="492"/>
        <v>4</v>
      </c>
      <c r="AY857" s="18">
        <f t="shared" si="493"/>
        <v>1</v>
      </c>
      <c r="AZ857" s="18">
        <f t="shared" si="494"/>
        <v>2</v>
      </c>
      <c r="BA857" s="18">
        <f t="shared" si="495"/>
        <v>6</v>
      </c>
      <c r="BB857" s="18">
        <f t="shared" si="496"/>
        <v>3</v>
      </c>
      <c r="BC857" s="18">
        <f t="shared" si="497"/>
        <v>7</v>
      </c>
      <c r="BD857" s="18">
        <f t="shared" si="498"/>
        <v>9</v>
      </c>
      <c r="BE857" s="8">
        <f t="shared" si="500"/>
        <v>8.5811754299618438E-3</v>
      </c>
    </row>
    <row r="858" spans="1:57" x14ac:dyDescent="0.25">
      <c r="A858" t="str">
        <f t="shared" si="499"/>
        <v/>
      </c>
      <c r="B858" s="1">
        <v>44005</v>
      </c>
      <c r="C858" s="9">
        <f t="shared" si="474"/>
        <v>0</v>
      </c>
      <c r="D858" s="9">
        <f t="shared" si="475"/>
        <v>0</v>
      </c>
      <c r="E858" s="9">
        <f t="shared" si="476"/>
        <v>0.24674839590015879</v>
      </c>
      <c r="F858" s="9">
        <f t="shared" si="477"/>
        <v>0.24976469360700948</v>
      </c>
      <c r="G858" s="9">
        <f t="shared" si="478"/>
        <v>0.23595691922757475</v>
      </c>
      <c r="H858" s="9">
        <f t="shared" si="479"/>
        <v>0</v>
      </c>
      <c r="I858" s="9">
        <f t="shared" si="480"/>
        <v>0.26752999126525701</v>
      </c>
      <c r="J858" s="9">
        <f t="shared" si="481"/>
        <v>0</v>
      </c>
      <c r="K858" s="9">
        <v>0</v>
      </c>
      <c r="L858" s="8">
        <f>+VLOOKUP($B858,NIFTY_50!$B$3:$I$1238,8,0)</f>
        <v>1.5497711226627242E-2</v>
      </c>
      <c r="M858" s="8">
        <f>+VLOOKUP($B858,NIFTY_BANK!$B$3:$I$41238,8,0)</f>
        <v>2.5637600278234141E-2</v>
      </c>
      <c r="N858" s="8">
        <f>+VLOOKUP($B858,NIFTY_IT!$B$3:$I$1238,8,0)</f>
        <v>1.498233508714919E-2</v>
      </c>
      <c r="O858" s="8">
        <f>+VLOOKUP($B858,NIFTY_PHARMA!$B$3:$I$1238,8,0)</f>
        <v>1.3940606849442316E-2</v>
      </c>
      <c r="P858" s="8">
        <f>+VLOOKUP($B858,NIFTY_FMCG!$B$3:$I$1238,8,0)</f>
        <v>1.6966650441964326E-2</v>
      </c>
      <c r="Q858" s="8">
        <f>+VLOOKUP($B858,NIFTY_METAL!$B$3:$I$1238,8,0)</f>
        <v>1.7562689042833535E-2</v>
      </c>
      <c r="R858" s="8">
        <f>+VLOOKUP($B858,NIFTY_ENERGY!$B$3:$I$1238,8,0)</f>
        <v>1.1035323939055264E-2</v>
      </c>
      <c r="S858" s="8">
        <f>+VLOOKUP($B858,NIFTY_AUTO!$B$3:$I$1238,8,0)</f>
        <v>8.9313578338856559E-3</v>
      </c>
      <c r="T858" s="8">
        <v>0</v>
      </c>
      <c r="U858" s="8">
        <f>+VLOOKUP($B858,NIFTY_50!$B$63:$K$1238,10,0)</f>
        <v>0.19730831460931109</v>
      </c>
      <c r="V858" s="8">
        <f>+VLOOKUP($B858,NIFTY_BANK!$B$63:$K$1238,10,0)</f>
        <v>9.5843012954285989E-2</v>
      </c>
      <c r="W858" s="8">
        <f>+VLOOKUP($B858,NIFTY_IT!$B$63:$K$1238,10,0)</f>
        <v>0.18740319247459225</v>
      </c>
      <c r="X858" s="8">
        <f>+VLOOKUP($B858,NIFTY_PHARMA!$B$63:$K$1238,10,0)</f>
        <v>0.49035515470590774</v>
      </c>
      <c r="Y858" s="8">
        <f>+VLOOKUP($B858,NIFTY_FMCG!$B$63:$K$1238,10,0)</f>
        <v>0.13202424840734861</v>
      </c>
      <c r="Z858" s="8">
        <f>+VLOOKUP($B858,NIFTY_METAL!$B$63:$K$1238,10,0)</f>
        <v>0.23212334229258369</v>
      </c>
      <c r="AA858" s="8">
        <f>+VLOOKUP($B858,NIFTY_ENERGY!$B$63:$K$1238,10,0)</f>
        <v>0.35998295157697902</v>
      </c>
      <c r="AB858" s="8">
        <f>+VLOOKUP($B858,NIFTY_AUTO!$B$63:$K$1238,10,0)</f>
        <v>0.26424773982104788</v>
      </c>
      <c r="AC858" s="8">
        <f>+VLOOKUP($B858,EBBETF0430!$B$63:$K$1238,10,0)</f>
        <v>-0.85052161332081122</v>
      </c>
      <c r="AD858" s="16">
        <f t="shared" si="482"/>
        <v>0.23080364543622789</v>
      </c>
      <c r="AE858" s="8">
        <f t="shared" si="483"/>
        <v>0.32743974675388904</v>
      </c>
      <c r="AF858" s="8">
        <f t="shared" si="484"/>
        <v>0.20570182605380044</v>
      </c>
      <c r="AG858" s="8">
        <f t="shared" si="485"/>
        <v>0.17750849326916635</v>
      </c>
      <c r="AH858" s="8">
        <f t="shared" si="486"/>
        <v>0.18934619882089884</v>
      </c>
      <c r="AI858" s="8">
        <f t="shared" si="487"/>
        <v>0.24331425912895019</v>
      </c>
      <c r="AJ858" s="8">
        <f t="shared" si="488"/>
        <v>0.19365500410543579</v>
      </c>
      <c r="AK858" s="8">
        <f t="shared" si="489"/>
        <v>0.27789348456585455</v>
      </c>
      <c r="AL858" s="9">
        <v>0</v>
      </c>
      <c r="AM858" s="17">
        <f t="shared" si="466"/>
        <v>4.3326871987223639</v>
      </c>
      <c r="AN858" s="13">
        <f t="shared" si="467"/>
        <v>3.0539969869681767</v>
      </c>
      <c r="AO858" s="13">
        <f t="shared" si="468"/>
        <v>4.8614055557214852</v>
      </c>
      <c r="AP858" s="13">
        <f t="shared" si="469"/>
        <v>5.6335332556940951</v>
      </c>
      <c r="AQ858" s="13">
        <f t="shared" si="470"/>
        <v>5.2813312663640666</v>
      </c>
      <c r="AR858" s="13">
        <f t="shared" si="471"/>
        <v>4.1099112052862719</v>
      </c>
      <c r="AS858" s="13">
        <f t="shared" si="472"/>
        <v>5.1638221517660776</v>
      </c>
      <c r="AT858" s="13">
        <f t="shared" si="473"/>
        <v>3.598501064399811</v>
      </c>
      <c r="AU858" s="9">
        <v>0</v>
      </c>
      <c r="AV858" s="18">
        <f t="shared" si="490"/>
        <v>5</v>
      </c>
      <c r="AW858" s="18">
        <f t="shared" si="491"/>
        <v>8</v>
      </c>
      <c r="AX858" s="18">
        <f t="shared" si="492"/>
        <v>4</v>
      </c>
      <c r="AY858" s="18">
        <f t="shared" si="493"/>
        <v>1</v>
      </c>
      <c r="AZ858" s="18">
        <f t="shared" si="494"/>
        <v>2</v>
      </c>
      <c r="BA858" s="18">
        <f t="shared" si="495"/>
        <v>6</v>
      </c>
      <c r="BB858" s="18">
        <f t="shared" si="496"/>
        <v>3</v>
      </c>
      <c r="BC858" s="18">
        <f t="shared" si="497"/>
        <v>7</v>
      </c>
      <c r="BD858" s="18">
        <f t="shared" si="498"/>
        <v>9</v>
      </c>
      <c r="BE858" s="8">
        <f t="shared" si="500"/>
        <v>1.4129830640690157E-2</v>
      </c>
    </row>
    <row r="859" spans="1:57" x14ac:dyDescent="0.25">
      <c r="A859" t="str">
        <f t="shared" si="499"/>
        <v/>
      </c>
      <c r="B859" s="1">
        <v>44006</v>
      </c>
      <c r="C859" s="9">
        <f t="shared" si="474"/>
        <v>0</v>
      </c>
      <c r="D859" s="9">
        <f t="shared" si="475"/>
        <v>0</v>
      </c>
      <c r="E859" s="9">
        <f t="shared" si="476"/>
        <v>0.24777403592758365</v>
      </c>
      <c r="F859" s="9">
        <f t="shared" si="477"/>
        <v>0.24640472035079672</v>
      </c>
      <c r="G859" s="9">
        <f t="shared" si="478"/>
        <v>0.23961984763544095</v>
      </c>
      <c r="H859" s="9">
        <f t="shared" si="479"/>
        <v>0</v>
      </c>
      <c r="I859" s="9">
        <f t="shared" si="480"/>
        <v>0.26620139608617871</v>
      </c>
      <c r="J859" s="9">
        <f t="shared" si="481"/>
        <v>0</v>
      </c>
      <c r="K859" s="9">
        <v>0</v>
      </c>
      <c r="L859" s="8">
        <f>+VLOOKUP($B859,NIFTY_50!$B$3:$I$1238,8,0)</f>
        <v>-1.5824658580842366E-2</v>
      </c>
      <c r="M859" s="8">
        <f>+VLOOKUP($B859,NIFTY_BANK!$B$3:$I$41238,8,0)</f>
        <v>-3.7642208139268662E-2</v>
      </c>
      <c r="N859" s="8">
        <f>+VLOOKUP($B859,NIFTY_IT!$B$3:$I$1238,8,0)</f>
        <v>-6.7402795564153184E-3</v>
      </c>
      <c r="O859" s="8">
        <f>+VLOOKUP($B859,NIFTY_PHARMA!$B$3:$I$1238,8,0)</f>
        <v>-2.4158366149331978E-2</v>
      </c>
      <c r="P859" s="8">
        <f>+VLOOKUP($B859,NIFTY_FMCG!$B$3:$I$1238,8,0)</f>
        <v>4.5034610563035038E-3</v>
      </c>
      <c r="Q859" s="8">
        <f>+VLOOKUP($B859,NIFTY_METAL!$B$3:$I$1238,8,0)</f>
        <v>-2.0831335698533016E-2</v>
      </c>
      <c r="R859" s="8">
        <f>+VLOOKUP($B859,NIFTY_ENERGY!$B$3:$I$1238,8,0)</f>
        <v>-1.5764058082365362E-2</v>
      </c>
      <c r="S859" s="8">
        <f>+VLOOKUP($B859,NIFTY_AUTO!$B$3:$I$1238,8,0)</f>
        <v>-6.8343840216814611E-3</v>
      </c>
      <c r="T859" s="8">
        <v>0</v>
      </c>
      <c r="U859" s="8">
        <f>+VLOOKUP($B859,NIFTY_50!$B$63:$K$1238,10,0)</f>
        <v>0.35413422686508311</v>
      </c>
      <c r="V859" s="8">
        <f>+VLOOKUP($B859,NIFTY_BANK!$B$63:$K$1238,10,0)</f>
        <v>0.26653524573448428</v>
      </c>
      <c r="W859" s="8">
        <f>+VLOOKUP($B859,NIFTY_IT!$B$63:$K$1238,10,0)</f>
        <v>0.30429085119324495</v>
      </c>
      <c r="X859" s="8">
        <f>+VLOOKUP($B859,NIFTY_PHARMA!$B$63:$K$1238,10,0)</f>
        <v>0.5718327814312143</v>
      </c>
      <c r="Y859" s="8">
        <f>+VLOOKUP($B859,NIFTY_FMCG!$B$63:$K$1238,10,0)</f>
        <v>0.27188304027984778</v>
      </c>
      <c r="Z859" s="8">
        <f>+VLOOKUP($B859,NIFTY_METAL!$B$63:$K$1238,10,0)</f>
        <v>0.36479668548899058</v>
      </c>
      <c r="AA859" s="8">
        <f>+VLOOKUP($B859,NIFTY_ENERGY!$B$63:$K$1238,10,0)</f>
        <v>0.4825288056443835</v>
      </c>
      <c r="AB859" s="8">
        <f>+VLOOKUP($B859,NIFTY_AUTO!$B$63:$K$1238,10,0)</f>
        <v>0.45743002269534205</v>
      </c>
      <c r="AC859" s="8">
        <f>+VLOOKUP($B859,EBBETF0430!$B$63:$K$1238,10,0)</f>
        <v>-0.65387263018846864</v>
      </c>
      <c r="AD859" s="16">
        <f t="shared" si="482"/>
        <v>0.18889867370238847</v>
      </c>
      <c r="AE859" s="8">
        <f t="shared" si="483"/>
        <v>0.28236737717415838</v>
      </c>
      <c r="AF859" s="8">
        <f t="shared" si="484"/>
        <v>0.18026558909943416</v>
      </c>
      <c r="AG859" s="8">
        <f t="shared" si="485"/>
        <v>0.16054564940273966</v>
      </c>
      <c r="AH859" s="8">
        <f t="shared" si="486"/>
        <v>0.15469631849675469</v>
      </c>
      <c r="AI859" s="8">
        <f t="shared" si="487"/>
        <v>0.21279272976794128</v>
      </c>
      <c r="AJ859" s="8">
        <f t="shared" si="488"/>
        <v>0.16533955944681555</v>
      </c>
      <c r="AK859" s="8">
        <f t="shared" si="489"/>
        <v>0.2379662446550278</v>
      </c>
      <c r="AL859" s="9">
        <v>0</v>
      </c>
      <c r="AM859" s="17">
        <f t="shared" si="466"/>
        <v>5.2938434156266698</v>
      </c>
      <c r="AN859" s="13">
        <f t="shared" si="467"/>
        <v>3.5414855993906853</v>
      </c>
      <c r="AO859" s="13">
        <f t="shared" si="468"/>
        <v>5.5473704382282403</v>
      </c>
      <c r="AP859" s="13">
        <f t="shared" si="469"/>
        <v>6.2287580119435821</v>
      </c>
      <c r="AQ859" s="13">
        <f t="shared" si="470"/>
        <v>6.4642779460907374</v>
      </c>
      <c r="AR859" s="13">
        <f t="shared" si="471"/>
        <v>4.6994086738326954</v>
      </c>
      <c r="AS859" s="13">
        <f t="shared" si="472"/>
        <v>6.0481593355259182</v>
      </c>
      <c r="AT859" s="13">
        <f t="shared" si="473"/>
        <v>4.2022766777265765</v>
      </c>
      <c r="AU859" s="9">
        <v>0</v>
      </c>
      <c r="AV859" s="18">
        <f t="shared" si="490"/>
        <v>5</v>
      </c>
      <c r="AW859" s="18">
        <f t="shared" si="491"/>
        <v>8</v>
      </c>
      <c r="AX859" s="18">
        <f t="shared" si="492"/>
        <v>4</v>
      </c>
      <c r="AY859" s="18">
        <f t="shared" si="493"/>
        <v>2</v>
      </c>
      <c r="AZ859" s="18">
        <f t="shared" si="494"/>
        <v>1</v>
      </c>
      <c r="BA859" s="18">
        <f t="shared" si="495"/>
        <v>6</v>
      </c>
      <c r="BB859" s="18">
        <f t="shared" si="496"/>
        <v>3</v>
      </c>
      <c r="BC859" s="18">
        <f t="shared" si="497"/>
        <v>7</v>
      </c>
      <c r="BD859" s="18">
        <f t="shared" si="498"/>
        <v>9</v>
      </c>
      <c r="BE859" s="8">
        <f t="shared" si="500"/>
        <v>-1.0851795612171439E-2</v>
      </c>
    </row>
    <row r="860" spans="1:57" x14ac:dyDescent="0.25">
      <c r="A860" t="str">
        <f t="shared" si="499"/>
        <v/>
      </c>
      <c r="B860" s="1">
        <v>44007</v>
      </c>
      <c r="C860" s="9">
        <f t="shared" si="474"/>
        <v>0</v>
      </c>
      <c r="D860" s="9">
        <f t="shared" si="475"/>
        <v>0</v>
      </c>
      <c r="E860" s="9">
        <f t="shared" si="476"/>
        <v>0.24429172377515265</v>
      </c>
      <c r="F860" s="9">
        <f t="shared" si="477"/>
        <v>0.24782112925245622</v>
      </c>
      <c r="G860" s="9">
        <f t="shared" si="478"/>
        <v>0.24411668447247425</v>
      </c>
      <c r="H860" s="9">
        <f t="shared" si="479"/>
        <v>0</v>
      </c>
      <c r="I860" s="9">
        <f t="shared" si="480"/>
        <v>0.26377046249991692</v>
      </c>
      <c r="J860" s="9">
        <f t="shared" si="481"/>
        <v>0</v>
      </c>
      <c r="K860" s="9">
        <v>0</v>
      </c>
      <c r="L860" s="8">
        <f>+VLOOKUP($B860,NIFTY_50!$B$3:$I$1238,8,0)</f>
        <v>-1.5914141267114879E-3</v>
      </c>
      <c r="M860" s="8">
        <f>+VLOOKUP($B860,NIFTY_BANK!$B$3:$I$41238,8,0)</f>
        <v>3.7033061399742717E-3</v>
      </c>
      <c r="N860" s="8">
        <f>+VLOOKUP($B860,NIFTY_IT!$B$3:$I$1238,8,0)</f>
        <v>-1.1675793559625447E-2</v>
      </c>
      <c r="O860" s="8">
        <f>+VLOOKUP($B860,NIFTY_PHARMA!$B$3:$I$1238,8,0)</f>
        <v>8.1746698976310483E-3</v>
      </c>
      <c r="P860" s="8">
        <f>+VLOOKUP($B860,NIFTY_FMCG!$B$3:$I$1238,8,0)</f>
        <v>2.1224319539871139E-2</v>
      </c>
      <c r="Q860" s="8">
        <f>+VLOOKUP($B860,NIFTY_METAL!$B$3:$I$1238,8,0)</f>
        <v>-5.6552500795651328E-3</v>
      </c>
      <c r="R860" s="8">
        <f>+VLOOKUP($B860,NIFTY_ENERGY!$B$3:$I$1238,8,0)</f>
        <v>-6.7414653186017581E-3</v>
      </c>
      <c r="S860" s="8">
        <f>+VLOOKUP($B860,NIFTY_AUTO!$B$3:$I$1238,8,0)</f>
        <v>-7.3411639081688573E-4</v>
      </c>
      <c r="T860" s="8">
        <v>0</v>
      </c>
      <c r="U860" s="8">
        <f>+VLOOKUP($B860,NIFTY_50!$B$63:$K$1238,10,0)</f>
        <v>0.31891219771697399</v>
      </c>
      <c r="V860" s="8">
        <f>+VLOOKUP($B860,NIFTY_BANK!$B$63:$K$1238,10,0)</f>
        <v>0.25713291986461928</v>
      </c>
      <c r="W860" s="8">
        <f>+VLOOKUP($B860,NIFTY_IT!$B$63:$K$1238,10,0)</f>
        <v>0.21459243745285539</v>
      </c>
      <c r="X860" s="8">
        <f>+VLOOKUP($B860,NIFTY_PHARMA!$B$63:$K$1238,10,0)</f>
        <v>0.54183526066207333</v>
      </c>
      <c r="Y860" s="8">
        <f>+VLOOKUP($B860,NIFTY_FMCG!$B$63:$K$1238,10,0)</f>
        <v>0.25811040596942592</v>
      </c>
      <c r="Z860" s="8">
        <f>+VLOOKUP($B860,NIFTY_METAL!$B$63:$K$1238,10,0)</f>
        <v>0.35170394036208719</v>
      </c>
      <c r="AA860" s="8">
        <f>+VLOOKUP($B860,NIFTY_ENERGY!$B$63:$K$1238,10,0)</f>
        <v>0.44704708699122109</v>
      </c>
      <c r="AB860" s="8">
        <f>+VLOOKUP($B860,NIFTY_AUTO!$B$63:$K$1238,10,0)</f>
        <v>0.4356163507942088</v>
      </c>
      <c r="AC860" s="8">
        <f>+VLOOKUP($B860,EBBETF0430!$B$63:$K$1238,10,0)</f>
        <v>-0.75985880536098394</v>
      </c>
      <c r="AD860" s="16">
        <f t="shared" si="482"/>
        <v>0.18795247578416072</v>
      </c>
      <c r="AE860" s="8">
        <f t="shared" si="483"/>
        <v>0.2822879586215622</v>
      </c>
      <c r="AF860" s="8">
        <f t="shared" si="484"/>
        <v>0.17164247025889004</v>
      </c>
      <c r="AG860" s="8">
        <f t="shared" si="485"/>
        <v>0.15925804734435478</v>
      </c>
      <c r="AH860" s="8">
        <f t="shared" si="486"/>
        <v>0.15304245206425854</v>
      </c>
      <c r="AI860" s="8">
        <f t="shared" si="487"/>
        <v>0.21307507241014362</v>
      </c>
      <c r="AJ860" s="8">
        <f t="shared" si="488"/>
        <v>0.16549576269110722</v>
      </c>
      <c r="AK860" s="8">
        <f t="shared" si="489"/>
        <v>0.23794518135947323</v>
      </c>
      <c r="AL860" s="9">
        <v>0</v>
      </c>
      <c r="AM860" s="17">
        <f t="shared" si="466"/>
        <v>5.3204938952140841</v>
      </c>
      <c r="AN860" s="13">
        <f t="shared" si="467"/>
        <v>3.5424819566625905</v>
      </c>
      <c r="AO860" s="13">
        <f t="shared" si="468"/>
        <v>5.8260639018518559</v>
      </c>
      <c r="AP860" s="13">
        <f t="shared" si="469"/>
        <v>6.2791175496316107</v>
      </c>
      <c r="AQ860" s="13">
        <f t="shared" si="470"/>
        <v>6.5341347221758186</v>
      </c>
      <c r="AR860" s="13">
        <f t="shared" si="471"/>
        <v>4.693181556569515</v>
      </c>
      <c r="AS860" s="13">
        <f t="shared" si="472"/>
        <v>6.0424507778272813</v>
      </c>
      <c r="AT860" s="13">
        <f t="shared" si="473"/>
        <v>4.2026486701122154</v>
      </c>
      <c r="AU860" s="9">
        <v>0</v>
      </c>
      <c r="AV860" s="18">
        <f t="shared" si="490"/>
        <v>5</v>
      </c>
      <c r="AW860" s="18">
        <f t="shared" si="491"/>
        <v>8</v>
      </c>
      <c r="AX860" s="18">
        <f t="shared" si="492"/>
        <v>4</v>
      </c>
      <c r="AY860" s="18">
        <f t="shared" si="493"/>
        <v>2</v>
      </c>
      <c r="AZ860" s="18">
        <f t="shared" si="494"/>
        <v>1</v>
      </c>
      <c r="BA860" s="18">
        <f t="shared" si="495"/>
        <v>6</v>
      </c>
      <c r="BB860" s="18">
        <f t="shared" si="496"/>
        <v>3</v>
      </c>
      <c r="BC860" s="18">
        <f t="shared" si="497"/>
        <v>7</v>
      </c>
      <c r="BD860" s="18">
        <f t="shared" si="498"/>
        <v>9</v>
      </c>
      <c r="BE860" s="8">
        <f t="shared" si="500"/>
        <v>2.4124994919916603E-3</v>
      </c>
    </row>
    <row r="861" spans="1:57" x14ac:dyDescent="0.25">
      <c r="A861" t="str">
        <f t="shared" si="499"/>
        <v/>
      </c>
      <c r="B861" s="1">
        <v>44008</v>
      </c>
      <c r="C861" s="9">
        <f t="shared" si="474"/>
        <v>0</v>
      </c>
      <c r="D861" s="9">
        <f t="shared" si="475"/>
        <v>0</v>
      </c>
      <c r="E861" s="9">
        <f t="shared" si="476"/>
        <v>0.2512641982313682</v>
      </c>
      <c r="F861" s="9">
        <f t="shared" si="477"/>
        <v>0.24364721282836838</v>
      </c>
      <c r="G861" s="9">
        <f t="shared" si="478"/>
        <v>0.23845991132368169</v>
      </c>
      <c r="H861" s="9">
        <f t="shared" si="479"/>
        <v>0</v>
      </c>
      <c r="I861" s="9">
        <f t="shared" si="480"/>
        <v>0.2666286776165816</v>
      </c>
      <c r="J861" s="9">
        <f t="shared" si="481"/>
        <v>0</v>
      </c>
      <c r="K861" s="9">
        <v>0</v>
      </c>
      <c r="L861" s="8">
        <f>+VLOOKUP($B861,NIFTY_50!$B$3:$I$1238,8,0)</f>
        <v>9.1457784602824166E-3</v>
      </c>
      <c r="M861" s="8">
        <f>+VLOOKUP($B861,NIFTY_BANK!$B$3:$I$41238,8,0)</f>
        <v>3.99420630842795E-3</v>
      </c>
      <c r="N861" s="8">
        <f>+VLOOKUP($B861,NIFTY_IT!$B$3:$I$1238,8,0)</f>
        <v>4.0485872099478071E-2</v>
      </c>
      <c r="O861" s="8">
        <f>+VLOOKUP($B861,NIFTY_PHARMA!$B$3:$I$1238,8,0)</f>
        <v>-5.4252120296472972E-3</v>
      </c>
      <c r="P861" s="8">
        <f>+VLOOKUP($B861,NIFTY_FMCG!$B$3:$I$1238,8,0)</f>
        <v>-1.1828680066083841E-2</v>
      </c>
      <c r="Q861" s="8">
        <f>+VLOOKUP($B861,NIFTY_METAL!$B$3:$I$1238,8,0)</f>
        <v>6.1798306086271459E-3</v>
      </c>
      <c r="R861" s="8">
        <f>+VLOOKUP($B861,NIFTY_ENERGY!$B$3:$I$1238,8,0)</f>
        <v>2.2574662879518925E-2</v>
      </c>
      <c r="S861" s="8">
        <f>+VLOOKUP($B861,NIFTY_AUTO!$B$3:$I$1238,8,0)</f>
        <v>-9.4985789235446649E-4</v>
      </c>
      <c r="T861" s="8">
        <v>0</v>
      </c>
      <c r="U861" s="8">
        <f>+VLOOKUP($B861,NIFTY_50!$B$63:$K$1238,10,0)</f>
        <v>0.24827930294487155</v>
      </c>
      <c r="V861" s="8">
        <f>+VLOOKUP($B861,NIFTY_BANK!$B$63:$K$1238,10,0)</f>
        <v>0.16833459137873663</v>
      </c>
      <c r="W861" s="8">
        <f>+VLOOKUP($B861,NIFTY_IT!$B$63:$K$1238,10,0)</f>
        <v>0.22571903852992015</v>
      </c>
      <c r="X861" s="8">
        <f>+VLOOKUP($B861,NIFTY_PHARMA!$B$63:$K$1238,10,0)</f>
        <v>0.51411758556055887</v>
      </c>
      <c r="Y861" s="8">
        <f>+VLOOKUP($B861,NIFTY_FMCG!$B$63:$K$1238,10,0)</f>
        <v>0.21597804811271781</v>
      </c>
      <c r="Z861" s="8">
        <f>+VLOOKUP($B861,NIFTY_METAL!$B$63:$K$1238,10,0)</f>
        <v>0.32581754477030866</v>
      </c>
      <c r="AA861" s="8">
        <f>+VLOOKUP($B861,NIFTY_ENERGY!$B$63:$K$1238,10,0)</f>
        <v>0.4048065539612633</v>
      </c>
      <c r="AB861" s="8">
        <f>+VLOOKUP($B861,NIFTY_AUTO!$B$63:$K$1238,10,0)</f>
        <v>0.36370450654862596</v>
      </c>
      <c r="AC861" s="8">
        <f>+VLOOKUP($B861,EBBETF0430!$B$63:$K$1238,10,0)</f>
        <v>6.2188315334059885E-2</v>
      </c>
      <c r="AD861" s="16">
        <f t="shared" si="482"/>
        <v>0.17753798823356406</v>
      </c>
      <c r="AE861" s="8">
        <f t="shared" si="483"/>
        <v>0.27171927258413547</v>
      </c>
      <c r="AF861" s="8">
        <f t="shared" si="484"/>
        <v>0.17340823778809328</v>
      </c>
      <c r="AG861" s="8">
        <f t="shared" si="485"/>
        <v>0.15965735120395186</v>
      </c>
      <c r="AH861" s="8">
        <f t="shared" si="486"/>
        <v>0.15268131422312464</v>
      </c>
      <c r="AI861" s="8">
        <f t="shared" si="487"/>
        <v>0.21207327102883469</v>
      </c>
      <c r="AJ861" s="8">
        <f t="shared" si="488"/>
        <v>0.15945837187322837</v>
      </c>
      <c r="AK861" s="8">
        <f t="shared" si="489"/>
        <v>0.23360585057796343</v>
      </c>
      <c r="AL861" s="9">
        <v>0</v>
      </c>
      <c r="AM861" s="17">
        <f t="shared" si="466"/>
        <v>5.6325973384604744</v>
      </c>
      <c r="AN861" s="13">
        <f t="shared" si="467"/>
        <v>3.6802689426100934</v>
      </c>
      <c r="AO861" s="13">
        <f t="shared" si="468"/>
        <v>5.7667387245005663</v>
      </c>
      <c r="AP861" s="13">
        <f t="shared" si="469"/>
        <v>6.2634134442238443</v>
      </c>
      <c r="AQ861" s="13">
        <f t="shared" si="470"/>
        <v>6.5495899422153592</v>
      </c>
      <c r="AR861" s="13">
        <f t="shared" si="471"/>
        <v>4.715351421462417</v>
      </c>
      <c r="AS861" s="13">
        <f t="shared" si="472"/>
        <v>6.2712292133210417</v>
      </c>
      <c r="AT861" s="13">
        <f t="shared" si="473"/>
        <v>4.2807147060996265</v>
      </c>
      <c r="AU861" s="9">
        <v>0</v>
      </c>
      <c r="AV861" s="18">
        <f t="shared" si="490"/>
        <v>5</v>
      </c>
      <c r="AW861" s="18">
        <f t="shared" si="491"/>
        <v>8</v>
      </c>
      <c r="AX861" s="18">
        <f t="shared" si="492"/>
        <v>4</v>
      </c>
      <c r="AY861" s="18">
        <f t="shared" si="493"/>
        <v>3</v>
      </c>
      <c r="AZ861" s="18">
        <f t="shared" si="494"/>
        <v>1</v>
      </c>
      <c r="BA861" s="18">
        <f t="shared" si="495"/>
        <v>6</v>
      </c>
      <c r="BB861" s="18">
        <f t="shared" si="496"/>
        <v>2</v>
      </c>
      <c r="BC861" s="18">
        <f t="shared" si="497"/>
        <v>7</v>
      </c>
      <c r="BD861" s="18">
        <f t="shared" si="498"/>
        <v>9</v>
      </c>
      <c r="BE861" s="8">
        <f t="shared" si="500"/>
        <v>1.1612832421193034E-2</v>
      </c>
    </row>
    <row r="862" spans="1:57" x14ac:dyDescent="0.25">
      <c r="A862" t="str">
        <f t="shared" si="499"/>
        <v/>
      </c>
      <c r="B862" s="1">
        <v>44011</v>
      </c>
      <c r="C862" s="9">
        <f t="shared" si="474"/>
        <v>0</v>
      </c>
      <c r="D862" s="9">
        <f t="shared" si="475"/>
        <v>0</v>
      </c>
      <c r="E862" s="9">
        <f t="shared" si="476"/>
        <v>0.24908878154703032</v>
      </c>
      <c r="F862" s="9">
        <f t="shared" si="477"/>
        <v>0.24519754044987027</v>
      </c>
      <c r="G862" s="9">
        <f t="shared" si="478"/>
        <v>0.24175438575978814</v>
      </c>
      <c r="H862" s="9">
        <f t="shared" si="479"/>
        <v>0</v>
      </c>
      <c r="I862" s="9">
        <f t="shared" si="480"/>
        <v>0.26395929224331127</v>
      </c>
      <c r="J862" s="9">
        <f t="shared" si="481"/>
        <v>0</v>
      </c>
      <c r="K862" s="9">
        <v>0</v>
      </c>
      <c r="L862" s="8">
        <f>+VLOOKUP($B862,NIFTY_50!$B$3:$I$1238,8,0)</f>
        <v>-6.7995762303766361E-3</v>
      </c>
      <c r="M862" s="8">
        <f>+VLOOKUP($B862,NIFTY_BANK!$B$3:$I$41238,8,0)</f>
        <v>-1.079332439485825E-2</v>
      </c>
      <c r="N862" s="8">
        <f>+VLOOKUP($B862,NIFTY_IT!$B$3:$I$1238,8,0)</f>
        <v>-1.5115391156178992E-2</v>
      </c>
      <c r="O862" s="8">
        <f>+VLOOKUP($B862,NIFTY_PHARMA!$B$3:$I$1238,8,0)</f>
        <v>-1.9234847625493323E-4</v>
      </c>
      <c r="P862" s="8">
        <f>+VLOOKUP($B862,NIFTY_FMCG!$B$3:$I$1238,8,0)</f>
        <v>7.2117363784380828E-3</v>
      </c>
      <c r="Q862" s="8">
        <f>+VLOOKUP($B862,NIFTY_METAL!$B$3:$I$1238,8,0)</f>
        <v>-2.6353781779920205E-2</v>
      </c>
      <c r="R862" s="8">
        <f>+VLOOKUP($B862,NIFTY_ENERGY!$B$3:$I$1238,8,0)</f>
        <v>-1.6460308845688387E-2</v>
      </c>
      <c r="S862" s="8">
        <f>+VLOOKUP($B862,NIFTY_AUTO!$B$3:$I$1238,8,0)</f>
        <v>-1.2716428109842526E-2</v>
      </c>
      <c r="T862" s="8">
        <v>0</v>
      </c>
      <c r="U862" s="8">
        <f>+VLOOKUP($B862,NIFTY_50!$B$63:$K$1238,10,0)</f>
        <v>0.19336453951593757</v>
      </c>
      <c r="V862" s="8">
        <f>+VLOOKUP($B862,NIFTY_BANK!$B$63:$K$1238,10,0)</f>
        <v>8.8972616358806711E-2</v>
      </c>
      <c r="W862" s="8">
        <f>+VLOOKUP($B862,NIFTY_IT!$B$63:$K$1238,10,0)</f>
        <v>0.17808481444845081</v>
      </c>
      <c r="X862" s="8">
        <f>+VLOOKUP($B862,NIFTY_PHARMA!$B$63:$K$1238,10,0)</f>
        <v>0.49607380073800722</v>
      </c>
      <c r="Y862" s="8">
        <f>+VLOOKUP($B862,NIFTY_FMCG!$B$63:$K$1238,10,0)</f>
        <v>0.16711578225941492</v>
      </c>
      <c r="Z862" s="8">
        <f>+VLOOKUP($B862,NIFTY_METAL!$B$63:$K$1238,10,0)</f>
        <v>0.28941313717229988</v>
      </c>
      <c r="AA862" s="8">
        <f>+VLOOKUP($B862,NIFTY_ENERGY!$B$63:$K$1238,10,0)</f>
        <v>0.37100942607159304</v>
      </c>
      <c r="AB862" s="8">
        <f>+VLOOKUP($B862,NIFTY_AUTO!$B$63:$K$1238,10,0)</f>
        <v>0.31307174046193675</v>
      </c>
      <c r="AC862" s="8">
        <f>+VLOOKUP($B862,EBBETF0430!$B$63:$K$1238,10,0)</f>
        <v>-0.38989485981308414</v>
      </c>
      <c r="AD862" s="16">
        <f t="shared" si="482"/>
        <v>0.17428295795785465</v>
      </c>
      <c r="AE862" s="8">
        <f t="shared" si="483"/>
        <v>0.26563220072766841</v>
      </c>
      <c r="AF862" s="8">
        <f t="shared" si="484"/>
        <v>0.17305533793062972</v>
      </c>
      <c r="AG862" s="8">
        <f t="shared" si="485"/>
        <v>0.15973968560043028</v>
      </c>
      <c r="AH862" s="8">
        <f t="shared" si="486"/>
        <v>0.1455426862497429</v>
      </c>
      <c r="AI862" s="8">
        <f t="shared" si="487"/>
        <v>0.2143149460118022</v>
      </c>
      <c r="AJ862" s="8">
        <f t="shared" si="488"/>
        <v>0.1609614392856899</v>
      </c>
      <c r="AK862" s="8">
        <f t="shared" si="489"/>
        <v>0.23342793567109837</v>
      </c>
      <c r="AL862" s="9">
        <v>0</v>
      </c>
      <c r="AM862" s="17">
        <f t="shared" si="466"/>
        <v>5.7377956612477359</v>
      </c>
      <c r="AN862" s="13">
        <f t="shared" si="467"/>
        <v>3.7646038291314707</v>
      </c>
      <c r="AO862" s="13">
        <f t="shared" si="468"/>
        <v>5.7784984384639788</v>
      </c>
      <c r="AP862" s="13">
        <f t="shared" si="469"/>
        <v>6.2601851020377017</v>
      </c>
      <c r="AQ862" s="13">
        <f t="shared" si="470"/>
        <v>6.8708364931787598</v>
      </c>
      <c r="AR862" s="13">
        <f t="shared" si="471"/>
        <v>4.666030151461908</v>
      </c>
      <c r="AS862" s="13">
        <f t="shared" si="472"/>
        <v>6.2126681050925709</v>
      </c>
      <c r="AT862" s="13">
        <f t="shared" si="473"/>
        <v>4.2839773959574705</v>
      </c>
      <c r="AU862" s="9">
        <v>0</v>
      </c>
      <c r="AV862" s="18">
        <f t="shared" si="490"/>
        <v>5</v>
      </c>
      <c r="AW862" s="18">
        <f t="shared" si="491"/>
        <v>8</v>
      </c>
      <c r="AX862" s="18">
        <f t="shared" si="492"/>
        <v>4</v>
      </c>
      <c r="AY862" s="18">
        <f t="shared" si="493"/>
        <v>2</v>
      </c>
      <c r="AZ862" s="18">
        <f t="shared" si="494"/>
        <v>1</v>
      </c>
      <c r="BA862" s="18">
        <f t="shared" si="495"/>
        <v>6</v>
      </c>
      <c r="BB862" s="18">
        <f t="shared" si="496"/>
        <v>3</v>
      </c>
      <c r="BC862" s="18">
        <f t="shared" si="497"/>
        <v>7</v>
      </c>
      <c r="BD862" s="18">
        <f t="shared" si="498"/>
        <v>9</v>
      </c>
      <c r="BE862" s="8">
        <f t="shared" si="500"/>
        <v>-6.513902173336427E-3</v>
      </c>
    </row>
    <row r="863" spans="1:57" x14ac:dyDescent="0.25">
      <c r="A863" t="str">
        <f t="shared" si="499"/>
        <v>Y</v>
      </c>
      <c r="B863" s="1">
        <v>44012</v>
      </c>
      <c r="C863" s="9">
        <f t="shared" si="474"/>
        <v>0</v>
      </c>
      <c r="D863" s="9">
        <f t="shared" si="475"/>
        <v>0</v>
      </c>
      <c r="E863" s="9">
        <f t="shared" si="476"/>
        <v>0.25</v>
      </c>
      <c r="F863" s="9">
        <f t="shared" si="477"/>
        <v>0.25</v>
      </c>
      <c r="G863" s="9">
        <f t="shared" si="478"/>
        <v>0.25</v>
      </c>
      <c r="H863" s="9">
        <f t="shared" si="479"/>
        <v>0</v>
      </c>
      <c r="I863" s="9">
        <f t="shared" si="480"/>
        <v>0.25</v>
      </c>
      <c r="J863" s="9">
        <f t="shared" si="481"/>
        <v>0</v>
      </c>
      <c r="K863" s="9">
        <v>0</v>
      </c>
      <c r="L863" s="8">
        <f>+VLOOKUP($B863,NIFTY_50!$B$3:$I$1238,8,0)</f>
        <v>-9.9879756409748666E-4</v>
      </c>
      <c r="M863" s="8">
        <f>+VLOOKUP($B863,NIFTY_BANK!$B$3:$I$41238,8,0)</f>
        <v>5.220281848401509E-4</v>
      </c>
      <c r="N863" s="8">
        <f>+VLOOKUP($B863,NIFTY_IT!$B$3:$I$1238,8,0)</f>
        <v>-9.2768147345612118E-4</v>
      </c>
      <c r="O863" s="8">
        <f>+VLOOKUP($B863,NIFTY_PHARMA!$B$3:$I$1238,8,0)</f>
        <v>-1.4872877593504308E-2</v>
      </c>
      <c r="P863" s="8">
        <f>+VLOOKUP($B863,NIFTY_FMCG!$B$3:$I$1238,8,0)</f>
        <v>3.0562214626155271E-3</v>
      </c>
      <c r="Q863" s="8">
        <f>+VLOOKUP($B863,NIFTY_METAL!$B$3:$I$1238,8,0)</f>
        <v>9.2988187986930981E-4</v>
      </c>
      <c r="R863" s="8">
        <f>+VLOOKUP($B863,NIFTY_ENERGY!$B$3:$I$1238,8,0)</f>
        <v>-1.3157624156013403E-2</v>
      </c>
      <c r="S863" s="8">
        <f>+VLOOKUP($B863,NIFTY_AUTO!$B$3:$I$1238,8,0)</f>
        <v>1.1029439424603105E-2</v>
      </c>
      <c r="T863" s="8">
        <v>0</v>
      </c>
      <c r="U863" s="8">
        <f>+VLOOKUP($B863,NIFTY_50!$B$63:$K$1238,10,0)</f>
        <v>0.18958459628763613</v>
      </c>
      <c r="V863" s="8">
        <f>+VLOOKUP($B863,NIFTY_BANK!$B$63:$K$1238,10,0)</f>
        <v>7.0166257699434187E-2</v>
      </c>
      <c r="W863" s="8">
        <f>+VLOOKUP($B863,NIFTY_IT!$B$63:$K$1238,10,0)</f>
        <v>0.1738549299472516</v>
      </c>
      <c r="X863" s="8">
        <f>+VLOOKUP($B863,NIFTY_PHARMA!$B$63:$K$1238,10,0)</f>
        <v>0.46559176873793673</v>
      </c>
      <c r="Y863" s="8">
        <f>+VLOOKUP($B863,NIFTY_FMCG!$B$63:$K$1238,10,0)</f>
        <v>0.16793801196171776</v>
      </c>
      <c r="Z863" s="8">
        <f>+VLOOKUP($B863,NIFTY_METAL!$B$63:$K$1238,10,0)</f>
        <v>0.28073447599446899</v>
      </c>
      <c r="AA863" s="8">
        <f>+VLOOKUP($B863,NIFTY_ENERGY!$B$63:$K$1238,10,0)</f>
        <v>0.35480364755371108</v>
      </c>
      <c r="AB863" s="8">
        <f>+VLOOKUP($B863,NIFTY_AUTO!$B$63:$K$1238,10,0)</f>
        <v>0.36050985077044562</v>
      </c>
      <c r="AC863" s="8">
        <f>+VLOOKUP($B863,EBBETF0430!$B$63:$K$1238,10,0)</f>
        <v>-0.11186880072137062</v>
      </c>
      <c r="AD863" s="16">
        <f t="shared" si="482"/>
        <v>0.17432912355148872</v>
      </c>
      <c r="AE863" s="8">
        <f t="shared" si="483"/>
        <v>0.26513650918317755</v>
      </c>
      <c r="AF863" s="8">
        <f t="shared" si="484"/>
        <v>0.1730976128403493</v>
      </c>
      <c r="AG863" s="8">
        <f t="shared" si="485"/>
        <v>0.1611811498123992</v>
      </c>
      <c r="AH863" s="8">
        <f t="shared" si="486"/>
        <v>0.14554264126169342</v>
      </c>
      <c r="AI863" s="8">
        <f t="shared" si="487"/>
        <v>0.21432045726667209</v>
      </c>
      <c r="AJ863" s="8">
        <f t="shared" si="488"/>
        <v>0.16187951606609352</v>
      </c>
      <c r="AK863" s="8">
        <f t="shared" si="489"/>
        <v>0.23163887412988379</v>
      </c>
      <c r="AL863" s="9">
        <v>0</v>
      </c>
      <c r="AM863" s="17">
        <f t="shared" si="466"/>
        <v>5.7362761862601026</v>
      </c>
      <c r="AN863" s="13">
        <f t="shared" si="467"/>
        <v>3.7716420235023906</v>
      </c>
      <c r="AO863" s="13">
        <f t="shared" si="468"/>
        <v>5.7770871798348598</v>
      </c>
      <c r="AP863" s="13">
        <f t="shared" si="469"/>
        <v>6.204199443693712</v>
      </c>
      <c r="AQ863" s="13">
        <f t="shared" si="470"/>
        <v>6.8708386169929865</v>
      </c>
      <c r="AR863" s="13">
        <f t="shared" si="471"/>
        <v>4.6659101644027006</v>
      </c>
      <c r="AS863" s="13">
        <f t="shared" si="472"/>
        <v>6.1774338366054398</v>
      </c>
      <c r="AT863" s="13">
        <f t="shared" si="473"/>
        <v>4.3170646712748368</v>
      </c>
      <c r="AU863" s="9">
        <v>0</v>
      </c>
      <c r="AV863" s="18">
        <f t="shared" si="490"/>
        <v>5</v>
      </c>
      <c r="AW863" s="18">
        <f t="shared" si="491"/>
        <v>8</v>
      </c>
      <c r="AX863" s="18">
        <f t="shared" si="492"/>
        <v>4</v>
      </c>
      <c r="AY863" s="18">
        <f t="shared" si="493"/>
        <v>2</v>
      </c>
      <c r="AZ863" s="18">
        <f t="shared" si="494"/>
        <v>1</v>
      </c>
      <c r="BA863" s="18">
        <f t="shared" si="495"/>
        <v>6</v>
      </c>
      <c r="BB863" s="18">
        <f t="shared" si="496"/>
        <v>3</v>
      </c>
      <c r="BC863" s="18">
        <f t="shared" si="497"/>
        <v>7</v>
      </c>
      <c r="BD863" s="18">
        <f t="shared" si="498"/>
        <v>9</v>
      </c>
      <c r="BE863" s="8">
        <f t="shared" si="500"/>
        <v>-6.612090270610476E-3</v>
      </c>
    </row>
    <row r="864" spans="1:57" x14ac:dyDescent="0.25">
      <c r="A864" t="str">
        <f t="shared" si="499"/>
        <v/>
      </c>
      <c r="B864" s="1">
        <v>44013</v>
      </c>
      <c r="C864" s="9">
        <f t="shared" si="474"/>
        <v>0</v>
      </c>
      <c r="D864" s="9">
        <f t="shared" si="475"/>
        <v>0</v>
      </c>
      <c r="E864" s="9">
        <f t="shared" si="476"/>
        <v>0.24966916435399455</v>
      </c>
      <c r="F864" s="9">
        <f t="shared" si="477"/>
        <v>0.24748278562908144</v>
      </c>
      <c r="G864" s="9">
        <f t="shared" si="478"/>
        <v>0.25145224562024304</v>
      </c>
      <c r="H864" s="9">
        <f t="shared" si="479"/>
        <v>0</v>
      </c>
      <c r="I864" s="9">
        <f t="shared" si="480"/>
        <v>0.25139580439668097</v>
      </c>
      <c r="J864" s="9">
        <f t="shared" si="481"/>
        <v>0</v>
      </c>
      <c r="K864" s="9">
        <v>0</v>
      </c>
      <c r="L864" s="8">
        <f>+VLOOKUP($B864,NIFTY_50!$B$3:$I$1238,8,0)</f>
        <v>1.241979790528136E-2</v>
      </c>
      <c r="M864" s="8">
        <f>+VLOOKUP($B864,NIFTY_BANK!$B$3:$I$41238,8,0)</f>
        <v>2.8425163136430731E-2</v>
      </c>
      <c r="N864" s="8">
        <f>+VLOOKUP($B864,NIFTY_IT!$B$3:$I$1238,8,0)</f>
        <v>-1.5012572605952457E-3</v>
      </c>
      <c r="O864" s="8">
        <f>+VLOOKUP($B864,NIFTY_PHARMA!$B$3:$I$1238,8,0)</f>
        <v>-1.0245214143002279E-2</v>
      </c>
      <c r="P864" s="8">
        <f>+VLOOKUP($B864,NIFTY_FMCG!$B$3:$I$1238,8,0)</f>
        <v>5.6297971776171352E-3</v>
      </c>
      <c r="Q864" s="8">
        <f>+VLOOKUP($B864,NIFTY_METAL!$B$3:$I$1238,8,0)</f>
        <v>3.0130313606346881E-3</v>
      </c>
      <c r="R864" s="8">
        <f>+VLOOKUP($B864,NIFTY_ENERGY!$B$3:$I$1238,8,0)</f>
        <v>5.4040725034818493E-3</v>
      </c>
      <c r="S864" s="8">
        <f>+VLOOKUP($B864,NIFTY_AUTO!$B$3:$I$1238,8,0)</f>
        <v>-8.1855591853030596E-5</v>
      </c>
      <c r="T864" s="8">
        <v>0</v>
      </c>
      <c r="U864" s="8">
        <f>+VLOOKUP($B864,NIFTY_50!$B$63:$K$1238,10,0)</f>
        <v>0.25950054944391421</v>
      </c>
      <c r="V864" s="8">
        <f>+VLOOKUP($B864,NIFTY_BANK!$B$63:$K$1238,10,0)</f>
        <v>0.17011670500042575</v>
      </c>
      <c r="W864" s="8">
        <f>+VLOOKUP($B864,NIFTY_IT!$B$63:$K$1238,10,0)</f>
        <v>0.19590788063772457</v>
      </c>
      <c r="X864" s="8">
        <f>+VLOOKUP($B864,NIFTY_PHARMA!$B$63:$K$1238,10,0)</f>
        <v>0.43312790023201853</v>
      </c>
      <c r="Y864" s="8">
        <f>+VLOOKUP($B864,NIFTY_FMCG!$B$63:$K$1238,10,0)</f>
        <v>0.17037111594155219</v>
      </c>
      <c r="Z864" s="8">
        <f>+VLOOKUP($B864,NIFTY_METAL!$B$63:$K$1238,10,0)</f>
        <v>0.32476620017244806</v>
      </c>
      <c r="AA864" s="8">
        <f>+VLOOKUP($B864,NIFTY_ENERGY!$B$63:$K$1238,10,0)</f>
        <v>0.39161723279268545</v>
      </c>
      <c r="AB864" s="8">
        <f>+VLOOKUP($B864,NIFTY_AUTO!$B$63:$K$1238,10,0)</f>
        <v>0.43893428140025503</v>
      </c>
      <c r="AC864" s="8">
        <f>+VLOOKUP($B864,EBBETF0430!$B$63:$K$1238,10,0)</f>
        <v>2.7575094081423197</v>
      </c>
      <c r="AD864" s="16">
        <f t="shared" si="482"/>
        <v>0.16801262372758347</v>
      </c>
      <c r="AE864" s="8">
        <f t="shared" si="483"/>
        <v>0.25913588179947833</v>
      </c>
      <c r="AF864" s="8">
        <f t="shared" si="484"/>
        <v>0.1716305147505332</v>
      </c>
      <c r="AG864" s="8">
        <f t="shared" si="485"/>
        <v>0.16192277012336828</v>
      </c>
      <c r="AH864" s="8">
        <f t="shared" si="486"/>
        <v>0.14556920054354516</v>
      </c>
      <c r="AI864" s="8">
        <f t="shared" si="487"/>
        <v>0.21144390319172141</v>
      </c>
      <c r="AJ864" s="8">
        <f t="shared" si="488"/>
        <v>0.15967695974888255</v>
      </c>
      <c r="AK864" s="8">
        <f t="shared" si="489"/>
        <v>0.22367447936160406</v>
      </c>
      <c r="AL864" s="9">
        <v>0</v>
      </c>
      <c r="AM864" s="17">
        <f t="shared" si="466"/>
        <v>5.951933716727174</v>
      </c>
      <c r="AN864" s="13">
        <f t="shared" si="467"/>
        <v>3.8589792855232954</v>
      </c>
      <c r="AO864" s="13">
        <f t="shared" si="468"/>
        <v>5.8264697361859614</v>
      </c>
      <c r="AP864" s="13">
        <f t="shared" si="469"/>
        <v>6.1757836729084126</v>
      </c>
      <c r="AQ864" s="13">
        <f t="shared" si="470"/>
        <v>6.8695850239341167</v>
      </c>
      <c r="AR864" s="13">
        <f t="shared" si="471"/>
        <v>4.7293867777936134</v>
      </c>
      <c r="AS864" s="13">
        <f t="shared" si="472"/>
        <v>6.262644288647901</v>
      </c>
      <c r="AT864" s="13">
        <f t="shared" si="473"/>
        <v>4.4707827323623581</v>
      </c>
      <c r="AU864" s="9">
        <v>0</v>
      </c>
      <c r="AV864" s="18">
        <f t="shared" si="490"/>
        <v>4</v>
      </c>
      <c r="AW864" s="18">
        <f t="shared" si="491"/>
        <v>8</v>
      </c>
      <c r="AX864" s="18">
        <f t="shared" si="492"/>
        <v>5</v>
      </c>
      <c r="AY864" s="18">
        <f t="shared" si="493"/>
        <v>3</v>
      </c>
      <c r="AZ864" s="18">
        <f t="shared" si="494"/>
        <v>1</v>
      </c>
      <c r="BA864" s="18">
        <f t="shared" si="495"/>
        <v>6</v>
      </c>
      <c r="BB864" s="18">
        <f t="shared" si="496"/>
        <v>2</v>
      </c>
      <c r="BC864" s="18">
        <f t="shared" si="497"/>
        <v>7</v>
      </c>
      <c r="BD864" s="18">
        <f t="shared" si="498"/>
        <v>9</v>
      </c>
      <c r="BE864" s="8">
        <f t="shared" si="500"/>
        <v>-1.7815043062463509E-4</v>
      </c>
    </row>
    <row r="865" spans="1:57" x14ac:dyDescent="0.25">
      <c r="A865" t="str">
        <f t="shared" si="499"/>
        <v/>
      </c>
      <c r="B865" s="1">
        <v>44014</v>
      </c>
      <c r="C865" s="9">
        <f t="shared" si="474"/>
        <v>0</v>
      </c>
      <c r="D865" s="9">
        <f t="shared" si="475"/>
        <v>0</v>
      </c>
      <c r="E865" s="9">
        <f t="shared" si="476"/>
        <v>0.25338288666522135</v>
      </c>
      <c r="F865" s="9">
        <f t="shared" si="477"/>
        <v>0.24618528816444357</v>
      </c>
      <c r="G865" s="9">
        <f t="shared" si="478"/>
        <v>0.2492927769203154</v>
      </c>
      <c r="H865" s="9">
        <f t="shared" si="479"/>
        <v>0</v>
      </c>
      <c r="I865" s="9">
        <f t="shared" si="480"/>
        <v>0.2511390482500197</v>
      </c>
      <c r="J865" s="9">
        <f t="shared" si="481"/>
        <v>0</v>
      </c>
      <c r="K865" s="9">
        <v>0</v>
      </c>
      <c r="L865" s="8">
        <f>+VLOOKUP($B865,NIFTY_50!$B$3:$I$1238,8,0)</f>
        <v>1.1663414844607756E-2</v>
      </c>
      <c r="M865" s="8">
        <f>+VLOOKUP($B865,NIFTY_BANK!$B$3:$I$41238,8,0)</f>
        <v>-1.1102213162491603E-3</v>
      </c>
      <c r="N865" s="8">
        <f>+VLOOKUP($B865,NIFTY_IT!$B$3:$I$1238,8,0)</f>
        <v>2.6499865939458855E-2</v>
      </c>
      <c r="O865" s="8">
        <f>+VLOOKUP($B865,NIFTY_PHARMA!$B$3:$I$1238,8,0)</f>
        <v>6.1520715178313701E-3</v>
      </c>
      <c r="P865" s="8">
        <f>+VLOOKUP($B865,NIFTY_FMCG!$B$3:$I$1238,8,0)</f>
        <v>2.7685437856610484E-3</v>
      </c>
      <c r="Q865" s="8">
        <f>+VLOOKUP($B865,NIFTY_METAL!$B$3:$I$1238,8,0)</f>
        <v>9.8380353969009793E-3</v>
      </c>
      <c r="R865" s="8">
        <f>+VLOOKUP($B865,NIFTY_ENERGY!$B$3:$I$1238,8,0)</f>
        <v>1.0421884229689038E-2</v>
      </c>
      <c r="S865" s="8">
        <f>+VLOOKUP($B865,NIFTY_AUTO!$B$3:$I$1238,8,0)</f>
        <v>2.8056440329830679E-2</v>
      </c>
      <c r="T865" s="8">
        <v>0</v>
      </c>
      <c r="U865" s="8">
        <f>+VLOOKUP($B865,NIFTY_50!$B$63:$K$1238,10,0)</f>
        <v>0.22726294670117198</v>
      </c>
      <c r="V865" s="8">
        <f>+VLOOKUP($B865,NIFTY_BANK!$B$63:$K$1238,10,0)</f>
        <v>0.14674049310488924</v>
      </c>
      <c r="W865" s="8">
        <f>+VLOOKUP($B865,NIFTY_IT!$B$63:$K$1238,10,0)</f>
        <v>0.18481390511334927</v>
      </c>
      <c r="X865" s="8">
        <f>+VLOOKUP($B865,NIFTY_PHARMA!$B$63:$K$1238,10,0)</f>
        <v>0.38558489514387229</v>
      </c>
      <c r="Y865" s="8">
        <f>+VLOOKUP($B865,NIFTY_FMCG!$B$63:$K$1238,10,0)</f>
        <v>0.10970306597557755</v>
      </c>
      <c r="Z865" s="8">
        <f>+VLOOKUP($B865,NIFTY_METAL!$B$63:$K$1238,10,0)</f>
        <v>0.27183302856422209</v>
      </c>
      <c r="AA865" s="8">
        <f>+VLOOKUP($B865,NIFTY_ENERGY!$B$63:$K$1238,10,0)</f>
        <v>0.31472517001298983</v>
      </c>
      <c r="AB865" s="8">
        <f>+VLOOKUP($B865,NIFTY_AUTO!$B$63:$K$1238,10,0)</f>
        <v>0.45987360767653707</v>
      </c>
      <c r="AC865" s="8">
        <f>+VLOOKUP($B865,EBBETF0430!$B$63:$K$1238,10,0)</f>
        <v>7.8854258121158907</v>
      </c>
      <c r="AD865" s="16">
        <f t="shared" si="482"/>
        <v>0.16463342988933438</v>
      </c>
      <c r="AE865" s="8">
        <f t="shared" si="483"/>
        <v>0.25865529779841595</v>
      </c>
      <c r="AF865" s="8">
        <f t="shared" si="484"/>
        <v>0.17004351669378967</v>
      </c>
      <c r="AG865" s="8">
        <f t="shared" si="485"/>
        <v>0.15813187919563149</v>
      </c>
      <c r="AH865" s="8">
        <f t="shared" si="486"/>
        <v>0.13466225248571986</v>
      </c>
      <c r="AI865" s="8">
        <f t="shared" si="487"/>
        <v>0.20616812093429332</v>
      </c>
      <c r="AJ865" s="8">
        <f t="shared" si="488"/>
        <v>0.14622553064772709</v>
      </c>
      <c r="AK865" s="8">
        <f t="shared" si="489"/>
        <v>0.22460709101798743</v>
      </c>
      <c r="AL865" s="9">
        <v>0</v>
      </c>
      <c r="AM865" s="17">
        <f t="shared" si="466"/>
        <v>6.0741005072432381</v>
      </c>
      <c r="AN865" s="13">
        <f t="shared" si="467"/>
        <v>3.8661493057039724</v>
      </c>
      <c r="AO865" s="13">
        <f t="shared" si="468"/>
        <v>5.8808475585739401</v>
      </c>
      <c r="AP865" s="13">
        <f t="shared" si="469"/>
        <v>6.3238355547704499</v>
      </c>
      <c r="AQ865" s="13">
        <f t="shared" si="470"/>
        <v>7.425985987469236</v>
      </c>
      <c r="AR865" s="13">
        <f t="shared" si="471"/>
        <v>4.8504104100493031</v>
      </c>
      <c r="AS865" s="13">
        <f t="shared" si="472"/>
        <v>6.8387510414245423</v>
      </c>
      <c r="AT865" s="13">
        <f t="shared" si="473"/>
        <v>4.4522191862585316</v>
      </c>
      <c r="AU865" s="9">
        <v>0</v>
      </c>
      <c r="AV865" s="18">
        <f t="shared" si="490"/>
        <v>4</v>
      </c>
      <c r="AW865" s="18">
        <f t="shared" si="491"/>
        <v>8</v>
      </c>
      <c r="AX865" s="18">
        <f t="shared" si="492"/>
        <v>5</v>
      </c>
      <c r="AY865" s="18">
        <f t="shared" si="493"/>
        <v>3</v>
      </c>
      <c r="AZ865" s="18">
        <f t="shared" si="494"/>
        <v>1</v>
      </c>
      <c r="BA865" s="18">
        <f t="shared" si="495"/>
        <v>6</v>
      </c>
      <c r="BB865" s="18">
        <f t="shared" si="496"/>
        <v>2</v>
      </c>
      <c r="BC865" s="18">
        <f t="shared" si="497"/>
        <v>7</v>
      </c>
      <c r="BD865" s="18">
        <f t="shared" si="498"/>
        <v>9</v>
      </c>
      <c r="BE865" s="8">
        <f t="shared" si="500"/>
        <v>1.1454905702474014E-2</v>
      </c>
    </row>
    <row r="866" spans="1:57" x14ac:dyDescent="0.25">
      <c r="A866" t="str">
        <f t="shared" si="499"/>
        <v/>
      </c>
      <c r="B866" s="1">
        <v>44015</v>
      </c>
      <c r="C866" s="9">
        <f t="shared" si="474"/>
        <v>0</v>
      </c>
      <c r="D866" s="9">
        <f t="shared" si="475"/>
        <v>0</v>
      </c>
      <c r="E866" s="9">
        <f t="shared" si="476"/>
        <v>0.25421802639576957</v>
      </c>
      <c r="F866" s="9">
        <f t="shared" si="477"/>
        <v>0.24484255978100042</v>
      </c>
      <c r="G866" s="9">
        <f t="shared" si="478"/>
        <v>0.24917932870624251</v>
      </c>
      <c r="H866" s="9">
        <f t="shared" si="479"/>
        <v>0</v>
      </c>
      <c r="I866" s="9">
        <f t="shared" si="480"/>
        <v>0.25176008511698755</v>
      </c>
      <c r="J866" s="9">
        <f t="shared" si="481"/>
        <v>0</v>
      </c>
      <c r="K866" s="9">
        <v>0</v>
      </c>
      <c r="L866" s="8">
        <f>+VLOOKUP($B866,NIFTY_50!$B$3:$I$1238,8,0)</f>
        <v>5.2740316726214154E-3</v>
      </c>
      <c r="M866" s="8">
        <f>+VLOOKUP($B866,NIFTY_BANK!$B$3:$I$41238,8,0)</f>
        <v>-4.5915857369313029E-3</v>
      </c>
      <c r="N866" s="8">
        <f>+VLOOKUP($B866,NIFTY_IT!$B$3:$I$1238,8,0)</f>
        <v>1.0801749704910879E-2</v>
      </c>
      <c r="O866" s="8">
        <f>+VLOOKUP($B866,NIFTY_PHARMA!$B$3:$I$1238,8,0)</f>
        <v>1.9861921930075521E-3</v>
      </c>
      <c r="P866" s="8">
        <f>+VLOOKUP($B866,NIFTY_FMCG!$B$3:$I$1238,8,0)</f>
        <v>7.0226479571977585E-3</v>
      </c>
      <c r="Q866" s="8">
        <f>+VLOOKUP($B866,NIFTY_METAL!$B$3:$I$1238,8,0)</f>
        <v>-4.2141794744670058E-3</v>
      </c>
      <c r="R866" s="8">
        <f>+VLOOKUP($B866,NIFTY_ENERGY!$B$3:$I$1238,8,0)</f>
        <v>9.9725131964005787E-3</v>
      </c>
      <c r="S866" s="8">
        <f>+VLOOKUP($B866,NIFTY_AUTO!$B$3:$I$1238,8,0)</f>
        <v>9.2585889881426908E-3</v>
      </c>
      <c r="T866" s="8">
        <v>0</v>
      </c>
      <c r="U866" s="8">
        <f>+VLOOKUP($B866,NIFTY_50!$B$63:$K$1238,10,0)</f>
        <v>0.2851474472364246</v>
      </c>
      <c r="V866" s="8">
        <f>+VLOOKUP($B866,NIFTY_BANK!$B$63:$K$1238,10,0)</f>
        <v>0.20013070926250887</v>
      </c>
      <c r="W866" s="8">
        <f>+VLOOKUP($B866,NIFTY_IT!$B$63:$K$1238,10,0)</f>
        <v>0.26897645247118285</v>
      </c>
      <c r="X866" s="8">
        <f>+VLOOKUP($B866,NIFTY_PHARMA!$B$63:$K$1238,10,0)</f>
        <v>0.41793445002632823</v>
      </c>
      <c r="Y866" s="8">
        <f>+VLOOKUP($B866,NIFTY_FMCG!$B$63:$K$1238,10,0)</f>
        <v>0.15821281697194101</v>
      </c>
      <c r="Z866" s="8">
        <f>+VLOOKUP($B866,NIFTY_METAL!$B$63:$K$1238,10,0)</f>
        <v>0.29284541855749735</v>
      </c>
      <c r="AA866" s="8">
        <f>+VLOOKUP($B866,NIFTY_ENERGY!$B$63:$K$1238,10,0)</f>
        <v>0.37125762400319351</v>
      </c>
      <c r="AB866" s="8">
        <f>+VLOOKUP($B866,NIFTY_AUTO!$B$63:$K$1238,10,0)</f>
        <v>0.4967203787398955</v>
      </c>
      <c r="AC866" s="8">
        <f>+VLOOKUP($B866,EBBETF0430!$B$63:$K$1238,10,0)</f>
        <v>9.6486777211747254E-2</v>
      </c>
      <c r="AD866" s="16">
        <f t="shared" si="482"/>
        <v>0.15866168936128125</v>
      </c>
      <c r="AE866" s="8">
        <f t="shared" si="483"/>
        <v>0.25348644677221982</v>
      </c>
      <c r="AF866" s="8">
        <f t="shared" si="484"/>
        <v>0.15934317950856797</v>
      </c>
      <c r="AG866" s="8">
        <f t="shared" si="485"/>
        <v>0.15592049369308239</v>
      </c>
      <c r="AH866" s="8">
        <f t="shared" si="486"/>
        <v>0.12946754859629914</v>
      </c>
      <c r="AI866" s="8">
        <f t="shared" si="487"/>
        <v>0.20485010056151043</v>
      </c>
      <c r="AJ866" s="8">
        <f t="shared" si="488"/>
        <v>0.14163823880576262</v>
      </c>
      <c r="AK866" s="8">
        <f t="shared" si="489"/>
        <v>0.22349852544801327</v>
      </c>
      <c r="AL866" s="9">
        <v>0</v>
      </c>
      <c r="AM866" s="17">
        <f t="shared" si="466"/>
        <v>6.3027187219905736</v>
      </c>
      <c r="AN866" s="13">
        <f t="shared" si="467"/>
        <v>3.9449840917869237</v>
      </c>
      <c r="AO866" s="13">
        <f t="shared" si="468"/>
        <v>6.2757628100814289</v>
      </c>
      <c r="AP866" s="13">
        <f t="shared" si="469"/>
        <v>6.4135251006094416</v>
      </c>
      <c r="AQ866" s="13">
        <f t="shared" si="470"/>
        <v>7.7239432648729807</v>
      </c>
      <c r="AR866" s="13">
        <f t="shared" si="471"/>
        <v>4.8816183016699553</v>
      </c>
      <c r="AS866" s="13">
        <f t="shared" si="472"/>
        <v>7.0602402884390747</v>
      </c>
      <c r="AT866" s="13">
        <f t="shared" si="473"/>
        <v>4.4743024500741253</v>
      </c>
      <c r="AU866" s="9">
        <v>0</v>
      </c>
      <c r="AV866" s="18">
        <f t="shared" si="490"/>
        <v>4</v>
      </c>
      <c r="AW866" s="18">
        <f t="shared" si="491"/>
        <v>8</v>
      </c>
      <c r="AX866" s="18">
        <f t="shared" si="492"/>
        <v>5</v>
      </c>
      <c r="AY866" s="18">
        <f t="shared" si="493"/>
        <v>3</v>
      </c>
      <c r="AZ866" s="18">
        <f t="shared" si="494"/>
        <v>1</v>
      </c>
      <c r="BA866" s="18">
        <f t="shared" si="495"/>
        <v>6</v>
      </c>
      <c r="BB866" s="18">
        <f t="shared" si="496"/>
        <v>2</v>
      </c>
      <c r="BC866" s="18">
        <f t="shared" si="497"/>
        <v>7</v>
      </c>
      <c r="BD866" s="18">
        <f t="shared" si="498"/>
        <v>9</v>
      </c>
      <c r="BE866" s="8">
        <f t="shared" si="500"/>
        <v>7.4811327020394662E-3</v>
      </c>
    </row>
    <row r="867" spans="1:57" x14ac:dyDescent="0.25">
      <c r="A867" t="str">
        <f t="shared" si="499"/>
        <v/>
      </c>
      <c r="B867" s="1">
        <v>44018</v>
      </c>
      <c r="C867" s="9">
        <f t="shared" si="474"/>
        <v>0</v>
      </c>
      <c r="D867" s="9">
        <f t="shared" si="475"/>
        <v>0</v>
      </c>
      <c r="E867" s="9">
        <f t="shared" si="476"/>
        <v>0.25558973785222916</v>
      </c>
      <c r="F867" s="9">
        <f t="shared" si="477"/>
        <v>0.24179590139799806</v>
      </c>
      <c r="G867" s="9">
        <f t="shared" si="478"/>
        <v>0.24858490492708232</v>
      </c>
      <c r="H867" s="9">
        <f t="shared" si="479"/>
        <v>0</v>
      </c>
      <c r="I867" s="9">
        <f t="shared" si="480"/>
        <v>0.25402945582269038</v>
      </c>
      <c r="J867" s="9">
        <f t="shared" si="481"/>
        <v>0</v>
      </c>
      <c r="K867" s="9">
        <v>0</v>
      </c>
      <c r="L867" s="8">
        <f>+VLOOKUP($B867,NIFTY_50!$B$3:$I$1238,8,0)</f>
        <v>1.4735065779860168E-2</v>
      </c>
      <c r="M867" s="8">
        <f>+VLOOKUP($B867,NIFTY_BANK!$B$3:$I$41238,8,0)</f>
        <v>1.5858669985905349E-2</v>
      </c>
      <c r="N867" s="8">
        <f>+VLOOKUP($B867,NIFTY_IT!$B$3:$I$1238,8,0)</f>
        <v>1.1713409089422422E-2</v>
      </c>
      <c r="O867" s="8">
        <f>+VLOOKUP($B867,NIFTY_PHARMA!$B$3:$I$1238,8,0)</f>
        <v>-6.2378304594816747E-3</v>
      </c>
      <c r="P867" s="8">
        <f>+VLOOKUP($B867,NIFTY_FMCG!$B$3:$I$1238,8,0)</f>
        <v>3.8831803099339535E-3</v>
      </c>
      <c r="Q867" s="8">
        <f>+VLOOKUP($B867,NIFTY_METAL!$B$3:$I$1238,8,0)</f>
        <v>2.471994025392088E-2</v>
      </c>
      <c r="R867" s="8">
        <f>+VLOOKUP($B867,NIFTY_ENERGY!$B$3:$I$1238,8,0)</f>
        <v>1.5354358694879666E-2</v>
      </c>
      <c r="S867" s="8">
        <f>+VLOOKUP($B867,NIFTY_AUTO!$B$3:$I$1238,8,0)</f>
        <v>2.8790497844657592E-2</v>
      </c>
      <c r="T867" s="8">
        <v>0</v>
      </c>
      <c r="U867" s="8">
        <f>+VLOOKUP($B867,NIFTY_50!$B$63:$K$1238,10,0)</f>
        <v>0.3315086964051559</v>
      </c>
      <c r="V867" s="8">
        <f>+VLOOKUP($B867,NIFTY_BANK!$B$63:$K$1238,10,0)</f>
        <v>0.28694787614569872</v>
      </c>
      <c r="W867" s="8">
        <f>+VLOOKUP($B867,NIFTY_IT!$B$63:$K$1238,10,0)</f>
        <v>0.32404827034130856</v>
      </c>
      <c r="X867" s="8">
        <f>+VLOOKUP($B867,NIFTY_PHARMA!$B$63:$K$1238,10,0)</f>
        <v>0.3449861443164528</v>
      </c>
      <c r="Y867" s="8">
        <f>+VLOOKUP($B867,NIFTY_FMCG!$B$63:$K$1238,10,0)</f>
        <v>0.15486994941168719</v>
      </c>
      <c r="Z867" s="8">
        <f>+VLOOKUP($B867,NIFTY_METAL!$B$63:$K$1238,10,0)</f>
        <v>0.35146759472059874</v>
      </c>
      <c r="AA867" s="8">
        <f>+VLOOKUP($B867,NIFTY_ENERGY!$B$63:$K$1238,10,0)</f>
        <v>0.37741541456963379</v>
      </c>
      <c r="AB867" s="8">
        <f>+VLOOKUP($B867,NIFTY_AUTO!$B$63:$K$1238,10,0)</f>
        <v>0.5874605721874826</v>
      </c>
      <c r="AC867" s="8">
        <f>+VLOOKUP($B867,EBBETF0430!$B$63:$K$1238,10,0)</f>
        <v>6.0446797948039057</v>
      </c>
      <c r="AD867" s="16">
        <f t="shared" si="482"/>
        <v>0.15697239066430035</v>
      </c>
      <c r="AE867" s="8">
        <f t="shared" si="483"/>
        <v>0.24733231121163035</v>
      </c>
      <c r="AF867" s="8">
        <f t="shared" si="484"/>
        <v>0.15565869198706209</v>
      </c>
      <c r="AG867" s="8">
        <f t="shared" si="485"/>
        <v>0.15056745977735922</v>
      </c>
      <c r="AH867" s="8">
        <f t="shared" si="486"/>
        <v>0.1294043584506695</v>
      </c>
      <c r="AI867" s="8">
        <f t="shared" si="487"/>
        <v>0.20432183830623157</v>
      </c>
      <c r="AJ867" s="8">
        <f t="shared" si="488"/>
        <v>0.14188464876890969</v>
      </c>
      <c r="AK867" s="8">
        <f t="shared" si="489"/>
        <v>0.22134895941085328</v>
      </c>
      <c r="AL867" s="9">
        <v>0</v>
      </c>
      <c r="AM867" s="17">
        <f t="shared" si="466"/>
        <v>6.3705470482295858</v>
      </c>
      <c r="AN867" s="13">
        <f t="shared" si="467"/>
        <v>4.0431433931992338</v>
      </c>
      <c r="AO867" s="13">
        <f t="shared" si="468"/>
        <v>6.4243119817755963</v>
      </c>
      <c r="AP867" s="13">
        <f t="shared" si="469"/>
        <v>6.6415412830812048</v>
      </c>
      <c r="AQ867" s="13">
        <f t="shared" si="470"/>
        <v>7.727714985590783</v>
      </c>
      <c r="AR867" s="13">
        <f t="shared" si="471"/>
        <v>4.8942394424879314</v>
      </c>
      <c r="AS867" s="13">
        <f t="shared" si="472"/>
        <v>7.0479788241835779</v>
      </c>
      <c r="AT867" s="13">
        <f t="shared" si="473"/>
        <v>4.5177533369102774</v>
      </c>
      <c r="AU867" s="9">
        <v>0</v>
      </c>
      <c r="AV867" s="18">
        <f t="shared" si="490"/>
        <v>5</v>
      </c>
      <c r="AW867" s="18">
        <f t="shared" si="491"/>
        <v>8</v>
      </c>
      <c r="AX867" s="18">
        <f t="shared" si="492"/>
        <v>4</v>
      </c>
      <c r="AY867" s="18">
        <f t="shared" si="493"/>
        <v>3</v>
      </c>
      <c r="AZ867" s="18">
        <f t="shared" si="494"/>
        <v>1</v>
      </c>
      <c r="BA867" s="18">
        <f t="shared" si="495"/>
        <v>6</v>
      </c>
      <c r="BB867" s="18">
        <f t="shared" si="496"/>
        <v>2</v>
      </c>
      <c r="BC867" s="18">
        <f t="shared" si="497"/>
        <v>7</v>
      </c>
      <c r="BD867" s="18">
        <f t="shared" si="498"/>
        <v>9</v>
      </c>
      <c r="BE867" s="8">
        <f t="shared" si="500"/>
        <v>6.2836962787141534E-3</v>
      </c>
    </row>
    <row r="868" spans="1:57" x14ac:dyDescent="0.25">
      <c r="A868" t="str">
        <f t="shared" si="499"/>
        <v/>
      </c>
      <c r="B868" s="1">
        <v>44019</v>
      </c>
      <c r="C868" s="9">
        <f t="shared" si="474"/>
        <v>0</v>
      </c>
      <c r="D868" s="9">
        <f t="shared" si="475"/>
        <v>0</v>
      </c>
      <c r="E868" s="9">
        <f t="shared" si="476"/>
        <v>0.26125195366131926</v>
      </c>
      <c r="F868" s="9">
        <f t="shared" si="477"/>
        <v>0.2415735461114033</v>
      </c>
      <c r="G868" s="9">
        <f t="shared" si="478"/>
        <v>0.24788938638885938</v>
      </c>
      <c r="H868" s="9">
        <f t="shared" si="479"/>
        <v>0</v>
      </c>
      <c r="I868" s="9">
        <f t="shared" si="480"/>
        <v>0.24928511383841806</v>
      </c>
      <c r="J868" s="9">
        <f t="shared" si="481"/>
        <v>0</v>
      </c>
      <c r="K868" s="9">
        <v>0</v>
      </c>
      <c r="L868" s="8">
        <f>+VLOOKUP($B868,NIFTY_50!$B$3:$I$1238,8,0)</f>
        <v>3.3445903573601221E-3</v>
      </c>
      <c r="M868" s="8">
        <f>+VLOOKUP($B868,NIFTY_BANK!$B$3:$I$41238,8,0)</f>
        <v>1.9327490714650786E-2</v>
      </c>
      <c r="N868" s="8">
        <f>+VLOOKUP($B868,NIFTY_IT!$B$3:$I$1238,8,0)</f>
        <v>2.0691951800684727E-2</v>
      </c>
      <c r="O868" s="8">
        <f>+VLOOKUP($B868,NIFTY_PHARMA!$B$3:$I$1238,8,0)</f>
        <v>-2.3481883600555697E-3</v>
      </c>
      <c r="P868" s="8">
        <f>+VLOOKUP($B868,NIFTY_FMCG!$B$3:$I$1238,8,0)</f>
        <v>-4.2238148765076922E-3</v>
      </c>
      <c r="Q868" s="8">
        <f>+VLOOKUP($B868,NIFTY_METAL!$B$3:$I$1238,8,0)</f>
        <v>-1.7272793528168573E-2</v>
      </c>
      <c r="R868" s="8">
        <f>+VLOOKUP($B868,NIFTY_ENERGY!$B$3:$I$1238,8,0)</f>
        <v>-2.0079544734745269E-2</v>
      </c>
      <c r="S868" s="8">
        <f>+VLOOKUP($B868,NIFTY_AUTO!$B$3:$I$1238,8,0)</f>
        <v>3.8763202844493971E-3</v>
      </c>
      <c r="T868" s="8">
        <v>0</v>
      </c>
      <c r="U868" s="8">
        <f>+VLOOKUP($B868,NIFTY_50!$B$63:$K$1238,10,0)</f>
        <v>0.22832169422897564</v>
      </c>
      <c r="V868" s="8">
        <f>+VLOOKUP($B868,NIFTY_BANK!$B$63:$K$1238,10,0)</f>
        <v>0.18704262295081975</v>
      </c>
      <c r="W868" s="8">
        <f>+VLOOKUP($B868,NIFTY_IT!$B$63:$K$1238,10,0)</f>
        <v>0.25387343662497663</v>
      </c>
      <c r="X868" s="8">
        <f>+VLOOKUP($B868,NIFTY_PHARMA!$B$63:$K$1238,10,0)</f>
        <v>0.21577629125460773</v>
      </c>
      <c r="Y868" s="8">
        <f>+VLOOKUP($B868,NIFTY_FMCG!$B$63:$K$1238,10,0)</f>
        <v>6.1676169669476533E-2</v>
      </c>
      <c r="Z868" s="8">
        <f>+VLOOKUP($B868,NIFTY_METAL!$B$63:$K$1238,10,0)</f>
        <v>0.23555284056200354</v>
      </c>
      <c r="AA868" s="8">
        <f>+VLOOKUP($B868,NIFTY_ENERGY!$B$63:$K$1238,10,0)</f>
        <v>0.25960017998328744</v>
      </c>
      <c r="AB868" s="8">
        <f>+VLOOKUP($B868,NIFTY_AUTO!$B$63:$K$1238,10,0)</f>
        <v>0.45399925275923692</v>
      </c>
      <c r="AC868" s="8">
        <f>+VLOOKUP($B868,EBBETF0430!$B$63:$K$1238,10,0)</f>
        <v>5.9712258573117856</v>
      </c>
      <c r="AD868" s="16">
        <f t="shared" si="482"/>
        <v>0.13297537726188022</v>
      </c>
      <c r="AE868" s="8">
        <f t="shared" si="483"/>
        <v>0.22621487811731267</v>
      </c>
      <c r="AF868" s="8">
        <f t="shared" si="484"/>
        <v>0.13819639496399466</v>
      </c>
      <c r="AG868" s="8">
        <f t="shared" si="485"/>
        <v>0.11319534090079809</v>
      </c>
      <c r="AH868" s="8">
        <f t="shared" si="486"/>
        <v>0.10077154974379299</v>
      </c>
      <c r="AI868" s="8">
        <f t="shared" si="487"/>
        <v>0.19305088645066629</v>
      </c>
      <c r="AJ868" s="8">
        <f t="shared" si="488"/>
        <v>0.12754726206263131</v>
      </c>
      <c r="AK868" s="8">
        <f t="shared" si="489"/>
        <v>0.2027939369248852</v>
      </c>
      <c r="AL868" s="9">
        <v>0</v>
      </c>
      <c r="AM868" s="17">
        <f t="shared" si="466"/>
        <v>7.5201892304513729</v>
      </c>
      <c r="AN868" s="13">
        <f t="shared" si="467"/>
        <v>4.4205757301312891</v>
      </c>
      <c r="AO868" s="13">
        <f t="shared" si="468"/>
        <v>7.2360787722468265</v>
      </c>
      <c r="AP868" s="13">
        <f t="shared" si="469"/>
        <v>8.8342858640832045</v>
      </c>
      <c r="AQ868" s="13">
        <f t="shared" si="470"/>
        <v>9.9234357568426184</v>
      </c>
      <c r="AR868" s="13">
        <f t="shared" si="471"/>
        <v>5.1799813944679691</v>
      </c>
      <c r="AS868" s="13">
        <f t="shared" si="472"/>
        <v>7.8402310157701081</v>
      </c>
      <c r="AT868" s="13">
        <f t="shared" si="473"/>
        <v>4.9311138940529551</v>
      </c>
      <c r="AU868" s="9">
        <v>0</v>
      </c>
      <c r="AV868" s="18">
        <f t="shared" si="490"/>
        <v>4</v>
      </c>
      <c r="AW868" s="18">
        <f t="shared" si="491"/>
        <v>8</v>
      </c>
      <c r="AX868" s="18">
        <f t="shared" si="492"/>
        <v>5</v>
      </c>
      <c r="AY868" s="18">
        <f t="shared" si="493"/>
        <v>2</v>
      </c>
      <c r="AZ868" s="18">
        <f t="shared" si="494"/>
        <v>1</v>
      </c>
      <c r="BA868" s="18">
        <f t="shared" si="495"/>
        <v>6</v>
      </c>
      <c r="BB868" s="18">
        <f t="shared" si="496"/>
        <v>3</v>
      </c>
      <c r="BC868" s="18">
        <f t="shared" si="497"/>
        <v>7</v>
      </c>
      <c r="BD868" s="18">
        <f t="shared" si="498"/>
        <v>9</v>
      </c>
      <c r="BE868" s="8">
        <f t="shared" si="500"/>
        <v>-1.4299042264249223E-3</v>
      </c>
    </row>
    <row r="869" spans="1:57" x14ac:dyDescent="0.25">
      <c r="A869" t="str">
        <f t="shared" si="499"/>
        <v/>
      </c>
      <c r="B869" s="1">
        <v>44020</v>
      </c>
      <c r="C869" s="9">
        <f t="shared" si="474"/>
        <v>0</v>
      </c>
      <c r="D869" s="9">
        <f t="shared" si="475"/>
        <v>0</v>
      </c>
      <c r="E869" s="9">
        <f t="shared" si="476"/>
        <v>0.25756112781115392</v>
      </c>
      <c r="F869" s="9">
        <f t="shared" si="477"/>
        <v>0.24405513488620792</v>
      </c>
      <c r="G869" s="9">
        <f t="shared" si="478"/>
        <v>0.25074457668199912</v>
      </c>
      <c r="H869" s="9">
        <f t="shared" si="479"/>
        <v>0</v>
      </c>
      <c r="I869" s="9">
        <f t="shared" si="480"/>
        <v>0.24763916062063906</v>
      </c>
      <c r="J869" s="9">
        <f t="shared" si="481"/>
        <v>0</v>
      </c>
      <c r="K869" s="9">
        <v>0</v>
      </c>
      <c r="L869" s="8">
        <f>+VLOOKUP($B869,NIFTY_50!$B$3:$I$1238,8,0)</f>
        <v>-8.6947262179792872E-3</v>
      </c>
      <c r="M869" s="8">
        <f>+VLOOKUP($B869,NIFTY_BANK!$B$3:$I$41238,8,0)</f>
        <v>-1.9157680749513073E-3</v>
      </c>
      <c r="N869" s="8">
        <f>+VLOOKUP($B869,NIFTY_IT!$B$3:$I$1238,8,0)</f>
        <v>-1.7187257482602192E-2</v>
      </c>
      <c r="O869" s="8">
        <f>+VLOOKUP($B869,NIFTY_PHARMA!$B$3:$I$1238,8,0)</f>
        <v>7.1370722818384635E-3</v>
      </c>
      <c r="P869" s="8">
        <f>+VLOOKUP($B869,NIFTY_FMCG!$B$3:$I$1238,8,0)</f>
        <v>8.3786068641007461E-3</v>
      </c>
      <c r="Q869" s="8">
        <f>+VLOOKUP($B869,NIFTY_METAL!$B$3:$I$1238,8,0)</f>
        <v>1.5672896272125092E-2</v>
      </c>
      <c r="R869" s="8">
        <f>+VLOOKUP($B869,NIFTY_ENERGY!$B$3:$I$1238,8,0)</f>
        <v>-9.6858478433934359E-3</v>
      </c>
      <c r="S869" s="8">
        <f>+VLOOKUP($B869,NIFTY_AUTO!$B$3:$I$1238,8,0)</f>
        <v>-1.9473439312179153E-2</v>
      </c>
      <c r="T869" s="8">
        <v>0</v>
      </c>
      <c r="U869" s="8">
        <f>+VLOOKUP($B869,NIFTY_50!$B$63:$K$1238,10,0)</f>
        <v>0.22368909844263474</v>
      </c>
      <c r="V869" s="8">
        <f>+VLOOKUP($B869,NIFTY_BANK!$B$63:$K$1238,10,0)</f>
        <v>0.19202541900989378</v>
      </c>
      <c r="W869" s="8">
        <f>+VLOOKUP($B869,NIFTY_IT!$B$63:$K$1238,10,0)</f>
        <v>0.24193154572491005</v>
      </c>
      <c r="X869" s="8">
        <f>+VLOOKUP($B869,NIFTY_PHARMA!$B$63:$K$1238,10,0)</f>
        <v>0.18262761227740643</v>
      </c>
      <c r="Y869" s="8">
        <f>+VLOOKUP($B869,NIFTY_FMCG!$B$63:$K$1238,10,0)</f>
        <v>6.7059871913564217E-2</v>
      </c>
      <c r="Z869" s="8">
        <f>+VLOOKUP($B869,NIFTY_METAL!$B$63:$K$1238,10,0)</f>
        <v>0.26430132012185759</v>
      </c>
      <c r="AA869" s="8">
        <f>+VLOOKUP($B869,NIFTY_ENERGY!$B$63:$K$1238,10,0)</f>
        <v>0.24554241922440023</v>
      </c>
      <c r="AB869" s="8">
        <f>+VLOOKUP($B869,NIFTY_AUTO!$B$63:$K$1238,10,0)</f>
        <v>0.39966492188119584</v>
      </c>
      <c r="AC869" s="8">
        <f>+VLOOKUP($B869,EBBETF0430!$B$63:$K$1238,10,0)</f>
        <v>-0.89592283214001589</v>
      </c>
      <c r="AD869" s="16">
        <f t="shared" si="482"/>
        <v>0.13326603742016227</v>
      </c>
      <c r="AE869" s="8">
        <f t="shared" si="483"/>
        <v>0.22608070807733383</v>
      </c>
      <c r="AF869" s="8">
        <f t="shared" si="484"/>
        <v>0.13930363488149097</v>
      </c>
      <c r="AG869" s="8">
        <f t="shared" si="485"/>
        <v>0.10856907537264399</v>
      </c>
      <c r="AH869" s="8">
        <f t="shared" si="486"/>
        <v>0.10100999294232559</v>
      </c>
      <c r="AI869" s="8">
        <f t="shared" si="487"/>
        <v>0.19306957774300637</v>
      </c>
      <c r="AJ869" s="8">
        <f t="shared" si="488"/>
        <v>0.12824025657682137</v>
      </c>
      <c r="AK869" s="8">
        <f t="shared" si="489"/>
        <v>0.20403247409300657</v>
      </c>
      <c r="AL869" s="9">
        <v>0</v>
      </c>
      <c r="AM869" s="17">
        <f t="shared" si="466"/>
        <v>7.5037873066428151</v>
      </c>
      <c r="AN869" s="13">
        <f t="shared" si="467"/>
        <v>4.423199168581589</v>
      </c>
      <c r="AO869" s="13">
        <f t="shared" si="468"/>
        <v>7.1785635805607271</v>
      </c>
      <c r="AP869" s="13">
        <f t="shared" si="469"/>
        <v>9.2107259508997235</v>
      </c>
      <c r="AQ869" s="13">
        <f t="shared" si="470"/>
        <v>9.9000105917340004</v>
      </c>
      <c r="AR869" s="13">
        <f t="shared" si="471"/>
        <v>5.1794799143917603</v>
      </c>
      <c r="AS869" s="13">
        <f t="shared" si="472"/>
        <v>7.7978633753041304</v>
      </c>
      <c r="AT869" s="13">
        <f t="shared" si="473"/>
        <v>4.9011805814017526</v>
      </c>
      <c r="AU869" s="9">
        <v>0</v>
      </c>
      <c r="AV869" s="18">
        <f t="shared" si="490"/>
        <v>4</v>
      </c>
      <c r="AW869" s="18">
        <f t="shared" si="491"/>
        <v>8</v>
      </c>
      <c r="AX869" s="18">
        <f t="shared" si="492"/>
        <v>5</v>
      </c>
      <c r="AY869" s="18">
        <f t="shared" si="493"/>
        <v>2</v>
      </c>
      <c r="AZ869" s="18">
        <f t="shared" si="494"/>
        <v>1</v>
      </c>
      <c r="BA869" s="18">
        <f t="shared" si="495"/>
        <v>6</v>
      </c>
      <c r="BB869" s="18">
        <f t="shared" si="496"/>
        <v>3</v>
      </c>
      <c r="BC869" s="18">
        <f t="shared" si="497"/>
        <v>7</v>
      </c>
      <c r="BD869" s="18">
        <f t="shared" si="498"/>
        <v>9</v>
      </c>
      <c r="BE869" s="8">
        <f t="shared" si="500"/>
        <v>-3.1036467033593381E-3</v>
      </c>
    </row>
    <row r="870" spans="1:57" x14ac:dyDescent="0.25">
      <c r="A870" t="str">
        <f t="shared" si="499"/>
        <v/>
      </c>
      <c r="B870" s="1">
        <v>44021</v>
      </c>
      <c r="C870" s="9">
        <f t="shared" si="474"/>
        <v>0</v>
      </c>
      <c r="D870" s="9">
        <f t="shared" si="475"/>
        <v>0</v>
      </c>
      <c r="E870" s="9">
        <f t="shared" si="476"/>
        <v>0.25751229033693634</v>
      </c>
      <c r="F870" s="9">
        <f t="shared" si="477"/>
        <v>0.24461502519662995</v>
      </c>
      <c r="G870" s="9">
        <f t="shared" si="478"/>
        <v>0.24950622402556133</v>
      </c>
      <c r="H870" s="9">
        <f t="shared" si="479"/>
        <v>0</v>
      </c>
      <c r="I870" s="9">
        <f t="shared" si="480"/>
        <v>0.24836646044087235</v>
      </c>
      <c r="J870" s="9">
        <f t="shared" si="481"/>
        <v>0</v>
      </c>
      <c r="K870" s="9">
        <v>0</v>
      </c>
      <c r="L870" s="8">
        <f>+VLOOKUP($B870,NIFTY_50!$B$3:$I$1238,8,0)</f>
        <v>1.006001447820104E-2</v>
      </c>
      <c r="M870" s="8">
        <f>+VLOOKUP($B870,NIFTY_BANK!$B$3:$I$41238,8,0)</f>
        <v>1.4281824159329437E-2</v>
      </c>
      <c r="N870" s="8">
        <f>+VLOOKUP($B870,NIFTY_IT!$B$3:$I$1238,8,0)</f>
        <v>1.4374437994928435E-3</v>
      </c>
      <c r="O870" s="8">
        <f>+VLOOKUP($B870,NIFTY_PHARMA!$B$3:$I$1238,8,0)</f>
        <v>3.9252148565109835E-3</v>
      </c>
      <c r="P870" s="8">
        <f>+VLOOKUP($B870,NIFTY_FMCG!$B$3:$I$1238,8,0)</f>
        <v>-3.3193712854074908E-3</v>
      </c>
      <c r="Q870" s="8">
        <f>+VLOOKUP($B870,NIFTY_METAL!$B$3:$I$1238,8,0)</f>
        <v>1.9471352772233885E-2</v>
      </c>
      <c r="R870" s="8">
        <f>+VLOOKUP($B870,NIFTY_ENERGY!$B$3:$I$1238,8,0)</f>
        <v>4.5690807215712503E-3</v>
      </c>
      <c r="S870" s="8">
        <f>+VLOOKUP($B870,NIFTY_AUTO!$B$3:$I$1238,8,0)</f>
        <v>3.7184726639138965E-3</v>
      </c>
      <c r="T870" s="8">
        <v>0</v>
      </c>
      <c r="U870" s="8">
        <f>+VLOOKUP($B870,NIFTY_50!$B$63:$K$1238,10,0)</f>
        <v>0.18673931891263096</v>
      </c>
      <c r="V870" s="8">
        <f>+VLOOKUP($B870,NIFTY_BANK!$B$63:$K$1238,10,0)</f>
        <v>0.15032942310782582</v>
      </c>
      <c r="W870" s="8">
        <f>+VLOOKUP($B870,NIFTY_IT!$B$63:$K$1238,10,0)</f>
        <v>0.22055929387086515</v>
      </c>
      <c r="X870" s="8">
        <f>+VLOOKUP($B870,NIFTY_PHARMA!$B$63:$K$1238,10,0)</f>
        <v>0.13489082944622122</v>
      </c>
      <c r="Y870" s="8">
        <f>+VLOOKUP($B870,NIFTY_FMCG!$B$63:$K$1238,10,0)</f>
        <v>5.935613334622758E-2</v>
      </c>
      <c r="Z870" s="8">
        <f>+VLOOKUP($B870,NIFTY_METAL!$B$63:$K$1238,10,0)</f>
        <v>0.22800433903075445</v>
      </c>
      <c r="AA870" s="8">
        <f>+VLOOKUP($B870,NIFTY_ENERGY!$B$63:$K$1238,10,0)</f>
        <v>0.21972553599733047</v>
      </c>
      <c r="AB870" s="8">
        <f>+VLOOKUP($B870,NIFTY_AUTO!$B$63:$K$1238,10,0)</f>
        <v>0.27245463279727766</v>
      </c>
      <c r="AC870" s="8">
        <f>+VLOOKUP($B870,EBBETF0430!$B$63:$K$1238,10,0)</f>
        <v>0.24043761483213633</v>
      </c>
      <c r="AD870" s="16">
        <f t="shared" si="482"/>
        <v>0.12782624754233862</v>
      </c>
      <c r="AE870" s="8">
        <f t="shared" si="483"/>
        <v>0.22120481643345269</v>
      </c>
      <c r="AF870" s="8">
        <f t="shared" si="484"/>
        <v>0.13846630575804475</v>
      </c>
      <c r="AG870" s="8">
        <f t="shared" si="485"/>
        <v>9.9417994036759313E-2</v>
      </c>
      <c r="AH870" s="8">
        <f t="shared" si="486"/>
        <v>0.10106623356693038</v>
      </c>
      <c r="AI870" s="8">
        <f t="shared" si="487"/>
        <v>0.1882288782028283</v>
      </c>
      <c r="AJ870" s="8">
        <f t="shared" si="488"/>
        <v>0.12629653029759733</v>
      </c>
      <c r="AK870" s="8">
        <f t="shared" si="489"/>
        <v>0.178398594514562</v>
      </c>
      <c r="AL870" s="9">
        <v>0</v>
      </c>
      <c r="AM870" s="17">
        <f t="shared" si="466"/>
        <v>7.8231194236440365</v>
      </c>
      <c r="AN870" s="13">
        <f t="shared" si="467"/>
        <v>4.5206972258709399</v>
      </c>
      <c r="AO870" s="13">
        <f t="shared" si="468"/>
        <v>7.2219735662435776</v>
      </c>
      <c r="AP870" s="13">
        <f t="shared" si="469"/>
        <v>10.058541310240628</v>
      </c>
      <c r="AQ870" s="13">
        <f t="shared" si="470"/>
        <v>9.8945015036872555</v>
      </c>
      <c r="AR870" s="13">
        <f t="shared" si="471"/>
        <v>5.3126810803305</v>
      </c>
      <c r="AS870" s="13">
        <f t="shared" si="472"/>
        <v>7.9178738928429935</v>
      </c>
      <c r="AT870" s="13">
        <f t="shared" si="473"/>
        <v>5.6054253270385139</v>
      </c>
      <c r="AU870" s="9">
        <v>0</v>
      </c>
      <c r="AV870" s="18">
        <f t="shared" si="490"/>
        <v>4</v>
      </c>
      <c r="AW870" s="18">
        <f t="shared" si="491"/>
        <v>8</v>
      </c>
      <c r="AX870" s="18">
        <f t="shared" si="492"/>
        <v>5</v>
      </c>
      <c r="AY870" s="18">
        <f t="shared" si="493"/>
        <v>1</v>
      </c>
      <c r="AZ870" s="18">
        <f t="shared" si="494"/>
        <v>2</v>
      </c>
      <c r="BA870" s="18">
        <f t="shared" si="495"/>
        <v>7</v>
      </c>
      <c r="BB870" s="18">
        <f t="shared" si="496"/>
        <v>3</v>
      </c>
      <c r="BC870" s="18">
        <f t="shared" si="497"/>
        <v>6</v>
      </c>
      <c r="BD870" s="18">
        <f t="shared" si="498"/>
        <v>9</v>
      </c>
      <c r="BE870" s="8">
        <f t="shared" si="500"/>
        <v>1.627367454313626E-3</v>
      </c>
    </row>
    <row r="871" spans="1:57" x14ac:dyDescent="0.25">
      <c r="A871" t="str">
        <f t="shared" si="499"/>
        <v/>
      </c>
      <c r="B871" s="1">
        <v>44022</v>
      </c>
      <c r="C871" s="9">
        <f t="shared" si="474"/>
        <v>0</v>
      </c>
      <c r="D871" s="9">
        <f t="shared" si="475"/>
        <v>0</v>
      </c>
      <c r="E871" s="9">
        <f t="shared" si="476"/>
        <v>0.25668962231306464</v>
      </c>
      <c r="F871" s="9">
        <f t="shared" si="477"/>
        <v>0.2454393084955149</v>
      </c>
      <c r="G871" s="9">
        <f t="shared" si="478"/>
        <v>0.24945092922228135</v>
      </c>
      <c r="H871" s="9">
        <f t="shared" si="479"/>
        <v>0</v>
      </c>
      <c r="I871" s="9">
        <f t="shared" si="480"/>
        <v>0.248420139969139</v>
      </c>
      <c r="J871" s="9">
        <f t="shared" si="481"/>
        <v>0</v>
      </c>
      <c r="K871" s="9">
        <v>0</v>
      </c>
      <c r="L871" s="8">
        <f>+VLOOKUP($B871,NIFTY_50!$B$3:$I$1238,8,0)</f>
        <v>-4.1984750472792154E-3</v>
      </c>
      <c r="M871" s="8">
        <f>+VLOOKUP($B871,NIFTY_BANK!$B$3:$I$41238,8,0)</f>
        <v>-2.2209174408046373E-2</v>
      </c>
      <c r="N871" s="8">
        <f>+VLOOKUP($B871,NIFTY_IT!$B$3:$I$1238,8,0)</f>
        <v>1.8827300551302883E-3</v>
      </c>
      <c r="O871" s="8">
        <f>+VLOOKUP($B871,NIFTY_PHARMA!$B$3:$I$1238,8,0)</f>
        <v>8.4805582950775449E-3</v>
      </c>
      <c r="P871" s="8">
        <f>+VLOOKUP($B871,NIFTY_FMCG!$B$3:$I$1238,8,0)</f>
        <v>4.8709317205573033E-3</v>
      </c>
      <c r="Q871" s="8">
        <f>+VLOOKUP($B871,NIFTY_METAL!$B$3:$I$1238,8,0)</f>
        <v>-7.6875328271978072E-3</v>
      </c>
      <c r="R871" s="8">
        <f>+VLOOKUP($B871,NIFTY_ENERGY!$B$3:$I$1238,8,0)</f>
        <v>5.3109087364962004E-3</v>
      </c>
      <c r="S871" s="8">
        <f>+VLOOKUP($B871,NIFTY_AUTO!$B$3:$I$1238,8,0)</f>
        <v>-6.2803432313424112E-3</v>
      </c>
      <c r="T871" s="8">
        <v>0</v>
      </c>
      <c r="U871" s="8">
        <f>+VLOOKUP($B871,NIFTY_50!$B$63:$K$1238,10,0)</f>
        <v>0.19726813322436976</v>
      </c>
      <c r="V871" s="8">
        <f>+VLOOKUP($B871,NIFTY_BANK!$B$63:$K$1238,10,0)</f>
        <v>0.14934575123152705</v>
      </c>
      <c r="W871" s="8">
        <f>+VLOOKUP($B871,NIFTY_IT!$B$63:$K$1238,10,0)</f>
        <v>0.23502947687473719</v>
      </c>
      <c r="X871" s="8">
        <f>+VLOOKUP($B871,NIFTY_PHARMA!$B$63:$K$1238,10,0)</f>
        <v>0.11365106392388613</v>
      </c>
      <c r="Y871" s="8">
        <f>+VLOOKUP($B871,NIFTY_FMCG!$B$63:$K$1238,10,0)</f>
        <v>8.107022660589247E-2</v>
      </c>
      <c r="Z871" s="8">
        <f>+VLOOKUP($B871,NIFTY_METAL!$B$63:$K$1238,10,0)</f>
        <v>0.19546709618039571</v>
      </c>
      <c r="AA871" s="8">
        <f>+VLOOKUP($B871,NIFTY_ENERGY!$B$63:$K$1238,10,0)</f>
        <v>0.24240848981247853</v>
      </c>
      <c r="AB871" s="8">
        <f>+VLOOKUP($B871,NIFTY_AUTO!$B$63:$K$1238,10,0)</f>
        <v>0.29620220540858977</v>
      </c>
      <c r="AC871" s="8">
        <f>+VLOOKUP($B871,EBBETF0430!$B$63:$K$1238,10,0)</f>
        <v>-0.34674449932644813</v>
      </c>
      <c r="AD871" s="16">
        <f t="shared" si="482"/>
        <v>0.12702945109659328</v>
      </c>
      <c r="AE871" s="8">
        <f t="shared" si="483"/>
        <v>0.22129743156168497</v>
      </c>
      <c r="AF871" s="8">
        <f t="shared" si="484"/>
        <v>0.13782797845097453</v>
      </c>
      <c r="AG871" s="8">
        <f t="shared" si="485"/>
        <v>9.6253181450364961E-2</v>
      </c>
      <c r="AH871" s="8">
        <f t="shared" si="486"/>
        <v>9.9776791797777556E-2</v>
      </c>
      <c r="AI871" s="8">
        <f t="shared" si="487"/>
        <v>0.18788802930347009</v>
      </c>
      <c r="AJ871" s="8">
        <f t="shared" si="488"/>
        <v>0.12521521928911808</v>
      </c>
      <c r="AK871" s="8">
        <f t="shared" si="489"/>
        <v>0.17637129103656671</v>
      </c>
      <c r="AL871" s="9">
        <v>0</v>
      </c>
      <c r="AM871" s="17">
        <f t="shared" si="466"/>
        <v>7.8721901997324961</v>
      </c>
      <c r="AN871" s="13">
        <f t="shared" si="467"/>
        <v>4.5188052700975776</v>
      </c>
      <c r="AO871" s="13">
        <f t="shared" si="468"/>
        <v>7.2554209329544834</v>
      </c>
      <c r="AP871" s="13">
        <f t="shared" si="469"/>
        <v>10.389266982470305</v>
      </c>
      <c r="AQ871" s="13">
        <f t="shared" si="470"/>
        <v>10.022370753579132</v>
      </c>
      <c r="AR871" s="13">
        <f t="shared" si="471"/>
        <v>5.322318849727437</v>
      </c>
      <c r="AS871" s="13">
        <f t="shared" si="472"/>
        <v>7.9862496402376681</v>
      </c>
      <c r="AT871" s="13">
        <f t="shared" si="473"/>
        <v>5.6698570052008748</v>
      </c>
      <c r="AU871" s="9">
        <v>0</v>
      </c>
      <c r="AV871" s="18">
        <f t="shared" si="490"/>
        <v>4</v>
      </c>
      <c r="AW871" s="18">
        <f t="shared" si="491"/>
        <v>8</v>
      </c>
      <c r="AX871" s="18">
        <f t="shared" si="492"/>
        <v>5</v>
      </c>
      <c r="AY871" s="18">
        <f t="shared" si="493"/>
        <v>1</v>
      </c>
      <c r="AZ871" s="18">
        <f t="shared" si="494"/>
        <v>2</v>
      </c>
      <c r="BA871" s="18">
        <f t="shared" si="495"/>
        <v>7</v>
      </c>
      <c r="BB871" s="18">
        <f t="shared" si="496"/>
        <v>3</v>
      </c>
      <c r="BC871" s="18">
        <f t="shared" si="497"/>
        <v>6</v>
      </c>
      <c r="BD871" s="18">
        <f t="shared" si="498"/>
        <v>9</v>
      </c>
      <c r="BE871" s="8">
        <f t="shared" si="500"/>
        <v>5.0936774953053198E-3</v>
      </c>
    </row>
    <row r="872" spans="1:57" x14ac:dyDescent="0.25">
      <c r="A872" t="str">
        <f t="shared" si="499"/>
        <v/>
      </c>
      <c r="B872" s="1">
        <v>44025</v>
      </c>
      <c r="C872" s="9">
        <f t="shared" si="474"/>
        <v>0</v>
      </c>
      <c r="D872" s="9">
        <f t="shared" si="475"/>
        <v>0</v>
      </c>
      <c r="E872" s="9">
        <f t="shared" si="476"/>
        <v>0.25816219479832148</v>
      </c>
      <c r="F872" s="9">
        <f t="shared" si="477"/>
        <v>0.24371217283322358</v>
      </c>
      <c r="G872" s="9">
        <f t="shared" si="478"/>
        <v>0.25000733871960168</v>
      </c>
      <c r="H872" s="9">
        <f t="shared" si="479"/>
        <v>0</v>
      </c>
      <c r="I872" s="9">
        <f t="shared" si="480"/>
        <v>0.24811829364885327</v>
      </c>
      <c r="J872" s="9">
        <f t="shared" si="481"/>
        <v>0</v>
      </c>
      <c r="K872" s="9">
        <v>0</v>
      </c>
      <c r="L872" s="8">
        <f>+VLOOKUP($B872,NIFTY_50!$B$3:$I$1238,8,0)</f>
        <v>3.2178528145765384E-3</v>
      </c>
      <c r="M872" s="8">
        <f>+VLOOKUP($B872,NIFTY_BANK!$B$3:$I$41238,8,0)</f>
        <v>-1.3804526652513971E-2</v>
      </c>
      <c r="N872" s="8">
        <f>+VLOOKUP($B872,NIFTY_IT!$B$3:$I$1238,8,0)</f>
        <v>1.6318453987099524E-2</v>
      </c>
      <c r="O872" s="8">
        <f>+VLOOKUP($B872,NIFTY_PHARMA!$B$3:$I$1238,8,0)</f>
        <v>3.4103601479311685E-3</v>
      </c>
      <c r="P872" s="8">
        <f>+VLOOKUP($B872,NIFTY_FMCG!$B$3:$I$1238,8,0)</f>
        <v>1.2775318247372436E-2</v>
      </c>
      <c r="Q872" s="8">
        <f>+VLOOKUP($B872,NIFTY_METAL!$B$3:$I$1238,8,0)</f>
        <v>1.2967953036281621E-2</v>
      </c>
      <c r="R872" s="8">
        <f>+VLOOKUP($B872,NIFTY_ENERGY!$B$3:$I$1238,8,0)</f>
        <v>9.2934653195904104E-3</v>
      </c>
      <c r="S872" s="8">
        <f>+VLOOKUP($B872,NIFTY_AUTO!$B$3:$I$1238,8,0)</f>
        <v>6.156708468847194E-3</v>
      </c>
      <c r="T872" s="8">
        <v>0</v>
      </c>
      <c r="U872" s="8">
        <f>+VLOOKUP($B872,NIFTY_50!$B$63:$K$1238,10,0)</f>
        <v>0.21034587072703448</v>
      </c>
      <c r="V872" s="8">
        <f>+VLOOKUP($B872,NIFTY_BANK!$B$63:$K$1238,10,0)</f>
        <v>0.15911171980972916</v>
      </c>
      <c r="W872" s="8">
        <f>+VLOOKUP($B872,NIFTY_IT!$B$63:$K$1238,10,0)</f>
        <v>0.2453513453938565</v>
      </c>
      <c r="X872" s="8">
        <f>+VLOOKUP($B872,NIFTY_PHARMA!$B$63:$K$1238,10,0)</f>
        <v>0.11813515068371916</v>
      </c>
      <c r="Y872" s="8">
        <f>+VLOOKUP($B872,NIFTY_FMCG!$B$63:$K$1238,10,0)</f>
        <v>5.1468742999870365E-2</v>
      </c>
      <c r="Z872" s="8">
        <f>+VLOOKUP($B872,NIFTY_METAL!$B$63:$K$1238,10,0)</f>
        <v>0.20095270694278056</v>
      </c>
      <c r="AA872" s="8">
        <f>+VLOOKUP($B872,NIFTY_ENERGY!$B$63:$K$1238,10,0)</f>
        <v>0.26558834318668478</v>
      </c>
      <c r="AB872" s="8">
        <f>+VLOOKUP($B872,NIFTY_AUTO!$B$63:$K$1238,10,0)</f>
        <v>0.32841740108756801</v>
      </c>
      <c r="AC872" s="8">
        <f>+VLOOKUP($B872,EBBETF0430!$B$63:$K$1238,10,0)</f>
        <v>-0.30342117626959386</v>
      </c>
      <c r="AD872" s="16">
        <f t="shared" si="482"/>
        <v>0.12656952327542442</v>
      </c>
      <c r="AE872" s="8">
        <f t="shared" si="483"/>
        <v>0.22051824139915543</v>
      </c>
      <c r="AF872" s="8">
        <f t="shared" si="484"/>
        <v>0.13834135841788625</v>
      </c>
      <c r="AG872" s="8">
        <f t="shared" si="485"/>
        <v>9.6233266307207646E-2</v>
      </c>
      <c r="AH872" s="8">
        <f t="shared" si="486"/>
        <v>9.2077094761819592E-2</v>
      </c>
      <c r="AI872" s="8">
        <f t="shared" si="487"/>
        <v>0.18807004737114635</v>
      </c>
      <c r="AJ872" s="8">
        <f t="shared" si="488"/>
        <v>0.12465386620881677</v>
      </c>
      <c r="AK872" s="8">
        <f t="shared" si="489"/>
        <v>0.1748760877861239</v>
      </c>
      <c r="AL872" s="9">
        <v>0</v>
      </c>
      <c r="AM872" s="17">
        <f t="shared" si="466"/>
        <v>7.9007961326039586</v>
      </c>
      <c r="AN872" s="13">
        <f t="shared" si="467"/>
        <v>4.5347722422197307</v>
      </c>
      <c r="AO872" s="13">
        <f t="shared" si="468"/>
        <v>7.2284963183555764</v>
      </c>
      <c r="AP872" s="13">
        <f t="shared" si="469"/>
        <v>10.391417005504907</v>
      </c>
      <c r="AQ872" s="13">
        <f t="shared" si="470"/>
        <v>10.860464294477902</v>
      </c>
      <c r="AR872" s="13">
        <f t="shared" si="471"/>
        <v>5.3171677998599778</v>
      </c>
      <c r="AS872" s="13">
        <f t="shared" si="472"/>
        <v>8.0222140749716271</v>
      </c>
      <c r="AT872" s="13">
        <f t="shared" si="473"/>
        <v>5.718334694352353</v>
      </c>
      <c r="AU872" s="9">
        <v>0</v>
      </c>
      <c r="AV872" s="18">
        <f t="shared" si="490"/>
        <v>4</v>
      </c>
      <c r="AW872" s="18">
        <f t="shared" si="491"/>
        <v>8</v>
      </c>
      <c r="AX872" s="18">
        <f t="shared" si="492"/>
        <v>5</v>
      </c>
      <c r="AY872" s="18">
        <f t="shared" si="493"/>
        <v>2</v>
      </c>
      <c r="AZ872" s="18">
        <f t="shared" si="494"/>
        <v>1</v>
      </c>
      <c r="BA872" s="18">
        <f t="shared" si="495"/>
        <v>7</v>
      </c>
      <c r="BB872" s="18">
        <f t="shared" si="496"/>
        <v>3</v>
      </c>
      <c r="BC872" s="18">
        <f t="shared" si="497"/>
        <v>6</v>
      </c>
      <c r="BD872" s="18">
        <f t="shared" si="498"/>
        <v>9</v>
      </c>
      <c r="BE872" s="8">
        <f t="shared" si="500"/>
        <v>1.0521313190518999E-2</v>
      </c>
    </row>
    <row r="873" spans="1:57" x14ac:dyDescent="0.25">
      <c r="A873" t="str">
        <f t="shared" si="499"/>
        <v/>
      </c>
      <c r="B873" s="1">
        <v>44026</v>
      </c>
      <c r="C873" s="9">
        <f t="shared" si="474"/>
        <v>0</v>
      </c>
      <c r="D873" s="9">
        <f t="shared" si="475"/>
        <v>0</v>
      </c>
      <c r="E873" s="9">
        <f t="shared" si="476"/>
        <v>0.25736766182919785</v>
      </c>
      <c r="F873" s="9">
        <f t="shared" si="477"/>
        <v>0.24691532096563118</v>
      </c>
      <c r="G873" s="9">
        <f t="shared" si="478"/>
        <v>0.24980698227386997</v>
      </c>
      <c r="H873" s="9">
        <f t="shared" si="479"/>
        <v>0</v>
      </c>
      <c r="I873" s="9">
        <f t="shared" si="480"/>
        <v>0.24591003493130095</v>
      </c>
      <c r="J873" s="9">
        <f t="shared" si="481"/>
        <v>0</v>
      </c>
      <c r="K873" s="9">
        <v>0</v>
      </c>
      <c r="L873" s="8">
        <f>+VLOOKUP($B873,NIFTY_50!$B$3:$I$1238,8,0)</f>
        <v>-1.8083442102437397E-2</v>
      </c>
      <c r="M873" s="8">
        <f>+VLOOKUP($B873,NIFTY_BANK!$B$3:$I$41238,8,0)</f>
        <v>-3.1556073655737538E-2</v>
      </c>
      <c r="N873" s="8">
        <f>+VLOOKUP($B873,NIFTY_IT!$B$3:$I$1238,8,0)</f>
        <v>-1.1293238596136401E-2</v>
      </c>
      <c r="O873" s="8">
        <f>+VLOOKUP($B873,NIFTY_PHARMA!$B$3:$I$1238,8,0)</f>
        <v>4.7938970573684347E-3</v>
      </c>
      <c r="P873" s="8">
        <f>+VLOOKUP($B873,NIFTY_FMCG!$B$3:$I$1238,8,0)</f>
        <v>-9.0357489532243429E-3</v>
      </c>
      <c r="Q873" s="8">
        <f>+VLOOKUP($B873,NIFTY_METAL!$B$3:$I$1238,8,0)</f>
        <v>-2.503384556919952E-2</v>
      </c>
      <c r="R873" s="8">
        <f>+VLOOKUP($B873,NIFTY_ENERGY!$B$3:$I$1238,8,0)</f>
        <v>-1.7067630147420743E-2</v>
      </c>
      <c r="S873" s="8">
        <f>+VLOOKUP($B873,NIFTY_AUTO!$B$3:$I$1238,8,0)</f>
        <v>-2.3777428028993075E-2</v>
      </c>
      <c r="T873" s="8">
        <v>0</v>
      </c>
      <c r="U873" s="8">
        <f>+VLOOKUP($B873,NIFTY_50!$B$63:$K$1238,10,0)</f>
        <v>0.17953807490436802</v>
      </c>
      <c r="V873" s="8">
        <f>+VLOOKUP($B873,NIFTY_BANK!$B$63:$K$1238,10,0)</f>
        <v>0.10269072164948456</v>
      </c>
      <c r="W873" s="8">
        <f>+VLOOKUP($B873,NIFTY_IT!$B$63:$K$1238,10,0)</f>
        <v>0.25489826374402247</v>
      </c>
      <c r="X873" s="8">
        <f>+VLOOKUP($B873,NIFTY_PHARMA!$B$63:$K$1238,10,0)</f>
        <v>0.10389377452632265</v>
      </c>
      <c r="Y873" s="8">
        <f>+VLOOKUP($B873,NIFTY_FMCG!$B$63:$K$1238,10,0)</f>
        <v>4.8134167787668103E-2</v>
      </c>
      <c r="Z873" s="8">
        <f>+VLOOKUP($B873,NIFTY_METAL!$B$63:$K$1238,10,0)</f>
        <v>0.15322376738305921</v>
      </c>
      <c r="AA873" s="8">
        <f>+VLOOKUP($B873,NIFTY_ENERGY!$B$63:$K$1238,10,0)</f>
        <v>0.21731399353020975</v>
      </c>
      <c r="AB873" s="8">
        <f>+VLOOKUP($B873,NIFTY_AUTO!$B$63:$K$1238,10,0)</f>
        <v>0.28212971459822223</v>
      </c>
      <c r="AC873" s="8">
        <f>+VLOOKUP($B873,EBBETF0430!$B$63:$K$1238,10,0)</f>
        <v>-0.90879223207647775</v>
      </c>
      <c r="AD873" s="16">
        <f t="shared" si="482"/>
        <v>0.12824369543602773</v>
      </c>
      <c r="AE873" s="8">
        <f t="shared" si="483"/>
        <v>0.22257566283220587</v>
      </c>
      <c r="AF873" s="8">
        <f t="shared" si="484"/>
        <v>0.13731121739562957</v>
      </c>
      <c r="AG873" s="8">
        <f t="shared" si="485"/>
        <v>9.4948525580234269E-2</v>
      </c>
      <c r="AH873" s="8">
        <f t="shared" si="486"/>
        <v>9.2361742468589914E-2</v>
      </c>
      <c r="AI873" s="8">
        <f t="shared" si="487"/>
        <v>0.18974150965354955</v>
      </c>
      <c r="AJ873" s="8">
        <f t="shared" si="488"/>
        <v>0.12504548608484209</v>
      </c>
      <c r="AK873" s="8">
        <f t="shared" si="489"/>
        <v>0.1770363623485619</v>
      </c>
      <c r="AL873" s="9">
        <v>0</v>
      </c>
      <c r="AM873" s="17">
        <f t="shared" si="466"/>
        <v>7.7976542753232936</v>
      </c>
      <c r="AN873" s="13">
        <f t="shared" si="467"/>
        <v>4.4928541929306736</v>
      </c>
      <c r="AO873" s="13">
        <f t="shared" si="468"/>
        <v>7.2827261964966645</v>
      </c>
      <c r="AP873" s="13">
        <f t="shared" si="469"/>
        <v>10.532022418346779</v>
      </c>
      <c r="AQ873" s="13">
        <f t="shared" si="470"/>
        <v>10.826993658549446</v>
      </c>
      <c r="AR873" s="13">
        <f t="shared" si="471"/>
        <v>5.2703280469619305</v>
      </c>
      <c r="AS873" s="13">
        <f t="shared" si="472"/>
        <v>7.9970899495045362</v>
      </c>
      <c r="AT873" s="13">
        <f t="shared" si="473"/>
        <v>5.6485570915150651</v>
      </c>
      <c r="AU873" s="9">
        <v>0</v>
      </c>
      <c r="AV873" s="18">
        <f t="shared" si="490"/>
        <v>4</v>
      </c>
      <c r="AW873" s="18">
        <f t="shared" si="491"/>
        <v>8</v>
      </c>
      <c r="AX873" s="18">
        <f t="shared" si="492"/>
        <v>5</v>
      </c>
      <c r="AY873" s="18">
        <f t="shared" si="493"/>
        <v>2</v>
      </c>
      <c r="AZ873" s="18">
        <f t="shared" si="494"/>
        <v>1</v>
      </c>
      <c r="BA873" s="18">
        <f t="shared" si="495"/>
        <v>7</v>
      </c>
      <c r="BB873" s="18">
        <f t="shared" si="496"/>
        <v>3</v>
      </c>
      <c r="BC873" s="18">
        <f t="shared" si="497"/>
        <v>6</v>
      </c>
      <c r="BD873" s="18">
        <f t="shared" si="498"/>
        <v>9</v>
      </c>
      <c r="BE873" s="8">
        <f t="shared" si="500"/>
        <v>-8.2409510121114367E-3</v>
      </c>
    </row>
    <row r="874" spans="1:57" x14ac:dyDescent="0.25">
      <c r="A874" t="str">
        <f t="shared" si="499"/>
        <v/>
      </c>
      <c r="B874" s="1">
        <v>44027</v>
      </c>
      <c r="C874" s="9">
        <f t="shared" si="474"/>
        <v>0</v>
      </c>
      <c r="D874" s="9">
        <f t="shared" si="475"/>
        <v>0</v>
      </c>
      <c r="E874" s="9">
        <f t="shared" si="476"/>
        <v>0.26768841637175433</v>
      </c>
      <c r="F874" s="9">
        <f t="shared" si="477"/>
        <v>0.24537220449908004</v>
      </c>
      <c r="G874" s="9">
        <f t="shared" si="478"/>
        <v>0.24854857114613085</v>
      </c>
      <c r="H874" s="9">
        <f t="shared" si="479"/>
        <v>0</v>
      </c>
      <c r="I874" s="9">
        <f t="shared" si="480"/>
        <v>0.23839080798303486</v>
      </c>
      <c r="J874" s="9">
        <f t="shared" si="481"/>
        <v>0</v>
      </c>
      <c r="K874" s="9">
        <v>0</v>
      </c>
      <c r="L874" s="8">
        <f>+VLOOKUP($B874,NIFTY_50!$B$3:$I$1238,8,0)</f>
        <v>1.0228756475463285E-3</v>
      </c>
      <c r="M874" s="8">
        <f>+VLOOKUP($B874,NIFTY_BANK!$B$3:$I$41238,8,0)</f>
        <v>-2.4050822262320359E-3</v>
      </c>
      <c r="N874" s="8">
        <f>+VLOOKUP($B874,NIFTY_IT!$B$3:$I$1238,8,0)</f>
        <v>5.2383068370357666E-2</v>
      </c>
      <c r="O874" s="8">
        <f>+VLOOKUP($B874,NIFTY_PHARMA!$B$3:$I$1238,8,0)</f>
        <v>5.4849557609268906E-3</v>
      </c>
      <c r="P874" s="8">
        <f>+VLOOKUP($B874,NIFTY_FMCG!$B$3:$I$1238,8,0)</f>
        <v>6.7113117607979778E-3</v>
      </c>
      <c r="Q874" s="8">
        <f>+VLOOKUP($B874,NIFTY_METAL!$B$3:$I$1238,8,0)</f>
        <v>1.6078345392094295E-3</v>
      </c>
      <c r="R874" s="8">
        <f>+VLOOKUP($B874,NIFTY_ENERGY!$B$3:$I$1238,8,0)</f>
        <v>-1.912988019393902E-2</v>
      </c>
      <c r="S874" s="8">
        <f>+VLOOKUP($B874,NIFTY_AUTO!$B$3:$I$1238,8,0)</f>
        <v>2.1761133603239724E-3</v>
      </c>
      <c r="T874" s="8">
        <v>0</v>
      </c>
      <c r="U874" s="8">
        <f>+VLOOKUP($B874,NIFTY_50!$B$63:$K$1238,10,0)</f>
        <v>0.1458386165592036</v>
      </c>
      <c r="V874" s="8">
        <f>+VLOOKUP($B874,NIFTY_BANK!$B$63:$K$1238,10,0)</f>
        <v>3.1878809271109976E-2</v>
      </c>
      <c r="W874" s="8">
        <f>+VLOOKUP($B874,NIFTY_IT!$B$63:$K$1238,10,0)</f>
        <v>0.30125106231594745</v>
      </c>
      <c r="X874" s="8">
        <f>+VLOOKUP($B874,NIFTY_PHARMA!$B$63:$K$1238,10,0)</f>
        <v>0.11498457590565359</v>
      </c>
      <c r="Y874" s="8">
        <f>+VLOOKUP($B874,NIFTY_FMCG!$B$63:$K$1238,10,0)</f>
        <v>6.636794641527155E-2</v>
      </c>
      <c r="Z874" s="8">
        <f>+VLOOKUP($B874,NIFTY_METAL!$B$63:$K$1238,10,0)</f>
        <v>0.13170933113129646</v>
      </c>
      <c r="AA874" s="8">
        <f>+VLOOKUP($B874,NIFTY_ENERGY!$B$63:$K$1238,10,0)</f>
        <v>0.1646262768551805</v>
      </c>
      <c r="AB874" s="8">
        <f>+VLOOKUP($B874,NIFTY_AUTO!$B$63:$K$1238,10,0)</f>
        <v>0.22264460477341297</v>
      </c>
      <c r="AC874" s="8">
        <f>+VLOOKUP($B874,EBBETF0430!$B$63:$K$1238,10,0)</f>
        <v>0.27095454254843032</v>
      </c>
      <c r="AD874" s="16">
        <f t="shared" si="482"/>
        <v>0.12519135856102867</v>
      </c>
      <c r="AE874" s="8">
        <f t="shared" si="483"/>
        <v>0.21302882697719625</v>
      </c>
      <c r="AF874" s="8">
        <f t="shared" si="484"/>
        <v>0.14512852668172987</v>
      </c>
      <c r="AG874" s="8">
        <f t="shared" si="485"/>
        <v>9.4812229114932783E-2</v>
      </c>
      <c r="AH874" s="8">
        <f t="shared" si="486"/>
        <v>9.1823865037369584E-2</v>
      </c>
      <c r="AI874" s="8">
        <f t="shared" si="487"/>
        <v>0.1888716210683164</v>
      </c>
      <c r="AJ874" s="8">
        <f t="shared" si="488"/>
        <v>0.12502272584406293</v>
      </c>
      <c r="AK874" s="8">
        <f t="shared" si="489"/>
        <v>0.17069443047636162</v>
      </c>
      <c r="AL874" s="9">
        <v>0</v>
      </c>
      <c r="AM874" s="17">
        <f t="shared" si="466"/>
        <v>7.9877717719032253</v>
      </c>
      <c r="AN874" s="13">
        <f t="shared" si="467"/>
        <v>4.6942003774308221</v>
      </c>
      <c r="AO874" s="13">
        <f t="shared" si="468"/>
        <v>6.8904440971348278</v>
      </c>
      <c r="AP874" s="13">
        <f t="shared" si="469"/>
        <v>10.547162632235819</v>
      </c>
      <c r="AQ874" s="13">
        <f t="shared" si="470"/>
        <v>10.890415030918485</v>
      </c>
      <c r="AR874" s="13">
        <f t="shared" si="471"/>
        <v>5.2946016682849981</v>
      </c>
      <c r="AS874" s="13">
        <f t="shared" si="472"/>
        <v>7.9985458103614677</v>
      </c>
      <c r="AT874" s="13">
        <f t="shared" si="473"/>
        <v>5.8584219602788012</v>
      </c>
      <c r="AU874" s="9">
        <v>0</v>
      </c>
      <c r="AV874" s="18">
        <f t="shared" si="490"/>
        <v>4</v>
      </c>
      <c r="AW874" s="18">
        <f t="shared" si="491"/>
        <v>8</v>
      </c>
      <c r="AX874" s="18">
        <f t="shared" si="492"/>
        <v>5</v>
      </c>
      <c r="AY874" s="18">
        <f t="shared" si="493"/>
        <v>2</v>
      </c>
      <c r="AZ874" s="18">
        <f t="shared" si="494"/>
        <v>1</v>
      </c>
      <c r="BA874" s="18">
        <f t="shared" si="495"/>
        <v>7</v>
      </c>
      <c r="BB874" s="18">
        <f t="shared" si="496"/>
        <v>3</v>
      </c>
      <c r="BC874" s="18">
        <f t="shared" si="497"/>
        <v>6</v>
      </c>
      <c r="BD874" s="18">
        <f t="shared" si="498"/>
        <v>9</v>
      </c>
      <c r="BE874" s="8">
        <f t="shared" si="500"/>
        <v>1.1808330469450439E-2</v>
      </c>
    </row>
    <row r="875" spans="1:57" x14ac:dyDescent="0.25">
      <c r="A875" t="str">
        <f t="shared" si="499"/>
        <v/>
      </c>
      <c r="B875" s="1">
        <v>44028</v>
      </c>
      <c r="C875" s="9">
        <f t="shared" si="474"/>
        <v>0</v>
      </c>
      <c r="D875" s="9">
        <f t="shared" si="475"/>
        <v>0</v>
      </c>
      <c r="E875" s="9">
        <f t="shared" si="476"/>
        <v>0.27183036906006458</v>
      </c>
      <c r="F875" s="9">
        <f t="shared" si="477"/>
        <v>0.24637687675049497</v>
      </c>
      <c r="G875" s="9">
        <f t="shared" si="478"/>
        <v>0.24577283468673627</v>
      </c>
      <c r="H875" s="9">
        <f t="shared" si="479"/>
        <v>0</v>
      </c>
      <c r="I875" s="9">
        <f t="shared" si="480"/>
        <v>0.23601991950270415</v>
      </c>
      <c r="J875" s="9">
        <f t="shared" si="481"/>
        <v>0</v>
      </c>
      <c r="K875" s="9">
        <v>0</v>
      </c>
      <c r="L875" s="8">
        <f>+VLOOKUP($B875,NIFTY_50!$B$3:$I$1238,8,0)</f>
        <v>1.1466161873010527E-2</v>
      </c>
      <c r="M875" s="8">
        <f>+VLOOKUP($B875,NIFTY_BANK!$B$3:$I$41238,8,0)</f>
        <v>1.2014573058585221E-2</v>
      </c>
      <c r="N875" s="8">
        <f>+VLOOKUP($B875,NIFTY_IT!$B$3:$I$1238,8,0)</f>
        <v>2.8323465888206778E-2</v>
      </c>
      <c r="O875" s="8">
        <f>+VLOOKUP($B875,NIFTY_PHARMA!$B$3:$I$1238,8,0)</f>
        <v>1.680092059838878E-2</v>
      </c>
      <c r="P875" s="8">
        <f>+VLOOKUP($B875,NIFTY_FMCG!$B$3:$I$1238,8,0)</f>
        <v>1.3455168438476495E-3</v>
      </c>
      <c r="Q875" s="8">
        <f>+VLOOKUP($B875,NIFTY_METAL!$B$3:$I$1238,8,0)</f>
        <v>7.2479630305242182E-3</v>
      </c>
      <c r="R875" s="8">
        <f>+VLOOKUP($B875,NIFTY_ENERGY!$B$3:$I$1238,8,0)</f>
        <v>2.5833831482315883E-3</v>
      </c>
      <c r="S875" s="8">
        <f>+VLOOKUP($B875,NIFTY_AUTO!$B$3:$I$1238,8,0)</f>
        <v>1.2242012393504531E-2</v>
      </c>
      <c r="T875" s="8">
        <v>0</v>
      </c>
      <c r="U875" s="8">
        <f>+VLOOKUP($B875,NIFTY_50!$B$63:$K$1238,10,0)</f>
        <v>0.15959014667695981</v>
      </c>
      <c r="V875" s="8">
        <f>+VLOOKUP($B875,NIFTY_BANK!$B$63:$K$1238,10,0)</f>
        <v>5.23567862824732E-2</v>
      </c>
      <c r="W875" s="8">
        <f>+VLOOKUP($B875,NIFTY_IT!$B$63:$K$1238,10,0)</f>
        <v>0.31744326783497367</v>
      </c>
      <c r="X875" s="8">
        <f>+VLOOKUP($B875,NIFTY_PHARMA!$B$63:$K$1238,10,0)</f>
        <v>0.13477681108730799</v>
      </c>
      <c r="Y875" s="8">
        <f>+VLOOKUP($B875,NIFTY_FMCG!$B$63:$K$1238,10,0)</f>
        <v>9.0364394837419315E-2</v>
      </c>
      <c r="Z875" s="8">
        <f>+VLOOKUP($B875,NIFTY_METAL!$B$63:$K$1238,10,0)</f>
        <v>0.17888354351105917</v>
      </c>
      <c r="AA875" s="8">
        <f>+VLOOKUP($B875,NIFTY_ENERGY!$B$63:$K$1238,10,0)</f>
        <v>0.15625239375748379</v>
      </c>
      <c r="AB875" s="8">
        <f>+VLOOKUP($B875,NIFTY_AUTO!$B$63:$K$1238,10,0)</f>
        <v>0.25485601860132356</v>
      </c>
      <c r="AC875" s="8">
        <f>+VLOOKUP($B875,EBBETF0430!$B$63:$K$1238,10,0)</f>
        <v>-0.19511308562197094</v>
      </c>
      <c r="AD875" s="16">
        <f t="shared" si="482"/>
        <v>0.12547909048220449</v>
      </c>
      <c r="AE875" s="8">
        <f t="shared" si="483"/>
        <v>0.21313201033532195</v>
      </c>
      <c r="AF875" s="8">
        <f t="shared" si="484"/>
        <v>0.14663622594486683</v>
      </c>
      <c r="AG875" s="8">
        <f t="shared" si="485"/>
        <v>9.591486323520014E-2</v>
      </c>
      <c r="AH875" s="8">
        <f t="shared" si="486"/>
        <v>8.9150522943077792E-2</v>
      </c>
      <c r="AI875" s="8">
        <f t="shared" si="487"/>
        <v>0.18552147560777932</v>
      </c>
      <c r="AJ875" s="8">
        <f t="shared" si="488"/>
        <v>0.1248109228881959</v>
      </c>
      <c r="AK875" s="8">
        <f t="shared" si="489"/>
        <v>0.17000738542428181</v>
      </c>
      <c r="AL875" s="9">
        <v>0</v>
      </c>
      <c r="AM875" s="17">
        <f t="shared" si="466"/>
        <v>7.9694552786212656</v>
      </c>
      <c r="AN875" s="13">
        <f t="shared" si="467"/>
        <v>4.6919277795329464</v>
      </c>
      <c r="AO875" s="13">
        <f t="shared" si="468"/>
        <v>6.8195972281500614</v>
      </c>
      <c r="AP875" s="13">
        <f t="shared" si="469"/>
        <v>10.425912796724985</v>
      </c>
      <c r="AQ875" s="13">
        <f t="shared" si="470"/>
        <v>11.216984118404953</v>
      </c>
      <c r="AR875" s="13">
        <f t="shared" si="471"/>
        <v>5.3902115467977003</v>
      </c>
      <c r="AS875" s="13">
        <f t="shared" si="472"/>
        <v>8.0121192669634205</v>
      </c>
      <c r="AT875" s="13">
        <f t="shared" si="473"/>
        <v>5.8820974012648515</v>
      </c>
      <c r="AU875" s="9">
        <v>0</v>
      </c>
      <c r="AV875" s="18">
        <f t="shared" si="490"/>
        <v>4</v>
      </c>
      <c r="AW875" s="18">
        <f t="shared" si="491"/>
        <v>8</v>
      </c>
      <c r="AX875" s="18">
        <f t="shared" si="492"/>
        <v>5</v>
      </c>
      <c r="AY875" s="18">
        <f t="shared" si="493"/>
        <v>2</v>
      </c>
      <c r="AZ875" s="18">
        <f t="shared" si="494"/>
        <v>1</v>
      </c>
      <c r="BA875" s="18">
        <f t="shared" si="495"/>
        <v>7</v>
      </c>
      <c r="BB875" s="18">
        <f t="shared" si="496"/>
        <v>3</v>
      </c>
      <c r="BC875" s="18">
        <f t="shared" si="497"/>
        <v>6</v>
      </c>
      <c r="BD875" s="18">
        <f t="shared" si="498"/>
        <v>9</v>
      </c>
      <c r="BE875" s="8">
        <f t="shared" si="500"/>
        <v>1.2654623739642204E-2</v>
      </c>
    </row>
    <row r="876" spans="1:57" x14ac:dyDescent="0.25">
      <c r="A876" t="str">
        <f t="shared" si="499"/>
        <v/>
      </c>
      <c r="B876" s="1">
        <v>44029</v>
      </c>
      <c r="C876" s="9">
        <f t="shared" si="474"/>
        <v>0</v>
      </c>
      <c r="D876" s="9">
        <f t="shared" si="475"/>
        <v>0</v>
      </c>
      <c r="E876" s="9">
        <f t="shared" si="476"/>
        <v>0.26684271868035775</v>
      </c>
      <c r="F876" s="9">
        <f t="shared" si="477"/>
        <v>0.24546771517045471</v>
      </c>
      <c r="G876" s="9">
        <f t="shared" si="478"/>
        <v>0.24476541844260874</v>
      </c>
      <c r="H876" s="9">
        <f t="shared" si="479"/>
        <v>0</v>
      </c>
      <c r="I876" s="9">
        <f t="shared" si="480"/>
        <v>0.24292414770657891</v>
      </c>
      <c r="J876" s="9">
        <f t="shared" si="481"/>
        <v>0</v>
      </c>
      <c r="K876" s="9">
        <v>0</v>
      </c>
      <c r="L876" s="8">
        <f>+VLOOKUP($B876,NIFTY_50!$B$3:$I$1238,8,0)</f>
        <v>1.5060591529755696E-2</v>
      </c>
      <c r="M876" s="8">
        <f>+VLOOKUP($B876,NIFTY_BANK!$B$3:$I$41238,8,0)</f>
        <v>1.7115684245374796E-2</v>
      </c>
      <c r="N876" s="8">
        <f>+VLOOKUP($B876,NIFTY_IT!$B$3:$I$1238,8,0)</f>
        <v>-6.185731461268329E-3</v>
      </c>
      <c r="O876" s="8">
        <f>+VLOOKUP($B876,NIFTY_PHARMA!$B$3:$I$1238,8,0)</f>
        <v>8.6541517775444721E-3</v>
      </c>
      <c r="P876" s="8">
        <f>+VLOOKUP($B876,NIFTY_FMCG!$B$3:$I$1238,8,0)</f>
        <v>8.2402384682360719E-3</v>
      </c>
      <c r="Q876" s="8">
        <f>+VLOOKUP($B876,NIFTY_METAL!$B$3:$I$1238,8,0)</f>
        <v>1.5623113515079723E-2</v>
      </c>
      <c r="R876" s="8">
        <f>+VLOOKUP($B876,NIFTY_ENERGY!$B$3:$I$1238,8,0)</f>
        <v>4.2005174373600962E-2</v>
      </c>
      <c r="S876" s="8">
        <f>+VLOOKUP($B876,NIFTY_AUTO!$B$3:$I$1238,8,0)</f>
        <v>1.7303553357373991E-2</v>
      </c>
      <c r="T876" s="8">
        <v>0</v>
      </c>
      <c r="U876" s="8">
        <f>+VLOOKUP($B876,NIFTY_50!$B$63:$K$1238,10,0)</f>
        <v>0.21380178033613717</v>
      </c>
      <c r="V876" s="8">
        <f>+VLOOKUP($B876,NIFTY_BANK!$B$63:$K$1238,10,0)</f>
        <v>0.1317638148624245</v>
      </c>
      <c r="W876" s="8">
        <f>+VLOOKUP($B876,NIFTY_IT!$B$63:$K$1238,10,0)</f>
        <v>0.35559298403961681</v>
      </c>
      <c r="X876" s="8">
        <f>+VLOOKUP($B876,NIFTY_PHARMA!$B$63:$K$1238,10,0)</f>
        <v>0.11623754883202841</v>
      </c>
      <c r="Y876" s="8">
        <f>+VLOOKUP($B876,NIFTY_FMCG!$B$63:$K$1238,10,0)</f>
        <v>0.10388474961903893</v>
      </c>
      <c r="Z876" s="8">
        <f>+VLOOKUP($B876,NIFTY_METAL!$B$63:$K$1238,10,0)</f>
        <v>0.26185047401896089</v>
      </c>
      <c r="AA876" s="8">
        <f>+VLOOKUP($B876,NIFTY_ENERGY!$B$63:$K$1238,10,0)</f>
        <v>0.23586189213890196</v>
      </c>
      <c r="AB876" s="8">
        <f>+VLOOKUP($B876,NIFTY_AUTO!$B$63:$K$1238,10,0)</f>
        <v>0.34817389333308157</v>
      </c>
      <c r="AC876" s="8">
        <f>+VLOOKUP($B876,EBBETF0430!$B$63:$K$1238,10,0)</f>
        <v>4.6311058074781224</v>
      </c>
      <c r="AD876" s="16">
        <f t="shared" si="482"/>
        <v>0.12161171377050189</v>
      </c>
      <c r="AE876" s="8">
        <f t="shared" si="483"/>
        <v>0.20620087441525917</v>
      </c>
      <c r="AF876" s="8">
        <f t="shared" si="484"/>
        <v>0.14176717244063711</v>
      </c>
      <c r="AG876" s="8">
        <f t="shared" si="485"/>
        <v>9.3254972463858429E-2</v>
      </c>
      <c r="AH876" s="8">
        <f t="shared" si="486"/>
        <v>8.921700317112434E-2</v>
      </c>
      <c r="AI876" s="8">
        <f t="shared" si="487"/>
        <v>0.17769022692342568</v>
      </c>
      <c r="AJ876" s="8">
        <f t="shared" si="488"/>
        <v>0.12767327781584226</v>
      </c>
      <c r="AK876" s="8">
        <f t="shared" si="489"/>
        <v>0.16043999692265229</v>
      </c>
      <c r="AL876" s="9">
        <v>0</v>
      </c>
      <c r="AM876" s="17">
        <f t="shared" si="466"/>
        <v>8.2228920964565813</v>
      </c>
      <c r="AN876" s="13">
        <f t="shared" si="467"/>
        <v>4.8496399582968914</v>
      </c>
      <c r="AO876" s="13">
        <f t="shared" si="468"/>
        <v>7.0538191796040453</v>
      </c>
      <c r="AP876" s="13">
        <f t="shared" si="469"/>
        <v>10.723288781062656</v>
      </c>
      <c r="AQ876" s="13">
        <f t="shared" si="470"/>
        <v>11.208625760292927</v>
      </c>
      <c r="AR876" s="13">
        <f t="shared" si="471"/>
        <v>5.6277715286555559</v>
      </c>
      <c r="AS876" s="13">
        <f t="shared" si="472"/>
        <v>7.8324925709388786</v>
      </c>
      <c r="AT876" s="13">
        <f t="shared" si="473"/>
        <v>6.2328597555514627</v>
      </c>
      <c r="AU876" s="9">
        <v>0</v>
      </c>
      <c r="AV876" s="18">
        <f t="shared" si="490"/>
        <v>3</v>
      </c>
      <c r="AW876" s="18">
        <f t="shared" si="491"/>
        <v>8</v>
      </c>
      <c r="AX876" s="18">
        <f t="shared" si="492"/>
        <v>5</v>
      </c>
      <c r="AY876" s="18">
        <f t="shared" si="493"/>
        <v>2</v>
      </c>
      <c r="AZ876" s="18">
        <f t="shared" si="494"/>
        <v>1</v>
      </c>
      <c r="BA876" s="18">
        <f t="shared" si="495"/>
        <v>7</v>
      </c>
      <c r="BB876" s="18">
        <f t="shared" si="496"/>
        <v>4</v>
      </c>
      <c r="BC876" s="18">
        <f t="shared" si="497"/>
        <v>6</v>
      </c>
      <c r="BD876" s="18">
        <f t="shared" si="498"/>
        <v>9</v>
      </c>
      <c r="BE876" s="8">
        <f t="shared" si="500"/>
        <v>1.2389997861040548E-2</v>
      </c>
    </row>
    <row r="877" spans="1:57" x14ac:dyDescent="0.25">
      <c r="A877" t="str">
        <f t="shared" si="499"/>
        <v/>
      </c>
      <c r="B877" s="1">
        <v>44032</v>
      </c>
      <c r="C877" s="9">
        <f t="shared" si="474"/>
        <v>0</v>
      </c>
      <c r="D877" s="9">
        <f t="shared" si="475"/>
        <v>0</v>
      </c>
      <c r="E877" s="9">
        <f t="shared" si="476"/>
        <v>0.27277637049520015</v>
      </c>
      <c r="F877" s="9">
        <f t="shared" si="477"/>
        <v>0.24065998592780871</v>
      </c>
      <c r="G877" s="9">
        <f t="shared" si="478"/>
        <v>0.24462612768105335</v>
      </c>
      <c r="H877" s="9">
        <f t="shared" si="479"/>
        <v>0</v>
      </c>
      <c r="I877" s="9">
        <f t="shared" si="480"/>
        <v>0.24193751589593787</v>
      </c>
      <c r="J877" s="9">
        <f t="shared" si="481"/>
        <v>0</v>
      </c>
      <c r="K877" s="9">
        <v>0</v>
      </c>
      <c r="L877" s="8">
        <f>+VLOOKUP($B877,NIFTY_50!$B$3:$I$1238,8,0)</f>
        <v>1.1053321958960582E-2</v>
      </c>
      <c r="M877" s="8">
        <f>+VLOOKUP($B877,NIFTY_BANK!$B$3:$I$41238,8,0)</f>
        <v>1.6163027842016175E-2</v>
      </c>
      <c r="N877" s="8">
        <f>+VLOOKUP($B877,NIFTY_IT!$B$3:$I$1238,8,0)</f>
        <v>2.5975917509593494E-2</v>
      </c>
      <c r="O877" s="8">
        <f>+VLOOKUP($B877,NIFTY_PHARMA!$B$3:$I$1238,8,0)</f>
        <v>-1.5999579837951083E-2</v>
      </c>
      <c r="P877" s="8">
        <f>+VLOOKUP($B877,NIFTY_FMCG!$B$3:$I$1238,8,0)</f>
        <v>3.0869007897758038E-3</v>
      </c>
      <c r="Q877" s="8">
        <f>+VLOOKUP($B877,NIFTY_METAL!$B$3:$I$1238,8,0)</f>
        <v>1.4265335235377208E-3</v>
      </c>
      <c r="R877" s="8">
        <f>+VLOOKUP($B877,NIFTY_ENERGY!$B$3:$I$1238,8,0)</f>
        <v>-4.1827703324470722E-4</v>
      </c>
      <c r="S877" s="8">
        <f>+VLOOKUP($B877,NIFTY_AUTO!$B$3:$I$1238,8,0)</f>
        <v>5.401202135261185E-3</v>
      </c>
      <c r="T877" s="8">
        <v>0</v>
      </c>
      <c r="U877" s="8">
        <f>+VLOOKUP($B877,NIFTY_50!$B$63:$K$1238,10,0)</f>
        <v>0.19972135447846506</v>
      </c>
      <c r="V877" s="8">
        <f>+VLOOKUP($B877,NIFTY_BANK!$B$63:$K$1238,10,0)</f>
        <v>0.13298243565959544</v>
      </c>
      <c r="W877" s="8">
        <f>+VLOOKUP($B877,NIFTY_IT!$B$63:$K$1238,10,0)</f>
        <v>0.37283335852298483</v>
      </c>
      <c r="X877" s="8">
        <f>+VLOOKUP($B877,NIFTY_PHARMA!$B$63:$K$1238,10,0)</f>
        <v>9.8922896448757625E-2</v>
      </c>
      <c r="Y877" s="8">
        <f>+VLOOKUP($B877,NIFTY_FMCG!$B$63:$K$1238,10,0)</f>
        <v>8.0561518443454938E-2</v>
      </c>
      <c r="Z877" s="8">
        <f>+VLOOKUP($B877,NIFTY_METAL!$B$63:$K$1238,10,0)</f>
        <v>0.25859080858184424</v>
      </c>
      <c r="AA877" s="8">
        <f>+VLOOKUP($B877,NIFTY_ENERGY!$B$63:$K$1238,10,0)</f>
        <v>0.19623892742155102</v>
      </c>
      <c r="AB877" s="8">
        <f>+VLOOKUP($B877,NIFTY_AUTO!$B$63:$K$1238,10,0)</f>
        <v>0.32228640924293095</v>
      </c>
      <c r="AC877" s="8">
        <f>+VLOOKUP($B877,EBBETF0430!$B$63:$K$1238,10,0)</f>
        <v>0.37877720024667427</v>
      </c>
      <c r="AD877" s="16">
        <f t="shared" si="482"/>
        <v>0.12025963247950355</v>
      </c>
      <c r="AE877" s="8">
        <f t="shared" si="483"/>
        <v>0.20627095994456751</v>
      </c>
      <c r="AF877" s="8">
        <f t="shared" si="484"/>
        <v>0.14305771951582671</v>
      </c>
      <c r="AG877" s="8">
        <f t="shared" si="485"/>
        <v>9.4902247630868741E-2</v>
      </c>
      <c r="AH877" s="8">
        <f t="shared" si="486"/>
        <v>8.6154513573263272E-2</v>
      </c>
      <c r="AI877" s="8">
        <f t="shared" si="487"/>
        <v>0.17770970863703975</v>
      </c>
      <c r="AJ877" s="8">
        <f t="shared" si="488"/>
        <v>0.12431044409904951</v>
      </c>
      <c r="AK877" s="8">
        <f t="shared" si="489"/>
        <v>0.15917349303649722</v>
      </c>
      <c r="AL877" s="9">
        <v>0</v>
      </c>
      <c r="AM877" s="17">
        <f t="shared" si="466"/>
        <v>8.3153422256669121</v>
      </c>
      <c r="AN877" s="13">
        <f t="shared" si="467"/>
        <v>4.8479921762556213</v>
      </c>
      <c r="AO877" s="13">
        <f t="shared" si="468"/>
        <v>6.9901855236086599</v>
      </c>
      <c r="AP877" s="13">
        <f t="shared" si="469"/>
        <v>10.537158233486677</v>
      </c>
      <c r="AQ877" s="13">
        <f t="shared" si="470"/>
        <v>11.607052939247685</v>
      </c>
      <c r="AR877" s="13">
        <f t="shared" si="471"/>
        <v>5.6271545751190972</v>
      </c>
      <c r="AS877" s="13">
        <f t="shared" si="472"/>
        <v>8.044376377605154</v>
      </c>
      <c r="AT877" s="13">
        <f t="shared" si="473"/>
        <v>6.2824530700642969</v>
      </c>
      <c r="AU877" s="9">
        <v>0</v>
      </c>
      <c r="AV877" s="18">
        <f t="shared" si="490"/>
        <v>3</v>
      </c>
      <c r="AW877" s="18">
        <f t="shared" si="491"/>
        <v>8</v>
      </c>
      <c r="AX877" s="18">
        <f t="shared" si="492"/>
        <v>5</v>
      </c>
      <c r="AY877" s="18">
        <f t="shared" si="493"/>
        <v>2</v>
      </c>
      <c r="AZ877" s="18">
        <f t="shared" si="494"/>
        <v>1</v>
      </c>
      <c r="BA877" s="18">
        <f t="shared" si="495"/>
        <v>7</v>
      </c>
      <c r="BB877" s="18">
        <f t="shared" si="496"/>
        <v>4</v>
      </c>
      <c r="BC877" s="18">
        <f t="shared" si="497"/>
        <v>6</v>
      </c>
      <c r="BD877" s="18">
        <f t="shared" si="498"/>
        <v>9</v>
      </c>
      <c r="BE877" s="8">
        <f t="shared" si="500"/>
        <v>3.6580611136615968E-3</v>
      </c>
    </row>
    <row r="878" spans="1:57" x14ac:dyDescent="0.25">
      <c r="A878" t="str">
        <f t="shared" si="499"/>
        <v/>
      </c>
      <c r="B878" s="1">
        <v>44033</v>
      </c>
      <c r="C878" s="9">
        <f t="shared" si="474"/>
        <v>0</v>
      </c>
      <c r="D878" s="9">
        <f t="shared" si="475"/>
        <v>0</v>
      </c>
      <c r="E878" s="9">
        <f t="shared" si="476"/>
        <v>0.27214860573176847</v>
      </c>
      <c r="F878" s="9">
        <f t="shared" si="477"/>
        <v>0.23638827599989395</v>
      </c>
      <c r="G878" s="9">
        <f t="shared" si="478"/>
        <v>0.24187234147713449</v>
      </c>
      <c r="H878" s="9">
        <f t="shared" si="479"/>
        <v>0</v>
      </c>
      <c r="I878" s="9">
        <f t="shared" si="480"/>
        <v>0.24959077679120326</v>
      </c>
      <c r="J878" s="9">
        <f t="shared" si="481"/>
        <v>0</v>
      </c>
      <c r="K878" s="9">
        <v>0</v>
      </c>
      <c r="L878" s="8">
        <f>+VLOOKUP($B878,NIFTY_50!$B$3:$I$1238,8,0)</f>
        <v>1.2706174810836135E-2</v>
      </c>
      <c r="M878" s="8">
        <f>+VLOOKUP($B878,NIFTY_BANK!$B$3:$I$41238,8,0)</f>
        <v>2.0614330801434599E-2</v>
      </c>
      <c r="N878" s="8">
        <f>+VLOOKUP($B878,NIFTY_IT!$B$3:$I$1238,8,0)</f>
        <v>8.6335270565474076E-4</v>
      </c>
      <c r="O878" s="8">
        <f>+VLOOKUP($B878,NIFTY_PHARMA!$B$3:$I$1238,8,0)</f>
        <v>-1.4634241018574357E-2</v>
      </c>
      <c r="P878" s="8">
        <f>+VLOOKUP($B878,NIFTY_FMCG!$B$3:$I$1238,8,0)</f>
        <v>-8.1207875990720879E-3</v>
      </c>
      <c r="Q878" s="8">
        <f>+VLOOKUP($B878,NIFTY_METAL!$B$3:$I$1238,8,0)</f>
        <v>5.9829059829059617E-3</v>
      </c>
      <c r="R878" s="8">
        <f>+VLOOKUP($B878,NIFTY_ENERGY!$B$3:$I$1238,8,0)</f>
        <v>3.4905597214783146E-2</v>
      </c>
      <c r="S878" s="8">
        <f>+VLOOKUP($B878,NIFTY_AUTO!$B$3:$I$1238,8,0)</f>
        <v>1.6708821951406438E-2</v>
      </c>
      <c r="T878" s="8">
        <v>0</v>
      </c>
      <c r="U878" s="8">
        <f>+VLOOKUP($B878,NIFTY_50!$B$63:$K$1238,10,0)</f>
        <v>0.19845070271314924</v>
      </c>
      <c r="V878" s="8">
        <f>+VLOOKUP($B878,NIFTY_BANK!$B$63:$K$1238,10,0)</f>
        <v>0.12404066518814183</v>
      </c>
      <c r="W878" s="8">
        <f>+VLOOKUP($B878,NIFTY_IT!$B$63:$K$1238,10,0)</f>
        <v>0.31573254520802552</v>
      </c>
      <c r="X878" s="8">
        <f>+VLOOKUP($B878,NIFTY_PHARMA!$B$63:$K$1238,10,0)</f>
        <v>8.1468542640777963E-2</v>
      </c>
      <c r="Y878" s="8">
        <f>+VLOOKUP($B878,NIFTY_FMCG!$B$63:$K$1238,10,0)</f>
        <v>8.6638586130530992E-2</v>
      </c>
      <c r="Z878" s="8">
        <f>+VLOOKUP($B878,NIFTY_METAL!$B$63:$K$1238,10,0)</f>
        <v>0.25009588434872398</v>
      </c>
      <c r="AA878" s="8">
        <f>+VLOOKUP($B878,NIFTY_ENERGY!$B$63:$K$1238,10,0)</f>
        <v>0.24268211308255672</v>
      </c>
      <c r="AB878" s="8">
        <f>+VLOOKUP($B878,NIFTY_AUTO!$B$63:$K$1238,10,0)</f>
        <v>0.33505649846745045</v>
      </c>
      <c r="AC878" s="8">
        <f>+VLOOKUP($B878,EBBETF0430!$B$63:$K$1238,10,0)</f>
        <v>-0.56851967876060838</v>
      </c>
      <c r="AD878" s="16">
        <f t="shared" si="482"/>
        <v>0.12016904140235074</v>
      </c>
      <c r="AE878" s="8">
        <f t="shared" si="483"/>
        <v>0.20538977383391857</v>
      </c>
      <c r="AF878" s="8">
        <f t="shared" si="484"/>
        <v>0.13762201623910714</v>
      </c>
      <c r="AG878" s="8">
        <f t="shared" si="485"/>
        <v>9.6262147585021204E-2</v>
      </c>
      <c r="AH878" s="8">
        <f t="shared" si="486"/>
        <v>8.5360729795901411E-2</v>
      </c>
      <c r="AI878" s="8">
        <f t="shared" si="487"/>
        <v>0.17750108702433076</v>
      </c>
      <c r="AJ878" s="8">
        <f t="shared" si="488"/>
        <v>0.12804451107976927</v>
      </c>
      <c r="AK878" s="8">
        <f t="shared" si="489"/>
        <v>0.15959861480146645</v>
      </c>
      <c r="AL878" s="9">
        <v>0</v>
      </c>
      <c r="AM878" s="17">
        <f t="shared" si="466"/>
        <v>8.3216108602530472</v>
      </c>
      <c r="AN878" s="13">
        <f t="shared" si="467"/>
        <v>4.8687915728882194</v>
      </c>
      <c r="AO878" s="13">
        <f t="shared" si="468"/>
        <v>7.2662792431596177</v>
      </c>
      <c r="AP878" s="13">
        <f t="shared" si="469"/>
        <v>10.388299296115061</v>
      </c>
      <c r="AQ878" s="13">
        <f t="shared" si="470"/>
        <v>11.714988875927054</v>
      </c>
      <c r="AR878" s="13">
        <f t="shared" si="471"/>
        <v>5.6337683152493945</v>
      </c>
      <c r="AS878" s="13">
        <f t="shared" si="472"/>
        <v>7.809784203690068</v>
      </c>
      <c r="AT878" s="13">
        <f t="shared" si="473"/>
        <v>6.2657185417552359</v>
      </c>
      <c r="AU878" s="9">
        <v>0</v>
      </c>
      <c r="AV878" s="18">
        <f t="shared" si="490"/>
        <v>3</v>
      </c>
      <c r="AW878" s="18">
        <f t="shared" si="491"/>
        <v>8</v>
      </c>
      <c r="AX878" s="18">
        <f t="shared" si="492"/>
        <v>5</v>
      </c>
      <c r="AY878" s="18">
        <f t="shared" si="493"/>
        <v>2</v>
      </c>
      <c r="AZ878" s="18">
        <f t="shared" si="494"/>
        <v>1</v>
      </c>
      <c r="BA878" s="18">
        <f t="shared" si="495"/>
        <v>7</v>
      </c>
      <c r="BB878" s="18">
        <f t="shared" si="496"/>
        <v>4</v>
      </c>
      <c r="BC878" s="18">
        <f t="shared" si="497"/>
        <v>6</v>
      </c>
      <c r="BD878" s="18">
        <f t="shared" si="498"/>
        <v>9</v>
      </c>
      <c r="BE878" s="8">
        <f t="shared" si="500"/>
        <v>3.1720426368389244E-3</v>
      </c>
    </row>
    <row r="879" spans="1:57" x14ac:dyDescent="0.25">
      <c r="A879" t="str">
        <f t="shared" si="499"/>
        <v/>
      </c>
      <c r="B879" s="1">
        <v>44034</v>
      </c>
      <c r="C879" s="9">
        <f t="shared" si="474"/>
        <v>0</v>
      </c>
      <c r="D879" s="9">
        <f t="shared" si="475"/>
        <v>0</v>
      </c>
      <c r="E879" s="9">
        <f t="shared" si="476"/>
        <v>0.26975220701908692</v>
      </c>
      <c r="F879" s="9">
        <f t="shared" si="477"/>
        <v>0.23751145465506474</v>
      </c>
      <c r="G879" s="9">
        <f t="shared" si="478"/>
        <v>0.2407377810814956</v>
      </c>
      <c r="H879" s="9">
        <f t="shared" si="479"/>
        <v>0</v>
      </c>
      <c r="I879" s="9">
        <f t="shared" si="480"/>
        <v>0.25199855724435283</v>
      </c>
      <c r="J879" s="9">
        <f t="shared" si="481"/>
        <v>0</v>
      </c>
      <c r="K879" s="9">
        <v>0</v>
      </c>
      <c r="L879" s="8">
        <f>+VLOOKUP($B879,NIFTY_50!$B$3:$I$1238,8,0)</f>
        <v>-2.6562744966291962E-3</v>
      </c>
      <c r="M879" s="8">
        <f>+VLOOKUP($B879,NIFTY_BANK!$B$3:$I$41238,8,0)</f>
        <v>4.4157668334650069E-3</v>
      </c>
      <c r="N879" s="8">
        <f>+VLOOKUP($B879,NIFTY_IT!$B$3:$I$1238,8,0)</f>
        <v>-1.141363499525283E-2</v>
      </c>
      <c r="O879" s="8">
        <f>+VLOOKUP($B879,NIFTY_PHARMA!$B$3:$I$1238,8,0)</f>
        <v>2.1075853375092102E-3</v>
      </c>
      <c r="P879" s="8">
        <f>+VLOOKUP($B879,NIFTY_FMCG!$B$3:$I$1238,8,0)</f>
        <v>-7.3097241869870544E-3</v>
      </c>
      <c r="Q879" s="8">
        <f>+VLOOKUP($B879,NIFTY_METAL!$B$3:$I$1238,8,0)</f>
        <v>-2.194845652789601E-3</v>
      </c>
      <c r="R879" s="8">
        <f>+VLOOKUP($B879,NIFTY_ENERGY!$B$3:$I$1238,8,0)</f>
        <v>6.9902020721532843E-3</v>
      </c>
      <c r="S879" s="8">
        <f>+VLOOKUP($B879,NIFTY_AUTO!$B$3:$I$1238,8,0)</f>
        <v>-1.2582667991638985E-2</v>
      </c>
      <c r="T879" s="8">
        <v>0</v>
      </c>
      <c r="U879" s="8">
        <f>+VLOOKUP($B879,NIFTY_50!$B$63:$K$1238,10,0)</f>
        <v>0.21609280783011453</v>
      </c>
      <c r="V879" s="8">
        <f>+VLOOKUP($B879,NIFTY_BANK!$B$63:$K$1238,10,0)</f>
        <v>0.16827533039085285</v>
      </c>
      <c r="W879" s="8">
        <f>+VLOOKUP($B879,NIFTY_IT!$B$63:$K$1238,10,0)</f>
        <v>0.33238011266990197</v>
      </c>
      <c r="X879" s="8">
        <f>+VLOOKUP($B879,NIFTY_PHARMA!$B$63:$K$1238,10,0)</f>
        <v>6.8997578387237413E-2</v>
      </c>
      <c r="Y879" s="8">
        <f>+VLOOKUP($B879,NIFTY_FMCG!$B$63:$K$1238,10,0)</f>
        <v>8.4328850740483352E-2</v>
      </c>
      <c r="Z879" s="8">
        <f>+VLOOKUP($B879,NIFTY_METAL!$B$63:$K$1238,10,0)</f>
        <v>0.28491976659372709</v>
      </c>
      <c r="AA879" s="8">
        <f>+VLOOKUP($B879,NIFTY_ENERGY!$B$63:$K$1238,10,0)</f>
        <v>0.24515231025214401</v>
      </c>
      <c r="AB879" s="8">
        <f>+VLOOKUP($B879,NIFTY_AUTO!$B$63:$K$1238,10,0)</f>
        <v>0.33970895904040166</v>
      </c>
      <c r="AC879" s="8">
        <f>+VLOOKUP($B879,EBBETF0430!$B$63:$K$1238,10,0)</f>
        <v>-0.83582979357627241</v>
      </c>
      <c r="AD879" s="16">
        <f t="shared" si="482"/>
        <v>0.1185811829284633</v>
      </c>
      <c r="AE879" s="8">
        <f t="shared" si="483"/>
        <v>0.20218386614753203</v>
      </c>
      <c r="AF879" s="8">
        <f t="shared" si="484"/>
        <v>0.13560086655023501</v>
      </c>
      <c r="AG879" s="8">
        <f t="shared" si="485"/>
        <v>9.544641620744479E-2</v>
      </c>
      <c r="AH879" s="8">
        <f t="shared" si="486"/>
        <v>8.5550221945869476E-2</v>
      </c>
      <c r="AI879" s="8">
        <f t="shared" si="487"/>
        <v>0.17444875936029194</v>
      </c>
      <c r="AJ879" s="8">
        <f t="shared" si="488"/>
        <v>0.12807996573896069</v>
      </c>
      <c r="AK879" s="8">
        <f t="shared" si="489"/>
        <v>0.15918375321552347</v>
      </c>
      <c r="AL879" s="9">
        <v>0</v>
      </c>
      <c r="AM879" s="17">
        <f t="shared" si="466"/>
        <v>8.433041190045067</v>
      </c>
      <c r="AN879" s="13">
        <f t="shared" si="467"/>
        <v>4.9459930658874018</v>
      </c>
      <c r="AO879" s="13">
        <f t="shared" si="468"/>
        <v>7.3745841412417352</v>
      </c>
      <c r="AP879" s="13">
        <f t="shared" si="469"/>
        <v>10.477082741656677</v>
      </c>
      <c r="AQ879" s="13">
        <f t="shared" si="470"/>
        <v>11.689040393521525</v>
      </c>
      <c r="AR879" s="13">
        <f t="shared" si="471"/>
        <v>5.7323422858782465</v>
      </c>
      <c r="AS879" s="13">
        <f t="shared" si="472"/>
        <v>7.8076223258686399</v>
      </c>
      <c r="AT879" s="13">
        <f t="shared" si="473"/>
        <v>6.2820481349379369</v>
      </c>
      <c r="AU879" s="9">
        <v>0</v>
      </c>
      <c r="AV879" s="18">
        <f t="shared" si="490"/>
        <v>3</v>
      </c>
      <c r="AW879" s="18">
        <f t="shared" si="491"/>
        <v>8</v>
      </c>
      <c r="AX879" s="18">
        <f t="shared" si="492"/>
        <v>5</v>
      </c>
      <c r="AY879" s="18">
        <f t="shared" si="493"/>
        <v>2</v>
      </c>
      <c r="AZ879" s="18">
        <f t="shared" si="494"/>
        <v>1</v>
      </c>
      <c r="BA879" s="18">
        <f t="shared" si="495"/>
        <v>7</v>
      </c>
      <c r="BB879" s="18">
        <f t="shared" si="496"/>
        <v>4</v>
      </c>
      <c r="BC879" s="18">
        <f t="shared" si="497"/>
        <v>6</v>
      </c>
      <c r="BD879" s="18">
        <f t="shared" si="498"/>
        <v>9</v>
      </c>
      <c r="BE879" s="8">
        <f t="shared" si="500"/>
        <v>-2.6313265253753056E-3</v>
      </c>
    </row>
    <row r="880" spans="1:57" x14ac:dyDescent="0.25">
      <c r="A880" t="str">
        <f t="shared" si="499"/>
        <v/>
      </c>
      <c r="B880" s="1">
        <v>44035</v>
      </c>
      <c r="C880" s="9">
        <f t="shared" si="474"/>
        <v>0</v>
      </c>
      <c r="D880" s="9">
        <f t="shared" si="475"/>
        <v>0</v>
      </c>
      <c r="E880" s="9">
        <f t="shared" si="476"/>
        <v>0.26734440507325585</v>
      </c>
      <c r="F880" s="9">
        <f t="shared" si="477"/>
        <v>0.23922313671199044</v>
      </c>
      <c r="G880" s="9">
        <f t="shared" si="478"/>
        <v>0.23940796790249647</v>
      </c>
      <c r="H880" s="9">
        <f t="shared" si="479"/>
        <v>0</v>
      </c>
      <c r="I880" s="9">
        <f t="shared" si="480"/>
        <v>0.25402449031225721</v>
      </c>
      <c r="J880" s="9">
        <f t="shared" si="481"/>
        <v>0</v>
      </c>
      <c r="K880" s="9">
        <v>0</v>
      </c>
      <c r="L880" s="8">
        <f>+VLOOKUP($B880,NIFTY_50!$B$3:$I$1238,8,0)</f>
        <v>7.4421069651293692E-3</v>
      </c>
      <c r="M880" s="8">
        <f>+VLOOKUP($B880,NIFTY_BANK!$B$3:$I$41238,8,0)</f>
        <v>8.7970772552070642E-3</v>
      </c>
      <c r="N880" s="8">
        <f>+VLOOKUP($B880,NIFTY_IT!$B$3:$I$1238,8,0)</f>
        <v>-1.8066238972126447E-3</v>
      </c>
      <c r="O880" s="8">
        <f>+VLOOKUP($B880,NIFTY_PHARMA!$B$3:$I$1238,8,0)</f>
        <v>1.4441976570485071E-2</v>
      </c>
      <c r="P880" s="8">
        <f>+VLOOKUP($B880,NIFTY_FMCG!$B$3:$I$1238,8,0)</f>
        <v>1.6198843215808889E-3</v>
      </c>
      <c r="Q880" s="8">
        <f>+VLOOKUP($B880,NIFTY_METAL!$B$3:$I$1238,8,0)</f>
        <v>8.2546890891459501E-3</v>
      </c>
      <c r="R880" s="8">
        <f>+VLOOKUP($B880,NIFTY_ENERGY!$B$3:$I$1238,8,0)</f>
        <v>1.5280686651162112E-2</v>
      </c>
      <c r="S880" s="8">
        <f>+VLOOKUP($B880,NIFTY_AUTO!$B$3:$I$1238,8,0)</f>
        <v>1.3478716537455249E-2</v>
      </c>
      <c r="T880" s="8">
        <v>0</v>
      </c>
      <c r="U880" s="8">
        <f>+VLOOKUP($B880,NIFTY_50!$B$63:$K$1238,10,0)</f>
        <v>0.20826196093640603</v>
      </c>
      <c r="V880" s="8">
        <f>+VLOOKUP($B880,NIFTY_BANK!$B$63:$K$1238,10,0)</f>
        <v>0.14953077886475619</v>
      </c>
      <c r="W880" s="8">
        <f>+VLOOKUP($B880,NIFTY_IT!$B$63:$K$1238,10,0)</f>
        <v>0.29906296323111925</v>
      </c>
      <c r="X880" s="8">
        <f>+VLOOKUP($B880,NIFTY_PHARMA!$B$63:$K$1238,10,0)</f>
        <v>7.4994402237022362E-2</v>
      </c>
      <c r="Y880" s="8">
        <f>+VLOOKUP($B880,NIFTY_FMCG!$B$63:$K$1238,10,0)</f>
        <v>7.0539419087136901E-2</v>
      </c>
      <c r="Z880" s="8">
        <f>+VLOOKUP($B880,NIFTY_METAL!$B$63:$K$1238,10,0)</f>
        <v>0.27889115564622591</v>
      </c>
      <c r="AA880" s="8">
        <f>+VLOOKUP($B880,NIFTY_ENERGY!$B$63:$K$1238,10,0)</f>
        <v>0.25602549684269915</v>
      </c>
      <c r="AB880" s="8">
        <f>+VLOOKUP($B880,NIFTY_AUTO!$B$63:$K$1238,10,0)</f>
        <v>0.34378451004932642</v>
      </c>
      <c r="AC880" s="8">
        <f>+VLOOKUP($B880,EBBETF0430!$B$63:$K$1238,10,0)</f>
        <v>-0.38653565263577216</v>
      </c>
      <c r="AD880" s="16">
        <f t="shared" si="482"/>
        <v>0.11817128011641673</v>
      </c>
      <c r="AE880" s="8">
        <f t="shared" si="483"/>
        <v>0.20101986776422753</v>
      </c>
      <c r="AF880" s="8">
        <f t="shared" si="484"/>
        <v>0.13439889635714511</v>
      </c>
      <c r="AG880" s="8">
        <f t="shared" si="485"/>
        <v>9.60609007679111E-2</v>
      </c>
      <c r="AH880" s="8">
        <f t="shared" si="486"/>
        <v>8.4520296367353212E-2</v>
      </c>
      <c r="AI880" s="8">
        <f t="shared" si="487"/>
        <v>0.17427697823135274</v>
      </c>
      <c r="AJ880" s="8">
        <f t="shared" si="488"/>
        <v>0.12856483470201505</v>
      </c>
      <c r="AK880" s="8">
        <f t="shared" si="489"/>
        <v>0.15931696892870778</v>
      </c>
      <c r="AL880" s="9">
        <v>0</v>
      </c>
      <c r="AM880" s="17">
        <f t="shared" si="466"/>
        <v>8.4622930293625274</v>
      </c>
      <c r="AN880" s="13">
        <f t="shared" si="467"/>
        <v>4.9746326625429953</v>
      </c>
      <c r="AO880" s="13">
        <f t="shared" si="468"/>
        <v>7.4405372894033928</v>
      </c>
      <c r="AP880" s="13">
        <f t="shared" si="469"/>
        <v>10.410062699870576</v>
      </c>
      <c r="AQ880" s="13">
        <f t="shared" si="470"/>
        <v>11.831477680268284</v>
      </c>
      <c r="AR880" s="13">
        <f t="shared" si="471"/>
        <v>5.7379925343466747</v>
      </c>
      <c r="AS880" s="13">
        <f t="shared" si="472"/>
        <v>7.7781766866326985</v>
      </c>
      <c r="AT880" s="13">
        <f t="shared" si="473"/>
        <v>6.2767952888150083</v>
      </c>
      <c r="AU880" s="9">
        <v>0</v>
      </c>
      <c r="AV880" s="18">
        <f t="shared" si="490"/>
        <v>3</v>
      </c>
      <c r="AW880" s="18">
        <f t="shared" si="491"/>
        <v>8</v>
      </c>
      <c r="AX880" s="18">
        <f t="shared" si="492"/>
        <v>5</v>
      </c>
      <c r="AY880" s="18">
        <f t="shared" si="493"/>
        <v>2</v>
      </c>
      <c r="AZ880" s="18">
        <f t="shared" si="494"/>
        <v>1</v>
      </c>
      <c r="BA880" s="18">
        <f t="shared" si="495"/>
        <v>7</v>
      </c>
      <c r="BB880" s="18">
        <f t="shared" si="496"/>
        <v>4</v>
      </c>
      <c r="BC880" s="18">
        <f t="shared" si="497"/>
        <v>6</v>
      </c>
      <c r="BD880" s="18">
        <f t="shared" si="498"/>
        <v>9</v>
      </c>
      <c r="BE880" s="8">
        <f t="shared" si="500"/>
        <v>7.1834724268057173E-3</v>
      </c>
    </row>
    <row r="881" spans="1:57" x14ac:dyDescent="0.25">
      <c r="A881" t="str">
        <f t="shared" si="499"/>
        <v/>
      </c>
      <c r="B881" s="1">
        <v>44036</v>
      </c>
      <c r="C881" s="9">
        <f t="shared" si="474"/>
        <v>0</v>
      </c>
      <c r="D881" s="9">
        <f t="shared" si="475"/>
        <v>0</v>
      </c>
      <c r="E881" s="9">
        <f t="shared" si="476"/>
        <v>0.27039800929235114</v>
      </c>
      <c r="F881" s="9">
        <f t="shared" si="477"/>
        <v>0.23663882590335666</v>
      </c>
      <c r="G881" s="9">
        <f t="shared" si="478"/>
        <v>0.23813177837110375</v>
      </c>
      <c r="H881" s="9">
        <f t="shared" si="479"/>
        <v>0</v>
      </c>
      <c r="I881" s="9">
        <f t="shared" si="480"/>
        <v>0.25483138643318837</v>
      </c>
      <c r="J881" s="9">
        <f t="shared" si="481"/>
        <v>0</v>
      </c>
      <c r="K881" s="9">
        <v>0</v>
      </c>
      <c r="L881" s="8">
        <f>+VLOOKUP($B881,NIFTY_50!$B$3:$I$1238,8,0)</f>
        <v>-1.8991658827778313E-3</v>
      </c>
      <c r="M881" s="8">
        <f>+VLOOKUP($B881,NIFTY_BANK!$B$3:$I$41238,8,0)</f>
        <v>-1.8274641633346245E-2</v>
      </c>
      <c r="N881" s="8">
        <f>+VLOOKUP($B881,NIFTY_IT!$B$3:$I$1238,8,0)</f>
        <v>1.412714429868811E-2</v>
      </c>
      <c r="O881" s="8">
        <f>+VLOOKUP($B881,NIFTY_PHARMA!$B$3:$I$1238,8,0)</f>
        <v>-8.1572153088260713E-3</v>
      </c>
      <c r="P881" s="8">
        <f>+VLOOKUP($B881,NIFTY_FMCG!$B$3:$I$1238,8,0)</f>
        <v>-2.6702548718889885E-3</v>
      </c>
      <c r="Q881" s="8">
        <f>+VLOOKUP($B881,NIFTY_METAL!$B$3:$I$1238,8,0)</f>
        <v>-2.0596790841700297E-2</v>
      </c>
      <c r="R881" s="8">
        <f>+VLOOKUP($B881,NIFTY_ENERGY!$B$3:$I$1238,8,0)</f>
        <v>5.8595542056223415E-3</v>
      </c>
      <c r="S881" s="8">
        <f>+VLOOKUP($B881,NIFTY_AUTO!$B$3:$I$1238,8,0)</f>
        <v>-1.1286047897220319E-2</v>
      </c>
      <c r="T881" s="8">
        <v>0</v>
      </c>
      <c r="U881" s="8">
        <f>+VLOOKUP($B881,NIFTY_50!$B$63:$K$1238,10,0)</f>
        <v>0.19329168843074762</v>
      </c>
      <c r="V881" s="8">
        <f>+VLOOKUP($B881,NIFTY_BANK!$B$63:$K$1238,10,0)</f>
        <v>9.6315629066668018E-2</v>
      </c>
      <c r="W881" s="8">
        <f>+VLOOKUP($B881,NIFTY_IT!$B$63:$K$1238,10,0)</f>
        <v>0.31616115855074556</v>
      </c>
      <c r="X881" s="8">
        <f>+VLOOKUP($B881,NIFTY_PHARMA!$B$63:$K$1238,10,0)</f>
        <v>9.0744923398180299E-2</v>
      </c>
      <c r="Y881" s="8">
        <f>+VLOOKUP($B881,NIFTY_FMCG!$B$63:$K$1238,10,0)</f>
        <v>7.7861155077723732E-2</v>
      </c>
      <c r="Z881" s="8">
        <f>+VLOOKUP($B881,NIFTY_METAL!$B$63:$K$1238,10,0)</f>
        <v>0.25628140703517577</v>
      </c>
      <c r="AA881" s="8">
        <f>+VLOOKUP($B881,NIFTY_ENERGY!$B$63:$K$1238,10,0)</f>
        <v>0.26683376236282341</v>
      </c>
      <c r="AB881" s="8">
        <f>+VLOOKUP($B881,NIFTY_AUTO!$B$63:$K$1238,10,0)</f>
        <v>0.32522810302729876</v>
      </c>
      <c r="AC881" s="8">
        <f>+VLOOKUP($B881,EBBETF0430!$B$63:$K$1238,10,0)</f>
        <v>0.92066704444264547</v>
      </c>
      <c r="AD881" s="16">
        <f t="shared" si="482"/>
        <v>0.11803954919063459</v>
      </c>
      <c r="AE881" s="8">
        <f t="shared" si="483"/>
        <v>0.20023108576032808</v>
      </c>
      <c r="AF881" s="8">
        <f t="shared" si="484"/>
        <v>0.13469131546276597</v>
      </c>
      <c r="AG881" s="8">
        <f t="shared" si="485"/>
        <v>9.3538273088678237E-2</v>
      </c>
      <c r="AH881" s="8">
        <f t="shared" si="486"/>
        <v>8.3933946210549421E-2</v>
      </c>
      <c r="AI881" s="8">
        <f t="shared" si="487"/>
        <v>0.17588070297803879</v>
      </c>
      <c r="AJ881" s="8">
        <f t="shared" si="488"/>
        <v>0.12840582797060801</v>
      </c>
      <c r="AK881" s="8">
        <f t="shared" si="489"/>
        <v>0.16012443057021986</v>
      </c>
      <c r="AL881" s="9">
        <v>0</v>
      </c>
      <c r="AM881" s="17">
        <f t="shared" si="466"/>
        <v>8.471736861558103</v>
      </c>
      <c r="AN881" s="13">
        <f t="shared" si="467"/>
        <v>4.9942295233666991</v>
      </c>
      <c r="AO881" s="13">
        <f t="shared" si="468"/>
        <v>7.4243836476334639</v>
      </c>
      <c r="AP881" s="13">
        <f t="shared" si="469"/>
        <v>10.690811012214837</v>
      </c>
      <c r="AQ881" s="13">
        <f t="shared" si="470"/>
        <v>11.914130636625694</v>
      </c>
      <c r="AR881" s="13">
        <f t="shared" si="471"/>
        <v>5.6856720667352816</v>
      </c>
      <c r="AS881" s="13">
        <f t="shared" si="472"/>
        <v>7.7878085115334423</v>
      </c>
      <c r="AT881" s="13">
        <f t="shared" si="473"/>
        <v>6.245143207934575</v>
      </c>
      <c r="AU881" s="9">
        <v>0</v>
      </c>
      <c r="AV881" s="18">
        <f t="shared" si="490"/>
        <v>3</v>
      </c>
      <c r="AW881" s="18">
        <f t="shared" si="491"/>
        <v>8</v>
      </c>
      <c r="AX881" s="18">
        <f t="shared" si="492"/>
        <v>5</v>
      </c>
      <c r="AY881" s="18">
        <f t="shared" si="493"/>
        <v>2</v>
      </c>
      <c r="AZ881" s="18">
        <f t="shared" si="494"/>
        <v>1</v>
      </c>
      <c r="BA881" s="18">
        <f t="shared" si="495"/>
        <v>7</v>
      </c>
      <c r="BB881" s="18">
        <f t="shared" si="496"/>
        <v>4</v>
      </c>
      <c r="BC881" s="18">
        <f t="shared" si="497"/>
        <v>6</v>
      </c>
      <c r="BD881" s="18">
        <f t="shared" si="498"/>
        <v>9</v>
      </c>
      <c r="BE881" s="8">
        <f t="shared" si="500"/>
        <v>2.6746083327839451E-3</v>
      </c>
    </row>
    <row r="882" spans="1:57" x14ac:dyDescent="0.25">
      <c r="A882" t="str">
        <f t="shared" si="499"/>
        <v/>
      </c>
      <c r="B882" s="1">
        <v>44039</v>
      </c>
      <c r="C882" s="9">
        <f t="shared" si="474"/>
        <v>0</v>
      </c>
      <c r="D882" s="9">
        <f t="shared" si="475"/>
        <v>0</v>
      </c>
      <c r="E882" s="9">
        <f t="shared" si="476"/>
        <v>0.27576920009812333</v>
      </c>
      <c r="F882" s="9">
        <f t="shared" si="477"/>
        <v>0.23260765438748013</v>
      </c>
      <c r="G882" s="9">
        <f t="shared" si="478"/>
        <v>0.23663844746396079</v>
      </c>
      <c r="H882" s="9">
        <f t="shared" si="479"/>
        <v>0</v>
      </c>
      <c r="I882" s="9">
        <f t="shared" si="480"/>
        <v>0.25498469805043578</v>
      </c>
      <c r="J882" s="9">
        <f t="shared" si="481"/>
        <v>0</v>
      </c>
      <c r="K882" s="9">
        <v>0</v>
      </c>
      <c r="L882" s="8">
        <f>+VLOOKUP($B882,NIFTY_50!$B$3:$I$1238,8,0)</f>
        <v>-5.5698735500239183E-3</v>
      </c>
      <c r="M882" s="8">
        <f>+VLOOKUP($B882,NIFTY_BANK!$B$3:$I$41238,8,0)</f>
        <v>-3.5888191933209912E-2</v>
      </c>
      <c r="N882" s="8">
        <f>+VLOOKUP($B882,NIFTY_IT!$B$3:$I$1238,8,0)</f>
        <v>1.9712484091171989E-2</v>
      </c>
      <c r="O882" s="8">
        <f>+VLOOKUP($B882,NIFTY_PHARMA!$B$3:$I$1238,8,0)</f>
        <v>-1.7181173965491237E-2</v>
      </c>
      <c r="P882" s="8">
        <f>+VLOOKUP($B882,NIFTY_FMCG!$B$3:$I$1238,8,0)</f>
        <v>-6.4186776750265739E-3</v>
      </c>
      <c r="Q882" s="8">
        <f>+VLOOKUP($B882,NIFTY_METAL!$B$3:$I$1238,8,0)</f>
        <v>3.3053892215568759E-3</v>
      </c>
      <c r="R882" s="8">
        <f>+VLOOKUP($B882,NIFTY_ENERGY!$B$3:$I$1238,8,0)</f>
        <v>4.5294841106313655E-4</v>
      </c>
      <c r="S882" s="8">
        <f>+VLOOKUP($B882,NIFTY_AUTO!$B$3:$I$1238,8,0)</f>
        <v>-4.4606678534074851E-3</v>
      </c>
      <c r="T882" s="8">
        <v>0</v>
      </c>
      <c r="U882" s="8">
        <f>+VLOOKUP($B882,NIFTY_50!$B$63:$K$1238,10,0)</f>
        <v>0.16522476408799003</v>
      </c>
      <c r="V882" s="8">
        <f>+VLOOKUP($B882,NIFTY_BANK!$B$63:$K$1238,10,0)</f>
        <v>3.5966941992015222E-2</v>
      </c>
      <c r="W882" s="8">
        <f>+VLOOKUP($B882,NIFTY_IT!$B$63:$K$1238,10,0)</f>
        <v>0.312984405900953</v>
      </c>
      <c r="X882" s="8">
        <f>+VLOOKUP($B882,NIFTY_PHARMA!$B$63:$K$1238,10,0)</f>
        <v>7.209031000111854E-2</v>
      </c>
      <c r="Y882" s="8">
        <f>+VLOOKUP($B882,NIFTY_FMCG!$B$63:$K$1238,10,0)</f>
        <v>7.5170068027210935E-2</v>
      </c>
      <c r="Z882" s="8">
        <f>+VLOOKUP($B882,NIFTY_METAL!$B$63:$K$1238,10,0)</f>
        <v>0.21499013806706113</v>
      </c>
      <c r="AA882" s="8">
        <f>+VLOOKUP($B882,NIFTY_ENERGY!$B$63:$K$1238,10,0)</f>
        <v>0.2609909170561906</v>
      </c>
      <c r="AB882" s="8">
        <f>+VLOOKUP($B882,NIFTY_AUTO!$B$63:$K$1238,10,0)</f>
        <v>0.29631567080045085</v>
      </c>
      <c r="AC882" s="8">
        <f>+VLOOKUP($B882,EBBETF0430!$B$63:$K$1238,10,0)</f>
        <v>-0.84598084411224994</v>
      </c>
      <c r="AD882" s="16">
        <f t="shared" si="482"/>
        <v>0.11730950874832188</v>
      </c>
      <c r="AE882" s="8">
        <f t="shared" si="483"/>
        <v>0.20279150984929223</v>
      </c>
      <c r="AF882" s="8">
        <f t="shared" si="484"/>
        <v>0.13439232417410454</v>
      </c>
      <c r="AG882" s="8">
        <f t="shared" si="485"/>
        <v>9.5346611251288946E-2</v>
      </c>
      <c r="AH882" s="8">
        <f t="shared" si="486"/>
        <v>8.4124618287352779E-2</v>
      </c>
      <c r="AI882" s="8">
        <f t="shared" si="487"/>
        <v>0.17262617587755105</v>
      </c>
      <c r="AJ882" s="8">
        <f t="shared" si="488"/>
        <v>0.12844953678972496</v>
      </c>
      <c r="AK882" s="8">
        <f t="shared" si="489"/>
        <v>0.15984892122609498</v>
      </c>
      <c r="AL882" s="9">
        <v>0</v>
      </c>
      <c r="AM882" s="17">
        <f t="shared" si="466"/>
        <v>8.5244581677127265</v>
      </c>
      <c r="AN882" s="13">
        <f t="shared" si="467"/>
        <v>4.931172911248435</v>
      </c>
      <c r="AO882" s="13">
        <f t="shared" si="468"/>
        <v>7.4409011537333436</v>
      </c>
      <c r="AP882" s="13">
        <f t="shared" si="469"/>
        <v>10.488049725904458</v>
      </c>
      <c r="AQ882" s="13">
        <f t="shared" si="470"/>
        <v>11.887126745517003</v>
      </c>
      <c r="AR882" s="13">
        <f t="shared" si="471"/>
        <v>5.7928642334597633</v>
      </c>
      <c r="AS882" s="13">
        <f t="shared" si="472"/>
        <v>7.7851584754020919</v>
      </c>
      <c r="AT882" s="13">
        <f t="shared" si="473"/>
        <v>6.2559070923323334</v>
      </c>
      <c r="AU882" s="9">
        <v>0</v>
      </c>
      <c r="AV882" s="18">
        <f t="shared" si="490"/>
        <v>3</v>
      </c>
      <c r="AW882" s="18">
        <f t="shared" si="491"/>
        <v>8</v>
      </c>
      <c r="AX882" s="18">
        <f t="shared" si="492"/>
        <v>5</v>
      </c>
      <c r="AY882" s="18">
        <f t="shared" si="493"/>
        <v>2</v>
      </c>
      <c r="AZ882" s="18">
        <f t="shared" si="494"/>
        <v>1</v>
      </c>
      <c r="BA882" s="18">
        <f t="shared" si="495"/>
        <v>7</v>
      </c>
      <c r="BB882" s="18">
        <f t="shared" si="496"/>
        <v>4</v>
      </c>
      <c r="BC882" s="18">
        <f t="shared" si="497"/>
        <v>6</v>
      </c>
      <c r="BD882" s="18">
        <f t="shared" si="498"/>
        <v>9</v>
      </c>
      <c r="BE882" s="8">
        <f t="shared" si="500"/>
        <v>-1.4858203634616793E-4</v>
      </c>
    </row>
    <row r="883" spans="1:57" x14ac:dyDescent="0.25">
      <c r="A883" t="str">
        <f t="shared" si="499"/>
        <v/>
      </c>
      <c r="B883" s="1">
        <v>44040</v>
      </c>
      <c r="C883" s="9">
        <f t="shared" si="474"/>
        <v>0</v>
      </c>
      <c r="D883" s="9">
        <f t="shared" si="475"/>
        <v>0</v>
      </c>
      <c r="E883" s="9">
        <f t="shared" si="476"/>
        <v>0.27939424467135815</v>
      </c>
      <c r="F883" s="9">
        <f t="shared" si="477"/>
        <v>0.23174190740161438</v>
      </c>
      <c r="G883" s="9">
        <f t="shared" si="478"/>
        <v>0.23491408424502605</v>
      </c>
      <c r="H883" s="9">
        <f t="shared" si="479"/>
        <v>0</v>
      </c>
      <c r="I883" s="9">
        <f t="shared" si="480"/>
        <v>0.25394976368200145</v>
      </c>
      <c r="J883" s="9">
        <f t="shared" si="481"/>
        <v>0</v>
      </c>
      <c r="K883" s="9">
        <v>0</v>
      </c>
      <c r="L883" s="8">
        <f>+VLOOKUP($B883,NIFTY_50!$B$3:$I$1238,8,0)</f>
        <v>1.5159273432868048E-2</v>
      </c>
      <c r="M883" s="8">
        <f>+VLOOKUP($B883,NIFTY_BANK!$B$3:$I$41238,8,0)</f>
        <v>1.1737513587733783E-2</v>
      </c>
      <c r="N883" s="8">
        <f>+VLOOKUP($B883,NIFTY_IT!$B$3:$I$1238,8,0)</f>
        <v>2.3600493568014524E-2</v>
      </c>
      <c r="O883" s="8">
        <f>+VLOOKUP($B883,NIFTY_PHARMA!$B$3:$I$1238,8,0)</f>
        <v>6.5592995463150672E-3</v>
      </c>
      <c r="P883" s="8">
        <f>+VLOOKUP($B883,NIFTY_FMCG!$B$3:$I$1238,8,0)</f>
        <v>2.9575191232895648E-3</v>
      </c>
      <c r="Q883" s="8">
        <f>+VLOOKUP($B883,NIFTY_METAL!$B$3:$I$1238,8,0)</f>
        <v>2.2393048128342308E-2</v>
      </c>
      <c r="R883" s="8">
        <f>+VLOOKUP($B883,NIFTY_ENERGY!$B$3:$I$1238,8,0)</f>
        <v>6.2189328462152194E-3</v>
      </c>
      <c r="S883" s="8">
        <f>+VLOOKUP($B883,NIFTY_AUTO!$B$3:$I$1238,8,0)</f>
        <v>3.2067293308935652E-2</v>
      </c>
      <c r="T883" s="8">
        <v>0</v>
      </c>
      <c r="U883" s="8">
        <f>+VLOOKUP($B883,NIFTY_50!$B$63:$K$1238,10,0)</f>
        <v>0.14611202953376812</v>
      </c>
      <c r="V883" s="8">
        <f>+VLOOKUP($B883,NIFTY_BANK!$B$63:$K$1238,10,0)</f>
        <v>2.6501660126773352E-2</v>
      </c>
      <c r="W883" s="8">
        <f>+VLOOKUP($B883,NIFTY_IT!$B$63:$K$1238,10,0)</f>
        <v>0.27886578208726709</v>
      </c>
      <c r="X883" s="8">
        <f>+VLOOKUP($B883,NIFTY_PHARMA!$B$63:$K$1238,10,0)</f>
        <v>8.5873422607241068E-2</v>
      </c>
      <c r="Y883" s="8">
        <f>+VLOOKUP($B883,NIFTY_FMCG!$B$63:$K$1238,10,0)</f>
        <v>7.8188166435873896E-2</v>
      </c>
      <c r="Z883" s="8">
        <f>+VLOOKUP($B883,NIFTY_METAL!$B$63:$K$1238,10,0)</f>
        <v>0.15129845690628541</v>
      </c>
      <c r="AA883" s="8">
        <f>+VLOOKUP($B883,NIFTY_ENERGY!$B$63:$K$1238,10,0)</f>
        <v>0.21644355249454561</v>
      </c>
      <c r="AB883" s="8">
        <f>+VLOOKUP($B883,NIFTY_AUTO!$B$63:$K$1238,10,0)</f>
        <v>0.25680347036296469</v>
      </c>
      <c r="AC883" s="8">
        <f>+VLOOKUP($B883,EBBETF0430!$B$63:$K$1238,10,0)</f>
        <v>-0.80999139467699299</v>
      </c>
      <c r="AD883" s="16">
        <f t="shared" si="482"/>
        <v>0.11421824772412328</v>
      </c>
      <c r="AE883" s="8">
        <f t="shared" si="483"/>
        <v>0.20207447616509805</v>
      </c>
      <c r="AF883" s="8">
        <f t="shared" si="484"/>
        <v>0.12754106935632986</v>
      </c>
      <c r="AG883" s="8">
        <f t="shared" si="485"/>
        <v>9.5192452458448887E-2</v>
      </c>
      <c r="AH883" s="8">
        <f t="shared" si="486"/>
        <v>8.4134086991951268E-2</v>
      </c>
      <c r="AI883" s="8">
        <f t="shared" si="487"/>
        <v>0.156219531300829</v>
      </c>
      <c r="AJ883" s="8">
        <f t="shared" si="488"/>
        <v>0.12227639143838274</v>
      </c>
      <c r="AK883" s="8">
        <f t="shared" si="489"/>
        <v>0.15063535770820596</v>
      </c>
      <c r="AL883" s="9">
        <v>0</v>
      </c>
      <c r="AM883" s="17">
        <f t="shared" si="466"/>
        <v>8.7551684597311201</v>
      </c>
      <c r="AN883" s="13">
        <f t="shared" si="467"/>
        <v>4.9486705049428616</v>
      </c>
      <c r="AO883" s="13">
        <f t="shared" si="468"/>
        <v>7.8406116950937266</v>
      </c>
      <c r="AP883" s="13">
        <f t="shared" si="469"/>
        <v>10.505034529250057</v>
      </c>
      <c r="AQ883" s="13">
        <f t="shared" si="470"/>
        <v>11.885788932322585</v>
      </c>
      <c r="AR883" s="13">
        <f t="shared" si="471"/>
        <v>6.4012482413246969</v>
      </c>
      <c r="AS883" s="13">
        <f t="shared" si="472"/>
        <v>8.1781935845229601</v>
      </c>
      <c r="AT883" s="13">
        <f t="shared" si="473"/>
        <v>6.6385476505263039</v>
      </c>
      <c r="AU883" s="9">
        <v>0</v>
      </c>
      <c r="AV883" s="18">
        <f t="shared" si="490"/>
        <v>3</v>
      </c>
      <c r="AW883" s="18">
        <f t="shared" si="491"/>
        <v>8</v>
      </c>
      <c r="AX883" s="18">
        <f t="shared" si="492"/>
        <v>5</v>
      </c>
      <c r="AY883" s="18">
        <f t="shared" si="493"/>
        <v>2</v>
      </c>
      <c r="AZ883" s="18">
        <f t="shared" si="494"/>
        <v>1</v>
      </c>
      <c r="BA883" s="18">
        <f t="shared" si="495"/>
        <v>7</v>
      </c>
      <c r="BB883" s="18">
        <f t="shared" si="496"/>
        <v>4</v>
      </c>
      <c r="BC883" s="18">
        <f t="shared" si="497"/>
        <v>6</v>
      </c>
      <c r="BD883" s="18">
        <f t="shared" si="498"/>
        <v>9</v>
      </c>
      <c r="BE883" s="8">
        <f t="shared" si="500"/>
        <v>1.0319627962733821E-2</v>
      </c>
    </row>
    <row r="884" spans="1:57" x14ac:dyDescent="0.25">
      <c r="A884" t="str">
        <f t="shared" si="499"/>
        <v/>
      </c>
      <c r="B884" s="1">
        <v>44041</v>
      </c>
      <c r="C884" s="9">
        <f t="shared" si="474"/>
        <v>0</v>
      </c>
      <c r="D884" s="9">
        <f t="shared" si="475"/>
        <v>0</v>
      </c>
      <c r="E884" s="9">
        <f t="shared" si="476"/>
        <v>0.27667665996776736</v>
      </c>
      <c r="F884" s="9">
        <f t="shared" si="477"/>
        <v>0.23872902076432334</v>
      </c>
      <c r="G884" s="9">
        <f t="shared" si="478"/>
        <v>0.23502558983004185</v>
      </c>
      <c r="H884" s="9">
        <f t="shared" si="479"/>
        <v>0</v>
      </c>
      <c r="I884" s="9">
        <f t="shared" si="480"/>
        <v>0.24956872943786754</v>
      </c>
      <c r="J884" s="9">
        <f t="shared" si="481"/>
        <v>0</v>
      </c>
      <c r="K884" s="9">
        <v>0</v>
      </c>
      <c r="L884" s="8">
        <f>+VLOOKUP($B884,NIFTY_50!$B$3:$I$1238,8,0)</f>
        <v>-8.6455968957261931E-3</v>
      </c>
      <c r="M884" s="8">
        <f>+VLOOKUP($B884,NIFTY_BANK!$B$3:$I$41238,8,0)</f>
        <v>-1.2938132204187713E-3</v>
      </c>
      <c r="N884" s="8">
        <f>+VLOOKUP($B884,NIFTY_IT!$B$3:$I$1238,8,0)</f>
        <v>-8.9925316262764454E-3</v>
      </c>
      <c r="O884" s="8">
        <f>+VLOOKUP($B884,NIFTY_PHARMA!$B$3:$I$1238,8,0)</f>
        <v>3.0914144381198883E-2</v>
      </c>
      <c r="P884" s="8">
        <f>+VLOOKUP($B884,NIFTY_FMCG!$B$3:$I$1238,8,0)</f>
        <v>1.2163993930942585E-3</v>
      </c>
      <c r="Q884" s="8">
        <f>+VLOOKUP($B884,NIFTY_METAL!$B$3:$I$1238,8,0)</f>
        <v>9.0832671741465365E-3</v>
      </c>
      <c r="R884" s="8">
        <f>+VLOOKUP($B884,NIFTY_ENERGY!$B$3:$I$1238,8,0)</f>
        <v>-1.6522986261049533E-2</v>
      </c>
      <c r="S884" s="8">
        <f>+VLOOKUP($B884,NIFTY_AUTO!$B$3:$I$1238,8,0)</f>
        <v>-1.1682778519327419E-2</v>
      </c>
      <c r="T884" s="8">
        <v>0</v>
      </c>
      <c r="U884" s="8">
        <f>+VLOOKUP($B884,NIFTY_50!$B$63:$K$1238,10,0)</f>
        <v>0.20545004573088721</v>
      </c>
      <c r="V884" s="8">
        <f>+VLOOKUP($B884,NIFTY_BANK!$B$63:$K$1238,10,0)</f>
        <v>0.11815637860082306</v>
      </c>
      <c r="W884" s="8">
        <f>+VLOOKUP($B884,NIFTY_IT!$B$63:$K$1238,10,0)</f>
        <v>0.32898526487912738</v>
      </c>
      <c r="X884" s="8">
        <f>+VLOOKUP($B884,NIFTY_PHARMA!$B$63:$K$1238,10,0)</f>
        <v>0.11495952843687918</v>
      </c>
      <c r="Y884" s="8">
        <f>+VLOOKUP($B884,NIFTY_FMCG!$B$63:$K$1238,10,0)</f>
        <v>0.12136309286568348</v>
      </c>
      <c r="Z884" s="8">
        <f>+VLOOKUP($B884,NIFTY_METAL!$B$63:$K$1238,10,0)</f>
        <v>0.26079472517213209</v>
      </c>
      <c r="AA884" s="8">
        <f>+VLOOKUP($B884,NIFTY_ENERGY!$B$63:$K$1238,10,0)</f>
        <v>0.2365822899191854</v>
      </c>
      <c r="AB884" s="8">
        <f>+VLOOKUP($B884,NIFTY_AUTO!$B$63:$K$1238,10,0)</f>
        <v>0.33856506336510717</v>
      </c>
      <c r="AC884" s="8">
        <f>+VLOOKUP($B884,EBBETF0430!$B$63:$K$1238,10,0)</f>
        <v>-0.86886085097413357</v>
      </c>
      <c r="AD884" s="16">
        <f t="shared" si="482"/>
        <v>9.7737502056065642E-2</v>
      </c>
      <c r="AE884" s="8">
        <f t="shared" si="483"/>
        <v>0.18353540405841887</v>
      </c>
      <c r="AF884" s="8">
        <f t="shared" si="484"/>
        <v>0.1177409711894955</v>
      </c>
      <c r="AG884" s="8">
        <f t="shared" si="485"/>
        <v>9.9562040493206994E-2</v>
      </c>
      <c r="AH884" s="8">
        <f t="shared" si="486"/>
        <v>7.4580480551140013E-2</v>
      </c>
      <c r="AI884" s="8">
        <f t="shared" si="487"/>
        <v>0.13322843699187195</v>
      </c>
      <c r="AJ884" s="8">
        <f t="shared" si="488"/>
        <v>0.11855170983232692</v>
      </c>
      <c r="AK884" s="8">
        <f t="shared" si="489"/>
        <v>0.13076877821515429</v>
      </c>
      <c r="AL884" s="9">
        <v>0</v>
      </c>
      <c r="AM884" s="17">
        <f t="shared" si="466"/>
        <v>10.231487187245333</v>
      </c>
      <c r="AN884" s="13">
        <f t="shared" si="467"/>
        <v>5.4485400521509328</v>
      </c>
      <c r="AO884" s="13">
        <f t="shared" si="468"/>
        <v>8.4932202435341981</v>
      </c>
      <c r="AP884" s="13">
        <f t="shared" si="469"/>
        <v>10.043988602947817</v>
      </c>
      <c r="AQ884" s="13">
        <f t="shared" si="470"/>
        <v>13.408334092380883</v>
      </c>
      <c r="AR884" s="13">
        <f t="shared" si="471"/>
        <v>7.5059050648549483</v>
      </c>
      <c r="AS884" s="13">
        <f t="shared" si="472"/>
        <v>8.435137725253778</v>
      </c>
      <c r="AT884" s="13">
        <f t="shared" si="473"/>
        <v>7.6470852878559192</v>
      </c>
      <c r="AU884" s="9">
        <v>0</v>
      </c>
      <c r="AV884" s="18">
        <f t="shared" si="490"/>
        <v>2</v>
      </c>
      <c r="AW884" s="18">
        <f t="shared" si="491"/>
        <v>8</v>
      </c>
      <c r="AX884" s="18">
        <f t="shared" si="492"/>
        <v>4</v>
      </c>
      <c r="AY884" s="18">
        <f t="shared" si="493"/>
        <v>3</v>
      </c>
      <c r="AZ884" s="18">
        <f t="shared" si="494"/>
        <v>1</v>
      </c>
      <c r="BA884" s="18">
        <f t="shared" si="495"/>
        <v>7</v>
      </c>
      <c r="BB884" s="18">
        <f t="shared" si="496"/>
        <v>5</v>
      </c>
      <c r="BC884" s="18">
        <f t="shared" si="497"/>
        <v>6</v>
      </c>
      <c r="BD884" s="18">
        <f t="shared" si="498"/>
        <v>9</v>
      </c>
      <c r="BE884" s="8">
        <f t="shared" si="500"/>
        <v>7.4138209637157875E-4</v>
      </c>
    </row>
    <row r="885" spans="1:57" x14ac:dyDescent="0.25">
      <c r="A885" t="str">
        <f t="shared" si="499"/>
        <v/>
      </c>
      <c r="B885" s="1">
        <v>44042</v>
      </c>
      <c r="C885" s="9">
        <f t="shared" si="474"/>
        <v>0</v>
      </c>
      <c r="D885" s="9">
        <f t="shared" si="475"/>
        <v>0</v>
      </c>
      <c r="E885" s="9">
        <f t="shared" si="476"/>
        <v>0.27783506679997305</v>
      </c>
      <c r="F885" s="9">
        <f t="shared" si="477"/>
        <v>0.24549876897820971</v>
      </c>
      <c r="G885" s="9">
        <f t="shared" si="478"/>
        <v>0.23248719449757249</v>
      </c>
      <c r="H885" s="9">
        <f t="shared" si="479"/>
        <v>0</v>
      </c>
      <c r="I885" s="9">
        <f t="shared" si="480"/>
        <v>0.24417896972424474</v>
      </c>
      <c r="J885" s="9">
        <f t="shared" si="481"/>
        <v>0</v>
      </c>
      <c r="K885" s="9">
        <v>0</v>
      </c>
      <c r="L885" s="8">
        <f>+VLOOKUP($B885,NIFTY_50!$B$3:$I$1238,8,0)</f>
        <v>-8.9887841040450223E-3</v>
      </c>
      <c r="M885" s="8">
        <f>+VLOOKUP($B885,NIFTY_BANK!$B$3:$I$41238,8,0)</f>
        <v>-1.9466312747433934E-2</v>
      </c>
      <c r="N885" s="8">
        <f>+VLOOKUP($B885,NIFTY_IT!$B$3:$I$1238,8,0)</f>
        <v>6.881798607421441E-3</v>
      </c>
      <c r="O885" s="8">
        <f>+VLOOKUP($B885,NIFTY_PHARMA!$B$3:$I$1238,8,0)</f>
        <v>3.1117261987424705E-2</v>
      </c>
      <c r="P885" s="8">
        <f>+VLOOKUP($B885,NIFTY_FMCG!$B$3:$I$1238,8,0)</f>
        <v>-8.1457905875890191E-3</v>
      </c>
      <c r="Q885" s="8">
        <f>+VLOOKUP($B885,NIFTY_METAL!$B$3:$I$1238,8,0)</f>
        <v>-1.1847738053916368E-2</v>
      </c>
      <c r="R885" s="8">
        <f>+VLOOKUP($B885,NIFTY_ENERGY!$B$3:$I$1238,8,0)</f>
        <v>-1.8970551324697937E-2</v>
      </c>
      <c r="S885" s="8">
        <f>+VLOOKUP($B885,NIFTY_AUTO!$B$3:$I$1238,8,0)</f>
        <v>-5.7842501961051784E-3</v>
      </c>
      <c r="T885" s="8">
        <v>0</v>
      </c>
      <c r="U885" s="8">
        <f>+VLOOKUP($B885,NIFTY_50!$B$63:$K$1238,10,0)</f>
        <v>0.20602133483966267</v>
      </c>
      <c r="V885" s="8">
        <f>+VLOOKUP($B885,NIFTY_BANK!$B$63:$K$1238,10,0)</f>
        <v>0.12324257008315276</v>
      </c>
      <c r="W885" s="8">
        <f>+VLOOKUP($B885,NIFTY_IT!$B$63:$K$1238,10,0)</f>
        <v>0.34474774145600007</v>
      </c>
      <c r="X885" s="8">
        <f>+VLOOKUP($B885,NIFTY_PHARMA!$B$63:$K$1238,10,0)</f>
        <v>0.17258073299569787</v>
      </c>
      <c r="Y885" s="8">
        <f>+VLOOKUP($B885,NIFTY_FMCG!$B$63:$K$1238,10,0)</f>
        <v>0.13109740369805389</v>
      </c>
      <c r="Z885" s="8">
        <f>+VLOOKUP($B885,NIFTY_METAL!$B$63:$K$1238,10,0)</f>
        <v>0.26067959731939894</v>
      </c>
      <c r="AA885" s="8">
        <f>+VLOOKUP($B885,NIFTY_ENERGY!$B$63:$K$1238,10,0)</f>
        <v>0.1970165685886851</v>
      </c>
      <c r="AB885" s="8">
        <f>+VLOOKUP($B885,NIFTY_AUTO!$B$63:$K$1238,10,0)</f>
        <v>0.33675415910049722</v>
      </c>
      <c r="AC885" s="8">
        <f>+VLOOKUP($B885,EBBETF0430!$B$63:$K$1238,10,0)</f>
        <v>2.7133831546265208</v>
      </c>
      <c r="AD885" s="16">
        <f t="shared" si="482"/>
        <v>9.7678052804464857E-2</v>
      </c>
      <c r="AE885" s="8">
        <f t="shared" si="483"/>
        <v>0.18295797894400398</v>
      </c>
      <c r="AF885" s="8">
        <f t="shared" si="484"/>
        <v>0.11734917589692552</v>
      </c>
      <c r="AG885" s="8">
        <f t="shared" si="485"/>
        <v>0.10132807055841929</v>
      </c>
      <c r="AH885" s="8">
        <f t="shared" si="486"/>
        <v>7.2912707683925937E-2</v>
      </c>
      <c r="AI885" s="8">
        <f t="shared" si="487"/>
        <v>0.13323910699129202</v>
      </c>
      <c r="AJ885" s="8">
        <f t="shared" si="488"/>
        <v>0.12020690982651235</v>
      </c>
      <c r="AK885" s="8">
        <f t="shared" si="489"/>
        <v>0.13087206031560042</v>
      </c>
      <c r="AL885" s="9">
        <v>0</v>
      </c>
      <c r="AM885" s="17">
        <f t="shared" si="466"/>
        <v>10.23771432055298</v>
      </c>
      <c r="AN885" s="13">
        <f t="shared" si="467"/>
        <v>5.4657359344030549</v>
      </c>
      <c r="AO885" s="13">
        <f t="shared" si="468"/>
        <v>8.5215766736901255</v>
      </c>
      <c r="AP885" s="13">
        <f t="shared" si="469"/>
        <v>9.8689335984490487</v>
      </c>
      <c r="AQ885" s="13">
        <f t="shared" si="470"/>
        <v>13.715030366653854</v>
      </c>
      <c r="AR885" s="13">
        <f t="shared" si="471"/>
        <v>7.5053039800496117</v>
      </c>
      <c r="AS885" s="13">
        <f t="shared" si="472"/>
        <v>8.3189893280115257</v>
      </c>
      <c r="AT885" s="13">
        <f t="shared" si="473"/>
        <v>7.6410503325803942</v>
      </c>
      <c r="AU885" s="9">
        <v>0</v>
      </c>
      <c r="AV885" s="18">
        <f t="shared" si="490"/>
        <v>2</v>
      </c>
      <c r="AW885" s="18">
        <f t="shared" si="491"/>
        <v>8</v>
      </c>
      <c r="AX885" s="18">
        <f t="shared" si="492"/>
        <v>4</v>
      </c>
      <c r="AY885" s="18">
        <f t="shared" si="493"/>
        <v>3</v>
      </c>
      <c r="AZ885" s="18">
        <f t="shared" si="494"/>
        <v>1</v>
      </c>
      <c r="BA885" s="18">
        <f t="shared" si="495"/>
        <v>7</v>
      </c>
      <c r="BB885" s="18">
        <f t="shared" si="496"/>
        <v>5</v>
      </c>
      <c r="BC885" s="18">
        <f t="shared" si="497"/>
        <v>6</v>
      </c>
      <c r="BD885" s="18">
        <f t="shared" si="498"/>
        <v>9</v>
      </c>
      <c r="BE885" s="8">
        <f t="shared" si="500"/>
        <v>2.6837009080761687E-3</v>
      </c>
    </row>
    <row r="886" spans="1:57" x14ac:dyDescent="0.25">
      <c r="A886" t="str">
        <f t="shared" si="499"/>
        <v>Y</v>
      </c>
      <c r="B886" s="1">
        <v>44043</v>
      </c>
      <c r="C886" s="9">
        <f t="shared" si="474"/>
        <v>0.25</v>
      </c>
      <c r="D886" s="9">
        <f t="shared" si="475"/>
        <v>0</v>
      </c>
      <c r="E886" s="9">
        <f t="shared" si="476"/>
        <v>0.25</v>
      </c>
      <c r="F886" s="9">
        <f t="shared" si="477"/>
        <v>0.25</v>
      </c>
      <c r="G886" s="9">
        <f t="shared" si="478"/>
        <v>0.25</v>
      </c>
      <c r="H886" s="9">
        <f t="shared" si="479"/>
        <v>0</v>
      </c>
      <c r="I886" s="9">
        <f t="shared" si="480"/>
        <v>0</v>
      </c>
      <c r="J886" s="9">
        <f t="shared" si="481"/>
        <v>0</v>
      </c>
      <c r="K886" s="9">
        <v>0</v>
      </c>
      <c r="L886" s="8">
        <f>+VLOOKUP($B886,NIFTY_50!$B$3:$I$1238,8,0)</f>
        <v>-2.5850848709483287E-3</v>
      </c>
      <c r="M886" s="8">
        <f>+VLOOKUP($B886,NIFTY_BANK!$B$3:$I$41238,8,0)</f>
        <v>-3.1413346514619356E-4</v>
      </c>
      <c r="N886" s="8">
        <f>+VLOOKUP($B886,NIFTY_IT!$B$3:$I$1238,8,0)</f>
        <v>3.7936962432407739E-3</v>
      </c>
      <c r="O886" s="8">
        <f>+VLOOKUP($B886,NIFTY_PHARMA!$B$3:$I$1238,8,0)</f>
        <v>3.5560860296951935E-2</v>
      </c>
      <c r="P886" s="8">
        <f>+VLOOKUP($B886,NIFTY_FMCG!$B$3:$I$1238,8,0)</f>
        <v>5.7352002189181572E-3</v>
      </c>
      <c r="Q886" s="8">
        <f>+VLOOKUP($B886,NIFTY_METAL!$B$3:$I$1238,8,0)</f>
        <v>5.6904667119406227E-3</v>
      </c>
      <c r="R886" s="8">
        <f>+VLOOKUP($B886,NIFTY_ENERGY!$B$3:$I$1238,8,0)</f>
        <v>-8.4105188159855349E-3</v>
      </c>
      <c r="S886" s="8">
        <f>+VLOOKUP($B886,NIFTY_AUTO!$B$3:$I$1238,8,0)</f>
        <v>-1.1114389017337079E-3</v>
      </c>
      <c r="T886" s="8">
        <v>0</v>
      </c>
      <c r="U886" s="8">
        <f>+VLOOKUP($B886,NIFTY_50!$B$63:$K$1238,10,0)</f>
        <v>0.19443096139533389</v>
      </c>
      <c r="V886" s="8">
        <f>+VLOOKUP($B886,NIFTY_BANK!$B$63:$K$1238,10,0)</f>
        <v>9.8783673655909787E-2</v>
      </c>
      <c r="W886" s="8">
        <f>+VLOOKUP($B886,NIFTY_IT!$B$63:$K$1238,10,0)</f>
        <v>0.34917915294855417</v>
      </c>
      <c r="X886" s="8">
        <f>+VLOOKUP($B886,NIFTY_PHARMA!$B$63:$K$1238,10,0)</f>
        <v>0.20827124301653277</v>
      </c>
      <c r="Y886" s="8">
        <f>+VLOOKUP($B886,NIFTY_FMCG!$B$63:$K$1238,10,0)</f>
        <v>0.15930222078692613</v>
      </c>
      <c r="Z886" s="8">
        <f>+VLOOKUP($B886,NIFTY_METAL!$B$63:$K$1238,10,0)</f>
        <v>0.26464265732206482</v>
      </c>
      <c r="AA886" s="8">
        <f>+VLOOKUP($B886,NIFTY_ENERGY!$B$63:$K$1238,10,0)</f>
        <v>0.18561615191598779</v>
      </c>
      <c r="AB886" s="8">
        <f>+VLOOKUP($B886,NIFTY_AUTO!$B$63:$K$1238,10,0)</f>
        <v>0.31109970463223124</v>
      </c>
      <c r="AC886" s="8">
        <f>+VLOOKUP($B886,EBBETF0430!$B$63:$K$1238,10,0)</f>
        <v>10.912547528517111</v>
      </c>
      <c r="AD886" s="16">
        <f t="shared" si="482"/>
        <v>9.775930947695588E-2</v>
      </c>
      <c r="AE886" s="8">
        <f t="shared" si="483"/>
        <v>0.18188287533028744</v>
      </c>
      <c r="AF886" s="8">
        <f t="shared" si="484"/>
        <v>0.11726875591383809</v>
      </c>
      <c r="AG886" s="8">
        <f t="shared" si="485"/>
        <v>0.10642792823167348</v>
      </c>
      <c r="AH886" s="8">
        <f t="shared" si="486"/>
        <v>6.9909555151602867E-2</v>
      </c>
      <c r="AI886" s="8">
        <f t="shared" si="487"/>
        <v>0.13324238602394078</v>
      </c>
      <c r="AJ886" s="8">
        <f t="shared" si="488"/>
        <v>0.12073209432136919</v>
      </c>
      <c r="AK886" s="8">
        <f t="shared" si="489"/>
        <v>0.13028656677817702</v>
      </c>
      <c r="AL886" s="9">
        <v>0</v>
      </c>
      <c r="AM886" s="17">
        <f t="shared" si="466"/>
        <v>10.229204823052919</v>
      </c>
      <c r="AN886" s="13">
        <f t="shared" si="467"/>
        <v>5.4980437173321857</v>
      </c>
      <c r="AO886" s="13">
        <f t="shared" si="468"/>
        <v>8.5274205580789033</v>
      </c>
      <c r="AP886" s="13">
        <f t="shared" si="469"/>
        <v>9.396029938900897</v>
      </c>
      <c r="AQ886" s="13">
        <f t="shared" si="470"/>
        <v>14.304196298080324</v>
      </c>
      <c r="AR886" s="13">
        <f t="shared" si="471"/>
        <v>7.5051192780375571</v>
      </c>
      <c r="AS886" s="13">
        <f t="shared" si="472"/>
        <v>8.2828017323890926</v>
      </c>
      <c r="AT886" s="13">
        <f t="shared" si="473"/>
        <v>7.6753883744789864</v>
      </c>
      <c r="AU886" s="9">
        <v>0</v>
      </c>
      <c r="AV886" s="18">
        <f t="shared" si="490"/>
        <v>2</v>
      </c>
      <c r="AW886" s="18">
        <f t="shared" si="491"/>
        <v>8</v>
      </c>
      <c r="AX886" s="18">
        <f t="shared" si="492"/>
        <v>4</v>
      </c>
      <c r="AY886" s="18">
        <f t="shared" si="493"/>
        <v>3</v>
      </c>
      <c r="AZ886" s="18">
        <f t="shared" si="494"/>
        <v>1</v>
      </c>
      <c r="BA886" s="18">
        <f t="shared" si="495"/>
        <v>7</v>
      </c>
      <c r="BB886" s="18">
        <f t="shared" si="496"/>
        <v>5</v>
      </c>
      <c r="BC886" s="18">
        <f t="shared" si="497"/>
        <v>6</v>
      </c>
      <c r="BD886" s="18">
        <f t="shared" si="498"/>
        <v>9</v>
      </c>
      <c r="BE886" s="8">
        <f t="shared" si="500"/>
        <v>9.0638580653118247E-3</v>
      </c>
    </row>
    <row r="887" spans="1:57" x14ac:dyDescent="0.25">
      <c r="A887" t="str">
        <f t="shared" si="499"/>
        <v/>
      </c>
      <c r="B887" s="1">
        <v>44046</v>
      </c>
      <c r="C887" s="9">
        <f t="shared" si="474"/>
        <v>0.24761401705851652</v>
      </c>
      <c r="D887" s="9">
        <f t="shared" si="475"/>
        <v>0</v>
      </c>
      <c r="E887" s="9">
        <f t="shared" si="476"/>
        <v>0.25027094822182622</v>
      </c>
      <c r="F887" s="9">
        <f t="shared" si="477"/>
        <v>0.25128536690530079</v>
      </c>
      <c r="G887" s="9">
        <f t="shared" si="478"/>
        <v>0.25082966781435639</v>
      </c>
      <c r="H887" s="9">
        <f t="shared" si="479"/>
        <v>0</v>
      </c>
      <c r="I887" s="9">
        <f t="shared" si="480"/>
        <v>0</v>
      </c>
      <c r="J887" s="9">
        <f t="shared" si="481"/>
        <v>0</v>
      </c>
      <c r="K887" s="9">
        <v>0</v>
      </c>
      <c r="L887" s="8">
        <f>+VLOOKUP($B887,NIFTY_50!$B$3:$I$1238,8,0)</f>
        <v>-1.6422162921221561E-2</v>
      </c>
      <c r="M887" s="8">
        <f>+VLOOKUP($B887,NIFTY_BANK!$B$3:$I$41238,8,0)</f>
        <v>-2.6245318287157371E-2</v>
      </c>
      <c r="N887" s="8">
        <f>+VLOOKUP($B887,NIFTY_IT!$B$3:$I$1238,8,0)</f>
        <v>-5.8682425982951036E-3</v>
      </c>
      <c r="O887" s="8">
        <f>+VLOOKUP($B887,NIFTY_PHARMA!$B$3:$I$1238,8,0)</f>
        <v>-1.8387464234139728E-3</v>
      </c>
      <c r="P887" s="8">
        <f>+VLOOKUP($B887,NIFTY_FMCG!$B$3:$I$1238,8,0)</f>
        <v>-3.6488843612995092E-3</v>
      </c>
      <c r="Q887" s="8">
        <f>+VLOOKUP($B887,NIFTY_METAL!$B$3:$I$1238,8,0)</f>
        <v>4.1214548502770398E-3</v>
      </c>
      <c r="R887" s="8">
        <f>+VLOOKUP($B887,NIFTY_ENERGY!$B$3:$I$1238,8,0)</f>
        <v>-1.656525672555309E-2</v>
      </c>
      <c r="S887" s="8">
        <f>+VLOOKUP($B887,NIFTY_AUTO!$B$3:$I$1238,8,0)</f>
        <v>-5.4260105086025856E-3</v>
      </c>
      <c r="T887" s="8">
        <v>0</v>
      </c>
      <c r="U887" s="8">
        <f>+VLOOKUP($B887,NIFTY_50!$B$63:$K$1238,10,0)</f>
        <v>0.18399182524282409</v>
      </c>
      <c r="V887" s="8">
        <f>+VLOOKUP($B887,NIFTY_BANK!$B$63:$K$1238,10,0)</f>
        <v>8.1075118767892196E-2</v>
      </c>
      <c r="W887" s="8">
        <f>+VLOOKUP($B887,NIFTY_IT!$B$63:$K$1238,10,0)</f>
        <v>0.35155386038953695</v>
      </c>
      <c r="X887" s="8">
        <f>+VLOOKUP($B887,NIFTY_PHARMA!$B$63:$K$1238,10,0)</f>
        <v>0.21647117980782893</v>
      </c>
      <c r="Y887" s="8">
        <f>+VLOOKUP($B887,NIFTY_FMCG!$B$63:$K$1238,10,0)</f>
        <v>0.17159882763178191</v>
      </c>
      <c r="Z887" s="8">
        <f>+VLOOKUP($B887,NIFTY_METAL!$B$63:$K$1238,10,0)</f>
        <v>0.27165226622629834</v>
      </c>
      <c r="AA887" s="8">
        <f>+VLOOKUP($B887,NIFTY_ENERGY!$B$63:$K$1238,10,0)</f>
        <v>0.17351941634059265</v>
      </c>
      <c r="AB887" s="8">
        <f>+VLOOKUP($B887,NIFTY_AUTO!$B$63:$K$1238,10,0)</f>
        <v>0.31187715165790908</v>
      </c>
      <c r="AC887" s="8">
        <f>+VLOOKUP($B887,EBBETF0430!$B$63:$K$1238,10,0)</f>
        <v>-0.75768927915244932</v>
      </c>
      <c r="AD887" s="16">
        <f t="shared" si="482"/>
        <v>9.9081907960486909E-2</v>
      </c>
      <c r="AE887" s="8">
        <f t="shared" si="483"/>
        <v>0.18362461774612154</v>
      </c>
      <c r="AF887" s="8">
        <f t="shared" si="484"/>
        <v>0.11709301988142912</v>
      </c>
      <c r="AG887" s="8">
        <f t="shared" si="485"/>
        <v>0.10589196478686413</v>
      </c>
      <c r="AH887" s="8">
        <f t="shared" si="486"/>
        <v>6.8178496002790218E-2</v>
      </c>
      <c r="AI887" s="8">
        <f t="shared" si="487"/>
        <v>0.13313046030272288</v>
      </c>
      <c r="AJ887" s="8">
        <f t="shared" si="488"/>
        <v>0.12192919979107068</v>
      </c>
      <c r="AK887" s="8">
        <f t="shared" si="489"/>
        <v>0.13023989413680806</v>
      </c>
      <c r="AL887" s="9">
        <v>0</v>
      </c>
      <c r="AM887" s="17">
        <f t="shared" si="466"/>
        <v>10.092659907182977</v>
      </c>
      <c r="AN887" s="13">
        <f t="shared" si="467"/>
        <v>5.4458928888423603</v>
      </c>
      <c r="AO887" s="13">
        <f t="shared" si="468"/>
        <v>8.5402187168169483</v>
      </c>
      <c r="AP887" s="13">
        <f t="shared" si="469"/>
        <v>9.443587169364239</v>
      </c>
      <c r="AQ887" s="13">
        <f t="shared" si="470"/>
        <v>14.667381339111305</v>
      </c>
      <c r="AR887" s="13">
        <f t="shared" si="471"/>
        <v>7.5114289977373963</v>
      </c>
      <c r="AS887" s="13">
        <f t="shared" si="472"/>
        <v>8.2014808734374522</v>
      </c>
      <c r="AT887" s="13">
        <f t="shared" si="473"/>
        <v>7.6781389191668774</v>
      </c>
      <c r="AU887" s="9">
        <v>0</v>
      </c>
      <c r="AV887" s="18">
        <f t="shared" si="490"/>
        <v>2</v>
      </c>
      <c r="AW887" s="18">
        <f t="shared" si="491"/>
        <v>8</v>
      </c>
      <c r="AX887" s="18">
        <f t="shared" si="492"/>
        <v>4</v>
      </c>
      <c r="AY887" s="18">
        <f t="shared" si="493"/>
        <v>3</v>
      </c>
      <c r="AZ887" s="18">
        <f t="shared" si="494"/>
        <v>1</v>
      </c>
      <c r="BA887" s="18">
        <f t="shared" si="495"/>
        <v>7</v>
      </c>
      <c r="BB887" s="18">
        <f t="shared" si="496"/>
        <v>5</v>
      </c>
      <c r="BC887" s="18">
        <f t="shared" si="497"/>
        <v>6</v>
      </c>
      <c r="BD887" s="18">
        <f t="shared" si="498"/>
        <v>9</v>
      </c>
      <c r="BE887" s="8">
        <f t="shared" si="500"/>
        <v>-6.9445090760575368E-3</v>
      </c>
    </row>
    <row r="888" spans="1:57" x14ac:dyDescent="0.25">
      <c r="A888" t="str">
        <f t="shared" si="499"/>
        <v/>
      </c>
      <c r="B888" s="1">
        <v>44047</v>
      </c>
      <c r="C888" s="9">
        <f t="shared" si="474"/>
        <v>0.2502802008298321</v>
      </c>
      <c r="D888" s="9">
        <f t="shared" si="475"/>
        <v>0</v>
      </c>
      <c r="E888" s="9">
        <f t="shared" si="476"/>
        <v>0.24614152405960321</v>
      </c>
      <c r="F888" s="9">
        <f t="shared" si="477"/>
        <v>0.25355356932474249</v>
      </c>
      <c r="G888" s="9">
        <f t="shared" si="478"/>
        <v>0.25002470578582214</v>
      </c>
      <c r="H888" s="9">
        <f t="shared" si="479"/>
        <v>0</v>
      </c>
      <c r="I888" s="9">
        <f t="shared" si="480"/>
        <v>0</v>
      </c>
      <c r="J888" s="9">
        <f t="shared" si="481"/>
        <v>0</v>
      </c>
      <c r="K888" s="9">
        <v>0</v>
      </c>
      <c r="L888" s="8">
        <f>+VLOOKUP($B888,NIFTY_50!$B$3:$I$1238,8,0)</f>
        <v>1.8697895625986893E-2</v>
      </c>
      <c r="M888" s="8">
        <f>+VLOOKUP($B888,NIFTY_BANK!$B$3:$I$41238,8,0)</f>
        <v>1.9855638498298855E-2</v>
      </c>
      <c r="N888" s="8">
        <f>+VLOOKUP($B888,NIFTY_IT!$B$3:$I$1238,8,0)</f>
        <v>-8.7833550412449446E-3</v>
      </c>
      <c r="O888" s="8">
        <f>+VLOOKUP($B888,NIFTY_PHARMA!$B$3:$I$1238,8,0)</f>
        <v>1.6943136479637744E-2</v>
      </c>
      <c r="P888" s="8">
        <f>+VLOOKUP($B888,NIFTY_FMCG!$B$3:$I$1238,8,0)</f>
        <v>4.6115384365308376E-3</v>
      </c>
      <c r="Q888" s="8">
        <f>+VLOOKUP($B888,NIFTY_METAL!$B$3:$I$1238,8,0)</f>
        <v>9.8323400505528902E-3</v>
      </c>
      <c r="R888" s="8">
        <f>+VLOOKUP($B888,NIFTY_ENERGY!$B$3:$I$1238,8,0)</f>
        <v>2.3419934841304446E-2</v>
      </c>
      <c r="S888" s="8">
        <f>+VLOOKUP($B888,NIFTY_AUTO!$B$3:$I$1238,8,0)</f>
        <v>1.5703877628534979E-2</v>
      </c>
      <c r="T888" s="8">
        <v>0</v>
      </c>
      <c r="U888" s="8">
        <f>+VLOOKUP($B888,NIFTY_50!$B$63:$K$1238,10,0)</f>
        <v>0.19929200670161595</v>
      </c>
      <c r="V888" s="8">
        <f>+VLOOKUP($B888,NIFTY_BANK!$B$63:$K$1238,10,0)</f>
        <v>0.11045373044866658</v>
      </c>
      <c r="W888" s="8">
        <f>+VLOOKUP($B888,NIFTY_IT!$B$63:$K$1238,10,0)</f>
        <v>0.32859828702736582</v>
      </c>
      <c r="X888" s="8">
        <f>+VLOOKUP($B888,NIFTY_PHARMA!$B$63:$K$1238,10,0)</f>
        <v>0.21123044732349738</v>
      </c>
      <c r="Y888" s="8">
        <f>+VLOOKUP($B888,NIFTY_FMCG!$B$63:$K$1238,10,0)</f>
        <v>0.15477881000605387</v>
      </c>
      <c r="Z888" s="8">
        <f>+VLOOKUP($B888,NIFTY_METAL!$B$63:$K$1238,10,0)</f>
        <v>0.2987086576600757</v>
      </c>
      <c r="AA888" s="8">
        <f>+VLOOKUP($B888,NIFTY_ENERGY!$B$63:$K$1238,10,0)</f>
        <v>0.1947358626625415</v>
      </c>
      <c r="AB888" s="8">
        <f>+VLOOKUP($B888,NIFTY_AUTO!$B$63:$K$1238,10,0)</f>
        <v>0.34990592446422841</v>
      </c>
      <c r="AC888" s="8">
        <f>+VLOOKUP($B888,EBBETF0430!$B$63:$K$1238,10,0)</f>
        <v>-8.3364882259407858E-2</v>
      </c>
      <c r="AD888" s="16">
        <f t="shared" si="482"/>
        <v>0.10028658177877478</v>
      </c>
      <c r="AE888" s="8">
        <f t="shared" si="483"/>
        <v>0.18429760025996086</v>
      </c>
      <c r="AF888" s="8">
        <f t="shared" si="484"/>
        <v>0.11784271414696298</v>
      </c>
      <c r="AG888" s="8">
        <f t="shared" si="485"/>
        <v>0.10523043236290867</v>
      </c>
      <c r="AH888" s="8">
        <f t="shared" si="486"/>
        <v>6.6127968348335467E-2</v>
      </c>
      <c r="AI888" s="8">
        <f t="shared" si="487"/>
        <v>0.13234563185421808</v>
      </c>
      <c r="AJ888" s="8">
        <f t="shared" si="488"/>
        <v>0.12362200843544541</v>
      </c>
      <c r="AK888" s="8">
        <f t="shared" si="489"/>
        <v>0.12948264697289447</v>
      </c>
      <c r="AL888" s="9">
        <v>0</v>
      </c>
      <c r="AM888" s="17">
        <f t="shared" si="466"/>
        <v>9.9714237165439581</v>
      </c>
      <c r="AN888" s="13">
        <f t="shared" si="467"/>
        <v>5.4260066250968579</v>
      </c>
      <c r="AO888" s="13">
        <f t="shared" si="468"/>
        <v>8.4858873731717406</v>
      </c>
      <c r="AP888" s="13">
        <f t="shared" si="469"/>
        <v>9.5029543977477484</v>
      </c>
      <c r="AQ888" s="13">
        <f t="shared" si="470"/>
        <v>15.122194511290644</v>
      </c>
      <c r="AR888" s="13">
        <f t="shared" si="471"/>
        <v>7.5559728416388099</v>
      </c>
      <c r="AS888" s="13">
        <f t="shared" si="472"/>
        <v>8.0891745139555251</v>
      </c>
      <c r="AT888" s="13">
        <f t="shared" si="473"/>
        <v>7.7230426113341446</v>
      </c>
      <c r="AU888" s="9">
        <v>0</v>
      </c>
      <c r="AV888" s="18">
        <f t="shared" si="490"/>
        <v>2</v>
      </c>
      <c r="AW888" s="18">
        <f t="shared" si="491"/>
        <v>8</v>
      </c>
      <c r="AX888" s="18">
        <f t="shared" si="492"/>
        <v>4</v>
      </c>
      <c r="AY888" s="18">
        <f t="shared" si="493"/>
        <v>3</v>
      </c>
      <c r="AZ888" s="18">
        <f t="shared" si="494"/>
        <v>1</v>
      </c>
      <c r="BA888" s="18">
        <f t="shared" si="495"/>
        <v>7</v>
      </c>
      <c r="BB888" s="18">
        <f t="shared" si="496"/>
        <v>5</v>
      </c>
      <c r="BC888" s="18">
        <f t="shared" si="497"/>
        <v>6</v>
      </c>
      <c r="BD888" s="18">
        <f t="shared" si="498"/>
        <v>9</v>
      </c>
      <c r="BE888" s="8">
        <f t="shared" si="500"/>
        <v>7.8459153727106733E-3</v>
      </c>
    </row>
    <row r="889" spans="1:57" x14ac:dyDescent="0.25">
      <c r="A889" t="str">
        <f t="shared" si="499"/>
        <v/>
      </c>
      <c r="B889" s="1">
        <v>44048</v>
      </c>
      <c r="C889" s="9">
        <f t="shared" si="474"/>
        <v>0.250550151660559</v>
      </c>
      <c r="D889" s="9">
        <f t="shared" si="475"/>
        <v>0</v>
      </c>
      <c r="E889" s="9">
        <f t="shared" si="476"/>
        <v>0.24711958524346597</v>
      </c>
      <c r="F889" s="9">
        <f t="shared" si="477"/>
        <v>0.25248819075026419</v>
      </c>
      <c r="G889" s="9">
        <f t="shared" si="478"/>
        <v>0.24984207234571082</v>
      </c>
      <c r="H889" s="9">
        <f t="shared" si="479"/>
        <v>0</v>
      </c>
      <c r="I889" s="9">
        <f t="shared" si="480"/>
        <v>0</v>
      </c>
      <c r="J889" s="9">
        <f t="shared" si="481"/>
        <v>0</v>
      </c>
      <c r="K889" s="9">
        <v>0</v>
      </c>
      <c r="L889" s="8">
        <f>+VLOOKUP($B889,NIFTY_50!$B$3:$I$1238,8,0)</f>
        <v>5.7682341542553139E-4</v>
      </c>
      <c r="M889" s="8">
        <f>+VLOOKUP($B889,NIFTY_BANK!$B$3:$I$41238,8,0)</f>
        <v>9.0505106907712296E-4</v>
      </c>
      <c r="N889" s="8">
        <f>+VLOOKUP($B889,NIFTY_IT!$B$3:$I$1238,8,0)</f>
        <v>3.4703504043125388E-3</v>
      </c>
      <c r="O889" s="8">
        <f>+VLOOKUP($B889,NIFTY_PHARMA!$B$3:$I$1238,8,0)</f>
        <v>-4.7009132319221214E-3</v>
      </c>
      <c r="P889" s="8">
        <f>+VLOOKUP($B889,NIFTY_FMCG!$B$3:$I$1238,8,0)</f>
        <v>-1.2313258353519041E-3</v>
      </c>
      <c r="Q889" s="8">
        <f>+VLOOKUP($B889,NIFTY_METAL!$B$3:$I$1238,8,0)</f>
        <v>3.970422761613901E-2</v>
      </c>
      <c r="R889" s="8">
        <f>+VLOOKUP($B889,NIFTY_ENERGY!$B$3:$I$1238,8,0)</f>
        <v>-5.1823223423967946E-3</v>
      </c>
      <c r="S889" s="8">
        <f>+VLOOKUP($B889,NIFTY_AUTO!$B$3:$I$1238,8,0)</f>
        <v>1.8377878555062344E-2</v>
      </c>
      <c r="T889" s="8">
        <v>0</v>
      </c>
      <c r="U889" s="8">
        <f>+VLOOKUP($B889,NIFTY_50!$B$63:$K$1238,10,0)</f>
        <v>0.20158130574075672</v>
      </c>
      <c r="V889" s="8">
        <f>+VLOOKUP($B889,NIFTY_BANK!$B$63:$K$1238,10,0)</f>
        <v>0.13505976095617545</v>
      </c>
      <c r="W889" s="8">
        <f>+VLOOKUP($B889,NIFTY_IT!$B$63:$K$1238,10,0)</f>
        <v>0.31457934093743001</v>
      </c>
      <c r="X889" s="8">
        <f>+VLOOKUP($B889,NIFTY_PHARMA!$B$63:$K$1238,10,0)</f>
        <v>0.21020596735895491</v>
      </c>
      <c r="Y889" s="8">
        <f>+VLOOKUP($B889,NIFTY_FMCG!$B$63:$K$1238,10,0)</f>
        <v>0.15733581322793788</v>
      </c>
      <c r="Z889" s="8">
        <f>+VLOOKUP($B889,NIFTY_METAL!$B$63:$K$1238,10,0)</f>
        <v>0.33329406914423698</v>
      </c>
      <c r="AA889" s="8">
        <f>+VLOOKUP($B889,NIFTY_ENERGY!$B$63:$K$1238,10,0)</f>
        <v>0.18638715494789149</v>
      </c>
      <c r="AB889" s="8">
        <f>+VLOOKUP($B889,NIFTY_AUTO!$B$63:$K$1238,10,0)</f>
        <v>0.31857316407556757</v>
      </c>
      <c r="AC889" s="8">
        <f>+VLOOKUP($B889,EBBETF0430!$B$63:$K$1238,10,0)</f>
        <v>0.57361915193240498</v>
      </c>
      <c r="AD889" s="16">
        <f t="shared" si="482"/>
        <v>0.1002208248841388</v>
      </c>
      <c r="AE889" s="8">
        <f t="shared" si="483"/>
        <v>0.1828652048257319</v>
      </c>
      <c r="AF889" s="8">
        <f t="shared" si="484"/>
        <v>0.11746733073697346</v>
      </c>
      <c r="AG889" s="8">
        <f t="shared" si="485"/>
        <v>0.10529053981585272</v>
      </c>
      <c r="AH889" s="8">
        <f t="shared" si="486"/>
        <v>6.5969260526091839E-2</v>
      </c>
      <c r="AI889" s="8">
        <f t="shared" si="487"/>
        <v>0.13666873785994871</v>
      </c>
      <c r="AJ889" s="8">
        <f t="shared" si="488"/>
        <v>0.12388622311042485</v>
      </c>
      <c r="AK889" s="8">
        <f t="shared" si="489"/>
        <v>0.12460488565257474</v>
      </c>
      <c r="AL889" s="9">
        <v>0</v>
      </c>
      <c r="AM889" s="17">
        <f t="shared" si="466"/>
        <v>9.977966167770612</v>
      </c>
      <c r="AN889" s="13">
        <f t="shared" si="467"/>
        <v>5.4685088995087208</v>
      </c>
      <c r="AO889" s="13">
        <f t="shared" si="468"/>
        <v>8.5130052221851056</v>
      </c>
      <c r="AP889" s="13">
        <f t="shared" si="469"/>
        <v>9.4975294242858297</v>
      </c>
      <c r="AQ889" s="13">
        <f t="shared" si="470"/>
        <v>15.158575251946093</v>
      </c>
      <c r="AR889" s="13">
        <f t="shared" si="471"/>
        <v>7.3169622816356874</v>
      </c>
      <c r="AS889" s="13">
        <f t="shared" si="472"/>
        <v>8.0719225664718106</v>
      </c>
      <c r="AT889" s="13">
        <f t="shared" si="473"/>
        <v>8.0253675027495746</v>
      </c>
      <c r="AU889" s="9">
        <v>0</v>
      </c>
      <c r="AV889" s="18">
        <f t="shared" si="490"/>
        <v>2</v>
      </c>
      <c r="AW889" s="18">
        <f t="shared" si="491"/>
        <v>8</v>
      </c>
      <c r="AX889" s="18">
        <f t="shared" si="492"/>
        <v>4</v>
      </c>
      <c r="AY889" s="18">
        <f t="shared" si="493"/>
        <v>3</v>
      </c>
      <c r="AZ889" s="18">
        <f t="shared" si="494"/>
        <v>1</v>
      </c>
      <c r="BA889" s="18">
        <f t="shared" si="495"/>
        <v>7</v>
      </c>
      <c r="BB889" s="18">
        <f t="shared" si="496"/>
        <v>5</v>
      </c>
      <c r="BC889" s="18">
        <f t="shared" si="497"/>
        <v>6</v>
      </c>
      <c r="BD889" s="18">
        <f t="shared" si="498"/>
        <v>9</v>
      </c>
      <c r="BE889" s="8">
        <f t="shared" si="500"/>
        <v>-5.0123039095570604E-4</v>
      </c>
    </row>
    <row r="890" spans="1:57" x14ac:dyDescent="0.25">
      <c r="A890" t="str">
        <f t="shared" si="499"/>
        <v/>
      </c>
      <c r="B890" s="1">
        <v>44049</v>
      </c>
      <c r="C890" s="9">
        <f t="shared" si="474"/>
        <v>0.24947953265071857</v>
      </c>
      <c r="D890" s="9">
        <f t="shared" si="475"/>
        <v>0</v>
      </c>
      <c r="E890" s="9">
        <f t="shared" si="476"/>
        <v>0.24825286674450431</v>
      </c>
      <c r="F890" s="9">
        <f t="shared" si="477"/>
        <v>0.25229340097627623</v>
      </c>
      <c r="G890" s="9">
        <f t="shared" si="478"/>
        <v>0.2499741996285009</v>
      </c>
      <c r="H890" s="9">
        <f t="shared" si="479"/>
        <v>0</v>
      </c>
      <c r="I890" s="9">
        <f t="shared" si="480"/>
        <v>0</v>
      </c>
      <c r="J890" s="9">
        <f t="shared" si="481"/>
        <v>0</v>
      </c>
      <c r="K890" s="9">
        <v>0</v>
      </c>
      <c r="L890" s="8">
        <f>+VLOOKUP($B890,NIFTY_50!$B$3:$I$1238,8,0)</f>
        <v>8.8725549805659387E-3</v>
      </c>
      <c r="M890" s="8">
        <f>+VLOOKUP($B890,NIFTY_BANK!$B$3:$I$41238,8,0)</f>
        <v>6.1669134516815216E-3</v>
      </c>
      <c r="N890" s="8">
        <f>+VLOOKUP($B890,NIFTY_IT!$B$3:$I$1238,8,0)</f>
        <v>1.7848548948505405E-2</v>
      </c>
      <c r="O890" s="8">
        <f>+VLOOKUP($B890,NIFTY_PHARMA!$B$3:$I$1238,8,0)</f>
        <v>1.2420375097103475E-2</v>
      </c>
      <c r="P890" s="8">
        <f>+VLOOKUP($B890,NIFTY_FMCG!$B$3:$I$1238,8,0)</f>
        <v>1.3737865965085083E-2</v>
      </c>
      <c r="Q890" s="8">
        <f>+VLOOKUP($B890,NIFTY_METAL!$B$3:$I$1238,8,0)</f>
        <v>1.3671702447212608E-2</v>
      </c>
      <c r="R890" s="8">
        <f>+VLOOKUP($B890,NIFTY_ENERGY!$B$3:$I$1238,8,0)</f>
        <v>5.2093187111421635E-3</v>
      </c>
      <c r="S890" s="8">
        <f>+VLOOKUP($B890,NIFTY_AUTO!$B$3:$I$1238,8,0)</f>
        <v>1.2217756472738817E-3</v>
      </c>
      <c r="T890" s="8">
        <v>0</v>
      </c>
      <c r="U890" s="8">
        <f>+VLOOKUP($B890,NIFTY_50!$B$63:$K$1238,10,0)</f>
        <v>0.21786430781108135</v>
      </c>
      <c r="V890" s="8">
        <f>+VLOOKUP($B890,NIFTY_BANK!$B$63:$K$1238,10,0)</f>
        <v>0.14736638418902759</v>
      </c>
      <c r="W890" s="8">
        <f>+VLOOKUP($B890,NIFTY_IT!$B$63:$K$1238,10,0)</f>
        <v>0.32883417654472069</v>
      </c>
      <c r="X890" s="8">
        <f>+VLOOKUP($B890,NIFTY_PHARMA!$B$63:$K$1238,10,0)</f>
        <v>0.23327367208664751</v>
      </c>
      <c r="Y890" s="8">
        <f>+VLOOKUP($B890,NIFTY_FMCG!$B$63:$K$1238,10,0)</f>
        <v>0.16496351995651048</v>
      </c>
      <c r="Z890" s="8">
        <f>+VLOOKUP($B890,NIFTY_METAL!$B$63:$K$1238,10,0)</f>
        <v>0.33606008558702816</v>
      </c>
      <c r="AA890" s="8">
        <f>+VLOOKUP($B890,NIFTY_ENERGY!$B$63:$K$1238,10,0)</f>
        <v>0.21665061116199746</v>
      </c>
      <c r="AB890" s="8">
        <f>+VLOOKUP($B890,NIFTY_AUTO!$B$63:$K$1238,10,0)</f>
        <v>0.31342015607073104</v>
      </c>
      <c r="AC890" s="8">
        <f>+VLOOKUP($B890,EBBETF0430!$B$63:$K$1238,10,0)</f>
        <v>-0.86249704421849138</v>
      </c>
      <c r="AD890" s="16">
        <f t="shared" si="482"/>
        <v>0.10007538850048713</v>
      </c>
      <c r="AE890" s="8">
        <f t="shared" si="483"/>
        <v>0.18276656920783504</v>
      </c>
      <c r="AF890" s="8">
        <f t="shared" si="484"/>
        <v>0.1181802988516273</v>
      </c>
      <c r="AG890" s="8">
        <f t="shared" si="485"/>
        <v>0.10521390855097826</v>
      </c>
      <c r="AH890" s="8">
        <f t="shared" si="486"/>
        <v>6.6762466252043504E-2</v>
      </c>
      <c r="AI890" s="8">
        <f t="shared" si="487"/>
        <v>0.13678731455283755</v>
      </c>
      <c r="AJ890" s="8">
        <f t="shared" si="488"/>
        <v>0.12176316295983337</v>
      </c>
      <c r="AK890" s="8">
        <f t="shared" si="489"/>
        <v>0.12465069685009739</v>
      </c>
      <c r="AL890" s="9">
        <v>0</v>
      </c>
      <c r="AM890" s="17">
        <f t="shared" si="466"/>
        <v>9.9924668290958714</v>
      </c>
      <c r="AN890" s="13">
        <f t="shared" si="467"/>
        <v>5.4714601490540584</v>
      </c>
      <c r="AO890" s="13">
        <f t="shared" si="468"/>
        <v>8.4616472433825667</v>
      </c>
      <c r="AP890" s="13">
        <f t="shared" si="469"/>
        <v>9.5044468338088581</v>
      </c>
      <c r="AQ890" s="13">
        <f t="shared" si="470"/>
        <v>14.978476023111137</v>
      </c>
      <c r="AR890" s="13">
        <f t="shared" si="471"/>
        <v>7.3106194333080854</v>
      </c>
      <c r="AS890" s="13">
        <f t="shared" si="472"/>
        <v>8.2126644519728433</v>
      </c>
      <c r="AT890" s="13">
        <f t="shared" si="473"/>
        <v>8.0224180471496389</v>
      </c>
      <c r="AU890" s="9">
        <v>0</v>
      </c>
      <c r="AV890" s="18">
        <f t="shared" si="490"/>
        <v>2</v>
      </c>
      <c r="AW890" s="18">
        <f t="shared" si="491"/>
        <v>8</v>
      </c>
      <c r="AX890" s="18">
        <f t="shared" si="492"/>
        <v>4</v>
      </c>
      <c r="AY890" s="18">
        <f t="shared" si="493"/>
        <v>3</v>
      </c>
      <c r="AZ890" s="18">
        <f t="shared" si="494"/>
        <v>1</v>
      </c>
      <c r="BA890" s="18">
        <f t="shared" si="495"/>
        <v>7</v>
      </c>
      <c r="BB890" s="18">
        <f t="shared" si="496"/>
        <v>5</v>
      </c>
      <c r="BC890" s="18">
        <f t="shared" si="497"/>
        <v>6</v>
      </c>
      <c r="BD890" s="18">
        <f t="shared" si="498"/>
        <v>9</v>
      </c>
      <c r="BE890" s="8">
        <f t="shared" si="500"/>
        <v>1.3202040948381559E-2</v>
      </c>
    </row>
    <row r="891" spans="1:57" x14ac:dyDescent="0.25">
      <c r="A891" t="str">
        <f t="shared" si="499"/>
        <v/>
      </c>
      <c r="B891" s="1">
        <v>44050</v>
      </c>
      <c r="C891" s="9">
        <f t="shared" si="474"/>
        <v>0.2503276318838728</v>
      </c>
      <c r="D891" s="9">
        <f t="shared" si="475"/>
        <v>0</v>
      </c>
      <c r="E891" s="9">
        <f t="shared" si="476"/>
        <v>0.24626305408626048</v>
      </c>
      <c r="F891" s="9">
        <f t="shared" si="477"/>
        <v>0.25127085670907884</v>
      </c>
      <c r="G891" s="9">
        <f t="shared" si="478"/>
        <v>0.25213845732078788</v>
      </c>
      <c r="H891" s="9">
        <f t="shared" si="479"/>
        <v>0</v>
      </c>
      <c r="I891" s="9">
        <f t="shared" si="480"/>
        <v>0</v>
      </c>
      <c r="J891" s="9">
        <f t="shared" si="481"/>
        <v>0</v>
      </c>
      <c r="K891" s="9">
        <v>0</v>
      </c>
      <c r="L891" s="8">
        <f>+VLOOKUP($B891,NIFTY_50!$B$3:$I$1238,8,0)</f>
        <v>1.2410548073016336E-3</v>
      </c>
      <c r="M891" s="8">
        <f>+VLOOKUP($B891,NIFTY_BANK!$B$3:$I$41238,8,0)</f>
        <v>5.1472558749874331E-3</v>
      </c>
      <c r="N891" s="8">
        <f>+VLOOKUP($B891,NIFTY_IT!$B$3:$I$1238,8,0)</f>
        <v>-1.0149130643941962E-2</v>
      </c>
      <c r="O891" s="8">
        <f>+VLOOKUP($B891,NIFTY_PHARMA!$B$3:$I$1238,8,0)</f>
        <v>-6.1953848110034571E-3</v>
      </c>
      <c r="P891" s="8">
        <f>+VLOOKUP($B891,NIFTY_FMCG!$B$3:$I$1238,8,0)</f>
        <v>6.4881934056941759E-3</v>
      </c>
      <c r="Q891" s="8">
        <f>+VLOOKUP($B891,NIFTY_METAL!$B$3:$I$1238,8,0)</f>
        <v>8.5412354286960035E-3</v>
      </c>
      <c r="R891" s="8">
        <f>+VLOOKUP($B891,NIFTY_ENERGY!$B$3:$I$1238,8,0)</f>
        <v>5.8345745595673737E-3</v>
      </c>
      <c r="S891" s="8">
        <f>+VLOOKUP($B891,NIFTY_AUTO!$B$3:$I$1238,8,0)</f>
        <v>7.4950821858432715E-3</v>
      </c>
      <c r="T891" s="8">
        <v>0</v>
      </c>
      <c r="U891" s="8">
        <f>+VLOOKUP($B891,NIFTY_50!$B$63:$K$1238,10,0)</f>
        <v>0.19507542454614724</v>
      </c>
      <c r="V891" s="8">
        <f>+VLOOKUP($B891,NIFTY_BANK!$B$63:$K$1238,10,0)</f>
        <v>0.10792235274344986</v>
      </c>
      <c r="W891" s="8">
        <f>+VLOOKUP($B891,NIFTY_IT!$B$63:$K$1238,10,0)</f>
        <v>0.30683133785054029</v>
      </c>
      <c r="X891" s="8">
        <f>+VLOOKUP($B891,NIFTY_PHARMA!$B$63:$K$1238,10,0)</f>
        <v>0.2388838785493701</v>
      </c>
      <c r="Y891" s="8">
        <f>+VLOOKUP($B891,NIFTY_FMCG!$B$63:$K$1238,10,0)</f>
        <v>0.17737274035855144</v>
      </c>
      <c r="Z891" s="8">
        <f>+VLOOKUP($B891,NIFTY_METAL!$B$63:$K$1238,10,0)</f>
        <v>0.31452345791207548</v>
      </c>
      <c r="AA891" s="8">
        <f>+VLOOKUP($B891,NIFTY_ENERGY!$B$63:$K$1238,10,0)</f>
        <v>0.20033381223642577</v>
      </c>
      <c r="AB891" s="8">
        <f>+VLOOKUP($B891,NIFTY_AUTO!$B$63:$K$1238,10,0)</f>
        <v>0.29255209937378091</v>
      </c>
      <c r="AC891" s="8">
        <f>+VLOOKUP($B891,EBBETF0430!$B$63:$K$1238,10,0)</f>
        <v>0.61001702391085666</v>
      </c>
      <c r="AD891" s="16">
        <f t="shared" si="482"/>
        <v>9.8609874960987748E-2</v>
      </c>
      <c r="AE891" s="8">
        <f t="shared" si="483"/>
        <v>0.17864700159414354</v>
      </c>
      <c r="AF891" s="8">
        <f t="shared" si="484"/>
        <v>0.11908845968539468</v>
      </c>
      <c r="AG891" s="8">
        <f t="shared" si="485"/>
        <v>0.10469869634553022</v>
      </c>
      <c r="AH891" s="8">
        <f t="shared" si="486"/>
        <v>6.6532402517710795E-2</v>
      </c>
      <c r="AI891" s="8">
        <f t="shared" si="487"/>
        <v>0.13532700405874293</v>
      </c>
      <c r="AJ891" s="8">
        <f t="shared" si="488"/>
        <v>0.12069827029259762</v>
      </c>
      <c r="AK891" s="8">
        <f t="shared" si="489"/>
        <v>0.12318656480040455</v>
      </c>
      <c r="AL891" s="9">
        <v>0</v>
      </c>
      <c r="AM891" s="17">
        <f t="shared" si="466"/>
        <v>10.140972193663385</v>
      </c>
      <c r="AN891" s="13">
        <f t="shared" si="467"/>
        <v>5.597631032575821</v>
      </c>
      <c r="AO891" s="13">
        <f t="shared" si="468"/>
        <v>8.3971192728647122</v>
      </c>
      <c r="AP891" s="13">
        <f t="shared" si="469"/>
        <v>9.551217301691759</v>
      </c>
      <c r="AQ891" s="13">
        <f t="shared" si="470"/>
        <v>15.03027039695135</v>
      </c>
      <c r="AR891" s="13">
        <f t="shared" si="471"/>
        <v>7.389508154380767</v>
      </c>
      <c r="AS891" s="13">
        <f t="shared" si="472"/>
        <v>8.2851228735572828</v>
      </c>
      <c r="AT891" s="13">
        <f t="shared" si="473"/>
        <v>8.1177683753116234</v>
      </c>
      <c r="AU891" s="9">
        <v>0</v>
      </c>
      <c r="AV891" s="18">
        <f t="shared" si="490"/>
        <v>2</v>
      </c>
      <c r="AW891" s="18">
        <f t="shared" si="491"/>
        <v>8</v>
      </c>
      <c r="AX891" s="18">
        <f t="shared" si="492"/>
        <v>4</v>
      </c>
      <c r="AY891" s="18">
        <f t="shared" si="493"/>
        <v>3</v>
      </c>
      <c r="AZ891" s="18">
        <f t="shared" si="494"/>
        <v>1</v>
      </c>
      <c r="BA891" s="18">
        <f t="shared" si="495"/>
        <v>7</v>
      </c>
      <c r="BB891" s="18">
        <f t="shared" si="496"/>
        <v>5</v>
      </c>
      <c r="BC891" s="18">
        <f t="shared" si="497"/>
        <v>6</v>
      </c>
      <c r="BD891" s="18">
        <f t="shared" si="498"/>
        <v>9</v>
      </c>
      <c r="BE891" s="8">
        <f t="shared" si="500"/>
        <v>-2.151106754705057E-3</v>
      </c>
    </row>
    <row r="892" spans="1:57" x14ac:dyDescent="0.25">
      <c r="A892" t="str">
        <f t="shared" si="499"/>
        <v/>
      </c>
      <c r="B892" s="1">
        <v>44053</v>
      </c>
      <c r="C892" s="9">
        <f t="shared" si="474"/>
        <v>0.24715167298027346</v>
      </c>
      <c r="D892" s="9">
        <f t="shared" si="475"/>
        <v>0</v>
      </c>
      <c r="E892" s="9">
        <f t="shared" si="476"/>
        <v>0.24401654651969648</v>
      </c>
      <c r="F892" s="9">
        <f t="shared" si="477"/>
        <v>0.26009980900967078</v>
      </c>
      <c r="G892" s="9">
        <f t="shared" si="478"/>
        <v>0.24873197149035919</v>
      </c>
      <c r="H892" s="9">
        <f t="shared" si="479"/>
        <v>0</v>
      </c>
      <c r="I892" s="9">
        <f t="shared" si="480"/>
        <v>0</v>
      </c>
      <c r="J892" s="9">
        <f t="shared" si="481"/>
        <v>0</v>
      </c>
      <c r="K892" s="9">
        <v>0</v>
      </c>
      <c r="L892" s="8">
        <f>+VLOOKUP($B892,NIFTY_50!$B$3:$I$1238,8,0)</f>
        <v>5.0026529220041915E-3</v>
      </c>
      <c r="M892" s="8">
        <f>+VLOOKUP($B892,NIFTY_BANK!$B$3:$I$41238,8,0)</f>
        <v>6.7229015353498234E-3</v>
      </c>
      <c r="N892" s="8">
        <f>+VLOOKUP($B892,NIFTY_IT!$B$3:$I$1238,8,0)</f>
        <v>8.6313433291766994E-3</v>
      </c>
      <c r="O892" s="8">
        <f>+VLOOKUP($B892,NIFTY_PHARMA!$B$3:$I$1238,8,0)</f>
        <v>5.3683931880349478E-2</v>
      </c>
      <c r="P892" s="8">
        <f>+VLOOKUP($B892,NIFTY_FMCG!$B$3:$I$1238,8,0)</f>
        <v>4.1647348732638534E-3</v>
      </c>
      <c r="Q892" s="8">
        <f>+VLOOKUP($B892,NIFTY_METAL!$B$3:$I$1238,8,0)</f>
        <v>7.6263313673385902E-3</v>
      </c>
      <c r="R892" s="8">
        <f>+VLOOKUP($B892,NIFTY_ENERGY!$B$3:$I$1238,8,0)</f>
        <v>1.1162694661586148E-3</v>
      </c>
      <c r="S892" s="8">
        <f>+VLOOKUP($B892,NIFTY_AUTO!$B$3:$I$1238,8,0)</f>
        <v>8.8490889475740797E-3</v>
      </c>
      <c r="T892" s="8">
        <v>0</v>
      </c>
      <c r="U892" s="8">
        <f>+VLOOKUP($B892,NIFTY_50!$B$63:$K$1238,10,0)</f>
        <v>0.23268710180197427</v>
      </c>
      <c r="V892" s="8">
        <f>+VLOOKUP($B892,NIFTY_BANK!$B$63:$K$1238,10,0)</f>
        <v>0.14850407740514471</v>
      </c>
      <c r="W892" s="8">
        <f>+VLOOKUP($B892,NIFTY_IT!$B$63:$K$1238,10,0)</f>
        <v>0.36602162670427818</v>
      </c>
      <c r="X892" s="8">
        <f>+VLOOKUP($B892,NIFTY_PHARMA!$B$63:$K$1238,10,0)</f>
        <v>0.3019123002115085</v>
      </c>
      <c r="Y892" s="8">
        <f>+VLOOKUP($B892,NIFTY_FMCG!$B$63:$K$1238,10,0)</f>
        <v>0.17406107230174883</v>
      </c>
      <c r="Z892" s="8">
        <f>+VLOOKUP($B892,NIFTY_METAL!$B$63:$K$1238,10,0)</f>
        <v>0.35972712165826071</v>
      </c>
      <c r="AA892" s="8">
        <f>+VLOOKUP($B892,NIFTY_ENERGY!$B$63:$K$1238,10,0)</f>
        <v>0.24262471017423581</v>
      </c>
      <c r="AB892" s="8">
        <f>+VLOOKUP($B892,NIFTY_AUTO!$B$63:$K$1238,10,0)</f>
        <v>0.31310033511082769</v>
      </c>
      <c r="AC892" s="8">
        <f>+VLOOKUP($B892,EBBETF0430!$B$63:$K$1238,10,0)</f>
        <v>-0.26221216557966187</v>
      </c>
      <c r="AD892" s="16">
        <f t="shared" si="482"/>
        <v>9.4290278245725806E-2</v>
      </c>
      <c r="AE892" s="8">
        <f t="shared" si="483"/>
        <v>0.17597916183890724</v>
      </c>
      <c r="AF892" s="8">
        <f t="shared" si="484"/>
        <v>0.11225307030730482</v>
      </c>
      <c r="AG892" s="8">
        <f t="shared" si="485"/>
        <v>0.11587059326533143</v>
      </c>
      <c r="AH892" s="8">
        <f t="shared" si="486"/>
        <v>6.640935322990299E-2</v>
      </c>
      <c r="AI892" s="8">
        <f t="shared" si="487"/>
        <v>0.13180567209705246</v>
      </c>
      <c r="AJ892" s="8">
        <f t="shared" si="488"/>
        <v>0.11511661493854074</v>
      </c>
      <c r="AK892" s="8">
        <f t="shared" si="489"/>
        <v>0.12273535727825044</v>
      </c>
      <c r="AL892" s="9">
        <v>0</v>
      </c>
      <c r="AM892" s="17">
        <f t="shared" si="466"/>
        <v>10.60554723779628</v>
      </c>
      <c r="AN892" s="13">
        <f t="shared" si="467"/>
        <v>5.682490981036767</v>
      </c>
      <c r="AO892" s="13">
        <f t="shared" si="468"/>
        <v>8.9084423015102647</v>
      </c>
      <c r="AP892" s="13">
        <f t="shared" si="469"/>
        <v>8.6303174241121337</v>
      </c>
      <c r="AQ892" s="13">
        <f t="shared" si="470"/>
        <v>15.058119848541413</v>
      </c>
      <c r="AR892" s="13">
        <f t="shared" si="471"/>
        <v>7.5869269060262452</v>
      </c>
      <c r="AS892" s="13">
        <f t="shared" si="472"/>
        <v>8.6868433417181965</v>
      </c>
      <c r="AT892" s="13">
        <f t="shared" si="473"/>
        <v>8.1476114314225168</v>
      </c>
      <c r="AU892" s="9">
        <v>0</v>
      </c>
      <c r="AV892" s="18">
        <f t="shared" si="490"/>
        <v>2</v>
      </c>
      <c r="AW892" s="18">
        <f t="shared" si="491"/>
        <v>8</v>
      </c>
      <c r="AX892" s="18">
        <f t="shared" si="492"/>
        <v>3</v>
      </c>
      <c r="AY892" s="18">
        <f t="shared" si="493"/>
        <v>5</v>
      </c>
      <c r="AZ892" s="18">
        <f t="shared" si="494"/>
        <v>1</v>
      </c>
      <c r="BA892" s="18">
        <f t="shared" si="495"/>
        <v>7</v>
      </c>
      <c r="BB892" s="18">
        <f t="shared" si="496"/>
        <v>4</v>
      </c>
      <c r="BC892" s="18">
        <f t="shared" si="497"/>
        <v>6</v>
      </c>
      <c r="BD892" s="18">
        <f t="shared" si="498"/>
        <v>9</v>
      </c>
      <c r="BE892" s="8">
        <f t="shared" si="500"/>
        <v>1.7917180609394449E-2</v>
      </c>
    </row>
    <row r="893" spans="1:57" x14ac:dyDescent="0.25">
      <c r="A893" t="str">
        <f t="shared" si="499"/>
        <v/>
      </c>
      <c r="B893" s="1">
        <v>44054</v>
      </c>
      <c r="C893" s="9">
        <f t="shared" si="474"/>
        <v>0.24898803236017097</v>
      </c>
      <c r="D893" s="9">
        <f t="shared" si="475"/>
        <v>0</v>
      </c>
      <c r="E893" s="9">
        <f t="shared" si="476"/>
        <v>0.24331253459952004</v>
      </c>
      <c r="F893" s="9">
        <f t="shared" si="477"/>
        <v>0.25712632882776171</v>
      </c>
      <c r="G893" s="9">
        <f t="shared" si="478"/>
        <v>0.2505731042125473</v>
      </c>
      <c r="H893" s="9">
        <f t="shared" si="479"/>
        <v>0</v>
      </c>
      <c r="I893" s="9">
        <f t="shared" si="480"/>
        <v>0</v>
      </c>
      <c r="J893" s="9">
        <f t="shared" si="481"/>
        <v>0</v>
      </c>
      <c r="K893" s="9">
        <v>0</v>
      </c>
      <c r="L893" s="8">
        <f>+VLOOKUP($B893,NIFTY_50!$B$3:$I$1238,8,0)</f>
        <v>4.6450135978670648E-3</v>
      </c>
      <c r="M893" s="8">
        <f>+VLOOKUP($B893,NIFTY_BANK!$B$3:$I$41238,8,0)</f>
        <v>1.4929053321309116E-2</v>
      </c>
      <c r="N893" s="8">
        <f>+VLOOKUP($B893,NIFTY_IT!$B$3:$I$1238,8,0)</f>
        <v>-5.6416596226228632E-3</v>
      </c>
      <c r="O893" s="8">
        <f>+VLOOKUP($B893,NIFTY_PHARMA!$B$3:$I$1238,8,0)</f>
        <v>-1.4165005778216888E-2</v>
      </c>
      <c r="P893" s="8">
        <f>+VLOOKUP($B893,NIFTY_FMCG!$B$3:$I$1238,8,0)</f>
        <v>4.6170752725576136E-3</v>
      </c>
      <c r="Q893" s="8">
        <f>+VLOOKUP($B893,NIFTY_METAL!$B$3:$I$1238,8,0)</f>
        <v>1.6573756432247011E-2</v>
      </c>
      <c r="R893" s="8">
        <f>+VLOOKUP($B893,NIFTY_ENERGY!$B$3:$I$1238,8,0)</f>
        <v>4.6985727038062475E-3</v>
      </c>
      <c r="S893" s="8">
        <f>+VLOOKUP($B893,NIFTY_AUTO!$B$3:$I$1238,8,0)</f>
        <v>1.1874614567068953E-3</v>
      </c>
      <c r="T893" s="8">
        <v>0</v>
      </c>
      <c r="U893" s="8">
        <f>+VLOOKUP($B893,NIFTY_50!$B$63:$K$1238,10,0)</f>
        <v>0.23921263892917133</v>
      </c>
      <c r="V893" s="8">
        <f>+VLOOKUP($B893,NIFTY_BANK!$B$63:$K$1238,10,0)</f>
        <v>0.18016666710912999</v>
      </c>
      <c r="W893" s="8">
        <f>+VLOOKUP($B893,NIFTY_IT!$B$63:$K$1238,10,0)</f>
        <v>0.36834048808950937</v>
      </c>
      <c r="X893" s="8">
        <f>+VLOOKUP($B893,NIFTY_PHARMA!$B$63:$K$1238,10,0)</f>
        <v>0.29464973056197086</v>
      </c>
      <c r="Y893" s="8">
        <f>+VLOOKUP($B893,NIFTY_FMCG!$B$63:$K$1238,10,0)</f>
        <v>0.17838801275286409</v>
      </c>
      <c r="Z893" s="8">
        <f>+VLOOKUP($B893,NIFTY_METAL!$B$63:$K$1238,10,0)</f>
        <v>0.36040973258349607</v>
      </c>
      <c r="AA893" s="8">
        <f>+VLOOKUP($B893,NIFTY_ENERGY!$B$63:$K$1238,10,0)</f>
        <v>0.23564755914374835</v>
      </c>
      <c r="AB893" s="8">
        <f>+VLOOKUP($B893,NIFTY_AUTO!$B$63:$K$1238,10,0)</f>
        <v>0.32801051220913036</v>
      </c>
      <c r="AC893" s="8">
        <f>+VLOOKUP($B893,EBBETF0430!$B$63:$K$1238,10,0)</f>
        <v>0.19620655231872219</v>
      </c>
      <c r="AD893" s="16">
        <f t="shared" si="482"/>
        <v>9.4203173448260263E-2</v>
      </c>
      <c r="AE893" s="8">
        <f t="shared" si="483"/>
        <v>0.17575689826531674</v>
      </c>
      <c r="AF893" s="8">
        <f t="shared" si="484"/>
        <v>0.11207690160862592</v>
      </c>
      <c r="AG893" s="8">
        <f t="shared" si="485"/>
        <v>0.11662214256335526</v>
      </c>
      <c r="AH893" s="8">
        <f t="shared" si="486"/>
        <v>6.6413371835555887E-2</v>
      </c>
      <c r="AI893" s="8">
        <f t="shared" si="487"/>
        <v>0.13184870780577365</v>
      </c>
      <c r="AJ893" s="8">
        <f t="shared" si="488"/>
        <v>0.11492396013742436</v>
      </c>
      <c r="AK893" s="8">
        <f t="shared" si="489"/>
        <v>0.12189683718351327</v>
      </c>
      <c r="AL893" s="9">
        <v>0</v>
      </c>
      <c r="AM893" s="17">
        <f t="shared" si="466"/>
        <v>10.615353638263954</v>
      </c>
      <c r="AN893" s="13">
        <f t="shared" si="467"/>
        <v>5.6896771043969689</v>
      </c>
      <c r="AO893" s="13">
        <f t="shared" si="468"/>
        <v>8.9224450858930222</v>
      </c>
      <c r="AP893" s="13">
        <f t="shared" si="469"/>
        <v>8.5747009789049926</v>
      </c>
      <c r="AQ893" s="13">
        <f t="shared" si="470"/>
        <v>15.057208697008628</v>
      </c>
      <c r="AR893" s="13">
        <f t="shared" si="471"/>
        <v>7.5844505163683529</v>
      </c>
      <c r="AS893" s="13">
        <f t="shared" si="472"/>
        <v>8.7014056842821539</v>
      </c>
      <c r="AT893" s="13">
        <f t="shared" si="473"/>
        <v>8.2036582991445446</v>
      </c>
      <c r="AU893" s="9">
        <v>0</v>
      </c>
      <c r="AV893" s="18">
        <f t="shared" si="490"/>
        <v>2</v>
      </c>
      <c r="AW893" s="18">
        <f t="shared" si="491"/>
        <v>8</v>
      </c>
      <c r="AX893" s="18">
        <f t="shared" si="492"/>
        <v>3</v>
      </c>
      <c r="AY893" s="18">
        <f t="shared" si="493"/>
        <v>5</v>
      </c>
      <c r="AZ893" s="18">
        <f t="shared" si="494"/>
        <v>1</v>
      </c>
      <c r="BA893" s="18">
        <f t="shared" si="495"/>
        <v>7</v>
      </c>
      <c r="BB893" s="18">
        <f t="shared" si="496"/>
        <v>4</v>
      </c>
      <c r="BC893" s="18">
        <f t="shared" si="497"/>
        <v>6</v>
      </c>
      <c r="BD893" s="18">
        <f t="shared" si="498"/>
        <v>9</v>
      </c>
      <c r="BE893" s="8">
        <f t="shared" si="500"/>
        <v>-2.7645364784955337E-3</v>
      </c>
    </row>
    <row r="894" spans="1:57" x14ac:dyDescent="0.25">
      <c r="A894" t="str">
        <f t="shared" si="499"/>
        <v/>
      </c>
      <c r="B894" s="1">
        <v>44055</v>
      </c>
      <c r="C894" s="9">
        <f t="shared" si="474"/>
        <v>0.24997760295095689</v>
      </c>
      <c r="D894" s="9">
        <f t="shared" si="475"/>
        <v>0</v>
      </c>
      <c r="E894" s="9">
        <f t="shared" si="476"/>
        <v>0.24470468209149268</v>
      </c>
      <c r="F894" s="9">
        <f t="shared" si="477"/>
        <v>0.25447414860753209</v>
      </c>
      <c r="G894" s="9">
        <f t="shared" si="478"/>
        <v>0.25084356635001837</v>
      </c>
      <c r="H894" s="9">
        <f t="shared" si="479"/>
        <v>0</v>
      </c>
      <c r="I894" s="9">
        <f t="shared" si="480"/>
        <v>0</v>
      </c>
      <c r="J894" s="9">
        <f t="shared" si="481"/>
        <v>0</v>
      </c>
      <c r="K894" s="9">
        <v>0</v>
      </c>
      <c r="L894" s="8">
        <f>+VLOOKUP($B894,NIFTY_50!$B$3:$I$1238,8,0)</f>
        <v>-1.2453080150144347E-3</v>
      </c>
      <c r="M894" s="8">
        <f>+VLOOKUP($B894,NIFTY_BANK!$B$3:$I$41238,8,0)</f>
        <v>1.6556291390728006E-3</v>
      </c>
      <c r="N894" s="8">
        <f>+VLOOKUP($B894,NIFTY_IT!$B$3:$I$1238,8,0)</f>
        <v>4.9288091664778655E-4</v>
      </c>
      <c r="O894" s="8">
        <f>+VLOOKUP($B894,NIFTY_PHARMA!$B$3:$I$1238,8,0)</f>
        <v>-1.5460086219711622E-2</v>
      </c>
      <c r="P894" s="8">
        <f>+VLOOKUP($B894,NIFTY_FMCG!$B$3:$I$1238,8,0)</f>
        <v>-4.125252811420399E-3</v>
      </c>
      <c r="Q894" s="8">
        <f>+VLOOKUP($B894,NIFTY_METAL!$B$3:$I$1238,8,0)</f>
        <v>-6.6859300191930426E-3</v>
      </c>
      <c r="R894" s="8">
        <f>+VLOOKUP($B894,NIFTY_ENERGY!$B$3:$I$1238,8,0)</f>
        <v>-2.5179221529035845E-3</v>
      </c>
      <c r="S894" s="8">
        <f>+VLOOKUP($B894,NIFTY_AUTO!$B$3:$I$1238,8,0)</f>
        <v>2.0274299344066771E-2</v>
      </c>
      <c r="T894" s="8">
        <v>0</v>
      </c>
      <c r="U894" s="8">
        <f>+VLOOKUP($B894,NIFTY_50!$B$63:$K$1238,10,0)</f>
        <v>0.28165925254299706</v>
      </c>
      <c r="V894" s="8">
        <f>+VLOOKUP($B894,NIFTY_BANK!$B$63:$K$1238,10,0)</f>
        <v>0.26692918762661311</v>
      </c>
      <c r="W894" s="8">
        <f>+VLOOKUP($B894,NIFTY_IT!$B$63:$K$1238,10,0)</f>
        <v>0.35687676500630894</v>
      </c>
      <c r="X894" s="8">
        <f>+VLOOKUP($B894,NIFTY_PHARMA!$B$63:$K$1238,10,0)</f>
        <v>0.27468339812925824</v>
      </c>
      <c r="Y894" s="8">
        <f>+VLOOKUP($B894,NIFTY_FMCG!$B$63:$K$1238,10,0)</f>
        <v>0.18513260147632571</v>
      </c>
      <c r="Z894" s="8">
        <f>+VLOOKUP($B894,NIFTY_METAL!$B$63:$K$1238,10,0)</f>
        <v>0.40711084553331345</v>
      </c>
      <c r="AA894" s="8">
        <f>+VLOOKUP($B894,NIFTY_ENERGY!$B$63:$K$1238,10,0)</f>
        <v>0.27298999963158699</v>
      </c>
      <c r="AB894" s="8">
        <f>+VLOOKUP($B894,NIFTY_AUTO!$B$63:$K$1238,10,0)</f>
        <v>0.4336976639257466</v>
      </c>
      <c r="AC894" s="8">
        <f>+VLOOKUP($B894,EBBETF0430!$B$63:$K$1238,10,0)</f>
        <v>-0.56408197257666337</v>
      </c>
      <c r="AD894" s="16">
        <f t="shared" si="482"/>
        <v>8.626697784639982E-2</v>
      </c>
      <c r="AE894" s="8">
        <f t="shared" si="483"/>
        <v>0.16101927920812736</v>
      </c>
      <c r="AF894" s="8">
        <f t="shared" si="484"/>
        <v>0.11211214669497219</v>
      </c>
      <c r="AG894" s="8">
        <f t="shared" si="485"/>
        <v>0.11819510628697547</v>
      </c>
      <c r="AH894" s="8">
        <f t="shared" si="486"/>
        <v>6.5577267185749744E-2</v>
      </c>
      <c r="AI894" s="8">
        <f t="shared" si="487"/>
        <v>0.12448159984714742</v>
      </c>
      <c r="AJ894" s="8">
        <f t="shared" si="488"/>
        <v>0.10945451507844696</v>
      </c>
      <c r="AK894" s="8">
        <f t="shared" si="489"/>
        <v>0.10695588315217942</v>
      </c>
      <c r="AL894" s="9">
        <v>0</v>
      </c>
      <c r="AM894" s="17">
        <f t="shared" si="466"/>
        <v>11.591921091527295</v>
      </c>
      <c r="AN894" s="13">
        <f t="shared" si="467"/>
        <v>6.210436445361541</v>
      </c>
      <c r="AO894" s="13">
        <f t="shared" si="468"/>
        <v>8.919640105730366</v>
      </c>
      <c r="AP894" s="13">
        <f t="shared" si="469"/>
        <v>8.4605871716212935</v>
      </c>
      <c r="AQ894" s="13">
        <f t="shared" si="470"/>
        <v>15.249186843475307</v>
      </c>
      <c r="AR894" s="13">
        <f t="shared" si="471"/>
        <v>8.0333157770137351</v>
      </c>
      <c r="AS894" s="13">
        <f t="shared" si="472"/>
        <v>9.1362151600899395</v>
      </c>
      <c r="AT894" s="13">
        <f t="shared" si="473"/>
        <v>9.349649318281779</v>
      </c>
      <c r="AU894" s="9">
        <v>0</v>
      </c>
      <c r="AV894" s="18">
        <f t="shared" si="490"/>
        <v>2</v>
      </c>
      <c r="AW894" s="18">
        <f t="shared" si="491"/>
        <v>8</v>
      </c>
      <c r="AX894" s="18">
        <f t="shared" si="492"/>
        <v>5</v>
      </c>
      <c r="AY894" s="18">
        <f t="shared" si="493"/>
        <v>6</v>
      </c>
      <c r="AZ894" s="18">
        <f t="shared" si="494"/>
        <v>1</v>
      </c>
      <c r="BA894" s="18">
        <f t="shared" si="495"/>
        <v>7</v>
      </c>
      <c r="BB894" s="18">
        <f t="shared" si="496"/>
        <v>4</v>
      </c>
      <c r="BC894" s="18">
        <f t="shared" si="497"/>
        <v>3</v>
      </c>
      <c r="BD894" s="18">
        <f t="shared" si="498"/>
        <v>9</v>
      </c>
      <c r="BE894" s="8">
        <f t="shared" si="500"/>
        <v>-5.1990153029097524E-3</v>
      </c>
    </row>
    <row r="895" spans="1:57" x14ac:dyDescent="0.25">
      <c r="A895" t="str">
        <f t="shared" si="499"/>
        <v/>
      </c>
      <c r="B895" s="1">
        <v>44056</v>
      </c>
      <c r="C895" s="9">
        <f t="shared" si="474"/>
        <v>0.2502608340298394</v>
      </c>
      <c r="D895" s="9">
        <f t="shared" si="475"/>
        <v>0</v>
      </c>
      <c r="E895" s="9">
        <f t="shared" si="476"/>
        <v>0.24571336746027908</v>
      </c>
      <c r="F895" s="9">
        <f t="shared" si="477"/>
        <v>0.25247152715638516</v>
      </c>
      <c r="G895" s="9">
        <f t="shared" si="478"/>
        <v>0.25155427135349634</v>
      </c>
      <c r="H895" s="9">
        <f t="shared" si="479"/>
        <v>0</v>
      </c>
      <c r="I895" s="9">
        <f t="shared" si="480"/>
        <v>0</v>
      </c>
      <c r="J895" s="9">
        <f t="shared" si="481"/>
        <v>0</v>
      </c>
      <c r="K895" s="9">
        <v>0</v>
      </c>
      <c r="L895" s="8">
        <f>+VLOOKUP($B895,NIFTY_50!$B$3:$I$1238,8,0)</f>
        <v>-7.0301722613264062E-4</v>
      </c>
      <c r="M895" s="8">
        <f>+VLOOKUP($B895,NIFTY_BANK!$B$3:$I$41238,8,0)</f>
        <v>-3.0385375494071942E-3</v>
      </c>
      <c r="N895" s="8">
        <f>+VLOOKUP($B895,NIFTY_IT!$B$3:$I$1238,8,0)</f>
        <v>2.2805269567143238E-3</v>
      </c>
      <c r="O895" s="8">
        <f>+VLOOKUP($B895,NIFTY_PHARMA!$B$3:$I$1238,8,0)</f>
        <v>-9.6891784042620888E-3</v>
      </c>
      <c r="P895" s="8">
        <f>+VLOOKUP($B895,NIFTY_FMCG!$B$3:$I$1238,8,0)</f>
        <v>9.9409862596289145E-4</v>
      </c>
      <c r="Q895" s="8">
        <f>+VLOOKUP($B895,NIFTY_METAL!$B$3:$I$1238,8,0)</f>
        <v>1.0977577713606301E-2</v>
      </c>
      <c r="R895" s="8">
        <f>+VLOOKUP($B895,NIFTY_ENERGY!$B$3:$I$1238,8,0)</f>
        <v>-5.4344330825140119E-4</v>
      </c>
      <c r="S895" s="8">
        <f>+VLOOKUP($B895,NIFTY_AUTO!$B$3:$I$1238,8,0)</f>
        <v>1.2164340627227821E-2</v>
      </c>
      <c r="T895" s="8">
        <v>0</v>
      </c>
      <c r="U895" s="8">
        <f>+VLOOKUP($B895,NIFTY_50!$B$63:$K$1238,10,0)</f>
        <v>0.27270218828484882</v>
      </c>
      <c r="V895" s="8">
        <f>+VLOOKUP($B895,NIFTY_BANK!$B$63:$K$1238,10,0)</f>
        <v>0.26936021159482437</v>
      </c>
      <c r="W895" s="8">
        <f>+VLOOKUP($B895,NIFTY_IT!$B$63:$K$1238,10,0)</f>
        <v>0.34660062766796074</v>
      </c>
      <c r="X895" s="8">
        <f>+VLOOKUP($B895,NIFTY_PHARMA!$B$63:$K$1238,10,0)</f>
        <v>0.26345133522664743</v>
      </c>
      <c r="Y895" s="8">
        <f>+VLOOKUP($B895,NIFTY_FMCG!$B$63:$K$1238,10,0)</f>
        <v>0.17744067371238947</v>
      </c>
      <c r="Z895" s="8">
        <f>+VLOOKUP($B895,NIFTY_METAL!$B$63:$K$1238,10,0)</f>
        <v>0.4057158040801867</v>
      </c>
      <c r="AA895" s="8">
        <f>+VLOOKUP($B895,NIFTY_ENERGY!$B$63:$K$1238,10,0)</f>
        <v>0.26885456044808409</v>
      </c>
      <c r="AB895" s="8">
        <f>+VLOOKUP($B895,NIFTY_AUTO!$B$63:$K$1238,10,0)</f>
        <v>0.43629867940176625</v>
      </c>
      <c r="AC895" s="8">
        <f>+VLOOKUP($B895,EBBETF0430!$B$63:$K$1238,10,0)</f>
        <v>-0.27616290442470948</v>
      </c>
      <c r="AD895" s="16">
        <f t="shared" si="482"/>
        <v>8.6370138679237693E-2</v>
      </c>
      <c r="AE895" s="8">
        <f t="shared" si="483"/>
        <v>0.16092312570919157</v>
      </c>
      <c r="AF895" s="8">
        <f t="shared" si="484"/>
        <v>0.11204048137664879</v>
      </c>
      <c r="AG895" s="8">
        <f t="shared" si="485"/>
        <v>0.11888689984690667</v>
      </c>
      <c r="AH895" s="8">
        <f t="shared" si="486"/>
        <v>6.5428130419224809E-2</v>
      </c>
      <c r="AI895" s="8">
        <f t="shared" si="487"/>
        <v>0.12443527679023332</v>
      </c>
      <c r="AJ895" s="8">
        <f t="shared" si="488"/>
        <v>0.1095422823909929</v>
      </c>
      <c r="AK895" s="8">
        <f t="shared" si="489"/>
        <v>0.10704524047101549</v>
      </c>
      <c r="AL895" s="9">
        <v>0</v>
      </c>
      <c r="AM895" s="17">
        <f t="shared" si="466"/>
        <v>11.578075655450899</v>
      </c>
      <c r="AN895" s="13">
        <f t="shared" si="467"/>
        <v>6.2141472556724162</v>
      </c>
      <c r="AO895" s="13">
        <f t="shared" si="468"/>
        <v>8.9253454440121462</v>
      </c>
      <c r="AP895" s="13">
        <f t="shared" si="469"/>
        <v>8.4113556774356333</v>
      </c>
      <c r="AQ895" s="13">
        <f t="shared" si="470"/>
        <v>15.283945813407639</v>
      </c>
      <c r="AR895" s="13">
        <f t="shared" si="471"/>
        <v>8.0363063095503797</v>
      </c>
      <c r="AS895" s="13">
        <f t="shared" si="472"/>
        <v>9.1288950547028662</v>
      </c>
      <c r="AT895" s="13">
        <f t="shared" si="473"/>
        <v>9.3418445845872871</v>
      </c>
      <c r="AU895" s="9">
        <v>0</v>
      </c>
      <c r="AV895" s="18">
        <f t="shared" si="490"/>
        <v>2</v>
      </c>
      <c r="AW895" s="18">
        <f t="shared" si="491"/>
        <v>8</v>
      </c>
      <c r="AX895" s="18">
        <f t="shared" si="492"/>
        <v>5</v>
      </c>
      <c r="AY895" s="18">
        <f t="shared" si="493"/>
        <v>6</v>
      </c>
      <c r="AZ895" s="18">
        <f t="shared" si="494"/>
        <v>1</v>
      </c>
      <c r="BA895" s="18">
        <f t="shared" si="495"/>
        <v>7</v>
      </c>
      <c r="BB895" s="18">
        <f t="shared" si="496"/>
        <v>4</v>
      </c>
      <c r="BC895" s="18">
        <f t="shared" si="497"/>
        <v>3</v>
      </c>
      <c r="BD895" s="18">
        <f t="shared" si="498"/>
        <v>9</v>
      </c>
      <c r="BE895" s="8">
        <f t="shared" si="500"/>
        <v>-1.8339651175689076E-3</v>
      </c>
    </row>
    <row r="896" spans="1:57" x14ac:dyDescent="0.25">
      <c r="A896" t="str">
        <f t="shared" si="499"/>
        <v/>
      </c>
      <c r="B896" s="1">
        <v>44057</v>
      </c>
      <c r="C896" s="9">
        <f t="shared" si="474"/>
        <v>0.24847583575973842</v>
      </c>
      <c r="D896" s="9">
        <f t="shared" si="475"/>
        <v>0</v>
      </c>
      <c r="E896" s="9">
        <f t="shared" si="476"/>
        <v>0.24547286905111329</v>
      </c>
      <c r="F896" s="9">
        <f t="shared" si="477"/>
        <v>0.25699421490572377</v>
      </c>
      <c r="G896" s="9">
        <f t="shared" si="478"/>
        <v>0.24905708028342458</v>
      </c>
      <c r="H896" s="9">
        <f t="shared" si="479"/>
        <v>0</v>
      </c>
      <c r="I896" s="9">
        <f t="shared" si="480"/>
        <v>0</v>
      </c>
      <c r="J896" s="9">
        <f t="shared" si="481"/>
        <v>0</v>
      </c>
      <c r="K896" s="9">
        <v>0</v>
      </c>
      <c r="L896" s="8">
        <f>+VLOOKUP($B896,NIFTY_50!$B$3:$I$1238,8,0)</f>
        <v>-1.0800454849143271E-2</v>
      </c>
      <c r="M896" s="8">
        <f>+VLOOKUP($B896,NIFTY_BANK!$B$3:$I$41238,8,0)</f>
        <v>-2.3289865225588735E-2</v>
      </c>
      <c r="N896" s="8">
        <f>+VLOOKUP($B896,NIFTY_IT!$B$3:$I$1238,8,0)</f>
        <v>-4.66941327206849E-3</v>
      </c>
      <c r="O896" s="8">
        <f>+VLOOKUP($B896,NIFTY_PHARMA!$B$3:$I$1238,8,0)</f>
        <v>1.4153224225580185E-2</v>
      </c>
      <c r="P896" s="8">
        <f>+VLOOKUP($B896,NIFTY_FMCG!$B$3:$I$1238,8,0)</f>
        <v>-1.358462682537509E-2</v>
      </c>
      <c r="Q896" s="8">
        <f>+VLOOKUP($B896,NIFTY_METAL!$B$3:$I$1238,8,0)</f>
        <v>1.0564341671392308E-2</v>
      </c>
      <c r="R896" s="8">
        <f>+VLOOKUP($B896,NIFTY_ENERGY!$B$3:$I$1238,8,0)</f>
        <v>-9.3690377753682386E-3</v>
      </c>
      <c r="S896" s="8">
        <f>+VLOOKUP($B896,NIFTY_AUTO!$B$3:$I$1238,8,0)</f>
        <v>-2.5648021828103773E-2</v>
      </c>
      <c r="T896" s="8">
        <v>0</v>
      </c>
      <c r="U896" s="8">
        <f>+VLOOKUP($B896,NIFTY_50!$B$63:$K$1238,10,0)</f>
        <v>0.23292762958346902</v>
      </c>
      <c r="V896" s="8">
        <f>+VLOOKUP($B896,NIFTY_BANK!$B$63:$K$1238,10,0)</f>
        <v>0.21519938117285675</v>
      </c>
      <c r="W896" s="8">
        <f>+VLOOKUP($B896,NIFTY_IT!$B$63:$K$1238,10,0)</f>
        <v>0.33329264503528799</v>
      </c>
      <c r="X896" s="8">
        <f>+VLOOKUP($B896,NIFTY_PHARMA!$B$63:$K$1238,10,0)</f>
        <v>0.23090263091109042</v>
      </c>
      <c r="Y896" s="8">
        <f>+VLOOKUP($B896,NIFTY_FMCG!$B$63:$K$1238,10,0)</f>
        <v>0.14465186412046749</v>
      </c>
      <c r="Z896" s="8">
        <f>+VLOOKUP($B896,NIFTY_METAL!$B$63:$K$1238,10,0)</f>
        <v>0.40566754309085606</v>
      </c>
      <c r="AA896" s="8">
        <f>+VLOOKUP($B896,NIFTY_ENERGY!$B$63:$K$1238,10,0)</f>
        <v>0.23075908382300048</v>
      </c>
      <c r="AB896" s="8">
        <f>+VLOOKUP($B896,NIFTY_AUTO!$B$63:$K$1238,10,0)</f>
        <v>0.37007923194974834</v>
      </c>
      <c r="AC896" s="8">
        <f>+VLOOKUP($B896,EBBETF0430!$B$63:$K$1238,10,0)</f>
        <v>-0.60831844029244508</v>
      </c>
      <c r="AD896" s="16">
        <f t="shared" si="482"/>
        <v>8.5853132243925379E-2</v>
      </c>
      <c r="AE896" s="8">
        <f t="shared" si="483"/>
        <v>0.16234948470730926</v>
      </c>
      <c r="AF896" s="8">
        <f t="shared" si="484"/>
        <v>0.11244874176294958</v>
      </c>
      <c r="AG896" s="8">
        <f t="shared" si="485"/>
        <v>0.11338512380860816</v>
      </c>
      <c r="AH896" s="8">
        <f t="shared" si="486"/>
        <v>6.6261168802716708E-2</v>
      </c>
      <c r="AI896" s="8">
        <f t="shared" si="487"/>
        <v>0.12443392243937847</v>
      </c>
      <c r="AJ896" s="8">
        <f t="shared" si="488"/>
        <v>0.10892335949730822</v>
      </c>
      <c r="AK896" s="8">
        <f t="shared" si="489"/>
        <v>0.11040725710846053</v>
      </c>
      <c r="AL896" s="9">
        <v>0</v>
      </c>
      <c r="AM896" s="17">
        <f t="shared" ref="AM896:AM959" si="501">1/AD896</f>
        <v>11.647798675053652</v>
      </c>
      <c r="AN896" s="13">
        <f t="shared" ref="AN896:AN959" si="502">1/AE896</f>
        <v>6.159551425758103</v>
      </c>
      <c r="AO896" s="13">
        <f t="shared" ref="AO896:AO959" si="503">1/AF896</f>
        <v>8.8929407685865911</v>
      </c>
      <c r="AP896" s="13">
        <f t="shared" ref="AP896:AP959" si="504">1/AG896</f>
        <v>8.8194991230770281</v>
      </c>
      <c r="AQ896" s="13">
        <f t="shared" ref="AQ896:AQ959" si="505">1/AH896</f>
        <v>15.091795361735304</v>
      </c>
      <c r="AR896" s="13">
        <f t="shared" ref="AR896:AR959" si="506">1/AI896</f>
        <v>8.0363937774860261</v>
      </c>
      <c r="AS896" s="13">
        <f t="shared" ref="AS896:AS959" si="507">1/AJ896</f>
        <v>9.1807671432013862</v>
      </c>
      <c r="AT896" s="13">
        <f t="shared" ref="AT896:AT959" si="508">1/AK896</f>
        <v>9.0573756308213706</v>
      </c>
      <c r="AU896" s="9">
        <v>0</v>
      </c>
      <c r="AV896" s="18">
        <f t="shared" si="490"/>
        <v>2</v>
      </c>
      <c r="AW896" s="18">
        <f t="shared" si="491"/>
        <v>8</v>
      </c>
      <c r="AX896" s="18">
        <f t="shared" si="492"/>
        <v>5</v>
      </c>
      <c r="AY896" s="18">
        <f t="shared" si="493"/>
        <v>6</v>
      </c>
      <c r="AZ896" s="18">
        <f t="shared" si="494"/>
        <v>1</v>
      </c>
      <c r="BA896" s="18">
        <f t="shared" si="495"/>
        <v>7</v>
      </c>
      <c r="BB896" s="18">
        <f t="shared" si="496"/>
        <v>3</v>
      </c>
      <c r="BC896" s="18">
        <f t="shared" si="497"/>
        <v>4</v>
      </c>
      <c r="BD896" s="18">
        <f t="shared" si="498"/>
        <v>9</v>
      </c>
      <c r="BE896" s="8">
        <f t="shared" si="500"/>
        <v>-3.694252865839302E-3</v>
      </c>
    </row>
    <row r="897" spans="1:57" x14ac:dyDescent="0.25">
      <c r="A897" t="str">
        <f t="shared" si="499"/>
        <v/>
      </c>
      <c r="B897" s="1">
        <v>44060</v>
      </c>
      <c r="C897" s="9">
        <f t="shared" ref="C897:C960" si="509">+IF($A897="Y",IF(AV897&lt;=4,0.25,0),C896*(1+L897)/SUMPRODUCT($C896:$J896,1+$L897:$S897))</f>
        <v>0.24858134255148848</v>
      </c>
      <c r="D897" s="9">
        <f t="shared" ref="D897:D960" si="510">+IF($A897="Y",IF(AW897&lt;=4,0.25,0),D896*(1+M897)/SUMPRODUCT($C896:$J896,1+$L897:$S897))</f>
        <v>0</v>
      </c>
      <c r="E897" s="9">
        <f t="shared" ref="E897:E960" si="511">+IF($A897="Y",IF(AX897&lt;=4,0.25,0),E896*(1+N897)/SUMPRODUCT($C896:$J896,1+$L897:$S897))</f>
        <v>0.24679848124262507</v>
      </c>
      <c r="F897" s="9">
        <f t="shared" ref="F897:F960" si="512">+IF($A897="Y",IF(AY897&lt;=4,0.25,0),F896*(1+O897)/SUMPRODUCT($C896:$J896,1+$L897:$S897))</f>
        <v>0.25454394097372585</v>
      </c>
      <c r="G897" s="9">
        <f t="shared" ref="G897:G960" si="513">+IF($A897="Y",IF(AZ897&lt;=4,0.25,0),G896*(1+P897)/SUMPRODUCT($C896:$J896,1+$L897:$S897))</f>
        <v>0.25007623523216055</v>
      </c>
      <c r="H897" s="9">
        <f t="shared" ref="H897:H960" si="514">+IF($A897="Y",IF(BA897&lt;=4,0.25,0),H896*(1+Q897)/SUMPRODUCT($C896:$J896,1+$L897:$S897))</f>
        <v>0</v>
      </c>
      <c r="I897" s="9">
        <f t="shared" ref="I897:I960" si="515">+IF($A897="Y",IF(BB897&lt;=4,0.25,0),I896*(1+R897)/SUMPRODUCT($C896:$J896,1+$L897:$S897))</f>
        <v>0</v>
      </c>
      <c r="J897" s="9">
        <f t="shared" ref="J897:J960" si="516">+IF($A897="Y",IF(BC897&lt;=4,0.25,0),J896*(1+S897)/SUMPRODUCT($C896:$J896,1+$L897:$S897))</f>
        <v>0</v>
      </c>
      <c r="K897" s="9">
        <v>0</v>
      </c>
      <c r="L897" s="8">
        <f>+VLOOKUP($B897,NIFTY_50!$B$3:$I$1238,8,0)</f>
        <v>6.1457811493594861E-3</v>
      </c>
      <c r="M897" s="8">
        <f>+VLOOKUP($B897,NIFTY_BANK!$B$3:$I$41238,8,0)</f>
        <v>9.8941852634282235E-4</v>
      </c>
      <c r="N897" s="8">
        <f>+VLOOKUP($B897,NIFTY_IT!$B$3:$I$1238,8,0)</f>
        <v>1.114985865008733E-2</v>
      </c>
      <c r="O897" s="8">
        <f>+VLOOKUP($B897,NIFTY_PHARMA!$B$3:$I$1238,8,0)</f>
        <v>-3.8701419195216191E-3</v>
      </c>
      <c r="P897" s="8">
        <f>+VLOOKUP($B897,NIFTY_FMCG!$B$3:$I$1238,8,0)</f>
        <v>9.8341920644600123E-3</v>
      </c>
      <c r="Q897" s="8">
        <f>+VLOOKUP($B897,NIFTY_METAL!$B$3:$I$1238,8,0)</f>
        <v>2.4295452656081018E-2</v>
      </c>
      <c r="R897" s="8">
        <f>+VLOOKUP($B897,NIFTY_ENERGY!$B$3:$I$1238,8,0)</f>
        <v>1.2569056736137396E-2</v>
      </c>
      <c r="S897" s="8">
        <f>+VLOOKUP($B897,NIFTY_AUTO!$B$3:$I$1238,8,0)</f>
        <v>2.4473634510559839E-2</v>
      </c>
      <c r="T897" s="8">
        <v>0</v>
      </c>
      <c r="U897" s="8">
        <f>+VLOOKUP($B897,NIFTY_50!$B$63:$K$1238,10,0)</f>
        <v>0.23509677419354835</v>
      </c>
      <c r="V897" s="8">
        <f>+VLOOKUP($B897,NIFTY_BANK!$B$63:$K$1238,10,0)</f>
        <v>0.22361024183680955</v>
      </c>
      <c r="W897" s="8">
        <f>+VLOOKUP($B897,NIFTY_IT!$B$63:$K$1238,10,0)</f>
        <v>0.33526769686178826</v>
      </c>
      <c r="X897" s="8">
        <f>+VLOOKUP($B897,NIFTY_PHARMA!$B$63:$K$1238,10,0)</f>
        <v>0.21792858605857868</v>
      </c>
      <c r="Y897" s="8">
        <f>+VLOOKUP($B897,NIFTY_FMCG!$B$63:$K$1238,10,0)</f>
        <v>0.1311735533633831</v>
      </c>
      <c r="Z897" s="8">
        <f>+VLOOKUP($B897,NIFTY_METAL!$B$63:$K$1238,10,0)</f>
        <v>0.41387916690573179</v>
      </c>
      <c r="AA897" s="8">
        <f>+VLOOKUP($B897,NIFTY_ENERGY!$B$63:$K$1238,10,0)</f>
        <v>0.246816662134276</v>
      </c>
      <c r="AB897" s="8">
        <f>+VLOOKUP($B897,NIFTY_AUTO!$B$63:$K$1238,10,0)</f>
        <v>0.36794552948746939</v>
      </c>
      <c r="AC897" s="8">
        <f>+VLOOKUP($B897,EBBETF0430!$B$63:$K$1238,10,0)</f>
        <v>-0.77182577468237346</v>
      </c>
      <c r="AD897" s="16">
        <f t="shared" ref="AD897:AD960" si="517">+_xlfn.STDEV.S(L837:L897)*SQRT(60)</f>
        <v>8.5889122766666284E-2</v>
      </c>
      <c r="AE897" s="8">
        <f t="shared" ref="AE897:AE960" si="518">+_xlfn.STDEV.S(M837:M897)*SQRT(60)</f>
        <v>0.16209828430814074</v>
      </c>
      <c r="AF897" s="8">
        <f t="shared" ref="AF897:AF960" si="519">+_xlfn.STDEV.S(N837:N897)*SQRT(60)</f>
        <v>0.11252267746638667</v>
      </c>
      <c r="AG897" s="8">
        <f t="shared" ref="AG897:AG960" si="520">+_xlfn.STDEV.S(O837:O897)*SQRT(60)</f>
        <v>0.11357151092804341</v>
      </c>
      <c r="AH897" s="8">
        <f t="shared" ref="AH897:AH960" si="521">+_xlfn.STDEV.S(P837:P897)*SQRT(60)</f>
        <v>6.3725557840502337E-2</v>
      </c>
      <c r="AI897" s="8">
        <f t="shared" ref="AI897:AI960" si="522">+_xlfn.STDEV.S(Q837:Q897)*SQRT(60)</f>
        <v>0.12517504332815646</v>
      </c>
      <c r="AJ897" s="8">
        <f t="shared" ref="AJ897:AJ960" si="523">+_xlfn.STDEV.S(R837:R897)*SQRT(60)</f>
        <v>0.10921456940355791</v>
      </c>
      <c r="AK897" s="8">
        <f t="shared" ref="AK897:AK960" si="524">+_xlfn.STDEV.S(S837:S897)*SQRT(60)</f>
        <v>0.1101172478564597</v>
      </c>
      <c r="AL897" s="9">
        <v>0</v>
      </c>
      <c r="AM897" s="17">
        <f t="shared" si="501"/>
        <v>11.642917843237091</v>
      </c>
      <c r="AN897" s="13">
        <f t="shared" si="502"/>
        <v>6.1690967567494415</v>
      </c>
      <c r="AO897" s="13">
        <f t="shared" si="503"/>
        <v>8.8870974501893176</v>
      </c>
      <c r="AP897" s="13">
        <f t="shared" si="504"/>
        <v>8.8050250615542094</v>
      </c>
      <c r="AQ897" s="13">
        <f t="shared" si="505"/>
        <v>15.692291034986052</v>
      </c>
      <c r="AR897" s="13">
        <f t="shared" si="506"/>
        <v>7.9888128928257647</v>
      </c>
      <c r="AS897" s="13">
        <f t="shared" si="507"/>
        <v>9.1562875306948079</v>
      </c>
      <c r="AT897" s="13">
        <f t="shared" si="508"/>
        <v>9.0812295027889043</v>
      </c>
      <c r="AU897" s="9">
        <v>0</v>
      </c>
      <c r="AV897" s="18">
        <f t="shared" ref="AV897:AV960" si="525">+RANK(AM897,$AM897:$AU897)</f>
        <v>2</v>
      </c>
      <c r="AW897" s="18">
        <f t="shared" ref="AW897:AW960" si="526">+RANK(AN897,$AM897:$AU897)</f>
        <v>8</v>
      </c>
      <c r="AX897" s="18">
        <f t="shared" ref="AX897:AX960" si="527">+RANK(AO897,$AM897:$AU897)</f>
        <v>5</v>
      </c>
      <c r="AY897" s="18">
        <f t="shared" ref="AY897:AY960" si="528">+RANK(AP897,$AM897:$AU897)</f>
        <v>6</v>
      </c>
      <c r="AZ897" s="18">
        <f t="shared" ref="AZ897:AZ960" si="529">+RANK(AQ897,$AM897:$AU897)</f>
        <v>1</v>
      </c>
      <c r="BA897" s="18">
        <f t="shared" ref="BA897:BA960" si="530">+RANK(AR897,$AM897:$AU897)</f>
        <v>7</v>
      </c>
      <c r="BB897" s="18">
        <f t="shared" ref="BB897:BB960" si="531">+RANK(AS897,$AM897:$AU897)</f>
        <v>3</v>
      </c>
      <c r="BC897" s="18">
        <f t="shared" ref="BC897:BC960" si="532">+RANK(AT897,$AM897:$AU897)</f>
        <v>4</v>
      </c>
      <c r="BD897" s="18">
        <f t="shared" ref="BD897:BD960" si="533">+RANK(AU897,$AM897:$AU897)</f>
        <v>9</v>
      </c>
      <c r="BE897" s="8">
        <f t="shared" si="500"/>
        <v>5.7187369781744983E-3</v>
      </c>
    </row>
    <row r="898" spans="1:57" x14ac:dyDescent="0.25">
      <c r="A898" t="str">
        <f t="shared" si="499"/>
        <v/>
      </c>
      <c r="B898" s="1">
        <v>44061</v>
      </c>
      <c r="C898" s="9">
        <f t="shared" si="509"/>
        <v>0.25042886413716875</v>
      </c>
      <c r="D898" s="9">
        <f t="shared" si="510"/>
        <v>0</v>
      </c>
      <c r="E898" s="9">
        <f t="shared" si="511"/>
        <v>0.24624374113721248</v>
      </c>
      <c r="F898" s="9">
        <f t="shared" si="512"/>
        <v>0.25302372084332747</v>
      </c>
      <c r="G898" s="9">
        <f t="shared" si="513"/>
        <v>0.25030367388229141</v>
      </c>
      <c r="H898" s="9">
        <f t="shared" si="514"/>
        <v>0</v>
      </c>
      <c r="I898" s="9">
        <f t="shared" si="515"/>
        <v>0</v>
      </c>
      <c r="J898" s="9">
        <f t="shared" si="516"/>
        <v>0</v>
      </c>
      <c r="K898" s="9">
        <v>0</v>
      </c>
      <c r="L898" s="8">
        <f>+VLOOKUP($B898,NIFTY_50!$B$3:$I$1238,8,0)</f>
        <v>1.2292057508157761E-2</v>
      </c>
      <c r="M898" s="8">
        <f>+VLOOKUP($B898,NIFTY_BANK!$B$3:$I$41238,8,0)</f>
        <v>2.1646617528806367E-2</v>
      </c>
      <c r="N898" s="8">
        <f>+VLOOKUP($B898,NIFTY_IT!$B$3:$I$1238,8,0)</f>
        <v>2.565354814636045E-3</v>
      </c>
      <c r="O898" s="8">
        <f>+VLOOKUP($B898,NIFTY_PHARMA!$B$3:$I$1238,8,0)</f>
        <v>-1.1771960311676155E-3</v>
      </c>
      <c r="P898" s="8">
        <f>+VLOOKUP($B898,NIFTY_FMCG!$B$3:$I$1238,8,0)</f>
        <v>5.7378075552025898E-3</v>
      </c>
      <c r="Q898" s="8">
        <f>+VLOOKUP($B898,NIFTY_METAL!$B$3:$I$1238,8,0)</f>
        <v>1.755097899969571E-2</v>
      </c>
      <c r="R898" s="8">
        <f>+VLOOKUP($B898,NIFTY_ENERGY!$B$3:$I$1238,8,0)</f>
        <v>2.9444877457347474E-3</v>
      </c>
      <c r="S898" s="8">
        <f>+VLOOKUP($B898,NIFTY_AUTO!$B$3:$I$1238,8,0)</f>
        <v>9.7005295243179912E-3</v>
      </c>
      <c r="T898" s="8">
        <v>0</v>
      </c>
      <c r="U898" s="8">
        <f>+VLOOKUP($B898,NIFTY_50!$B$63:$K$1238,10,0)</f>
        <v>0.25954586940288182</v>
      </c>
      <c r="V898" s="8">
        <f>+VLOOKUP($B898,NIFTY_BANK!$B$63:$K$1238,10,0)</f>
        <v>0.28310251231270489</v>
      </c>
      <c r="W898" s="8">
        <f>+VLOOKUP($B898,NIFTY_IT!$B$63:$K$1238,10,0)</f>
        <v>0.31985927549999449</v>
      </c>
      <c r="X898" s="8">
        <f>+VLOOKUP($B898,NIFTY_PHARMA!$B$63:$K$1238,10,0)</f>
        <v>0.2063454036966248</v>
      </c>
      <c r="Y898" s="8">
        <f>+VLOOKUP($B898,NIFTY_FMCG!$B$63:$K$1238,10,0)</f>
        <v>0.14179931692464942</v>
      </c>
      <c r="Z898" s="8">
        <f>+VLOOKUP($B898,NIFTY_METAL!$B$63:$K$1238,10,0)</f>
        <v>0.46598848256306824</v>
      </c>
      <c r="AA898" s="8">
        <f>+VLOOKUP($B898,NIFTY_ENERGY!$B$63:$K$1238,10,0)</f>
        <v>0.25440584745116768</v>
      </c>
      <c r="AB898" s="8">
        <f>+VLOOKUP($B898,NIFTY_AUTO!$B$63:$K$1238,10,0)</f>
        <v>0.37711981966360342</v>
      </c>
      <c r="AC898" s="8">
        <f>+VLOOKUP($B898,EBBETF0430!$B$63:$K$1238,10,0)</f>
        <v>-0.5501098096632504</v>
      </c>
      <c r="AD898" s="16">
        <f t="shared" si="517"/>
        <v>8.560919485653383E-2</v>
      </c>
      <c r="AE898" s="8">
        <f t="shared" si="518"/>
        <v>0.16034876573546708</v>
      </c>
      <c r="AF898" s="8">
        <f t="shared" si="519"/>
        <v>0.11214135460765065</v>
      </c>
      <c r="AG898" s="8">
        <f t="shared" si="520"/>
        <v>0.11354153539999111</v>
      </c>
      <c r="AH898" s="8">
        <f t="shared" si="521"/>
        <v>6.3567553315043324E-2</v>
      </c>
      <c r="AI898" s="8">
        <f t="shared" si="522"/>
        <v>0.12323801331327737</v>
      </c>
      <c r="AJ898" s="8">
        <f t="shared" si="523"/>
        <v>0.10899994840969666</v>
      </c>
      <c r="AK898" s="8">
        <f t="shared" si="524"/>
        <v>0.11018037889284825</v>
      </c>
      <c r="AL898" s="9">
        <v>0</v>
      </c>
      <c r="AM898" s="17">
        <f t="shared" si="501"/>
        <v>11.680988259214757</v>
      </c>
      <c r="AN898" s="13">
        <f t="shared" si="502"/>
        <v>6.2364059705313517</v>
      </c>
      <c r="AO898" s="13">
        <f t="shared" si="503"/>
        <v>8.9173169300362343</v>
      </c>
      <c r="AP898" s="13">
        <f t="shared" si="504"/>
        <v>8.8073496318077655</v>
      </c>
      <c r="AQ898" s="13">
        <f t="shared" si="505"/>
        <v>15.731296044130568</v>
      </c>
      <c r="AR898" s="13">
        <f t="shared" si="506"/>
        <v>8.1143794281878634</v>
      </c>
      <c r="AS898" s="13">
        <f t="shared" si="507"/>
        <v>9.174316268860176</v>
      </c>
      <c r="AT898" s="13">
        <f t="shared" si="508"/>
        <v>9.0760261495607324</v>
      </c>
      <c r="AU898" s="9">
        <v>0</v>
      </c>
      <c r="AV898" s="18">
        <f t="shared" si="525"/>
        <v>2</v>
      </c>
      <c r="AW898" s="18">
        <f t="shared" si="526"/>
        <v>8</v>
      </c>
      <c r="AX898" s="18">
        <f t="shared" si="527"/>
        <v>5</v>
      </c>
      <c r="AY898" s="18">
        <f t="shared" si="528"/>
        <v>6</v>
      </c>
      <c r="AZ898" s="18">
        <f t="shared" si="529"/>
        <v>1</v>
      </c>
      <c r="BA898" s="18">
        <f t="shared" si="530"/>
        <v>7</v>
      </c>
      <c r="BB898" s="18">
        <f t="shared" si="531"/>
        <v>3</v>
      </c>
      <c r="BC898" s="18">
        <f t="shared" si="532"/>
        <v>4</v>
      </c>
      <c r="BD898" s="18">
        <f t="shared" si="533"/>
        <v>9</v>
      </c>
      <c r="BE898" s="8">
        <f t="shared" si="500"/>
        <v>4.8239430250182694E-3</v>
      </c>
    </row>
    <row r="899" spans="1:57" x14ac:dyDescent="0.25">
      <c r="A899" t="str">
        <f t="shared" si="499"/>
        <v/>
      </c>
      <c r="B899" s="1">
        <v>44062</v>
      </c>
      <c r="C899" s="9">
        <f t="shared" si="509"/>
        <v>0.25152875346867309</v>
      </c>
      <c r="D899" s="9">
        <f t="shared" si="510"/>
        <v>0</v>
      </c>
      <c r="E899" s="9">
        <f t="shared" si="511"/>
        <v>0.24602172064167582</v>
      </c>
      <c r="F899" s="9">
        <f t="shared" si="512"/>
        <v>0.25266238893068932</v>
      </c>
      <c r="G899" s="9">
        <f t="shared" si="513"/>
        <v>0.24978713695896179</v>
      </c>
      <c r="H899" s="9">
        <f t="shared" si="514"/>
        <v>0</v>
      </c>
      <c r="I899" s="9">
        <f t="shared" si="515"/>
        <v>0</v>
      </c>
      <c r="J899" s="9">
        <f t="shared" si="516"/>
        <v>0</v>
      </c>
      <c r="K899" s="9">
        <v>0</v>
      </c>
      <c r="L899" s="8">
        <f>+VLOOKUP($B899,NIFTY_50!$B$3:$I$1238,8,0)</f>
        <v>2.024531525161688E-3</v>
      </c>
      <c r="M899" s="8">
        <f>+VLOOKUP($B899,NIFTY_BANK!$B$3:$I$41238,8,0)</f>
        <v>5.2005809495458966E-3</v>
      </c>
      <c r="N899" s="8">
        <f>+VLOOKUP($B899,NIFTY_IT!$B$3:$I$1238,8,0)</f>
        <v>-3.2566425930538045E-3</v>
      </c>
      <c r="O899" s="8">
        <f>+VLOOKUP($B899,NIFTY_PHARMA!$B$3:$I$1238,8,0)</f>
        <v>-3.7818282290165151E-3</v>
      </c>
      <c r="P899" s="8">
        <f>+VLOOKUP($B899,NIFTY_FMCG!$B$3:$I$1238,8,0)</f>
        <v>-4.4159155775284065E-3</v>
      </c>
      <c r="Q899" s="8">
        <f>+VLOOKUP($B899,NIFTY_METAL!$B$3:$I$1238,8,0)</f>
        <v>2.2532402791626271E-3</v>
      </c>
      <c r="R899" s="8">
        <f>+VLOOKUP($B899,NIFTY_ENERGY!$B$3:$I$1238,8,0)</f>
        <v>4.9666279698228344E-3</v>
      </c>
      <c r="S899" s="8">
        <f>+VLOOKUP($B899,NIFTY_AUTO!$B$3:$I$1238,8,0)</f>
        <v>-6.2957623223836023E-5</v>
      </c>
      <c r="T899" s="8">
        <v>0</v>
      </c>
      <c r="U899" s="8">
        <f>+VLOOKUP($B899,NIFTY_50!$B$63:$K$1238,10,0)</f>
        <v>0.26352163295141806</v>
      </c>
      <c r="V899" s="8">
        <f>+VLOOKUP($B899,NIFTY_BANK!$B$63:$K$1238,10,0)</f>
        <v>0.27783559389576484</v>
      </c>
      <c r="W899" s="8">
        <f>+VLOOKUP($B899,NIFTY_IT!$B$63:$K$1238,10,0)</f>
        <v>0.34150402027263427</v>
      </c>
      <c r="X899" s="8">
        <f>+VLOOKUP($B899,NIFTY_PHARMA!$B$63:$K$1238,10,0)</f>
        <v>0.21662888174197281</v>
      </c>
      <c r="Y899" s="8">
        <f>+VLOOKUP($B899,NIFTY_FMCG!$B$63:$K$1238,10,0)</f>
        <v>0.12316737962399937</v>
      </c>
      <c r="Z899" s="8">
        <f>+VLOOKUP($B899,NIFTY_METAL!$B$63:$K$1238,10,0)</f>
        <v>0.43089361459845721</v>
      </c>
      <c r="AA899" s="8">
        <f>+VLOOKUP($B899,NIFTY_ENERGY!$B$63:$K$1238,10,0)</f>
        <v>0.25499718440359276</v>
      </c>
      <c r="AB899" s="8">
        <f>+VLOOKUP($B899,NIFTY_AUTO!$B$63:$K$1238,10,0)</f>
        <v>0.35649864202381165</v>
      </c>
      <c r="AC899" s="8">
        <f>+VLOOKUP($B899,EBBETF0430!$B$63:$K$1238,10,0)</f>
        <v>-0.88634020618556697</v>
      </c>
      <c r="AD899" s="16">
        <f t="shared" si="517"/>
        <v>8.5482862564548442E-2</v>
      </c>
      <c r="AE899" s="8">
        <f t="shared" si="518"/>
        <v>0.16027119178857899</v>
      </c>
      <c r="AF899" s="8">
        <f t="shared" si="519"/>
        <v>0.10980946275183058</v>
      </c>
      <c r="AG899" s="8">
        <f t="shared" si="520"/>
        <v>0.11270445013713232</v>
      </c>
      <c r="AH899" s="8">
        <f t="shared" si="521"/>
        <v>6.3106538253864419E-2</v>
      </c>
      <c r="AI899" s="8">
        <f t="shared" si="522"/>
        <v>0.1215648919508307</v>
      </c>
      <c r="AJ899" s="8">
        <f t="shared" si="523"/>
        <v>0.10900388654251091</v>
      </c>
      <c r="AK899" s="8">
        <f t="shared" si="524"/>
        <v>0.10986212921345162</v>
      </c>
      <c r="AL899" s="9">
        <v>0</v>
      </c>
      <c r="AM899" s="17">
        <f t="shared" si="501"/>
        <v>11.698251204969839</v>
      </c>
      <c r="AN899" s="13">
        <f t="shared" si="502"/>
        <v>6.2394244956956797</v>
      </c>
      <c r="AO899" s="13">
        <f t="shared" si="503"/>
        <v>9.1066832943168148</v>
      </c>
      <c r="AP899" s="13">
        <f t="shared" si="504"/>
        <v>8.8727641081009434</v>
      </c>
      <c r="AQ899" s="13">
        <f t="shared" si="505"/>
        <v>15.846218595880016</v>
      </c>
      <c r="AR899" s="13">
        <f t="shared" si="506"/>
        <v>8.2260592178576495</v>
      </c>
      <c r="AS899" s="13">
        <f t="shared" si="507"/>
        <v>9.1739848157616439</v>
      </c>
      <c r="AT899" s="13">
        <f t="shared" si="508"/>
        <v>9.1023176699688353</v>
      </c>
      <c r="AU899" s="9">
        <v>0</v>
      </c>
      <c r="AV899" s="18">
        <f t="shared" si="525"/>
        <v>2</v>
      </c>
      <c r="AW899" s="18">
        <f t="shared" si="526"/>
        <v>8</v>
      </c>
      <c r="AX899" s="18">
        <f t="shared" si="527"/>
        <v>4</v>
      </c>
      <c r="AY899" s="18">
        <f t="shared" si="528"/>
        <v>6</v>
      </c>
      <c r="AZ899" s="18">
        <f t="shared" si="529"/>
        <v>1</v>
      </c>
      <c r="BA899" s="18">
        <f t="shared" si="530"/>
        <v>7</v>
      </c>
      <c r="BB899" s="18">
        <f t="shared" si="531"/>
        <v>3</v>
      </c>
      <c r="BC899" s="18">
        <f t="shared" si="532"/>
        <v>5</v>
      </c>
      <c r="BD899" s="18">
        <f t="shared" si="533"/>
        <v>9</v>
      </c>
      <c r="BE899" s="8">
        <f t="shared" si="500"/>
        <v>-2.3571388681097212E-3</v>
      </c>
    </row>
    <row r="900" spans="1:57" x14ac:dyDescent="0.25">
      <c r="A900" t="str">
        <f t="shared" ref="A900:A963" si="534">+IF(MONTH(B900)&lt;&gt;MONTH(B901),"Y","")</f>
        <v/>
      </c>
      <c r="B900" s="1">
        <v>44063</v>
      </c>
      <c r="C900" s="9">
        <f t="shared" si="509"/>
        <v>0.25049894196451589</v>
      </c>
      <c r="D900" s="9">
        <f t="shared" si="510"/>
        <v>0</v>
      </c>
      <c r="E900" s="9">
        <f t="shared" si="511"/>
        <v>0.24594813203700305</v>
      </c>
      <c r="F900" s="9">
        <f t="shared" si="512"/>
        <v>0.25383378627639724</v>
      </c>
      <c r="G900" s="9">
        <f t="shared" si="513"/>
        <v>0.24971913972208379</v>
      </c>
      <c r="H900" s="9">
        <f t="shared" si="514"/>
        <v>0</v>
      </c>
      <c r="I900" s="9">
        <f t="shared" si="515"/>
        <v>0</v>
      </c>
      <c r="J900" s="9">
        <f t="shared" si="516"/>
        <v>0</v>
      </c>
      <c r="K900" s="9">
        <v>0</v>
      </c>
      <c r="L900" s="8">
        <f>+VLOOKUP($B900,NIFTY_50!$B$3:$I$1238,8,0)</f>
        <v>-8.4323831562707063E-3</v>
      </c>
      <c r="M900" s="8">
        <f>+VLOOKUP($B900,NIFTY_BANK!$B$3:$I$41238,8,0)</f>
        <v>-1.285341852920463E-2</v>
      </c>
      <c r="N900" s="8">
        <f>+VLOOKUP($B900,NIFTY_IT!$B$3:$I$1238,8,0)</f>
        <v>-4.6538190144885805E-3</v>
      </c>
      <c r="O900" s="8">
        <f>+VLOOKUP($B900,NIFTY_PHARMA!$B$3:$I$1238,8,0)</f>
        <v>2.6001265394914874E-4</v>
      </c>
      <c r="P900" s="8">
        <f>+VLOOKUP($B900,NIFTY_FMCG!$B$3:$I$1238,8,0)</f>
        <v>-4.6270426343274496E-3</v>
      </c>
      <c r="Q900" s="8">
        <f>+VLOOKUP($B900,NIFTY_METAL!$B$3:$I$1238,8,0)</f>
        <v>1.0246105485148149E-2</v>
      </c>
      <c r="R900" s="8">
        <f>+VLOOKUP($B900,NIFTY_ENERGY!$B$3:$I$1238,8,0)</f>
        <v>1.5844577393075321E-2</v>
      </c>
      <c r="S900" s="8">
        <f>+VLOOKUP($B900,NIFTY_AUTO!$B$3:$I$1238,8,0)</f>
        <v>-3.7462144345734583E-3</v>
      </c>
      <c r="T900" s="8">
        <v>0</v>
      </c>
      <c r="U900" s="8">
        <f>+VLOOKUP($B900,NIFTY_50!$B$63:$K$1238,10,0)</f>
        <v>0.21441338922914244</v>
      </c>
      <c r="V900" s="8">
        <f>+VLOOKUP($B900,NIFTY_BANK!$B$63:$K$1238,10,0)</f>
        <v>0.1757778365681395</v>
      </c>
      <c r="W900" s="8">
        <f>+VLOOKUP($B900,NIFTY_IT!$B$63:$K$1238,10,0)</f>
        <v>0.29909194504368264</v>
      </c>
      <c r="X900" s="8">
        <f>+VLOOKUP($B900,NIFTY_PHARMA!$B$63:$K$1238,10,0)</f>
        <v>0.21949131946278921</v>
      </c>
      <c r="Y900" s="8">
        <f>+VLOOKUP($B900,NIFTY_FMCG!$B$63:$K$1238,10,0)</f>
        <v>0.11400518736889853</v>
      </c>
      <c r="Z900" s="8">
        <f>+VLOOKUP($B900,NIFTY_METAL!$B$63:$K$1238,10,0)</f>
        <v>0.40952116585704368</v>
      </c>
      <c r="AA900" s="8">
        <f>+VLOOKUP($B900,NIFTY_ENERGY!$B$63:$K$1238,10,0)</f>
        <v>0.25519131484474222</v>
      </c>
      <c r="AB900" s="8">
        <f>+VLOOKUP($B900,NIFTY_AUTO!$B$63:$K$1238,10,0)</f>
        <v>0.34164271360618637</v>
      </c>
      <c r="AC900" s="8">
        <f>+VLOOKUP($B900,EBBETF0430!$B$63:$K$1238,10,0)</f>
        <v>-0.57330394787274819</v>
      </c>
      <c r="AD900" s="16">
        <f t="shared" si="517"/>
        <v>8.1622981221839697E-2</v>
      </c>
      <c r="AE900" s="8">
        <f t="shared" si="518"/>
        <v>0.14544199583015194</v>
      </c>
      <c r="AF900" s="8">
        <f t="shared" si="519"/>
        <v>0.1077376992308568</v>
      </c>
      <c r="AG900" s="8">
        <f t="shared" si="520"/>
        <v>0.11261575972678736</v>
      </c>
      <c r="AH900" s="8">
        <f t="shared" si="521"/>
        <v>6.3417779154573375E-2</v>
      </c>
      <c r="AI900" s="8">
        <f t="shared" si="522"/>
        <v>0.12004080880853313</v>
      </c>
      <c r="AJ900" s="8">
        <f t="shared" si="523"/>
        <v>0.10902109130214264</v>
      </c>
      <c r="AK900" s="8">
        <f t="shared" si="524"/>
        <v>0.11018793136029824</v>
      </c>
      <c r="AL900" s="9">
        <v>0</v>
      </c>
      <c r="AM900" s="17">
        <f t="shared" si="501"/>
        <v>12.251451552377654</v>
      </c>
      <c r="AN900" s="13">
        <f t="shared" si="502"/>
        <v>6.8755932170224492</v>
      </c>
      <c r="AO900" s="13">
        <f t="shared" si="503"/>
        <v>9.2818020724317947</v>
      </c>
      <c r="AP900" s="13">
        <f t="shared" si="504"/>
        <v>8.8797518431351037</v>
      </c>
      <c r="AQ900" s="13">
        <f t="shared" si="505"/>
        <v>15.768448743098014</v>
      </c>
      <c r="AR900" s="13">
        <f t="shared" si="506"/>
        <v>8.3305003517180136</v>
      </c>
      <c r="AS900" s="13">
        <f t="shared" si="507"/>
        <v>9.1725370573349458</v>
      </c>
      <c r="AT900" s="13">
        <f t="shared" si="508"/>
        <v>9.075404063355613</v>
      </c>
      <c r="AU900" s="9">
        <v>0</v>
      </c>
      <c r="AV900" s="18">
        <f t="shared" si="525"/>
        <v>2</v>
      </c>
      <c r="AW900" s="18">
        <f t="shared" si="526"/>
        <v>8</v>
      </c>
      <c r="AX900" s="18">
        <f t="shared" si="527"/>
        <v>3</v>
      </c>
      <c r="AY900" s="18">
        <f t="shared" si="528"/>
        <v>6</v>
      </c>
      <c r="AZ900" s="18">
        <f t="shared" si="529"/>
        <v>1</v>
      </c>
      <c r="BA900" s="18">
        <f t="shared" si="530"/>
        <v>7</v>
      </c>
      <c r="BB900" s="18">
        <f t="shared" si="531"/>
        <v>4</v>
      </c>
      <c r="BC900" s="18">
        <f t="shared" si="532"/>
        <v>5</v>
      </c>
      <c r="BD900" s="18">
        <f t="shared" si="533"/>
        <v>9</v>
      </c>
      <c r="BE900" s="8">
        <f t="shared" ref="BE900:BE963" si="535">+SUMPRODUCT(C899:J899,L900:S900)</f>
        <v>-4.3560076994831401E-3</v>
      </c>
    </row>
    <row r="901" spans="1:57" x14ac:dyDescent="0.25">
      <c r="A901" t="str">
        <f t="shared" si="534"/>
        <v/>
      </c>
      <c r="B901" s="1">
        <v>44064</v>
      </c>
      <c r="C901" s="9">
        <f t="shared" si="509"/>
        <v>0.25095489838385399</v>
      </c>
      <c r="D901" s="9">
        <f t="shared" si="510"/>
        <v>0</v>
      </c>
      <c r="E901" s="9">
        <f t="shared" si="511"/>
        <v>0.2442865837531879</v>
      </c>
      <c r="F901" s="9">
        <f t="shared" si="512"/>
        <v>0.25458951061253082</v>
      </c>
      <c r="G901" s="9">
        <f t="shared" si="513"/>
        <v>0.2501690072504274</v>
      </c>
      <c r="H901" s="9">
        <f t="shared" si="514"/>
        <v>0</v>
      </c>
      <c r="I901" s="9">
        <f t="shared" si="515"/>
        <v>0</v>
      </c>
      <c r="J901" s="9">
        <f t="shared" si="516"/>
        <v>0</v>
      </c>
      <c r="K901" s="9">
        <v>0</v>
      </c>
      <c r="L901" s="8">
        <f>+VLOOKUP($B901,NIFTY_50!$B$3:$I$1238,8,0)</f>
        <v>5.2509679814713994E-3</v>
      </c>
      <c r="M901" s="8">
        <f>+VLOOKUP($B901,NIFTY_BANK!$B$3:$I$41238,8,0)</f>
        <v>1.3643522906254368E-2</v>
      </c>
      <c r="N901" s="8">
        <f>+VLOOKUP($B901,NIFTY_IT!$B$3:$I$1238,8,0)</f>
        <v>-3.3542791885733392E-3</v>
      </c>
      <c r="O901" s="8">
        <f>+VLOOKUP($B901,NIFTY_PHARMA!$B$3:$I$1238,8,0)</f>
        <v>6.411978268592522E-3</v>
      </c>
      <c r="P901" s="8">
        <f>+VLOOKUP($B901,NIFTY_FMCG!$B$3:$I$1238,8,0)</f>
        <v>5.2322049370385759E-3</v>
      </c>
      <c r="Q901" s="8">
        <f>+VLOOKUP($B901,NIFTY_METAL!$B$3:$I$1238,8,0)</f>
        <v>-6.0262318326834707E-3</v>
      </c>
      <c r="R901" s="8">
        <f>+VLOOKUP($B901,NIFTY_ENERGY!$B$3:$I$1238,8,0)</f>
        <v>7.7940222856409669E-3</v>
      </c>
      <c r="S901" s="8">
        <f>+VLOOKUP($B901,NIFTY_AUTO!$B$3:$I$1238,8,0)</f>
        <v>2.9197633854087801E-3</v>
      </c>
      <c r="T901" s="8">
        <v>0</v>
      </c>
      <c r="U901" s="8">
        <f>+VLOOKUP($B901,NIFTY_50!$B$63:$K$1238,10,0)</f>
        <v>0.19825923857493599</v>
      </c>
      <c r="V901" s="8">
        <f>+VLOOKUP($B901,NIFTY_BANK!$B$63:$K$1238,10,0)</f>
        <v>0.16326722240190294</v>
      </c>
      <c r="W901" s="8">
        <f>+VLOOKUP($B901,NIFTY_IT!$B$63:$K$1238,10,0)</f>
        <v>0.2877478864605163</v>
      </c>
      <c r="X901" s="8">
        <f>+VLOOKUP($B901,NIFTY_PHARMA!$B$63:$K$1238,10,0)</f>
        <v>0.22720693116382273</v>
      </c>
      <c r="Y901" s="8">
        <f>+VLOOKUP($B901,NIFTY_FMCG!$B$63:$K$1238,10,0)</f>
        <v>0.11081274866791335</v>
      </c>
      <c r="Z901" s="8">
        <f>+VLOOKUP($B901,NIFTY_METAL!$B$63:$K$1238,10,0)</f>
        <v>0.36817565735971813</v>
      </c>
      <c r="AA901" s="8">
        <f>+VLOOKUP($B901,NIFTY_ENERGY!$B$63:$K$1238,10,0)</f>
        <v>0.25226547294667179</v>
      </c>
      <c r="AB901" s="8">
        <f>+VLOOKUP($B901,NIFTY_AUTO!$B$63:$K$1238,10,0)</f>
        <v>0.29815290479852097</v>
      </c>
      <c r="AC901" s="8">
        <f>+VLOOKUP($B901,EBBETF0430!$B$63:$K$1238,10,0)</f>
        <v>-0.15629501924757339</v>
      </c>
      <c r="AD901" s="16">
        <f t="shared" si="517"/>
        <v>8.0132695352327393E-2</v>
      </c>
      <c r="AE901" s="8">
        <f t="shared" si="518"/>
        <v>0.1442111719789132</v>
      </c>
      <c r="AF901" s="8">
        <f t="shared" si="519"/>
        <v>0.1080050805941121</v>
      </c>
      <c r="AG901" s="8">
        <f t="shared" si="520"/>
        <v>0.11260650573724357</v>
      </c>
      <c r="AH901" s="8">
        <f t="shared" si="521"/>
        <v>6.3194341727601563E-2</v>
      </c>
      <c r="AI901" s="8">
        <f t="shared" si="522"/>
        <v>0.11916730163342387</v>
      </c>
      <c r="AJ901" s="8">
        <f t="shared" si="523"/>
        <v>0.10890956962331297</v>
      </c>
      <c r="AK901" s="8">
        <f t="shared" si="524"/>
        <v>0.10549389023712492</v>
      </c>
      <c r="AL901" s="9">
        <v>0</v>
      </c>
      <c r="AM901" s="17">
        <f t="shared" si="501"/>
        <v>12.47930068498508</v>
      </c>
      <c r="AN901" s="13">
        <f t="shared" si="502"/>
        <v>6.9342755230241222</v>
      </c>
      <c r="AO901" s="13">
        <f t="shared" si="503"/>
        <v>9.2588237006927905</v>
      </c>
      <c r="AP901" s="13">
        <f t="shared" si="504"/>
        <v>8.880481580108734</v>
      </c>
      <c r="AQ901" s="13">
        <f t="shared" si="505"/>
        <v>15.824201544981475</v>
      </c>
      <c r="AR901" s="13">
        <f t="shared" si="506"/>
        <v>8.3915636780645322</v>
      </c>
      <c r="AS901" s="13">
        <f t="shared" si="507"/>
        <v>9.1819295903813938</v>
      </c>
      <c r="AT901" s="13">
        <f t="shared" si="508"/>
        <v>9.4792219506953455</v>
      </c>
      <c r="AU901" s="9">
        <v>0</v>
      </c>
      <c r="AV901" s="18">
        <f t="shared" si="525"/>
        <v>2</v>
      </c>
      <c r="AW901" s="18">
        <f t="shared" si="526"/>
        <v>8</v>
      </c>
      <c r="AX901" s="18">
        <f t="shared" si="527"/>
        <v>4</v>
      </c>
      <c r="AY901" s="18">
        <f t="shared" si="528"/>
        <v>6</v>
      </c>
      <c r="AZ901" s="18">
        <f t="shared" si="529"/>
        <v>1</v>
      </c>
      <c r="BA901" s="18">
        <f t="shared" si="530"/>
        <v>7</v>
      </c>
      <c r="BB901" s="18">
        <f t="shared" si="531"/>
        <v>5</v>
      </c>
      <c r="BC901" s="18">
        <f t="shared" si="532"/>
        <v>3</v>
      </c>
      <c r="BD901" s="18">
        <f t="shared" si="533"/>
        <v>9</v>
      </c>
      <c r="BE901" s="8">
        <f t="shared" si="535"/>
        <v>3.424541660053659E-3</v>
      </c>
    </row>
    <row r="902" spans="1:57" x14ac:dyDescent="0.25">
      <c r="A902" t="str">
        <f t="shared" si="534"/>
        <v/>
      </c>
      <c r="B902" s="1">
        <v>44067</v>
      </c>
      <c r="C902" s="9">
        <f t="shared" si="509"/>
        <v>0.25286577716996855</v>
      </c>
      <c r="D902" s="9">
        <f t="shared" si="510"/>
        <v>0</v>
      </c>
      <c r="E902" s="9">
        <f t="shared" si="511"/>
        <v>0.24337615788556571</v>
      </c>
      <c r="F902" s="9">
        <f t="shared" si="512"/>
        <v>0.25347189434479356</v>
      </c>
      <c r="G902" s="9">
        <f t="shared" si="513"/>
        <v>0.25028617059967212</v>
      </c>
      <c r="H902" s="9">
        <f t="shared" si="514"/>
        <v>0</v>
      </c>
      <c r="I902" s="9">
        <f t="shared" si="515"/>
        <v>0</v>
      </c>
      <c r="J902" s="9">
        <f t="shared" si="516"/>
        <v>0</v>
      </c>
      <c r="K902" s="9">
        <v>0</v>
      </c>
      <c r="L902" s="8">
        <f>+VLOOKUP($B902,NIFTY_50!$B$3:$I$1238,8,0)</f>
        <v>8.3409546589749972E-3</v>
      </c>
      <c r="M902" s="8">
        <f>+VLOOKUP($B902,NIFTY_BANK!$B$3:$I$41238,8,0)</f>
        <v>2.3919711564333035E-2</v>
      </c>
      <c r="N902" s="8">
        <f>+VLOOKUP($B902,NIFTY_IT!$B$3:$I$1238,8,0)</f>
        <v>-3.0085301655659036E-3</v>
      </c>
      <c r="O902" s="8">
        <f>+VLOOKUP($B902,NIFTY_PHARMA!$B$3:$I$1238,8,0)</f>
        <v>-3.6720075075979963E-3</v>
      </c>
      <c r="P902" s="8">
        <f>+VLOOKUP($B902,NIFTY_FMCG!$B$3:$I$1238,8,0)</f>
        <v>1.1897077622102792E-3</v>
      </c>
      <c r="Q902" s="8">
        <f>+VLOOKUP($B902,NIFTY_METAL!$B$3:$I$1238,8,0)</f>
        <v>9.9064828023465168E-4</v>
      </c>
      <c r="R902" s="8">
        <f>+VLOOKUP($B902,NIFTY_ENERGY!$B$3:$I$1238,8,0)</f>
        <v>-8.9211611808259761E-4</v>
      </c>
      <c r="S902" s="8">
        <f>+VLOOKUP($B902,NIFTY_AUTO!$B$3:$I$1238,8,0)</f>
        <v>1.7265933179577697E-3</v>
      </c>
      <c r="T902" s="8">
        <v>0</v>
      </c>
      <c r="U902" s="8">
        <f>+VLOOKUP($B902,NIFTY_50!$B$63:$K$1238,10,0)</f>
        <v>0.1968779683308457</v>
      </c>
      <c r="V902" s="8">
        <f>+VLOOKUP($B902,NIFTY_BANK!$B$63:$K$1238,10,0)</f>
        <v>0.18322558913834874</v>
      </c>
      <c r="W902" s="8">
        <f>+VLOOKUP($B902,NIFTY_IT!$B$63:$K$1238,10,0)</f>
        <v>0.28553227936190728</v>
      </c>
      <c r="X902" s="8">
        <f>+VLOOKUP($B902,NIFTY_PHARMA!$B$63:$K$1238,10,0)</f>
        <v>0.18463751202833567</v>
      </c>
      <c r="Y902" s="8">
        <f>+VLOOKUP($B902,NIFTY_FMCG!$B$63:$K$1238,10,0)</f>
        <v>8.0044168420262185E-2</v>
      </c>
      <c r="Z902" s="8">
        <f>+VLOOKUP($B902,NIFTY_METAL!$B$63:$K$1238,10,0)</f>
        <v>0.34377742905019026</v>
      </c>
      <c r="AA902" s="8">
        <f>+VLOOKUP($B902,NIFTY_ENERGY!$B$63:$K$1238,10,0)</f>
        <v>0.23050419202940153</v>
      </c>
      <c r="AB902" s="8">
        <f>+VLOOKUP($B902,NIFTY_AUTO!$B$63:$K$1238,10,0)</f>
        <v>0.27812439698977287</v>
      </c>
      <c r="AC902" s="8">
        <f>+VLOOKUP($B902,EBBETF0430!$B$63:$K$1238,10,0)</f>
        <v>-0.58879403488358295</v>
      </c>
      <c r="AD902" s="16">
        <f t="shared" si="517"/>
        <v>8.0046820504768718E-2</v>
      </c>
      <c r="AE902" s="8">
        <f t="shared" si="518"/>
        <v>0.14569924669530065</v>
      </c>
      <c r="AF902" s="8">
        <f t="shared" si="519"/>
        <v>0.10810660025429177</v>
      </c>
      <c r="AG902" s="8">
        <f t="shared" si="520"/>
        <v>0.10903402697394778</v>
      </c>
      <c r="AH902" s="8">
        <f t="shared" si="521"/>
        <v>5.6559968774009241E-2</v>
      </c>
      <c r="AI902" s="8">
        <f t="shared" si="522"/>
        <v>0.11840861317846088</v>
      </c>
      <c r="AJ902" s="8">
        <f t="shared" si="523"/>
        <v>0.1082103496896414</v>
      </c>
      <c r="AK902" s="8">
        <f t="shared" si="524"/>
        <v>0.10469837025427223</v>
      </c>
      <c r="AL902" s="9">
        <v>0</v>
      </c>
      <c r="AM902" s="17">
        <f t="shared" si="501"/>
        <v>12.492688575187392</v>
      </c>
      <c r="AN902" s="13">
        <f t="shared" si="502"/>
        <v>6.8634534678912225</v>
      </c>
      <c r="AO902" s="13">
        <f t="shared" si="503"/>
        <v>9.2501290175416528</v>
      </c>
      <c r="AP902" s="13">
        <f t="shared" si="504"/>
        <v>9.1714488380671906</v>
      </c>
      <c r="AQ902" s="13">
        <f t="shared" si="505"/>
        <v>17.680349223593026</v>
      </c>
      <c r="AR902" s="13">
        <f t="shared" si="506"/>
        <v>8.4453315781415217</v>
      </c>
      <c r="AS902" s="13">
        <f t="shared" si="507"/>
        <v>9.2412602201924727</v>
      </c>
      <c r="AT902" s="13">
        <f t="shared" si="508"/>
        <v>9.5512470497046245</v>
      </c>
      <c r="AU902" s="9">
        <v>0</v>
      </c>
      <c r="AV902" s="18">
        <f t="shared" si="525"/>
        <v>2</v>
      </c>
      <c r="AW902" s="18">
        <f t="shared" si="526"/>
        <v>8</v>
      </c>
      <c r="AX902" s="18">
        <f t="shared" si="527"/>
        <v>4</v>
      </c>
      <c r="AY902" s="18">
        <f t="shared" si="528"/>
        <v>6</v>
      </c>
      <c r="AZ902" s="18">
        <f t="shared" si="529"/>
        <v>1</v>
      </c>
      <c r="BA902" s="18">
        <f t="shared" si="530"/>
        <v>7</v>
      </c>
      <c r="BB902" s="18">
        <f t="shared" si="531"/>
        <v>5</v>
      </c>
      <c r="BC902" s="18">
        <f t="shared" si="532"/>
        <v>3</v>
      </c>
      <c r="BD902" s="18">
        <f t="shared" si="533"/>
        <v>9</v>
      </c>
      <c r="BE902" s="8">
        <f t="shared" si="535"/>
        <v>7.210332880682568E-4</v>
      </c>
    </row>
    <row r="903" spans="1:57" x14ac:dyDescent="0.25">
      <c r="A903" t="str">
        <f t="shared" si="534"/>
        <v/>
      </c>
      <c r="B903" s="1">
        <v>44068</v>
      </c>
      <c r="C903" s="9">
        <f t="shared" si="509"/>
        <v>0.25385557290645372</v>
      </c>
      <c r="D903" s="9">
        <f t="shared" si="510"/>
        <v>0</v>
      </c>
      <c r="E903" s="9">
        <f t="shared" si="511"/>
        <v>0.24370022148910034</v>
      </c>
      <c r="F903" s="9">
        <f t="shared" si="512"/>
        <v>0.25274750013926539</v>
      </c>
      <c r="G903" s="9">
        <f t="shared" si="513"/>
        <v>0.24969670546518041</v>
      </c>
      <c r="H903" s="9">
        <f t="shared" si="514"/>
        <v>0</v>
      </c>
      <c r="I903" s="9">
        <f t="shared" si="515"/>
        <v>0</v>
      </c>
      <c r="J903" s="9">
        <f t="shared" si="516"/>
        <v>0</v>
      </c>
      <c r="K903" s="9">
        <v>0</v>
      </c>
      <c r="L903" s="8">
        <f>+VLOOKUP($B903,NIFTY_50!$B$3:$I$1238,8,0)</f>
        <v>5.0582351120009861E-4</v>
      </c>
      <c r="M903" s="8">
        <f>+VLOOKUP($B903,NIFTY_BANK!$B$3:$I$41238,8,0)</f>
        <v>1.1349800727018078E-2</v>
      </c>
      <c r="N903" s="8">
        <f>+VLOOKUP($B903,NIFTY_IT!$B$3:$I$1238,8,0)</f>
        <v>-2.0681862977799392E-3</v>
      </c>
      <c r="O903" s="8">
        <f>+VLOOKUP($B903,NIFTY_PHARMA!$B$3:$I$1238,8,0)</f>
        <v>-6.2433839573117211E-3</v>
      </c>
      <c r="P903" s="8">
        <f>+VLOOKUP($B903,NIFTY_FMCG!$B$3:$I$1238,8,0)</f>
        <v>-5.7423677390809891E-3</v>
      </c>
      <c r="Q903" s="8">
        <f>+VLOOKUP($B903,NIFTY_METAL!$B$3:$I$1238,8,0)</f>
        <v>-7.3631289339297634E-3</v>
      </c>
      <c r="R903" s="8">
        <f>+VLOOKUP($B903,NIFTY_ENERGY!$B$3:$I$1238,8,0)</f>
        <v>-5.6499284425362006E-3</v>
      </c>
      <c r="S903" s="8">
        <f>+VLOOKUP($B903,NIFTY_AUTO!$B$3:$I$1238,8,0)</f>
        <v>4.4285642393437907E-3</v>
      </c>
      <c r="T903" s="8">
        <v>0</v>
      </c>
      <c r="U903" s="8">
        <f>+VLOOKUP($B903,NIFTY_50!$B$63:$K$1238,10,0)</f>
        <v>0.16752237651572588</v>
      </c>
      <c r="V903" s="8">
        <f>+VLOOKUP($B903,NIFTY_BANK!$B$63:$K$1238,10,0)</f>
        <v>0.15692713891352161</v>
      </c>
      <c r="W903" s="8">
        <f>+VLOOKUP($B903,NIFTY_IT!$B$63:$K$1238,10,0)</f>
        <v>0.25627835130809173</v>
      </c>
      <c r="X903" s="8">
        <f>+VLOOKUP($B903,NIFTY_PHARMA!$B$63:$K$1238,10,0)</f>
        <v>0.17321798390140875</v>
      </c>
      <c r="Y903" s="8">
        <f>+VLOOKUP($B903,NIFTY_FMCG!$B$63:$K$1238,10,0)</f>
        <v>6.3879504790117503E-2</v>
      </c>
      <c r="Z903" s="8">
        <f>+VLOOKUP($B903,NIFTY_METAL!$B$63:$K$1238,10,0)</f>
        <v>0.28425096030729824</v>
      </c>
      <c r="AA903" s="8">
        <f>+VLOOKUP($B903,NIFTY_ENERGY!$B$63:$K$1238,10,0)</f>
        <v>0.19741337969068451</v>
      </c>
      <c r="AB903" s="8">
        <f>+VLOOKUP($B903,NIFTY_AUTO!$B$63:$K$1238,10,0)</f>
        <v>0.24364825921021893</v>
      </c>
      <c r="AC903" s="8">
        <f>+VLOOKUP($B903,EBBETF0430!$B$63:$K$1238,10,0)</f>
        <v>-0.66696322036381905</v>
      </c>
      <c r="AD903" s="16">
        <f t="shared" si="517"/>
        <v>7.6745833664617846E-2</v>
      </c>
      <c r="AE903" s="8">
        <f t="shared" si="518"/>
        <v>0.14249303457229162</v>
      </c>
      <c r="AF903" s="8">
        <f t="shared" si="519"/>
        <v>0.10691331449098053</v>
      </c>
      <c r="AG903" s="8">
        <f t="shared" si="520"/>
        <v>0.10940648390749537</v>
      </c>
      <c r="AH903" s="8">
        <f t="shared" si="521"/>
        <v>5.6387282071907144E-2</v>
      </c>
      <c r="AI903" s="8">
        <f t="shared" si="522"/>
        <v>0.11403461241201029</v>
      </c>
      <c r="AJ903" s="8">
        <f t="shared" si="523"/>
        <v>0.10698106343306343</v>
      </c>
      <c r="AK903" s="8">
        <f t="shared" si="524"/>
        <v>0.1007797599361655</v>
      </c>
      <c r="AL903" s="9">
        <v>0</v>
      </c>
      <c r="AM903" s="17">
        <f t="shared" si="501"/>
        <v>13.03002328921251</v>
      </c>
      <c r="AN903" s="13">
        <f t="shared" si="502"/>
        <v>7.0178868953251579</v>
      </c>
      <c r="AO903" s="13">
        <f t="shared" si="503"/>
        <v>9.3533719795429455</v>
      </c>
      <c r="AP903" s="13">
        <f t="shared" si="504"/>
        <v>9.140226102554518</v>
      </c>
      <c r="AQ903" s="13">
        <f t="shared" si="505"/>
        <v>17.734495497136447</v>
      </c>
      <c r="AR903" s="13">
        <f t="shared" si="506"/>
        <v>8.7692673202323128</v>
      </c>
      <c r="AS903" s="13">
        <f t="shared" si="507"/>
        <v>9.3474486783886395</v>
      </c>
      <c r="AT903" s="13">
        <f t="shared" si="508"/>
        <v>9.9226273274852606</v>
      </c>
      <c r="AU903" s="9">
        <v>0</v>
      </c>
      <c r="AV903" s="18">
        <f t="shared" si="525"/>
        <v>2</v>
      </c>
      <c r="AW903" s="18">
        <f t="shared" si="526"/>
        <v>8</v>
      </c>
      <c r="AX903" s="18">
        <f t="shared" si="527"/>
        <v>4</v>
      </c>
      <c r="AY903" s="18">
        <f t="shared" si="528"/>
        <v>6</v>
      </c>
      <c r="AZ903" s="18">
        <f t="shared" si="529"/>
        <v>1</v>
      </c>
      <c r="BA903" s="18">
        <f t="shared" si="530"/>
        <v>7</v>
      </c>
      <c r="BB903" s="18">
        <f t="shared" si="531"/>
        <v>5</v>
      </c>
      <c r="BC903" s="18">
        <f t="shared" si="532"/>
        <v>3</v>
      </c>
      <c r="BD903" s="18">
        <f t="shared" si="533"/>
        <v>9</v>
      </c>
      <c r="BE903" s="8">
        <f t="shared" si="535"/>
        <v>-3.3951993700461723E-3</v>
      </c>
    </row>
    <row r="904" spans="1:57" x14ac:dyDescent="0.25">
      <c r="A904" t="str">
        <f t="shared" si="534"/>
        <v/>
      </c>
      <c r="B904" s="1">
        <v>44069</v>
      </c>
      <c r="C904" s="9">
        <f t="shared" si="509"/>
        <v>0.25478938610601543</v>
      </c>
      <c r="D904" s="9">
        <f t="shared" si="510"/>
        <v>0</v>
      </c>
      <c r="E904" s="9">
        <f t="shared" si="511"/>
        <v>0.24504430704664551</v>
      </c>
      <c r="F904" s="9">
        <f t="shared" si="512"/>
        <v>0.25163978227989303</v>
      </c>
      <c r="G904" s="9">
        <f t="shared" si="513"/>
        <v>0.24852652456744601</v>
      </c>
      <c r="H904" s="9">
        <f t="shared" si="514"/>
        <v>0</v>
      </c>
      <c r="I904" s="9">
        <f t="shared" si="515"/>
        <v>0</v>
      </c>
      <c r="J904" s="9">
        <f t="shared" si="516"/>
        <v>0</v>
      </c>
      <c r="K904" s="9">
        <v>0</v>
      </c>
      <c r="L904" s="8">
        <f>+VLOOKUP($B904,NIFTY_50!$B$3:$I$1238,8,0)</f>
        <v>6.7423565560373877E-3</v>
      </c>
      <c r="M904" s="8">
        <f>+VLOOKUP($B904,NIFTY_BANK!$B$3:$I$41238,8,0)</f>
        <v>1.3946297767856164E-2</v>
      </c>
      <c r="N904" s="8">
        <f>+VLOOKUP($B904,NIFTY_IT!$B$3:$I$1238,8,0)</f>
        <v>8.5847655185076199E-3</v>
      </c>
      <c r="O904" s="8">
        <f>+VLOOKUP($B904,NIFTY_PHARMA!$B$3:$I$1238,8,0)</f>
        <v>-1.3434782608696683E-3</v>
      </c>
      <c r="P904" s="8">
        <f>+VLOOKUP($B904,NIFTY_FMCG!$B$3:$I$1238,8,0)</f>
        <v>-1.648108886437738E-3</v>
      </c>
      <c r="Q904" s="8">
        <f>+VLOOKUP($B904,NIFTY_METAL!$B$3:$I$1238,8,0)</f>
        <v>8.0957128614158602E-3</v>
      </c>
      <c r="R904" s="8">
        <f>+VLOOKUP($B904,NIFTY_ENERGY!$B$3:$I$1238,8,0)</f>
        <v>8.4385677275626847E-3</v>
      </c>
      <c r="S904" s="8">
        <f>+VLOOKUP($B904,NIFTY_AUTO!$B$3:$I$1238,8,0)</f>
        <v>1.4642517160178281E-2</v>
      </c>
      <c r="T904" s="8">
        <v>0</v>
      </c>
      <c r="U904" s="8">
        <f>+VLOOKUP($B904,NIFTY_50!$B$63:$K$1238,10,0)</f>
        <v>0.15737892194686887</v>
      </c>
      <c r="V904" s="8">
        <f>+VLOOKUP($B904,NIFTY_BANK!$B$63:$K$1238,10,0)</f>
        <v>0.14047598172448383</v>
      </c>
      <c r="W904" s="8">
        <f>+VLOOKUP($B904,NIFTY_IT!$B$63:$K$1238,10,0)</f>
        <v>0.25693365875305085</v>
      </c>
      <c r="X904" s="8">
        <f>+VLOOKUP($B904,NIFTY_PHARMA!$B$63:$K$1238,10,0)</f>
        <v>0.16788866742596809</v>
      </c>
      <c r="Y904" s="8">
        <f>+VLOOKUP($B904,NIFTY_FMCG!$B$63:$K$1238,10,0)</f>
        <v>6.9775560842443074E-2</v>
      </c>
      <c r="Z904" s="8">
        <f>+VLOOKUP($B904,NIFTY_METAL!$B$63:$K$1238,10,0)</f>
        <v>0.29226522161443702</v>
      </c>
      <c r="AA904" s="8">
        <f>+VLOOKUP($B904,NIFTY_ENERGY!$B$63:$K$1238,10,0)</f>
        <v>0.19548735524744254</v>
      </c>
      <c r="AB904" s="8">
        <f>+VLOOKUP($B904,NIFTY_AUTO!$B$63:$K$1238,10,0)</f>
        <v>0.25175776119172344</v>
      </c>
      <c r="AC904" s="8">
        <f>+VLOOKUP($B904,EBBETF0430!$B$63:$K$1238,10,0)</f>
        <v>-0.48195156443344533</v>
      </c>
      <c r="AD904" s="16">
        <f t="shared" si="517"/>
        <v>7.5746504952178287E-2</v>
      </c>
      <c r="AE904" s="8">
        <f t="shared" si="518"/>
        <v>0.14054804934306503</v>
      </c>
      <c r="AF904" s="8">
        <f t="shared" si="519"/>
        <v>0.10693533573830262</v>
      </c>
      <c r="AG904" s="8">
        <f t="shared" si="520"/>
        <v>0.10947922307385954</v>
      </c>
      <c r="AH904" s="8">
        <f t="shared" si="521"/>
        <v>5.5849371730409172E-2</v>
      </c>
      <c r="AI904" s="8">
        <f t="shared" si="522"/>
        <v>0.11407312857081064</v>
      </c>
      <c r="AJ904" s="8">
        <f t="shared" si="523"/>
        <v>0.10688666525066397</v>
      </c>
      <c r="AK904" s="8">
        <f t="shared" si="524"/>
        <v>0.10127672290166131</v>
      </c>
      <c r="AL904" s="9">
        <v>0</v>
      </c>
      <c r="AM904" s="17">
        <f t="shared" si="501"/>
        <v>13.201929259064018</v>
      </c>
      <c r="AN904" s="13">
        <f t="shared" si="502"/>
        <v>7.1150044747977308</v>
      </c>
      <c r="AO904" s="13">
        <f t="shared" si="503"/>
        <v>9.3514458349600069</v>
      </c>
      <c r="AP904" s="13">
        <f t="shared" si="504"/>
        <v>9.1341532386045117</v>
      </c>
      <c r="AQ904" s="13">
        <f t="shared" si="505"/>
        <v>17.905304375259686</v>
      </c>
      <c r="AR904" s="13">
        <f t="shared" si="506"/>
        <v>8.7663064257876666</v>
      </c>
      <c r="AS904" s="13">
        <f t="shared" si="507"/>
        <v>9.355703984728704</v>
      </c>
      <c r="AT904" s="13">
        <f t="shared" si="508"/>
        <v>9.8739371826929077</v>
      </c>
      <c r="AU904" s="9">
        <v>0</v>
      </c>
      <c r="AV904" s="18">
        <f t="shared" si="525"/>
        <v>2</v>
      </c>
      <c r="AW904" s="18">
        <f t="shared" si="526"/>
        <v>8</v>
      </c>
      <c r="AX904" s="18">
        <f t="shared" si="527"/>
        <v>5</v>
      </c>
      <c r="AY904" s="18">
        <f t="shared" si="528"/>
        <v>6</v>
      </c>
      <c r="AZ904" s="18">
        <f t="shared" si="529"/>
        <v>1</v>
      </c>
      <c r="BA904" s="18">
        <f t="shared" si="530"/>
        <v>7</v>
      </c>
      <c r="BB904" s="18">
        <f t="shared" si="531"/>
        <v>4</v>
      </c>
      <c r="BC904" s="18">
        <f t="shared" si="532"/>
        <v>3</v>
      </c>
      <c r="BD904" s="18">
        <f t="shared" si="533"/>
        <v>9</v>
      </c>
      <c r="BE904" s="8">
        <f t="shared" si="535"/>
        <v>3.0526059134471069E-3</v>
      </c>
    </row>
    <row r="905" spans="1:57" x14ac:dyDescent="0.25">
      <c r="A905" t="str">
        <f t="shared" si="534"/>
        <v/>
      </c>
      <c r="B905" s="1">
        <v>44070</v>
      </c>
      <c r="C905" s="9">
        <f t="shared" si="509"/>
        <v>0.25464723407731688</v>
      </c>
      <c r="D905" s="9">
        <f t="shared" si="510"/>
        <v>0</v>
      </c>
      <c r="E905" s="9">
        <f t="shared" si="511"/>
        <v>0.24436094573837094</v>
      </c>
      <c r="F905" s="9">
        <f t="shared" si="512"/>
        <v>0.2535540757928923</v>
      </c>
      <c r="G905" s="9">
        <f t="shared" si="513"/>
        <v>0.24743774439141977</v>
      </c>
      <c r="H905" s="9">
        <f t="shared" si="514"/>
        <v>0</v>
      </c>
      <c r="I905" s="9">
        <f t="shared" si="515"/>
        <v>0</v>
      </c>
      <c r="J905" s="9">
        <f t="shared" si="516"/>
        <v>0</v>
      </c>
      <c r="K905" s="9">
        <v>0</v>
      </c>
      <c r="L905" s="8">
        <f>+VLOOKUP($B905,NIFTY_50!$B$3:$I$1238,8,0)</f>
        <v>8.3552677148990284E-4</v>
      </c>
      <c r="M905" s="8">
        <f>+VLOOKUP($B905,NIFTY_BANK!$B$3:$I$41238,8,0)</f>
        <v>7.9503036618802092E-3</v>
      </c>
      <c r="N905" s="8">
        <f>+VLOOKUP($B905,NIFTY_IT!$B$3:$I$1238,8,0)</f>
        <v>-1.3983892321269842E-3</v>
      </c>
      <c r="O905" s="8">
        <f>+VLOOKUP($B905,NIFTY_PHARMA!$B$3:$I$1238,8,0)</f>
        <v>9.0121075706057763E-3</v>
      </c>
      <c r="P905" s="8">
        <f>+VLOOKUP($B905,NIFTY_FMCG!$B$3:$I$1238,8,0)</f>
        <v>-2.9928251792112892E-3</v>
      </c>
      <c r="Q905" s="8">
        <f>+VLOOKUP($B905,NIFTY_METAL!$B$3:$I$1238,8,0)</f>
        <v>1.2857029828308164E-3</v>
      </c>
      <c r="R905" s="8">
        <f>+VLOOKUP($B905,NIFTY_ENERGY!$B$3:$I$1238,8,0)</f>
        <v>-7.3812988479712294E-3</v>
      </c>
      <c r="S905" s="8">
        <f>+VLOOKUP($B905,NIFTY_AUTO!$B$3:$I$1238,8,0)</f>
        <v>1.0184556508857412E-2</v>
      </c>
      <c r="T905" s="8">
        <v>0</v>
      </c>
      <c r="U905" s="8">
        <f>+VLOOKUP($B905,NIFTY_50!$B$63:$K$1238,10,0)</f>
        <v>0.14885380483126376</v>
      </c>
      <c r="V905" s="8">
        <f>+VLOOKUP($B905,NIFTY_BANK!$B$63:$K$1238,10,0)</f>
        <v>0.1270086482304793</v>
      </c>
      <c r="W905" s="8">
        <f>+VLOOKUP($B905,NIFTY_IT!$B$63:$K$1238,10,0)</f>
        <v>0.26048100155274101</v>
      </c>
      <c r="X905" s="8">
        <f>+VLOOKUP($B905,NIFTY_PHARMA!$B$63:$K$1238,10,0)</f>
        <v>0.17477608081873064</v>
      </c>
      <c r="Y905" s="8">
        <f>+VLOOKUP($B905,NIFTY_FMCG!$B$63:$K$1238,10,0)</f>
        <v>6.0536119483862283E-2</v>
      </c>
      <c r="Z905" s="8">
        <f>+VLOOKUP($B905,NIFTY_METAL!$B$63:$K$1238,10,0)</f>
        <v>0.29617964869155533</v>
      </c>
      <c r="AA905" s="8">
        <f>+VLOOKUP($B905,NIFTY_ENERGY!$B$63:$K$1238,10,0)</f>
        <v>0.18318287221098339</v>
      </c>
      <c r="AB905" s="8">
        <f>+VLOOKUP($B905,NIFTY_AUTO!$B$63:$K$1238,10,0)</f>
        <v>0.25918459987843634</v>
      </c>
      <c r="AC905" s="8">
        <f>+VLOOKUP($B905,EBBETF0430!$B$63:$K$1238,10,0)</f>
        <v>1.3116206357477851</v>
      </c>
      <c r="AD905" s="16">
        <f t="shared" si="517"/>
        <v>7.5534050705748632E-2</v>
      </c>
      <c r="AE905" s="8">
        <f t="shared" si="518"/>
        <v>0.13953733607449131</v>
      </c>
      <c r="AF905" s="8">
        <f t="shared" si="519"/>
        <v>0.10675977103672916</v>
      </c>
      <c r="AG905" s="8">
        <f t="shared" si="520"/>
        <v>0.10966069205207971</v>
      </c>
      <c r="AH905" s="8">
        <f t="shared" si="521"/>
        <v>5.5804330698517417E-2</v>
      </c>
      <c r="AI905" s="8">
        <f t="shared" si="522"/>
        <v>0.11395193949398265</v>
      </c>
      <c r="AJ905" s="8">
        <f t="shared" si="523"/>
        <v>0.10738381895862543</v>
      </c>
      <c r="AK905" s="8">
        <f t="shared" si="524"/>
        <v>0.10147566432257978</v>
      </c>
      <c r="AL905" s="9">
        <v>0</v>
      </c>
      <c r="AM905" s="17">
        <f t="shared" si="501"/>
        <v>13.239062259425385</v>
      </c>
      <c r="AN905" s="13">
        <f t="shared" si="502"/>
        <v>7.1665407132765884</v>
      </c>
      <c r="AO905" s="13">
        <f t="shared" si="503"/>
        <v>9.3668241350570565</v>
      </c>
      <c r="AP905" s="13">
        <f t="shared" si="504"/>
        <v>9.1190378365028302</v>
      </c>
      <c r="AQ905" s="13">
        <f t="shared" si="505"/>
        <v>17.919756181693039</v>
      </c>
      <c r="AR905" s="13">
        <f t="shared" si="506"/>
        <v>8.7756294841546421</v>
      </c>
      <c r="AS905" s="13">
        <f t="shared" si="507"/>
        <v>9.3123899829386403</v>
      </c>
      <c r="AT905" s="13">
        <f t="shared" si="508"/>
        <v>9.8545794863792366</v>
      </c>
      <c r="AU905" s="9">
        <v>0</v>
      </c>
      <c r="AV905" s="18">
        <f t="shared" si="525"/>
        <v>2</v>
      </c>
      <c r="AW905" s="18">
        <f t="shared" si="526"/>
        <v>8</v>
      </c>
      <c r="AX905" s="18">
        <f t="shared" si="527"/>
        <v>4</v>
      </c>
      <c r="AY905" s="18">
        <f t="shared" si="528"/>
        <v>6</v>
      </c>
      <c r="AZ905" s="18">
        <f t="shared" si="529"/>
        <v>1</v>
      </c>
      <c r="BA905" s="18">
        <f t="shared" si="530"/>
        <v>7</v>
      </c>
      <c r="BB905" s="18">
        <f t="shared" si="531"/>
        <v>5</v>
      </c>
      <c r="BC905" s="18">
        <f t="shared" si="532"/>
        <v>3</v>
      </c>
      <c r="BD905" s="18">
        <f t="shared" si="533"/>
        <v>9</v>
      </c>
      <c r="BE905" s="8">
        <f t="shared" si="535"/>
        <v>1.3942243793378939E-3</v>
      </c>
    </row>
    <row r="906" spans="1:57" x14ac:dyDescent="0.25">
      <c r="A906" t="str">
        <f t="shared" si="534"/>
        <v/>
      </c>
      <c r="B906" s="1">
        <v>44071</v>
      </c>
      <c r="C906" s="9">
        <f t="shared" si="509"/>
        <v>0.25595672511730583</v>
      </c>
      <c r="D906" s="9">
        <f t="shared" si="510"/>
        <v>0</v>
      </c>
      <c r="E906" s="9">
        <f t="shared" si="511"/>
        <v>0.24401501970315112</v>
      </c>
      <c r="F906" s="9">
        <f t="shared" si="512"/>
        <v>0.25368543139528527</v>
      </c>
      <c r="G906" s="9">
        <f t="shared" si="513"/>
        <v>0.2463428237842577</v>
      </c>
      <c r="H906" s="9">
        <f t="shared" si="514"/>
        <v>0</v>
      </c>
      <c r="I906" s="9">
        <f t="shared" si="515"/>
        <v>0</v>
      </c>
      <c r="J906" s="9">
        <f t="shared" si="516"/>
        <v>0</v>
      </c>
      <c r="K906" s="9">
        <v>0</v>
      </c>
      <c r="L906" s="8">
        <f>+VLOOKUP($B906,NIFTY_50!$B$3:$I$1238,8,0)</f>
        <v>7.6432294482773333E-3</v>
      </c>
      <c r="M906" s="8">
        <f>+VLOOKUP($B906,NIFTY_BANK!$B$3:$I$41238,8,0)</f>
        <v>3.9128656990256472E-2</v>
      </c>
      <c r="N906" s="8">
        <f>+VLOOKUP($B906,NIFTY_IT!$B$3:$I$1238,8,0)</f>
        <v>1.0689042764455703E-3</v>
      </c>
      <c r="O906" s="8">
        <f>+VLOOKUP($B906,NIFTY_PHARMA!$B$3:$I$1238,8,0)</f>
        <v>3.0074084940951984E-3</v>
      </c>
      <c r="P906" s="8">
        <f>+VLOOKUP($B906,NIFTY_FMCG!$B$3:$I$1238,8,0)</f>
        <v>-1.9479824809313095E-3</v>
      </c>
      <c r="Q906" s="8">
        <f>+VLOOKUP($B906,NIFTY_METAL!$B$3:$I$1238,8,0)</f>
        <v>-4.2274945180854617E-3</v>
      </c>
      <c r="R906" s="8">
        <f>+VLOOKUP($B906,NIFTY_ENERGY!$B$3:$I$1238,8,0)</f>
        <v>-1.5847612855633963E-3</v>
      </c>
      <c r="S906" s="8">
        <f>+VLOOKUP($B906,NIFTY_AUTO!$B$3:$I$1238,8,0)</f>
        <v>-8.6948551875839497E-3</v>
      </c>
      <c r="T906" s="8">
        <v>0</v>
      </c>
      <c r="U906" s="8">
        <f>+VLOOKUP($B906,NIFTY_50!$B$63:$K$1238,10,0)</f>
        <v>0.16138038308522207</v>
      </c>
      <c r="V906" s="8">
        <f>+VLOOKUP($B906,NIFTY_BANK!$B$63:$K$1238,10,0)</f>
        <v>0.20271009222454617</v>
      </c>
      <c r="W906" s="8">
        <f>+VLOOKUP($B906,NIFTY_IT!$B$63:$K$1238,10,0)</f>
        <v>0.2389035682911238</v>
      </c>
      <c r="X906" s="8">
        <f>+VLOOKUP($B906,NIFTY_PHARMA!$B$63:$K$1238,10,0)</f>
        <v>0.15331147020445823</v>
      </c>
      <c r="Y906" s="8">
        <f>+VLOOKUP($B906,NIFTY_FMCG!$B$63:$K$1238,10,0)</f>
        <v>5.5091647803710453E-2</v>
      </c>
      <c r="Z906" s="8">
        <f>+VLOOKUP($B906,NIFTY_METAL!$B$63:$K$1238,10,0)</f>
        <v>0.27748492067514818</v>
      </c>
      <c r="AA906" s="8">
        <f>+VLOOKUP($B906,NIFTY_ENERGY!$B$63:$K$1238,10,0)</f>
        <v>0.16535688746844124</v>
      </c>
      <c r="AB906" s="8">
        <f>+VLOOKUP($B906,NIFTY_AUTO!$B$63:$K$1238,10,0)</f>
        <v>0.24580156188808777</v>
      </c>
      <c r="AC906" s="8">
        <f>+VLOOKUP($B906,EBBETF0430!$B$63:$K$1238,10,0)</f>
        <v>1.7016733723482078</v>
      </c>
      <c r="AD906" s="16">
        <f t="shared" si="517"/>
        <v>7.5504655755591371E-2</v>
      </c>
      <c r="AE906" s="8">
        <f t="shared" si="518"/>
        <v>0.14129227590438467</v>
      </c>
      <c r="AF906" s="8">
        <f t="shared" si="519"/>
        <v>0.10576958041150442</v>
      </c>
      <c r="AG906" s="8">
        <f t="shared" si="520"/>
        <v>0.10798779574076381</v>
      </c>
      <c r="AH906" s="8">
        <f t="shared" si="521"/>
        <v>5.583387164817661E-2</v>
      </c>
      <c r="AI906" s="8">
        <f t="shared" si="522"/>
        <v>0.11410400157504244</v>
      </c>
      <c r="AJ906" s="8">
        <f t="shared" si="523"/>
        <v>0.1069103999272033</v>
      </c>
      <c r="AK906" s="8">
        <f t="shared" si="524"/>
        <v>0.10222349988653169</v>
      </c>
      <c r="AL906" s="9">
        <v>0</v>
      </c>
      <c r="AM906" s="17">
        <f t="shared" si="501"/>
        <v>13.244216399542312</v>
      </c>
      <c r="AN906" s="13">
        <f t="shared" si="502"/>
        <v>7.077527724705349</v>
      </c>
      <c r="AO906" s="13">
        <f t="shared" si="503"/>
        <v>9.4545142006749554</v>
      </c>
      <c r="AP906" s="13">
        <f t="shared" si="504"/>
        <v>9.2603056960307484</v>
      </c>
      <c r="AQ906" s="13">
        <f t="shared" si="505"/>
        <v>17.910275079995415</v>
      </c>
      <c r="AR906" s="13">
        <f t="shared" si="506"/>
        <v>8.7639345351296285</v>
      </c>
      <c r="AS906" s="13">
        <f t="shared" si="507"/>
        <v>9.3536269687599436</v>
      </c>
      <c r="AT906" s="13">
        <f t="shared" si="508"/>
        <v>9.782486425430573</v>
      </c>
      <c r="AU906" s="9">
        <v>0</v>
      </c>
      <c r="AV906" s="18">
        <f t="shared" si="525"/>
        <v>2</v>
      </c>
      <c r="AW906" s="18">
        <f t="shared" si="526"/>
        <v>8</v>
      </c>
      <c r="AX906" s="18">
        <f t="shared" si="527"/>
        <v>4</v>
      </c>
      <c r="AY906" s="18">
        <f t="shared" si="528"/>
        <v>6</v>
      </c>
      <c r="AZ906" s="18">
        <f t="shared" si="529"/>
        <v>1</v>
      </c>
      <c r="BA906" s="18">
        <f t="shared" si="530"/>
        <v>7</v>
      </c>
      <c r="BB906" s="18">
        <f t="shared" si="531"/>
        <v>5</v>
      </c>
      <c r="BC906" s="18">
        <f t="shared" si="532"/>
        <v>3</v>
      </c>
      <c r="BD906" s="18">
        <f t="shared" si="533"/>
        <v>9</v>
      </c>
      <c r="BE906" s="8">
        <f t="shared" si="535"/>
        <v>2.4880619883745048E-3</v>
      </c>
    </row>
    <row r="907" spans="1:57" x14ac:dyDescent="0.25">
      <c r="A907" t="str">
        <f t="shared" si="534"/>
        <v>Y</v>
      </c>
      <c r="B907" s="1">
        <v>44074</v>
      </c>
      <c r="C907" s="9">
        <f t="shared" si="509"/>
        <v>0.25</v>
      </c>
      <c r="D907" s="9">
        <f t="shared" si="510"/>
        <v>0</v>
      </c>
      <c r="E907" s="9">
        <f t="shared" si="511"/>
        <v>0.25</v>
      </c>
      <c r="F907" s="9">
        <f t="shared" si="512"/>
        <v>0</v>
      </c>
      <c r="G907" s="9">
        <f t="shared" si="513"/>
        <v>0.25</v>
      </c>
      <c r="H907" s="9">
        <f t="shared" si="514"/>
        <v>0</v>
      </c>
      <c r="I907" s="9">
        <f t="shared" si="515"/>
        <v>0</v>
      </c>
      <c r="J907" s="9">
        <f t="shared" si="516"/>
        <v>0.25</v>
      </c>
      <c r="K907" s="9">
        <v>0</v>
      </c>
      <c r="L907" s="8">
        <f>+VLOOKUP($B907,NIFTY_50!$B$3:$I$1238,8,0)</f>
        <v>-2.2330780589992827E-2</v>
      </c>
      <c r="M907" s="8">
        <f>+VLOOKUP($B907,NIFTY_BANK!$B$3:$I$41238,8,0)</f>
        <v>-3.1375643252677055E-2</v>
      </c>
      <c r="N907" s="8">
        <f>+VLOOKUP($B907,NIFTY_IT!$B$3:$I$1238,8,0)</f>
        <v>-1.0658315859176759E-2</v>
      </c>
      <c r="O907" s="8">
        <f>+VLOOKUP($B907,NIFTY_PHARMA!$B$3:$I$1238,8,0)</f>
        <v>-4.6726720525858467E-2</v>
      </c>
      <c r="P907" s="8">
        <f>+VLOOKUP($B907,NIFTY_FMCG!$B$3:$I$1238,8,0)</f>
        <v>-2.1063274614482541E-2</v>
      </c>
      <c r="Q907" s="8">
        <f>+VLOOKUP($B907,NIFTY_METAL!$B$3:$I$1238,8,0)</f>
        <v>-3.9577836411609502E-2</v>
      </c>
      <c r="R907" s="8">
        <f>+VLOOKUP($B907,NIFTY_ENERGY!$B$3:$I$1238,8,0)</f>
        <v>-2.2885587715041567E-2</v>
      </c>
      <c r="S907" s="8">
        <f>+VLOOKUP($B907,NIFTY_AUTO!$B$3:$I$1238,8,0)</f>
        <v>-3.346955380092087E-2</v>
      </c>
      <c r="T907" s="8">
        <v>0</v>
      </c>
      <c r="U907" s="8">
        <f>+VLOOKUP($B907,NIFTY_50!$B$63:$K$1238,10,0)</f>
        <v>0.12278954659515007</v>
      </c>
      <c r="V907" s="8">
        <f>+VLOOKUP($B907,NIFTY_BANK!$B$63:$K$1238,10,0)</f>
        <v>0.12930423827521453</v>
      </c>
      <c r="W907" s="8">
        <f>+VLOOKUP($B907,NIFTY_IT!$B$63:$K$1238,10,0)</f>
        <v>0.22569894274121594</v>
      </c>
      <c r="X907" s="8">
        <f>+VLOOKUP($B907,NIFTY_PHARMA!$B$63:$K$1238,10,0)</f>
        <v>9.9044766051997302E-2</v>
      </c>
      <c r="Y907" s="8">
        <f>+VLOOKUP($B907,NIFTY_FMCG!$B$63:$K$1238,10,0)</f>
        <v>3.5649245142509001E-2</v>
      </c>
      <c r="Z907" s="8">
        <f>+VLOOKUP($B907,NIFTY_METAL!$B$63:$K$1238,10,0)</f>
        <v>0.18095331024052297</v>
      </c>
      <c r="AA907" s="8">
        <f>+VLOOKUP($B907,NIFTY_ENERGY!$B$63:$K$1238,10,0)</f>
        <v>0.12063208238183476</v>
      </c>
      <c r="AB907" s="8">
        <f>+VLOOKUP($B907,NIFTY_AUTO!$B$63:$K$1238,10,0)</f>
        <v>0.1827795587403358</v>
      </c>
      <c r="AC907" s="8">
        <f>+VLOOKUP($B907,EBBETF0430!$B$63:$K$1238,10,0)</f>
        <v>1.6306057679039601</v>
      </c>
      <c r="AD907" s="16">
        <f t="shared" si="517"/>
        <v>7.8881038188538158E-2</v>
      </c>
      <c r="AE907" s="8">
        <f t="shared" si="518"/>
        <v>0.1424343869328791</v>
      </c>
      <c r="AF907" s="8">
        <f t="shared" si="519"/>
        <v>0.10665769103430267</v>
      </c>
      <c r="AG907" s="8">
        <f t="shared" si="520"/>
        <v>0.11848035046442978</v>
      </c>
      <c r="AH907" s="8">
        <f t="shared" si="521"/>
        <v>5.984646442353489E-2</v>
      </c>
      <c r="AI907" s="8">
        <f t="shared" si="522"/>
        <v>0.11669639224752841</v>
      </c>
      <c r="AJ907" s="8">
        <f t="shared" si="523"/>
        <v>0.1089597999450183</v>
      </c>
      <c r="AK907" s="8">
        <f t="shared" si="524"/>
        <v>0.10761903391482994</v>
      </c>
      <c r="AL907" s="9">
        <v>0</v>
      </c>
      <c r="AM907" s="17">
        <f t="shared" si="501"/>
        <v>12.677317932984627</v>
      </c>
      <c r="AN907" s="13">
        <f t="shared" si="502"/>
        <v>7.0207765240794053</v>
      </c>
      <c r="AO907" s="13">
        <f t="shared" si="503"/>
        <v>9.3757889403248509</v>
      </c>
      <c r="AP907" s="13">
        <f t="shared" si="504"/>
        <v>8.4402181127934828</v>
      </c>
      <c r="AQ907" s="13">
        <f t="shared" si="505"/>
        <v>16.709424852953312</v>
      </c>
      <c r="AR907" s="13">
        <f t="shared" si="506"/>
        <v>8.5692452075028029</v>
      </c>
      <c r="AS907" s="13">
        <f t="shared" si="507"/>
        <v>9.1776967331493395</v>
      </c>
      <c r="AT907" s="13">
        <f t="shared" si="508"/>
        <v>9.2920365814787313</v>
      </c>
      <c r="AU907" s="9">
        <v>0</v>
      </c>
      <c r="AV907" s="18">
        <f t="shared" si="525"/>
        <v>2</v>
      </c>
      <c r="AW907" s="18">
        <f t="shared" si="526"/>
        <v>8</v>
      </c>
      <c r="AX907" s="18">
        <f t="shared" si="527"/>
        <v>3</v>
      </c>
      <c r="AY907" s="18">
        <f t="shared" si="528"/>
        <v>7</v>
      </c>
      <c r="AZ907" s="18">
        <f t="shared" si="529"/>
        <v>1</v>
      </c>
      <c r="BA907" s="18">
        <f t="shared" si="530"/>
        <v>6</v>
      </c>
      <c r="BB907" s="18">
        <f t="shared" si="531"/>
        <v>5</v>
      </c>
      <c r="BC907" s="18">
        <f t="shared" si="532"/>
        <v>4</v>
      </c>
      <c r="BD907" s="18">
        <f t="shared" si="533"/>
        <v>9</v>
      </c>
      <c r="BE907" s="8">
        <f t="shared" si="535"/>
        <v>-2.5359177424471323E-2</v>
      </c>
    </row>
    <row r="908" spans="1:57" x14ac:dyDescent="0.25">
      <c r="A908" t="str">
        <f t="shared" si="534"/>
        <v/>
      </c>
      <c r="B908" s="1">
        <v>44075</v>
      </c>
      <c r="C908" s="9">
        <f t="shared" si="509"/>
        <v>0.25059348228323991</v>
      </c>
      <c r="D908" s="9">
        <f t="shared" si="510"/>
        <v>0</v>
      </c>
      <c r="E908" s="9">
        <f t="shared" si="511"/>
        <v>0.24719262572085601</v>
      </c>
      <c r="F908" s="9">
        <f t="shared" si="512"/>
        <v>0</v>
      </c>
      <c r="G908" s="9">
        <f t="shared" si="513"/>
        <v>0.25198131628756554</v>
      </c>
      <c r="H908" s="9">
        <f t="shared" si="514"/>
        <v>0</v>
      </c>
      <c r="I908" s="9">
        <f t="shared" si="515"/>
        <v>0</v>
      </c>
      <c r="J908" s="9">
        <f t="shared" si="516"/>
        <v>0.25023257570833868</v>
      </c>
      <c r="K908" s="9">
        <v>0</v>
      </c>
      <c r="L908" s="8">
        <f>+VLOOKUP($B908,NIFTY_50!$B$3:$I$1238,8,0)</f>
        <v>7.2667398463226451E-3</v>
      </c>
      <c r="M908" s="8">
        <f>+VLOOKUP($B908,NIFTY_BANK!$B$3:$I$41238,8,0)</f>
        <v>2.4269239107785889E-3</v>
      </c>
      <c r="N908" s="8">
        <f>+VLOOKUP($B908,NIFTY_IT!$B$3:$I$1238,8,0)</f>
        <v>-6.4030877607877956E-3</v>
      </c>
      <c r="O908" s="8">
        <f>+VLOOKUP($B908,NIFTY_PHARMA!$B$3:$I$1238,8,0)</f>
        <v>2.3439051246412435E-2</v>
      </c>
      <c r="P908" s="8">
        <f>+VLOOKUP($B908,NIFTY_FMCG!$B$3:$I$1238,8,0)</f>
        <v>1.284517317287226E-2</v>
      </c>
      <c r="Q908" s="8">
        <f>+VLOOKUP($B908,NIFTY_METAL!$B$3:$I$1238,8,0)</f>
        <v>3.1459142361398129E-2</v>
      </c>
      <c r="R908" s="8">
        <f>+VLOOKUP($B908,NIFTY_ENERGY!$B$3:$I$1238,8,0)</f>
        <v>4.3446916902964983E-3</v>
      </c>
      <c r="S908" s="8">
        <f>+VLOOKUP($B908,NIFTY_AUTO!$B$3:$I$1238,8,0)</f>
        <v>5.8160668847690999E-3</v>
      </c>
      <c r="T908" s="8">
        <v>0</v>
      </c>
      <c r="U908" s="8">
        <f>+VLOOKUP($B908,NIFTY_50!$B$63:$K$1238,10,0)</f>
        <v>0.12813438964538792</v>
      </c>
      <c r="V908" s="8">
        <f>+VLOOKUP($B908,NIFTY_BANK!$B$63:$K$1238,10,0)</f>
        <v>0.12387816314923761</v>
      </c>
      <c r="W908" s="8">
        <f>+VLOOKUP($B908,NIFTY_IT!$B$63:$K$1238,10,0)</f>
        <v>0.19600727780537897</v>
      </c>
      <c r="X908" s="8">
        <f>+VLOOKUP($B908,NIFTY_PHARMA!$B$63:$K$1238,10,0)</f>
        <v>0.14089806924168191</v>
      </c>
      <c r="Y908" s="8">
        <f>+VLOOKUP($B908,NIFTY_FMCG!$B$63:$K$1238,10,0)</f>
        <v>5.036921037958253E-2</v>
      </c>
      <c r="Z908" s="8">
        <f>+VLOOKUP($B908,NIFTY_METAL!$B$63:$K$1238,10,0)</f>
        <v>0.22099420495390865</v>
      </c>
      <c r="AA908" s="8">
        <f>+VLOOKUP($B908,NIFTY_ENERGY!$B$63:$K$1238,10,0)</f>
        <v>0.10837626542107626</v>
      </c>
      <c r="AB908" s="8">
        <f>+VLOOKUP($B908,NIFTY_AUTO!$B$63:$K$1238,10,0)</f>
        <v>0.19293402213129007</v>
      </c>
      <c r="AC908" s="8">
        <f>+VLOOKUP($B908,EBBETF0430!$B$63:$K$1238,10,0)</f>
        <v>6.441595925297114</v>
      </c>
      <c r="AD908" s="16">
        <f t="shared" si="517"/>
        <v>7.9055686972773542E-2</v>
      </c>
      <c r="AE908" s="8">
        <f t="shared" si="518"/>
        <v>0.1423417980350429</v>
      </c>
      <c r="AF908" s="8">
        <f t="shared" si="519"/>
        <v>0.10603173787603883</v>
      </c>
      <c r="AG908" s="8">
        <f t="shared" si="520"/>
        <v>0.11933134973063798</v>
      </c>
      <c r="AH908" s="8">
        <f t="shared" si="521"/>
        <v>6.102733252488849E-2</v>
      </c>
      <c r="AI908" s="8">
        <f t="shared" si="522"/>
        <v>0.11996292314023135</v>
      </c>
      <c r="AJ908" s="8">
        <f t="shared" si="523"/>
        <v>0.10813898883287221</v>
      </c>
      <c r="AK908" s="8">
        <f t="shared" si="524"/>
        <v>0.10750875227332665</v>
      </c>
      <c r="AL908" s="9">
        <v>0</v>
      </c>
      <c r="AM908" s="17">
        <f t="shared" si="501"/>
        <v>12.649311368888565</v>
      </c>
      <c r="AN908" s="13">
        <f t="shared" si="502"/>
        <v>7.0253433201245041</v>
      </c>
      <c r="AO908" s="13">
        <f t="shared" si="503"/>
        <v>9.4311384499714137</v>
      </c>
      <c r="AP908" s="13">
        <f t="shared" si="504"/>
        <v>8.3800275640664506</v>
      </c>
      <c r="AQ908" s="13">
        <f t="shared" si="505"/>
        <v>16.386100434459834</v>
      </c>
      <c r="AR908" s="13">
        <f t="shared" si="506"/>
        <v>8.3359089110478255</v>
      </c>
      <c r="AS908" s="13">
        <f t="shared" si="507"/>
        <v>9.2473585225167092</v>
      </c>
      <c r="AT908" s="13">
        <f t="shared" si="508"/>
        <v>9.3015682802980866</v>
      </c>
      <c r="AU908" s="9">
        <v>0</v>
      </c>
      <c r="AV908" s="18">
        <f t="shared" si="525"/>
        <v>2</v>
      </c>
      <c r="AW908" s="18">
        <f t="shared" si="526"/>
        <v>8</v>
      </c>
      <c r="AX908" s="18">
        <f t="shared" si="527"/>
        <v>3</v>
      </c>
      <c r="AY908" s="18">
        <f t="shared" si="528"/>
        <v>6</v>
      </c>
      <c r="AZ908" s="18">
        <f t="shared" si="529"/>
        <v>1</v>
      </c>
      <c r="BA908" s="18">
        <f t="shared" si="530"/>
        <v>7</v>
      </c>
      <c r="BB908" s="18">
        <f t="shared" si="531"/>
        <v>5</v>
      </c>
      <c r="BC908" s="18">
        <f t="shared" si="532"/>
        <v>4</v>
      </c>
      <c r="BD908" s="18">
        <f t="shared" si="533"/>
        <v>9</v>
      </c>
      <c r="BE908" s="8">
        <f t="shared" si="535"/>
        <v>4.8812230357940523E-3</v>
      </c>
    </row>
    <row r="909" spans="1:57" x14ac:dyDescent="0.25">
      <c r="A909" t="str">
        <f t="shared" si="534"/>
        <v/>
      </c>
      <c r="B909" s="1">
        <v>44076</v>
      </c>
      <c r="C909" s="9">
        <f t="shared" si="509"/>
        <v>0.24982631114941423</v>
      </c>
      <c r="D909" s="9">
        <f t="shared" si="510"/>
        <v>0</v>
      </c>
      <c r="E909" s="9">
        <f t="shared" si="511"/>
        <v>0.24866971165303858</v>
      </c>
      <c r="F909" s="9">
        <f t="shared" si="512"/>
        <v>0</v>
      </c>
      <c r="G909" s="9">
        <f t="shared" si="513"/>
        <v>0.2505752486923804</v>
      </c>
      <c r="H909" s="9">
        <f t="shared" si="514"/>
        <v>0</v>
      </c>
      <c r="I909" s="9">
        <f t="shared" si="515"/>
        <v>0</v>
      </c>
      <c r="J909" s="9">
        <f t="shared" si="516"/>
        <v>0.25092872850516668</v>
      </c>
      <c r="K909" s="9">
        <v>0</v>
      </c>
      <c r="L909" s="8">
        <f>+VLOOKUP($B909,NIFTY_50!$B$3:$I$1238,8,0)</f>
        <v>5.6450382511279429E-3</v>
      </c>
      <c r="M909" s="8">
        <f>+VLOOKUP($B909,NIFTY_BANK!$B$3:$I$41238,8,0)</f>
        <v>2.6268268100118064E-3</v>
      </c>
      <c r="N909" s="8">
        <f>+VLOOKUP($B909,NIFTY_IT!$B$3:$I$1238,8,0)</f>
        <v>1.4760820812785402E-2</v>
      </c>
      <c r="O909" s="8">
        <f>+VLOOKUP($B909,NIFTY_PHARMA!$B$3:$I$1238,8,0)</f>
        <v>5.7101283125358115E-3</v>
      </c>
      <c r="P909" s="8">
        <f>+VLOOKUP($B909,NIFTY_FMCG!$B$3:$I$1238,8,0)</f>
        <v>3.1044124931625117E-3</v>
      </c>
      <c r="Q909" s="8">
        <f>+VLOOKUP($B909,NIFTY_METAL!$B$3:$I$1238,8,0)</f>
        <v>1.7863222188845507E-2</v>
      </c>
      <c r="R909" s="8">
        <f>+VLOOKUP($B909,NIFTY_ENERGY!$B$3:$I$1238,8,0)</f>
        <v>1.1752658225425261E-2</v>
      </c>
      <c r="S909" s="8">
        <f>+VLOOKUP($B909,NIFTY_AUTO!$B$3:$I$1238,8,0)</f>
        <v>1.1539510141454157E-2</v>
      </c>
      <c r="T909" s="8">
        <v>0</v>
      </c>
      <c r="U909" s="8">
        <f>+VLOOKUP($B909,NIFTY_50!$B$63:$K$1238,10,0)</f>
        <v>0.14814390866607274</v>
      </c>
      <c r="V909" s="8">
        <f>+VLOOKUP($B909,NIFTY_BANK!$B$63:$K$1238,10,0)</f>
        <v>0.15197419529165379</v>
      </c>
      <c r="W909" s="8">
        <f>+VLOOKUP($B909,NIFTY_IT!$B$63:$K$1238,10,0)</f>
        <v>0.22656968282347822</v>
      </c>
      <c r="X909" s="8">
        <f>+VLOOKUP($B909,NIFTY_PHARMA!$B$63:$K$1238,10,0)</f>
        <v>0.12667394450728864</v>
      </c>
      <c r="Y909" s="8">
        <f>+VLOOKUP($B909,NIFTY_FMCG!$B$63:$K$1238,10,0)</f>
        <v>5.2818129781980527E-2</v>
      </c>
      <c r="Z909" s="8">
        <f>+VLOOKUP($B909,NIFTY_METAL!$B$63:$K$1238,10,0)</f>
        <v>0.25653893695920882</v>
      </c>
      <c r="AA909" s="8">
        <f>+VLOOKUP($B909,NIFTY_ENERGY!$B$63:$K$1238,10,0)</f>
        <v>0.14122807648849589</v>
      </c>
      <c r="AB909" s="8">
        <f>+VLOOKUP($B909,NIFTY_AUTO!$B$63:$K$1238,10,0)</f>
        <v>0.21272633291272025</v>
      </c>
      <c r="AC909" s="8">
        <f>+VLOOKUP($B909,EBBETF0430!$B$63:$K$1238,10,0)</f>
        <v>1.8155257270693514</v>
      </c>
      <c r="AD909" s="16">
        <f t="shared" si="517"/>
        <v>7.7873784890305012E-2</v>
      </c>
      <c r="AE909" s="8">
        <f t="shared" si="518"/>
        <v>0.14028543406434307</v>
      </c>
      <c r="AF909" s="8">
        <f t="shared" si="519"/>
        <v>0.10576474198093561</v>
      </c>
      <c r="AG909" s="8">
        <f t="shared" si="520"/>
        <v>0.11827508641927136</v>
      </c>
      <c r="AH909" s="8">
        <f t="shared" si="521"/>
        <v>6.1068694035294663E-2</v>
      </c>
      <c r="AI909" s="8">
        <f t="shared" si="522"/>
        <v>0.11992309337936932</v>
      </c>
      <c r="AJ909" s="8">
        <f t="shared" si="523"/>
        <v>0.10682970621281863</v>
      </c>
      <c r="AK909" s="8">
        <f t="shared" si="524"/>
        <v>0.10753314308617791</v>
      </c>
      <c r="AL909" s="9">
        <v>0</v>
      </c>
      <c r="AM909" s="17">
        <f t="shared" si="501"/>
        <v>12.841291859752616</v>
      </c>
      <c r="AN909" s="13">
        <f t="shared" si="502"/>
        <v>7.1283238111616187</v>
      </c>
      <c r="AO909" s="13">
        <f t="shared" si="503"/>
        <v>9.454946717312021</v>
      </c>
      <c r="AP909" s="13">
        <f t="shared" si="504"/>
        <v>8.4548659423939618</v>
      </c>
      <c r="AQ909" s="13">
        <f t="shared" si="505"/>
        <v>16.375002213442617</v>
      </c>
      <c r="AR909" s="13">
        <f t="shared" si="506"/>
        <v>8.3386774958894829</v>
      </c>
      <c r="AS909" s="13">
        <f t="shared" si="507"/>
        <v>9.3606922217671382</v>
      </c>
      <c r="AT909" s="13">
        <f t="shared" si="508"/>
        <v>9.2994584860092129</v>
      </c>
      <c r="AU909" s="9">
        <v>0</v>
      </c>
      <c r="AV909" s="18">
        <f t="shared" si="525"/>
        <v>2</v>
      </c>
      <c r="AW909" s="18">
        <f t="shared" si="526"/>
        <v>8</v>
      </c>
      <c r="AX909" s="18">
        <f t="shared" si="527"/>
        <v>3</v>
      </c>
      <c r="AY909" s="18">
        <f t="shared" si="528"/>
        <v>6</v>
      </c>
      <c r="AZ909" s="18">
        <f t="shared" si="529"/>
        <v>1</v>
      </c>
      <c r="BA909" s="18">
        <f t="shared" si="530"/>
        <v>7</v>
      </c>
      <c r="BB909" s="18">
        <f t="shared" si="531"/>
        <v>4</v>
      </c>
      <c r="BC909" s="18">
        <f t="shared" si="532"/>
        <v>5</v>
      </c>
      <c r="BD909" s="18">
        <f t="shared" si="533"/>
        <v>9</v>
      </c>
      <c r="BE909" s="8">
        <f t="shared" si="535"/>
        <v>8.7331911389149468E-3</v>
      </c>
    </row>
    <row r="910" spans="1:57" x14ac:dyDescent="0.25">
      <c r="A910" t="str">
        <f t="shared" si="534"/>
        <v/>
      </c>
      <c r="B910" s="1">
        <v>44077</v>
      </c>
      <c r="C910" s="9">
        <f t="shared" si="509"/>
        <v>0.24774771899641626</v>
      </c>
      <c r="D910" s="9">
        <f t="shared" si="510"/>
        <v>0</v>
      </c>
      <c r="E910" s="9">
        <f t="shared" si="511"/>
        <v>0.25046908163553677</v>
      </c>
      <c r="F910" s="9">
        <f t="shared" si="512"/>
        <v>0</v>
      </c>
      <c r="G910" s="9">
        <f t="shared" si="513"/>
        <v>0.25051301441547863</v>
      </c>
      <c r="H910" s="9">
        <f t="shared" si="514"/>
        <v>0</v>
      </c>
      <c r="I910" s="9">
        <f t="shared" si="515"/>
        <v>0</v>
      </c>
      <c r="J910" s="9">
        <f t="shared" si="516"/>
        <v>0.25127018495256837</v>
      </c>
      <c r="K910" s="9">
        <v>0</v>
      </c>
      <c r="L910" s="8">
        <f>+VLOOKUP($B910,NIFTY_50!$B$3:$I$1238,8,0)</f>
        <v>-6.5452969224089053E-4</v>
      </c>
      <c r="M910" s="8">
        <f>+VLOOKUP($B910,NIFTY_BANK!$B$3:$I$41238,8,0)</f>
        <v>-1.4396082858106229E-2</v>
      </c>
      <c r="N910" s="8">
        <f>+VLOOKUP($B910,NIFTY_IT!$B$3:$I$1238,8,0)</f>
        <v>1.5021850970846851E-2</v>
      </c>
      <c r="O910" s="8">
        <f>+VLOOKUP($B910,NIFTY_PHARMA!$B$3:$I$1238,8,0)</f>
        <v>9.4350790275554708E-3</v>
      </c>
      <c r="P910" s="8">
        <f>+VLOOKUP($B910,NIFTY_FMCG!$B$3:$I$1238,8,0)</f>
        <v>7.4796481187477948E-3</v>
      </c>
      <c r="Q910" s="8">
        <f>+VLOOKUP($B910,NIFTY_METAL!$B$3:$I$1238,8,0)</f>
        <v>-5.5285576563636196E-3</v>
      </c>
      <c r="R910" s="8">
        <f>+VLOOKUP($B910,NIFTY_ENERGY!$B$3:$I$1238,8,0)</f>
        <v>-7.7251730281101549E-3</v>
      </c>
      <c r="S910" s="8">
        <f>+VLOOKUP($B910,NIFTY_AUTO!$B$3:$I$1238,8,0)</f>
        <v>9.1012228984763688E-3</v>
      </c>
      <c r="T910" s="8">
        <v>0</v>
      </c>
      <c r="U910" s="8">
        <f>+VLOOKUP($B910,NIFTY_50!$B$63:$K$1238,10,0)</f>
        <v>0.13950959604197255</v>
      </c>
      <c r="V910" s="8">
        <f>+VLOOKUP($B910,NIFTY_BANK!$B$63:$K$1238,10,0)</f>
        <v>0.11520087582523297</v>
      </c>
      <c r="W910" s="8">
        <f>+VLOOKUP($B910,NIFTY_IT!$B$63:$K$1238,10,0)</f>
        <v>0.23625442577002498</v>
      </c>
      <c r="X910" s="8">
        <f>+VLOOKUP($B910,NIFTY_PHARMA!$B$63:$K$1238,10,0)</f>
        <v>0.13425622582949481</v>
      </c>
      <c r="Y910" s="8">
        <f>+VLOOKUP($B910,NIFTY_FMCG!$B$63:$K$1238,10,0)</f>
        <v>6.1472992760107203E-2</v>
      </c>
      <c r="Z910" s="8">
        <f>+VLOOKUP($B910,NIFTY_METAL!$B$63:$K$1238,10,0)</f>
        <v>0.25686294012333422</v>
      </c>
      <c r="AA910" s="8">
        <f>+VLOOKUP($B910,NIFTY_ENERGY!$B$63:$K$1238,10,0)</f>
        <v>0.12759149509470213</v>
      </c>
      <c r="AB910" s="8">
        <f>+VLOOKUP($B910,NIFTY_AUTO!$B$63:$K$1238,10,0)</f>
        <v>0.23788763042759498</v>
      </c>
      <c r="AC910" s="8">
        <f>+VLOOKUP($B910,EBBETF0430!$B$63:$K$1238,10,0)</f>
        <v>-0.45202193283070591</v>
      </c>
      <c r="AD910" s="16">
        <f t="shared" si="517"/>
        <v>7.7788498473782913E-2</v>
      </c>
      <c r="AE910" s="8">
        <f t="shared" si="518"/>
        <v>0.14036966316069102</v>
      </c>
      <c r="AF910" s="8">
        <f t="shared" si="519"/>
        <v>0.10632987523194412</v>
      </c>
      <c r="AG910" s="8">
        <f t="shared" si="520"/>
        <v>0.11849934936510673</v>
      </c>
      <c r="AH910" s="8">
        <f t="shared" si="521"/>
        <v>6.1394732903053778E-2</v>
      </c>
      <c r="AI910" s="8">
        <f t="shared" si="522"/>
        <v>0.11990272467198379</v>
      </c>
      <c r="AJ910" s="8">
        <f t="shared" si="523"/>
        <v>0.10726551904340353</v>
      </c>
      <c r="AK910" s="8">
        <f t="shared" si="524"/>
        <v>0.10665521249335058</v>
      </c>
      <c r="AL910" s="9">
        <v>0</v>
      </c>
      <c r="AM910" s="17">
        <f t="shared" si="501"/>
        <v>12.855370904697825</v>
      </c>
      <c r="AN910" s="13">
        <f t="shared" si="502"/>
        <v>7.1240464462412341</v>
      </c>
      <c r="AO910" s="13">
        <f t="shared" si="503"/>
        <v>9.404694567906116</v>
      </c>
      <c r="AP910" s="13">
        <f t="shared" si="504"/>
        <v>8.4388648997465268</v>
      </c>
      <c r="AQ910" s="13">
        <f t="shared" si="505"/>
        <v>16.28804219376708</v>
      </c>
      <c r="AR910" s="13">
        <f t="shared" si="506"/>
        <v>8.3400940448658361</v>
      </c>
      <c r="AS910" s="13">
        <f t="shared" si="507"/>
        <v>9.3226603378049528</v>
      </c>
      <c r="AT910" s="13">
        <f t="shared" si="508"/>
        <v>9.3760068225671116</v>
      </c>
      <c r="AU910" s="9">
        <v>0</v>
      </c>
      <c r="AV910" s="18">
        <f t="shared" si="525"/>
        <v>2</v>
      </c>
      <c r="AW910" s="18">
        <f t="shared" si="526"/>
        <v>8</v>
      </c>
      <c r="AX910" s="18">
        <f t="shared" si="527"/>
        <v>3</v>
      </c>
      <c r="AY910" s="18">
        <f t="shared" si="528"/>
        <v>6</v>
      </c>
      <c r="AZ910" s="18">
        <f t="shared" si="529"/>
        <v>1</v>
      </c>
      <c r="BA910" s="18">
        <f t="shared" si="530"/>
        <v>7</v>
      </c>
      <c r="BB910" s="18">
        <f t="shared" si="531"/>
        <v>5</v>
      </c>
      <c r="BC910" s="18">
        <f t="shared" si="532"/>
        <v>4</v>
      </c>
      <c r="BD910" s="18">
        <f t="shared" si="533"/>
        <v>9</v>
      </c>
      <c r="BE910" s="8">
        <f t="shared" si="535"/>
        <v>7.7299335881086083E-3</v>
      </c>
    </row>
    <row r="911" spans="1:57" x14ac:dyDescent="0.25">
      <c r="A911" t="str">
        <f t="shared" si="534"/>
        <v/>
      </c>
      <c r="B911" s="1">
        <v>44078</v>
      </c>
      <c r="C911" s="9">
        <f t="shared" si="509"/>
        <v>0.24691253315982351</v>
      </c>
      <c r="D911" s="9">
        <f t="shared" si="510"/>
        <v>0</v>
      </c>
      <c r="E911" s="9">
        <f t="shared" si="511"/>
        <v>0.2500890675018515</v>
      </c>
      <c r="F911" s="9">
        <f t="shared" si="512"/>
        <v>0</v>
      </c>
      <c r="G911" s="9">
        <f t="shared" si="513"/>
        <v>0.24997465915661368</v>
      </c>
      <c r="H911" s="9">
        <f t="shared" si="514"/>
        <v>0</v>
      </c>
      <c r="I911" s="9">
        <f t="shared" si="515"/>
        <v>0</v>
      </c>
      <c r="J911" s="9">
        <f t="shared" si="516"/>
        <v>0.25302374018171137</v>
      </c>
      <c r="K911" s="9">
        <v>0</v>
      </c>
      <c r="L911" s="8">
        <f>+VLOOKUP($B911,NIFTY_50!$B$3:$I$1238,8,0)</f>
        <v>-1.6794694403359012E-2</v>
      </c>
      <c r="M911" s="8">
        <f>+VLOOKUP($B911,NIFTY_BANK!$B$3:$I$41238,8,0)</f>
        <v>-2.2071025908541264E-2</v>
      </c>
      <c r="N911" s="8">
        <f>+VLOOKUP($B911,NIFTY_IT!$B$3:$I$1238,8,0)</f>
        <v>-1.4965760237184877E-2</v>
      </c>
      <c r="O911" s="8">
        <f>+VLOOKUP($B911,NIFTY_PHARMA!$B$3:$I$1238,8,0)</f>
        <v>-2.0014159322784719E-2</v>
      </c>
      <c r="P911" s="8">
        <f>+VLOOKUP($B911,NIFTY_FMCG!$B$3:$I$1238,8,0)</f>
        <v>-1.5589051900175011E-2</v>
      </c>
      <c r="Q911" s="8">
        <f>+VLOOKUP($B911,NIFTY_METAL!$B$3:$I$1238,8,0)</f>
        <v>-3.0051833973014808E-2</v>
      </c>
      <c r="R911" s="8">
        <f>+VLOOKUP($B911,NIFTY_ENERGY!$B$3:$I$1238,8,0)</f>
        <v>-1.9069257535073603E-2</v>
      </c>
      <c r="S911" s="8">
        <f>+VLOOKUP($B911,NIFTY_AUTO!$B$3:$I$1238,8,0)</f>
        <v>-6.5842189936083928E-3</v>
      </c>
      <c r="T911" s="8">
        <v>0</v>
      </c>
      <c r="U911" s="8">
        <f>+VLOOKUP($B911,NIFTY_50!$B$63:$K$1238,10,0)</f>
        <v>0.1446021005857403</v>
      </c>
      <c r="V911" s="8">
        <f>+VLOOKUP($B911,NIFTY_BANK!$B$63:$K$1238,10,0)</f>
        <v>0.12113675174115657</v>
      </c>
      <c r="W911" s="8">
        <f>+VLOOKUP($B911,NIFTY_IT!$B$63:$K$1238,10,0)</f>
        <v>0.23629479905194795</v>
      </c>
      <c r="X911" s="8">
        <f>+VLOOKUP($B911,NIFTY_PHARMA!$B$63:$K$1238,10,0)</f>
        <v>0.13570882074616963</v>
      </c>
      <c r="Y911" s="8">
        <f>+VLOOKUP($B911,NIFTY_FMCG!$B$63:$K$1238,10,0)</f>
        <v>5.9678713893123403E-2</v>
      </c>
      <c r="Z911" s="8">
        <f>+VLOOKUP($B911,NIFTY_METAL!$B$63:$K$1238,10,0)</f>
        <v>0.25398368161239993</v>
      </c>
      <c r="AA911" s="8">
        <f>+VLOOKUP($B911,NIFTY_ENERGY!$B$63:$K$1238,10,0)</f>
        <v>0.12287478993430678</v>
      </c>
      <c r="AB911" s="8">
        <f>+VLOOKUP($B911,NIFTY_AUTO!$B$63:$K$1238,10,0)</f>
        <v>0.25463631228818873</v>
      </c>
      <c r="AC911" s="8">
        <f>+VLOOKUP($B911,EBBETF0430!$B$63:$K$1238,10,0)</f>
        <v>-0.40110726643598615</v>
      </c>
      <c r="AD911" s="16">
        <f t="shared" si="517"/>
        <v>7.6586430664222341E-2</v>
      </c>
      <c r="AE911" s="8">
        <f t="shared" si="518"/>
        <v>0.13938305938254172</v>
      </c>
      <c r="AF911" s="8">
        <f t="shared" si="519"/>
        <v>0.10632426122470562</v>
      </c>
      <c r="AG911" s="8">
        <f t="shared" si="520"/>
        <v>0.11825758715148692</v>
      </c>
      <c r="AH911" s="8">
        <f t="shared" si="521"/>
        <v>6.1820894407789859E-2</v>
      </c>
      <c r="AI911" s="8">
        <f t="shared" si="522"/>
        <v>0.12051028331556971</v>
      </c>
      <c r="AJ911" s="8">
        <f t="shared" si="523"/>
        <v>0.1079944179774895</v>
      </c>
      <c r="AK911" s="8">
        <f t="shared" si="524"/>
        <v>0.10453001735744982</v>
      </c>
      <c r="AL911" s="9">
        <v>0</v>
      </c>
      <c r="AM911" s="17">
        <f t="shared" si="501"/>
        <v>13.057143299761508</v>
      </c>
      <c r="AN911" s="13">
        <f t="shared" si="502"/>
        <v>7.1744730272813477</v>
      </c>
      <c r="AO911" s="13">
        <f t="shared" si="503"/>
        <v>9.4051911434080004</v>
      </c>
      <c r="AP911" s="13">
        <f t="shared" si="504"/>
        <v>8.4561170584261021</v>
      </c>
      <c r="AQ911" s="13">
        <f t="shared" si="505"/>
        <v>16.175760793813314</v>
      </c>
      <c r="AR911" s="13">
        <f t="shared" si="506"/>
        <v>8.2980470420220307</v>
      </c>
      <c r="AS911" s="13">
        <f t="shared" si="507"/>
        <v>9.2597378524549416</v>
      </c>
      <c r="AT911" s="13">
        <f t="shared" si="508"/>
        <v>9.5666300004563265</v>
      </c>
      <c r="AU911" s="9">
        <v>0</v>
      </c>
      <c r="AV911" s="18">
        <f t="shared" si="525"/>
        <v>2</v>
      </c>
      <c r="AW911" s="18">
        <f t="shared" si="526"/>
        <v>8</v>
      </c>
      <c r="AX911" s="18">
        <f t="shared" si="527"/>
        <v>4</v>
      </c>
      <c r="AY911" s="18">
        <f t="shared" si="528"/>
        <v>6</v>
      </c>
      <c r="AZ911" s="18">
        <f t="shared" si="529"/>
        <v>1</v>
      </c>
      <c r="BA911" s="18">
        <f t="shared" si="530"/>
        <v>7</v>
      </c>
      <c r="BB911" s="18">
        <f t="shared" si="531"/>
        <v>5</v>
      </c>
      <c r="BC911" s="18">
        <f t="shared" si="532"/>
        <v>3</v>
      </c>
      <c r="BD911" s="18">
        <f t="shared" si="533"/>
        <v>9</v>
      </c>
      <c r="BE911" s="8">
        <f t="shared" si="535"/>
        <v>-1.3468985759943784E-2</v>
      </c>
    </row>
    <row r="912" spans="1:57" x14ac:dyDescent="0.25">
      <c r="A912" t="str">
        <f t="shared" si="534"/>
        <v/>
      </c>
      <c r="B912" s="1">
        <v>44081</v>
      </c>
      <c r="C912" s="9">
        <f t="shared" si="509"/>
        <v>0.24686065024024686</v>
      </c>
      <c r="D912" s="9">
        <f t="shared" si="510"/>
        <v>0</v>
      </c>
      <c r="E912" s="9">
        <f t="shared" si="511"/>
        <v>0.25098987519730392</v>
      </c>
      <c r="F912" s="9">
        <f t="shared" si="512"/>
        <v>0</v>
      </c>
      <c r="G912" s="9">
        <f t="shared" si="513"/>
        <v>0.25087318758265881</v>
      </c>
      <c r="H912" s="9">
        <f t="shared" si="514"/>
        <v>0</v>
      </c>
      <c r="I912" s="9">
        <f t="shared" si="515"/>
        <v>0</v>
      </c>
      <c r="J912" s="9">
        <f t="shared" si="516"/>
        <v>0.25127628697979043</v>
      </c>
      <c r="K912" s="9">
        <v>0</v>
      </c>
      <c r="L912" s="8">
        <f>+VLOOKUP($B912,NIFTY_50!$B$3:$I$1238,8,0)</f>
        <v>1.8705029623649061E-3</v>
      </c>
      <c r="M912" s="8">
        <f>+VLOOKUP($B912,NIFTY_BANK!$B$3:$I$41238,8,0)</f>
        <v>-2.8876865914868599E-3</v>
      </c>
      <c r="N912" s="8">
        <f>+VLOOKUP($B912,NIFTY_IT!$B$3:$I$1238,8,0)</f>
        <v>5.6905103754296693E-3</v>
      </c>
      <c r="O912" s="8">
        <f>+VLOOKUP($B912,NIFTY_PHARMA!$B$3:$I$1238,8,0)</f>
        <v>-1.0282366185198066E-3</v>
      </c>
      <c r="P912" s="8">
        <f>+VLOOKUP($B912,NIFTY_FMCG!$B$3:$I$1238,8,0)</f>
        <v>5.6830253676367626E-3</v>
      </c>
      <c r="Q912" s="8">
        <f>+VLOOKUP($B912,NIFTY_METAL!$B$3:$I$1238,8,0)</f>
        <v>-5.3032002773967246E-4</v>
      </c>
      <c r="R912" s="8">
        <f>+VLOOKUP($B912,NIFTY_ENERGY!$B$3:$I$1238,8,0)</f>
        <v>-5.0697454437079736E-3</v>
      </c>
      <c r="S912" s="8">
        <f>+VLOOKUP($B912,NIFTY_AUTO!$B$3:$I$1238,8,0)</f>
        <v>-4.839587071924778E-3</v>
      </c>
      <c r="T912" s="8">
        <v>0</v>
      </c>
      <c r="U912" s="8">
        <f>+VLOOKUP($B912,NIFTY_50!$B$63:$K$1238,10,0)</f>
        <v>0.13859058047308204</v>
      </c>
      <c r="V912" s="8">
        <f>+VLOOKUP($B912,NIFTY_BANK!$B$63:$K$1238,10,0)</f>
        <v>0.11089566221486313</v>
      </c>
      <c r="W912" s="8">
        <f>+VLOOKUP($B912,NIFTY_IT!$B$63:$K$1238,10,0)</f>
        <v>0.26203676381246632</v>
      </c>
      <c r="X912" s="8">
        <f>+VLOOKUP($B912,NIFTY_PHARMA!$B$63:$K$1238,10,0)</f>
        <v>0.12892675401690923</v>
      </c>
      <c r="Y912" s="8">
        <f>+VLOOKUP($B912,NIFTY_FMCG!$B$63:$K$1238,10,0)</f>
        <v>6.3757479688186125E-2</v>
      </c>
      <c r="Z912" s="8">
        <f>+VLOOKUP($B912,NIFTY_METAL!$B$63:$K$1238,10,0)</f>
        <v>0.24614719495447845</v>
      </c>
      <c r="AA912" s="8">
        <f>+VLOOKUP($B912,NIFTY_ENERGY!$B$63:$K$1238,10,0)</f>
        <v>0.10830882485610682</v>
      </c>
      <c r="AB912" s="8">
        <f>+VLOOKUP($B912,NIFTY_AUTO!$B$63:$K$1238,10,0)</f>
        <v>0.21319785346220699</v>
      </c>
      <c r="AC912" s="8">
        <f>+VLOOKUP($B912,EBBETF0430!$B$63:$K$1238,10,0)</f>
        <v>1.6936248682824027</v>
      </c>
      <c r="AD912" s="16">
        <f t="shared" si="517"/>
        <v>7.6427820203523053E-2</v>
      </c>
      <c r="AE912" s="8">
        <f t="shared" si="518"/>
        <v>0.13939969789427289</v>
      </c>
      <c r="AF912" s="8">
        <f t="shared" si="519"/>
        <v>0.1047089177744739</v>
      </c>
      <c r="AG912" s="8">
        <f t="shared" si="520"/>
        <v>0.11826676278709464</v>
      </c>
      <c r="AH912" s="8">
        <f t="shared" si="521"/>
        <v>6.1991648861335943E-2</v>
      </c>
      <c r="AI912" s="8">
        <f t="shared" si="522"/>
        <v>0.12057141799960092</v>
      </c>
      <c r="AJ912" s="8">
        <f t="shared" si="523"/>
        <v>0.10804541525398255</v>
      </c>
      <c r="AK912" s="8">
        <f t="shared" si="524"/>
        <v>0.10168854878510557</v>
      </c>
      <c r="AL912" s="9">
        <v>0</v>
      </c>
      <c r="AM912" s="17">
        <f t="shared" si="501"/>
        <v>13.084240756010773</v>
      </c>
      <c r="AN912" s="13">
        <f t="shared" si="502"/>
        <v>7.1736166943377864</v>
      </c>
      <c r="AO912" s="13">
        <f t="shared" si="503"/>
        <v>9.5502849351746573</v>
      </c>
      <c r="AP912" s="13">
        <f t="shared" si="504"/>
        <v>8.4554609971037511</v>
      </c>
      <c r="AQ912" s="13">
        <f t="shared" si="505"/>
        <v>16.131205063391981</v>
      </c>
      <c r="AR912" s="13">
        <f t="shared" si="506"/>
        <v>8.2938395897716823</v>
      </c>
      <c r="AS912" s="13">
        <f t="shared" si="507"/>
        <v>9.2553672698586809</v>
      </c>
      <c r="AT912" s="13">
        <f t="shared" si="508"/>
        <v>9.8339489740704327</v>
      </c>
      <c r="AU912" s="9">
        <v>0</v>
      </c>
      <c r="AV912" s="18">
        <f t="shared" si="525"/>
        <v>2</v>
      </c>
      <c r="AW912" s="18">
        <f t="shared" si="526"/>
        <v>8</v>
      </c>
      <c r="AX912" s="18">
        <f t="shared" si="527"/>
        <v>4</v>
      </c>
      <c r="AY912" s="18">
        <f t="shared" si="528"/>
        <v>6</v>
      </c>
      <c r="AZ912" s="18">
        <f t="shared" si="529"/>
        <v>1</v>
      </c>
      <c r="BA912" s="18">
        <f t="shared" si="530"/>
        <v>7</v>
      </c>
      <c r="BB912" s="18">
        <f t="shared" si="531"/>
        <v>5</v>
      </c>
      <c r="BC912" s="18">
        <f t="shared" si="532"/>
        <v>3</v>
      </c>
      <c r="BD912" s="18">
        <f t="shared" si="533"/>
        <v>9</v>
      </c>
      <c r="BE912" s="8">
        <f t="shared" si="535"/>
        <v>2.0810669655012145E-3</v>
      </c>
    </row>
    <row r="913" spans="1:57" x14ac:dyDescent="0.25">
      <c r="A913" t="str">
        <f t="shared" si="534"/>
        <v/>
      </c>
      <c r="B913" s="1">
        <v>44082</v>
      </c>
      <c r="C913" s="9">
        <f t="shared" si="509"/>
        <v>0.24641117062392109</v>
      </c>
      <c r="D913" s="9">
        <f t="shared" si="510"/>
        <v>0</v>
      </c>
      <c r="E913" s="9">
        <f t="shared" si="511"/>
        <v>0.25439530968992574</v>
      </c>
      <c r="F913" s="9">
        <f t="shared" si="512"/>
        <v>0</v>
      </c>
      <c r="G913" s="9">
        <f t="shared" si="513"/>
        <v>0.24974812726378523</v>
      </c>
      <c r="H913" s="9">
        <f t="shared" si="514"/>
        <v>0</v>
      </c>
      <c r="I913" s="9">
        <f t="shared" si="515"/>
        <v>0</v>
      </c>
      <c r="J913" s="9">
        <f t="shared" si="516"/>
        <v>0.24944539242236791</v>
      </c>
      <c r="K913" s="9">
        <v>0</v>
      </c>
      <c r="L913" s="8">
        <f>+VLOOKUP($B913,NIFTY_50!$B$3:$I$1238,8,0)</f>
        <v>-3.3201086741140307E-3</v>
      </c>
      <c r="M913" s="8">
        <f>+VLOOKUP($B913,NIFTY_BANK!$B$3:$I$41238,8,0)</f>
        <v>-8.7448055245029632E-3</v>
      </c>
      <c r="N913" s="8">
        <f>+VLOOKUP($B913,NIFTY_IT!$B$3:$I$1238,8,0)</f>
        <v>1.2045574578583684E-2</v>
      </c>
      <c r="O913" s="8">
        <f>+VLOOKUP($B913,NIFTY_PHARMA!$B$3:$I$1238,8,0)</f>
        <v>-1.5674565322519762E-2</v>
      </c>
      <c r="P913" s="8">
        <f>+VLOOKUP($B913,NIFTY_FMCG!$B$3:$I$1238,8,0)</f>
        <v>-5.9799024959802383E-3</v>
      </c>
      <c r="Q913" s="8">
        <f>+VLOOKUP($B913,NIFTY_METAL!$B$3:$I$1238,8,0)</f>
        <v>-2.987694128691265E-2</v>
      </c>
      <c r="R913" s="8">
        <f>+VLOOKUP($B913,NIFTY_ENERGY!$B$3:$I$1238,8,0)</f>
        <v>-1.3023843401307467E-3</v>
      </c>
      <c r="S913" s="8">
        <f>+VLOOKUP($B913,NIFTY_AUTO!$B$3:$I$1238,8,0)</f>
        <v>-8.7774964343384498E-3</v>
      </c>
      <c r="T913" s="8">
        <v>0</v>
      </c>
      <c r="U913" s="8">
        <f>+VLOOKUP($B913,NIFTY_50!$B$63:$K$1238,10,0)</f>
        <v>0.15321947889175336</v>
      </c>
      <c r="V913" s="8">
        <f>+VLOOKUP($B913,NIFTY_BANK!$B$63:$K$1238,10,0)</f>
        <v>0.14219425598481394</v>
      </c>
      <c r="W913" s="8">
        <f>+VLOOKUP($B913,NIFTY_IT!$B$63:$K$1238,10,0)</f>
        <v>0.27777546243236295</v>
      </c>
      <c r="X913" s="8">
        <f>+VLOOKUP($B913,NIFTY_PHARMA!$B$63:$K$1238,10,0)</f>
        <v>0.11053603696047176</v>
      </c>
      <c r="Y913" s="8">
        <f>+VLOOKUP($B913,NIFTY_FMCG!$B$63:$K$1238,10,0)</f>
        <v>7.3746245880049299E-2</v>
      </c>
      <c r="Z913" s="8">
        <f>+VLOOKUP($B913,NIFTY_METAL!$B$63:$K$1238,10,0)</f>
        <v>0.23245443467890392</v>
      </c>
      <c r="AA913" s="8">
        <f>+VLOOKUP($B913,NIFTY_ENERGY!$B$63:$K$1238,10,0)</f>
        <v>0.11009413374157195</v>
      </c>
      <c r="AB913" s="8">
        <f>+VLOOKUP($B913,NIFTY_AUTO!$B$63:$K$1238,10,0)</f>
        <v>0.22427440633245377</v>
      </c>
      <c r="AC913" s="8">
        <f>+VLOOKUP($B913,EBBETF0430!$B$63:$K$1238,10,0)</f>
        <v>-0.59538058724518428</v>
      </c>
      <c r="AD913" s="16">
        <f t="shared" si="517"/>
        <v>7.4429276750695508E-2</v>
      </c>
      <c r="AE913" s="8">
        <f t="shared" si="518"/>
        <v>0.13455442463119227</v>
      </c>
      <c r="AF913" s="8">
        <f t="shared" si="519"/>
        <v>0.10492292894782961</v>
      </c>
      <c r="AG913" s="8">
        <f t="shared" si="520"/>
        <v>0.11956825041673985</v>
      </c>
      <c r="AH913" s="8">
        <f t="shared" si="521"/>
        <v>6.0217348791466146E-2</v>
      </c>
      <c r="AI913" s="8">
        <f t="shared" si="522"/>
        <v>0.12306058785140865</v>
      </c>
      <c r="AJ913" s="8">
        <f t="shared" si="523"/>
        <v>0.10798741012415256</v>
      </c>
      <c r="AK913" s="8">
        <f t="shared" si="524"/>
        <v>0.10021451057971578</v>
      </c>
      <c r="AL913" s="9">
        <v>0</v>
      </c>
      <c r="AM913" s="17">
        <f t="shared" si="501"/>
        <v>13.435573253647872</v>
      </c>
      <c r="AN913" s="13">
        <f t="shared" si="502"/>
        <v>7.431936948494676</v>
      </c>
      <c r="AO913" s="13">
        <f t="shared" si="503"/>
        <v>9.5308052303536623</v>
      </c>
      <c r="AP913" s="13">
        <f t="shared" si="504"/>
        <v>8.3634242076356209</v>
      </c>
      <c r="AQ913" s="13">
        <f t="shared" si="505"/>
        <v>16.606509918977327</v>
      </c>
      <c r="AR913" s="13">
        <f t="shared" si="506"/>
        <v>8.1260785232674575</v>
      </c>
      <c r="AS913" s="13">
        <f t="shared" si="507"/>
        <v>9.2603387640309673</v>
      </c>
      <c r="AT913" s="13">
        <f t="shared" si="508"/>
        <v>9.9785948583219248</v>
      </c>
      <c r="AU913" s="9">
        <v>0</v>
      </c>
      <c r="AV913" s="18">
        <f t="shared" si="525"/>
        <v>2</v>
      </c>
      <c r="AW913" s="18">
        <f t="shared" si="526"/>
        <v>8</v>
      </c>
      <c r="AX913" s="18">
        <f t="shared" si="527"/>
        <v>4</v>
      </c>
      <c r="AY913" s="18">
        <f t="shared" si="528"/>
        <v>6</v>
      </c>
      <c r="AZ913" s="18">
        <f t="shared" si="529"/>
        <v>1</v>
      </c>
      <c r="BA913" s="18">
        <f t="shared" si="530"/>
        <v>7</v>
      </c>
      <c r="BB913" s="18">
        <f t="shared" si="531"/>
        <v>5</v>
      </c>
      <c r="BC913" s="18">
        <f t="shared" si="532"/>
        <v>3</v>
      </c>
      <c r="BD913" s="18">
        <f t="shared" si="533"/>
        <v>9</v>
      </c>
      <c r="BE913" s="8">
        <f t="shared" si="535"/>
        <v>-1.5020608396005132E-3</v>
      </c>
    </row>
    <row r="914" spans="1:57" x14ac:dyDescent="0.25">
      <c r="A914" t="str">
        <f t="shared" si="534"/>
        <v/>
      </c>
      <c r="B914" s="1">
        <v>44083</v>
      </c>
      <c r="C914" s="9">
        <f t="shared" si="509"/>
        <v>0.24647469365370764</v>
      </c>
      <c r="D914" s="9">
        <f t="shared" si="510"/>
        <v>0</v>
      </c>
      <c r="E914" s="9">
        <f t="shared" si="511"/>
        <v>0.25348522417862196</v>
      </c>
      <c r="F914" s="9">
        <f t="shared" si="512"/>
        <v>0</v>
      </c>
      <c r="G914" s="9">
        <f t="shared" si="513"/>
        <v>0.24918051878981662</v>
      </c>
      <c r="H914" s="9">
        <f t="shared" si="514"/>
        <v>0</v>
      </c>
      <c r="I914" s="9">
        <f t="shared" si="515"/>
        <v>0</v>
      </c>
      <c r="J914" s="9">
        <f t="shared" si="516"/>
        <v>0.25085956337785392</v>
      </c>
      <c r="K914" s="9">
        <v>0</v>
      </c>
      <c r="L914" s="8">
        <f>+VLOOKUP($B914,NIFTY_50!$B$3:$I$1238,8,0)</f>
        <v>-3.4769623630973578E-3</v>
      </c>
      <c r="M914" s="8">
        <f>+VLOOKUP($B914,NIFTY_BANK!$B$3:$I$41238,8,0)</f>
        <v>-2.0989782100209298E-2</v>
      </c>
      <c r="N914" s="8">
        <f>+VLOOKUP($B914,NIFTY_IT!$B$3:$I$1238,8,0)</f>
        <v>-7.2978813041055801E-3</v>
      </c>
      <c r="O914" s="8">
        <f>+VLOOKUP($B914,NIFTY_PHARMA!$B$3:$I$1238,8,0)</f>
        <v>1.9011646774600655E-2</v>
      </c>
      <c r="P914" s="8">
        <f>+VLOOKUP($B914,NIFTY_FMCG!$B$3:$I$1238,8,0)</f>
        <v>-5.9980304006205243E-3</v>
      </c>
      <c r="Q914" s="8">
        <f>+VLOOKUP($B914,NIFTY_METAL!$B$3:$I$1238,8,0)</f>
        <v>8.5617518985210417E-3</v>
      </c>
      <c r="R914" s="8">
        <f>+VLOOKUP($B914,NIFTY_ENERGY!$B$3:$I$1238,8,0)</f>
        <v>1.9170016529248546E-3</v>
      </c>
      <c r="S914" s="8">
        <f>+VLOOKUP($B914,NIFTY_AUTO!$B$3:$I$1238,8,0)</f>
        <v>1.9143002028398914E-3</v>
      </c>
      <c r="T914" s="8">
        <v>0</v>
      </c>
      <c r="U914" s="8">
        <f>+VLOOKUP($B914,NIFTY_50!$B$63:$K$1238,10,0)</f>
        <v>0.13758321565462972</v>
      </c>
      <c r="V914" s="8">
        <f>+VLOOKUP($B914,NIFTY_BANK!$B$63:$K$1238,10,0)</f>
        <v>9.7074893948277285E-2</v>
      </c>
      <c r="W914" s="8">
        <f>+VLOOKUP($B914,NIFTY_IT!$B$63:$K$1238,10,0)</f>
        <v>0.263701663575719</v>
      </c>
      <c r="X914" s="8">
        <f>+VLOOKUP($B914,NIFTY_PHARMA!$B$63:$K$1238,10,0)</f>
        <v>0.13879150548033525</v>
      </c>
      <c r="Y914" s="8">
        <f>+VLOOKUP($B914,NIFTY_FMCG!$B$63:$K$1238,10,0)</f>
        <v>7.20288640384108E-2</v>
      </c>
      <c r="Z914" s="8">
        <f>+VLOOKUP($B914,NIFTY_METAL!$B$63:$K$1238,10,0)</f>
        <v>0.22562503195459871</v>
      </c>
      <c r="AA914" s="8">
        <f>+VLOOKUP($B914,NIFTY_ENERGY!$B$63:$K$1238,10,0)</f>
        <v>0.11503894982420881</v>
      </c>
      <c r="AB914" s="8">
        <f>+VLOOKUP($B914,NIFTY_AUTO!$B$63:$K$1238,10,0)</f>
        <v>0.22508738887467938</v>
      </c>
      <c r="AC914" s="8">
        <f>+VLOOKUP($B914,EBBETF0430!$B$63:$K$1238,10,0)</f>
        <v>-0.8061462366463279</v>
      </c>
      <c r="AD914" s="16">
        <f t="shared" si="517"/>
        <v>7.4226784073576565E-2</v>
      </c>
      <c r="AE914" s="8">
        <f t="shared" si="518"/>
        <v>0.13540710206857498</v>
      </c>
      <c r="AF914" s="8">
        <f t="shared" si="519"/>
        <v>0.10553176489440626</v>
      </c>
      <c r="AG914" s="8">
        <f t="shared" si="520"/>
        <v>0.12047949901179314</v>
      </c>
      <c r="AH914" s="8">
        <f t="shared" si="521"/>
        <v>6.0385974303379636E-2</v>
      </c>
      <c r="AI914" s="8">
        <f t="shared" si="522"/>
        <v>0.12270105990293784</v>
      </c>
      <c r="AJ914" s="8">
        <f t="shared" si="523"/>
        <v>0.1078989268393338</v>
      </c>
      <c r="AK914" s="8">
        <f t="shared" si="524"/>
        <v>0.10020237798144722</v>
      </c>
      <c r="AL914" s="9">
        <v>0</v>
      </c>
      <c r="AM914" s="17">
        <f t="shared" si="501"/>
        <v>13.472225861338138</v>
      </c>
      <c r="AN914" s="13">
        <f t="shared" si="502"/>
        <v>7.3851370033276718</v>
      </c>
      <c r="AO914" s="13">
        <f t="shared" si="503"/>
        <v>9.4758199201973667</v>
      </c>
      <c r="AP914" s="13">
        <f t="shared" si="504"/>
        <v>8.30016731645037</v>
      </c>
      <c r="AQ914" s="13">
        <f t="shared" si="505"/>
        <v>16.560136878408084</v>
      </c>
      <c r="AR914" s="13">
        <f t="shared" si="506"/>
        <v>8.1498888501129976</v>
      </c>
      <c r="AS914" s="13">
        <f t="shared" si="507"/>
        <v>9.2679327709073842</v>
      </c>
      <c r="AT914" s="13">
        <f t="shared" si="508"/>
        <v>9.979803075982419</v>
      </c>
      <c r="AU914" s="9">
        <v>0</v>
      </c>
      <c r="AV914" s="18">
        <f t="shared" si="525"/>
        <v>2</v>
      </c>
      <c r="AW914" s="18">
        <f t="shared" si="526"/>
        <v>8</v>
      </c>
      <c r="AX914" s="18">
        <f t="shared" si="527"/>
        <v>4</v>
      </c>
      <c r="AY914" s="18">
        <f t="shared" si="528"/>
        <v>6</v>
      </c>
      <c r="AZ914" s="18">
        <f t="shared" si="529"/>
        <v>1</v>
      </c>
      <c r="BA914" s="18">
        <f t="shared" si="530"/>
        <v>7</v>
      </c>
      <c r="BB914" s="18">
        <f t="shared" si="531"/>
        <v>5</v>
      </c>
      <c r="BC914" s="18">
        <f t="shared" si="532"/>
        <v>3</v>
      </c>
      <c r="BD914" s="18">
        <f t="shared" si="533"/>
        <v>9</v>
      </c>
      <c r="BE914" s="8">
        <f t="shared" si="535"/>
        <v>-3.7337926350590055E-3</v>
      </c>
    </row>
    <row r="915" spans="1:57" x14ac:dyDescent="0.25">
      <c r="A915" t="str">
        <f t="shared" si="534"/>
        <v/>
      </c>
      <c r="B915" s="1">
        <v>44084</v>
      </c>
      <c r="C915" s="9">
        <f t="shared" si="509"/>
        <v>0.24820233025590507</v>
      </c>
      <c r="D915" s="9">
        <f t="shared" si="510"/>
        <v>0</v>
      </c>
      <c r="E915" s="9">
        <f t="shared" si="511"/>
        <v>0.25329384227803675</v>
      </c>
      <c r="F915" s="9">
        <f t="shared" si="512"/>
        <v>0</v>
      </c>
      <c r="G915" s="9">
        <f t="shared" si="513"/>
        <v>0.24834510105768981</v>
      </c>
      <c r="H915" s="9">
        <f t="shared" si="514"/>
        <v>0</v>
      </c>
      <c r="I915" s="9">
        <f t="shared" si="515"/>
        <v>0</v>
      </c>
      <c r="J915" s="9">
        <f t="shared" si="516"/>
        <v>0.25015872640836834</v>
      </c>
      <c r="K915" s="9">
        <v>0</v>
      </c>
      <c r="L915" s="8">
        <f>+VLOOKUP($B915,NIFTY_50!$B$3:$I$1238,8,0)</f>
        <v>1.5184429863450921E-2</v>
      </c>
      <c r="M915" s="8">
        <f>+VLOOKUP($B915,NIFTY_BANK!$B$3:$I$41238,8,0)</f>
        <v>8.9459738626667118E-3</v>
      </c>
      <c r="N915" s="8">
        <f>+VLOOKUP($B915,NIFTY_IT!$B$3:$I$1238,8,0)</f>
        <v>7.3570079128220112E-3</v>
      </c>
      <c r="O915" s="8">
        <f>+VLOOKUP($B915,NIFTY_PHARMA!$B$3:$I$1238,8,0)</f>
        <v>-6.1924434497262482E-5</v>
      </c>
      <c r="P915" s="8">
        <f>+VLOOKUP($B915,NIFTY_FMCG!$B$3:$I$1238,8,0)</f>
        <v>4.7382612556148285E-3</v>
      </c>
      <c r="Q915" s="8">
        <f>+VLOOKUP($B915,NIFTY_METAL!$B$3:$I$1238,8,0)</f>
        <v>-1.1430001668613188E-2</v>
      </c>
      <c r="R915" s="8">
        <f>+VLOOKUP($B915,NIFTY_ENERGY!$B$3:$I$1238,8,0)</f>
        <v>3.9841596787681732E-2</v>
      </c>
      <c r="S915" s="8">
        <f>+VLOOKUP($B915,NIFTY_AUTO!$B$3:$I$1238,8,0)</f>
        <v>5.3017170477407394E-3</v>
      </c>
      <c r="T915" s="8">
        <v>0</v>
      </c>
      <c r="U915" s="8">
        <f>+VLOOKUP($B915,NIFTY_50!$B$63:$K$1238,10,0)</f>
        <v>0.15869610318637006</v>
      </c>
      <c r="V915" s="8">
        <f>+VLOOKUP($B915,NIFTY_BANK!$B$63:$K$1238,10,0)</f>
        <v>0.11209177422748029</v>
      </c>
      <c r="W915" s="8">
        <f>+VLOOKUP($B915,NIFTY_IT!$B$63:$K$1238,10,0)</f>
        <v>0.27056763672906969</v>
      </c>
      <c r="X915" s="8">
        <f>+VLOOKUP($B915,NIFTY_PHARMA!$B$63:$K$1238,10,0)</f>
        <v>0.13292306458725878</v>
      </c>
      <c r="Y915" s="8">
        <f>+VLOOKUP($B915,NIFTY_FMCG!$B$63:$K$1238,10,0)</f>
        <v>8.2548559269126853E-2</v>
      </c>
      <c r="Z915" s="8">
        <f>+VLOOKUP($B915,NIFTY_METAL!$B$63:$K$1238,10,0)</f>
        <v>0.2212631090726378</v>
      </c>
      <c r="AA915" s="8">
        <f>+VLOOKUP($B915,NIFTY_ENERGY!$B$63:$K$1238,10,0)</f>
        <v>0.16263611524454347</v>
      </c>
      <c r="AB915" s="8">
        <f>+VLOOKUP($B915,NIFTY_AUTO!$B$63:$K$1238,10,0)</f>
        <v>0.22164988083339732</v>
      </c>
      <c r="AC915" s="8">
        <f>+VLOOKUP($B915,EBBETF0430!$B$63:$K$1238,10,0)</f>
        <v>-0.29897600330988827</v>
      </c>
      <c r="AD915" s="16">
        <f t="shared" si="517"/>
        <v>7.512429220083941E-2</v>
      </c>
      <c r="AE915" s="8">
        <f t="shared" si="518"/>
        <v>0.13544248261926511</v>
      </c>
      <c r="AF915" s="8">
        <f t="shared" si="519"/>
        <v>0.10556561703136874</v>
      </c>
      <c r="AG915" s="8">
        <f t="shared" si="520"/>
        <v>0.12046578389576476</v>
      </c>
      <c r="AH915" s="8">
        <f t="shared" si="521"/>
        <v>6.0160111377173003E-2</v>
      </c>
      <c r="AI915" s="8">
        <f t="shared" si="522"/>
        <v>0.12307744808254265</v>
      </c>
      <c r="AJ915" s="8">
        <f t="shared" si="523"/>
        <v>0.11415861378607105</v>
      </c>
      <c r="AK915" s="8">
        <f t="shared" si="524"/>
        <v>0.10010851380566207</v>
      </c>
      <c r="AL915" s="9">
        <v>0</v>
      </c>
      <c r="AM915" s="17">
        <f t="shared" si="501"/>
        <v>13.311273500275671</v>
      </c>
      <c r="AN915" s="13">
        <f t="shared" si="502"/>
        <v>7.3832078433695338</v>
      </c>
      <c r="AO915" s="13">
        <f t="shared" si="503"/>
        <v>9.4727812721717033</v>
      </c>
      <c r="AP915" s="13">
        <f t="shared" si="504"/>
        <v>8.3011122964614454</v>
      </c>
      <c r="AQ915" s="13">
        <f t="shared" si="505"/>
        <v>16.622309651830822</v>
      </c>
      <c r="AR915" s="13">
        <f t="shared" si="506"/>
        <v>8.1249653415737377</v>
      </c>
      <c r="AS915" s="13">
        <f t="shared" si="507"/>
        <v>8.7597419663308322</v>
      </c>
      <c r="AT915" s="13">
        <f t="shared" si="508"/>
        <v>9.9891603819158945</v>
      </c>
      <c r="AU915" s="9">
        <v>0</v>
      </c>
      <c r="AV915" s="18">
        <f t="shared" si="525"/>
        <v>2</v>
      </c>
      <c r="AW915" s="18">
        <f t="shared" si="526"/>
        <v>8</v>
      </c>
      <c r="AX915" s="18">
        <f t="shared" si="527"/>
        <v>4</v>
      </c>
      <c r="AY915" s="18">
        <f t="shared" si="528"/>
        <v>6</v>
      </c>
      <c r="AZ915" s="18">
        <f t="shared" si="529"/>
        <v>1</v>
      </c>
      <c r="BA915" s="18">
        <f t="shared" si="530"/>
        <v>7</v>
      </c>
      <c r="BB915" s="18">
        <f t="shared" si="531"/>
        <v>5</v>
      </c>
      <c r="BC915" s="18">
        <f t="shared" si="532"/>
        <v>3</v>
      </c>
      <c r="BD915" s="18">
        <f t="shared" si="533"/>
        <v>9</v>
      </c>
      <c r="BE915" s="8">
        <f t="shared" si="535"/>
        <v>8.118139320550815E-3</v>
      </c>
    </row>
    <row r="916" spans="1:57" x14ac:dyDescent="0.25">
      <c r="A916" t="str">
        <f t="shared" si="534"/>
        <v/>
      </c>
      <c r="B916" s="1">
        <v>44085</v>
      </c>
      <c r="C916" s="9">
        <f t="shared" si="509"/>
        <v>0.24716474355158108</v>
      </c>
      <c r="D916" s="9">
        <f t="shared" si="510"/>
        <v>0</v>
      </c>
      <c r="E916" s="9">
        <f t="shared" si="511"/>
        <v>0.25515134622883129</v>
      </c>
      <c r="F916" s="9">
        <f t="shared" si="512"/>
        <v>0</v>
      </c>
      <c r="G916" s="9">
        <f t="shared" si="513"/>
        <v>0.24853173767631373</v>
      </c>
      <c r="H916" s="9">
        <f t="shared" si="514"/>
        <v>0</v>
      </c>
      <c r="I916" s="9">
        <f t="shared" si="515"/>
        <v>0</v>
      </c>
      <c r="J916" s="9">
        <f t="shared" si="516"/>
        <v>0.24915217254327376</v>
      </c>
      <c r="K916" s="9">
        <v>0</v>
      </c>
      <c r="L916" s="8">
        <f>+VLOOKUP($B916,NIFTY_50!$B$3:$I$1238,8,0)</f>
        <v>1.3275978775904029E-3</v>
      </c>
      <c r="M916" s="8">
        <f>+VLOOKUP($B916,NIFTY_BANK!$B$3:$I$41238,8,0)</f>
        <v>6.1203051695435384E-4</v>
      </c>
      <c r="N916" s="8">
        <f>+VLOOKUP($B916,NIFTY_IT!$B$3:$I$1238,8,0)</f>
        <v>1.2905084570704828E-2</v>
      </c>
      <c r="O916" s="8">
        <f>+VLOOKUP($B916,NIFTY_PHARMA!$B$3:$I$1238,8,0)</f>
        <v>8.7584266680829082E-4</v>
      </c>
      <c r="P916" s="8">
        <f>+VLOOKUP($B916,NIFTY_FMCG!$B$3:$I$1238,8,0)</f>
        <v>6.2868050196971392E-3</v>
      </c>
      <c r="Q916" s="8">
        <f>+VLOOKUP($B916,NIFTY_METAL!$B$3:$I$1238,8,0)</f>
        <v>6.1186598025149141E-3</v>
      </c>
      <c r="R916" s="8">
        <f>+VLOOKUP($B916,NIFTY_ENERGY!$B$3:$I$1238,8,0)</f>
        <v>-2.2374444941654081E-3</v>
      </c>
      <c r="S916" s="8">
        <f>+VLOOKUP($B916,NIFTY_AUTO!$B$3:$I$1238,8,0)</f>
        <v>1.4852108244178819E-3</v>
      </c>
      <c r="T916" s="8">
        <v>0</v>
      </c>
      <c r="U916" s="8">
        <f>+VLOOKUP($B916,NIFTY_50!$B$63:$K$1238,10,0)</f>
        <v>0.136033255215946</v>
      </c>
      <c r="V916" s="8">
        <f>+VLOOKUP($B916,NIFTY_BANK!$B$63:$K$1238,10,0)</f>
        <v>7.2706059752914554E-2</v>
      </c>
      <c r="W916" s="8">
        <f>+VLOOKUP($B916,NIFTY_IT!$B$63:$K$1238,10,0)</f>
        <v>0.28052572803023801</v>
      </c>
      <c r="X916" s="8">
        <f>+VLOOKUP($B916,NIFTY_PHARMA!$B$63:$K$1238,10,0)</f>
        <v>0.13413130432167453</v>
      </c>
      <c r="Y916" s="8">
        <f>+VLOOKUP($B916,NIFTY_FMCG!$B$63:$K$1238,10,0)</f>
        <v>8.1104901793100481E-2</v>
      </c>
      <c r="Z916" s="8">
        <f>+VLOOKUP($B916,NIFTY_METAL!$B$63:$K$1238,10,0)</f>
        <v>0.1929552447902334</v>
      </c>
      <c r="AA916" s="8">
        <f>+VLOOKUP($B916,NIFTY_ENERGY!$B$63:$K$1238,10,0)</f>
        <v>0.13683152148722311</v>
      </c>
      <c r="AB916" s="8">
        <f>+VLOOKUP($B916,NIFTY_AUTO!$B$63:$K$1238,10,0)</f>
        <v>0.21739928701479538</v>
      </c>
      <c r="AC916" s="8">
        <f>+VLOOKUP($B916,EBBETF0430!$B$63:$K$1238,10,0)</f>
        <v>-0.33256327842507027</v>
      </c>
      <c r="AD916" s="16">
        <f t="shared" si="517"/>
        <v>7.2687615139075346E-2</v>
      </c>
      <c r="AE916" s="8">
        <f t="shared" si="518"/>
        <v>0.13064072035732829</v>
      </c>
      <c r="AF916" s="8">
        <f t="shared" si="519"/>
        <v>0.10592901597773942</v>
      </c>
      <c r="AG916" s="8">
        <f t="shared" si="520"/>
        <v>0.12044956327257607</v>
      </c>
      <c r="AH916" s="8">
        <f t="shared" si="521"/>
        <v>6.003402807271252E-2</v>
      </c>
      <c r="AI916" s="8">
        <f t="shared" si="522"/>
        <v>0.12016333787469356</v>
      </c>
      <c r="AJ916" s="8">
        <f t="shared" si="523"/>
        <v>0.11282301673668456</v>
      </c>
      <c r="AK916" s="8">
        <f t="shared" si="524"/>
        <v>0.10011226096362623</v>
      </c>
      <c r="AL916" s="9">
        <v>0</v>
      </c>
      <c r="AM916" s="17">
        <f t="shared" si="501"/>
        <v>13.757501853468032</v>
      </c>
      <c r="AN916" s="13">
        <f t="shared" si="502"/>
        <v>7.6545811846781122</v>
      </c>
      <c r="AO916" s="13">
        <f t="shared" si="503"/>
        <v>9.4402840503129593</v>
      </c>
      <c r="AP916" s="13">
        <f t="shared" si="504"/>
        <v>8.3022301852353806</v>
      </c>
      <c r="AQ916" s="13">
        <f t="shared" si="505"/>
        <v>16.657219781901219</v>
      </c>
      <c r="AR916" s="13">
        <f t="shared" si="506"/>
        <v>8.3220058437690945</v>
      </c>
      <c r="AS916" s="13">
        <f t="shared" si="507"/>
        <v>8.8634396502079049</v>
      </c>
      <c r="AT916" s="13">
        <f t="shared" si="508"/>
        <v>9.9887864920294813</v>
      </c>
      <c r="AU916" s="9">
        <v>0</v>
      </c>
      <c r="AV916" s="18">
        <f t="shared" si="525"/>
        <v>2</v>
      </c>
      <c r="AW916" s="18">
        <f t="shared" si="526"/>
        <v>8</v>
      </c>
      <c r="AX916" s="18">
        <f t="shared" si="527"/>
        <v>4</v>
      </c>
      <c r="AY916" s="18">
        <f t="shared" si="528"/>
        <v>7</v>
      </c>
      <c r="AZ916" s="18">
        <f t="shared" si="529"/>
        <v>1</v>
      </c>
      <c r="BA916" s="18">
        <f t="shared" si="530"/>
        <v>6</v>
      </c>
      <c r="BB916" s="18">
        <f t="shared" si="531"/>
        <v>5</v>
      </c>
      <c r="BC916" s="18">
        <f t="shared" si="532"/>
        <v>3</v>
      </c>
      <c r="BD916" s="18">
        <f t="shared" si="533"/>
        <v>9</v>
      </c>
      <c r="BE916" s="8">
        <f t="shared" si="535"/>
        <v>5.531127018928543E-3</v>
      </c>
    </row>
    <row r="917" spans="1:57" x14ac:dyDescent="0.25">
      <c r="A917" t="str">
        <f t="shared" si="534"/>
        <v/>
      </c>
      <c r="B917" s="1">
        <v>44088</v>
      </c>
      <c r="C917" s="9">
        <f t="shared" si="509"/>
        <v>0.24367247777458698</v>
      </c>
      <c r="D917" s="9">
        <f t="shared" si="510"/>
        <v>0</v>
      </c>
      <c r="E917" s="9">
        <f t="shared" si="511"/>
        <v>0.26387770257702919</v>
      </c>
      <c r="F917" s="9">
        <f t="shared" si="512"/>
        <v>0</v>
      </c>
      <c r="G917" s="9">
        <f t="shared" si="513"/>
        <v>0.24386403225680778</v>
      </c>
      <c r="H917" s="9">
        <f t="shared" si="514"/>
        <v>0</v>
      </c>
      <c r="I917" s="9">
        <f t="shared" si="515"/>
        <v>0</v>
      </c>
      <c r="J917" s="9">
        <f t="shared" si="516"/>
        <v>0.24858578739157614</v>
      </c>
      <c r="K917" s="9">
        <v>0</v>
      </c>
      <c r="L917" s="8">
        <f>+VLOOKUP($B917,NIFTY_50!$B$3:$I$1238,8,0)</f>
        <v>-2.1283184103905173E-3</v>
      </c>
      <c r="M917" s="8">
        <f>+VLOOKUP($B917,NIFTY_BANK!$B$3:$I$41238,8,0)</f>
        <v>-1.6846122878387271E-2</v>
      </c>
      <c r="N917" s="8">
        <f>+VLOOKUP($B917,NIFTY_IT!$B$3:$I$1238,8,0)</f>
        <v>4.679001247769432E-2</v>
      </c>
      <c r="O917" s="8">
        <f>+VLOOKUP($B917,NIFTY_PHARMA!$B$3:$I$1238,8,0)</f>
        <v>-7.0713231329496695E-3</v>
      </c>
      <c r="P917" s="8">
        <f>+VLOOKUP($B917,NIFTY_FMCG!$B$3:$I$1238,8,0)</f>
        <v>-6.83676516882048E-3</v>
      </c>
      <c r="Q917" s="8">
        <f>+VLOOKUP($B917,NIFTY_METAL!$B$3:$I$1238,8,0)</f>
        <v>1.1533783500399242E-3</v>
      </c>
      <c r="R917" s="8">
        <f>+VLOOKUP($B917,NIFTY_ENERGY!$B$3:$I$1238,8,0)</f>
        <v>-7.097470252096616E-3</v>
      </c>
      <c r="S917" s="8">
        <f>+VLOOKUP($B917,NIFTY_AUTO!$B$3:$I$1238,8,0)</f>
        <v>9.8720591192440477E-3</v>
      </c>
      <c r="T917" s="8">
        <v>0</v>
      </c>
      <c r="U917" s="8">
        <f>+VLOOKUP($B917,NIFTY_50!$B$63:$K$1238,10,0)</f>
        <v>0.11671254539065234</v>
      </c>
      <c r="V917" s="8">
        <f>+VLOOKUP($B917,NIFTY_BANK!$B$63:$K$1238,10,0)</f>
        <v>3.5764665082645752E-2</v>
      </c>
      <c r="W917" s="8">
        <f>+VLOOKUP($B917,NIFTY_IT!$B$63:$K$1238,10,0)</f>
        <v>0.34519786479813508</v>
      </c>
      <c r="X917" s="8">
        <f>+VLOOKUP($B917,NIFTY_PHARMA!$B$63:$K$1238,10,0)</f>
        <v>0.12308853596476754</v>
      </c>
      <c r="Y917" s="8">
        <f>+VLOOKUP($B917,NIFTY_FMCG!$B$63:$K$1238,10,0)</f>
        <v>7.1441633329792031E-2</v>
      </c>
      <c r="Z917" s="8">
        <f>+VLOOKUP($B917,NIFTY_METAL!$B$63:$K$1238,10,0)</f>
        <v>0.19498886135516025</v>
      </c>
      <c r="AA917" s="8">
        <f>+VLOOKUP($B917,NIFTY_ENERGY!$B$63:$K$1238,10,0)</f>
        <v>8.9018076744465935E-2</v>
      </c>
      <c r="AB917" s="8">
        <f>+VLOOKUP($B917,NIFTY_AUTO!$B$63:$K$1238,10,0)</f>
        <v>0.21114628080488362</v>
      </c>
      <c r="AC917" s="8">
        <f>+VLOOKUP($B917,EBBETF0430!$B$63:$K$1238,10,0)</f>
        <v>-0.41606818719911609</v>
      </c>
      <c r="AD917" s="16">
        <f t="shared" si="517"/>
        <v>7.1608619687067374E-2</v>
      </c>
      <c r="AE917" s="8">
        <f t="shared" si="518"/>
        <v>0.13072600869272313</v>
      </c>
      <c r="AF917" s="8">
        <f t="shared" si="519"/>
        <v>0.1137465487627244</v>
      </c>
      <c r="AG917" s="8">
        <f t="shared" si="520"/>
        <v>0.12079708591821672</v>
      </c>
      <c r="AH917" s="8">
        <f t="shared" si="521"/>
        <v>6.0567816007394248E-2</v>
      </c>
      <c r="AI917" s="8">
        <f t="shared" si="522"/>
        <v>0.12012465775949754</v>
      </c>
      <c r="AJ917" s="8">
        <f t="shared" si="523"/>
        <v>0.1077441837441309</v>
      </c>
      <c r="AK917" s="8">
        <f t="shared" si="524"/>
        <v>9.9631473712412572E-2</v>
      </c>
      <c r="AL917" s="9">
        <v>0</v>
      </c>
      <c r="AM917" s="17">
        <f t="shared" si="501"/>
        <v>13.96479927095427</v>
      </c>
      <c r="AN917" s="13">
        <f t="shared" si="502"/>
        <v>7.6495871785586385</v>
      </c>
      <c r="AO917" s="13">
        <f t="shared" si="503"/>
        <v>8.7914755293894906</v>
      </c>
      <c r="AP917" s="13">
        <f t="shared" si="504"/>
        <v>8.2783453954926554</v>
      </c>
      <c r="AQ917" s="13">
        <f t="shared" si="505"/>
        <v>16.510418666539302</v>
      </c>
      <c r="AR917" s="13">
        <f t="shared" si="506"/>
        <v>8.3246855279463716</v>
      </c>
      <c r="AS917" s="13">
        <f t="shared" si="507"/>
        <v>9.2812434532409043</v>
      </c>
      <c r="AT917" s="13">
        <f t="shared" si="508"/>
        <v>10.036988942736226</v>
      </c>
      <c r="AU917" s="9">
        <v>0</v>
      </c>
      <c r="AV917" s="18">
        <f t="shared" si="525"/>
        <v>2</v>
      </c>
      <c r="AW917" s="18">
        <f t="shared" si="526"/>
        <v>8</v>
      </c>
      <c r="AX917" s="18">
        <f t="shared" si="527"/>
        <v>5</v>
      </c>
      <c r="AY917" s="18">
        <f t="shared" si="528"/>
        <v>7</v>
      </c>
      <c r="AZ917" s="18">
        <f t="shared" si="529"/>
        <v>1</v>
      </c>
      <c r="BA917" s="18">
        <f t="shared" si="530"/>
        <v>6</v>
      </c>
      <c r="BB917" s="18">
        <f t="shared" si="531"/>
        <v>4</v>
      </c>
      <c r="BC917" s="18">
        <f t="shared" si="532"/>
        <v>3</v>
      </c>
      <c r="BD917" s="18">
        <f t="shared" si="533"/>
        <v>9</v>
      </c>
      <c r="BE917" s="8">
        <f t="shared" si="535"/>
        <v>1.217298124919068E-2</v>
      </c>
    </row>
    <row r="918" spans="1:57" x14ac:dyDescent="0.25">
      <c r="A918" t="str">
        <f t="shared" si="534"/>
        <v/>
      </c>
      <c r="B918" s="1">
        <v>44089</v>
      </c>
      <c r="C918" s="9">
        <f t="shared" si="509"/>
        <v>0.24469085221580683</v>
      </c>
      <c r="D918" s="9">
        <f t="shared" si="510"/>
        <v>0</v>
      </c>
      <c r="E918" s="9">
        <f t="shared" si="511"/>
        <v>0.26474874988813946</v>
      </c>
      <c r="F918" s="9">
        <f t="shared" si="512"/>
        <v>0</v>
      </c>
      <c r="G918" s="9">
        <f t="shared" si="513"/>
        <v>0.24276391447857287</v>
      </c>
      <c r="H918" s="9">
        <f t="shared" si="514"/>
        <v>0</v>
      </c>
      <c r="I918" s="9">
        <f t="shared" si="515"/>
        <v>0</v>
      </c>
      <c r="J918" s="9">
        <f t="shared" si="516"/>
        <v>0.24779648341748087</v>
      </c>
      <c r="K918" s="9">
        <v>0</v>
      </c>
      <c r="L918" s="8">
        <f>+VLOOKUP($B918,NIFTY_50!$B$3:$I$1238,8,0)</f>
        <v>7.1459477886897105E-3</v>
      </c>
      <c r="M918" s="8">
        <f>+VLOOKUP($B918,NIFTY_BANK!$B$3:$I$41238,8,0)</f>
        <v>1.648775521746515E-2</v>
      </c>
      <c r="N918" s="8">
        <f>+VLOOKUP($B918,NIFTY_IT!$B$3:$I$1238,8,0)</f>
        <v>6.2650281208505021E-3</v>
      </c>
      <c r="O918" s="8">
        <f>+VLOOKUP($B918,NIFTY_PHARMA!$B$3:$I$1238,8,0)</f>
        <v>1.9335368947682507E-2</v>
      </c>
      <c r="P918" s="8">
        <f>+VLOOKUP($B918,NIFTY_FMCG!$B$3:$I$1238,8,0)</f>
        <v>-1.5701955429853198E-3</v>
      </c>
      <c r="Q918" s="8">
        <f>+VLOOKUP($B918,NIFTY_METAL!$B$3:$I$1238,8,0)</f>
        <v>-6.283906914392734E-4</v>
      </c>
      <c r="R918" s="8">
        <f>+VLOOKUP($B918,NIFTY_ENERGY!$B$3:$I$1238,8,0)</f>
        <v>4.3874750065544532E-3</v>
      </c>
      <c r="S918" s="8">
        <f>+VLOOKUP($B918,NIFTY_AUTO!$B$3:$I$1238,8,0)</f>
        <v>-2.3023265943611371E-4</v>
      </c>
      <c r="T918" s="8">
        <v>0</v>
      </c>
      <c r="U918" s="8">
        <f>+VLOOKUP($B918,NIFTY_50!$B$63:$K$1238,10,0)</f>
        <v>0.11740631546279756</v>
      </c>
      <c r="V918" s="8">
        <f>+VLOOKUP($B918,NIFTY_BANK!$B$63:$K$1238,10,0)</f>
        <v>3.4885193946108339E-2</v>
      </c>
      <c r="W918" s="8">
        <f>+VLOOKUP($B918,NIFTY_IT!$B$63:$K$1238,10,0)</f>
        <v>0.35700408609138723</v>
      </c>
      <c r="X918" s="8">
        <f>+VLOOKUP($B918,NIFTY_PHARMA!$B$63:$K$1238,10,0)</f>
        <v>0.12058209006346421</v>
      </c>
      <c r="Y918" s="8">
        <f>+VLOOKUP($B918,NIFTY_FMCG!$B$63:$K$1238,10,0)</f>
        <v>6.3977869737003923E-2</v>
      </c>
      <c r="Z918" s="8">
        <f>+VLOOKUP($B918,NIFTY_METAL!$B$63:$K$1238,10,0)</f>
        <v>0.16379646794809255</v>
      </c>
      <c r="AA918" s="8">
        <f>+VLOOKUP($B918,NIFTY_ENERGY!$B$63:$K$1238,10,0)</f>
        <v>8.3335604677151176E-2</v>
      </c>
      <c r="AB918" s="8">
        <f>+VLOOKUP($B918,NIFTY_AUTO!$B$63:$K$1238,10,0)</f>
        <v>0.19384464490050668</v>
      </c>
      <c r="AC918" s="8">
        <f>+VLOOKUP($B918,EBBETF0430!$B$63:$K$1238,10,0)</f>
        <v>-0.48328000000000004</v>
      </c>
      <c r="AD918" s="16">
        <f t="shared" si="517"/>
        <v>7.1652048110478872E-2</v>
      </c>
      <c r="AE918" s="8">
        <f t="shared" si="518"/>
        <v>0.13061884959924541</v>
      </c>
      <c r="AF918" s="8">
        <f t="shared" si="519"/>
        <v>0.11350294339646842</v>
      </c>
      <c r="AG918" s="8">
        <f t="shared" si="520"/>
        <v>0.12044796567609733</v>
      </c>
      <c r="AH918" s="8">
        <f t="shared" si="521"/>
        <v>6.0472079707331879E-2</v>
      </c>
      <c r="AI918" s="8">
        <f t="shared" si="522"/>
        <v>0.11788722034061509</v>
      </c>
      <c r="AJ918" s="8">
        <f t="shared" si="523"/>
        <v>0.10747141314249269</v>
      </c>
      <c r="AK918" s="8">
        <f t="shared" si="524"/>
        <v>9.9061762221055047E-2</v>
      </c>
      <c r="AL918" s="9">
        <v>0</v>
      </c>
      <c r="AM918" s="17">
        <f t="shared" si="501"/>
        <v>13.956335183303063</v>
      </c>
      <c r="AN918" s="13">
        <f t="shared" si="502"/>
        <v>7.655862864112815</v>
      </c>
      <c r="AO918" s="13">
        <f t="shared" si="503"/>
        <v>8.810344208493138</v>
      </c>
      <c r="AP918" s="13">
        <f t="shared" si="504"/>
        <v>8.3023403042700625</v>
      </c>
      <c r="AQ918" s="13">
        <f t="shared" si="505"/>
        <v>16.5365571159405</v>
      </c>
      <c r="AR918" s="13">
        <f t="shared" si="506"/>
        <v>8.4826836794579599</v>
      </c>
      <c r="AS918" s="13">
        <f t="shared" si="507"/>
        <v>9.3047999533990868</v>
      </c>
      <c r="AT918" s="13">
        <f t="shared" si="508"/>
        <v>10.094712405463905</v>
      </c>
      <c r="AU918" s="9">
        <v>0</v>
      </c>
      <c r="AV918" s="18">
        <f t="shared" si="525"/>
        <v>2</v>
      </c>
      <c r="AW918" s="18">
        <f t="shared" si="526"/>
        <v>8</v>
      </c>
      <c r="AX918" s="18">
        <f t="shared" si="527"/>
        <v>5</v>
      </c>
      <c r="AY918" s="18">
        <f t="shared" si="528"/>
        <v>7</v>
      </c>
      <c r="AZ918" s="18">
        <f t="shared" si="529"/>
        <v>1</v>
      </c>
      <c r="BA918" s="18">
        <f t="shared" si="530"/>
        <v>6</v>
      </c>
      <c r="BB918" s="18">
        <f t="shared" si="531"/>
        <v>4</v>
      </c>
      <c r="BC918" s="18">
        <f t="shared" si="532"/>
        <v>3</v>
      </c>
      <c r="BD918" s="18">
        <f t="shared" si="533"/>
        <v>9</v>
      </c>
      <c r="BE918" s="8">
        <f t="shared" si="535"/>
        <v>2.954325247355115E-3</v>
      </c>
    </row>
    <row r="919" spans="1:57" x14ac:dyDescent="0.25">
      <c r="A919" t="str">
        <f t="shared" si="534"/>
        <v/>
      </c>
      <c r="B919" s="1">
        <v>44090</v>
      </c>
      <c r="C919" s="9">
        <f t="shared" si="509"/>
        <v>0.24438016196101095</v>
      </c>
      <c r="D919" s="9">
        <f t="shared" si="510"/>
        <v>0</v>
      </c>
      <c r="E919" s="9">
        <f t="shared" si="511"/>
        <v>0.26444049305914225</v>
      </c>
      <c r="F919" s="9">
        <f t="shared" si="512"/>
        <v>0</v>
      </c>
      <c r="G919" s="9">
        <f t="shared" si="513"/>
        <v>0.24170927408957479</v>
      </c>
      <c r="H919" s="9">
        <f t="shared" si="514"/>
        <v>0</v>
      </c>
      <c r="I919" s="9">
        <f t="shared" si="515"/>
        <v>0</v>
      </c>
      <c r="J919" s="9">
        <f t="shared" si="516"/>
        <v>0.24947007089027196</v>
      </c>
      <c r="K919" s="9">
        <v>0</v>
      </c>
      <c r="L919" s="8">
        <f>+VLOOKUP($B919,NIFTY_50!$B$3:$I$1238,8,0)</f>
        <v>7.182037528858265E-3</v>
      </c>
      <c r="M919" s="8">
        <f>+VLOOKUP($B919,NIFTY_BANK!$B$3:$I$41238,8,0)</f>
        <v>4.8028879645145572E-3</v>
      </c>
      <c r="N919" s="8">
        <f>+VLOOKUP($B919,NIFTY_IT!$B$3:$I$1238,8,0)</f>
        <v>7.2883178022447037E-3</v>
      </c>
      <c r="O919" s="8">
        <f>+VLOOKUP($B919,NIFTY_PHARMA!$B$3:$I$1238,8,0)</f>
        <v>2.0789485175319866E-2</v>
      </c>
      <c r="P919" s="8">
        <f>+VLOOKUP($B919,NIFTY_FMCG!$B$3:$I$1238,8,0)</f>
        <v>4.0814399489452757E-3</v>
      </c>
      <c r="Q919" s="8">
        <f>+VLOOKUP($B919,NIFTY_METAL!$B$3:$I$1238,8,0)</f>
        <v>4.5272578650623618E-3</v>
      </c>
      <c r="R919" s="8">
        <f>+VLOOKUP($B919,NIFTY_ENERGY!$B$3:$I$1238,8,0)</f>
        <v>-4.3494395732956992E-3</v>
      </c>
      <c r="S919" s="8">
        <f>+VLOOKUP($B919,NIFTY_AUTO!$B$3:$I$1238,8,0)</f>
        <v>1.5273542042696153E-2</v>
      </c>
      <c r="T919" s="8">
        <v>0</v>
      </c>
      <c r="U919" s="8">
        <f>+VLOOKUP($B919,NIFTY_50!$B$63:$K$1238,10,0)</f>
        <v>0.10825613599465189</v>
      </c>
      <c r="V919" s="8">
        <f>+VLOOKUP($B919,NIFTY_BANK!$B$63:$K$1238,10,0)</f>
        <v>1.3862626825182245E-2</v>
      </c>
      <c r="W919" s="8">
        <f>+VLOOKUP($B919,NIFTY_IT!$B$63:$K$1238,10,0)</f>
        <v>0.34671739189667861</v>
      </c>
      <c r="X919" s="8">
        <f>+VLOOKUP($B919,NIFTY_PHARMA!$B$63:$K$1238,10,0)</f>
        <v>0.12815130105783346</v>
      </c>
      <c r="Y919" s="8">
        <f>+VLOOKUP($B919,NIFTY_FMCG!$B$63:$K$1238,10,0)</f>
        <v>5.0497015860903716E-2</v>
      </c>
      <c r="Z919" s="8">
        <f>+VLOOKUP($B919,NIFTY_METAL!$B$63:$K$1238,10,0)</f>
        <v>0.14888771694313907</v>
      </c>
      <c r="AA919" s="8">
        <f>+VLOOKUP($B919,NIFTY_ENERGY!$B$63:$K$1238,10,0)</f>
        <v>6.6850659306961102E-2</v>
      </c>
      <c r="AB919" s="8">
        <f>+VLOOKUP($B919,NIFTY_AUTO!$B$63:$K$1238,10,0)</f>
        <v>0.20134920167324566</v>
      </c>
      <c r="AC919" s="8">
        <f>+VLOOKUP($B919,EBBETF0430!$B$63:$K$1238,10,0)</f>
        <v>-0.54316404035823607</v>
      </c>
      <c r="AD919" s="16">
        <f t="shared" si="517"/>
        <v>7.053566285138646E-2</v>
      </c>
      <c r="AE919" s="8">
        <f t="shared" si="518"/>
        <v>0.12825454383384502</v>
      </c>
      <c r="AF919" s="8">
        <f t="shared" si="519"/>
        <v>0.11309023251129258</v>
      </c>
      <c r="AG919" s="8">
        <f t="shared" si="520"/>
        <v>0.12131609737323605</v>
      </c>
      <c r="AH919" s="8">
        <f t="shared" si="521"/>
        <v>5.8394575632172964E-2</v>
      </c>
      <c r="AI919" s="8">
        <f t="shared" si="522"/>
        <v>0.11693821972117234</v>
      </c>
      <c r="AJ919" s="8">
        <f t="shared" si="523"/>
        <v>0.10717582807167077</v>
      </c>
      <c r="AK919" s="8">
        <f t="shared" si="524"/>
        <v>9.9640198976309324E-2</v>
      </c>
      <c r="AL919" s="9">
        <v>0</v>
      </c>
      <c r="AM919" s="17">
        <f t="shared" si="501"/>
        <v>14.177225527842953</v>
      </c>
      <c r="AN919" s="13">
        <f t="shared" si="502"/>
        <v>7.7969947115129852</v>
      </c>
      <c r="AO919" s="13">
        <f t="shared" si="503"/>
        <v>8.8424966311758659</v>
      </c>
      <c r="AP919" s="13">
        <f t="shared" si="504"/>
        <v>8.2429291879002804</v>
      </c>
      <c r="AQ919" s="13">
        <f t="shared" si="505"/>
        <v>17.124878281486165</v>
      </c>
      <c r="AR919" s="13">
        <f t="shared" si="506"/>
        <v>8.5515240644538757</v>
      </c>
      <c r="AS919" s="13">
        <f t="shared" si="507"/>
        <v>9.3304620826561617</v>
      </c>
      <c r="AT919" s="13">
        <f t="shared" si="508"/>
        <v>10.036110026614482</v>
      </c>
      <c r="AU919" s="9">
        <v>0</v>
      </c>
      <c r="AV919" s="18">
        <f t="shared" si="525"/>
        <v>2</v>
      </c>
      <c r="AW919" s="18">
        <f t="shared" si="526"/>
        <v>8</v>
      </c>
      <c r="AX919" s="18">
        <f t="shared" si="527"/>
        <v>5</v>
      </c>
      <c r="AY919" s="18">
        <f t="shared" si="528"/>
        <v>7</v>
      </c>
      <c r="AZ919" s="18">
        <f t="shared" si="529"/>
        <v>1</v>
      </c>
      <c r="BA919" s="18">
        <f t="shared" si="530"/>
        <v>6</v>
      </c>
      <c r="BB919" s="18">
        <f t="shared" si="531"/>
        <v>4</v>
      </c>
      <c r="BC919" s="18">
        <f t="shared" si="532"/>
        <v>3</v>
      </c>
      <c r="BD919" s="18">
        <f t="shared" si="533"/>
        <v>9</v>
      </c>
      <c r="BE919" s="8">
        <f t="shared" si="535"/>
        <v>8.462508256738329E-3</v>
      </c>
    </row>
    <row r="920" spans="1:57" x14ac:dyDescent="0.25">
      <c r="A920" t="str">
        <f t="shared" si="534"/>
        <v/>
      </c>
      <c r="B920" s="1">
        <v>44091</v>
      </c>
      <c r="C920" s="9">
        <f t="shared" si="509"/>
        <v>0.24337620307993879</v>
      </c>
      <c r="D920" s="9">
        <f t="shared" si="510"/>
        <v>0</v>
      </c>
      <c r="E920" s="9">
        <f t="shared" si="511"/>
        <v>0.26601240521081104</v>
      </c>
      <c r="F920" s="9">
        <f t="shared" si="512"/>
        <v>0</v>
      </c>
      <c r="G920" s="9">
        <f t="shared" si="513"/>
        <v>0.24110363712936522</v>
      </c>
      <c r="H920" s="9">
        <f t="shared" si="514"/>
        <v>0</v>
      </c>
      <c r="I920" s="9">
        <f t="shared" si="515"/>
        <v>0</v>
      </c>
      <c r="J920" s="9">
        <f t="shared" si="516"/>
        <v>0.24950775457988503</v>
      </c>
      <c r="K920" s="9">
        <v>0</v>
      </c>
      <c r="L920" s="8">
        <f>+VLOOKUP($B920,NIFTY_50!$B$3:$I$1238,8,0)</f>
        <v>-7.6220103321541499E-3</v>
      </c>
      <c r="M920" s="8">
        <f>+VLOOKUP($B920,NIFTY_BANK!$B$3:$I$41238,8,0)</f>
        <v>-1.1216667294244864E-2</v>
      </c>
      <c r="N920" s="8">
        <f>+VLOOKUP($B920,NIFTY_IT!$B$3:$I$1238,8,0)</f>
        <v>2.3950005943245145E-3</v>
      </c>
      <c r="O920" s="8">
        <f>+VLOOKUP($B920,NIFTY_PHARMA!$B$3:$I$1238,8,0)</f>
        <v>4.0552506512785413E-3</v>
      </c>
      <c r="P920" s="8">
        <f>+VLOOKUP($B920,NIFTY_FMCG!$B$3:$I$1238,8,0)</f>
        <v>-6.025121969806313E-3</v>
      </c>
      <c r="Q920" s="8">
        <f>+VLOOKUP($B920,NIFTY_METAL!$B$3:$I$1238,8,0)</f>
        <v>-1.3791808375237191E-2</v>
      </c>
      <c r="R920" s="8">
        <f>+VLOOKUP($B920,NIFTY_ENERGY!$B$3:$I$1238,8,0)</f>
        <v>-8.907447826677517E-3</v>
      </c>
      <c r="S920" s="8">
        <f>+VLOOKUP($B920,NIFTY_AUTO!$B$3:$I$1238,8,0)</f>
        <v>-3.3777984845884124E-3</v>
      </c>
      <c r="T920" s="8">
        <v>0</v>
      </c>
      <c r="U920" s="8">
        <f>+VLOOKUP($B920,NIFTY_50!$B$63:$K$1238,10,0)</f>
        <v>0.11749294052574899</v>
      </c>
      <c r="V920" s="8">
        <f>+VLOOKUP($B920,NIFTY_BANK!$B$63:$K$1238,10,0)</f>
        <v>4.1702447402318654E-2</v>
      </c>
      <c r="W920" s="8">
        <f>+VLOOKUP($B920,NIFTY_IT!$B$63:$K$1238,10,0)</f>
        <v>0.35910351851153344</v>
      </c>
      <c r="X920" s="8">
        <f>+VLOOKUP($B920,NIFTY_PHARMA!$B$63:$K$1238,10,0)</f>
        <v>0.16076850798674647</v>
      </c>
      <c r="Y920" s="8">
        <f>+VLOOKUP($B920,NIFTY_FMCG!$B$63:$K$1238,10,0)</f>
        <v>3.948635688463531E-2</v>
      </c>
      <c r="Z920" s="8">
        <f>+VLOOKUP($B920,NIFTY_METAL!$B$63:$K$1238,10,0)</f>
        <v>0.15714740372610003</v>
      </c>
      <c r="AA920" s="8">
        <f>+VLOOKUP($B920,NIFTY_ENERGY!$B$63:$K$1238,10,0)</f>
        <v>7.428279916322289E-2</v>
      </c>
      <c r="AB920" s="8">
        <f>+VLOOKUP($B920,NIFTY_AUTO!$B$63:$K$1238,10,0)</f>
        <v>0.20553034347748711</v>
      </c>
      <c r="AC920" s="8">
        <f>+VLOOKUP($B920,EBBETF0430!$B$63:$K$1238,10,0)</f>
        <v>7.6413652572592916E-2</v>
      </c>
      <c r="AD920" s="16">
        <f t="shared" si="517"/>
        <v>6.8945738789122968E-2</v>
      </c>
      <c r="AE920" s="8">
        <f t="shared" si="518"/>
        <v>0.12299420155446794</v>
      </c>
      <c r="AF920" s="8">
        <f t="shared" si="519"/>
        <v>0.11250367218096415</v>
      </c>
      <c r="AG920" s="8">
        <f t="shared" si="520"/>
        <v>0.11840159711308401</v>
      </c>
      <c r="AH920" s="8">
        <f t="shared" si="521"/>
        <v>5.8666274118659337E-2</v>
      </c>
      <c r="AI920" s="8">
        <f t="shared" si="522"/>
        <v>0.11574260790829129</v>
      </c>
      <c r="AJ920" s="8">
        <f t="shared" si="523"/>
        <v>0.10630563420884301</v>
      </c>
      <c r="AK920" s="8">
        <f t="shared" si="524"/>
        <v>9.9354368492996628E-2</v>
      </c>
      <c r="AL920" s="9">
        <v>0</v>
      </c>
      <c r="AM920" s="17">
        <f t="shared" si="501"/>
        <v>14.504159612512009</v>
      </c>
      <c r="AN920" s="13">
        <f t="shared" si="502"/>
        <v>8.1304645858215547</v>
      </c>
      <c r="AO920" s="13">
        <f t="shared" si="503"/>
        <v>8.8885987507277306</v>
      </c>
      <c r="AP920" s="13">
        <f t="shared" si="504"/>
        <v>8.44583201901332</v>
      </c>
      <c r="AQ920" s="13">
        <f t="shared" si="505"/>
        <v>17.045568600067973</v>
      </c>
      <c r="AR920" s="13">
        <f t="shared" si="506"/>
        <v>8.6398606189377603</v>
      </c>
      <c r="AS920" s="13">
        <f t="shared" si="507"/>
        <v>9.4068391336196484</v>
      </c>
      <c r="AT920" s="13">
        <f t="shared" si="508"/>
        <v>10.064982699482297</v>
      </c>
      <c r="AU920" s="9">
        <v>0</v>
      </c>
      <c r="AV920" s="18">
        <f t="shared" si="525"/>
        <v>2</v>
      </c>
      <c r="AW920" s="18">
        <f t="shared" si="526"/>
        <v>8</v>
      </c>
      <c r="AX920" s="18">
        <f t="shared" si="527"/>
        <v>5</v>
      </c>
      <c r="AY920" s="18">
        <f t="shared" si="528"/>
        <v>7</v>
      </c>
      <c r="AZ920" s="18">
        <f t="shared" si="529"/>
        <v>1</v>
      </c>
      <c r="BA920" s="18">
        <f t="shared" si="530"/>
        <v>6</v>
      </c>
      <c r="BB920" s="18">
        <f t="shared" si="531"/>
        <v>4</v>
      </c>
      <c r="BC920" s="18">
        <f t="shared" si="532"/>
        <v>3</v>
      </c>
      <c r="BD920" s="18">
        <f t="shared" si="533"/>
        <v>9</v>
      </c>
      <c r="BE920" s="8">
        <f t="shared" si="535"/>
        <v>-3.5283204664265742E-3</v>
      </c>
    </row>
    <row r="921" spans="1:57" x14ac:dyDescent="0.25">
      <c r="A921" t="str">
        <f t="shared" si="534"/>
        <v/>
      </c>
      <c r="B921" s="1">
        <v>44092</v>
      </c>
      <c r="C921" s="9">
        <f t="shared" si="509"/>
        <v>0.2432857078292063</v>
      </c>
      <c r="D921" s="9">
        <f t="shared" si="510"/>
        <v>0</v>
      </c>
      <c r="E921" s="9">
        <f t="shared" si="511"/>
        <v>0.26629745386996556</v>
      </c>
      <c r="F921" s="9">
        <f t="shared" si="512"/>
        <v>0</v>
      </c>
      <c r="G921" s="9">
        <f t="shared" si="513"/>
        <v>0.2397450682045042</v>
      </c>
      <c r="H921" s="9">
        <f t="shared" si="514"/>
        <v>0</v>
      </c>
      <c r="I921" s="9">
        <f t="shared" si="515"/>
        <v>0</v>
      </c>
      <c r="J921" s="9">
        <f t="shared" si="516"/>
        <v>0.25067177009632391</v>
      </c>
      <c r="K921" s="9">
        <v>0</v>
      </c>
      <c r="L921" s="8">
        <f>+VLOOKUP($B921,NIFTY_50!$B$3:$I$1238,8,0)</f>
        <v>-9.6820972377797965E-4</v>
      </c>
      <c r="M921" s="8">
        <f>+VLOOKUP($B921,NIFTY_BANK!$B$3:$I$41238,8,0)</f>
        <v>-1.2961266288387008E-2</v>
      </c>
      <c r="N921" s="8">
        <f>+VLOOKUP($B921,NIFTY_IT!$B$3:$I$1238,8,0)</f>
        <v>4.7432345832243428E-4</v>
      </c>
      <c r="O921" s="8">
        <f>+VLOOKUP($B921,NIFTY_PHARMA!$B$3:$I$1238,8,0)</f>
        <v>4.9842577720593528E-2</v>
      </c>
      <c r="P921" s="8">
        <f>+VLOOKUP($B921,NIFTY_FMCG!$B$3:$I$1238,8,0)</f>
        <v>-6.2280293947327703E-3</v>
      </c>
      <c r="Q921" s="8">
        <f>+VLOOKUP($B921,NIFTY_METAL!$B$3:$I$1238,8,0)</f>
        <v>-4.6545085262150732E-4</v>
      </c>
      <c r="R921" s="8">
        <f>+VLOOKUP($B921,NIFTY_ENERGY!$B$3:$I$1238,8,0)</f>
        <v>5.6506538249476712E-3</v>
      </c>
      <c r="S921" s="8">
        <f>+VLOOKUP($B921,NIFTY_AUTO!$B$3:$I$1238,8,0)</f>
        <v>4.0658657956733624E-3</v>
      </c>
      <c r="T921" s="8">
        <v>0</v>
      </c>
      <c r="U921" s="8">
        <f>+VLOOKUP($B921,NIFTY_50!$B$63:$K$1238,10,0)</f>
        <v>0.11819047711611552</v>
      </c>
      <c r="V921" s="8">
        <f>+VLOOKUP($B921,NIFTY_BANK!$B$63:$K$1238,10,0)</f>
        <v>2.4406971959183732E-2</v>
      </c>
      <c r="W921" s="8">
        <f>+VLOOKUP($B921,NIFTY_IT!$B$63:$K$1238,10,0)</f>
        <v>0.3758118685466858</v>
      </c>
      <c r="X921" s="8">
        <f>+VLOOKUP($B921,NIFTY_PHARMA!$B$63:$K$1238,10,0)</f>
        <v>0.20874312651143168</v>
      </c>
      <c r="Y921" s="8">
        <f>+VLOOKUP($B921,NIFTY_FMCG!$B$63:$K$1238,10,0)</f>
        <v>1.1543091496268199E-2</v>
      </c>
      <c r="Z921" s="8">
        <f>+VLOOKUP($B921,NIFTY_METAL!$B$63:$K$1238,10,0)</f>
        <v>0.16318692141028168</v>
      </c>
      <c r="AA921" s="8">
        <f>+VLOOKUP($B921,NIFTY_ENERGY!$B$63:$K$1238,10,0)</f>
        <v>8.7685795438877001E-2</v>
      </c>
      <c r="AB921" s="8">
        <f>+VLOOKUP($B921,NIFTY_AUTO!$B$63:$K$1238,10,0)</f>
        <v>0.21132111875449877</v>
      </c>
      <c r="AC921" s="8">
        <f>+VLOOKUP($B921,EBBETF0430!$B$63:$K$1238,10,0)</f>
        <v>-0.3490109653837884</v>
      </c>
      <c r="AD921" s="16">
        <f t="shared" si="517"/>
        <v>6.8917289712977267E-2</v>
      </c>
      <c r="AE921" s="8">
        <f t="shared" si="518"/>
        <v>0.12370842526713816</v>
      </c>
      <c r="AF921" s="8">
        <f t="shared" si="519"/>
        <v>0.11132627156838547</v>
      </c>
      <c r="AG921" s="8">
        <f t="shared" si="520"/>
        <v>0.12725756570347466</v>
      </c>
      <c r="AH921" s="8">
        <f t="shared" si="521"/>
        <v>5.5264017876140888E-2</v>
      </c>
      <c r="AI921" s="8">
        <f t="shared" si="522"/>
        <v>0.11549085017392102</v>
      </c>
      <c r="AJ921" s="8">
        <f t="shared" si="523"/>
        <v>0.10608225650651786</v>
      </c>
      <c r="AK921" s="8">
        <f t="shared" si="524"/>
        <v>9.9280748073362013E-2</v>
      </c>
      <c r="AL921" s="9">
        <v>0</v>
      </c>
      <c r="AM921" s="17">
        <f t="shared" si="501"/>
        <v>14.510146933588683</v>
      </c>
      <c r="AN921" s="13">
        <f t="shared" si="502"/>
        <v>8.0835238007482708</v>
      </c>
      <c r="AO921" s="13">
        <f t="shared" si="503"/>
        <v>8.9826056860776156</v>
      </c>
      <c r="AP921" s="13">
        <f t="shared" si="504"/>
        <v>7.8580789634945525</v>
      </c>
      <c r="AQ921" s="13">
        <f t="shared" si="505"/>
        <v>18.094956509337148</v>
      </c>
      <c r="AR921" s="13">
        <f t="shared" si="506"/>
        <v>8.6586945935030428</v>
      </c>
      <c r="AS921" s="13">
        <f t="shared" si="507"/>
        <v>9.4266471409246329</v>
      </c>
      <c r="AT921" s="13">
        <f t="shared" si="508"/>
        <v>10.072446263812044</v>
      </c>
      <c r="AU921" s="9">
        <v>0</v>
      </c>
      <c r="AV921" s="18">
        <f t="shared" si="525"/>
        <v>2</v>
      </c>
      <c r="AW921" s="18">
        <f t="shared" si="526"/>
        <v>7</v>
      </c>
      <c r="AX921" s="18">
        <f t="shared" si="527"/>
        <v>5</v>
      </c>
      <c r="AY921" s="18">
        <f t="shared" si="528"/>
        <v>8</v>
      </c>
      <c r="AZ921" s="18">
        <f t="shared" si="529"/>
        <v>1</v>
      </c>
      <c r="BA921" s="18">
        <f t="shared" si="530"/>
        <v>6</v>
      </c>
      <c r="BB921" s="18">
        <f t="shared" si="531"/>
        <v>4</v>
      </c>
      <c r="BC921" s="18">
        <f t="shared" si="532"/>
        <v>3</v>
      </c>
      <c r="BD921" s="18">
        <f t="shared" si="533"/>
        <v>9</v>
      </c>
      <c r="BE921" s="8">
        <f t="shared" si="535"/>
        <v>-5.9659877647895215E-4</v>
      </c>
    </row>
    <row r="922" spans="1:57" x14ac:dyDescent="0.25">
      <c r="A922" t="str">
        <f t="shared" si="534"/>
        <v/>
      </c>
      <c r="B922" s="1">
        <v>44095</v>
      </c>
      <c r="C922" s="9">
        <f t="shared" si="509"/>
        <v>0.24376901524558844</v>
      </c>
      <c r="D922" s="9">
        <f t="shared" si="510"/>
        <v>0</v>
      </c>
      <c r="E922" s="9">
        <f t="shared" si="511"/>
        <v>0.2715099675548735</v>
      </c>
      <c r="F922" s="9">
        <f t="shared" si="512"/>
        <v>0</v>
      </c>
      <c r="G922" s="9">
        <f t="shared" si="513"/>
        <v>0.23824114660317602</v>
      </c>
      <c r="H922" s="9">
        <f t="shared" si="514"/>
        <v>0</v>
      </c>
      <c r="I922" s="9">
        <f t="shared" si="515"/>
        <v>0</v>
      </c>
      <c r="J922" s="9">
        <f t="shared" si="516"/>
        <v>0.24647987059636206</v>
      </c>
      <c r="K922" s="9">
        <v>0</v>
      </c>
      <c r="L922" s="8">
        <f>+VLOOKUP($B922,NIFTY_50!$B$3:$I$1238,8,0)</f>
        <v>-2.2112221261283316E-2</v>
      </c>
      <c r="M922" s="8">
        <f>+VLOOKUP($B922,NIFTY_BANK!$B$3:$I$41238,8,0)</f>
        <v>-3.0150628317760608E-2</v>
      </c>
      <c r="N922" s="8">
        <f>+VLOOKUP($B922,NIFTY_IT!$B$3:$I$1238,8,0)</f>
        <v>-4.947773501924102E-3</v>
      </c>
      <c r="O922" s="8">
        <f>+VLOOKUP($B922,NIFTY_PHARMA!$B$3:$I$1238,8,0)</f>
        <v>-4.2314278989359577E-2</v>
      </c>
      <c r="P922" s="8">
        <f>+VLOOKUP($B922,NIFTY_FMCG!$B$3:$I$1238,8,0)</f>
        <v>-3.0173156691293834E-2</v>
      </c>
      <c r="Q922" s="8">
        <f>+VLOOKUP($B922,NIFTY_METAL!$B$3:$I$1238,8,0)</f>
        <v>-5.1583269833206269E-2</v>
      </c>
      <c r="R922" s="8">
        <f>+VLOOKUP($B922,NIFTY_ENERGY!$B$3:$I$1238,8,0)</f>
        <v>-2.6037738240868191E-2</v>
      </c>
      <c r="S922" s="8">
        <f>+VLOOKUP($B922,NIFTY_AUTO!$B$3:$I$1238,8,0)</f>
        <v>-4.0371491233443968E-2</v>
      </c>
      <c r="T922" s="8">
        <v>0</v>
      </c>
      <c r="U922" s="8">
        <f>+VLOOKUP($B922,NIFTY_50!$B$63:$K$1238,10,0)</f>
        <v>8.3554849272849729E-2</v>
      </c>
      <c r="V922" s="8">
        <f>+VLOOKUP($B922,NIFTY_BANK!$B$63:$K$1238,10,0)</f>
        <v>-1.0432080325860627E-2</v>
      </c>
      <c r="W922" s="8">
        <f>+VLOOKUP($B922,NIFTY_IT!$B$63:$K$1238,10,0)</f>
        <v>0.3157359458206761</v>
      </c>
      <c r="X922" s="8">
        <f>+VLOOKUP($B922,NIFTY_PHARMA!$B$63:$K$1238,10,0)</f>
        <v>0.16391049384238254</v>
      </c>
      <c r="Y922" s="8">
        <f>+VLOOKUP($B922,NIFTY_FMCG!$B$63:$K$1238,10,0)</f>
        <v>-7.2352602156463552E-3</v>
      </c>
      <c r="Z922" s="8">
        <f>+VLOOKUP($B922,NIFTY_METAL!$B$63:$K$1238,10,0)</f>
        <v>9.6410306604350682E-2</v>
      </c>
      <c r="AA922" s="8">
        <f>+VLOOKUP($B922,NIFTY_ENERGY!$B$63:$K$1238,10,0)</f>
        <v>3.5978061910717285E-2</v>
      </c>
      <c r="AB922" s="8">
        <f>+VLOOKUP($B922,NIFTY_AUTO!$B$63:$K$1238,10,0)</f>
        <v>0.16352346076996782</v>
      </c>
      <c r="AC922" s="8">
        <f>+VLOOKUP($B922,EBBETF0430!$B$63:$K$1238,10,0)</f>
        <v>0.1833945796968306</v>
      </c>
      <c r="AD922" s="16">
        <f t="shared" si="517"/>
        <v>7.2497656849482839E-2</v>
      </c>
      <c r="AE922" s="8">
        <f t="shared" si="518"/>
        <v>0.12733167462230419</v>
      </c>
      <c r="AF922" s="8">
        <f t="shared" si="519"/>
        <v>0.10597481302547432</v>
      </c>
      <c r="AG922" s="8">
        <f t="shared" si="520"/>
        <v>0.13480581101840772</v>
      </c>
      <c r="AH922" s="8">
        <f t="shared" si="521"/>
        <v>6.1862111076956612E-2</v>
      </c>
      <c r="AI922" s="8">
        <f t="shared" si="522"/>
        <v>0.12730036783812612</v>
      </c>
      <c r="AJ922" s="8">
        <f t="shared" si="523"/>
        <v>0.10735926757714911</v>
      </c>
      <c r="AK922" s="8">
        <f t="shared" si="524"/>
        <v>0.10823443212878824</v>
      </c>
      <c r="AL922" s="9">
        <v>0</v>
      </c>
      <c r="AM922" s="17">
        <f t="shared" si="501"/>
        <v>13.793549246373106</v>
      </c>
      <c r="AN922" s="13">
        <f t="shared" si="502"/>
        <v>7.8535054452573263</v>
      </c>
      <c r="AO922" s="13">
        <f t="shared" si="503"/>
        <v>9.4362044286845705</v>
      </c>
      <c r="AP922" s="13">
        <f t="shared" si="504"/>
        <v>7.4180778443108073</v>
      </c>
      <c r="AQ922" s="13">
        <f t="shared" si="505"/>
        <v>16.164983421855709</v>
      </c>
      <c r="AR922" s="13">
        <f t="shared" si="506"/>
        <v>7.8554368458038555</v>
      </c>
      <c r="AS922" s="13">
        <f t="shared" si="507"/>
        <v>9.3145195805419689</v>
      </c>
      <c r="AT922" s="13">
        <f t="shared" si="508"/>
        <v>9.2392040160574709</v>
      </c>
      <c r="AU922" s="9">
        <v>0</v>
      </c>
      <c r="AV922" s="18">
        <f t="shared" si="525"/>
        <v>2</v>
      </c>
      <c r="AW922" s="18">
        <f t="shared" si="526"/>
        <v>7</v>
      </c>
      <c r="AX922" s="18">
        <f t="shared" si="527"/>
        <v>3</v>
      </c>
      <c r="AY922" s="18">
        <f t="shared" si="528"/>
        <v>8</v>
      </c>
      <c r="AZ922" s="18">
        <f t="shared" si="529"/>
        <v>1</v>
      </c>
      <c r="BA922" s="18">
        <f t="shared" si="530"/>
        <v>6</v>
      </c>
      <c r="BB922" s="18">
        <f t="shared" si="531"/>
        <v>4</v>
      </c>
      <c r="BC922" s="18">
        <f t="shared" si="532"/>
        <v>5</v>
      </c>
      <c r="BD922" s="18">
        <f t="shared" si="533"/>
        <v>9</v>
      </c>
      <c r="BE922" s="8">
        <f t="shared" si="535"/>
        <v>-2.4051025564930061E-2</v>
      </c>
    </row>
    <row r="923" spans="1:57" x14ac:dyDescent="0.25">
      <c r="A923" t="str">
        <f t="shared" si="534"/>
        <v/>
      </c>
      <c r="B923" s="1">
        <v>44096</v>
      </c>
      <c r="C923" s="9">
        <f t="shared" si="509"/>
        <v>0.2432193026673885</v>
      </c>
      <c r="D923" s="9">
        <f t="shared" si="510"/>
        <v>0</v>
      </c>
      <c r="E923" s="9">
        <f t="shared" si="511"/>
        <v>0.27515005261082459</v>
      </c>
      <c r="F923" s="9">
        <f t="shared" si="512"/>
        <v>0</v>
      </c>
      <c r="G923" s="9">
        <f t="shared" si="513"/>
        <v>0.23790754111298162</v>
      </c>
      <c r="H923" s="9">
        <f t="shared" si="514"/>
        <v>0</v>
      </c>
      <c r="I923" s="9">
        <f t="shared" si="515"/>
        <v>0</v>
      </c>
      <c r="J923" s="9">
        <f t="shared" si="516"/>
        <v>0.24372310360880522</v>
      </c>
      <c r="K923" s="9">
        <v>0</v>
      </c>
      <c r="L923" s="8">
        <f>+VLOOKUP($B923,NIFTY_50!$B$3:$I$1238,8,0)</f>
        <v>-8.6129122576229511E-3</v>
      </c>
      <c r="M923" s="8">
        <f>+VLOOKUP($B923,NIFTY_BANK!$B$3:$I$41238,8,0)</f>
        <v>-1.0656719770859469E-2</v>
      </c>
      <c r="N923" s="8">
        <f>+VLOOKUP($B923,NIFTY_IT!$B$3:$I$1238,8,0)</f>
        <v>6.9491611333569736E-3</v>
      </c>
      <c r="O923" s="8">
        <f>+VLOOKUP($B923,NIFTY_PHARMA!$B$3:$I$1238,8,0)</f>
        <v>6.5510972876086093E-3</v>
      </c>
      <c r="P923" s="8">
        <f>+VLOOKUP($B923,NIFTY_FMCG!$B$3:$I$1238,8,0)</f>
        <v>-7.7635888192134628E-3</v>
      </c>
      <c r="Q923" s="8">
        <f>+VLOOKUP($B923,NIFTY_METAL!$B$3:$I$1238,8,0)</f>
        <v>-1.1783873055549399E-2</v>
      </c>
      <c r="R923" s="8">
        <f>+VLOOKUP($B923,NIFTY_ENERGY!$B$3:$I$1238,8,0)</f>
        <v>-1.9614350884728293E-2</v>
      </c>
      <c r="S923" s="8">
        <f>+VLOOKUP($B923,NIFTY_AUTO!$B$3:$I$1238,8,0)</f>
        <v>-1.748550854166131E-2</v>
      </c>
      <c r="T923" s="8">
        <v>0</v>
      </c>
      <c r="U923" s="8">
        <f>+VLOOKUP($B923,NIFTY_50!$B$63:$K$1238,10,0)</f>
        <v>8.1576548621077549E-2</v>
      </c>
      <c r="V923" s="8">
        <f>+VLOOKUP($B923,NIFTY_BANK!$B$63:$K$1238,10,0)</f>
        <v>-1.029542581581544E-2</v>
      </c>
      <c r="W923" s="8">
        <f>+VLOOKUP($B923,NIFTY_IT!$B$63:$K$1238,10,0)</f>
        <v>0.345212621885157</v>
      </c>
      <c r="X923" s="8">
        <f>+VLOOKUP($B923,NIFTY_PHARMA!$B$63:$K$1238,10,0)</f>
        <v>0.17176077112047294</v>
      </c>
      <c r="Y923" s="8">
        <f>+VLOOKUP($B923,NIFTY_FMCG!$B$63:$K$1238,10,0)</f>
        <v>-2.1995786017786845E-2</v>
      </c>
      <c r="Z923" s="8">
        <f>+VLOOKUP($B923,NIFTY_METAL!$B$63:$K$1238,10,0)</f>
        <v>0.11281729077657698</v>
      </c>
      <c r="AA923" s="8">
        <f>+VLOOKUP($B923,NIFTY_ENERGY!$B$63:$K$1238,10,0)</f>
        <v>3.2655859067073356E-2</v>
      </c>
      <c r="AB923" s="8">
        <f>+VLOOKUP($B923,NIFTY_AUTO!$B$63:$K$1238,10,0)</f>
        <v>0.15790305228074653</v>
      </c>
      <c r="AC923" s="8">
        <f>+VLOOKUP($B923,EBBETF0430!$B$63:$K$1238,10,0)</f>
        <v>-0.90805920029848886</v>
      </c>
      <c r="AD923" s="16">
        <f t="shared" si="517"/>
        <v>7.2723689970534827E-2</v>
      </c>
      <c r="AE923" s="8">
        <f t="shared" si="518"/>
        <v>0.12732020828097465</v>
      </c>
      <c r="AF923" s="8">
        <f t="shared" si="519"/>
        <v>0.1041131184662602</v>
      </c>
      <c r="AG923" s="8">
        <f t="shared" si="520"/>
        <v>0.13483004494756193</v>
      </c>
      <c r="AH923" s="8">
        <f t="shared" si="521"/>
        <v>6.1878014392166773E-2</v>
      </c>
      <c r="AI923" s="8">
        <f t="shared" si="522"/>
        <v>0.12489331634783656</v>
      </c>
      <c r="AJ923" s="8">
        <f t="shared" si="523"/>
        <v>0.10790680504976043</v>
      </c>
      <c r="AK923" s="8">
        <f t="shared" si="524"/>
        <v>0.10900910475406364</v>
      </c>
      <c r="AL923" s="9">
        <v>0</v>
      </c>
      <c r="AM923" s="17">
        <f t="shared" si="501"/>
        <v>13.750677398316368</v>
      </c>
      <c r="AN923" s="13">
        <f t="shared" si="502"/>
        <v>7.8542127247637339</v>
      </c>
      <c r="AO923" s="13">
        <f t="shared" si="503"/>
        <v>9.6049375403549035</v>
      </c>
      <c r="AP923" s="13">
        <f t="shared" si="504"/>
        <v>7.416744542278539</v>
      </c>
      <c r="AQ923" s="13">
        <f t="shared" si="505"/>
        <v>16.160828847258411</v>
      </c>
      <c r="AR923" s="13">
        <f t="shared" si="506"/>
        <v>8.0068335859937498</v>
      </c>
      <c r="AS923" s="13">
        <f t="shared" si="507"/>
        <v>9.2672561247537395</v>
      </c>
      <c r="AT923" s="13">
        <f t="shared" si="508"/>
        <v>9.1735456616776041</v>
      </c>
      <c r="AU923" s="9">
        <v>0</v>
      </c>
      <c r="AV923" s="18">
        <f t="shared" si="525"/>
        <v>2</v>
      </c>
      <c r="AW923" s="18">
        <f t="shared" si="526"/>
        <v>7</v>
      </c>
      <c r="AX923" s="18">
        <f t="shared" si="527"/>
        <v>3</v>
      </c>
      <c r="AY923" s="18">
        <f t="shared" si="528"/>
        <v>8</v>
      </c>
      <c r="AZ923" s="18">
        <f t="shared" si="529"/>
        <v>1</v>
      </c>
      <c r="BA923" s="18">
        <f t="shared" si="530"/>
        <v>6</v>
      </c>
      <c r="BB923" s="18">
        <f t="shared" si="531"/>
        <v>4</v>
      </c>
      <c r="BC923" s="18">
        <f t="shared" si="532"/>
        <v>5</v>
      </c>
      <c r="BD923" s="18">
        <f t="shared" si="533"/>
        <v>9</v>
      </c>
      <c r="BE923" s="8">
        <f t="shared" si="535"/>
        <v>-6.3722268102913409E-3</v>
      </c>
    </row>
    <row r="924" spans="1:57" x14ac:dyDescent="0.25">
      <c r="A924" t="str">
        <f t="shared" si="534"/>
        <v/>
      </c>
      <c r="B924" s="1">
        <v>44097</v>
      </c>
      <c r="C924" s="9">
        <f t="shared" si="509"/>
        <v>0.24307685378111102</v>
      </c>
      <c r="D924" s="9">
        <f t="shared" si="510"/>
        <v>0</v>
      </c>
      <c r="E924" s="9">
        <f t="shared" si="511"/>
        <v>0.27468903087310076</v>
      </c>
      <c r="F924" s="9">
        <f t="shared" si="512"/>
        <v>0</v>
      </c>
      <c r="G924" s="9">
        <f t="shared" si="513"/>
        <v>0.23831470304604302</v>
      </c>
      <c r="H924" s="9">
        <f t="shared" si="514"/>
        <v>0</v>
      </c>
      <c r="I924" s="9">
        <f t="shared" si="515"/>
        <v>0</v>
      </c>
      <c r="J924" s="9">
        <f t="shared" si="516"/>
        <v>0.24391941229974523</v>
      </c>
      <c r="K924" s="9">
        <v>0</v>
      </c>
      <c r="L924" s="8">
        <f>+VLOOKUP($B924,NIFTY_50!$B$3:$I$1238,8,0)</f>
        <v>-1.9545171311632359E-3</v>
      </c>
      <c r="M924" s="8">
        <f>+VLOOKUP($B924,NIFTY_BANK!$B$3:$I$41238,8,0)</f>
        <v>1.8638447237584455E-3</v>
      </c>
      <c r="N924" s="8">
        <f>+VLOOKUP($B924,NIFTY_IT!$B$3:$I$1238,8,0)</f>
        <v>-3.042872028228838E-3</v>
      </c>
      <c r="O924" s="8">
        <f>+VLOOKUP($B924,NIFTY_PHARMA!$B$3:$I$1238,8,0)</f>
        <v>-1.6077495295469868E-2</v>
      </c>
      <c r="P924" s="8">
        <f>+VLOOKUP($B924,NIFTY_FMCG!$B$3:$I$1238,8,0)</f>
        <v>3.3944678702524378E-4</v>
      </c>
      <c r="Q924" s="8">
        <f>+VLOOKUP($B924,NIFTY_METAL!$B$3:$I$1238,8,0)</f>
        <v>-3.9296280403802175E-3</v>
      </c>
      <c r="R924" s="8">
        <f>+VLOOKUP($B924,NIFTY_ENERGY!$B$3:$I$1238,8,0)</f>
        <v>-7.1888960431200077E-3</v>
      </c>
      <c r="S924" s="8">
        <f>+VLOOKUP($B924,NIFTY_AUTO!$B$3:$I$1238,8,0)</f>
        <v>-5.6528377895459503E-4</v>
      </c>
      <c r="T924" s="8">
        <v>0</v>
      </c>
      <c r="U924" s="8">
        <f>+VLOOKUP($B924,NIFTY_50!$B$63:$K$1238,10,0)</f>
        <v>8.0541831277118225E-2</v>
      </c>
      <c r="V924" s="8">
        <f>+VLOOKUP($B924,NIFTY_BANK!$B$63:$K$1238,10,0)</f>
        <v>-8.9681167422784869E-3</v>
      </c>
      <c r="W924" s="8">
        <f>+VLOOKUP($B924,NIFTY_IT!$B$63:$K$1238,10,0)</f>
        <v>0.34236459879492775</v>
      </c>
      <c r="X924" s="8">
        <f>+VLOOKUP($B924,NIFTY_PHARMA!$B$63:$K$1238,10,0)</f>
        <v>0.17032793698642479</v>
      </c>
      <c r="Y924" s="8">
        <f>+VLOOKUP($B924,NIFTY_FMCG!$B$63:$K$1238,10,0)</f>
        <v>-2.4644707408547073E-2</v>
      </c>
      <c r="Z924" s="8">
        <f>+VLOOKUP($B924,NIFTY_METAL!$B$63:$K$1238,10,0)</f>
        <v>0.10741456800662874</v>
      </c>
      <c r="AA924" s="8">
        <f>+VLOOKUP($B924,NIFTY_ENERGY!$B$63:$K$1238,10,0)</f>
        <v>3.8901681305590685E-2</v>
      </c>
      <c r="AB924" s="8">
        <f>+VLOOKUP($B924,NIFTY_AUTO!$B$63:$K$1238,10,0)</f>
        <v>0.1446239479696092</v>
      </c>
      <c r="AC924" s="8">
        <f>+VLOOKUP($B924,EBBETF0430!$B$63:$K$1238,10,0)</f>
        <v>-0.58113930110100531</v>
      </c>
      <c r="AD924" s="16">
        <f t="shared" si="517"/>
        <v>7.2760460183451156E-2</v>
      </c>
      <c r="AE924" s="8">
        <f t="shared" si="518"/>
        <v>0.12733304755516367</v>
      </c>
      <c r="AF924" s="8">
        <f t="shared" si="519"/>
        <v>0.10425378993227237</v>
      </c>
      <c r="AG924" s="8">
        <f t="shared" si="520"/>
        <v>0.13499269004467557</v>
      </c>
      <c r="AH924" s="8">
        <f t="shared" si="521"/>
        <v>6.1787807767766996E-2</v>
      </c>
      <c r="AI924" s="8">
        <f t="shared" si="522"/>
        <v>0.12502331174611173</v>
      </c>
      <c r="AJ924" s="8">
        <f t="shared" si="523"/>
        <v>0.10730530914001715</v>
      </c>
      <c r="AK924" s="8">
        <f t="shared" si="524"/>
        <v>0.10870841837118783</v>
      </c>
      <c r="AL924" s="9">
        <v>0</v>
      </c>
      <c r="AM924" s="17">
        <f t="shared" si="501"/>
        <v>13.743728358488898</v>
      </c>
      <c r="AN924" s="13">
        <f t="shared" si="502"/>
        <v>7.8534207670383172</v>
      </c>
      <c r="AO924" s="13">
        <f t="shared" si="503"/>
        <v>9.5919774297859277</v>
      </c>
      <c r="AP924" s="13">
        <f t="shared" si="504"/>
        <v>7.4078085240693552</v>
      </c>
      <c r="AQ924" s="13">
        <f t="shared" si="505"/>
        <v>16.184422722336372</v>
      </c>
      <c r="AR924" s="13">
        <f t="shared" si="506"/>
        <v>7.9985083264369727</v>
      </c>
      <c r="AS924" s="13">
        <f t="shared" si="507"/>
        <v>9.3192033834519012</v>
      </c>
      <c r="AT924" s="13">
        <f t="shared" si="508"/>
        <v>9.1989195959550525</v>
      </c>
      <c r="AU924" s="9">
        <v>0</v>
      </c>
      <c r="AV924" s="18">
        <f t="shared" si="525"/>
        <v>2</v>
      </c>
      <c r="AW924" s="18">
        <f t="shared" si="526"/>
        <v>7</v>
      </c>
      <c r="AX924" s="18">
        <f t="shared" si="527"/>
        <v>3</v>
      </c>
      <c r="AY924" s="18">
        <f t="shared" si="528"/>
        <v>8</v>
      </c>
      <c r="AZ924" s="18">
        <f t="shared" si="529"/>
        <v>1</v>
      </c>
      <c r="BA924" s="18">
        <f t="shared" si="530"/>
        <v>6</v>
      </c>
      <c r="BB924" s="18">
        <f t="shared" si="531"/>
        <v>4</v>
      </c>
      <c r="BC924" s="18">
        <f t="shared" si="532"/>
        <v>5</v>
      </c>
      <c r="BD924" s="18">
        <f t="shared" si="533"/>
        <v>9</v>
      </c>
      <c r="BE924" s="8">
        <f t="shared" si="535"/>
        <v>-1.3696384589348082E-3</v>
      </c>
    </row>
    <row r="925" spans="1:57" x14ac:dyDescent="0.25">
      <c r="A925" t="str">
        <f t="shared" si="534"/>
        <v/>
      </c>
      <c r="B925" s="1">
        <v>44098</v>
      </c>
      <c r="C925" s="9">
        <f t="shared" si="509"/>
        <v>0.24313773679017772</v>
      </c>
      <c r="D925" s="9">
        <f t="shared" si="510"/>
        <v>0</v>
      </c>
      <c r="E925" s="9">
        <f t="shared" si="511"/>
        <v>0.27115561369284163</v>
      </c>
      <c r="F925" s="9">
        <f t="shared" si="512"/>
        <v>0</v>
      </c>
      <c r="G925" s="9">
        <f t="shared" si="513"/>
        <v>0.24324948470825125</v>
      </c>
      <c r="H925" s="9">
        <f t="shared" si="514"/>
        <v>0</v>
      </c>
      <c r="I925" s="9">
        <f t="shared" si="515"/>
        <v>0</v>
      </c>
      <c r="J925" s="9">
        <f t="shared" si="516"/>
        <v>0.24245716480872945</v>
      </c>
      <c r="K925" s="9">
        <v>0</v>
      </c>
      <c r="L925" s="8">
        <f>+VLOOKUP($B925,NIFTY_50!$B$3:$I$1238,8,0)</f>
        <v>-2.9312288613303372E-2</v>
      </c>
      <c r="M925" s="8">
        <f>+VLOOKUP($B925,NIFTY_BANK!$B$3:$I$41238,8,0)</f>
        <v>-3.4074651179262005E-2</v>
      </c>
      <c r="N925" s="8">
        <f>+VLOOKUP($B925,NIFTY_IT!$B$3:$I$1238,8,0)</f>
        <v>-4.2038509213280117E-2</v>
      </c>
      <c r="O925" s="8">
        <f>+VLOOKUP($B925,NIFTY_PHARMA!$B$3:$I$1238,8,0)</f>
        <v>-3.0061869432392863E-2</v>
      </c>
      <c r="P925" s="8">
        <f>+VLOOKUP($B925,NIFTY_FMCG!$B$3:$I$1238,8,0)</f>
        <v>-9.4603604417790033E-3</v>
      </c>
      <c r="Q925" s="8">
        <f>+VLOOKUP($B925,NIFTY_METAL!$B$3:$I$1238,8,0)</f>
        <v>-4.2353474662736645E-2</v>
      </c>
      <c r="R925" s="8">
        <f>+VLOOKUP($B925,NIFTY_ENERGY!$B$3:$I$1238,8,0)</f>
        <v>-2.7288956046160218E-2</v>
      </c>
      <c r="S925" s="8">
        <f>+VLOOKUP($B925,NIFTY_AUTO!$B$3:$I$1238,8,0)</f>
        <v>-3.5372973254105378E-2</v>
      </c>
      <c r="T925" s="8">
        <v>0</v>
      </c>
      <c r="U925" s="8">
        <f>+VLOOKUP($B925,NIFTY_50!$B$63:$K$1238,10,0)</f>
        <v>3.6001744958077841E-2</v>
      </c>
      <c r="V925" s="8">
        <f>+VLOOKUP($B925,NIFTY_BANK!$B$63:$K$1238,10,0)</f>
        <v>-6.9195453552708175E-2</v>
      </c>
      <c r="W925" s="8">
        <f>+VLOOKUP($B925,NIFTY_IT!$B$63:$K$1238,10,0)</f>
        <v>0.28786701194326691</v>
      </c>
      <c r="X925" s="8">
        <f>+VLOOKUP($B925,NIFTY_PHARMA!$B$63:$K$1238,10,0)</f>
        <v>0.14689588529624542</v>
      </c>
      <c r="Y925" s="8">
        <f>+VLOOKUP($B925,NIFTY_FMCG!$B$63:$K$1238,10,0)</f>
        <v>-3.9280575539568319E-2</v>
      </c>
      <c r="Z925" s="8">
        <f>+VLOOKUP($B925,NIFTY_METAL!$B$63:$K$1238,10,0)</f>
        <v>5.7325956892883001E-2</v>
      </c>
      <c r="AA925" s="8">
        <f>+VLOOKUP($B925,NIFTY_ENERGY!$B$63:$K$1238,10,0)</f>
        <v>5.1194008711963335E-3</v>
      </c>
      <c r="AB925" s="8">
        <f>+VLOOKUP($B925,NIFTY_AUTO!$B$63:$K$1238,10,0)</f>
        <v>0.10422558271068372</v>
      </c>
      <c r="AC925" s="8">
        <f>+VLOOKUP($B925,EBBETF0430!$B$63:$K$1238,10,0)</f>
        <v>-0.78323497683863186</v>
      </c>
      <c r="AD925" s="16">
        <f t="shared" si="517"/>
        <v>7.7975507959871571E-2</v>
      </c>
      <c r="AE925" s="8">
        <f t="shared" si="518"/>
        <v>0.12845606447514338</v>
      </c>
      <c r="AF925" s="8">
        <f t="shared" si="519"/>
        <v>0.11404508254963791</v>
      </c>
      <c r="AG925" s="8">
        <f t="shared" si="520"/>
        <v>0.13828794325027893</v>
      </c>
      <c r="AH925" s="8">
        <f t="shared" si="521"/>
        <v>6.2132203263928376E-2</v>
      </c>
      <c r="AI925" s="8">
        <f t="shared" si="522"/>
        <v>0.13245912841749174</v>
      </c>
      <c r="AJ925" s="8">
        <f t="shared" si="523"/>
        <v>0.11072237122737301</v>
      </c>
      <c r="AK925" s="8">
        <f t="shared" si="524"/>
        <v>0.11494203185699396</v>
      </c>
      <c r="AL925" s="9">
        <v>0</v>
      </c>
      <c r="AM925" s="17">
        <f t="shared" si="501"/>
        <v>12.824539732586656</v>
      </c>
      <c r="AN925" s="13">
        <f t="shared" si="502"/>
        <v>7.7847628610286668</v>
      </c>
      <c r="AO925" s="13">
        <f t="shared" si="503"/>
        <v>8.7684622400510062</v>
      </c>
      <c r="AP925" s="13">
        <f t="shared" si="504"/>
        <v>7.2312884008272569</v>
      </c>
      <c r="AQ925" s="13">
        <f t="shared" si="505"/>
        <v>16.094713328483596</v>
      </c>
      <c r="AR925" s="13">
        <f t="shared" si="506"/>
        <v>7.5494985656869691</v>
      </c>
      <c r="AS925" s="13">
        <f t="shared" si="507"/>
        <v>9.0315984828978984</v>
      </c>
      <c r="AT925" s="13">
        <f t="shared" si="508"/>
        <v>8.7000376089067046</v>
      </c>
      <c r="AU925" s="9">
        <v>0</v>
      </c>
      <c r="AV925" s="18">
        <f t="shared" si="525"/>
        <v>2</v>
      </c>
      <c r="AW925" s="18">
        <f t="shared" si="526"/>
        <v>6</v>
      </c>
      <c r="AX925" s="18">
        <f t="shared" si="527"/>
        <v>4</v>
      </c>
      <c r="AY925" s="18">
        <f t="shared" si="528"/>
        <v>8</v>
      </c>
      <c r="AZ925" s="18">
        <f t="shared" si="529"/>
        <v>1</v>
      </c>
      <c r="BA925" s="18">
        <f t="shared" si="530"/>
        <v>7</v>
      </c>
      <c r="BB925" s="18">
        <f t="shared" si="531"/>
        <v>3</v>
      </c>
      <c r="BC925" s="18">
        <f t="shared" si="532"/>
        <v>5</v>
      </c>
      <c r="BD925" s="18">
        <f t="shared" si="533"/>
        <v>9</v>
      </c>
      <c r="BE925" s="8">
        <f t="shared" si="535"/>
        <v>-2.9555354085218588E-2</v>
      </c>
    </row>
    <row r="926" spans="1:57" x14ac:dyDescent="0.25">
      <c r="A926" t="str">
        <f t="shared" si="534"/>
        <v/>
      </c>
      <c r="B926" s="1">
        <v>44099</v>
      </c>
      <c r="C926" s="9">
        <f t="shared" si="509"/>
        <v>0.24186990925893986</v>
      </c>
      <c r="D926" s="9">
        <f t="shared" si="510"/>
        <v>0</v>
      </c>
      <c r="E926" s="9">
        <f t="shared" si="511"/>
        <v>0.27289250823742356</v>
      </c>
      <c r="F926" s="9">
        <f t="shared" si="512"/>
        <v>0</v>
      </c>
      <c r="G926" s="9">
        <f t="shared" si="513"/>
        <v>0.24141735651628854</v>
      </c>
      <c r="H926" s="9">
        <f t="shared" si="514"/>
        <v>0</v>
      </c>
      <c r="I926" s="9">
        <f t="shared" si="515"/>
        <v>0</v>
      </c>
      <c r="J926" s="9">
        <f t="shared" si="516"/>
        <v>0.24382022598734798</v>
      </c>
      <c r="K926" s="9">
        <v>0</v>
      </c>
      <c r="L926" s="8">
        <f>+VLOOKUP($B926,NIFTY_50!$B$3:$I$1238,8,0)</f>
        <v>2.2645769997825305E-2</v>
      </c>
      <c r="M926" s="8">
        <f>+VLOOKUP($B926,NIFTY_BANK!$B$3:$I$41238,8,0)</f>
        <v>2.5688216905339845E-2</v>
      </c>
      <c r="N926" s="8">
        <f>+VLOOKUP($B926,NIFTY_IT!$B$3:$I$1238,8,0)</f>
        <v>3.4591170107072911E-2</v>
      </c>
      <c r="O926" s="8">
        <f>+VLOOKUP($B926,NIFTY_PHARMA!$B$3:$I$1238,8,0)</f>
        <v>2.3053305806997937E-2</v>
      </c>
      <c r="P926" s="8">
        <f>+VLOOKUP($B926,NIFTY_FMCG!$B$3:$I$1238,8,0)</f>
        <v>2.0263419286313145E-2</v>
      </c>
      <c r="Q926" s="8">
        <f>+VLOOKUP($B926,NIFTY_METAL!$B$3:$I$1238,8,0)</f>
        <v>2.8789923526765682E-2</v>
      </c>
      <c r="R926" s="8">
        <f>+VLOOKUP($B926,NIFTY_ENERGY!$B$3:$I$1238,8,0)</f>
        <v>1.909825445322344E-2</v>
      </c>
      <c r="S926" s="8">
        <f>+VLOOKUP($B926,NIFTY_AUTO!$B$3:$I$1238,8,0)</f>
        <v>3.3785559756565942E-2</v>
      </c>
      <c r="T926" s="8">
        <v>0</v>
      </c>
      <c r="U926" s="8">
        <f>+VLOOKUP($B926,NIFTY_50!$B$63:$K$1238,10,0)</f>
        <v>4.7248310698749796E-2</v>
      </c>
      <c r="V926" s="8">
        <f>+VLOOKUP($B926,NIFTY_BANK!$B$63:$K$1238,10,0)</f>
        <v>-4.4223621157735593E-2</v>
      </c>
      <c r="W926" s="8">
        <f>+VLOOKUP($B926,NIFTY_IT!$B$63:$K$1238,10,0)</f>
        <v>0.29801852200852363</v>
      </c>
      <c r="X926" s="8">
        <f>+VLOOKUP($B926,NIFTY_PHARMA!$B$63:$K$1238,10,0)</f>
        <v>0.16616131903274955</v>
      </c>
      <c r="Y926" s="8">
        <f>+VLOOKUP($B926,NIFTY_FMCG!$B$63:$K$1238,10,0)</f>
        <v>-2.2519313106523886E-2</v>
      </c>
      <c r="Z926" s="8">
        <f>+VLOOKUP($B926,NIFTY_METAL!$B$63:$K$1238,10,0)</f>
        <v>7.7169062964799195E-2</v>
      </c>
      <c r="AA926" s="8">
        <f>+VLOOKUP($B926,NIFTY_ENERGY!$B$63:$K$1238,10,0)</f>
        <v>1.3750239312966483E-2</v>
      </c>
      <c r="AB926" s="8">
        <f>+VLOOKUP($B926,NIFTY_AUTO!$B$63:$K$1238,10,0)</f>
        <v>0.1103791750517582</v>
      </c>
      <c r="AC926" s="8">
        <f>+VLOOKUP($B926,EBBETF0430!$B$63:$K$1238,10,0)</f>
        <v>-0.89884550950542641</v>
      </c>
      <c r="AD926" s="16">
        <f t="shared" si="517"/>
        <v>8.0256834661019433E-2</v>
      </c>
      <c r="AE926" s="8">
        <f t="shared" si="518"/>
        <v>0.13116221173512368</v>
      </c>
      <c r="AF926" s="8">
        <f t="shared" si="519"/>
        <v>0.1158902497866586</v>
      </c>
      <c r="AG926" s="8">
        <f t="shared" si="520"/>
        <v>0.13975394840362448</v>
      </c>
      <c r="AH926" s="8">
        <f t="shared" si="521"/>
        <v>6.5423230748364661E-2</v>
      </c>
      <c r="AI926" s="8">
        <f t="shared" si="522"/>
        <v>0.13502390022305727</v>
      </c>
      <c r="AJ926" s="8">
        <f t="shared" si="523"/>
        <v>0.1118532519134761</v>
      </c>
      <c r="AK926" s="8">
        <f t="shared" si="524"/>
        <v>0.11638534066259972</v>
      </c>
      <c r="AL926" s="9">
        <v>0</v>
      </c>
      <c r="AM926" s="17">
        <f t="shared" si="501"/>
        <v>12.459998007941595</v>
      </c>
      <c r="AN926" s="13">
        <f t="shared" si="502"/>
        <v>7.6241471287435747</v>
      </c>
      <c r="AO926" s="13">
        <f t="shared" si="503"/>
        <v>8.628853607968674</v>
      </c>
      <c r="AP926" s="13">
        <f t="shared" si="504"/>
        <v>7.1554328977660946</v>
      </c>
      <c r="AQ926" s="13">
        <f t="shared" si="505"/>
        <v>15.285090457337224</v>
      </c>
      <c r="AR926" s="13">
        <f t="shared" si="506"/>
        <v>7.4060962418358258</v>
      </c>
      <c r="AS926" s="13">
        <f t="shared" si="507"/>
        <v>8.9402854444817432</v>
      </c>
      <c r="AT926" s="13">
        <f t="shared" si="508"/>
        <v>8.5921473813355327</v>
      </c>
      <c r="AU926" s="9">
        <v>0</v>
      </c>
      <c r="AV926" s="18">
        <f t="shared" si="525"/>
        <v>2</v>
      </c>
      <c r="AW926" s="18">
        <f t="shared" si="526"/>
        <v>6</v>
      </c>
      <c r="AX926" s="18">
        <f t="shared" si="527"/>
        <v>4</v>
      </c>
      <c r="AY926" s="18">
        <f t="shared" si="528"/>
        <v>8</v>
      </c>
      <c r="AZ926" s="18">
        <f t="shared" si="529"/>
        <v>1</v>
      </c>
      <c r="BA926" s="18">
        <f t="shared" si="530"/>
        <v>7</v>
      </c>
      <c r="BB926" s="18">
        <f t="shared" si="531"/>
        <v>3</v>
      </c>
      <c r="BC926" s="18">
        <f t="shared" si="532"/>
        <v>5</v>
      </c>
      <c r="BD926" s="18">
        <f t="shared" si="533"/>
        <v>9</v>
      </c>
      <c r="BE926" s="8">
        <f t="shared" si="535"/>
        <v>2.8006248553754786E-2</v>
      </c>
    </row>
    <row r="927" spans="1:57" x14ac:dyDescent="0.25">
      <c r="A927" t="str">
        <f t="shared" si="534"/>
        <v/>
      </c>
      <c r="B927" s="1">
        <v>44102</v>
      </c>
      <c r="C927" s="9">
        <f t="shared" si="509"/>
        <v>0.24200323763527901</v>
      </c>
      <c r="D927" s="9">
        <f t="shared" si="510"/>
        <v>0</v>
      </c>
      <c r="E927" s="9">
        <f t="shared" si="511"/>
        <v>0.27083537154479848</v>
      </c>
      <c r="F927" s="9">
        <f t="shared" si="512"/>
        <v>0</v>
      </c>
      <c r="G927" s="9">
        <f t="shared" si="513"/>
        <v>0.23976328490500126</v>
      </c>
      <c r="H927" s="9">
        <f t="shared" si="514"/>
        <v>0</v>
      </c>
      <c r="I927" s="9">
        <f t="shared" si="515"/>
        <v>0</v>
      </c>
      <c r="J927" s="9">
        <f t="shared" si="516"/>
        <v>0.2473981059149212</v>
      </c>
      <c r="K927" s="9">
        <v>0</v>
      </c>
      <c r="L927" s="8">
        <f>+VLOOKUP($B927,NIFTY_50!$B$3:$I$1238,8,0)</f>
        <v>1.6044885862310787E-2</v>
      </c>
      <c r="M927" s="8">
        <f>+VLOOKUP($B927,NIFTY_BANK!$B$3:$I$41238,8,0)</f>
        <v>3.2558316871084569E-2</v>
      </c>
      <c r="N927" s="8">
        <f>+VLOOKUP($B927,NIFTY_IT!$B$3:$I$1238,8,0)</f>
        <v>7.8301115421550715E-3</v>
      </c>
      <c r="O927" s="8">
        <f>+VLOOKUP($B927,NIFTY_PHARMA!$B$3:$I$1238,8,0)</f>
        <v>1.7307841564691007E-2</v>
      </c>
      <c r="P927" s="8">
        <f>+VLOOKUP($B927,NIFTY_FMCG!$B$3:$I$1238,8,0)</f>
        <v>8.5275110938634047E-3</v>
      </c>
      <c r="Q927" s="8">
        <f>+VLOOKUP($B927,NIFTY_METAL!$B$3:$I$1238,8,0)</f>
        <v>2.9618208178951999E-2</v>
      </c>
      <c r="R927" s="8">
        <f>+VLOOKUP($B927,NIFTY_ENERGY!$B$3:$I$1238,8,0)</f>
        <v>2.5893176315061828E-2</v>
      </c>
      <c r="S927" s="8">
        <f>+VLOOKUP($B927,NIFTY_AUTO!$B$3:$I$1238,8,0)</f>
        <v>3.038659625790463E-2</v>
      </c>
      <c r="T927" s="8">
        <v>0</v>
      </c>
      <c r="U927" s="8">
        <f>+VLOOKUP($B927,NIFTY_50!$B$63:$K$1238,10,0)</f>
        <v>5.8468891853290295E-2</v>
      </c>
      <c r="V927" s="8">
        <f>+VLOOKUP($B927,NIFTY_BANK!$B$63:$K$1238,10,0)</f>
        <v>-8.5528363017335352E-3</v>
      </c>
      <c r="W927" s="8">
        <f>+VLOOKUP($B927,NIFTY_IT!$B$63:$K$1238,10,0)</f>
        <v>0.29420250034345385</v>
      </c>
      <c r="X927" s="8">
        <f>+VLOOKUP($B927,NIFTY_PHARMA!$B$63:$K$1238,10,0)</f>
        <v>0.18399341590220208</v>
      </c>
      <c r="Y927" s="8">
        <f>+VLOOKUP($B927,NIFTY_FMCG!$B$63:$K$1238,10,0)</f>
        <v>-2.1058596552142039E-2</v>
      </c>
      <c r="Z927" s="8">
        <f>+VLOOKUP($B927,NIFTY_METAL!$B$63:$K$1238,10,0)</f>
        <v>0.11376649240726922</v>
      </c>
      <c r="AA927" s="8">
        <f>+VLOOKUP($B927,NIFTY_ENERGY!$B$63:$K$1238,10,0)</f>
        <v>2.9730452472911617E-2</v>
      </c>
      <c r="AB927" s="8">
        <f>+VLOOKUP($B927,NIFTY_AUTO!$B$63:$K$1238,10,0)</f>
        <v>0.1336240595032312</v>
      </c>
      <c r="AC927" s="8">
        <f>+VLOOKUP($B927,EBBETF0430!$B$63:$K$1238,10,0)</f>
        <v>-0.79888592460846797</v>
      </c>
      <c r="AD927" s="16">
        <f t="shared" si="517"/>
        <v>8.1556300010055816E-2</v>
      </c>
      <c r="AE927" s="8">
        <f t="shared" si="518"/>
        <v>0.13514591191350381</v>
      </c>
      <c r="AF927" s="8">
        <f t="shared" si="519"/>
        <v>0.11576335460204729</v>
      </c>
      <c r="AG927" s="8">
        <f t="shared" si="520"/>
        <v>0.14050170830848546</v>
      </c>
      <c r="AH927" s="8">
        <f t="shared" si="521"/>
        <v>6.5609301212141063E-2</v>
      </c>
      <c r="AI927" s="8">
        <f t="shared" si="522"/>
        <v>0.13776598943769716</v>
      </c>
      <c r="AJ927" s="8">
        <f t="shared" si="523"/>
        <v>0.11431370527397179</v>
      </c>
      <c r="AK927" s="8">
        <f t="shared" si="524"/>
        <v>0.11957654933209903</v>
      </c>
      <c r="AL927" s="9">
        <v>0</v>
      </c>
      <c r="AM927" s="17">
        <f t="shared" si="501"/>
        <v>12.261468456473638</v>
      </c>
      <c r="AN927" s="13">
        <f t="shared" si="502"/>
        <v>7.399409910675069</v>
      </c>
      <c r="AO927" s="13">
        <f t="shared" si="503"/>
        <v>8.6383122140649764</v>
      </c>
      <c r="AP927" s="13">
        <f t="shared" si="504"/>
        <v>7.1173511841179939</v>
      </c>
      <c r="AQ927" s="13">
        <f t="shared" si="505"/>
        <v>15.241741361740781</v>
      </c>
      <c r="AR927" s="13">
        <f t="shared" si="506"/>
        <v>7.2586855731344109</v>
      </c>
      <c r="AS927" s="13">
        <f t="shared" si="507"/>
        <v>8.7478574647137357</v>
      </c>
      <c r="AT927" s="13">
        <f t="shared" si="508"/>
        <v>8.3628437648146843</v>
      </c>
      <c r="AU927" s="9">
        <v>0</v>
      </c>
      <c r="AV927" s="18">
        <f t="shared" si="525"/>
        <v>2</v>
      </c>
      <c r="AW927" s="18">
        <f t="shared" si="526"/>
        <v>6</v>
      </c>
      <c r="AX927" s="18">
        <f t="shared" si="527"/>
        <v>4</v>
      </c>
      <c r="AY927" s="18">
        <f t="shared" si="528"/>
        <v>8</v>
      </c>
      <c r="AZ927" s="18">
        <f t="shared" si="529"/>
        <v>1</v>
      </c>
      <c r="BA927" s="18">
        <f t="shared" si="530"/>
        <v>7</v>
      </c>
      <c r="BB927" s="18">
        <f t="shared" si="531"/>
        <v>3</v>
      </c>
      <c r="BC927" s="18">
        <f t="shared" si="532"/>
        <v>5</v>
      </c>
      <c r="BD927" s="18">
        <f t="shared" si="533"/>
        <v>9</v>
      </c>
      <c r="BE927" s="8">
        <f t="shared" si="535"/>
        <v>1.5485109818637093E-2</v>
      </c>
    </row>
    <row r="928" spans="1:57" x14ac:dyDescent="0.25">
      <c r="A928" t="str">
        <f t="shared" si="534"/>
        <v/>
      </c>
      <c r="B928" s="1">
        <v>44103</v>
      </c>
      <c r="C928" s="9">
        <f t="shared" si="509"/>
        <v>0.24246345115488169</v>
      </c>
      <c r="D928" s="9">
        <f t="shared" si="510"/>
        <v>0</v>
      </c>
      <c r="E928" s="9">
        <f t="shared" si="511"/>
        <v>0.27214391522938347</v>
      </c>
      <c r="F928" s="9">
        <f t="shared" si="512"/>
        <v>0</v>
      </c>
      <c r="G928" s="9">
        <f t="shared" si="513"/>
        <v>0.23669954918029876</v>
      </c>
      <c r="H928" s="9">
        <f t="shared" si="514"/>
        <v>0</v>
      </c>
      <c r="I928" s="9">
        <f t="shared" si="515"/>
        <v>0</v>
      </c>
      <c r="J928" s="9">
        <f t="shared" si="516"/>
        <v>0.24869308443543611</v>
      </c>
      <c r="K928" s="9">
        <v>0</v>
      </c>
      <c r="L928" s="8">
        <f>+VLOOKUP($B928,NIFTY_50!$B$3:$I$1238,8,0)</f>
        <v>-4.5869312539237317E-4</v>
      </c>
      <c r="M928" s="8">
        <f>+VLOOKUP($B928,NIFTY_BANK!$B$3:$I$41238,8,0)</f>
        <v>-1.1732939465971315E-2</v>
      </c>
      <c r="N928" s="8">
        <f>+VLOOKUP($B928,NIFTY_IT!$B$3:$I$1238,8,0)</f>
        <v>2.4642307429845189E-3</v>
      </c>
      <c r="O928" s="8">
        <f>+VLOOKUP($B928,NIFTY_PHARMA!$B$3:$I$1238,8,0)</f>
        <v>-7.3834833765661356E-3</v>
      </c>
      <c r="P928" s="8">
        <f>+VLOOKUP($B928,NIFTY_FMCG!$B$3:$I$1238,8,0)</f>
        <v>-1.5103961025490054E-2</v>
      </c>
      <c r="Q928" s="8">
        <f>+VLOOKUP($B928,NIFTY_METAL!$B$3:$I$1238,8,0)</f>
        <v>1.9624497094322901E-2</v>
      </c>
      <c r="R928" s="8">
        <f>+VLOOKUP($B928,NIFTY_ENERGY!$B$3:$I$1238,8,0)</f>
        <v>-2.3076619636822615E-3</v>
      </c>
      <c r="S928" s="8">
        <f>+VLOOKUP($B928,NIFTY_AUTO!$B$3:$I$1238,8,0)</f>
        <v>2.8661634535687153E-3</v>
      </c>
      <c r="T928" s="8">
        <v>0</v>
      </c>
      <c r="U928" s="8">
        <f>+VLOOKUP($B928,NIFTY_50!$B$63:$K$1238,10,0)</f>
        <v>4.2620300734416361E-2</v>
      </c>
      <c r="V928" s="8">
        <f>+VLOOKUP($B928,NIFTY_BANK!$B$63:$K$1238,10,0)</f>
        <v>-3.5481407904427997E-2</v>
      </c>
      <c r="W928" s="8">
        <f>+VLOOKUP($B928,NIFTY_IT!$B$63:$K$1238,10,0)</f>
        <v>0.28237078037756325</v>
      </c>
      <c r="X928" s="8">
        <f>+VLOOKUP($B928,NIFTY_PHARMA!$B$63:$K$1238,10,0)</f>
        <v>0.18262845600303002</v>
      </c>
      <c r="Y928" s="8">
        <f>+VLOOKUP($B928,NIFTY_FMCG!$B$63:$K$1238,10,0)</f>
        <v>-3.9573996701215308E-2</v>
      </c>
      <c r="Z928" s="8">
        <f>+VLOOKUP($B928,NIFTY_METAL!$B$63:$K$1238,10,0)</f>
        <v>0.10822826324611912</v>
      </c>
      <c r="AA928" s="8">
        <f>+VLOOKUP($B928,NIFTY_ENERGY!$B$63:$K$1238,10,0)</f>
        <v>1.1818360631690616E-2</v>
      </c>
      <c r="AB928" s="8">
        <f>+VLOOKUP($B928,NIFTY_AUTO!$B$63:$K$1238,10,0)</f>
        <v>0.10505804022728071</v>
      </c>
      <c r="AC928" s="8">
        <f>+VLOOKUP($B928,EBBETF0430!$B$63:$K$1238,10,0)</f>
        <v>-0.50000925497454884</v>
      </c>
      <c r="AD928" s="16">
        <f t="shared" si="517"/>
        <v>8.0378578274959991E-2</v>
      </c>
      <c r="AE928" s="8">
        <f t="shared" si="518"/>
        <v>0.13467968468155841</v>
      </c>
      <c r="AF928" s="8">
        <f t="shared" si="519"/>
        <v>0.11553789601025312</v>
      </c>
      <c r="AG928" s="8">
        <f t="shared" si="520"/>
        <v>0.14058106565307424</v>
      </c>
      <c r="AH928" s="8">
        <f t="shared" si="521"/>
        <v>6.7080691413933718E-2</v>
      </c>
      <c r="AI928" s="8">
        <f t="shared" si="522"/>
        <v>0.13701350760311573</v>
      </c>
      <c r="AJ928" s="8">
        <f t="shared" si="523"/>
        <v>0.11337023332912202</v>
      </c>
      <c r="AK928" s="8">
        <f t="shared" si="524"/>
        <v>0.11653181914317126</v>
      </c>
      <c r="AL928" s="9">
        <v>0</v>
      </c>
      <c r="AM928" s="17">
        <f t="shared" si="501"/>
        <v>12.441125750933143</v>
      </c>
      <c r="AN928" s="13">
        <f t="shared" si="502"/>
        <v>7.4250248087856505</v>
      </c>
      <c r="AO928" s="13">
        <f t="shared" si="503"/>
        <v>8.6551688626150636</v>
      </c>
      <c r="AP928" s="13">
        <f t="shared" si="504"/>
        <v>7.1133334731420987</v>
      </c>
      <c r="AQ928" s="13">
        <f t="shared" si="505"/>
        <v>14.907419391808538</v>
      </c>
      <c r="AR928" s="13">
        <f t="shared" si="506"/>
        <v>7.2985504677150512</v>
      </c>
      <c r="AS928" s="13">
        <f t="shared" si="507"/>
        <v>8.8206575097797266</v>
      </c>
      <c r="AT928" s="13">
        <f t="shared" si="508"/>
        <v>8.5813472007280485</v>
      </c>
      <c r="AU928" s="9">
        <v>0</v>
      </c>
      <c r="AV928" s="18">
        <f t="shared" si="525"/>
        <v>2</v>
      </c>
      <c r="AW928" s="18">
        <f t="shared" si="526"/>
        <v>6</v>
      </c>
      <c r="AX928" s="18">
        <f t="shared" si="527"/>
        <v>4</v>
      </c>
      <c r="AY928" s="18">
        <f t="shared" si="528"/>
        <v>8</v>
      </c>
      <c r="AZ928" s="18">
        <f t="shared" si="529"/>
        <v>1</v>
      </c>
      <c r="BA928" s="18">
        <f t="shared" si="530"/>
        <v>7</v>
      </c>
      <c r="BB928" s="18">
        <f t="shared" si="531"/>
        <v>3</v>
      </c>
      <c r="BC928" s="18">
        <f t="shared" si="532"/>
        <v>5</v>
      </c>
      <c r="BD928" s="18">
        <f t="shared" si="533"/>
        <v>9</v>
      </c>
      <c r="BE928" s="8">
        <f t="shared" si="535"/>
        <v>-2.3558962734708099E-3</v>
      </c>
    </row>
    <row r="929" spans="1:57" x14ac:dyDescent="0.25">
      <c r="A929" t="str">
        <f t="shared" si="534"/>
        <v>Y</v>
      </c>
      <c r="B929" s="1">
        <v>44104</v>
      </c>
      <c r="C929" s="9">
        <f t="shared" si="509"/>
        <v>0.25</v>
      </c>
      <c r="D929" s="9">
        <f t="shared" si="510"/>
        <v>0</v>
      </c>
      <c r="E929" s="9">
        <f t="shared" si="511"/>
        <v>0.25</v>
      </c>
      <c r="F929" s="9">
        <f t="shared" si="512"/>
        <v>0</v>
      </c>
      <c r="G929" s="9">
        <f t="shared" si="513"/>
        <v>0.25</v>
      </c>
      <c r="H929" s="9">
        <f t="shared" si="514"/>
        <v>0</v>
      </c>
      <c r="I929" s="9">
        <f t="shared" si="515"/>
        <v>0.25</v>
      </c>
      <c r="J929" s="9">
        <f t="shared" si="516"/>
        <v>0</v>
      </c>
      <c r="K929" s="9">
        <v>0</v>
      </c>
      <c r="L929" s="8">
        <f>+VLOOKUP($B929,NIFTY_50!$B$3:$I$1238,8,0)</f>
        <v>2.2410536070716081E-3</v>
      </c>
      <c r="M929" s="8">
        <f>+VLOOKUP($B929,NIFTY_BANK!$B$3:$I$41238,8,0)</f>
        <v>1.8915245688024829E-3</v>
      </c>
      <c r="N929" s="8">
        <f>+VLOOKUP($B929,NIFTY_IT!$B$3:$I$1238,8,0)</f>
        <v>6.0281971379299026E-3</v>
      </c>
      <c r="O929" s="8">
        <f>+VLOOKUP($B929,NIFTY_PHARMA!$B$3:$I$1238,8,0)</f>
        <v>5.4101370681924887E-3</v>
      </c>
      <c r="P929" s="8">
        <f>+VLOOKUP($B929,NIFTY_FMCG!$B$3:$I$1238,8,0)</f>
        <v>1.3825471890415386E-2</v>
      </c>
      <c r="Q929" s="8">
        <f>+VLOOKUP($B929,NIFTY_METAL!$B$3:$I$1238,8,0)</f>
        <v>-1.6813538515498272E-2</v>
      </c>
      <c r="R929" s="8">
        <f>+VLOOKUP($B929,NIFTY_ENERGY!$B$3:$I$1238,8,0)</f>
        <v>-9.762703375924997E-3</v>
      </c>
      <c r="S929" s="8">
        <f>+VLOOKUP($B929,NIFTY_AUTO!$B$3:$I$1238,8,0)</f>
        <v>-2.1576742542773752E-3</v>
      </c>
      <c r="T929" s="8">
        <v>0</v>
      </c>
      <c r="U929" s="8">
        <f>+VLOOKUP($B929,NIFTY_50!$B$63:$K$1238,10,0)</f>
        <v>4.1473566272981044E-2</v>
      </c>
      <c r="V929" s="8">
        <f>+VLOOKUP($B929,NIFTY_BANK!$B$63:$K$1238,10,0)</f>
        <v>-5.1979847975959004E-2</v>
      </c>
      <c r="W929" s="8">
        <f>+VLOOKUP($B929,NIFTY_IT!$B$63:$K$1238,10,0)</f>
        <v>0.2639476209934144</v>
      </c>
      <c r="X929" s="8">
        <f>+VLOOKUP($B929,NIFTY_PHARMA!$B$63:$K$1238,10,0)</f>
        <v>0.19182526827292978</v>
      </c>
      <c r="Y929" s="8">
        <f>+VLOOKUP($B929,NIFTY_FMCG!$B$63:$K$1238,10,0)</f>
        <v>-2.2165461921083152E-2</v>
      </c>
      <c r="Z929" s="8">
        <f>+VLOOKUP($B929,NIFTY_METAL!$B$63:$K$1238,10,0)</f>
        <v>0.10874616829823025</v>
      </c>
      <c r="AA929" s="8">
        <f>+VLOOKUP($B929,NIFTY_ENERGY!$B$63:$K$1238,10,0)</f>
        <v>2.2471030911701328E-2</v>
      </c>
      <c r="AB929" s="8">
        <f>+VLOOKUP($B929,NIFTY_AUTO!$B$63:$K$1238,10,0)</f>
        <v>9.8415873214298122E-2</v>
      </c>
      <c r="AC929" s="8">
        <f>+VLOOKUP($B929,EBBETF0430!$B$63:$K$1238,10,0)</f>
        <v>-0.75464518099175493</v>
      </c>
      <c r="AD929" s="16">
        <f t="shared" si="517"/>
        <v>8.0350232127636617E-2</v>
      </c>
      <c r="AE929" s="8">
        <f t="shared" si="518"/>
        <v>0.13322241639354432</v>
      </c>
      <c r="AF929" s="8">
        <f t="shared" si="519"/>
        <v>0.11435322174476223</v>
      </c>
      <c r="AG929" s="8">
        <f t="shared" si="520"/>
        <v>0.14050115213970868</v>
      </c>
      <c r="AH929" s="8">
        <f t="shared" si="521"/>
        <v>6.8485996512116482E-2</v>
      </c>
      <c r="AI929" s="8">
        <f t="shared" si="522"/>
        <v>0.13695018228822095</v>
      </c>
      <c r="AJ929" s="8">
        <f t="shared" si="523"/>
        <v>0.11196897646884554</v>
      </c>
      <c r="AK929" s="8">
        <f t="shared" si="524"/>
        <v>0.11657540790787739</v>
      </c>
      <c r="AL929" s="9">
        <v>0</v>
      </c>
      <c r="AM929" s="17">
        <f t="shared" si="501"/>
        <v>12.445514761071214</v>
      </c>
      <c r="AN929" s="13">
        <f t="shared" si="502"/>
        <v>7.5062442723299672</v>
      </c>
      <c r="AO929" s="13">
        <f t="shared" si="503"/>
        <v>8.7448345113704971</v>
      </c>
      <c r="AP929" s="13">
        <f t="shared" si="504"/>
        <v>7.1173793578976516</v>
      </c>
      <c r="AQ929" s="13">
        <f t="shared" si="505"/>
        <v>14.601525142779822</v>
      </c>
      <c r="AR929" s="13">
        <f t="shared" si="506"/>
        <v>7.3019252935014878</v>
      </c>
      <c r="AS929" s="13">
        <f t="shared" si="507"/>
        <v>8.9310452907305251</v>
      </c>
      <c r="AT929" s="13">
        <f t="shared" si="508"/>
        <v>8.57813854522594</v>
      </c>
      <c r="AU929" s="9">
        <v>0</v>
      </c>
      <c r="AV929" s="18">
        <f t="shared" si="525"/>
        <v>2</v>
      </c>
      <c r="AW929" s="18">
        <f t="shared" si="526"/>
        <v>6</v>
      </c>
      <c r="AX929" s="18">
        <f t="shared" si="527"/>
        <v>4</v>
      </c>
      <c r="AY929" s="18">
        <f t="shared" si="528"/>
        <v>8</v>
      </c>
      <c r="AZ929" s="18">
        <f t="shared" si="529"/>
        <v>1</v>
      </c>
      <c r="BA929" s="18">
        <f t="shared" si="530"/>
        <v>7</v>
      </c>
      <c r="BB929" s="18">
        <f t="shared" si="531"/>
        <v>3</v>
      </c>
      <c r="BC929" s="18">
        <f t="shared" si="532"/>
        <v>5</v>
      </c>
      <c r="BD929" s="18">
        <f t="shared" si="533"/>
        <v>9</v>
      </c>
      <c r="BE929" s="8">
        <f t="shared" si="535"/>
        <v>4.9197950608475304E-3</v>
      </c>
    </row>
    <row r="930" spans="1:57" x14ac:dyDescent="0.25">
      <c r="A930" t="str">
        <f t="shared" si="534"/>
        <v/>
      </c>
      <c r="B930" s="1">
        <v>44105</v>
      </c>
      <c r="C930" s="9">
        <f t="shared" si="509"/>
        <v>0.25186557522232733</v>
      </c>
      <c r="D930" s="9">
        <f t="shared" si="510"/>
        <v>0</v>
      </c>
      <c r="E930" s="9">
        <f t="shared" si="511"/>
        <v>0.25010655108500623</v>
      </c>
      <c r="F930" s="9">
        <f t="shared" si="512"/>
        <v>0</v>
      </c>
      <c r="G930" s="9">
        <f t="shared" si="513"/>
        <v>0.24952372280229559</v>
      </c>
      <c r="H930" s="9">
        <f t="shared" si="514"/>
        <v>0</v>
      </c>
      <c r="I930" s="9">
        <f t="shared" si="515"/>
        <v>0.24850415089037081</v>
      </c>
      <c r="J930" s="9">
        <f t="shared" si="516"/>
        <v>0</v>
      </c>
      <c r="K930" s="9">
        <v>0</v>
      </c>
      <c r="L930" s="8">
        <f>+VLOOKUP($B930,NIFTY_50!$B$3:$I$1238,8,0)</f>
        <v>1.5061057741463824E-2</v>
      </c>
      <c r="M930" s="8">
        <f>+VLOOKUP($B930,NIFTY_BANK!$B$3:$I$41238,8,0)</f>
        <v>3.702253423955093E-2</v>
      </c>
      <c r="N930" s="8">
        <f>+VLOOKUP($B930,NIFTY_IT!$B$3:$I$1238,8,0)</f>
        <v>7.9718916263813444E-3</v>
      </c>
      <c r="O930" s="8">
        <f>+VLOOKUP($B930,NIFTY_PHARMA!$B$3:$I$1238,8,0)</f>
        <v>4.2513070327065972E-3</v>
      </c>
      <c r="P930" s="8">
        <f>+VLOOKUP($B930,NIFTY_FMCG!$B$3:$I$1238,8,0)</f>
        <v>5.6229946300065947E-3</v>
      </c>
      <c r="Q930" s="8">
        <f>+VLOOKUP($B930,NIFTY_METAL!$B$3:$I$1238,8,0)</f>
        <v>8.3387215446699692E-3</v>
      </c>
      <c r="R930" s="8">
        <f>+VLOOKUP($B930,NIFTY_ENERGY!$B$3:$I$1238,8,0)</f>
        <v>1.5139466092586318E-3</v>
      </c>
      <c r="S930" s="8">
        <f>+VLOOKUP($B930,NIFTY_AUTO!$B$3:$I$1238,8,0)</f>
        <v>7.3342522224049134E-3</v>
      </c>
      <c r="T930" s="8">
        <v>0</v>
      </c>
      <c r="U930" s="8">
        <f>+VLOOKUP($B930,NIFTY_50!$B$63:$K$1238,10,0)</f>
        <v>6.6431590500432014E-2</v>
      </c>
      <c r="V930" s="8">
        <f>+VLOOKUP($B930,NIFTY_BANK!$B$63:$K$1238,10,0)</f>
        <v>-1.4994697726110506E-2</v>
      </c>
      <c r="W930" s="8">
        <f>+VLOOKUP($B930,NIFTY_IT!$B$63:$K$1238,10,0)</f>
        <v>0.29630357781695493</v>
      </c>
      <c r="X930" s="8">
        <f>+VLOOKUP($B930,NIFTY_PHARMA!$B$63:$K$1238,10,0)</f>
        <v>0.18841031311252943</v>
      </c>
      <c r="Y930" s="8">
        <f>+VLOOKUP($B930,NIFTY_FMCG!$B$63:$K$1238,10,0)</f>
        <v>-2.4837605893305748E-2</v>
      </c>
      <c r="Z930" s="8">
        <f>+VLOOKUP($B930,NIFTY_METAL!$B$63:$K$1238,10,0)</f>
        <v>0.10073991140534488</v>
      </c>
      <c r="AA930" s="8">
        <f>+VLOOKUP($B930,NIFTY_ENERGY!$B$63:$K$1238,10,0)</f>
        <v>3.403449827714744E-2</v>
      </c>
      <c r="AB930" s="8">
        <f>+VLOOKUP($B930,NIFTY_AUTO!$B$63:$K$1238,10,0)</f>
        <v>0.12844667001919441</v>
      </c>
      <c r="AC930" s="8">
        <f>+VLOOKUP($B930,EBBETF0430!$B$63:$K$1238,10,0)</f>
        <v>-0.49796449168834112</v>
      </c>
      <c r="AD930" s="16">
        <f t="shared" si="517"/>
        <v>8.1018279986978692E-2</v>
      </c>
      <c r="AE930" s="8">
        <f t="shared" si="518"/>
        <v>0.13837308906204709</v>
      </c>
      <c r="AF930" s="8">
        <f t="shared" si="519"/>
        <v>0.11240773055997666</v>
      </c>
      <c r="AG930" s="8">
        <f t="shared" si="520"/>
        <v>0.14044618592405778</v>
      </c>
      <c r="AH930" s="8">
        <f t="shared" si="521"/>
        <v>6.8189531525585892E-2</v>
      </c>
      <c r="AI930" s="8">
        <f t="shared" si="522"/>
        <v>0.13640191135893948</v>
      </c>
      <c r="AJ930" s="8">
        <f t="shared" si="523"/>
        <v>0.1115034651886766</v>
      </c>
      <c r="AK930" s="8">
        <f t="shared" si="524"/>
        <v>0.11473472609767769</v>
      </c>
      <c r="AL930" s="9">
        <v>0</v>
      </c>
      <c r="AM930" s="17">
        <f t="shared" si="501"/>
        <v>12.342893482319306</v>
      </c>
      <c r="AN930" s="13">
        <f t="shared" si="502"/>
        <v>7.2268387356127874</v>
      </c>
      <c r="AO930" s="13">
        <f t="shared" si="503"/>
        <v>8.8961852980959932</v>
      </c>
      <c r="AP930" s="13">
        <f t="shared" si="504"/>
        <v>7.120164876109353</v>
      </c>
      <c r="AQ930" s="13">
        <f t="shared" si="505"/>
        <v>14.665007628403822</v>
      </c>
      <c r="AR930" s="13">
        <f t="shared" si="506"/>
        <v>7.3312755667221978</v>
      </c>
      <c r="AS930" s="13">
        <f t="shared" si="507"/>
        <v>8.9683311483449035</v>
      </c>
      <c r="AT930" s="13">
        <f t="shared" si="508"/>
        <v>8.7157570686024464</v>
      </c>
      <c r="AU930" s="9">
        <v>0</v>
      </c>
      <c r="AV930" s="18">
        <f t="shared" si="525"/>
        <v>2</v>
      </c>
      <c r="AW930" s="18">
        <f t="shared" si="526"/>
        <v>7</v>
      </c>
      <c r="AX930" s="18">
        <f t="shared" si="527"/>
        <v>4</v>
      </c>
      <c r="AY930" s="18">
        <f t="shared" si="528"/>
        <v>8</v>
      </c>
      <c r="AZ930" s="18">
        <f t="shared" si="529"/>
        <v>1</v>
      </c>
      <c r="BA930" s="18">
        <f t="shared" si="530"/>
        <v>6</v>
      </c>
      <c r="BB930" s="18">
        <f t="shared" si="531"/>
        <v>3</v>
      </c>
      <c r="BC930" s="18">
        <f t="shared" si="532"/>
        <v>5</v>
      </c>
      <c r="BD930" s="18">
        <f t="shared" si="533"/>
        <v>9</v>
      </c>
      <c r="BE930" s="8">
        <f t="shared" si="535"/>
        <v>7.5424726517775986E-3</v>
      </c>
    </row>
    <row r="931" spans="1:57" x14ac:dyDescent="0.25">
      <c r="A931" t="str">
        <f t="shared" si="534"/>
        <v/>
      </c>
      <c r="B931" s="1">
        <v>44109</v>
      </c>
      <c r="C931" s="9">
        <f t="shared" si="509"/>
        <v>0.25110710473753856</v>
      </c>
      <c r="D931" s="9">
        <f t="shared" si="510"/>
        <v>0</v>
      </c>
      <c r="E931" s="9">
        <f t="shared" si="511"/>
        <v>0.25607755947370381</v>
      </c>
      <c r="F931" s="9">
        <f t="shared" si="512"/>
        <v>0</v>
      </c>
      <c r="G931" s="9">
        <f t="shared" si="513"/>
        <v>0.24774795407209246</v>
      </c>
      <c r="H931" s="9">
        <f t="shared" si="514"/>
        <v>0</v>
      </c>
      <c r="I931" s="9">
        <f t="shared" si="515"/>
        <v>0.24506738171666512</v>
      </c>
      <c r="J931" s="9">
        <f t="shared" si="516"/>
        <v>0</v>
      </c>
      <c r="K931" s="9">
        <v>0</v>
      </c>
      <c r="L931" s="8">
        <f>+VLOOKUP($B931,NIFTY_50!$B$3:$I$1238,8,0)</f>
        <v>7.5676954002601438E-3</v>
      </c>
      <c r="M931" s="8">
        <f>+VLOOKUP($B931,NIFTY_BANK!$B$3:$I$41238,8,0)</f>
        <v>5.6167400881057539E-3</v>
      </c>
      <c r="N931" s="8">
        <f>+VLOOKUP($B931,NIFTY_IT!$B$3:$I$1238,8,0)</f>
        <v>3.4738244888216974E-2</v>
      </c>
      <c r="O931" s="8">
        <f>+VLOOKUP($B931,NIFTY_PHARMA!$B$3:$I$1238,8,0)</f>
        <v>1.7009363185005455E-2</v>
      </c>
      <c r="P931" s="8">
        <f>+VLOOKUP($B931,NIFTY_FMCG!$B$3:$I$1238,8,0)</f>
        <v>3.418911646459355E-3</v>
      </c>
      <c r="Q931" s="8">
        <f>+VLOOKUP($B931,NIFTY_METAL!$B$3:$I$1238,8,0)</f>
        <v>2.547263681592038E-2</v>
      </c>
      <c r="R931" s="8">
        <f>+VLOOKUP($B931,NIFTY_ENERGY!$B$3:$I$1238,8,0)</f>
        <v>-3.365515591672974E-3</v>
      </c>
      <c r="S931" s="8">
        <f>+VLOOKUP($B931,NIFTY_AUTO!$B$3:$I$1238,8,0)</f>
        <v>-1.0230853240608129E-3</v>
      </c>
      <c r="T931" s="8">
        <v>0</v>
      </c>
      <c r="U931" s="8">
        <f>+VLOOKUP($B931,NIFTY_50!$B$63:$K$1238,10,0)</f>
        <v>6.3800174782331132E-2</v>
      </c>
      <c r="V931" s="8">
        <f>+VLOOKUP($B931,NIFTY_BANK!$B$63:$K$1238,10,0)</f>
        <v>-2.3409670321994813E-2</v>
      </c>
      <c r="W931" s="8">
        <f>+VLOOKUP($B931,NIFTY_IT!$B$63:$K$1238,10,0)</f>
        <v>0.33940956298134317</v>
      </c>
      <c r="X931" s="8">
        <f>+VLOOKUP($B931,NIFTY_PHARMA!$B$63:$K$1238,10,0)</f>
        <v>0.20389885407332131</v>
      </c>
      <c r="Y931" s="8">
        <f>+VLOOKUP($B931,NIFTY_FMCG!$B$63:$K$1238,10,0)</f>
        <v>-1.8244801812742906E-2</v>
      </c>
      <c r="Z931" s="8">
        <f>+VLOOKUP($B931,NIFTY_METAL!$B$63:$K$1238,10,0)</f>
        <v>0.10721959604641151</v>
      </c>
      <c r="AA931" s="8">
        <f>+VLOOKUP($B931,NIFTY_ENERGY!$B$63:$K$1238,10,0)</f>
        <v>2.5867169145432634E-2</v>
      </c>
      <c r="AB931" s="8">
        <f>+VLOOKUP($B931,NIFTY_AUTO!$B$63:$K$1238,10,0)</f>
        <v>0.12311589703059722</v>
      </c>
      <c r="AC931" s="8">
        <f>+VLOOKUP($B931,EBBETF0430!$B$63:$K$1238,10,0)</f>
        <v>-0.74809860500668834</v>
      </c>
      <c r="AD931" s="16">
        <f t="shared" si="517"/>
        <v>8.0780279592191473E-2</v>
      </c>
      <c r="AE931" s="8">
        <f t="shared" si="518"/>
        <v>0.13773848472785144</v>
      </c>
      <c r="AF931" s="8">
        <f t="shared" si="519"/>
        <v>0.11632376494336312</v>
      </c>
      <c r="AG931" s="8">
        <f t="shared" si="520"/>
        <v>0.14113066570959099</v>
      </c>
      <c r="AH931" s="8">
        <f t="shared" si="521"/>
        <v>6.8225936212440358E-2</v>
      </c>
      <c r="AI931" s="8">
        <f t="shared" si="522"/>
        <v>0.13730938630379816</v>
      </c>
      <c r="AJ931" s="8">
        <f t="shared" si="523"/>
        <v>0.11150227433138028</v>
      </c>
      <c r="AK931" s="8">
        <f t="shared" si="524"/>
        <v>0.11476384680484293</v>
      </c>
      <c r="AL931" s="9">
        <v>0</v>
      </c>
      <c r="AM931" s="17">
        <f t="shared" si="501"/>
        <v>12.379258960830136</v>
      </c>
      <c r="AN931" s="13">
        <f t="shared" si="502"/>
        <v>7.2601350448702506</v>
      </c>
      <c r="AO931" s="13">
        <f t="shared" si="503"/>
        <v>8.596695614923485</v>
      </c>
      <c r="AP931" s="13">
        <f t="shared" si="504"/>
        <v>7.0856322753959899</v>
      </c>
      <c r="AQ931" s="13">
        <f t="shared" si="505"/>
        <v>14.657182524930445</v>
      </c>
      <c r="AR931" s="13">
        <f t="shared" si="506"/>
        <v>7.2828233154250048</v>
      </c>
      <c r="AS931" s="13">
        <f t="shared" si="507"/>
        <v>8.9684269311677003</v>
      </c>
      <c r="AT931" s="13">
        <f t="shared" si="508"/>
        <v>8.7135454922534095</v>
      </c>
      <c r="AU931" s="9">
        <v>0</v>
      </c>
      <c r="AV931" s="18">
        <f t="shared" si="525"/>
        <v>2</v>
      </c>
      <c r="AW931" s="18">
        <f t="shared" si="526"/>
        <v>7</v>
      </c>
      <c r="AX931" s="18">
        <f t="shared" si="527"/>
        <v>5</v>
      </c>
      <c r="AY931" s="18">
        <f t="shared" si="528"/>
        <v>8</v>
      </c>
      <c r="AZ931" s="18">
        <f t="shared" si="529"/>
        <v>1</v>
      </c>
      <c r="BA931" s="18">
        <f t="shared" si="530"/>
        <v>6</v>
      </c>
      <c r="BB931" s="18">
        <f t="shared" si="531"/>
        <v>3</v>
      </c>
      <c r="BC931" s="18">
        <f t="shared" si="532"/>
        <v>4</v>
      </c>
      <c r="BD931" s="18">
        <f t="shared" si="533"/>
        <v>9</v>
      </c>
      <c r="BE931" s="8">
        <f t="shared" si="535"/>
        <v>1.0611059542371846E-2</v>
      </c>
    </row>
    <row r="932" spans="1:57" x14ac:dyDescent="0.25">
      <c r="A932" t="str">
        <f t="shared" si="534"/>
        <v/>
      </c>
      <c r="B932" s="1">
        <v>44110</v>
      </c>
      <c r="C932" s="9">
        <f t="shared" si="509"/>
        <v>0.25367790663099909</v>
      </c>
      <c r="D932" s="9">
        <f t="shared" si="510"/>
        <v>0</v>
      </c>
      <c r="E932" s="9">
        <f t="shared" si="511"/>
        <v>0.25624718575344052</v>
      </c>
      <c r="F932" s="9">
        <f t="shared" si="512"/>
        <v>0</v>
      </c>
      <c r="G932" s="9">
        <f t="shared" si="513"/>
        <v>0.24640002884175594</v>
      </c>
      <c r="H932" s="9">
        <f t="shared" si="514"/>
        <v>0</v>
      </c>
      <c r="I932" s="9">
        <f t="shared" si="515"/>
        <v>0.24367487877380442</v>
      </c>
      <c r="J932" s="9">
        <f t="shared" si="516"/>
        <v>0</v>
      </c>
      <c r="K932" s="9">
        <v>0</v>
      </c>
      <c r="L932" s="8">
        <f>+VLOOKUP($B932,NIFTY_50!$B$3:$I$1238,8,0)</f>
        <v>1.3826407090108406E-2</v>
      </c>
      <c r="M932" s="8">
        <f>+VLOOKUP($B932,NIFTY_BANK!$B$3:$I$41238,8,0)</f>
        <v>2.1579324972788472E-2</v>
      </c>
      <c r="N932" s="8">
        <f>+VLOOKUP($B932,NIFTY_IT!$B$3:$I$1238,8,0)</f>
        <v>4.2169253688308928E-3</v>
      </c>
      <c r="O932" s="8">
        <f>+VLOOKUP($B932,NIFTY_PHARMA!$B$3:$I$1238,8,0)</f>
        <v>-1.2100798403192892E-3</v>
      </c>
      <c r="P932" s="8">
        <f>+VLOOKUP($B932,NIFTY_FMCG!$B$3:$I$1238,8,0)</f>
        <v>-1.9078677543782341E-3</v>
      </c>
      <c r="Q932" s="8">
        <f>+VLOOKUP($B932,NIFTY_METAL!$B$3:$I$1238,8,0)</f>
        <v>-6.9646592060720325E-3</v>
      </c>
      <c r="R932" s="8">
        <f>+VLOOKUP($B932,NIFTY_ENERGY!$B$3:$I$1238,8,0)</f>
        <v>-2.1501361752911397E-3</v>
      </c>
      <c r="S932" s="8">
        <f>+VLOOKUP($B932,NIFTY_AUTO!$B$3:$I$1238,8,0)</f>
        <v>1.2584899377352299E-2</v>
      </c>
      <c r="T932" s="8">
        <v>0</v>
      </c>
      <c r="U932" s="8">
        <f>+VLOOKUP($B932,NIFTY_50!$B$63:$K$1238,10,0)</f>
        <v>8.3055892199608961E-2</v>
      </c>
      <c r="V932" s="8">
        <f>+VLOOKUP($B932,NIFTY_BANK!$B$63:$K$1238,10,0)</f>
        <v>2.0325067136341968E-2</v>
      </c>
      <c r="W932" s="8">
        <f>+VLOOKUP($B932,NIFTY_IT!$B$63:$K$1238,10,0)</f>
        <v>0.34253013131858245</v>
      </c>
      <c r="X932" s="8">
        <f>+VLOOKUP($B932,NIFTY_PHARMA!$B$63:$K$1238,10,0)</f>
        <v>0.19233041276775298</v>
      </c>
      <c r="Y932" s="8">
        <f>+VLOOKUP($B932,NIFTY_FMCG!$B$63:$K$1238,10,0)</f>
        <v>-2.4867663925583594E-2</v>
      </c>
      <c r="Z932" s="8">
        <f>+VLOOKUP($B932,NIFTY_METAL!$B$63:$K$1238,10,0)</f>
        <v>0.10802617649889323</v>
      </c>
      <c r="AA932" s="8">
        <f>+VLOOKUP($B932,NIFTY_ENERGY!$B$63:$K$1238,10,0)</f>
        <v>1.8253563288770813E-2</v>
      </c>
      <c r="AB932" s="8">
        <f>+VLOOKUP($B932,NIFTY_AUTO!$B$63:$K$1238,10,0)</f>
        <v>0.14443765888852589</v>
      </c>
      <c r="AC932" s="8">
        <f>+VLOOKUP($B932,EBBETF0430!$B$63:$K$1238,10,0)</f>
        <v>0.46778428600282762</v>
      </c>
      <c r="AD932" s="16">
        <f t="shared" si="517"/>
        <v>8.1579201928858106E-2</v>
      </c>
      <c r="AE932" s="8">
        <f t="shared" si="518"/>
        <v>0.13759811334284358</v>
      </c>
      <c r="AF932" s="8">
        <f t="shared" si="519"/>
        <v>0.11628601046859438</v>
      </c>
      <c r="AG932" s="8">
        <f t="shared" si="520"/>
        <v>0.14109596582360667</v>
      </c>
      <c r="AH932" s="8">
        <f t="shared" si="521"/>
        <v>6.8046797087527852E-2</v>
      </c>
      <c r="AI932" s="8">
        <f t="shared" si="522"/>
        <v>0.13726116082645998</v>
      </c>
      <c r="AJ932" s="8">
        <f t="shared" si="523"/>
        <v>0.1114272030303828</v>
      </c>
      <c r="AK932" s="8">
        <f t="shared" si="524"/>
        <v>0.11492549803868644</v>
      </c>
      <c r="AL932" s="9">
        <v>0</v>
      </c>
      <c r="AM932" s="17">
        <f t="shared" si="501"/>
        <v>12.258026265960032</v>
      </c>
      <c r="AN932" s="13">
        <f t="shared" si="502"/>
        <v>7.2675415069708844</v>
      </c>
      <c r="AO932" s="13">
        <f t="shared" si="503"/>
        <v>8.5994866963818684</v>
      </c>
      <c r="AP932" s="13">
        <f t="shared" si="504"/>
        <v>7.0873748527308402</v>
      </c>
      <c r="AQ932" s="13">
        <f t="shared" si="505"/>
        <v>14.695768835581061</v>
      </c>
      <c r="AR932" s="13">
        <f t="shared" si="506"/>
        <v>7.2853820700548013</v>
      </c>
      <c r="AS932" s="13">
        <f t="shared" si="507"/>
        <v>8.9744691852969734</v>
      </c>
      <c r="AT932" s="13">
        <f t="shared" si="508"/>
        <v>8.7012892444753902</v>
      </c>
      <c r="AU932" s="9">
        <v>0</v>
      </c>
      <c r="AV932" s="18">
        <f t="shared" si="525"/>
        <v>2</v>
      </c>
      <c r="AW932" s="18">
        <f t="shared" si="526"/>
        <v>7</v>
      </c>
      <c r="AX932" s="18">
        <f t="shared" si="527"/>
        <v>5</v>
      </c>
      <c r="AY932" s="18">
        <f t="shared" si="528"/>
        <v>8</v>
      </c>
      <c r="AZ932" s="18">
        <f t="shared" si="529"/>
        <v>1</v>
      </c>
      <c r="BA932" s="18">
        <f t="shared" si="530"/>
        <v>6</v>
      </c>
      <c r="BB932" s="18">
        <f t="shared" si="531"/>
        <v>3</v>
      </c>
      <c r="BC932" s="18">
        <f t="shared" si="532"/>
        <v>4</v>
      </c>
      <c r="BD932" s="18">
        <f t="shared" si="533"/>
        <v>9</v>
      </c>
      <c r="BE932" s="8">
        <f t="shared" si="535"/>
        <v>3.5521704346524511E-3</v>
      </c>
    </row>
    <row r="933" spans="1:57" x14ac:dyDescent="0.25">
      <c r="A933" t="str">
        <f t="shared" si="534"/>
        <v/>
      </c>
      <c r="B933" s="1">
        <v>44111</v>
      </c>
      <c r="C933" s="9">
        <f t="shared" si="509"/>
        <v>0.25452007683334293</v>
      </c>
      <c r="D933" s="9">
        <f t="shared" si="510"/>
        <v>0</v>
      </c>
      <c r="E933" s="9">
        <f t="shared" si="511"/>
        <v>0.25689823901861319</v>
      </c>
      <c r="F933" s="9">
        <f t="shared" si="512"/>
        <v>0</v>
      </c>
      <c r="G933" s="9">
        <f t="shared" si="513"/>
        <v>0.24654044362894376</v>
      </c>
      <c r="H933" s="9">
        <f t="shared" si="514"/>
        <v>0</v>
      </c>
      <c r="I933" s="9">
        <f t="shared" si="515"/>
        <v>0.24204124051910011</v>
      </c>
      <c r="J933" s="9">
        <f t="shared" si="516"/>
        <v>0</v>
      </c>
      <c r="K933" s="9">
        <v>0</v>
      </c>
      <c r="L933" s="8">
        <f>+VLOOKUP($B933,NIFTY_50!$B$3:$I$1238,8,0)</f>
        <v>6.555254493071816E-3</v>
      </c>
      <c r="M933" s="8">
        <f>+VLOOKUP($B933,NIFTY_BANK!$B$3:$I$41238,8,0)</f>
        <v>4.861357241934483E-3</v>
      </c>
      <c r="N933" s="8">
        <f>+VLOOKUP($B933,NIFTY_IT!$B$3:$I$1238,8,0)</f>
        <v>5.7736250852407078E-3</v>
      </c>
      <c r="O933" s="8">
        <f>+VLOOKUP($B933,NIFTY_PHARMA!$B$3:$I$1238,8,0)</f>
        <v>-7.8646399293890168E-3</v>
      </c>
      <c r="P933" s="8">
        <f>+VLOOKUP($B933,NIFTY_FMCG!$B$3:$I$1238,8,0)</f>
        <v>3.7964112102266689E-3</v>
      </c>
      <c r="Q933" s="8">
        <f>+VLOOKUP($B933,NIFTY_METAL!$B$3:$I$1238,8,0)</f>
        <v>-1.517783471576839E-2</v>
      </c>
      <c r="R933" s="8">
        <f>+VLOOKUP($B933,NIFTY_ENERGY!$B$3:$I$1238,8,0)</f>
        <v>-3.5010823957024595E-3</v>
      </c>
      <c r="S933" s="8">
        <f>+VLOOKUP($B933,NIFTY_AUTO!$B$3:$I$1238,8,0)</f>
        <v>1.3892853153969265E-2</v>
      </c>
      <c r="T933" s="8">
        <v>0</v>
      </c>
      <c r="U933" s="8">
        <f>+VLOOKUP($B933,NIFTY_50!$B$63:$K$1238,10,0)</f>
        <v>8.6658890832847391E-2</v>
      </c>
      <c r="V933" s="8">
        <f>+VLOOKUP($B933,NIFTY_BANK!$B$63:$K$1238,10,0)</f>
        <v>3.9636927464717031E-2</v>
      </c>
      <c r="W933" s="8">
        <f>+VLOOKUP($B933,NIFTY_IT!$B$63:$K$1238,10,0)</f>
        <v>0.32860068777182172</v>
      </c>
      <c r="X933" s="8">
        <f>+VLOOKUP($B933,NIFTY_PHARMA!$B$63:$K$1238,10,0)</f>
        <v>0.17893257871094126</v>
      </c>
      <c r="Y933" s="8">
        <f>+VLOOKUP($B933,NIFTY_FMCG!$B$63:$K$1238,10,0)</f>
        <v>-3.351284162371182E-2</v>
      </c>
      <c r="Z933" s="8">
        <f>+VLOOKUP($B933,NIFTY_METAL!$B$63:$K$1238,10,0)</f>
        <v>7.7239151604398648E-2</v>
      </c>
      <c r="AA933" s="8">
        <f>+VLOOKUP($B933,NIFTY_ENERGY!$B$63:$K$1238,10,0)</f>
        <v>5.345430768919579E-3</v>
      </c>
      <c r="AB933" s="8">
        <f>+VLOOKUP($B933,NIFTY_AUTO!$B$63:$K$1238,10,0)</f>
        <v>0.15323701910522347</v>
      </c>
      <c r="AC933" s="8">
        <f>+VLOOKUP($B933,EBBETF0430!$B$63:$K$1238,10,0)</f>
        <v>-0.68122766015947211</v>
      </c>
      <c r="AD933" s="16">
        <f t="shared" si="517"/>
        <v>8.1722083341301016E-2</v>
      </c>
      <c r="AE933" s="8">
        <f t="shared" si="518"/>
        <v>0.13690317452550921</v>
      </c>
      <c r="AF933" s="8">
        <f t="shared" si="519"/>
        <v>0.11572403750976373</v>
      </c>
      <c r="AG933" s="8">
        <f t="shared" si="520"/>
        <v>0.14150971220468789</v>
      </c>
      <c r="AH933" s="8">
        <f t="shared" si="521"/>
        <v>6.6884388301369085E-2</v>
      </c>
      <c r="AI933" s="8">
        <f t="shared" si="522"/>
        <v>0.13781631713692666</v>
      </c>
      <c r="AJ933" s="8">
        <f t="shared" si="523"/>
        <v>0.11112787125686943</v>
      </c>
      <c r="AK933" s="8">
        <f t="shared" si="524"/>
        <v>0.11543853635698502</v>
      </c>
      <c r="AL933" s="9">
        <v>0</v>
      </c>
      <c r="AM933" s="17">
        <f t="shared" si="501"/>
        <v>12.236594554542103</v>
      </c>
      <c r="AN933" s="13">
        <f t="shared" si="502"/>
        <v>7.304432519303413</v>
      </c>
      <c r="AO933" s="13">
        <f t="shared" si="503"/>
        <v>8.6412470694831161</v>
      </c>
      <c r="AP933" s="13">
        <f t="shared" si="504"/>
        <v>7.0666527718856624</v>
      </c>
      <c r="AQ933" s="13">
        <f t="shared" si="505"/>
        <v>14.951172095559564</v>
      </c>
      <c r="AR933" s="13">
        <f t="shared" si="506"/>
        <v>7.2560348496793408</v>
      </c>
      <c r="AS933" s="13">
        <f t="shared" si="507"/>
        <v>8.9986426329406033</v>
      </c>
      <c r="AT933" s="13">
        <f t="shared" si="508"/>
        <v>8.6626184942918449</v>
      </c>
      <c r="AU933" s="9">
        <v>0</v>
      </c>
      <c r="AV933" s="18">
        <f t="shared" si="525"/>
        <v>2</v>
      </c>
      <c r="AW933" s="18">
        <f t="shared" si="526"/>
        <v>6</v>
      </c>
      <c r="AX933" s="18">
        <f t="shared" si="527"/>
        <v>5</v>
      </c>
      <c r="AY933" s="18">
        <f t="shared" si="528"/>
        <v>8</v>
      </c>
      <c r="AZ933" s="18">
        <f t="shared" si="529"/>
        <v>1</v>
      </c>
      <c r="BA933" s="18">
        <f t="shared" si="530"/>
        <v>7</v>
      </c>
      <c r="BB933" s="18">
        <f t="shared" si="531"/>
        <v>3</v>
      </c>
      <c r="BC933" s="18">
        <f t="shared" si="532"/>
        <v>4</v>
      </c>
      <c r="BD933" s="18">
        <f t="shared" si="533"/>
        <v>9</v>
      </c>
      <c r="BE933" s="8">
        <f t="shared" si="535"/>
        <v>3.2247084202694279E-3</v>
      </c>
    </row>
    <row r="934" spans="1:57" x14ac:dyDescent="0.25">
      <c r="A934" t="str">
        <f t="shared" si="534"/>
        <v/>
      </c>
      <c r="B934" s="1">
        <v>44112</v>
      </c>
      <c r="C934" s="9">
        <f t="shared" si="509"/>
        <v>0.25457489421225848</v>
      </c>
      <c r="D934" s="9">
        <f t="shared" si="510"/>
        <v>0</v>
      </c>
      <c r="E934" s="9">
        <f t="shared" si="511"/>
        <v>0.26311907056539835</v>
      </c>
      <c r="F934" s="9">
        <f t="shared" si="512"/>
        <v>0</v>
      </c>
      <c r="G934" s="9">
        <f t="shared" si="513"/>
        <v>0.24433290621830145</v>
      </c>
      <c r="H934" s="9">
        <f t="shared" si="514"/>
        <v>0</v>
      </c>
      <c r="I934" s="9">
        <f t="shared" si="515"/>
        <v>0.23797312900404177</v>
      </c>
      <c r="J934" s="9">
        <f t="shared" si="516"/>
        <v>0</v>
      </c>
      <c r="K934" s="9">
        <v>0</v>
      </c>
      <c r="L934" s="8">
        <f>+VLOOKUP($B934,NIFTY_50!$B$3:$I$1238,8,0)</f>
        <v>8.1566763354161687E-3</v>
      </c>
      <c r="M934" s="8">
        <f>+VLOOKUP($B934,NIFTY_BANK!$B$3:$I$41238,8,0)</f>
        <v>9.8650978889429641E-3</v>
      </c>
      <c r="N934" s="8">
        <f>+VLOOKUP($B934,NIFTY_IT!$B$3:$I$1238,8,0)</f>
        <v>3.2347007717415055E-2</v>
      </c>
      <c r="O934" s="8">
        <f>+VLOOKUP($B934,NIFTY_PHARMA!$B$3:$I$1238,8,0)</f>
        <v>2.469156525388172E-2</v>
      </c>
      <c r="P934" s="8">
        <f>+VLOOKUP($B934,NIFTY_FMCG!$B$3:$I$1238,8,0)</f>
        <v>-1.0855585903317699E-3</v>
      </c>
      <c r="Q934" s="8">
        <f>+VLOOKUP($B934,NIFTY_METAL!$B$3:$I$1238,8,0)</f>
        <v>2.0504905743579105E-3</v>
      </c>
      <c r="R934" s="8">
        <f>+VLOOKUP($B934,NIFTY_ENERGY!$B$3:$I$1238,8,0)</f>
        <v>-9.0013678056106716E-3</v>
      </c>
      <c r="S934" s="8">
        <f>+VLOOKUP($B934,NIFTY_AUTO!$B$3:$I$1238,8,0)</f>
        <v>1.6707364092019006E-3</v>
      </c>
      <c r="T934" s="8">
        <v>0</v>
      </c>
      <c r="U934" s="8">
        <f>+VLOOKUP($B934,NIFTY_50!$B$63:$K$1238,10,0)</f>
        <v>0.11569807727660542</v>
      </c>
      <c r="V934" s="8">
        <f>+VLOOKUP($B934,NIFTY_BANK!$B$63:$K$1238,10,0)</f>
        <v>8.4103084301754727E-2</v>
      </c>
      <c r="W934" s="8">
        <f>+VLOOKUP($B934,NIFTY_IT!$B$63:$K$1238,10,0)</f>
        <v>0.38724341535304063</v>
      </c>
      <c r="X934" s="8">
        <f>+VLOOKUP($B934,NIFTY_PHARMA!$B$63:$K$1238,10,0)</f>
        <v>0.2022786692335341</v>
      </c>
      <c r="Y934" s="8">
        <f>+VLOOKUP($B934,NIFTY_FMCG!$B$63:$K$1238,10,0)</f>
        <v>-2.575902317439227E-2</v>
      </c>
      <c r="Z934" s="8">
        <f>+VLOOKUP($B934,NIFTY_METAL!$B$63:$K$1238,10,0)</f>
        <v>0.10716460815123408</v>
      </c>
      <c r="AA934" s="8">
        <f>+VLOOKUP($B934,NIFTY_ENERGY!$B$63:$K$1238,10,0)</f>
        <v>1.359562196970221E-2</v>
      </c>
      <c r="AB934" s="8">
        <f>+VLOOKUP($B934,NIFTY_AUTO!$B$63:$K$1238,10,0)</f>
        <v>0.18329959514170047</v>
      </c>
      <c r="AC934" s="8">
        <f>+VLOOKUP($B934,EBBETF0430!$B$63:$K$1238,10,0)</f>
        <v>-0.61229995707891349</v>
      </c>
      <c r="AD934" s="16">
        <f t="shared" si="517"/>
        <v>7.9575754766314899E-2</v>
      </c>
      <c r="AE934" s="8">
        <f t="shared" si="518"/>
        <v>0.13323037484878825</v>
      </c>
      <c r="AF934" s="8">
        <f t="shared" si="519"/>
        <v>0.11773980320791237</v>
      </c>
      <c r="AG934" s="8">
        <f t="shared" si="520"/>
        <v>0.14314733500154567</v>
      </c>
      <c r="AH934" s="8">
        <f t="shared" si="521"/>
        <v>6.6334878686954771E-2</v>
      </c>
      <c r="AI934" s="8">
        <f t="shared" si="522"/>
        <v>0.13521915899981862</v>
      </c>
      <c r="AJ934" s="8">
        <f t="shared" si="523"/>
        <v>0.11015909237995899</v>
      </c>
      <c r="AK934" s="8">
        <f t="shared" si="524"/>
        <v>0.1123752006264223</v>
      </c>
      <c r="AL934" s="9">
        <v>0</v>
      </c>
      <c r="AM934" s="17">
        <f t="shared" si="501"/>
        <v>12.5666417231811</v>
      </c>
      <c r="AN934" s="13">
        <f t="shared" si="502"/>
        <v>7.5057958902762572</v>
      </c>
      <c r="AO934" s="13">
        <f t="shared" si="503"/>
        <v>8.4933044964763269</v>
      </c>
      <c r="AP934" s="13">
        <f t="shared" si="504"/>
        <v>6.9858094109066178</v>
      </c>
      <c r="AQ934" s="13">
        <f t="shared" si="505"/>
        <v>15.075025684740675</v>
      </c>
      <c r="AR934" s="13">
        <f t="shared" si="506"/>
        <v>7.3954017122776321</v>
      </c>
      <c r="AS934" s="13">
        <f t="shared" si="507"/>
        <v>9.0777799489379944</v>
      </c>
      <c r="AT934" s="13">
        <f t="shared" si="508"/>
        <v>8.8987605310212388</v>
      </c>
      <c r="AU934" s="9">
        <v>0</v>
      </c>
      <c r="AV934" s="18">
        <f t="shared" si="525"/>
        <v>2</v>
      </c>
      <c r="AW934" s="18">
        <f t="shared" si="526"/>
        <v>6</v>
      </c>
      <c r="AX934" s="18">
        <f t="shared" si="527"/>
        <v>5</v>
      </c>
      <c r="AY934" s="18">
        <f t="shared" si="528"/>
        <v>8</v>
      </c>
      <c r="AZ934" s="18">
        <f t="shared" si="529"/>
        <v>1</v>
      </c>
      <c r="BA934" s="18">
        <f t="shared" si="530"/>
        <v>7</v>
      </c>
      <c r="BB934" s="18">
        <f t="shared" si="531"/>
        <v>3</v>
      </c>
      <c r="BC934" s="18">
        <f t="shared" si="532"/>
        <v>4</v>
      </c>
      <c r="BD934" s="18">
        <f t="shared" si="533"/>
        <v>9</v>
      </c>
      <c r="BE934" s="8">
        <f t="shared" si="535"/>
        <v>7.9395908812359486E-3</v>
      </c>
    </row>
    <row r="935" spans="1:57" x14ac:dyDescent="0.25">
      <c r="A935" t="str">
        <f t="shared" si="534"/>
        <v/>
      </c>
      <c r="B935" s="1">
        <v>44113</v>
      </c>
      <c r="C935" s="9">
        <f t="shared" si="509"/>
        <v>0.25563309709985443</v>
      </c>
      <c r="D935" s="9">
        <f t="shared" si="510"/>
        <v>0</v>
      </c>
      <c r="E935" s="9">
        <f t="shared" si="511"/>
        <v>0.26414581949835236</v>
      </c>
      <c r="F935" s="9">
        <f t="shared" si="512"/>
        <v>0</v>
      </c>
      <c r="G935" s="9">
        <f t="shared" si="513"/>
        <v>0.24199368616406219</v>
      </c>
      <c r="H935" s="9">
        <f t="shared" si="514"/>
        <v>0</v>
      </c>
      <c r="I935" s="9">
        <f t="shared" si="515"/>
        <v>0.2382273972377309</v>
      </c>
      <c r="J935" s="9">
        <f t="shared" si="516"/>
        <v>0</v>
      </c>
      <c r="K935" s="9">
        <v>0</v>
      </c>
      <c r="L935" s="8">
        <f>+VLOOKUP($B935,NIFTY_50!$B$3:$I$1238,8,0)</f>
        <v>6.7260405928379896E-3</v>
      </c>
      <c r="M935" s="8">
        <f>+VLOOKUP($B935,NIFTY_BANK!$B$3:$I$41238,8,0)</f>
        <v>2.8262692771227282E-2</v>
      </c>
      <c r="N935" s="8">
        <f>+VLOOKUP($B935,NIFTY_IT!$B$3:$I$1238,8,0)</f>
        <v>6.470866123587049E-3</v>
      </c>
      <c r="O935" s="8">
        <f>+VLOOKUP($B935,NIFTY_PHARMA!$B$3:$I$1238,8,0)</f>
        <v>-1.3534875339907604E-2</v>
      </c>
      <c r="P935" s="8">
        <f>+VLOOKUP($B935,NIFTY_FMCG!$B$3:$I$1238,8,0)</f>
        <v>-7.0397414392396884E-3</v>
      </c>
      <c r="Q935" s="8">
        <f>+VLOOKUP($B935,NIFTY_METAL!$B$3:$I$1238,8,0)</f>
        <v>-5.0827319133955884E-3</v>
      </c>
      <c r="R935" s="8">
        <f>+VLOOKUP($B935,NIFTY_ENERGY!$B$3:$I$1238,8,0)</f>
        <v>3.629868438412398E-3</v>
      </c>
      <c r="S935" s="8">
        <f>+VLOOKUP($B935,NIFTY_AUTO!$B$3:$I$1238,8,0)</f>
        <v>-2.4683211750186063E-3</v>
      </c>
      <c r="T935" s="8">
        <v>0</v>
      </c>
      <c r="U935" s="8">
        <f>+VLOOKUP($B935,NIFTY_50!$B$63:$K$1238,10,0)</f>
        <v>0.12205458552296999</v>
      </c>
      <c r="V935" s="8">
        <f>+VLOOKUP($B935,NIFTY_BANK!$B$63:$K$1238,10,0)</f>
        <v>0.11743026838325732</v>
      </c>
      <c r="W935" s="8">
        <f>+VLOOKUP($B935,NIFTY_IT!$B$63:$K$1238,10,0)</f>
        <v>0.32672229698326549</v>
      </c>
      <c r="X935" s="8">
        <f>+VLOOKUP($B935,NIFTY_PHARMA!$B$63:$K$1238,10,0)</f>
        <v>0.17953627304556474</v>
      </c>
      <c r="Y935" s="8">
        <f>+VLOOKUP($B935,NIFTY_FMCG!$B$63:$K$1238,10,0)</f>
        <v>-3.9066551703652252E-2</v>
      </c>
      <c r="Z935" s="8">
        <f>+VLOOKUP($B935,NIFTY_METAL!$B$63:$K$1238,10,0)</f>
        <v>9.9768940775872617E-2</v>
      </c>
      <c r="AA935" s="8">
        <f>+VLOOKUP($B935,NIFTY_ENERGY!$B$63:$K$1238,10,0)</f>
        <v>3.7114721089005931E-2</v>
      </c>
      <c r="AB935" s="8">
        <f>+VLOOKUP($B935,NIFTY_AUTO!$B$63:$K$1238,10,0)</f>
        <v>0.17781577105921897</v>
      </c>
      <c r="AC935" s="8">
        <f>+VLOOKUP($B935,EBBETF0430!$B$63:$K$1238,10,0)</f>
        <v>-9.6784817422090441E-2</v>
      </c>
      <c r="AD935" s="16">
        <f t="shared" si="517"/>
        <v>7.9717482597870981E-2</v>
      </c>
      <c r="AE935" s="8">
        <f t="shared" si="518"/>
        <v>0.13578558541126248</v>
      </c>
      <c r="AF935" s="8">
        <f t="shared" si="519"/>
        <v>0.10784411739293305</v>
      </c>
      <c r="AG935" s="8">
        <f t="shared" si="520"/>
        <v>0.14408245859441443</v>
      </c>
      <c r="AH935" s="8">
        <f t="shared" si="521"/>
        <v>6.6264361653593215E-2</v>
      </c>
      <c r="AI935" s="8">
        <f t="shared" si="522"/>
        <v>0.1353924153305596</v>
      </c>
      <c r="AJ935" s="8">
        <f t="shared" si="523"/>
        <v>0.1084397653017982</v>
      </c>
      <c r="AK935" s="8">
        <f t="shared" si="524"/>
        <v>0.11249808427268092</v>
      </c>
      <c r="AL935" s="9">
        <v>0</v>
      </c>
      <c r="AM935" s="17">
        <f t="shared" si="501"/>
        <v>12.544299787343098</v>
      </c>
      <c r="AN935" s="13">
        <f t="shared" si="502"/>
        <v>7.3645519660370136</v>
      </c>
      <c r="AO935" s="13">
        <f t="shared" si="503"/>
        <v>9.2726429978231639</v>
      </c>
      <c r="AP935" s="13">
        <f t="shared" si="504"/>
        <v>6.9404701290873616</v>
      </c>
      <c r="AQ935" s="13">
        <f t="shared" si="505"/>
        <v>15.091068185756447</v>
      </c>
      <c r="AR935" s="13">
        <f t="shared" si="506"/>
        <v>7.3859381085602713</v>
      </c>
      <c r="AS935" s="13">
        <f t="shared" si="507"/>
        <v>9.2217093721745407</v>
      </c>
      <c r="AT935" s="13">
        <f t="shared" si="508"/>
        <v>8.8890402575756617</v>
      </c>
      <c r="AU935" s="9">
        <v>0</v>
      </c>
      <c r="AV935" s="18">
        <f t="shared" si="525"/>
        <v>2</v>
      </c>
      <c r="AW935" s="18">
        <f t="shared" si="526"/>
        <v>7</v>
      </c>
      <c r="AX935" s="18">
        <f t="shared" si="527"/>
        <v>3</v>
      </c>
      <c r="AY935" s="18">
        <f t="shared" si="528"/>
        <v>8</v>
      </c>
      <c r="AZ935" s="18">
        <f t="shared" si="529"/>
        <v>1</v>
      </c>
      <c r="BA935" s="18">
        <f t="shared" si="530"/>
        <v>6</v>
      </c>
      <c r="BB935" s="18">
        <f t="shared" si="531"/>
        <v>4</v>
      </c>
      <c r="BC935" s="18">
        <f t="shared" si="532"/>
        <v>5</v>
      </c>
      <c r="BD935" s="18">
        <f t="shared" si="533"/>
        <v>9</v>
      </c>
      <c r="BE935" s="8">
        <f t="shared" si="535"/>
        <v>2.5586600178676062E-3</v>
      </c>
    </row>
    <row r="936" spans="1:57" x14ac:dyDescent="0.25">
      <c r="A936" t="str">
        <f t="shared" si="534"/>
        <v/>
      </c>
      <c r="B936" s="1">
        <v>44116</v>
      </c>
      <c r="C936" s="9">
        <f t="shared" si="509"/>
        <v>0.25489457243316699</v>
      </c>
      <c r="D936" s="9">
        <f t="shared" si="510"/>
        <v>0</v>
      </c>
      <c r="E936" s="9">
        <f t="shared" si="511"/>
        <v>0.26740237595997557</v>
      </c>
      <c r="F936" s="9">
        <f t="shared" si="512"/>
        <v>0</v>
      </c>
      <c r="G936" s="9">
        <f t="shared" si="513"/>
        <v>0.24176385646074827</v>
      </c>
      <c r="H936" s="9">
        <f t="shared" si="514"/>
        <v>0</v>
      </c>
      <c r="I936" s="9">
        <f t="shared" si="515"/>
        <v>0.2359391951461092</v>
      </c>
      <c r="J936" s="9">
        <f t="shared" si="516"/>
        <v>0</v>
      </c>
      <c r="K936" s="9">
        <v>0</v>
      </c>
      <c r="L936" s="8">
        <f>+VLOOKUP($B936,NIFTY_50!$B$3:$I$1238,8,0)</f>
        <v>1.4058854140437393E-3</v>
      </c>
      <c r="M936" s="8">
        <f>+VLOOKUP($B936,NIFTY_BANK!$B$3:$I$41238,8,0)</f>
        <v>-5.6192025764463249E-3</v>
      </c>
      <c r="N936" s="8">
        <f>+VLOOKUP($B936,NIFTY_IT!$B$3:$I$1238,8,0)</f>
        <v>1.6689066818087017E-2</v>
      </c>
      <c r="O936" s="8">
        <f>+VLOOKUP($B936,NIFTY_PHARMA!$B$3:$I$1238,8,0)</f>
        <v>9.1830338053544569E-3</v>
      </c>
      <c r="P936" s="8">
        <f>+VLOOKUP($B936,NIFTY_FMCG!$B$3:$I$1238,8,0)</f>
        <v>3.3535067287351339E-3</v>
      </c>
      <c r="Q936" s="8">
        <f>+VLOOKUP($B936,NIFTY_METAL!$B$3:$I$1238,8,0)</f>
        <v>-8.8462304000708203E-3</v>
      </c>
      <c r="R936" s="8">
        <f>+VLOOKUP($B936,NIFTY_ENERGY!$B$3:$I$1238,8,0)</f>
        <v>-5.3391578691905917E-3</v>
      </c>
      <c r="S936" s="8">
        <f>+VLOOKUP($B936,NIFTY_AUTO!$B$3:$I$1238,8,0)</f>
        <v>-7.4722851718013183E-3</v>
      </c>
      <c r="T936" s="8">
        <v>0</v>
      </c>
      <c r="U936" s="8">
        <f>+VLOOKUP($B936,NIFTY_50!$B$63:$K$1238,10,0)</f>
        <v>0.1108943710166248</v>
      </c>
      <c r="V936" s="8">
        <f>+VLOOKUP($B936,NIFTY_BANK!$B$63:$K$1238,10,0)</f>
        <v>9.7959684495407817E-2</v>
      </c>
      <c r="W936" s="8">
        <f>+VLOOKUP($B936,NIFTY_IT!$B$63:$K$1238,10,0)</f>
        <v>0.31171182880825699</v>
      </c>
      <c r="X936" s="8">
        <f>+VLOOKUP($B936,NIFTY_PHARMA!$B$63:$K$1238,10,0)</f>
        <v>0.17069917070398666</v>
      </c>
      <c r="Y936" s="8">
        <f>+VLOOKUP($B936,NIFTY_FMCG!$B$63:$K$1238,10,0)</f>
        <v>-3.7139599805659285E-2</v>
      </c>
      <c r="Z936" s="8">
        <f>+VLOOKUP($B936,NIFTY_METAL!$B$63:$K$1238,10,0)</f>
        <v>8.2196411754762888E-2</v>
      </c>
      <c r="AA936" s="8">
        <f>+VLOOKUP($B936,NIFTY_ENERGY!$B$63:$K$1238,10,0)</f>
        <v>2.8919309060732701E-2</v>
      </c>
      <c r="AB936" s="8">
        <f>+VLOOKUP($B936,NIFTY_AUTO!$B$63:$K$1238,10,0)</f>
        <v>0.15487677988568826</v>
      </c>
      <c r="AC936" s="8">
        <f>+VLOOKUP($B936,EBBETF0430!$B$63:$K$1238,10,0)</f>
        <v>-0.22259671009608129</v>
      </c>
      <c r="AD936" s="16">
        <f t="shared" si="517"/>
        <v>7.9137817671039626E-2</v>
      </c>
      <c r="AE936" s="8">
        <f t="shared" si="518"/>
        <v>0.13560766775349445</v>
      </c>
      <c r="AF936" s="8">
        <f t="shared" si="519"/>
        <v>0.10589964849562816</v>
      </c>
      <c r="AG936" s="8">
        <f t="shared" si="520"/>
        <v>0.14354351529606557</v>
      </c>
      <c r="AH936" s="8">
        <f t="shared" si="521"/>
        <v>6.6353693638876179E-2</v>
      </c>
      <c r="AI936" s="8">
        <f t="shared" si="522"/>
        <v>0.1356748845321743</v>
      </c>
      <c r="AJ936" s="8">
        <f t="shared" si="523"/>
        <v>0.10858624130795126</v>
      </c>
      <c r="AK936" s="8">
        <f t="shared" si="524"/>
        <v>0.11254087851483975</v>
      </c>
      <c r="AL936" s="9">
        <v>0</v>
      </c>
      <c r="AM936" s="17">
        <f t="shared" si="501"/>
        <v>12.636183678412813</v>
      </c>
      <c r="AN936" s="13">
        <f t="shared" si="502"/>
        <v>7.3742142798133274</v>
      </c>
      <c r="AO936" s="13">
        <f t="shared" si="503"/>
        <v>9.4429019756499262</v>
      </c>
      <c r="AP936" s="13">
        <f t="shared" si="504"/>
        <v>6.9665285675737474</v>
      </c>
      <c r="AQ936" s="13">
        <f t="shared" si="505"/>
        <v>15.070751078943807</v>
      </c>
      <c r="AR936" s="13">
        <f t="shared" si="506"/>
        <v>7.3705609070399269</v>
      </c>
      <c r="AS936" s="13">
        <f t="shared" si="507"/>
        <v>9.2092698665569763</v>
      </c>
      <c r="AT936" s="13">
        <f t="shared" si="508"/>
        <v>8.8856601547511378</v>
      </c>
      <c r="AU936" s="9">
        <v>0</v>
      </c>
      <c r="AV936" s="18">
        <f t="shared" si="525"/>
        <v>2</v>
      </c>
      <c r="AW936" s="18">
        <f t="shared" si="526"/>
        <v>6</v>
      </c>
      <c r="AX936" s="18">
        <f t="shared" si="527"/>
        <v>3</v>
      </c>
      <c r="AY936" s="18">
        <f t="shared" si="528"/>
        <v>8</v>
      </c>
      <c r="AZ936" s="18">
        <f t="shared" si="529"/>
        <v>1</v>
      </c>
      <c r="BA936" s="18">
        <f t="shared" si="530"/>
        <v>7</v>
      </c>
      <c r="BB936" s="18">
        <f t="shared" si="531"/>
        <v>4</v>
      </c>
      <c r="BC936" s="18">
        <f t="shared" si="532"/>
        <v>5</v>
      </c>
      <c r="BD936" s="18">
        <f t="shared" si="533"/>
        <v>9</v>
      </c>
      <c r="BE936" s="8">
        <f t="shared" si="535"/>
        <v>4.3073318461298435E-3</v>
      </c>
    </row>
    <row r="937" spans="1:57" x14ac:dyDescent="0.25">
      <c r="A937" t="str">
        <f t="shared" si="534"/>
        <v/>
      </c>
      <c r="B937" s="1">
        <v>44117</v>
      </c>
      <c r="C937" s="9">
        <f t="shared" si="509"/>
        <v>0.25362486056553391</v>
      </c>
      <c r="D937" s="9">
        <f t="shared" si="510"/>
        <v>0</v>
      </c>
      <c r="E937" s="9">
        <f t="shared" si="511"/>
        <v>0.2694715358001159</v>
      </c>
      <c r="F937" s="9">
        <f t="shared" si="512"/>
        <v>0</v>
      </c>
      <c r="G937" s="9">
        <f t="shared" si="513"/>
        <v>0.23970664159467936</v>
      </c>
      <c r="H937" s="9">
        <f t="shared" si="514"/>
        <v>0</v>
      </c>
      <c r="I937" s="9">
        <f t="shared" si="515"/>
        <v>0.23719696203967089</v>
      </c>
      <c r="J937" s="9">
        <f t="shared" si="516"/>
        <v>0</v>
      </c>
      <c r="K937" s="9">
        <v>0</v>
      </c>
      <c r="L937" s="8">
        <f>+VLOOKUP($B937,NIFTY_50!$B$3:$I$1238,8,0)</f>
        <v>2.9754545949822742E-4</v>
      </c>
      <c r="M937" s="8">
        <f>+VLOOKUP($B937,NIFTY_BANK!$B$3:$I$41238,8,0)</f>
        <v>-9.3029924766370176E-3</v>
      </c>
      <c r="N937" s="8">
        <f>+VLOOKUP($B937,NIFTY_IT!$B$3:$I$1238,8,0)</f>
        <v>1.3084347877002633E-2</v>
      </c>
      <c r="O937" s="8">
        <f>+VLOOKUP($B937,NIFTY_PHARMA!$B$3:$I$1238,8,0)</f>
        <v>-1.7890419637090593E-2</v>
      </c>
      <c r="P937" s="8">
        <f>+VLOOKUP($B937,NIFTY_FMCG!$B$3:$I$1238,8,0)</f>
        <v>-3.2490403590430539E-3</v>
      </c>
      <c r="Q937" s="8">
        <f>+VLOOKUP($B937,NIFTY_METAL!$B$3:$I$1238,8,0)</f>
        <v>3.9270812414933243E-3</v>
      </c>
      <c r="R937" s="8">
        <f>+VLOOKUP($B937,NIFTY_ENERGY!$B$3:$I$1238,8,0)</f>
        <v>1.0664470741328147E-2</v>
      </c>
      <c r="S937" s="8">
        <f>+VLOOKUP($B937,NIFTY_AUTO!$B$3:$I$1238,8,0)</f>
        <v>-6.1277383523603568E-3</v>
      </c>
      <c r="T937" s="8">
        <v>0</v>
      </c>
      <c r="U937" s="8">
        <f>+VLOOKUP($B937,NIFTY_50!$B$63:$K$1238,10,0)</f>
        <v>9.4737518001779542E-2</v>
      </c>
      <c r="V937" s="8">
        <f>+VLOOKUP($B937,NIFTY_BANK!$B$63:$K$1238,10,0)</f>
        <v>6.9441156654587832E-2</v>
      </c>
      <c r="W937" s="8">
        <f>+VLOOKUP($B937,NIFTY_IT!$B$63:$K$1238,10,0)</f>
        <v>0.33714594845241308</v>
      </c>
      <c r="X937" s="8">
        <f>+VLOOKUP($B937,NIFTY_PHARMA!$B$63:$K$1238,10,0)</f>
        <v>0.13989008942767245</v>
      </c>
      <c r="Y937" s="8">
        <f>+VLOOKUP($B937,NIFTY_FMCG!$B$63:$K$1238,10,0)</f>
        <v>-4.8111758213446154E-2</v>
      </c>
      <c r="Z937" s="8">
        <f>+VLOOKUP($B937,NIFTY_METAL!$B$63:$K$1238,10,0)</f>
        <v>6.9733713742272885E-2</v>
      </c>
      <c r="AA937" s="8">
        <f>+VLOOKUP($B937,NIFTY_ENERGY!$B$63:$K$1238,10,0)</f>
        <v>-2.0278070571700946E-3</v>
      </c>
      <c r="AB937" s="8">
        <f>+VLOOKUP($B937,NIFTY_AUTO!$B$63:$K$1238,10,0)</f>
        <v>0.12827679934989433</v>
      </c>
      <c r="AC937" s="8">
        <f>+VLOOKUP($B937,EBBETF0430!$B$63:$K$1238,10,0)</f>
        <v>-0.87565858798735507</v>
      </c>
      <c r="AD937" s="16">
        <f t="shared" si="517"/>
        <v>7.8006130734006168E-2</v>
      </c>
      <c r="AE937" s="8">
        <f t="shared" si="518"/>
        <v>0.13513169908989092</v>
      </c>
      <c r="AF937" s="8">
        <f t="shared" si="519"/>
        <v>0.10567049898991132</v>
      </c>
      <c r="AG937" s="8">
        <f t="shared" si="520"/>
        <v>0.14486073638266247</v>
      </c>
      <c r="AH937" s="8">
        <f t="shared" si="521"/>
        <v>6.5801852993832399E-2</v>
      </c>
      <c r="AI937" s="8">
        <f t="shared" si="522"/>
        <v>0.13494679192184783</v>
      </c>
      <c r="AJ937" s="8">
        <f t="shared" si="523"/>
        <v>0.1007942538046019</v>
      </c>
      <c r="AK937" s="8">
        <f t="shared" si="524"/>
        <v>0.11184909241163446</v>
      </c>
      <c r="AL937" s="9">
        <v>0</v>
      </c>
      <c r="AM937" s="17">
        <f t="shared" si="501"/>
        <v>12.819505218248926</v>
      </c>
      <c r="AN937" s="13">
        <f t="shared" si="502"/>
        <v>7.4001881626219346</v>
      </c>
      <c r="AO937" s="13">
        <f t="shared" si="503"/>
        <v>9.4633791792302695</v>
      </c>
      <c r="AP937" s="13">
        <f t="shared" si="504"/>
        <v>6.903181807376785</v>
      </c>
      <c r="AQ937" s="13">
        <f t="shared" si="505"/>
        <v>15.197140422378833</v>
      </c>
      <c r="AR937" s="13">
        <f t="shared" si="506"/>
        <v>7.4103280690002116</v>
      </c>
      <c r="AS937" s="13">
        <f t="shared" si="507"/>
        <v>9.9212004876645423</v>
      </c>
      <c r="AT937" s="13">
        <f t="shared" si="508"/>
        <v>8.9406179204363454</v>
      </c>
      <c r="AU937" s="9">
        <v>0</v>
      </c>
      <c r="AV937" s="18">
        <f t="shared" si="525"/>
        <v>2</v>
      </c>
      <c r="AW937" s="18">
        <f t="shared" si="526"/>
        <v>7</v>
      </c>
      <c r="AX937" s="18">
        <f t="shared" si="527"/>
        <v>4</v>
      </c>
      <c r="AY937" s="18">
        <f t="shared" si="528"/>
        <v>8</v>
      </c>
      <c r="AZ937" s="18">
        <f t="shared" si="529"/>
        <v>1</v>
      </c>
      <c r="BA937" s="18">
        <f t="shared" si="530"/>
        <v>6</v>
      </c>
      <c r="BB937" s="18">
        <f t="shared" si="531"/>
        <v>3</v>
      </c>
      <c r="BC937" s="18">
        <f t="shared" si="532"/>
        <v>5</v>
      </c>
      <c r="BD937" s="18">
        <f t="shared" si="533"/>
        <v>9</v>
      </c>
      <c r="BE937" s="8">
        <f t="shared" si="535"/>
        <v>5.3052945492449276E-3</v>
      </c>
    </row>
    <row r="938" spans="1:57" x14ac:dyDescent="0.25">
      <c r="A938" t="str">
        <f t="shared" si="534"/>
        <v/>
      </c>
      <c r="B938" s="1">
        <v>44118</v>
      </c>
      <c r="C938" s="9">
        <f t="shared" si="509"/>
        <v>0.25565770295007012</v>
      </c>
      <c r="D938" s="9">
        <f t="shared" si="510"/>
        <v>0</v>
      </c>
      <c r="E938" s="9">
        <f t="shared" si="511"/>
        <v>0.2673280186134489</v>
      </c>
      <c r="F938" s="9">
        <f t="shared" si="512"/>
        <v>0</v>
      </c>
      <c r="G938" s="9">
        <f t="shared" si="513"/>
        <v>0.24115501241065351</v>
      </c>
      <c r="H938" s="9">
        <f t="shared" si="514"/>
        <v>0</v>
      </c>
      <c r="I938" s="9">
        <f t="shared" si="515"/>
        <v>0.23585926602582744</v>
      </c>
      <c r="J938" s="9">
        <f t="shared" si="516"/>
        <v>0</v>
      </c>
      <c r="K938" s="9">
        <v>0</v>
      </c>
      <c r="L938" s="8">
        <f>+VLOOKUP($B938,NIFTY_50!$B$3:$I$1238,8,0)</f>
        <v>3.0625497507226207E-3</v>
      </c>
      <c r="M938" s="8">
        <f>+VLOOKUP($B938,NIFTY_BANK!$B$3:$I$41238,8,0)</f>
        <v>1.6279871616962316E-2</v>
      </c>
      <c r="N938" s="8">
        <f>+VLOOKUP($B938,NIFTY_IT!$B$3:$I$1238,8,0)</f>
        <v>-1.2828663649377958E-2</v>
      </c>
      <c r="O938" s="8">
        <f>+VLOOKUP($B938,NIFTY_PHARMA!$B$3:$I$1238,8,0)</f>
        <v>-6.6892293773195277E-3</v>
      </c>
      <c r="P938" s="8">
        <f>+VLOOKUP($B938,NIFTY_FMCG!$B$3:$I$1238,8,0)</f>
        <v>1.0993527518903257E-3</v>
      </c>
      <c r="Q938" s="8">
        <f>+VLOOKUP($B938,NIFTY_METAL!$B$3:$I$1238,8,0)</f>
        <v>1.0223812593068704E-3</v>
      </c>
      <c r="R938" s="8">
        <f>+VLOOKUP($B938,NIFTY_ENERGY!$B$3:$I$1238,8,0)</f>
        <v>-1.0525115762861414E-2</v>
      </c>
      <c r="S938" s="8">
        <f>+VLOOKUP($B938,NIFTY_AUTO!$B$3:$I$1238,8,0)</f>
        <v>-2.7071161141707378E-3</v>
      </c>
      <c r="T938" s="8">
        <v>0</v>
      </c>
      <c r="U938" s="8">
        <f>+VLOOKUP($B938,NIFTY_50!$B$63:$K$1238,10,0)</f>
        <v>8.6085355010796283E-2</v>
      </c>
      <c r="V938" s="8">
        <f>+VLOOKUP($B938,NIFTY_BANK!$B$63:$K$1238,10,0)</f>
        <v>6.9564126629289458E-2</v>
      </c>
      <c r="W938" s="8">
        <f>+VLOOKUP($B938,NIFTY_IT!$B$63:$K$1238,10,0)</f>
        <v>0.2865722579860126</v>
      </c>
      <c r="X938" s="8">
        <f>+VLOOKUP($B938,NIFTY_PHARMA!$B$63:$K$1238,10,0)</f>
        <v>0.15067542650854948</v>
      </c>
      <c r="Y938" s="8">
        <f>+VLOOKUP($B938,NIFTY_FMCG!$B$63:$K$1238,10,0)</f>
        <v>-4.9997859612796014E-2</v>
      </c>
      <c r="Z938" s="8">
        <f>+VLOOKUP($B938,NIFTY_METAL!$B$63:$K$1238,10,0)</f>
        <v>6.930199430199413E-2</v>
      </c>
      <c r="AA938" s="8">
        <f>+VLOOKUP($B938,NIFTY_ENERGY!$B$63:$K$1238,10,0)</f>
        <v>-1.211837171933583E-2</v>
      </c>
      <c r="AB938" s="8">
        <f>+VLOOKUP($B938,NIFTY_AUTO!$B$63:$K$1238,10,0)</f>
        <v>0.11917751903955631</v>
      </c>
      <c r="AC938" s="8">
        <f>+VLOOKUP($B938,EBBETF0430!$B$63:$K$1238,10,0)</f>
        <v>-0.76254185326985291</v>
      </c>
      <c r="AD938" s="16">
        <f t="shared" si="517"/>
        <v>7.7431546844188653E-2</v>
      </c>
      <c r="AE938" s="8">
        <f t="shared" si="518"/>
        <v>0.13514464214099861</v>
      </c>
      <c r="AF938" s="8">
        <f t="shared" si="519"/>
        <v>0.10492368441522576</v>
      </c>
      <c r="AG938" s="8">
        <f t="shared" si="520"/>
        <v>0.14397489570176486</v>
      </c>
      <c r="AH938" s="8">
        <f t="shared" si="521"/>
        <v>6.5714751353767975E-2</v>
      </c>
      <c r="AI938" s="8">
        <f t="shared" si="522"/>
        <v>0.13494687634671443</v>
      </c>
      <c r="AJ938" s="8">
        <f t="shared" si="523"/>
        <v>0.10133811459278988</v>
      </c>
      <c r="AK938" s="8">
        <f t="shared" si="524"/>
        <v>0.11189764484155414</v>
      </c>
      <c r="AL938" s="9">
        <v>0</v>
      </c>
      <c r="AM938" s="17">
        <f t="shared" si="501"/>
        <v>12.914632869368429</v>
      </c>
      <c r="AN938" s="13">
        <f t="shared" si="502"/>
        <v>7.3994794329817655</v>
      </c>
      <c r="AO938" s="13">
        <f t="shared" si="503"/>
        <v>9.5307366070237549</v>
      </c>
      <c r="AP938" s="13">
        <f t="shared" si="504"/>
        <v>6.9456553180732179</v>
      </c>
      <c r="AQ938" s="13">
        <f t="shared" si="505"/>
        <v>15.21728347744348</v>
      </c>
      <c r="AR938" s="13">
        <f t="shared" si="506"/>
        <v>7.4103234329836134</v>
      </c>
      <c r="AS938" s="13">
        <f t="shared" si="507"/>
        <v>9.8679554481384546</v>
      </c>
      <c r="AT938" s="13">
        <f t="shared" si="508"/>
        <v>8.936738582979018</v>
      </c>
      <c r="AU938" s="9">
        <v>0</v>
      </c>
      <c r="AV938" s="18">
        <f t="shared" si="525"/>
        <v>2</v>
      </c>
      <c r="AW938" s="18">
        <f t="shared" si="526"/>
        <v>7</v>
      </c>
      <c r="AX938" s="18">
        <f t="shared" si="527"/>
        <v>4</v>
      </c>
      <c r="AY938" s="18">
        <f t="shared" si="528"/>
        <v>8</v>
      </c>
      <c r="AZ938" s="18">
        <f t="shared" si="529"/>
        <v>1</v>
      </c>
      <c r="BA938" s="18">
        <f t="shared" si="530"/>
        <v>6</v>
      </c>
      <c r="BB938" s="18">
        <f t="shared" si="531"/>
        <v>3</v>
      </c>
      <c r="BC938" s="18">
        <f t="shared" si="532"/>
        <v>5</v>
      </c>
      <c r="BD938" s="18">
        <f t="shared" si="533"/>
        <v>9</v>
      </c>
      <c r="BE938" s="8">
        <f t="shared" si="535"/>
        <v>-4.9132242703420446E-3</v>
      </c>
    </row>
    <row r="939" spans="1:57" x14ac:dyDescent="0.25">
      <c r="A939" t="str">
        <f t="shared" si="534"/>
        <v/>
      </c>
      <c r="B939" s="1">
        <v>44119</v>
      </c>
      <c r="C939" s="9">
        <f t="shared" si="509"/>
        <v>0.25483167321729161</v>
      </c>
      <c r="D939" s="9">
        <f t="shared" si="510"/>
        <v>0</v>
      </c>
      <c r="E939" s="9">
        <f t="shared" si="511"/>
        <v>0.26526440283317804</v>
      </c>
      <c r="F939" s="9">
        <f t="shared" si="512"/>
        <v>0</v>
      </c>
      <c r="G939" s="9">
        <f t="shared" si="513"/>
        <v>0.24376969765903878</v>
      </c>
      <c r="H939" s="9">
        <f t="shared" si="514"/>
        <v>0</v>
      </c>
      <c r="I939" s="9">
        <f t="shared" si="515"/>
        <v>0.23613422629049155</v>
      </c>
      <c r="J939" s="9">
        <f t="shared" si="516"/>
        <v>0</v>
      </c>
      <c r="K939" s="9">
        <v>0</v>
      </c>
      <c r="L939" s="8">
        <f>+VLOOKUP($B939,NIFTY_50!$B$3:$I$1238,8,0)</f>
        <v>-2.4283584146753912E-2</v>
      </c>
      <c r="M939" s="8">
        <f>+VLOOKUP($B939,NIFTY_BANK!$B$3:$I$41238,8,0)</f>
        <v>-3.3602586844205029E-2</v>
      </c>
      <c r="N939" s="8">
        <f>+VLOOKUP($B939,NIFTY_IT!$B$3:$I$1238,8,0)</f>
        <v>-2.8677200780938605E-2</v>
      </c>
      <c r="O939" s="8">
        <f>+VLOOKUP($B939,NIFTY_PHARMA!$B$3:$I$1238,8,0)</f>
        <v>-1.8499230428640767E-2</v>
      </c>
      <c r="P939" s="8">
        <f>+VLOOKUP($B939,NIFTY_FMCG!$B$3:$I$1238,8,0)</f>
        <v>-1.0507483410993501E-2</v>
      </c>
      <c r="Q939" s="8">
        <f>+VLOOKUP($B939,NIFTY_METAL!$B$3:$I$1238,8,0)</f>
        <v>-4.8846555207708864E-3</v>
      </c>
      <c r="R939" s="8">
        <f>+VLOOKUP($B939,NIFTY_ENERGY!$B$3:$I$1238,8,0)</f>
        <v>-1.9979667909183263E-2</v>
      </c>
      <c r="S939" s="8">
        <f>+VLOOKUP($B939,NIFTY_AUTO!$B$3:$I$1238,8,0)</f>
        <v>-1.1916250054476052E-2</v>
      </c>
      <c r="T939" s="8">
        <v>0</v>
      </c>
      <c r="U939" s="8">
        <f>+VLOOKUP($B939,NIFTY_50!$B$63:$K$1238,10,0)</f>
        <v>4.6415373244641511E-2</v>
      </c>
      <c r="V939" s="8">
        <f>+VLOOKUP($B939,NIFTY_BANK!$B$63:$K$1238,10,0)</f>
        <v>1.2746905451672452E-2</v>
      </c>
      <c r="W939" s="8">
        <f>+VLOOKUP($B939,NIFTY_IT!$B$63:$K$1238,10,0)</f>
        <v>0.24859898571196992</v>
      </c>
      <c r="X939" s="8">
        <f>+VLOOKUP($B939,NIFTY_PHARMA!$B$63:$K$1238,10,0)</f>
        <v>0.14616202800921818</v>
      </c>
      <c r="Y939" s="8">
        <f>+VLOOKUP($B939,NIFTY_FMCG!$B$63:$K$1238,10,0)</f>
        <v>-5.2283789291965421E-2</v>
      </c>
      <c r="Z939" s="8">
        <f>+VLOOKUP($B939,NIFTY_METAL!$B$63:$K$1238,10,0)</f>
        <v>5.7750401208345181E-2</v>
      </c>
      <c r="AA939" s="8">
        <f>+VLOOKUP($B939,NIFTY_ENERGY!$B$63:$K$1238,10,0)</f>
        <v>-6.4509763963421896E-2</v>
      </c>
      <c r="AB939" s="8">
        <f>+VLOOKUP($B939,NIFTY_AUTO!$B$63:$K$1238,10,0)</f>
        <v>8.7667477641092395E-2</v>
      </c>
      <c r="AC939" s="8">
        <f>+VLOOKUP($B939,EBBETF0430!$B$63:$K$1238,10,0)</f>
        <v>-0.85764033097984094</v>
      </c>
      <c r="AD939" s="16">
        <f t="shared" si="517"/>
        <v>8.0655604362978722E-2</v>
      </c>
      <c r="AE939" s="8">
        <f t="shared" si="518"/>
        <v>0.13804318215083497</v>
      </c>
      <c r="AF939" s="8">
        <f t="shared" si="519"/>
        <v>0.10984610981711983</v>
      </c>
      <c r="AG939" s="8">
        <f t="shared" si="520"/>
        <v>0.14448425454179037</v>
      </c>
      <c r="AH939" s="8">
        <f t="shared" si="521"/>
        <v>6.6022366758236348E-2</v>
      </c>
      <c r="AI939" s="8">
        <f t="shared" si="522"/>
        <v>0.1349960830346377</v>
      </c>
      <c r="AJ939" s="8">
        <f t="shared" si="523"/>
        <v>9.6892092197377891E-2</v>
      </c>
      <c r="AK939" s="8">
        <f t="shared" si="524"/>
        <v>0.11172344236108302</v>
      </c>
      <c r="AL939" s="9">
        <v>0</v>
      </c>
      <c r="AM939" s="17">
        <f t="shared" si="501"/>
        <v>12.398394481053623</v>
      </c>
      <c r="AN939" s="13">
        <f t="shared" si="502"/>
        <v>7.2441100271604499</v>
      </c>
      <c r="AO939" s="13">
        <f t="shared" si="503"/>
        <v>9.10364510554699</v>
      </c>
      <c r="AP939" s="13">
        <f t="shared" si="504"/>
        <v>6.9211693908886227</v>
      </c>
      <c r="AQ939" s="13">
        <f t="shared" si="505"/>
        <v>15.146382189869755</v>
      </c>
      <c r="AR939" s="13">
        <f t="shared" si="506"/>
        <v>7.4076223362970985</v>
      </c>
      <c r="AS939" s="13">
        <f t="shared" si="507"/>
        <v>10.320759695878072</v>
      </c>
      <c r="AT939" s="13">
        <f t="shared" si="508"/>
        <v>8.9506730088754693</v>
      </c>
      <c r="AU939" s="9">
        <v>0</v>
      </c>
      <c r="AV939" s="18">
        <f t="shared" si="525"/>
        <v>2</v>
      </c>
      <c r="AW939" s="18">
        <f t="shared" si="526"/>
        <v>7</v>
      </c>
      <c r="AX939" s="18">
        <f t="shared" si="527"/>
        <v>4</v>
      </c>
      <c r="AY939" s="18">
        <f t="shared" si="528"/>
        <v>8</v>
      </c>
      <c r="AZ939" s="18">
        <f t="shared" si="529"/>
        <v>1</v>
      </c>
      <c r="BA939" s="18">
        <f t="shared" si="530"/>
        <v>6</v>
      </c>
      <c r="BB939" s="18">
        <f t="shared" si="531"/>
        <v>3</v>
      </c>
      <c r="BC939" s="18">
        <f t="shared" si="532"/>
        <v>5</v>
      </c>
      <c r="BD939" s="18">
        <f t="shared" si="533"/>
        <v>9</v>
      </c>
      <c r="BE939" s="8">
        <f t="shared" si="535"/>
        <v>-2.1120826707384827E-2</v>
      </c>
    </row>
    <row r="940" spans="1:57" x14ac:dyDescent="0.25">
      <c r="A940" t="str">
        <f t="shared" si="534"/>
        <v/>
      </c>
      <c r="B940" s="1">
        <v>44120</v>
      </c>
      <c r="C940" s="9">
        <f t="shared" si="509"/>
        <v>0.2557737204914598</v>
      </c>
      <c r="D940" s="9">
        <f t="shared" si="510"/>
        <v>0</v>
      </c>
      <c r="E940" s="9">
        <f t="shared" si="511"/>
        <v>0.26402932946232854</v>
      </c>
      <c r="F940" s="9">
        <f t="shared" si="512"/>
        <v>0</v>
      </c>
      <c r="G940" s="9">
        <f t="shared" si="513"/>
        <v>0.24317822860735425</v>
      </c>
      <c r="H940" s="9">
        <f t="shared" si="514"/>
        <v>0</v>
      </c>
      <c r="I940" s="9">
        <f t="shared" si="515"/>
        <v>0.23701872143885735</v>
      </c>
      <c r="J940" s="9">
        <f t="shared" si="516"/>
        <v>0</v>
      </c>
      <c r="K940" s="9">
        <v>0</v>
      </c>
      <c r="L940" s="8">
        <f>+VLOOKUP($B940,NIFTY_50!$B$3:$I$1238,8,0)</f>
        <v>7.0288989627880216E-3</v>
      </c>
      <c r="M940" s="8">
        <f>+VLOOKUP($B940,NIFTY_BANK!$B$3:$I$41238,8,0)</f>
        <v>1.9974081586657588E-2</v>
      </c>
      <c r="N940" s="8">
        <f>+VLOOKUP($B940,NIFTY_IT!$B$3:$I$1238,8,0)</f>
        <v>-1.3515831838013526E-3</v>
      </c>
      <c r="O940" s="8">
        <f>+VLOOKUP($B940,NIFTY_PHARMA!$B$3:$I$1238,8,0)</f>
        <v>1.5140188521984177E-2</v>
      </c>
      <c r="P940" s="8">
        <f>+VLOOKUP($B940,NIFTY_FMCG!$B$3:$I$1238,8,0)</f>
        <v>8.8548413212441446E-4</v>
      </c>
      <c r="Q940" s="8">
        <f>+VLOOKUP($B940,NIFTY_METAL!$B$3:$I$1238,8,0)</f>
        <v>3.967067538320812E-2</v>
      </c>
      <c r="R940" s="8">
        <f>+VLOOKUP($B940,NIFTY_ENERGY!$B$3:$I$1238,8,0)</f>
        <v>7.0780487130190917E-3</v>
      </c>
      <c r="S940" s="8">
        <f>+VLOOKUP($B940,NIFTY_AUTO!$B$3:$I$1238,8,0)</f>
        <v>3.0370431045889656E-3</v>
      </c>
      <c r="T940" s="8">
        <v>0</v>
      </c>
      <c r="U940" s="8">
        <f>+VLOOKUP($B940,NIFTY_50!$B$63:$K$1238,10,0)</f>
        <v>5.6577079927420337E-2</v>
      </c>
      <c r="V940" s="8">
        <f>+VLOOKUP($B940,NIFTY_BANK!$B$63:$K$1238,10,0)</f>
        <v>2.8434268833087195E-2</v>
      </c>
      <c r="W940" s="8">
        <f>+VLOOKUP($B940,NIFTY_IT!$B$63:$K$1238,10,0)</f>
        <v>0.26130750378454048</v>
      </c>
      <c r="X940" s="8">
        <f>+VLOOKUP($B940,NIFTY_PHARMA!$B$63:$K$1238,10,0)</f>
        <v>0.16106808711376686</v>
      </c>
      <c r="Y940" s="8">
        <f>+VLOOKUP($B940,NIFTY_FMCG!$B$63:$K$1238,10,0)</f>
        <v>-4.4459866802354808E-2</v>
      </c>
      <c r="Z940" s="8">
        <f>+VLOOKUP($B940,NIFTY_METAL!$B$63:$K$1238,10,0)</f>
        <v>0.10213108162444717</v>
      </c>
      <c r="AA940" s="8">
        <f>+VLOOKUP($B940,NIFTY_ENERGY!$B$63:$K$1238,10,0)</f>
        <v>-6.4428154753491729E-2</v>
      </c>
      <c r="AB940" s="8">
        <f>+VLOOKUP($B940,NIFTY_AUTO!$B$63:$K$1238,10,0)</f>
        <v>0.1048730210509512</v>
      </c>
      <c r="AC940" s="8">
        <f>+VLOOKUP($B940,EBBETF0430!$B$63:$K$1238,10,0)</f>
        <v>0.13101445449145266</v>
      </c>
      <c r="AD940" s="16">
        <f t="shared" si="517"/>
        <v>8.0812675658903002E-2</v>
      </c>
      <c r="AE940" s="8">
        <f t="shared" si="518"/>
        <v>0.1393559797211088</v>
      </c>
      <c r="AF940" s="8">
        <f t="shared" si="519"/>
        <v>0.10890685614381362</v>
      </c>
      <c r="AG940" s="8">
        <f t="shared" si="520"/>
        <v>0.14503413382870173</v>
      </c>
      <c r="AH940" s="8">
        <f t="shared" si="521"/>
        <v>6.5719391540394953E-2</v>
      </c>
      <c r="AI940" s="8">
        <f t="shared" si="522"/>
        <v>0.14026568939675355</v>
      </c>
      <c r="AJ940" s="8">
        <f t="shared" si="523"/>
        <v>9.6899389694524968E-2</v>
      </c>
      <c r="AK940" s="8">
        <f t="shared" si="524"/>
        <v>0.11082759507647412</v>
      </c>
      <c r="AL940" s="9">
        <v>0</v>
      </c>
      <c r="AM940" s="17">
        <f t="shared" si="501"/>
        <v>12.374296381681944</v>
      </c>
      <c r="AN940" s="13">
        <f t="shared" si="502"/>
        <v>7.1758671712637394</v>
      </c>
      <c r="AO940" s="13">
        <f t="shared" si="503"/>
        <v>9.1821583636523361</v>
      </c>
      <c r="AP940" s="13">
        <f t="shared" si="504"/>
        <v>6.8949286185353396</v>
      </c>
      <c r="AQ940" s="13">
        <f t="shared" si="505"/>
        <v>15.216209045169597</v>
      </c>
      <c r="AR940" s="13">
        <f t="shared" si="506"/>
        <v>7.1293272381916157</v>
      </c>
      <c r="AS940" s="13">
        <f t="shared" si="507"/>
        <v>10.319982439027706</v>
      </c>
      <c r="AT940" s="13">
        <f t="shared" si="508"/>
        <v>9.0230235467075879</v>
      </c>
      <c r="AU940" s="9">
        <v>0</v>
      </c>
      <c r="AV940" s="18">
        <f t="shared" si="525"/>
        <v>2</v>
      </c>
      <c r="AW940" s="18">
        <f t="shared" si="526"/>
        <v>6</v>
      </c>
      <c r="AX940" s="18">
        <f t="shared" si="527"/>
        <v>4</v>
      </c>
      <c r="AY940" s="18">
        <f t="shared" si="528"/>
        <v>8</v>
      </c>
      <c r="AZ940" s="18">
        <f t="shared" si="529"/>
        <v>1</v>
      </c>
      <c r="BA940" s="18">
        <f t="shared" si="530"/>
        <v>7</v>
      </c>
      <c r="BB940" s="18">
        <f t="shared" si="531"/>
        <v>3</v>
      </c>
      <c r="BC940" s="18">
        <f t="shared" si="532"/>
        <v>5</v>
      </c>
      <c r="BD940" s="18">
        <f t="shared" si="533"/>
        <v>9</v>
      </c>
      <c r="BE940" s="8">
        <f t="shared" si="535"/>
        <v>3.3198829330971431E-3</v>
      </c>
    </row>
    <row r="941" spans="1:57" x14ac:dyDescent="0.25">
      <c r="A941" t="str">
        <f t="shared" si="534"/>
        <v/>
      </c>
      <c r="B941" s="1">
        <v>44123</v>
      </c>
      <c r="C941" s="9">
        <f t="shared" si="509"/>
        <v>0.2564315125817222</v>
      </c>
      <c r="D941" s="9">
        <f t="shared" si="510"/>
        <v>0</v>
      </c>
      <c r="E941" s="9">
        <f t="shared" si="511"/>
        <v>0.26046183876803614</v>
      </c>
      <c r="F941" s="9">
        <f t="shared" si="512"/>
        <v>0</v>
      </c>
      <c r="G941" s="9">
        <f t="shared" si="513"/>
        <v>0.24477077373368861</v>
      </c>
      <c r="H941" s="9">
        <f t="shared" si="514"/>
        <v>0</v>
      </c>
      <c r="I941" s="9">
        <f t="shared" si="515"/>
        <v>0.23833587491655328</v>
      </c>
      <c r="J941" s="9">
        <f t="shared" si="516"/>
        <v>0</v>
      </c>
      <c r="K941" s="9">
        <v>0</v>
      </c>
      <c r="L941" s="8">
        <f>+VLOOKUP($B941,NIFTY_50!$B$3:$I$1238,8,0)</f>
        <v>9.4028029874726471E-3</v>
      </c>
      <c r="M941" s="8">
        <f>+VLOOKUP($B941,NIFTY_BANK!$B$3:$I$41238,8,0)</f>
        <v>3.1168665611422064E-2</v>
      </c>
      <c r="N941" s="8">
        <f>+VLOOKUP($B941,NIFTY_IT!$B$3:$I$1238,8,0)</f>
        <v>-6.7902767879320924E-3</v>
      </c>
      <c r="O941" s="8">
        <f>+VLOOKUP($B941,NIFTY_PHARMA!$B$3:$I$1238,8,0)</f>
        <v>-1.6713080133061387E-2</v>
      </c>
      <c r="P941" s="8">
        <f>+VLOOKUP($B941,NIFTY_FMCG!$B$3:$I$1238,8,0)</f>
        <v>1.3407007840976259E-2</v>
      </c>
      <c r="Q941" s="8">
        <f>+VLOOKUP($B941,NIFTY_METAL!$B$3:$I$1238,8,0)</f>
        <v>1.6310062879584475E-2</v>
      </c>
      <c r="R941" s="8">
        <f>+VLOOKUP($B941,NIFTY_ENERGY!$B$3:$I$1238,8,0)</f>
        <v>1.2408541086554203E-2</v>
      </c>
      <c r="S941" s="8">
        <f>+VLOOKUP($B941,NIFTY_AUTO!$B$3:$I$1238,8,0)</f>
        <v>-1.1194240808095945E-2</v>
      </c>
      <c r="T941" s="8">
        <v>0</v>
      </c>
      <c r="U941" s="8">
        <f>+VLOOKUP($B941,NIFTY_50!$B$63:$K$1238,10,0)</f>
        <v>5.8633403028857334E-2</v>
      </c>
      <c r="V941" s="8">
        <f>+VLOOKUP($B941,NIFTY_BANK!$B$63:$K$1238,10,0)</f>
        <v>5.1241341367793014E-2</v>
      </c>
      <c r="W941" s="8">
        <f>+VLOOKUP($B941,NIFTY_IT!$B$63:$K$1238,10,0)</f>
        <v>0.25501020815244169</v>
      </c>
      <c r="X941" s="8">
        <f>+VLOOKUP($B941,NIFTY_PHARMA!$B$63:$K$1238,10,0)</f>
        <v>0.12540991944507685</v>
      </c>
      <c r="Y941" s="8">
        <f>+VLOOKUP($B941,NIFTY_FMCG!$B$63:$K$1238,10,0)</f>
        <v>-3.3215012587655468E-2</v>
      </c>
      <c r="Z941" s="8">
        <f>+VLOOKUP($B941,NIFTY_METAL!$B$63:$K$1238,10,0)</f>
        <v>0.11093647367927173</v>
      </c>
      <c r="AA941" s="8">
        <f>+VLOOKUP($B941,NIFTY_ENERGY!$B$63:$K$1238,10,0)</f>
        <v>-6.7074810561118747E-2</v>
      </c>
      <c r="AB941" s="8">
        <f>+VLOOKUP($B941,NIFTY_AUTO!$B$63:$K$1238,10,0)</f>
        <v>7.797508577533363E-2</v>
      </c>
      <c r="AC941" s="8">
        <f>+VLOOKUP($B941,EBBETF0430!$B$63:$K$1238,10,0)</f>
        <v>5.0576486609169313</v>
      </c>
      <c r="AD941" s="16">
        <f t="shared" si="517"/>
        <v>8.0993227782866523E-2</v>
      </c>
      <c r="AE941" s="8">
        <f t="shared" si="518"/>
        <v>0.14240182986733177</v>
      </c>
      <c r="AF941" s="8">
        <f t="shared" si="519"/>
        <v>0.10927996013644392</v>
      </c>
      <c r="AG941" s="8">
        <f t="shared" si="520"/>
        <v>0.14578470536373181</v>
      </c>
      <c r="AH941" s="8">
        <f t="shared" si="521"/>
        <v>6.7161116445297001E-2</v>
      </c>
      <c r="AI941" s="8">
        <f t="shared" si="522"/>
        <v>0.14086505431766072</v>
      </c>
      <c r="AJ941" s="8">
        <f t="shared" si="523"/>
        <v>9.6457255664579272E-2</v>
      </c>
      <c r="AK941" s="8">
        <f t="shared" si="524"/>
        <v>0.11091500730499758</v>
      </c>
      <c r="AL941" s="9">
        <v>0</v>
      </c>
      <c r="AM941" s="17">
        <f t="shared" si="501"/>
        <v>12.346711291478398</v>
      </c>
      <c r="AN941" s="13">
        <f t="shared" si="502"/>
        <v>7.0223816711600335</v>
      </c>
      <c r="AO941" s="13">
        <f t="shared" si="503"/>
        <v>9.1508086089291005</v>
      </c>
      <c r="AP941" s="13">
        <f t="shared" si="504"/>
        <v>6.859430126809305</v>
      </c>
      <c r="AQ941" s="13">
        <f t="shared" si="505"/>
        <v>14.889567847111417</v>
      </c>
      <c r="AR941" s="13">
        <f t="shared" si="506"/>
        <v>7.0989927547603742</v>
      </c>
      <c r="AS941" s="13">
        <f t="shared" si="507"/>
        <v>10.367286453570717</v>
      </c>
      <c r="AT941" s="13">
        <f t="shared" si="508"/>
        <v>9.0159124927988188</v>
      </c>
      <c r="AU941" s="9">
        <v>0</v>
      </c>
      <c r="AV941" s="18">
        <f t="shared" si="525"/>
        <v>2</v>
      </c>
      <c r="AW941" s="18">
        <f t="shared" si="526"/>
        <v>7</v>
      </c>
      <c r="AX941" s="18">
        <f t="shared" si="527"/>
        <v>4</v>
      </c>
      <c r="AY941" s="18">
        <f t="shared" si="528"/>
        <v>8</v>
      </c>
      <c r="AZ941" s="18">
        <f t="shared" si="529"/>
        <v>1</v>
      </c>
      <c r="BA941" s="18">
        <f t="shared" si="530"/>
        <v>6</v>
      </c>
      <c r="BB941" s="18">
        <f t="shared" si="531"/>
        <v>3</v>
      </c>
      <c r="BC941" s="18">
        <f t="shared" si="532"/>
        <v>5</v>
      </c>
      <c r="BD941" s="18">
        <f t="shared" si="533"/>
        <v>9</v>
      </c>
      <c r="BE941" s="8">
        <f t="shared" si="535"/>
        <v>6.8135066369228907E-3</v>
      </c>
    </row>
    <row r="942" spans="1:57" x14ac:dyDescent="0.25">
      <c r="A942" t="str">
        <f t="shared" si="534"/>
        <v/>
      </c>
      <c r="B942" s="1">
        <v>44124</v>
      </c>
      <c r="C942" s="9">
        <f t="shared" si="509"/>
        <v>0.25697381292958682</v>
      </c>
      <c r="D942" s="9">
        <f t="shared" si="510"/>
        <v>0</v>
      </c>
      <c r="E942" s="9">
        <f t="shared" si="511"/>
        <v>0.26417456165103365</v>
      </c>
      <c r="F942" s="9">
        <f t="shared" si="512"/>
        <v>0</v>
      </c>
      <c r="G942" s="9">
        <f t="shared" si="513"/>
        <v>0.24395000833694916</v>
      </c>
      <c r="H942" s="9">
        <f t="shared" si="514"/>
        <v>0</v>
      </c>
      <c r="I942" s="9">
        <f t="shared" si="515"/>
        <v>0.23490161708243038</v>
      </c>
      <c r="J942" s="9">
        <f t="shared" si="516"/>
        <v>0</v>
      </c>
      <c r="K942" s="9">
        <v>0</v>
      </c>
      <c r="L942" s="8">
        <f>+VLOOKUP($B942,NIFTY_50!$B$3:$I$1238,8,0)</f>
        <v>2.0003284749916528E-3</v>
      </c>
      <c r="M942" s="8">
        <f>+VLOOKUP($B942,NIFTY_BANK!$B$3:$I$41238,8,0)</f>
        <v>1.8564496687853982E-3</v>
      </c>
      <c r="N942" s="8">
        <f>+VLOOKUP($B942,NIFTY_IT!$B$3:$I$1238,8,0)</f>
        <v>1.4138529069414041E-2</v>
      </c>
      <c r="O942" s="8">
        <f>+VLOOKUP($B942,NIFTY_PHARMA!$B$3:$I$1238,8,0)</f>
        <v>2.3888126094873119E-3</v>
      </c>
      <c r="P942" s="8">
        <f>+VLOOKUP($B942,NIFTY_FMCG!$B$3:$I$1238,8,0)</f>
        <v>-3.4670431360028786E-3</v>
      </c>
      <c r="Q942" s="8">
        <f>+VLOOKUP($B942,NIFTY_METAL!$B$3:$I$1238,8,0)</f>
        <v>-1.9004582215934596E-3</v>
      </c>
      <c r="R942" s="8">
        <f>+VLOOKUP($B942,NIFTY_ENERGY!$B$3:$I$1238,8,0)</f>
        <v>-1.4521899852474873E-2</v>
      </c>
      <c r="S942" s="8">
        <f>+VLOOKUP($B942,NIFTY_AUTO!$B$3:$I$1238,8,0)</f>
        <v>3.3480086654340546E-3</v>
      </c>
      <c r="T942" s="8">
        <v>0</v>
      </c>
      <c r="U942" s="8">
        <f>+VLOOKUP($B942,NIFTY_50!$B$63:$K$1238,10,0)</f>
        <v>6.2769392941849134E-2</v>
      </c>
      <c r="V942" s="8">
        <f>+VLOOKUP($B942,NIFTY_BANK!$B$63:$K$1238,10,0)</f>
        <v>7.2797915457780693E-2</v>
      </c>
      <c r="W942" s="8">
        <f>+VLOOKUP($B942,NIFTY_IT!$B$63:$K$1238,10,0)</f>
        <v>0.25502429711905572</v>
      </c>
      <c r="X942" s="8">
        <f>+VLOOKUP($B942,NIFTY_PHARMA!$B$63:$K$1238,10,0)</f>
        <v>0.13737613487075029</v>
      </c>
      <c r="Y942" s="8">
        <f>+VLOOKUP($B942,NIFTY_FMCG!$B$63:$K$1238,10,0)</f>
        <v>-3.3987397985418499E-2</v>
      </c>
      <c r="Z942" s="8">
        <f>+VLOOKUP($B942,NIFTY_METAL!$B$63:$K$1238,10,0)</f>
        <v>0.13214371257485036</v>
      </c>
      <c r="AA942" s="8">
        <f>+VLOOKUP($B942,NIFTY_ENERGY!$B$63:$K$1238,10,0)</f>
        <v>-8.5978415750022852E-2</v>
      </c>
      <c r="AB942" s="8">
        <f>+VLOOKUP($B942,NIFTY_AUTO!$B$63:$K$1238,10,0)</f>
        <v>9.3930305528042046E-2</v>
      </c>
      <c r="AC942" s="8">
        <f>+VLOOKUP($B942,EBBETF0430!$B$63:$K$1238,10,0)</f>
        <v>-0.34411976911976916</v>
      </c>
      <c r="AD942" s="16">
        <f t="shared" si="517"/>
        <v>8.0946517542202751E-2</v>
      </c>
      <c r="AE942" s="8">
        <f t="shared" si="518"/>
        <v>0.14107242525412297</v>
      </c>
      <c r="AF942" s="8">
        <f t="shared" si="519"/>
        <v>0.10928103367372981</v>
      </c>
      <c r="AG942" s="8">
        <f t="shared" si="520"/>
        <v>0.14541654832004858</v>
      </c>
      <c r="AH942" s="8">
        <f t="shared" si="521"/>
        <v>6.7191310664865611E-2</v>
      </c>
      <c r="AI942" s="8">
        <f t="shared" si="522"/>
        <v>0.13908976125775213</v>
      </c>
      <c r="AJ942" s="8">
        <f t="shared" si="523"/>
        <v>9.7110635747039042E-2</v>
      </c>
      <c r="AK942" s="8">
        <f t="shared" si="524"/>
        <v>0.11019734054087683</v>
      </c>
      <c r="AL942" s="9">
        <v>0</v>
      </c>
      <c r="AM942" s="17">
        <f t="shared" si="501"/>
        <v>12.353835969269884</v>
      </c>
      <c r="AN942" s="13">
        <f t="shared" si="502"/>
        <v>7.0885575136220611</v>
      </c>
      <c r="AO942" s="13">
        <f t="shared" si="503"/>
        <v>9.1507187147003641</v>
      </c>
      <c r="AP942" s="13">
        <f t="shared" si="504"/>
        <v>6.8767964275915219</v>
      </c>
      <c r="AQ942" s="13">
        <f t="shared" si="505"/>
        <v>14.882876820006739</v>
      </c>
      <c r="AR942" s="13">
        <f t="shared" si="506"/>
        <v>7.1896018150959708</v>
      </c>
      <c r="AS942" s="13">
        <f t="shared" si="507"/>
        <v>10.297533244503454</v>
      </c>
      <c r="AT942" s="13">
        <f t="shared" si="508"/>
        <v>9.0746291615727142</v>
      </c>
      <c r="AU942" s="9">
        <v>0</v>
      </c>
      <c r="AV942" s="18">
        <f t="shared" si="525"/>
        <v>2</v>
      </c>
      <c r="AW942" s="18">
        <f t="shared" si="526"/>
        <v>7</v>
      </c>
      <c r="AX942" s="18">
        <f t="shared" si="527"/>
        <v>4</v>
      </c>
      <c r="AY942" s="18">
        <f t="shared" si="528"/>
        <v>8</v>
      </c>
      <c r="AZ942" s="18">
        <f t="shared" si="529"/>
        <v>1</v>
      </c>
      <c r="BA942" s="18">
        <f t="shared" si="530"/>
        <v>6</v>
      </c>
      <c r="BB942" s="18">
        <f t="shared" si="531"/>
        <v>3</v>
      </c>
      <c r="BC942" s="18">
        <f t="shared" si="532"/>
        <v>5</v>
      </c>
      <c r="BD942" s="18">
        <f t="shared" si="533"/>
        <v>9</v>
      </c>
      <c r="BE942" s="8">
        <f t="shared" si="535"/>
        <v>-1.1422600236035306E-4</v>
      </c>
    </row>
    <row r="943" spans="1:57" x14ac:dyDescent="0.25">
      <c r="A943" t="str">
        <f t="shared" si="534"/>
        <v/>
      </c>
      <c r="B943" s="1">
        <v>44125</v>
      </c>
      <c r="C943" s="9">
        <f t="shared" si="509"/>
        <v>0.25810725731339829</v>
      </c>
      <c r="D943" s="9">
        <f t="shared" si="510"/>
        <v>0</v>
      </c>
      <c r="E943" s="9">
        <f t="shared" si="511"/>
        <v>0.26300933532734955</v>
      </c>
      <c r="F943" s="9">
        <f t="shared" si="512"/>
        <v>0</v>
      </c>
      <c r="G943" s="9">
        <f t="shared" si="513"/>
        <v>0.24190169139756973</v>
      </c>
      <c r="H943" s="9">
        <f t="shared" si="514"/>
        <v>0</v>
      </c>
      <c r="I943" s="9">
        <f t="shared" si="515"/>
        <v>0.23698171596168249</v>
      </c>
      <c r="J943" s="9">
        <f t="shared" si="516"/>
        <v>0</v>
      </c>
      <c r="K943" s="9">
        <v>0</v>
      </c>
      <c r="L943" s="8">
        <f>+VLOOKUP($B943,NIFTY_50!$B$3:$I$1238,8,0)</f>
        <v>3.4336964561898498E-3</v>
      </c>
      <c r="M943" s="8">
        <f>+VLOOKUP($B943,NIFTY_BANK!$B$3:$I$41238,8,0)</f>
        <v>1.329601263583946E-2</v>
      </c>
      <c r="N943" s="8">
        <f>+VLOOKUP($B943,NIFTY_IT!$B$3:$I$1238,8,0)</f>
        <v>-5.3792807804795562E-3</v>
      </c>
      <c r="O943" s="8">
        <f>+VLOOKUP($B943,NIFTY_PHARMA!$B$3:$I$1238,8,0)</f>
        <v>1.1164164748733718E-4</v>
      </c>
      <c r="P943" s="8">
        <f>+VLOOKUP($B943,NIFTY_FMCG!$B$3:$I$1238,8,0)</f>
        <v>-9.3610460343205304E-3</v>
      </c>
      <c r="Q943" s="8">
        <f>+VLOOKUP($B943,NIFTY_METAL!$B$3:$I$1238,8,0)</f>
        <v>2.229885543825505E-2</v>
      </c>
      <c r="R943" s="8">
        <f>+VLOOKUP($B943,NIFTY_ENERGY!$B$3:$I$1238,8,0)</f>
        <v>7.8738260669068971E-3</v>
      </c>
      <c r="S943" s="8">
        <f>+VLOOKUP($B943,NIFTY_AUTO!$B$3:$I$1238,8,0)</f>
        <v>-2.3617460458165151E-3</v>
      </c>
      <c r="T943" s="8">
        <v>0</v>
      </c>
      <c r="U943" s="8">
        <f>+VLOOKUP($B943,NIFTY_50!$B$63:$K$1238,10,0)</f>
        <v>7.2391706642232156E-2</v>
      </c>
      <c r="V943" s="8">
        <f>+VLOOKUP($B943,NIFTY_BANK!$B$63:$K$1238,10,0)</f>
        <v>0.12752674638137185</v>
      </c>
      <c r="W943" s="8">
        <f>+VLOOKUP($B943,NIFTY_IT!$B$63:$K$1238,10,0)</f>
        <v>0.22414228374487655</v>
      </c>
      <c r="X943" s="8">
        <f>+VLOOKUP($B943,NIFTY_PHARMA!$B$63:$K$1238,10,0)</f>
        <v>0.15738840494730222</v>
      </c>
      <c r="Y943" s="8">
        <f>+VLOOKUP($B943,NIFTY_FMCG!$B$63:$K$1238,10,0)</f>
        <v>-3.684812498479062E-2</v>
      </c>
      <c r="Z943" s="8">
        <f>+VLOOKUP($B943,NIFTY_METAL!$B$63:$K$1238,10,0)</f>
        <v>0.15357620320855614</v>
      </c>
      <c r="AA943" s="8">
        <f>+VLOOKUP($B943,NIFTY_ENERGY!$B$63:$K$1238,10,0)</f>
        <v>-7.9198644285215725E-2</v>
      </c>
      <c r="AB943" s="8">
        <f>+VLOOKUP($B943,NIFTY_AUTO!$B$63:$K$1238,10,0)</f>
        <v>9.6236667617530358E-2</v>
      </c>
      <c r="AC943" s="8">
        <f>+VLOOKUP($B943,EBBETF0430!$B$63:$K$1238,10,0)</f>
        <v>-8.3115569417516633E-2</v>
      </c>
      <c r="AD943" s="16">
        <f t="shared" si="517"/>
        <v>8.0702075774898699E-2</v>
      </c>
      <c r="AE943" s="8">
        <f t="shared" si="518"/>
        <v>0.13645935067781734</v>
      </c>
      <c r="AF943" s="8">
        <f t="shared" si="519"/>
        <v>0.10846424115557633</v>
      </c>
      <c r="AG943" s="8">
        <f t="shared" si="520"/>
        <v>0.14410710787120248</v>
      </c>
      <c r="AH943" s="8">
        <f t="shared" si="521"/>
        <v>6.751180517414003E-2</v>
      </c>
      <c r="AI943" s="8">
        <f t="shared" si="522"/>
        <v>0.14050957218150142</v>
      </c>
      <c r="AJ943" s="8">
        <f t="shared" si="523"/>
        <v>9.7529880311157738E-2</v>
      </c>
      <c r="AK943" s="8">
        <f t="shared" si="524"/>
        <v>0.11010204344908256</v>
      </c>
      <c r="AL943" s="9">
        <v>0</v>
      </c>
      <c r="AM943" s="17">
        <f t="shared" si="501"/>
        <v>12.391255000544071</v>
      </c>
      <c r="AN943" s="13">
        <f t="shared" si="502"/>
        <v>7.3281896405986542</v>
      </c>
      <c r="AO943" s="13">
        <f t="shared" si="503"/>
        <v>9.219628417126378</v>
      </c>
      <c r="AP943" s="13">
        <f t="shared" si="504"/>
        <v>6.9392829734239232</v>
      </c>
      <c r="AQ943" s="13">
        <f t="shared" si="505"/>
        <v>14.81222428315461</v>
      </c>
      <c r="AR943" s="13">
        <f t="shared" si="506"/>
        <v>7.116952848651926</v>
      </c>
      <c r="AS943" s="13">
        <f t="shared" si="507"/>
        <v>10.253267991405467</v>
      </c>
      <c r="AT943" s="13">
        <f t="shared" si="508"/>
        <v>9.0824835640989434</v>
      </c>
      <c r="AU943" s="9">
        <v>0</v>
      </c>
      <c r="AV943" s="18">
        <f t="shared" si="525"/>
        <v>2</v>
      </c>
      <c r="AW943" s="18">
        <f t="shared" si="526"/>
        <v>6</v>
      </c>
      <c r="AX943" s="18">
        <f t="shared" si="527"/>
        <v>4</v>
      </c>
      <c r="AY943" s="18">
        <f t="shared" si="528"/>
        <v>8</v>
      </c>
      <c r="AZ943" s="18">
        <f t="shared" si="529"/>
        <v>1</v>
      </c>
      <c r="BA943" s="18">
        <f t="shared" si="530"/>
        <v>7</v>
      </c>
      <c r="BB943" s="18">
        <f t="shared" si="531"/>
        <v>3</v>
      </c>
      <c r="BC943" s="18">
        <f t="shared" si="532"/>
        <v>5</v>
      </c>
      <c r="BD943" s="18">
        <f t="shared" si="533"/>
        <v>9</v>
      </c>
      <c r="BE943" s="8">
        <f t="shared" si="535"/>
        <v>-9.727518537639365E-4</v>
      </c>
    </row>
    <row r="944" spans="1:57" x14ac:dyDescent="0.25">
      <c r="A944" t="str">
        <f t="shared" si="534"/>
        <v/>
      </c>
      <c r="B944" s="1">
        <v>44126</v>
      </c>
      <c r="C944" s="9">
        <f t="shared" si="509"/>
        <v>0.25728742118699582</v>
      </c>
      <c r="D944" s="9">
        <f t="shared" si="510"/>
        <v>0</v>
      </c>
      <c r="E944" s="9">
        <f t="shared" si="511"/>
        <v>0.26108052255230429</v>
      </c>
      <c r="F944" s="9">
        <f t="shared" si="512"/>
        <v>0</v>
      </c>
      <c r="G944" s="9">
        <f t="shared" si="513"/>
        <v>0.24222315971392797</v>
      </c>
      <c r="H944" s="9">
        <f t="shared" si="514"/>
        <v>0</v>
      </c>
      <c r="I944" s="9">
        <f t="shared" si="515"/>
        <v>0.23940889654677189</v>
      </c>
      <c r="J944" s="9">
        <f t="shared" si="516"/>
        <v>0</v>
      </c>
      <c r="K944" s="9">
        <v>0</v>
      </c>
      <c r="L944" s="8">
        <f>+VLOOKUP($B944,NIFTY_50!$B$3:$I$1238,8,0)</f>
        <v>-3.4512655338361231E-3</v>
      </c>
      <c r="M944" s="8">
        <f>+VLOOKUP($B944,NIFTY_BANK!$B$3:$I$41238,8,0)</f>
        <v>-6.1254188645851748E-3</v>
      </c>
      <c r="N944" s="8">
        <f>+VLOOKUP($B944,NIFTY_IT!$B$3:$I$1238,8,0)</f>
        <v>-7.6074085917605672E-3</v>
      </c>
      <c r="O944" s="8">
        <f>+VLOOKUP($B944,NIFTY_PHARMA!$B$3:$I$1238,8,0)</f>
        <v>-8.6212078277820847E-3</v>
      </c>
      <c r="P944" s="8">
        <f>+VLOOKUP($B944,NIFTY_FMCG!$B$3:$I$1238,8,0)</f>
        <v>1.0527521467722512E-3</v>
      </c>
      <c r="Q944" s="8">
        <f>+VLOOKUP($B944,NIFTY_METAL!$B$3:$I$1238,8,0)</f>
        <v>6.8086339272779295E-3</v>
      </c>
      <c r="R944" s="8">
        <f>+VLOOKUP($B944,NIFTY_ENERGY!$B$3:$I$1238,8,0)</f>
        <v>9.9634309986309511E-3</v>
      </c>
      <c r="S944" s="8">
        <f>+VLOOKUP($B944,NIFTY_AUTO!$B$3:$I$1238,8,0)</f>
        <v>-1.7643960117035284E-3</v>
      </c>
      <c r="T944" s="8">
        <v>0</v>
      </c>
      <c r="U944" s="8">
        <f>+VLOOKUP($B944,NIFTY_50!$B$63:$K$1238,10,0)</f>
        <v>5.27319466751619E-2</v>
      </c>
      <c r="V944" s="8">
        <f>+VLOOKUP($B944,NIFTY_BANK!$B$63:$K$1238,10,0)</f>
        <v>0.10761947415087847</v>
      </c>
      <c r="W944" s="8">
        <f>+VLOOKUP($B944,NIFTY_IT!$B$63:$K$1238,10,0)</f>
        <v>0.18682019093541724</v>
      </c>
      <c r="X944" s="8">
        <f>+VLOOKUP($B944,NIFTY_PHARMA!$B$63:$K$1238,10,0)</f>
        <v>0.13993315593821132</v>
      </c>
      <c r="Y944" s="8">
        <f>+VLOOKUP($B944,NIFTY_FMCG!$B$63:$K$1238,10,0)</f>
        <v>-3.8677295064200701E-2</v>
      </c>
      <c r="Z944" s="8">
        <f>+VLOOKUP($B944,NIFTY_METAL!$B$63:$K$1238,10,0)</f>
        <v>0.1359921542987903</v>
      </c>
      <c r="AA944" s="8">
        <f>+VLOOKUP($B944,NIFTY_ENERGY!$B$63:$K$1238,10,0)</f>
        <v>-7.577201528563704E-2</v>
      </c>
      <c r="AB944" s="8">
        <f>+VLOOKUP($B944,NIFTY_AUTO!$B$63:$K$1238,10,0)</f>
        <v>6.0301473661502847E-2</v>
      </c>
      <c r="AC944" s="8">
        <f>+VLOOKUP($B944,EBBETF0430!$B$63:$K$1238,10,0)</f>
        <v>0.4823102070468579</v>
      </c>
      <c r="AD944" s="16">
        <f t="shared" si="517"/>
        <v>7.9585939366158931E-2</v>
      </c>
      <c r="AE944" s="8">
        <f t="shared" si="518"/>
        <v>0.13635061807341708</v>
      </c>
      <c r="AF944" s="8">
        <f t="shared" si="519"/>
        <v>0.10706391804732338</v>
      </c>
      <c r="AG944" s="8">
        <f t="shared" si="520"/>
        <v>0.14447271810497281</v>
      </c>
      <c r="AH944" s="8">
        <f t="shared" si="521"/>
        <v>6.743845089472586E-2</v>
      </c>
      <c r="AI944" s="8">
        <f t="shared" si="522"/>
        <v>0.13914747758354407</v>
      </c>
      <c r="AJ944" s="8">
        <f t="shared" si="523"/>
        <v>9.7887603500553033E-2</v>
      </c>
      <c r="AK944" s="8">
        <f t="shared" si="524"/>
        <v>0.10576975288740369</v>
      </c>
      <c r="AL944" s="9">
        <v>0</v>
      </c>
      <c r="AM944" s="17">
        <f t="shared" si="501"/>
        <v>12.565033572063538</v>
      </c>
      <c r="AN944" s="13">
        <f t="shared" si="502"/>
        <v>7.334033494894439</v>
      </c>
      <c r="AO944" s="13">
        <f t="shared" si="503"/>
        <v>9.3402148757342278</v>
      </c>
      <c r="AP944" s="13">
        <f t="shared" si="504"/>
        <v>6.9217220601706089</v>
      </c>
      <c r="AQ944" s="13">
        <f t="shared" si="505"/>
        <v>14.828335863779557</v>
      </c>
      <c r="AR944" s="13">
        <f t="shared" si="506"/>
        <v>7.1866196740763808</v>
      </c>
      <c r="AS944" s="13">
        <f t="shared" si="507"/>
        <v>10.215798162781157</v>
      </c>
      <c r="AT944" s="13">
        <f t="shared" si="508"/>
        <v>9.4544987834522196</v>
      </c>
      <c r="AU944" s="9">
        <v>0</v>
      </c>
      <c r="AV944" s="18">
        <f t="shared" si="525"/>
        <v>2</v>
      </c>
      <c r="AW944" s="18">
        <f t="shared" si="526"/>
        <v>6</v>
      </c>
      <c r="AX944" s="18">
        <f t="shared" si="527"/>
        <v>5</v>
      </c>
      <c r="AY944" s="18">
        <f t="shared" si="528"/>
        <v>8</v>
      </c>
      <c r="AZ944" s="18">
        <f t="shared" si="529"/>
        <v>1</v>
      </c>
      <c r="BA944" s="18">
        <f t="shared" si="530"/>
        <v>7</v>
      </c>
      <c r="BB944" s="18">
        <f t="shared" si="531"/>
        <v>3</v>
      </c>
      <c r="BC944" s="18">
        <f t="shared" si="532"/>
        <v>4</v>
      </c>
      <c r="BD944" s="18">
        <f t="shared" si="533"/>
        <v>9</v>
      </c>
      <c r="BE944" s="8">
        <f t="shared" si="535"/>
        <v>-2.7580265863320561E-4</v>
      </c>
    </row>
    <row r="945" spans="1:57" x14ac:dyDescent="0.25">
      <c r="A945" t="str">
        <f t="shared" si="534"/>
        <v/>
      </c>
      <c r="B945" s="1">
        <v>44127</v>
      </c>
      <c r="C945" s="9">
        <f t="shared" si="509"/>
        <v>0.25688066493973416</v>
      </c>
      <c r="D945" s="9">
        <f t="shared" si="510"/>
        <v>0</v>
      </c>
      <c r="E945" s="9">
        <f t="shared" si="511"/>
        <v>0.26126352944876452</v>
      </c>
      <c r="F945" s="9">
        <f t="shared" si="512"/>
        <v>0</v>
      </c>
      <c r="G945" s="9">
        <f t="shared" si="513"/>
        <v>0.24169554892911935</v>
      </c>
      <c r="H945" s="9">
        <f t="shared" si="514"/>
        <v>0</v>
      </c>
      <c r="I945" s="9">
        <f t="shared" si="515"/>
        <v>0.24016025668238203</v>
      </c>
      <c r="J945" s="9">
        <f t="shared" si="516"/>
        <v>0</v>
      </c>
      <c r="K945" s="9">
        <v>0</v>
      </c>
      <c r="L945" s="8">
        <f>+VLOOKUP($B945,NIFTY_50!$B$3:$I$1238,8,0)</f>
        <v>2.8495895834470542E-3</v>
      </c>
      <c r="M945" s="8">
        <f>+VLOOKUP($B945,NIFTY_BANK!$B$3:$I$41238,8,0)</f>
        <v>-2.3893008333975008E-4</v>
      </c>
      <c r="N945" s="8">
        <f>+VLOOKUP($B945,NIFTY_IT!$B$3:$I$1238,8,0)</f>
        <v>5.1416162701098944E-3</v>
      </c>
      <c r="O945" s="8">
        <f>+VLOOKUP($B945,NIFTY_PHARMA!$B$3:$I$1238,8,0)</f>
        <v>-3.6594978043013038E-3</v>
      </c>
      <c r="P945" s="8">
        <f>+VLOOKUP($B945,NIFTY_FMCG!$B$3:$I$1238,8,0)</f>
        <v>2.2496790379382681E-3</v>
      </c>
      <c r="Q945" s="8">
        <f>+VLOOKUP($B945,NIFTY_METAL!$B$3:$I$1238,8,0)</f>
        <v>4.3165467625898568E-3</v>
      </c>
      <c r="R945" s="8">
        <f>+VLOOKUP($B945,NIFTY_ENERGY!$B$3:$I$1238,8,0)</f>
        <v>7.5898698058414205E-3</v>
      </c>
      <c r="S945" s="8">
        <f>+VLOOKUP($B945,NIFTY_AUTO!$B$3:$I$1238,8,0)</f>
        <v>2.9303866279254631E-2</v>
      </c>
      <c r="T945" s="8">
        <v>0</v>
      </c>
      <c r="U945" s="8">
        <f>+VLOOKUP($B945,NIFTY_50!$B$63:$K$1238,10,0)</f>
        <v>6.493883252922239E-2</v>
      </c>
      <c r="V945" s="8">
        <f>+VLOOKUP($B945,NIFTY_BANK!$B$63:$K$1238,10,0)</f>
        <v>0.10878939691800382</v>
      </c>
      <c r="W945" s="8">
        <f>+VLOOKUP($B945,NIFTY_IT!$B$63:$K$1238,10,0)</f>
        <v>0.20374709879477626</v>
      </c>
      <c r="X945" s="8">
        <f>+VLOOKUP($B945,NIFTY_PHARMA!$B$63:$K$1238,10,0)</f>
        <v>0.10170335643104433</v>
      </c>
      <c r="Y945" s="8">
        <f>+VLOOKUP($B945,NIFTY_FMCG!$B$63:$K$1238,10,0)</f>
        <v>-3.7685186681099214E-2</v>
      </c>
      <c r="Z945" s="8">
        <f>+VLOOKUP($B945,NIFTY_METAL!$B$63:$K$1238,10,0)</f>
        <v>0.13062594006710637</v>
      </c>
      <c r="AA945" s="8">
        <f>+VLOOKUP($B945,NIFTY_ENERGY!$B$63:$K$1238,10,0)</f>
        <v>-5.3111824902859595E-2</v>
      </c>
      <c r="AB945" s="8">
        <f>+VLOOKUP($B945,NIFTY_AUTO!$B$63:$K$1238,10,0)</f>
        <v>0.10427338767436312</v>
      </c>
      <c r="AC945" s="8">
        <f>+VLOOKUP($B945,EBBETF0430!$B$63:$K$1238,10,0)</f>
        <v>0.22143145976546696</v>
      </c>
      <c r="AD945" s="16">
        <f t="shared" si="517"/>
        <v>7.9022490603118362E-2</v>
      </c>
      <c r="AE945" s="8">
        <f t="shared" si="518"/>
        <v>0.13633046795269488</v>
      </c>
      <c r="AF945" s="8">
        <f t="shared" si="519"/>
        <v>0.10640888502001616</v>
      </c>
      <c r="AG945" s="8">
        <f t="shared" si="520"/>
        <v>0.14167173542515693</v>
      </c>
      <c r="AH945" s="8">
        <f t="shared" si="521"/>
        <v>6.7474196023388333E-2</v>
      </c>
      <c r="AI945" s="8">
        <f t="shared" si="522"/>
        <v>0.13899368174712579</v>
      </c>
      <c r="AJ945" s="8">
        <f t="shared" si="523"/>
        <v>9.7033621702926925E-2</v>
      </c>
      <c r="AK945" s="8">
        <f t="shared" si="524"/>
        <v>0.10860779984444938</v>
      </c>
      <c r="AL945" s="9">
        <v>0</v>
      </c>
      <c r="AM945" s="17">
        <f t="shared" si="501"/>
        <v>12.654625187940335</v>
      </c>
      <c r="AN945" s="13">
        <f t="shared" si="502"/>
        <v>7.3351174907357368</v>
      </c>
      <c r="AO945" s="13">
        <f t="shared" si="503"/>
        <v>9.3977114769306525</v>
      </c>
      <c r="AP945" s="13">
        <f t="shared" si="504"/>
        <v>7.0585709774712626</v>
      </c>
      <c r="AQ945" s="13">
        <f t="shared" si="505"/>
        <v>14.820480404885057</v>
      </c>
      <c r="AR945" s="13">
        <f t="shared" si="506"/>
        <v>7.194571633977735</v>
      </c>
      <c r="AS945" s="13">
        <f t="shared" si="507"/>
        <v>10.305706233057526</v>
      </c>
      <c r="AT945" s="13">
        <f t="shared" si="508"/>
        <v>9.2074418359659553</v>
      </c>
      <c r="AU945" s="9">
        <v>0</v>
      </c>
      <c r="AV945" s="18">
        <f t="shared" si="525"/>
        <v>2</v>
      </c>
      <c r="AW945" s="18">
        <f t="shared" si="526"/>
        <v>6</v>
      </c>
      <c r="AX945" s="18">
        <f t="shared" si="527"/>
        <v>4</v>
      </c>
      <c r="AY945" s="18">
        <f t="shared" si="528"/>
        <v>8</v>
      </c>
      <c r="AZ945" s="18">
        <f t="shared" si="529"/>
        <v>1</v>
      </c>
      <c r="BA945" s="18">
        <f t="shared" si="530"/>
        <v>7</v>
      </c>
      <c r="BB945" s="18">
        <f t="shared" si="531"/>
        <v>3</v>
      </c>
      <c r="BC945" s="18">
        <f t="shared" si="532"/>
        <v>5</v>
      </c>
      <c r="BD945" s="18">
        <f t="shared" si="533"/>
        <v>9</v>
      </c>
      <c r="BE945" s="8">
        <f t="shared" si="535"/>
        <v>4.4375461379918928E-3</v>
      </c>
    </row>
    <row r="946" spans="1:57" x14ac:dyDescent="0.25">
      <c r="A946" t="str">
        <f t="shared" si="534"/>
        <v/>
      </c>
      <c r="B946" s="1">
        <v>44130</v>
      </c>
      <c r="C946" s="9">
        <f t="shared" si="509"/>
        <v>0.2562854679775079</v>
      </c>
      <c r="D946" s="9">
        <f t="shared" si="510"/>
        <v>0</v>
      </c>
      <c r="E946" s="9">
        <f t="shared" si="511"/>
        <v>0.26109338924256198</v>
      </c>
      <c r="F946" s="9">
        <f t="shared" si="512"/>
        <v>0</v>
      </c>
      <c r="G946" s="9">
        <f t="shared" si="513"/>
        <v>0.24440543403690648</v>
      </c>
      <c r="H946" s="9">
        <f t="shared" si="514"/>
        <v>0</v>
      </c>
      <c r="I946" s="9">
        <f t="shared" si="515"/>
        <v>0.23821570874302372</v>
      </c>
      <c r="J946" s="9">
        <f t="shared" si="516"/>
        <v>0</v>
      </c>
      <c r="K946" s="9">
        <v>0</v>
      </c>
      <c r="L946" s="8">
        <f>+VLOOKUP($B946,NIFTY_50!$B$3:$I$1238,8,0)</f>
        <v>-1.362910560042252E-2</v>
      </c>
      <c r="M946" s="8">
        <f>+VLOOKUP($B946,NIFTY_BANK!$B$3:$I$41238,8,0)</f>
        <v>-1.6457433727015247E-2</v>
      </c>
      <c r="N946" s="8">
        <f>+VLOOKUP($B946,NIFTY_IT!$B$3:$I$1238,8,0)</f>
        <v>-1.1982196286866365E-2</v>
      </c>
      <c r="O946" s="8">
        <f>+VLOOKUP($B946,NIFTY_PHARMA!$B$3:$I$1238,8,0)</f>
        <v>-1.4678715644981022E-2</v>
      </c>
      <c r="P946" s="8">
        <f>+VLOOKUP($B946,NIFTY_FMCG!$B$3:$I$1238,8,0)</f>
        <v>-2.5350712841898382E-4</v>
      </c>
      <c r="Q946" s="8">
        <f>+VLOOKUP($B946,NIFTY_METAL!$B$3:$I$1238,8,0)</f>
        <v>-3.4977486696684323E-2</v>
      </c>
      <c r="R946" s="8">
        <f>+VLOOKUP($B946,NIFTY_ENERGY!$B$3:$I$1238,8,0)</f>
        <v>-1.9343430615298973E-2</v>
      </c>
      <c r="S946" s="8">
        <f>+VLOOKUP($B946,NIFTY_AUTO!$B$3:$I$1238,8,0)</f>
        <v>-3.2237541076767351E-2</v>
      </c>
      <c r="T946" s="8">
        <v>0</v>
      </c>
      <c r="U946" s="8">
        <f>+VLOOKUP($B946,NIFTY_50!$B$63:$K$1238,10,0)</f>
        <v>5.995235157154255E-2</v>
      </c>
      <c r="V946" s="8">
        <f>+VLOOKUP($B946,NIFTY_BANK!$B$63:$K$1238,10,0)</f>
        <v>0.11219184315500885</v>
      </c>
      <c r="W946" s="8">
        <f>+VLOOKUP($B946,NIFTY_IT!$B$63:$K$1238,10,0)</f>
        <v>0.18119481991051778</v>
      </c>
      <c r="X946" s="8">
        <f>+VLOOKUP($B946,NIFTY_PHARMA!$B$63:$K$1238,10,0)</f>
        <v>5.2772372411423074E-2</v>
      </c>
      <c r="Y946" s="8">
        <f>+VLOOKUP($B946,NIFTY_FMCG!$B$63:$K$1238,10,0)</f>
        <v>-3.0027951160396693E-2</v>
      </c>
      <c r="Z946" s="8">
        <f>+VLOOKUP($B946,NIFTY_METAL!$B$63:$K$1238,10,0)</f>
        <v>0.10416130014284719</v>
      </c>
      <c r="AA946" s="8">
        <f>+VLOOKUP($B946,NIFTY_ENERGY!$B$63:$K$1238,10,0)</f>
        <v>-5.3471727443487271E-2</v>
      </c>
      <c r="AB946" s="8">
        <f>+VLOOKUP($B946,NIFTY_AUTO!$B$63:$K$1238,10,0)</f>
        <v>7.4891771921760109E-2</v>
      </c>
      <c r="AC946" s="8">
        <f>+VLOOKUP($B946,EBBETF0430!$B$63:$K$1238,10,0)</f>
        <v>46.377497129735936</v>
      </c>
      <c r="AD946" s="16">
        <f t="shared" si="517"/>
        <v>7.9744654686673355E-2</v>
      </c>
      <c r="AE946" s="8">
        <f t="shared" si="518"/>
        <v>0.13589203569198494</v>
      </c>
      <c r="AF946" s="8">
        <f t="shared" si="519"/>
        <v>0.10738521006452781</v>
      </c>
      <c r="AG946" s="8">
        <f t="shared" si="520"/>
        <v>0.13944258689268363</v>
      </c>
      <c r="AH946" s="8">
        <f t="shared" si="521"/>
        <v>6.7043283589046848E-2</v>
      </c>
      <c r="AI946" s="8">
        <f t="shared" si="522"/>
        <v>0.14315756205668384</v>
      </c>
      <c r="AJ946" s="8">
        <f t="shared" si="523"/>
        <v>9.7104060088739591E-2</v>
      </c>
      <c r="AK946" s="8">
        <f t="shared" si="524"/>
        <v>0.11349544618780473</v>
      </c>
      <c r="AL946" s="9">
        <v>0</v>
      </c>
      <c r="AM946" s="17">
        <f t="shared" si="501"/>
        <v>12.540025459124804</v>
      </c>
      <c r="AN946" s="13">
        <f t="shared" si="502"/>
        <v>7.358782984652728</v>
      </c>
      <c r="AO946" s="13">
        <f t="shared" si="503"/>
        <v>9.3122693469528972</v>
      </c>
      <c r="AP946" s="13">
        <f t="shared" si="504"/>
        <v>7.1714102720255024</v>
      </c>
      <c r="AQ946" s="13">
        <f t="shared" si="505"/>
        <v>14.915737214329615</v>
      </c>
      <c r="AR946" s="13">
        <f t="shared" si="506"/>
        <v>6.9853103505915097</v>
      </c>
      <c r="AS946" s="13">
        <f t="shared" si="507"/>
        <v>10.298230569207295</v>
      </c>
      <c r="AT946" s="13">
        <f t="shared" si="508"/>
        <v>8.810926196503658</v>
      </c>
      <c r="AU946" s="9">
        <v>0</v>
      </c>
      <c r="AV946" s="18">
        <f t="shared" si="525"/>
        <v>2</v>
      </c>
      <c r="AW946" s="18">
        <f t="shared" si="526"/>
        <v>6</v>
      </c>
      <c r="AX946" s="18">
        <f t="shared" si="527"/>
        <v>4</v>
      </c>
      <c r="AY946" s="18">
        <f t="shared" si="528"/>
        <v>7</v>
      </c>
      <c r="AZ946" s="18">
        <f t="shared" si="529"/>
        <v>1</v>
      </c>
      <c r="BA946" s="18">
        <f t="shared" si="530"/>
        <v>8</v>
      </c>
      <c r="BB946" s="18">
        <f t="shared" si="531"/>
        <v>3</v>
      </c>
      <c r="BC946" s="18">
        <f t="shared" si="532"/>
        <v>5</v>
      </c>
      <c r="BD946" s="18">
        <f t="shared" si="533"/>
        <v>9</v>
      </c>
      <c r="BE946" s="8">
        <f t="shared" si="535"/>
        <v>-1.1338359407873698E-2</v>
      </c>
    </row>
    <row r="947" spans="1:57" x14ac:dyDescent="0.25">
      <c r="A947" t="str">
        <f t="shared" si="534"/>
        <v/>
      </c>
      <c r="B947" s="1">
        <v>44131</v>
      </c>
      <c r="C947" s="9">
        <f t="shared" si="509"/>
        <v>0.25761312694096411</v>
      </c>
      <c r="D947" s="9">
        <f t="shared" si="510"/>
        <v>0</v>
      </c>
      <c r="E947" s="9">
        <f t="shared" si="511"/>
        <v>0.2568009637466398</v>
      </c>
      <c r="F947" s="9">
        <f t="shared" si="512"/>
        <v>0</v>
      </c>
      <c r="G947" s="9">
        <f t="shared" si="513"/>
        <v>0.24633510558614793</v>
      </c>
      <c r="H947" s="9">
        <f t="shared" si="514"/>
        <v>0</v>
      </c>
      <c r="I947" s="9">
        <f t="shared" si="515"/>
        <v>0.23925080372624805</v>
      </c>
      <c r="J947" s="9">
        <f t="shared" si="516"/>
        <v>0</v>
      </c>
      <c r="K947" s="9">
        <v>0</v>
      </c>
      <c r="L947" s="8">
        <f>+VLOOKUP($B947,NIFTY_50!$B$3:$I$1238,8,0)</f>
        <v>1.0337575152429279E-2</v>
      </c>
      <c r="M947" s="8">
        <f>+VLOOKUP($B947,NIFTY_BANK!$B$3:$I$41238,8,0)</f>
        <v>2.8828121592742839E-2</v>
      </c>
      <c r="N947" s="8">
        <f>+VLOOKUP($B947,NIFTY_IT!$B$3:$I$1238,8,0)</f>
        <v>-1.1393934834028507E-2</v>
      </c>
      <c r="O947" s="8">
        <f>+VLOOKUP($B947,NIFTY_PHARMA!$B$3:$I$1238,8,0)</f>
        <v>1.5642921423655753E-2</v>
      </c>
      <c r="P947" s="8">
        <f>+VLOOKUP($B947,NIFTY_FMCG!$B$3:$I$1238,8,0)</f>
        <v>1.3066484408716716E-2</v>
      </c>
      <c r="Q947" s="8">
        <f>+VLOOKUP($B947,NIFTY_METAL!$B$3:$I$1238,8,0)</f>
        <v>8.695467752537489E-4</v>
      </c>
      <c r="R947" s="8">
        <f>+VLOOKUP($B947,NIFTY_ENERGY!$B$3:$I$1238,8,0)</f>
        <v>9.4980993536775138E-3</v>
      </c>
      <c r="S947" s="8">
        <f>+VLOOKUP($B947,NIFTY_AUTO!$B$3:$I$1238,8,0)</f>
        <v>1.2382478155138488E-2</v>
      </c>
      <c r="T947" s="8">
        <v>0</v>
      </c>
      <c r="U947" s="8">
        <f>+VLOOKUP($B947,NIFTY_50!$B$63:$K$1238,10,0)</f>
        <v>7.3685256175807901E-2</v>
      </c>
      <c r="V947" s="8">
        <f>+VLOOKUP($B947,NIFTY_BANK!$B$63:$K$1238,10,0)</f>
        <v>0.1446138063451794</v>
      </c>
      <c r="W947" s="8">
        <f>+VLOOKUP($B947,NIFTY_IT!$B$63:$K$1238,10,0)</f>
        <v>0.1633230687505709</v>
      </c>
      <c r="X947" s="8">
        <f>+VLOOKUP($B947,NIFTY_PHARMA!$B$63:$K$1238,10,0)</f>
        <v>3.2523387957556382E-2</v>
      </c>
      <c r="Y947" s="8">
        <f>+VLOOKUP($B947,NIFTY_FMCG!$B$63:$K$1238,10,0)</f>
        <v>-2.2957361660639219E-2</v>
      </c>
      <c r="Z947" s="8">
        <f>+VLOOKUP($B947,NIFTY_METAL!$B$63:$K$1238,10,0)</f>
        <v>9.8868346295347465E-2</v>
      </c>
      <c r="AA947" s="8">
        <f>+VLOOKUP($B947,NIFTY_ENERGY!$B$63:$K$1238,10,0)</f>
        <v>-3.6376937975001855E-2</v>
      </c>
      <c r="AB947" s="8">
        <f>+VLOOKUP($B947,NIFTY_AUTO!$B$63:$K$1238,10,0)</f>
        <v>8.9412411140492365E-2</v>
      </c>
      <c r="AC947" s="8">
        <f>+VLOOKUP($B947,EBBETF0430!$B$63:$K$1238,10,0)</f>
        <v>-0.88082483447893678</v>
      </c>
      <c r="AD947" s="16">
        <f t="shared" si="517"/>
        <v>8.019114908953888E-2</v>
      </c>
      <c r="AE947" s="8">
        <f t="shared" si="518"/>
        <v>0.13846725460467979</v>
      </c>
      <c r="AF947" s="8">
        <f t="shared" si="519"/>
        <v>0.10830108495486501</v>
      </c>
      <c r="AG947" s="8">
        <f t="shared" si="520"/>
        <v>0.13585941464133147</v>
      </c>
      <c r="AH947" s="8">
        <f t="shared" si="521"/>
        <v>6.810686744655417E-2</v>
      </c>
      <c r="AI947" s="8">
        <f t="shared" si="522"/>
        <v>0.14310620070203575</v>
      </c>
      <c r="AJ947" s="8">
        <f t="shared" si="523"/>
        <v>9.7328866245803045E-2</v>
      </c>
      <c r="AK947" s="8">
        <f t="shared" si="524"/>
        <v>0.11399775159751702</v>
      </c>
      <c r="AL947" s="9">
        <v>0</v>
      </c>
      <c r="AM947" s="17">
        <f t="shared" si="501"/>
        <v>12.4702041478846</v>
      </c>
      <c r="AN947" s="13">
        <f t="shared" si="502"/>
        <v>7.2219240776815612</v>
      </c>
      <c r="AO947" s="13">
        <f t="shared" si="503"/>
        <v>9.2335178397959243</v>
      </c>
      <c r="AP947" s="13">
        <f t="shared" si="504"/>
        <v>7.3605498937265228</v>
      </c>
      <c r="AQ947" s="13">
        <f t="shared" si="505"/>
        <v>14.682807145472294</v>
      </c>
      <c r="AR947" s="13">
        <f t="shared" si="506"/>
        <v>6.9878174047965942</v>
      </c>
      <c r="AS947" s="13">
        <f t="shared" si="507"/>
        <v>10.274444145630037</v>
      </c>
      <c r="AT947" s="13">
        <f t="shared" si="508"/>
        <v>8.7721028352438228</v>
      </c>
      <c r="AU947" s="9">
        <v>0</v>
      </c>
      <c r="AV947" s="18">
        <f t="shared" si="525"/>
        <v>2</v>
      </c>
      <c r="AW947" s="18">
        <f t="shared" si="526"/>
        <v>7</v>
      </c>
      <c r="AX947" s="18">
        <f t="shared" si="527"/>
        <v>4</v>
      </c>
      <c r="AY947" s="18">
        <f t="shared" si="528"/>
        <v>6</v>
      </c>
      <c r="AZ947" s="18">
        <f t="shared" si="529"/>
        <v>1</v>
      </c>
      <c r="BA947" s="18">
        <f t="shared" si="530"/>
        <v>8</v>
      </c>
      <c r="BB947" s="18">
        <f t="shared" si="531"/>
        <v>3</v>
      </c>
      <c r="BC947" s="18">
        <f t="shared" si="532"/>
        <v>5</v>
      </c>
      <c r="BD947" s="18">
        <f t="shared" si="533"/>
        <v>9</v>
      </c>
      <c r="BE947" s="8">
        <f t="shared" si="535"/>
        <v>5.1306054855644288E-3</v>
      </c>
    </row>
    <row r="948" spans="1:57" x14ac:dyDescent="0.25">
      <c r="A948" t="str">
        <f t="shared" si="534"/>
        <v/>
      </c>
      <c r="B948" s="1">
        <v>44132</v>
      </c>
      <c r="C948" s="9">
        <f t="shared" si="509"/>
        <v>0.25642322343237106</v>
      </c>
      <c r="D948" s="9">
        <f t="shared" si="510"/>
        <v>0</v>
      </c>
      <c r="E948" s="9">
        <f t="shared" si="511"/>
        <v>0.25647092563899887</v>
      </c>
      <c r="F948" s="9">
        <f t="shared" si="512"/>
        <v>0</v>
      </c>
      <c r="G948" s="9">
        <f t="shared" si="513"/>
        <v>0.24676131302247509</v>
      </c>
      <c r="H948" s="9">
        <f t="shared" si="514"/>
        <v>0</v>
      </c>
      <c r="I948" s="9">
        <f t="shared" si="515"/>
        <v>0.24034453790615501</v>
      </c>
      <c r="J948" s="9">
        <f t="shared" si="516"/>
        <v>0</v>
      </c>
      <c r="K948" s="9">
        <v>0</v>
      </c>
      <c r="L948" s="8">
        <f>+VLOOKUP($B948,NIFTY_50!$B$3:$I$1238,8,0)</f>
        <v>-1.3440543677561423E-2</v>
      </c>
      <c r="M948" s="8">
        <f>+VLOOKUP($B948,NIFTY_BANK!$B$3:$I$41238,8,0)</f>
        <v>-2.1679888572639694E-2</v>
      </c>
      <c r="N948" s="8">
        <f>+VLOOKUP($B948,NIFTY_IT!$B$3:$I$1238,8,0)</f>
        <v>-1.0136324286271536E-2</v>
      </c>
      <c r="O948" s="8">
        <f>+VLOOKUP($B948,NIFTY_PHARMA!$B$3:$I$1238,8,0)</f>
        <v>-1.6192503149024873E-2</v>
      </c>
      <c r="P948" s="8">
        <f>+VLOOKUP($B948,NIFTY_FMCG!$B$3:$I$1238,8,0)</f>
        <v>-7.1476642454341155E-3</v>
      </c>
      <c r="Q948" s="8">
        <f>+VLOOKUP($B948,NIFTY_METAL!$B$3:$I$1238,8,0)</f>
        <v>-1.4493982030852615E-2</v>
      </c>
      <c r="R948" s="8">
        <f>+VLOOKUP($B948,NIFTY_ENERGY!$B$3:$I$1238,8,0)</f>
        <v>-4.3315426460369677E-3</v>
      </c>
      <c r="S948" s="8">
        <f>+VLOOKUP($B948,NIFTY_AUTO!$B$3:$I$1238,8,0)</f>
        <v>-9.9613524742603321E-4</v>
      </c>
      <c r="T948" s="8">
        <v>0</v>
      </c>
      <c r="U948" s="8">
        <f>+VLOOKUP($B948,NIFTY_50!$B$63:$K$1238,10,0)</f>
        <v>7.6940027176906955E-2</v>
      </c>
      <c r="V948" s="8">
        <f>+VLOOKUP($B948,NIFTY_BANK!$B$63:$K$1238,10,0)</f>
        <v>0.14998030571229259</v>
      </c>
      <c r="W948" s="8">
        <f>+VLOOKUP($B948,NIFTY_IT!$B$63:$K$1238,10,0)</f>
        <v>0.15832860212180933</v>
      </c>
      <c r="X948" s="8">
        <f>+VLOOKUP($B948,NIFTY_PHARMA!$B$63:$K$1238,10,0)</f>
        <v>1.7675496926782053E-2</v>
      </c>
      <c r="Y948" s="8">
        <f>+VLOOKUP($B948,NIFTY_FMCG!$B$63:$K$1238,10,0)</f>
        <v>-2.6388338025604918E-2</v>
      </c>
      <c r="Z948" s="8">
        <f>+VLOOKUP($B948,NIFTY_METAL!$B$63:$K$1238,10,0)</f>
        <v>7.8496394035665329E-2</v>
      </c>
      <c r="AA948" s="8">
        <f>+VLOOKUP($B948,NIFTY_ENERGY!$B$63:$K$1238,10,0)</f>
        <v>-2.4389676896559687E-2</v>
      </c>
      <c r="AB948" s="8">
        <f>+VLOOKUP($B948,NIFTY_AUTO!$B$63:$K$1238,10,0)</f>
        <v>9.426470080453031E-2</v>
      </c>
      <c r="AC948" s="8">
        <f>+VLOOKUP($B948,EBBETF0430!$B$63:$K$1238,10,0)</f>
        <v>-0.96782175774347567</v>
      </c>
      <c r="AD948" s="16">
        <f t="shared" si="517"/>
        <v>7.9587468856282706E-2</v>
      </c>
      <c r="AE948" s="8">
        <f t="shared" si="518"/>
        <v>0.13759493430052036</v>
      </c>
      <c r="AF948" s="8">
        <f t="shared" si="519"/>
        <v>0.10871590467374295</v>
      </c>
      <c r="AG948" s="8">
        <f t="shared" si="520"/>
        <v>0.1368671464304542</v>
      </c>
      <c r="AH948" s="8">
        <f t="shared" si="521"/>
        <v>6.8364631231031897E-2</v>
      </c>
      <c r="AI948" s="8">
        <f t="shared" si="522"/>
        <v>0.14398147678981593</v>
      </c>
      <c r="AJ948" s="8">
        <f t="shared" si="523"/>
        <v>9.606128977079087E-2</v>
      </c>
      <c r="AK948" s="8">
        <f t="shared" si="524"/>
        <v>0.11381265663394924</v>
      </c>
      <c r="AL948" s="9">
        <v>0</v>
      </c>
      <c r="AM948" s="17">
        <f t="shared" si="501"/>
        <v>12.564792100698389</v>
      </c>
      <c r="AN948" s="13">
        <f t="shared" si="502"/>
        <v>7.2677094188359099</v>
      </c>
      <c r="AO948" s="13">
        <f t="shared" si="503"/>
        <v>9.1982861477444882</v>
      </c>
      <c r="AP948" s="13">
        <f t="shared" si="504"/>
        <v>7.3063552947538533</v>
      </c>
      <c r="AQ948" s="13">
        <f t="shared" si="505"/>
        <v>14.627446707356517</v>
      </c>
      <c r="AR948" s="13">
        <f t="shared" si="506"/>
        <v>6.9453378468940095</v>
      </c>
      <c r="AS948" s="13">
        <f t="shared" si="507"/>
        <v>10.410020544030502</v>
      </c>
      <c r="AT948" s="13">
        <f t="shared" si="508"/>
        <v>8.7863690170791564</v>
      </c>
      <c r="AU948" s="9">
        <v>0</v>
      </c>
      <c r="AV948" s="18">
        <f t="shared" si="525"/>
        <v>2</v>
      </c>
      <c r="AW948" s="18">
        <f t="shared" si="526"/>
        <v>7</v>
      </c>
      <c r="AX948" s="18">
        <f t="shared" si="527"/>
        <v>4</v>
      </c>
      <c r="AY948" s="18">
        <f t="shared" si="528"/>
        <v>6</v>
      </c>
      <c r="AZ948" s="18">
        <f t="shared" si="529"/>
        <v>1</v>
      </c>
      <c r="BA948" s="18">
        <f t="shared" si="530"/>
        <v>8</v>
      </c>
      <c r="BB948" s="18">
        <f t="shared" si="531"/>
        <v>3</v>
      </c>
      <c r="BC948" s="18">
        <f t="shared" si="532"/>
        <v>5</v>
      </c>
      <c r="BD948" s="18">
        <f t="shared" si="533"/>
        <v>9</v>
      </c>
      <c r="BE948" s="8">
        <f t="shared" si="535"/>
        <v>-8.862524016158415E-3</v>
      </c>
    </row>
    <row r="949" spans="1:57" x14ac:dyDescent="0.25">
      <c r="A949" t="str">
        <f t="shared" si="534"/>
        <v/>
      </c>
      <c r="B949" s="1">
        <v>44133</v>
      </c>
      <c r="C949" s="9">
        <f t="shared" si="509"/>
        <v>0.25571477231572243</v>
      </c>
      <c r="D949" s="9">
        <f t="shared" si="510"/>
        <v>0</v>
      </c>
      <c r="E949" s="9">
        <f t="shared" si="511"/>
        <v>0.25787419594437155</v>
      </c>
      <c r="F949" s="9">
        <f t="shared" si="512"/>
        <v>0</v>
      </c>
      <c r="G949" s="9">
        <f t="shared" si="513"/>
        <v>0.24496864249653974</v>
      </c>
      <c r="H949" s="9">
        <f t="shared" si="514"/>
        <v>0</v>
      </c>
      <c r="I949" s="9">
        <f t="shared" si="515"/>
        <v>0.24144238924336622</v>
      </c>
      <c r="J949" s="9">
        <f t="shared" si="516"/>
        <v>0</v>
      </c>
      <c r="K949" s="9">
        <v>0</v>
      </c>
      <c r="L949" s="8">
        <f>+VLOOKUP($B949,NIFTY_50!$B$3:$I$1238,8,0)</f>
        <v>-5.0129586686673555E-3</v>
      </c>
      <c r="M949" s="8">
        <f>+VLOOKUP($B949,NIFTY_BANK!$B$3:$I$41238,8,0)</f>
        <v>-5.7979985556587676E-3</v>
      </c>
      <c r="N949" s="8">
        <f>+VLOOKUP($B949,NIFTY_IT!$B$3:$I$1238,8,0)</f>
        <v>3.2027409503947446E-3</v>
      </c>
      <c r="O949" s="8">
        <f>+VLOOKUP($B949,NIFTY_PHARMA!$B$3:$I$1238,8,0)</f>
        <v>-8.7504746094957397E-3</v>
      </c>
      <c r="P949" s="8">
        <f>+VLOOKUP($B949,NIFTY_FMCG!$B$3:$I$1238,8,0)</f>
        <v>-9.5047765968457876E-3</v>
      </c>
      <c r="Q949" s="8">
        <f>+VLOOKUP($B949,NIFTY_METAL!$B$3:$I$1238,8,0)</f>
        <v>-7.6115937043090831E-3</v>
      </c>
      <c r="R949" s="8">
        <f>+VLOOKUP($B949,NIFTY_ENERGY!$B$3:$I$1238,8,0)</f>
        <v>2.3011434231889893E-3</v>
      </c>
      <c r="S949" s="8">
        <f>+VLOOKUP($B949,NIFTY_AUTO!$B$3:$I$1238,8,0)</f>
        <v>-9.5926288220630207E-3</v>
      </c>
      <c r="T949" s="8">
        <v>0</v>
      </c>
      <c r="U949" s="8">
        <f>+VLOOKUP($B949,NIFTY_50!$B$63:$K$1238,10,0)</f>
        <v>5.1873549491899595E-2</v>
      </c>
      <c r="V949" s="8">
        <f>+VLOOKUP($B949,NIFTY_BANK!$B$63:$K$1238,10,0)</f>
        <v>0.12105348875084343</v>
      </c>
      <c r="W949" s="8">
        <f>+VLOOKUP($B949,NIFTY_IT!$B$63:$K$1238,10,0)</f>
        <v>0.17233546720575021</v>
      </c>
      <c r="X949" s="8">
        <f>+VLOOKUP($B949,NIFTY_PHARMA!$B$63:$K$1238,10,0)</f>
        <v>-8.0366176399119249E-3</v>
      </c>
      <c r="Y949" s="8">
        <f>+VLOOKUP($B949,NIFTY_FMCG!$B$63:$K$1238,10,0)</f>
        <v>-4.0069057801120689E-2</v>
      </c>
      <c r="Z949" s="8">
        <f>+VLOOKUP($B949,NIFTY_METAL!$B$63:$K$1238,10,0)</f>
        <v>5.9866351298596854E-2</v>
      </c>
      <c r="AA949" s="8">
        <f>+VLOOKUP($B949,NIFTY_ENERGY!$B$63:$K$1238,10,0)</f>
        <v>-4.4521892634742044E-2</v>
      </c>
      <c r="AB949" s="8">
        <f>+VLOOKUP($B949,NIFTY_AUTO!$B$63:$K$1238,10,0)</f>
        <v>6.7011606007655766E-2</v>
      </c>
      <c r="AC949" s="8">
        <f>+VLOOKUP($B949,EBBETF0430!$B$63:$K$1238,10,0)</f>
        <v>-0.26184145741014275</v>
      </c>
      <c r="AD949" s="16">
        <f t="shared" si="517"/>
        <v>7.7849858661491383E-2</v>
      </c>
      <c r="AE949" s="8">
        <f t="shared" si="518"/>
        <v>0.13669884805912008</v>
      </c>
      <c r="AF949" s="8">
        <f t="shared" si="519"/>
        <v>0.10811920095182526</v>
      </c>
      <c r="AG949" s="8">
        <f t="shared" si="520"/>
        <v>0.13613935148841919</v>
      </c>
      <c r="AH949" s="8">
        <f t="shared" si="521"/>
        <v>6.87622103994638E-2</v>
      </c>
      <c r="AI949" s="8">
        <f t="shared" si="522"/>
        <v>0.1440005037607795</v>
      </c>
      <c r="AJ949" s="8">
        <f t="shared" si="523"/>
        <v>9.3077152638263327E-2</v>
      </c>
      <c r="AK949" s="8">
        <f t="shared" si="524"/>
        <v>0.11343899552010685</v>
      </c>
      <c r="AL949" s="9">
        <v>0</v>
      </c>
      <c r="AM949" s="17">
        <f t="shared" si="501"/>
        <v>12.845238478186889</v>
      </c>
      <c r="AN949" s="13">
        <f t="shared" si="502"/>
        <v>7.3153505987666838</v>
      </c>
      <c r="AO949" s="13">
        <f t="shared" si="503"/>
        <v>9.2490509659387019</v>
      </c>
      <c r="AP949" s="13">
        <f t="shared" si="504"/>
        <v>7.3454147464854485</v>
      </c>
      <c r="AQ949" s="13">
        <f t="shared" si="505"/>
        <v>14.542871646950399</v>
      </c>
      <c r="AR949" s="13">
        <f t="shared" si="506"/>
        <v>6.9444201505103598</v>
      </c>
      <c r="AS949" s="13">
        <f t="shared" si="507"/>
        <v>10.743775154859081</v>
      </c>
      <c r="AT949" s="13">
        <f t="shared" si="508"/>
        <v>8.8153107792879908</v>
      </c>
      <c r="AU949" s="9">
        <v>0</v>
      </c>
      <c r="AV949" s="18">
        <f t="shared" si="525"/>
        <v>2</v>
      </c>
      <c r="AW949" s="18">
        <f t="shared" si="526"/>
        <v>7</v>
      </c>
      <c r="AX949" s="18">
        <f t="shared" si="527"/>
        <v>4</v>
      </c>
      <c r="AY949" s="18">
        <f t="shared" si="528"/>
        <v>6</v>
      </c>
      <c r="AZ949" s="18">
        <f t="shared" si="529"/>
        <v>1</v>
      </c>
      <c r="BA949" s="18">
        <f t="shared" si="530"/>
        <v>8</v>
      </c>
      <c r="BB949" s="18">
        <f t="shared" si="531"/>
        <v>3</v>
      </c>
      <c r="BC949" s="18">
        <f t="shared" si="532"/>
        <v>5</v>
      </c>
      <c r="BD949" s="18">
        <f t="shared" si="533"/>
        <v>9</v>
      </c>
      <c r="BE949" s="8">
        <f t="shared" si="535"/>
        <v>-2.2563729849440772E-3</v>
      </c>
    </row>
    <row r="950" spans="1:57" x14ac:dyDescent="0.25">
      <c r="A950" t="str">
        <f t="shared" si="534"/>
        <v>Y</v>
      </c>
      <c r="B950" s="1">
        <v>44134</v>
      </c>
      <c r="C950" s="9">
        <f t="shared" si="509"/>
        <v>0.25</v>
      </c>
      <c r="D950" s="9">
        <f t="shared" si="510"/>
        <v>0</v>
      </c>
      <c r="E950" s="9">
        <f t="shared" si="511"/>
        <v>0.25</v>
      </c>
      <c r="F950" s="9">
        <f t="shared" si="512"/>
        <v>0</v>
      </c>
      <c r="G950" s="9">
        <f t="shared" si="513"/>
        <v>0.25</v>
      </c>
      <c r="H950" s="9">
        <f t="shared" si="514"/>
        <v>0</v>
      </c>
      <c r="I950" s="9">
        <f t="shared" si="515"/>
        <v>0.25</v>
      </c>
      <c r="J950" s="9">
        <f t="shared" si="516"/>
        <v>0</v>
      </c>
      <c r="K950" s="9">
        <v>0</v>
      </c>
      <c r="L950" s="8">
        <f>+VLOOKUP($B950,NIFTY_50!$B$3:$I$1238,8,0)</f>
        <v>-2.4334235870719922E-3</v>
      </c>
      <c r="M950" s="8">
        <f>+VLOOKUP($B950,NIFTY_BANK!$B$3:$I$41238,8,0)</f>
        <v>-7.9320936410426368E-3</v>
      </c>
      <c r="N950" s="8">
        <f>+VLOOKUP($B950,NIFTY_IT!$B$3:$I$1238,8,0)</f>
        <v>1.9111987143713982E-3</v>
      </c>
      <c r="O950" s="8">
        <f>+VLOOKUP($B950,NIFTY_PHARMA!$B$3:$I$1238,8,0)</f>
        <v>1.5811508996972368E-3</v>
      </c>
      <c r="P950" s="8">
        <f>+VLOOKUP($B950,NIFTY_FMCG!$B$3:$I$1238,8,0)</f>
        <v>-7.9222072955101863E-3</v>
      </c>
      <c r="Q950" s="8">
        <f>+VLOOKUP($B950,NIFTY_METAL!$B$3:$I$1238,8,0)</f>
        <v>1.5556614811284009E-2</v>
      </c>
      <c r="R950" s="8">
        <f>+VLOOKUP($B950,NIFTY_ENERGY!$B$3:$I$1238,8,0)</f>
        <v>1.736499084712495E-2</v>
      </c>
      <c r="S950" s="8">
        <f>+VLOOKUP($B950,NIFTY_AUTO!$B$3:$I$1238,8,0)</f>
        <v>-1.1259438621085249E-2</v>
      </c>
      <c r="T950" s="8">
        <v>0</v>
      </c>
      <c r="U950" s="8">
        <f>+VLOOKUP($B950,NIFTY_50!$B$63:$K$1238,10,0)</f>
        <v>4.8708975692802525E-2</v>
      </c>
      <c r="V950" s="8">
        <f>+VLOOKUP($B950,NIFTY_BANK!$B$63:$K$1238,10,0)</f>
        <v>0.1111555349965947</v>
      </c>
      <c r="W950" s="8">
        <f>+VLOOKUP($B950,NIFTY_IT!$B$63:$K$1238,10,0)</f>
        <v>0.17051393971952677</v>
      </c>
      <c r="X950" s="8">
        <f>+VLOOKUP($B950,NIFTY_PHARMA!$B$63:$K$1238,10,0)</f>
        <v>-1.7756075907224833E-3</v>
      </c>
      <c r="Y950" s="8">
        <f>+VLOOKUP($B950,NIFTY_FMCG!$B$63:$K$1238,10,0)</f>
        <v>-4.6499760235358067E-2</v>
      </c>
      <c r="Z950" s="8">
        <f>+VLOOKUP($B950,NIFTY_METAL!$B$63:$K$1238,10,0)</f>
        <v>3.5250463821892231E-2</v>
      </c>
      <c r="AA950" s="8">
        <f>+VLOOKUP($B950,NIFTY_ENERGY!$B$63:$K$1238,10,0)</f>
        <v>-2.2866201731437941E-2</v>
      </c>
      <c r="AB950" s="8">
        <f>+VLOOKUP($B950,NIFTY_AUTO!$B$63:$K$1238,10,0)</f>
        <v>3.5958926973868488E-2</v>
      </c>
      <c r="AC950" s="8">
        <f>+VLOOKUP($B950,EBBETF0430!$B$63:$K$1238,10,0)</f>
        <v>-0.59981276502010017</v>
      </c>
      <c r="AD950" s="16">
        <f t="shared" si="517"/>
        <v>7.791877117385429E-2</v>
      </c>
      <c r="AE950" s="8">
        <f t="shared" si="518"/>
        <v>0.13705194956266356</v>
      </c>
      <c r="AF950" s="8">
        <f t="shared" si="519"/>
        <v>0.10811922597638736</v>
      </c>
      <c r="AG950" s="8">
        <f t="shared" si="520"/>
        <v>0.13606409127304997</v>
      </c>
      <c r="AH950" s="8">
        <f t="shared" si="521"/>
        <v>6.9139752417371247E-2</v>
      </c>
      <c r="AI950" s="8">
        <f t="shared" si="522"/>
        <v>0.13945061493668393</v>
      </c>
      <c r="AJ950" s="8">
        <f t="shared" si="523"/>
        <v>9.4658158065055287E-2</v>
      </c>
      <c r="AK950" s="8">
        <f t="shared" si="524"/>
        <v>0.11274918598135604</v>
      </c>
      <c r="AL950" s="9">
        <v>0</v>
      </c>
      <c r="AM950" s="17">
        <f t="shared" si="501"/>
        <v>12.833877959507026</v>
      </c>
      <c r="AN950" s="13">
        <f t="shared" si="502"/>
        <v>7.296503283543406</v>
      </c>
      <c r="AO950" s="13">
        <f t="shared" si="503"/>
        <v>9.2490488252144392</v>
      </c>
      <c r="AP950" s="13">
        <f t="shared" si="504"/>
        <v>7.3494776663243595</v>
      </c>
      <c r="AQ950" s="13">
        <f t="shared" si="505"/>
        <v>14.463459370860456</v>
      </c>
      <c r="AR950" s="13">
        <f t="shared" si="506"/>
        <v>7.1709974205136309</v>
      </c>
      <c r="AS950" s="13">
        <f t="shared" si="507"/>
        <v>10.564329799368529</v>
      </c>
      <c r="AT950" s="13">
        <f t="shared" si="508"/>
        <v>8.8692436339660823</v>
      </c>
      <c r="AU950" s="9">
        <v>0</v>
      </c>
      <c r="AV950" s="18">
        <f t="shared" si="525"/>
        <v>2</v>
      </c>
      <c r="AW950" s="18">
        <f t="shared" si="526"/>
        <v>7</v>
      </c>
      <c r="AX950" s="18">
        <f t="shared" si="527"/>
        <v>4</v>
      </c>
      <c r="AY950" s="18">
        <f t="shared" si="528"/>
        <v>6</v>
      </c>
      <c r="AZ950" s="18">
        <f t="shared" si="529"/>
        <v>1</v>
      </c>
      <c r="BA950" s="18">
        <f t="shared" si="530"/>
        <v>8</v>
      </c>
      <c r="BB950" s="18">
        <f t="shared" si="531"/>
        <v>3</v>
      </c>
      <c r="BC950" s="18">
        <f t="shared" si="532"/>
        <v>5</v>
      </c>
      <c r="BD950" s="18">
        <f t="shared" si="533"/>
        <v>9</v>
      </c>
      <c r="BE950" s="8">
        <f t="shared" si="535"/>
        <v>2.1225389858043381E-3</v>
      </c>
    </row>
    <row r="951" spans="1:57" x14ac:dyDescent="0.25">
      <c r="A951" t="str">
        <f t="shared" si="534"/>
        <v/>
      </c>
      <c r="B951" s="1">
        <v>44137</v>
      </c>
      <c r="C951" s="9">
        <f t="shared" si="509"/>
        <v>0.25252518971866156</v>
      </c>
      <c r="D951" s="9">
        <f t="shared" si="510"/>
        <v>0</v>
      </c>
      <c r="E951" s="9">
        <f t="shared" si="511"/>
        <v>0.24972337885254151</v>
      </c>
      <c r="F951" s="9">
        <f t="shared" si="512"/>
        <v>0</v>
      </c>
      <c r="G951" s="9">
        <f t="shared" si="513"/>
        <v>0.25205760588221926</v>
      </c>
      <c r="H951" s="9">
        <f t="shared" si="514"/>
        <v>0</v>
      </c>
      <c r="I951" s="9">
        <f t="shared" si="515"/>
        <v>0.24569382554657759</v>
      </c>
      <c r="J951" s="9">
        <f t="shared" si="516"/>
        <v>0</v>
      </c>
      <c r="K951" s="9">
        <v>0</v>
      </c>
      <c r="L951" s="8">
        <f>+VLOOKUP($B951,NIFTY_50!$B$3:$I$1238,8,0)</f>
        <v>2.297636226207711E-3</v>
      </c>
      <c r="M951" s="8">
        <f>+VLOOKUP($B951,NIFTY_BANK!$B$3:$I$41238,8,0)</f>
        <v>4.1487977440179957E-2</v>
      </c>
      <c r="N951" s="8">
        <f>+VLOOKUP($B951,NIFTY_IT!$B$3:$I$1238,8,0)</f>
        <v>-8.8230302363883073E-3</v>
      </c>
      <c r="O951" s="8">
        <f>+VLOOKUP($B951,NIFTY_PHARMA!$B$3:$I$1238,8,0)</f>
        <v>-6.0878265703169232E-3</v>
      </c>
      <c r="P951" s="8">
        <f>+VLOOKUP($B951,NIFTY_FMCG!$B$3:$I$1238,8,0)</f>
        <v>4.4174939556795856E-4</v>
      </c>
      <c r="Q951" s="8">
        <f>+VLOOKUP($B951,NIFTY_METAL!$B$3:$I$1238,8,0)</f>
        <v>-2.0054616828809602E-3</v>
      </c>
      <c r="R951" s="8">
        <f>+VLOOKUP($B951,NIFTY_ENERGY!$B$3:$I$1238,8,0)</f>
        <v>-2.4816728758562556E-2</v>
      </c>
      <c r="S951" s="8">
        <f>+VLOOKUP($B951,NIFTY_AUTO!$B$3:$I$1238,8,0)</f>
        <v>-3.3705403175912085E-3</v>
      </c>
      <c r="T951" s="8">
        <v>0</v>
      </c>
      <c r="U951" s="8">
        <f>+VLOOKUP($B951,NIFTY_50!$B$63:$K$1238,10,0)</f>
        <v>4.187443918161815E-2</v>
      </c>
      <c r="V951" s="8">
        <f>+VLOOKUP($B951,NIFTY_BANK!$B$63:$K$1238,10,0)</f>
        <v>0.15016218014471461</v>
      </c>
      <c r="W951" s="8">
        <f>+VLOOKUP($B951,NIFTY_IT!$B$63:$K$1238,10,0)</f>
        <v>0.13984193526218136</v>
      </c>
      <c r="X951" s="8">
        <f>+VLOOKUP($B951,NIFTY_PHARMA!$B$63:$K$1238,10,0)</f>
        <v>-2.0024290468402706E-2</v>
      </c>
      <c r="Y951" s="8">
        <f>+VLOOKUP($B951,NIFTY_FMCG!$B$63:$K$1238,10,0)</f>
        <v>-5.9005804216366808E-2</v>
      </c>
      <c r="Z951" s="8">
        <f>+VLOOKUP($B951,NIFTY_METAL!$B$63:$K$1238,10,0)</f>
        <v>1.9239568580455391E-2</v>
      </c>
      <c r="AA951" s="8">
        <f>+VLOOKUP($B951,NIFTY_ENERGY!$B$63:$K$1238,10,0)</f>
        <v>-5.2053620973316006E-2</v>
      </c>
      <c r="AB951" s="8">
        <f>+VLOOKUP($B951,NIFTY_AUTO!$B$63:$K$1238,10,0)</f>
        <v>3.1207281699063172E-2</v>
      </c>
      <c r="AC951" s="8">
        <f>+VLOOKUP($B951,EBBETF0430!$B$63:$K$1238,10,0)</f>
        <v>-0.17236750522024458</v>
      </c>
      <c r="AD951" s="16">
        <f t="shared" si="517"/>
        <v>7.7511918653138986E-2</v>
      </c>
      <c r="AE951" s="8">
        <f t="shared" si="518"/>
        <v>0.14252361050882115</v>
      </c>
      <c r="AF951" s="8">
        <f t="shared" si="519"/>
        <v>0.107611921241583</v>
      </c>
      <c r="AG951" s="8">
        <f t="shared" si="520"/>
        <v>0.13562867747634358</v>
      </c>
      <c r="AH951" s="8">
        <f t="shared" si="521"/>
        <v>6.7595633615709472E-2</v>
      </c>
      <c r="AI951" s="8">
        <f t="shared" si="522"/>
        <v>0.13886106610311452</v>
      </c>
      <c r="AJ951" s="8">
        <f t="shared" si="523"/>
        <v>9.7548737518833264E-2</v>
      </c>
      <c r="AK951" s="8">
        <f t="shared" si="524"/>
        <v>0.1128192515163151</v>
      </c>
      <c r="AL951" s="9">
        <v>0</v>
      </c>
      <c r="AM951" s="17">
        <f t="shared" si="501"/>
        <v>12.901241736447497</v>
      </c>
      <c r="AN951" s="13">
        <f t="shared" si="502"/>
        <v>7.0163813309943297</v>
      </c>
      <c r="AO951" s="13">
        <f t="shared" si="503"/>
        <v>9.2926507441034669</v>
      </c>
      <c r="AP951" s="13">
        <f t="shared" si="504"/>
        <v>7.3730719683115726</v>
      </c>
      <c r="AQ951" s="13">
        <f t="shared" si="505"/>
        <v>14.793854965324215</v>
      </c>
      <c r="AR951" s="13">
        <f t="shared" si="506"/>
        <v>7.2014426222064767</v>
      </c>
      <c r="AS951" s="13">
        <f t="shared" si="507"/>
        <v>10.25128592573466</v>
      </c>
      <c r="AT951" s="13">
        <f t="shared" si="508"/>
        <v>8.8637354579097458</v>
      </c>
      <c r="AU951" s="9">
        <v>0</v>
      </c>
      <c r="AV951" s="18">
        <f t="shared" si="525"/>
        <v>2</v>
      </c>
      <c r="AW951" s="18">
        <f t="shared" si="526"/>
        <v>8</v>
      </c>
      <c r="AX951" s="18">
        <f t="shared" si="527"/>
        <v>4</v>
      </c>
      <c r="AY951" s="18">
        <f t="shared" si="528"/>
        <v>6</v>
      </c>
      <c r="AZ951" s="18">
        <f t="shared" si="529"/>
        <v>1</v>
      </c>
      <c r="BA951" s="18">
        <f t="shared" si="530"/>
        <v>7</v>
      </c>
      <c r="BB951" s="18">
        <f t="shared" si="531"/>
        <v>3</v>
      </c>
      <c r="BC951" s="18">
        <f t="shared" si="532"/>
        <v>5</v>
      </c>
      <c r="BD951" s="18">
        <f t="shared" si="533"/>
        <v>9</v>
      </c>
      <c r="BE951" s="8">
        <f t="shared" si="535"/>
        <v>-7.7250933432937985E-3</v>
      </c>
    </row>
    <row r="952" spans="1:57" x14ac:dyDescent="0.25">
      <c r="A952" t="str">
        <f t="shared" si="534"/>
        <v/>
      </c>
      <c r="B952" s="1">
        <v>44138</v>
      </c>
      <c r="C952" s="9">
        <f t="shared" si="509"/>
        <v>0.25498880645766059</v>
      </c>
      <c r="D952" s="9">
        <f t="shared" si="510"/>
        <v>0</v>
      </c>
      <c r="E952" s="9">
        <f t="shared" si="511"/>
        <v>0.24912295634566728</v>
      </c>
      <c r="F952" s="9">
        <f t="shared" si="512"/>
        <v>0</v>
      </c>
      <c r="G952" s="9">
        <f t="shared" si="513"/>
        <v>0.25213168252563584</v>
      </c>
      <c r="H952" s="9">
        <f t="shared" si="514"/>
        <v>0</v>
      </c>
      <c r="I952" s="9">
        <f t="shared" si="515"/>
        <v>0.24375655467103646</v>
      </c>
      <c r="J952" s="9">
        <f t="shared" si="516"/>
        <v>0</v>
      </c>
      <c r="K952" s="9">
        <v>0</v>
      </c>
      <c r="L952" s="8">
        <f>+VLOOKUP($B952,NIFTY_50!$B$3:$I$1238,8,0)</f>
        <v>1.237022405230892E-2</v>
      </c>
      <c r="M952" s="8">
        <f>+VLOOKUP($B952,NIFTY_BANK!$B$3:$I$41238,8,0)</f>
        <v>3.1748518630109412E-2</v>
      </c>
      <c r="N952" s="8">
        <f>+VLOOKUP($B952,NIFTY_IT!$B$3:$I$1238,8,0)</f>
        <v>1.7846548622202363E-4</v>
      </c>
      <c r="O952" s="8">
        <f>+VLOOKUP($B952,NIFTY_PHARMA!$B$3:$I$1238,8,0)</f>
        <v>1.66170035703741E-2</v>
      </c>
      <c r="P952" s="8">
        <f>+VLOOKUP($B952,NIFTY_FMCG!$B$3:$I$1238,8,0)</f>
        <v>2.8836894921955292E-3</v>
      </c>
      <c r="Q952" s="8">
        <f>+VLOOKUP($B952,NIFTY_METAL!$B$3:$I$1238,8,0)</f>
        <v>2.2360938902902916E-2</v>
      </c>
      <c r="R952" s="8">
        <f>+VLOOKUP($B952,NIFTY_ENERGY!$B$3:$I$1238,8,0)</f>
        <v>-5.3162719685611037E-3</v>
      </c>
      <c r="S952" s="8">
        <f>+VLOOKUP($B952,NIFTY_AUTO!$B$3:$I$1238,8,0)</f>
        <v>1.5079698664683727E-2</v>
      </c>
      <c r="T952" s="8">
        <v>0</v>
      </c>
      <c r="U952" s="8">
        <f>+VLOOKUP($B952,NIFTY_50!$B$63:$K$1238,10,0)</f>
        <v>5.3455263709364598E-2</v>
      </c>
      <c r="V952" s="8">
        <f>+VLOOKUP($B952,NIFTY_BANK!$B$63:$K$1238,10,0)</f>
        <v>0.18060126873218718</v>
      </c>
      <c r="W952" s="8">
        <f>+VLOOKUP($B952,NIFTY_IT!$B$63:$K$1238,10,0)</f>
        <v>0.15173446122144041</v>
      </c>
      <c r="X952" s="8">
        <f>+VLOOKUP($B952,NIFTY_PHARMA!$B$63:$K$1238,10,0)</f>
        <v>2.4706609017912662E-3</v>
      </c>
      <c r="Y952" s="8">
        <f>+VLOOKUP($B952,NIFTY_FMCG!$B$63:$K$1238,10,0)</f>
        <v>-6.2375756574977959E-2</v>
      </c>
      <c r="Z952" s="8">
        <f>+VLOOKUP($B952,NIFTY_METAL!$B$63:$K$1238,10,0)</f>
        <v>3.3205867738241857E-2</v>
      </c>
      <c r="AA952" s="8">
        <f>+VLOOKUP($B952,NIFTY_ENERGY!$B$63:$K$1238,10,0)</f>
        <v>-6.2562709502163139E-2</v>
      </c>
      <c r="AB952" s="8">
        <f>+VLOOKUP($B952,NIFTY_AUTO!$B$63:$K$1238,10,0)</f>
        <v>3.8970408170019066E-2</v>
      </c>
      <c r="AC952" s="8">
        <f>+VLOOKUP($B952,EBBETF0430!$B$63:$K$1238,10,0)</f>
        <v>4.1038067693269786E-2</v>
      </c>
      <c r="AD952" s="16">
        <f t="shared" si="517"/>
        <v>7.8367556546594913E-2</v>
      </c>
      <c r="AE952" s="8">
        <f t="shared" si="518"/>
        <v>0.14543679447893945</v>
      </c>
      <c r="AF952" s="8">
        <f t="shared" si="519"/>
        <v>0.10690783412140098</v>
      </c>
      <c r="AG952" s="8">
        <f t="shared" si="520"/>
        <v>0.13650135453097664</v>
      </c>
      <c r="AH952" s="8">
        <f t="shared" si="521"/>
        <v>6.7292368019622101E-2</v>
      </c>
      <c r="AI952" s="8">
        <f t="shared" si="522"/>
        <v>0.14033278091658816</v>
      </c>
      <c r="AJ952" s="8">
        <f t="shared" si="523"/>
        <v>9.741735392867204E-2</v>
      </c>
      <c r="AK952" s="8">
        <f t="shared" si="524"/>
        <v>0.11353073334844571</v>
      </c>
      <c r="AL952" s="9">
        <v>0</v>
      </c>
      <c r="AM952" s="17">
        <f t="shared" si="501"/>
        <v>12.760382536686992</v>
      </c>
      <c r="AN952" s="13">
        <f t="shared" si="502"/>
        <v>6.8758391133600583</v>
      </c>
      <c r="AO952" s="13">
        <f t="shared" si="503"/>
        <v>9.353851457363108</v>
      </c>
      <c r="AP952" s="13">
        <f t="shared" si="504"/>
        <v>7.3259346285319618</v>
      </c>
      <c r="AQ952" s="13">
        <f t="shared" si="505"/>
        <v>14.860526229488688</v>
      </c>
      <c r="AR952" s="13">
        <f t="shared" si="506"/>
        <v>7.1259187872460537</v>
      </c>
      <c r="AS952" s="13">
        <f t="shared" si="507"/>
        <v>10.265111498842286</v>
      </c>
      <c r="AT952" s="13">
        <f t="shared" si="508"/>
        <v>8.8081876202704059</v>
      </c>
      <c r="AU952" s="9">
        <v>0</v>
      </c>
      <c r="AV952" s="18">
        <f t="shared" si="525"/>
        <v>2</v>
      </c>
      <c r="AW952" s="18">
        <f t="shared" si="526"/>
        <v>8</v>
      </c>
      <c r="AX952" s="18">
        <f t="shared" si="527"/>
        <v>4</v>
      </c>
      <c r="AY952" s="18">
        <f t="shared" si="528"/>
        <v>6</v>
      </c>
      <c r="AZ952" s="18">
        <f t="shared" si="529"/>
        <v>1</v>
      </c>
      <c r="BA952" s="18">
        <f t="shared" si="530"/>
        <v>7</v>
      </c>
      <c r="BB952" s="18">
        <f t="shared" si="531"/>
        <v>3</v>
      </c>
      <c r="BC952" s="18">
        <f t="shared" si="532"/>
        <v>5</v>
      </c>
      <c r="BD952" s="18">
        <f t="shared" si="533"/>
        <v>9</v>
      </c>
      <c r="BE952" s="8">
        <f t="shared" si="535"/>
        <v>2.5890408518082914E-3</v>
      </c>
    </row>
    <row r="953" spans="1:57" x14ac:dyDescent="0.25">
      <c r="A953" t="str">
        <f t="shared" si="534"/>
        <v/>
      </c>
      <c r="B953" s="1">
        <v>44139</v>
      </c>
      <c r="C953" s="9">
        <f t="shared" si="509"/>
        <v>0.25477395604799175</v>
      </c>
      <c r="D953" s="9">
        <f t="shared" si="510"/>
        <v>0</v>
      </c>
      <c r="E953" s="9">
        <f t="shared" si="511"/>
        <v>0.25131609356064566</v>
      </c>
      <c r="F953" s="9">
        <f t="shared" si="512"/>
        <v>0</v>
      </c>
      <c r="G953" s="9">
        <f t="shared" si="513"/>
        <v>0.25063787791481396</v>
      </c>
      <c r="H953" s="9">
        <f t="shared" si="514"/>
        <v>0</v>
      </c>
      <c r="I953" s="9">
        <f t="shared" si="515"/>
        <v>0.2432720724765487</v>
      </c>
      <c r="J953" s="9">
        <f t="shared" si="516"/>
        <v>0</v>
      </c>
      <c r="K953" s="9">
        <v>0</v>
      </c>
      <c r="L953" s="8">
        <f>+VLOOKUP($B953,NIFTY_50!$B$3:$I$1238,8,0)</f>
        <v>8.0416472679560869E-3</v>
      </c>
      <c r="M953" s="8">
        <f>+VLOOKUP($B953,NIFTY_BANK!$B$3:$I$41238,8,0)</f>
        <v>3.4575669319545366E-3</v>
      </c>
      <c r="N953" s="8">
        <f>+VLOOKUP($B953,NIFTY_IT!$B$3:$I$1238,8,0)</f>
        <v>1.7773437500000044E-2</v>
      </c>
      <c r="O953" s="8">
        <f>+VLOOKUP($B953,NIFTY_PHARMA!$B$3:$I$1238,8,0)</f>
        <v>2.1798257195669413E-2</v>
      </c>
      <c r="P953" s="8">
        <f>+VLOOKUP($B953,NIFTY_FMCG!$B$3:$I$1238,8,0)</f>
        <v>2.9143459994209753E-3</v>
      </c>
      <c r="Q953" s="8">
        <f>+VLOOKUP($B953,NIFTY_METAL!$B$3:$I$1238,8,0)</f>
        <v>-3.0946804951487161E-3</v>
      </c>
      <c r="R953" s="8">
        <f>+VLOOKUP($B953,NIFTY_ENERGY!$B$3:$I$1238,8,0)</f>
        <v>6.8864882351522549E-3</v>
      </c>
      <c r="S953" s="8">
        <f>+VLOOKUP($B953,NIFTY_AUTO!$B$3:$I$1238,8,0)</f>
        <v>6.7398408684073985E-3</v>
      </c>
      <c r="T953" s="8">
        <v>0</v>
      </c>
      <c r="U953" s="8">
        <f>+VLOOKUP($B953,NIFTY_50!$B$63:$K$1238,10,0)</f>
        <v>5.6640772305603715E-2</v>
      </c>
      <c r="V953" s="8">
        <f>+VLOOKUP($B953,NIFTY_BANK!$B$63:$K$1238,10,0)</f>
        <v>0.17677195465805173</v>
      </c>
      <c r="W953" s="8">
        <f>+VLOOKUP($B953,NIFTY_IT!$B$63:$K$1238,10,0)</f>
        <v>0.16217362214372044</v>
      </c>
      <c r="X953" s="8">
        <f>+VLOOKUP($B953,NIFTY_PHARMA!$B$63:$K$1238,10,0)</f>
        <v>-2.7865241931431806E-2</v>
      </c>
      <c r="Y953" s="8">
        <f>+VLOOKUP($B953,NIFTY_FMCG!$B$63:$K$1238,10,0)</f>
        <v>-6.3543289033655581E-2</v>
      </c>
      <c r="Z953" s="8">
        <f>+VLOOKUP($B953,NIFTY_METAL!$B$63:$K$1238,10,0)</f>
        <v>2.2212692967410019E-2</v>
      </c>
      <c r="AA953" s="8">
        <f>+VLOOKUP($B953,NIFTY_ENERGY!$B$63:$K$1238,10,0)</f>
        <v>-5.7159522666262785E-2</v>
      </c>
      <c r="AB953" s="8">
        <f>+VLOOKUP($B953,NIFTY_AUTO!$B$63:$K$1238,10,0)</f>
        <v>3.6798184036844095E-2</v>
      </c>
      <c r="AC953" s="8">
        <f>+VLOOKUP($B953,EBBETF0430!$B$63:$K$1238,10,0)</f>
        <v>-0.93175127665965751</v>
      </c>
      <c r="AD953" s="16">
        <f t="shared" si="517"/>
        <v>7.8584130317636613E-2</v>
      </c>
      <c r="AE953" s="8">
        <f t="shared" si="518"/>
        <v>0.14538697025970407</v>
      </c>
      <c r="AF953" s="8">
        <f t="shared" si="519"/>
        <v>0.10782027699564978</v>
      </c>
      <c r="AG953" s="8">
        <f t="shared" si="520"/>
        <v>0.1273634188210972</v>
      </c>
      <c r="AH953" s="8">
        <f t="shared" si="521"/>
        <v>6.720743801654129E-2</v>
      </c>
      <c r="AI953" s="8">
        <f t="shared" si="522"/>
        <v>0.14020624341789795</v>
      </c>
      <c r="AJ953" s="8">
        <f t="shared" si="523"/>
        <v>9.7709221231703308E-2</v>
      </c>
      <c r="AK953" s="8">
        <f t="shared" si="524"/>
        <v>0.11339914480137527</v>
      </c>
      <c r="AL953" s="9">
        <v>0</v>
      </c>
      <c r="AM953" s="17">
        <f t="shared" si="501"/>
        <v>12.725215586887654</v>
      </c>
      <c r="AN953" s="13">
        <f t="shared" si="502"/>
        <v>6.8781954683676583</v>
      </c>
      <c r="AO953" s="13">
        <f t="shared" si="503"/>
        <v>9.2746932939186095</v>
      </c>
      <c r="AP953" s="13">
        <f t="shared" si="504"/>
        <v>7.8515480289098081</v>
      </c>
      <c r="AQ953" s="13">
        <f t="shared" si="505"/>
        <v>14.879305468449445</v>
      </c>
      <c r="AR953" s="13">
        <f t="shared" si="506"/>
        <v>7.1323499982765073</v>
      </c>
      <c r="AS953" s="13">
        <f t="shared" si="507"/>
        <v>10.234448575008539</v>
      </c>
      <c r="AT953" s="13">
        <f t="shared" si="508"/>
        <v>8.8184086551230525</v>
      </c>
      <c r="AU953" s="9">
        <v>0</v>
      </c>
      <c r="AV953" s="18">
        <f t="shared" si="525"/>
        <v>2</v>
      </c>
      <c r="AW953" s="18">
        <f t="shared" si="526"/>
        <v>8</v>
      </c>
      <c r="AX953" s="18">
        <f t="shared" si="527"/>
        <v>4</v>
      </c>
      <c r="AY953" s="18">
        <f t="shared" si="528"/>
        <v>6</v>
      </c>
      <c r="AZ953" s="18">
        <f t="shared" si="529"/>
        <v>1</v>
      </c>
      <c r="BA953" s="18">
        <f t="shared" si="530"/>
        <v>7</v>
      </c>
      <c r="BB953" s="18">
        <f t="shared" si="531"/>
        <v>3</v>
      </c>
      <c r="BC953" s="18">
        <f t="shared" si="532"/>
        <v>5</v>
      </c>
      <c r="BD953" s="18">
        <f t="shared" si="533"/>
        <v>9</v>
      </c>
      <c r="BE953" s="8">
        <f t="shared" si="535"/>
        <v>8.8917269395137923E-3</v>
      </c>
    </row>
    <row r="954" spans="1:57" x14ac:dyDescent="0.25">
      <c r="A954" t="str">
        <f t="shared" si="534"/>
        <v/>
      </c>
      <c r="B954" s="1">
        <v>44140</v>
      </c>
      <c r="C954" s="9">
        <f t="shared" si="509"/>
        <v>0.25442046546931274</v>
      </c>
      <c r="D954" s="9">
        <f t="shared" si="510"/>
        <v>0</v>
      </c>
      <c r="E954" s="9">
        <f t="shared" si="511"/>
        <v>0.24986611394133407</v>
      </c>
      <c r="F954" s="9">
        <f t="shared" si="512"/>
        <v>0</v>
      </c>
      <c r="G954" s="9">
        <f t="shared" si="513"/>
        <v>0.25063040517640173</v>
      </c>
      <c r="H954" s="9">
        <f t="shared" si="514"/>
        <v>0</v>
      </c>
      <c r="I954" s="9">
        <f t="shared" si="515"/>
        <v>0.24508301541295155</v>
      </c>
      <c r="J954" s="9">
        <f t="shared" si="516"/>
        <v>0</v>
      </c>
      <c r="K954" s="9">
        <v>0</v>
      </c>
      <c r="L954" s="8">
        <f>+VLOOKUP($B954,NIFTY_50!$B$3:$I$1238,8,0)</f>
        <v>1.7785615316790571E-2</v>
      </c>
      <c r="M954" s="8">
        <f>+VLOOKUP($B954,NIFTY_BANK!$B$3:$I$41238,8,0)</f>
        <v>2.1011501032143887E-2</v>
      </c>
      <c r="N954" s="8">
        <f>+VLOOKUP($B954,NIFTY_IT!$B$3:$I$1238,8,0)</f>
        <v>1.33194026880461E-2</v>
      </c>
      <c r="O954" s="8">
        <f>+VLOOKUP($B954,NIFTY_PHARMA!$B$3:$I$1238,8,0)</f>
        <v>8.2955382408809175E-3</v>
      </c>
      <c r="P954" s="8">
        <f>+VLOOKUP($B954,NIFTY_FMCG!$B$3:$I$1238,8,0)</f>
        <v>1.9169334467993071E-2</v>
      </c>
      <c r="Q954" s="8">
        <f>+VLOOKUP($B954,NIFTY_METAL!$B$3:$I$1238,8,0)</f>
        <v>4.3984394663981741E-2</v>
      </c>
      <c r="R954" s="8">
        <f>+VLOOKUP($B954,NIFTY_ENERGY!$B$3:$I$1238,8,0)</f>
        <v>2.6786751888437044E-2</v>
      </c>
      <c r="S954" s="8">
        <f>+VLOOKUP($B954,NIFTY_AUTO!$B$3:$I$1238,8,0)</f>
        <v>1.1864460404340749E-2</v>
      </c>
      <c r="T954" s="8">
        <v>0</v>
      </c>
      <c r="U954" s="8">
        <f>+VLOOKUP($B954,NIFTY_50!$B$63:$K$1238,10,0)</f>
        <v>7.0461470523294212E-2</v>
      </c>
      <c r="V954" s="8">
        <f>+VLOOKUP($B954,NIFTY_BANK!$B$63:$K$1238,10,0)</f>
        <v>0.18382432335156906</v>
      </c>
      <c r="W954" s="8">
        <f>+VLOOKUP($B954,NIFTY_IT!$B$63:$K$1238,10,0)</f>
        <v>0.18433469383234313</v>
      </c>
      <c r="X954" s="8">
        <f>+VLOOKUP($B954,NIFTY_PHARMA!$B$63:$K$1238,10,0)</f>
        <v>-5.7168340801460049E-3</v>
      </c>
      <c r="Y954" s="8">
        <f>+VLOOKUP($B954,NIFTY_FMCG!$B$63:$K$1238,10,0)</f>
        <v>-4.9978358555453295E-2</v>
      </c>
      <c r="Z954" s="8">
        <f>+VLOOKUP($B954,NIFTY_METAL!$B$63:$K$1238,10,0)</f>
        <v>4.9775378060869402E-2</v>
      </c>
      <c r="AA954" s="8">
        <f>+VLOOKUP($B954,NIFTY_ENERGY!$B$63:$K$1238,10,0)</f>
        <v>-3.6431286385578909E-2</v>
      </c>
      <c r="AB954" s="8">
        <f>+VLOOKUP($B954,NIFTY_AUTO!$B$63:$K$1238,10,0)</f>
        <v>4.7854947676056803E-2</v>
      </c>
      <c r="AC954" s="8">
        <f>+VLOOKUP($B954,EBBETF0430!$B$63:$K$1238,10,0)</f>
        <v>1.6742738589211617</v>
      </c>
      <c r="AD954" s="16">
        <f t="shared" si="517"/>
        <v>8.026395075420982E-2</v>
      </c>
      <c r="AE954" s="8">
        <f t="shared" si="518"/>
        <v>0.14601632007173587</v>
      </c>
      <c r="AF954" s="8">
        <f t="shared" si="519"/>
        <v>0.10801737207412862</v>
      </c>
      <c r="AG954" s="8">
        <f t="shared" si="520"/>
        <v>0.12687065806288092</v>
      </c>
      <c r="AH954" s="8">
        <f t="shared" si="521"/>
        <v>6.9926673011195206E-2</v>
      </c>
      <c r="AI954" s="8">
        <f t="shared" si="522"/>
        <v>0.1458656009994648</v>
      </c>
      <c r="AJ954" s="8">
        <f t="shared" si="523"/>
        <v>0.10135925230598447</v>
      </c>
      <c r="AK954" s="8">
        <f t="shared" si="524"/>
        <v>0.11393830274845869</v>
      </c>
      <c r="AL954" s="9">
        <v>0</v>
      </c>
      <c r="AM954" s="17">
        <f t="shared" si="501"/>
        <v>12.458893321389994</v>
      </c>
      <c r="AN954" s="13">
        <f t="shared" si="502"/>
        <v>6.8485495286329181</v>
      </c>
      <c r="AO954" s="13">
        <f t="shared" si="503"/>
        <v>9.2577701234365737</v>
      </c>
      <c r="AP954" s="13">
        <f t="shared" si="504"/>
        <v>7.8820431395915822</v>
      </c>
      <c r="AQ954" s="13">
        <f t="shared" si="505"/>
        <v>14.300694669684924</v>
      </c>
      <c r="AR954" s="13">
        <f t="shared" si="506"/>
        <v>6.8556259539469426</v>
      </c>
      <c r="AS954" s="13">
        <f t="shared" si="507"/>
        <v>9.8658975599108469</v>
      </c>
      <c r="AT954" s="13">
        <f t="shared" si="508"/>
        <v>8.7766797984317666</v>
      </c>
      <c r="AU954" s="9">
        <v>0</v>
      </c>
      <c r="AV954" s="18">
        <f t="shared" si="525"/>
        <v>2</v>
      </c>
      <c r="AW954" s="18">
        <f t="shared" si="526"/>
        <v>8</v>
      </c>
      <c r="AX954" s="18">
        <f t="shared" si="527"/>
        <v>4</v>
      </c>
      <c r="AY954" s="18">
        <f t="shared" si="528"/>
        <v>6</v>
      </c>
      <c r="AZ954" s="18">
        <f t="shared" si="529"/>
        <v>1</v>
      </c>
      <c r="BA954" s="18">
        <f t="shared" si="530"/>
        <v>7</v>
      </c>
      <c r="BB954" s="18">
        <f t="shared" si="531"/>
        <v>3</v>
      </c>
      <c r="BC954" s="18">
        <f t="shared" si="532"/>
        <v>5</v>
      </c>
      <c r="BD954" s="18">
        <f t="shared" si="533"/>
        <v>9</v>
      </c>
      <c r="BE954" s="8">
        <f t="shared" si="535"/>
        <v>1.9199721786039667E-2</v>
      </c>
    </row>
    <row r="955" spans="1:57" x14ac:dyDescent="0.25">
      <c r="A955" t="str">
        <f t="shared" si="534"/>
        <v/>
      </c>
      <c r="B955" s="1">
        <v>44141</v>
      </c>
      <c r="C955" s="9">
        <f t="shared" si="509"/>
        <v>0.25573294489270998</v>
      </c>
      <c r="D955" s="9">
        <f t="shared" si="510"/>
        <v>0</v>
      </c>
      <c r="E955" s="9">
        <f t="shared" si="511"/>
        <v>0.24945924412731701</v>
      </c>
      <c r="F955" s="9">
        <f t="shared" si="512"/>
        <v>0</v>
      </c>
      <c r="G955" s="9">
        <f t="shared" si="513"/>
        <v>0.24873808185557042</v>
      </c>
      <c r="H955" s="9">
        <f t="shared" si="514"/>
        <v>0</v>
      </c>
      <c r="I955" s="9">
        <f t="shared" si="515"/>
        <v>0.2460697291244025</v>
      </c>
      <c r="J955" s="9">
        <f t="shared" si="516"/>
        <v>0</v>
      </c>
      <c r="K955" s="9">
        <v>0</v>
      </c>
      <c r="L955" s="8">
        <f>+VLOOKUP($B955,NIFTY_50!$B$3:$I$1238,8,0)</f>
        <v>1.1819014380832105E-2</v>
      </c>
      <c r="M955" s="8">
        <f>+VLOOKUP($B955,NIFTY_BANK!$B$3:$I$41238,8,0)</f>
        <v>1.8464187039915592E-2</v>
      </c>
      <c r="N955" s="8">
        <f>+VLOOKUP($B955,NIFTY_IT!$B$3:$I$1238,8,0)</f>
        <v>4.9869889388443056E-3</v>
      </c>
      <c r="O955" s="8">
        <f>+VLOOKUP($B955,NIFTY_PHARMA!$B$3:$I$1238,8,0)</f>
        <v>-6.9714095318647029E-3</v>
      </c>
      <c r="P955" s="8">
        <f>+VLOOKUP($B955,NIFTY_FMCG!$B$3:$I$1238,8,0)</f>
        <v>-9.7415345567675171E-4</v>
      </c>
      <c r="Q955" s="8">
        <f>+VLOOKUP($B955,NIFTY_METAL!$B$3:$I$1238,8,0)</f>
        <v>4.7013441022241143E-3</v>
      </c>
      <c r="R955" s="8">
        <f>+VLOOKUP($B955,NIFTY_ENERGY!$B$3:$I$1238,8,0)</f>
        <v>1.0678845699334527E-2</v>
      </c>
      <c r="S955" s="8">
        <f>+VLOOKUP($B955,NIFTY_AUTO!$B$3:$I$1238,8,0)</f>
        <v>1.3257457319741928E-3</v>
      </c>
      <c r="T955" s="8">
        <v>0</v>
      </c>
      <c r="U955" s="8">
        <f>+VLOOKUP($B955,NIFTY_50!$B$63:$K$1238,10,0)</f>
        <v>8.4463761451664121E-2</v>
      </c>
      <c r="V955" s="8">
        <f>+VLOOKUP($B955,NIFTY_BANK!$B$63:$K$1238,10,0)</f>
        <v>0.20368981315127566</v>
      </c>
      <c r="W955" s="8">
        <f>+VLOOKUP($B955,NIFTY_IT!$B$63:$K$1238,10,0)</f>
        <v>0.18965459980073063</v>
      </c>
      <c r="X955" s="8">
        <f>+VLOOKUP($B955,NIFTY_PHARMA!$B$63:$K$1238,10,0)</f>
        <v>2.8558486659044924E-3</v>
      </c>
      <c r="Y955" s="8">
        <f>+VLOOKUP($B955,NIFTY_FMCG!$B$63:$K$1238,10,0)</f>
        <v>-4.6972345408971217E-2</v>
      </c>
      <c r="Z955" s="8">
        <f>+VLOOKUP($B955,NIFTY_METAL!$B$63:$K$1238,10,0)</f>
        <v>6.1809920163071075E-2</v>
      </c>
      <c r="AA955" s="8">
        <f>+VLOOKUP($B955,NIFTY_ENERGY!$B$63:$K$1238,10,0)</f>
        <v>-2.3683195060775653E-2</v>
      </c>
      <c r="AB955" s="8">
        <f>+VLOOKUP($B955,NIFTY_AUTO!$B$63:$K$1238,10,0)</f>
        <v>2.8394165740746713E-2</v>
      </c>
      <c r="AC955" s="8">
        <f>+VLOOKUP($B955,EBBETF0430!$B$63:$K$1238,10,0)</f>
        <v>1.2771792731962672</v>
      </c>
      <c r="AD955" s="16">
        <f t="shared" si="517"/>
        <v>8.0913992301354709E-2</v>
      </c>
      <c r="AE955" s="8">
        <f t="shared" si="518"/>
        <v>0.14681735821745065</v>
      </c>
      <c r="AF955" s="8">
        <f t="shared" si="519"/>
        <v>0.108010323665213</v>
      </c>
      <c r="AG955" s="8">
        <f t="shared" si="520"/>
        <v>0.12611074750358661</v>
      </c>
      <c r="AH955" s="8">
        <f t="shared" si="521"/>
        <v>6.9846614459322609E-2</v>
      </c>
      <c r="AI955" s="8">
        <f t="shared" si="522"/>
        <v>0.14570490020563995</v>
      </c>
      <c r="AJ955" s="8">
        <f t="shared" si="523"/>
        <v>0.10194299718869104</v>
      </c>
      <c r="AK955" s="8">
        <f t="shared" si="524"/>
        <v>0.11224912253198371</v>
      </c>
      <c r="AL955" s="9">
        <v>0</v>
      </c>
      <c r="AM955" s="17">
        <f t="shared" si="501"/>
        <v>12.358801877870725</v>
      </c>
      <c r="AN955" s="13">
        <f t="shared" si="502"/>
        <v>6.8111837192909004</v>
      </c>
      <c r="AO955" s="13">
        <f t="shared" si="503"/>
        <v>9.2583742559607849</v>
      </c>
      <c r="AP955" s="13">
        <f t="shared" si="504"/>
        <v>7.9295382811965318</v>
      </c>
      <c r="AQ955" s="13">
        <f t="shared" si="505"/>
        <v>14.317086200110412</v>
      </c>
      <c r="AR955" s="13">
        <f t="shared" si="506"/>
        <v>6.8631871583498878</v>
      </c>
      <c r="AS955" s="13">
        <f t="shared" si="507"/>
        <v>9.8094035645141311</v>
      </c>
      <c r="AT955" s="13">
        <f t="shared" si="508"/>
        <v>8.9087556093373017</v>
      </c>
      <c r="AU955" s="9">
        <v>0</v>
      </c>
      <c r="AV955" s="18">
        <f t="shared" si="525"/>
        <v>2</v>
      </c>
      <c r="AW955" s="18">
        <f t="shared" si="526"/>
        <v>8</v>
      </c>
      <c r="AX955" s="18">
        <f t="shared" si="527"/>
        <v>4</v>
      </c>
      <c r="AY955" s="18">
        <f t="shared" si="528"/>
        <v>6</v>
      </c>
      <c r="AZ955" s="18">
        <f t="shared" si="529"/>
        <v>1</v>
      </c>
      <c r="BA955" s="18">
        <f t="shared" si="530"/>
        <v>7</v>
      </c>
      <c r="BB955" s="18">
        <f t="shared" si="531"/>
        <v>3</v>
      </c>
      <c r="BC955" s="18">
        <f t="shared" si="532"/>
        <v>5</v>
      </c>
      <c r="BD955" s="18">
        <f t="shared" si="533"/>
        <v>9</v>
      </c>
      <c r="BE955" s="8">
        <f t="shared" si="535"/>
        <v>6.626129916399528E-3</v>
      </c>
    </row>
    <row r="956" spans="1:57" x14ac:dyDescent="0.25">
      <c r="A956" t="str">
        <f t="shared" si="534"/>
        <v/>
      </c>
      <c r="B956" s="1">
        <v>44144</v>
      </c>
      <c r="C956" s="9">
        <f t="shared" si="509"/>
        <v>0.25589504391945145</v>
      </c>
      <c r="D956" s="9">
        <f t="shared" si="510"/>
        <v>0</v>
      </c>
      <c r="E956" s="9">
        <f t="shared" si="511"/>
        <v>0.24940847230812555</v>
      </c>
      <c r="F956" s="9">
        <f t="shared" si="512"/>
        <v>0</v>
      </c>
      <c r="G956" s="9">
        <f t="shared" si="513"/>
        <v>0.24741295094847643</v>
      </c>
      <c r="H956" s="9">
        <f t="shared" si="514"/>
        <v>0</v>
      </c>
      <c r="I956" s="9">
        <f t="shared" si="515"/>
        <v>0.24728353282394652</v>
      </c>
      <c r="J956" s="9">
        <f t="shared" si="516"/>
        <v>0</v>
      </c>
      <c r="K956" s="9">
        <v>0</v>
      </c>
      <c r="L956" s="8">
        <f>+VLOOKUP($B956,NIFTY_50!$B$3:$I$1238,8,0)</f>
        <v>1.6104635280974833E-2</v>
      </c>
      <c r="M956" s="8">
        <f>+VLOOKUP($B956,NIFTY_BANK!$B$3:$I$41238,8,0)</f>
        <v>2.7432044912207409E-2</v>
      </c>
      <c r="N956" s="8">
        <f>+VLOOKUP($B956,NIFTY_IT!$B$3:$I$1238,8,0)</f>
        <v>1.5254300377344654E-2</v>
      </c>
      <c r="O956" s="8">
        <f>+VLOOKUP($B956,NIFTY_PHARMA!$B$3:$I$1238,8,0)</f>
        <v>4.3877195472905584E-3</v>
      </c>
      <c r="P956" s="8">
        <f>+VLOOKUP($B956,NIFTY_FMCG!$B$3:$I$1238,8,0)</f>
        <v>1.0051192926189056E-2</v>
      </c>
      <c r="Q956" s="8">
        <f>+VLOOKUP($B956,NIFTY_METAL!$B$3:$I$1238,8,0)</f>
        <v>1.7957485951966667E-2</v>
      </c>
      <c r="R956" s="8">
        <f>+VLOOKUP($B956,NIFTY_ENERGY!$B$3:$I$1238,8,0)</f>
        <v>2.0470003128962633E-2</v>
      </c>
      <c r="S956" s="8">
        <f>+VLOOKUP($B956,NIFTY_AUTO!$B$3:$I$1238,8,0)</f>
        <v>7.6878879854109794E-3</v>
      </c>
      <c r="T956" s="8">
        <v>0</v>
      </c>
      <c r="U956" s="8">
        <f>+VLOOKUP($B956,NIFTY_50!$B$63:$K$1238,10,0)</f>
        <v>0.10270387462446173</v>
      </c>
      <c r="V956" s="8">
        <f>+VLOOKUP($B956,NIFTY_BANK!$B$63:$K$1238,10,0)</f>
        <v>0.24047872735832687</v>
      </c>
      <c r="W956" s="8">
        <f>+VLOOKUP($B956,NIFTY_IT!$B$63:$K$1238,10,0)</f>
        <v>0.20505379075726782</v>
      </c>
      <c r="X956" s="8">
        <f>+VLOOKUP($B956,NIFTY_PHARMA!$B$63:$K$1238,10,0)</f>
        <v>1.711106948540464E-2</v>
      </c>
      <c r="Y956" s="8">
        <f>+VLOOKUP($B956,NIFTY_FMCG!$B$63:$K$1238,10,0)</f>
        <v>-3.8349256271679955E-2</v>
      </c>
      <c r="Z956" s="8">
        <f>+VLOOKUP($B956,NIFTY_METAL!$B$63:$K$1238,10,0)</f>
        <v>6.9140780879171526E-2</v>
      </c>
      <c r="AA956" s="8">
        <f>+VLOOKUP($B956,NIFTY_ENERGY!$B$63:$K$1238,10,0)</f>
        <v>-3.1562589483640213E-3</v>
      </c>
      <c r="AB956" s="8">
        <f>+VLOOKUP($B956,NIFTY_AUTO!$B$63:$K$1238,10,0)</f>
        <v>2.3845934198419849E-2</v>
      </c>
      <c r="AC956" s="8">
        <f>+VLOOKUP($B956,EBBETF0430!$B$63:$K$1238,10,0)</f>
        <v>6.0268149563318776</v>
      </c>
      <c r="AD956" s="16">
        <f t="shared" si="517"/>
        <v>8.2187481353993203E-2</v>
      </c>
      <c r="AE956" s="8">
        <f t="shared" si="518"/>
        <v>0.14861753724443907</v>
      </c>
      <c r="AF956" s="8">
        <f t="shared" si="519"/>
        <v>0.1086946065814143</v>
      </c>
      <c r="AG956" s="8">
        <f t="shared" si="520"/>
        <v>0.12578176012059189</v>
      </c>
      <c r="AH956" s="8">
        <f t="shared" si="521"/>
        <v>7.0645578822934277E-2</v>
      </c>
      <c r="AI956" s="8">
        <f t="shared" si="522"/>
        <v>0.14633834812157204</v>
      </c>
      <c r="AJ956" s="8">
        <f t="shared" si="523"/>
        <v>0.1040038332802289</v>
      </c>
      <c r="AK956" s="8">
        <f t="shared" si="524"/>
        <v>0.11187362974032197</v>
      </c>
      <c r="AL956" s="9">
        <v>0</v>
      </c>
      <c r="AM956" s="17">
        <f t="shared" si="501"/>
        <v>12.16730314064325</v>
      </c>
      <c r="AN956" s="13">
        <f t="shared" si="502"/>
        <v>6.7286810058980286</v>
      </c>
      <c r="AO956" s="13">
        <f t="shared" si="503"/>
        <v>9.2000884998004135</v>
      </c>
      <c r="AP956" s="13">
        <f t="shared" si="504"/>
        <v>7.9502783157213006</v>
      </c>
      <c r="AQ956" s="13">
        <f t="shared" si="505"/>
        <v>14.155167480563716</v>
      </c>
      <c r="AR956" s="13">
        <f t="shared" si="506"/>
        <v>6.8334788033088909</v>
      </c>
      <c r="AS956" s="13">
        <f t="shared" si="507"/>
        <v>9.6150302201418931</v>
      </c>
      <c r="AT956" s="13">
        <f t="shared" si="508"/>
        <v>8.9386569678768169</v>
      </c>
      <c r="AU956" s="9">
        <v>0</v>
      </c>
      <c r="AV956" s="18">
        <f t="shared" si="525"/>
        <v>2</v>
      </c>
      <c r="AW956" s="18">
        <f t="shared" si="526"/>
        <v>8</v>
      </c>
      <c r="AX956" s="18">
        <f t="shared" si="527"/>
        <v>4</v>
      </c>
      <c r="AY956" s="18">
        <f t="shared" si="528"/>
        <v>6</v>
      </c>
      <c r="AZ956" s="18">
        <f t="shared" si="529"/>
        <v>1</v>
      </c>
      <c r="BA956" s="18">
        <f t="shared" si="530"/>
        <v>7</v>
      </c>
      <c r="BB956" s="18">
        <f t="shared" si="531"/>
        <v>3</v>
      </c>
      <c r="BC956" s="18">
        <f t="shared" si="532"/>
        <v>5</v>
      </c>
      <c r="BD956" s="18">
        <f t="shared" si="533"/>
        <v>9</v>
      </c>
      <c r="BE956" s="8">
        <f t="shared" si="535"/>
        <v>1.5460974622590225E-2</v>
      </c>
    </row>
    <row r="957" spans="1:57" x14ac:dyDescent="0.25">
      <c r="A957" t="str">
        <f t="shared" si="534"/>
        <v/>
      </c>
      <c r="B957" s="1">
        <v>44145</v>
      </c>
      <c r="C957" s="9">
        <f t="shared" si="509"/>
        <v>0.25997418057576366</v>
      </c>
      <c r="D957" s="9">
        <f t="shared" si="510"/>
        <v>0</v>
      </c>
      <c r="E957" s="9">
        <f t="shared" si="511"/>
        <v>0.24033095436228372</v>
      </c>
      <c r="F957" s="9">
        <f t="shared" si="512"/>
        <v>0</v>
      </c>
      <c r="G957" s="9">
        <f t="shared" si="513"/>
        <v>0.2483071640690534</v>
      </c>
      <c r="H957" s="9">
        <f t="shared" si="514"/>
        <v>0</v>
      </c>
      <c r="I957" s="9">
        <f t="shared" si="515"/>
        <v>0.2513877009928992</v>
      </c>
      <c r="J957" s="9">
        <f t="shared" si="516"/>
        <v>0</v>
      </c>
      <c r="K957" s="9">
        <v>0</v>
      </c>
      <c r="L957" s="8">
        <f>+VLOOKUP($B957,NIFTY_50!$B$3:$I$1238,8,0)</f>
        <v>1.3646522564310537E-2</v>
      </c>
      <c r="M957" s="8">
        <f>+VLOOKUP($B957,NIFTY_BANK!$B$3:$I$41238,8,0)</f>
        <v>3.8929908731355045E-2</v>
      </c>
      <c r="N957" s="8">
        <f>+VLOOKUP($B957,NIFTY_IT!$B$3:$I$1238,8,0)</f>
        <v>-3.8572145471044039E-2</v>
      </c>
      <c r="O957" s="8">
        <f>+VLOOKUP($B957,NIFTY_PHARMA!$B$3:$I$1238,8,0)</f>
        <v>-4.3295772355634421E-2</v>
      </c>
      <c r="P957" s="8">
        <f>+VLOOKUP($B957,NIFTY_FMCG!$B$3:$I$1238,8,0)</f>
        <v>1.3479478684035318E-3</v>
      </c>
      <c r="Q957" s="8">
        <f>+VLOOKUP($B957,NIFTY_METAL!$B$3:$I$1238,8,0)</f>
        <v>4.4985757784106184E-3</v>
      </c>
      <c r="R957" s="8">
        <f>+VLOOKUP($B957,NIFTY_ENERGY!$B$3:$I$1238,8,0)</f>
        <v>1.4301391085433934E-2</v>
      </c>
      <c r="S957" s="8">
        <f>+VLOOKUP($B957,NIFTY_AUTO!$B$3:$I$1238,8,0)</f>
        <v>7.3875292061504894E-3</v>
      </c>
      <c r="T957" s="8">
        <v>0</v>
      </c>
      <c r="U957" s="8">
        <f>+VLOOKUP($B957,NIFTY_50!$B$63:$K$1238,10,0)</f>
        <v>0.12995598654548068</v>
      </c>
      <c r="V957" s="8">
        <f>+VLOOKUP($B957,NIFTY_BANK!$B$63:$K$1238,10,0)</f>
        <v>0.31950146221758891</v>
      </c>
      <c r="W957" s="8">
        <f>+VLOOKUP($B957,NIFTY_IT!$B$63:$K$1238,10,0)</f>
        <v>0.16400751276865488</v>
      </c>
      <c r="X957" s="8">
        <f>+VLOOKUP($B957,NIFTY_PHARMA!$B$63:$K$1238,10,0)</f>
        <v>-4.05054809113089E-2</v>
      </c>
      <c r="Y957" s="8">
        <f>+VLOOKUP($B957,NIFTY_FMCG!$B$63:$K$1238,10,0)</f>
        <v>-2.3791574030946339E-2</v>
      </c>
      <c r="Z957" s="8">
        <f>+VLOOKUP($B957,NIFTY_METAL!$B$63:$K$1238,10,0)</f>
        <v>6.2723418405519871E-2</v>
      </c>
      <c r="AA957" s="8">
        <f>+VLOOKUP($B957,NIFTY_ENERGY!$B$63:$K$1238,10,0)</f>
        <v>2.0662619885092104E-2</v>
      </c>
      <c r="AB957" s="8">
        <f>+VLOOKUP($B957,NIFTY_AUTO!$B$63:$K$1238,10,0)</f>
        <v>5.8559585289769789E-2</v>
      </c>
      <c r="AC957" s="8">
        <f>+VLOOKUP($B957,EBBETF0430!$B$63:$K$1238,10,0)</f>
        <v>-0.82326235001621439</v>
      </c>
      <c r="AD957" s="16">
        <f t="shared" si="517"/>
        <v>8.205740346602404E-2</v>
      </c>
      <c r="AE957" s="8">
        <f t="shared" si="518"/>
        <v>0.15011321844483935</v>
      </c>
      <c r="AF957" s="8">
        <f t="shared" si="519"/>
        <v>0.11608561515374227</v>
      </c>
      <c r="AG957" s="8">
        <f t="shared" si="520"/>
        <v>0.13224238254321175</v>
      </c>
      <c r="AH957" s="8">
        <f t="shared" si="521"/>
        <v>6.9443004952181003E-2</v>
      </c>
      <c r="AI957" s="8">
        <f t="shared" si="522"/>
        <v>0.14607663158376624</v>
      </c>
      <c r="AJ957" s="8">
        <f t="shared" si="523"/>
        <v>0.10451136986738187</v>
      </c>
      <c r="AK957" s="8">
        <f t="shared" si="524"/>
        <v>0.10891386439199452</v>
      </c>
      <c r="AL957" s="9">
        <v>0</v>
      </c>
      <c r="AM957" s="17">
        <f t="shared" si="501"/>
        <v>12.186590822533779</v>
      </c>
      <c r="AN957" s="13">
        <f t="shared" si="502"/>
        <v>6.6616385309696113</v>
      </c>
      <c r="AO957" s="13">
        <f t="shared" si="503"/>
        <v>8.614331747095564</v>
      </c>
      <c r="AP957" s="13">
        <f t="shared" si="504"/>
        <v>7.561872228619583</v>
      </c>
      <c r="AQ957" s="13">
        <f t="shared" si="505"/>
        <v>14.400298499303247</v>
      </c>
      <c r="AR957" s="13">
        <f t="shared" si="506"/>
        <v>6.8457219279906489</v>
      </c>
      <c r="AS957" s="13">
        <f t="shared" si="507"/>
        <v>9.5683369308902471</v>
      </c>
      <c r="AT957" s="13">
        <f t="shared" si="508"/>
        <v>9.1815675220270929</v>
      </c>
      <c r="AU957" s="9">
        <v>0</v>
      </c>
      <c r="AV957" s="18">
        <f t="shared" si="525"/>
        <v>2</v>
      </c>
      <c r="AW957" s="18">
        <f t="shared" si="526"/>
        <v>8</v>
      </c>
      <c r="AX957" s="18">
        <f t="shared" si="527"/>
        <v>5</v>
      </c>
      <c r="AY957" s="18">
        <f t="shared" si="528"/>
        <v>6</v>
      </c>
      <c r="AZ957" s="18">
        <f t="shared" si="529"/>
        <v>1</v>
      </c>
      <c r="BA957" s="18">
        <f t="shared" si="530"/>
        <v>7</v>
      </c>
      <c r="BB957" s="18">
        <f t="shared" si="531"/>
        <v>3</v>
      </c>
      <c r="BC957" s="18">
        <f t="shared" si="532"/>
        <v>4</v>
      </c>
      <c r="BD957" s="18">
        <f t="shared" si="533"/>
        <v>9</v>
      </c>
      <c r="BE957" s="8">
        <f t="shared" si="535"/>
        <v>-2.2581441128884223E-3</v>
      </c>
    </row>
    <row r="958" spans="1:57" x14ac:dyDescent="0.25">
      <c r="A958" t="str">
        <f t="shared" si="534"/>
        <v/>
      </c>
      <c r="B958" s="1">
        <v>44146</v>
      </c>
      <c r="C958" s="9">
        <f t="shared" si="509"/>
        <v>0.25973202961535552</v>
      </c>
      <c r="D958" s="9">
        <f t="shared" si="510"/>
        <v>0</v>
      </c>
      <c r="E958" s="9">
        <f t="shared" si="511"/>
        <v>0.24187531527039099</v>
      </c>
      <c r="F958" s="9">
        <f t="shared" si="512"/>
        <v>0</v>
      </c>
      <c r="G958" s="9">
        <f t="shared" si="513"/>
        <v>0.24860658552208964</v>
      </c>
      <c r="H958" s="9">
        <f t="shared" si="514"/>
        <v>0</v>
      </c>
      <c r="I958" s="9">
        <f t="shared" si="515"/>
        <v>0.24978606959216385</v>
      </c>
      <c r="J958" s="9">
        <f t="shared" si="516"/>
        <v>0</v>
      </c>
      <c r="K958" s="9">
        <v>0</v>
      </c>
      <c r="L958" s="8">
        <f>+VLOOKUP($B958,NIFTY_50!$B$3:$I$1238,8,0)</f>
        <v>9.3459793683843273E-3</v>
      </c>
      <c r="M958" s="8">
        <f>+VLOOKUP($B958,NIFTY_BANK!$B$3:$I$41238,8,0)</f>
        <v>8.3548905823953579E-3</v>
      </c>
      <c r="N958" s="8">
        <f>+VLOOKUP($B958,NIFTY_IT!$B$3:$I$1238,8,0)</f>
        <v>1.6779083347236545E-2</v>
      </c>
      <c r="O958" s="8">
        <f>+VLOOKUP($B958,NIFTY_PHARMA!$B$3:$I$1238,8,0)</f>
        <v>3.59435575571454E-2</v>
      </c>
      <c r="P958" s="8">
        <f>+VLOOKUP($B958,NIFTY_FMCG!$B$3:$I$1238,8,0)</f>
        <v>1.1505259101976417E-2</v>
      </c>
      <c r="Q958" s="8">
        <f>+VLOOKUP($B958,NIFTY_METAL!$B$3:$I$1238,8,0)</f>
        <v>3.4556263933977593E-2</v>
      </c>
      <c r="R958" s="8">
        <f>+VLOOKUP($B958,NIFTY_ENERGY!$B$3:$I$1238,8,0)</f>
        <v>3.8503027738090445E-3</v>
      </c>
      <c r="S958" s="8">
        <f>+VLOOKUP($B958,NIFTY_AUTO!$B$3:$I$1238,8,0)</f>
        <v>1.5743332615583361E-2</v>
      </c>
      <c r="T958" s="8">
        <v>0</v>
      </c>
      <c r="U958" s="8">
        <f>+VLOOKUP($B958,NIFTY_50!$B$63:$K$1238,10,0)</f>
        <v>0.1335499817730792</v>
      </c>
      <c r="V958" s="8">
        <f>+VLOOKUP($B958,NIFTY_BANK!$B$63:$K$1238,10,0)</f>
        <v>0.32921060695779203</v>
      </c>
      <c r="W958" s="8">
        <f>+VLOOKUP($B958,NIFTY_IT!$B$63:$K$1238,10,0)</f>
        <v>0.17048771922122974</v>
      </c>
      <c r="X958" s="8">
        <f>+VLOOKUP($B958,NIFTY_PHARMA!$B$63:$K$1238,10,0)</f>
        <v>-2.1560366871202774E-3</v>
      </c>
      <c r="Y958" s="8">
        <f>+VLOOKUP($B958,NIFTY_FMCG!$B$63:$K$1238,10,0)</f>
        <v>-2.2176150691944785E-2</v>
      </c>
      <c r="Z958" s="8">
        <f>+VLOOKUP($B958,NIFTY_METAL!$B$63:$K$1238,10,0)</f>
        <v>7.3369179263467643E-2</v>
      </c>
      <c r="AA958" s="8">
        <f>+VLOOKUP($B958,NIFTY_ENERGY!$B$63:$K$1238,10,0)</f>
        <v>1.1874176072669052E-2</v>
      </c>
      <c r="AB958" s="8">
        <f>+VLOOKUP($B958,NIFTY_AUTO!$B$63:$K$1238,10,0)</f>
        <v>4.9538811653349057E-2</v>
      </c>
      <c r="AC958" s="8">
        <f>+VLOOKUP($B958,EBBETF0430!$B$63:$K$1238,10,0)</f>
        <v>-0.34312261489961837</v>
      </c>
      <c r="AD958" s="16">
        <f t="shared" si="517"/>
        <v>8.2277816246255589E-2</v>
      </c>
      <c r="AE958" s="8">
        <f t="shared" si="518"/>
        <v>0.15010695298213858</v>
      </c>
      <c r="AF958" s="8">
        <f t="shared" si="519"/>
        <v>0.1166330237050965</v>
      </c>
      <c r="AG958" s="8">
        <f t="shared" si="520"/>
        <v>0.13704568052473123</v>
      </c>
      <c r="AH958" s="8">
        <f t="shared" si="521"/>
        <v>6.9707469803179115E-2</v>
      </c>
      <c r="AI958" s="8">
        <f t="shared" si="522"/>
        <v>0.1480420299701396</v>
      </c>
      <c r="AJ958" s="8">
        <f t="shared" si="523"/>
        <v>0.10385388805231706</v>
      </c>
      <c r="AK958" s="8">
        <f t="shared" si="524"/>
        <v>0.10736795340224202</v>
      </c>
      <c r="AL958" s="9">
        <v>0</v>
      </c>
      <c r="AM958" s="17">
        <f t="shared" si="501"/>
        <v>12.153944351257735</v>
      </c>
      <c r="AN958" s="13">
        <f t="shared" si="502"/>
        <v>6.6619165876945843</v>
      </c>
      <c r="AO958" s="13">
        <f t="shared" si="503"/>
        <v>8.573901012190797</v>
      </c>
      <c r="AP958" s="13">
        <f t="shared" si="504"/>
        <v>7.2968370558716016</v>
      </c>
      <c r="AQ958" s="13">
        <f t="shared" si="505"/>
        <v>14.345664859498221</v>
      </c>
      <c r="AR958" s="13">
        <f t="shared" si="506"/>
        <v>6.7548384752742328</v>
      </c>
      <c r="AS958" s="13">
        <f t="shared" si="507"/>
        <v>9.6289124919063553</v>
      </c>
      <c r="AT958" s="13">
        <f t="shared" si="508"/>
        <v>9.3137660569314562</v>
      </c>
      <c r="AU958" s="9">
        <v>0</v>
      </c>
      <c r="AV958" s="18">
        <f t="shared" si="525"/>
        <v>2</v>
      </c>
      <c r="AW958" s="18">
        <f t="shared" si="526"/>
        <v>8</v>
      </c>
      <c r="AX958" s="18">
        <f t="shared" si="527"/>
        <v>5</v>
      </c>
      <c r="AY958" s="18">
        <f t="shared" si="528"/>
        <v>6</v>
      </c>
      <c r="AZ958" s="18">
        <f t="shared" si="529"/>
        <v>1</v>
      </c>
      <c r="BA958" s="18">
        <f t="shared" si="530"/>
        <v>7</v>
      </c>
      <c r="BB958" s="18">
        <f t="shared" si="531"/>
        <v>3</v>
      </c>
      <c r="BC958" s="18">
        <f t="shared" si="532"/>
        <v>4</v>
      </c>
      <c r="BD958" s="18">
        <f t="shared" si="533"/>
        <v>9</v>
      </c>
      <c r="BE958" s="8">
        <f t="shared" si="535"/>
        <v>1.0287003464065237E-2</v>
      </c>
    </row>
    <row r="959" spans="1:57" x14ac:dyDescent="0.25">
      <c r="A959" t="str">
        <f t="shared" si="534"/>
        <v/>
      </c>
      <c r="B959" s="1">
        <v>44147</v>
      </c>
      <c r="C959" s="9">
        <f t="shared" si="509"/>
        <v>0.25805724078140441</v>
      </c>
      <c r="D959" s="9">
        <f t="shared" si="510"/>
        <v>0</v>
      </c>
      <c r="E959" s="9">
        <f t="shared" si="511"/>
        <v>0.24179239635446623</v>
      </c>
      <c r="F959" s="9">
        <f t="shared" si="512"/>
        <v>0</v>
      </c>
      <c r="G959" s="9">
        <f t="shared" si="513"/>
        <v>0.25131359515941348</v>
      </c>
      <c r="H959" s="9">
        <f t="shared" si="514"/>
        <v>0</v>
      </c>
      <c r="I959" s="9">
        <f t="shared" si="515"/>
        <v>0.24883676770471586</v>
      </c>
      <c r="J959" s="9">
        <f t="shared" si="516"/>
        <v>0</v>
      </c>
      <c r="K959" s="9">
        <v>0</v>
      </c>
      <c r="L959" s="8">
        <f>+VLOOKUP($B959,NIFTY_50!$B$3:$I$1238,8,0)</f>
        <v>-4.5767757066157433E-3</v>
      </c>
      <c r="M959" s="8">
        <f>+VLOOKUP($B959,NIFTY_BANK!$B$3:$I$41238,8,0)</f>
        <v>-1.9629051828739863E-2</v>
      </c>
      <c r="N959" s="8">
        <f>+VLOOKUP($B959,NIFTY_IT!$B$3:$I$1238,8,0)</f>
        <v>1.5400482876630761E-3</v>
      </c>
      <c r="O959" s="8">
        <f>+VLOOKUP($B959,NIFTY_PHARMA!$B$3:$I$1238,8,0)</f>
        <v>2.6317267844100378E-3</v>
      </c>
      <c r="P959" s="8">
        <f>+VLOOKUP($B959,NIFTY_FMCG!$B$3:$I$1238,8,0)</f>
        <v>1.2792748398475107E-2</v>
      </c>
      <c r="Q959" s="8">
        <f>+VLOOKUP($B959,NIFTY_METAL!$B$3:$I$1238,8,0)</f>
        <v>-3.0812271979736572E-3</v>
      </c>
      <c r="R959" s="8">
        <f>+VLOOKUP($B959,NIFTY_ENERGY!$B$3:$I$1238,8,0)</f>
        <v>-1.924107128705832E-3</v>
      </c>
      <c r="S959" s="8">
        <f>+VLOOKUP($B959,NIFTY_AUTO!$B$3:$I$1238,8,0)</f>
        <v>3.4947669347802357E-3</v>
      </c>
      <c r="T959" s="8">
        <v>0</v>
      </c>
      <c r="U959" s="8">
        <f>+VLOOKUP($B959,NIFTY_50!$B$63:$K$1238,10,0)</f>
        <v>0.11466050670379024</v>
      </c>
      <c r="V959" s="8">
        <f>+VLOOKUP($B959,NIFTY_BANK!$B$63:$K$1238,10,0)</f>
        <v>0.27550900742424655</v>
      </c>
      <c r="W959" s="8">
        <f>+VLOOKUP($B959,NIFTY_IT!$B$63:$K$1238,10,0)</f>
        <v>0.16929068134983738</v>
      </c>
      <c r="X959" s="8">
        <f>+VLOOKUP($B959,NIFTY_PHARMA!$B$63:$K$1238,10,0)</f>
        <v>1.6491534058038493E-3</v>
      </c>
      <c r="Y959" s="8">
        <f>+VLOOKUP($B959,NIFTY_FMCG!$B$63:$K$1238,10,0)</f>
        <v>-1.5317017665238297E-2</v>
      </c>
      <c r="Z959" s="8">
        <f>+VLOOKUP($B959,NIFTY_METAL!$B$63:$K$1238,10,0)</f>
        <v>5.1605184446660068E-2</v>
      </c>
      <c r="AA959" s="8">
        <f>+VLOOKUP($B959,NIFTY_ENERGY!$B$63:$K$1238,10,0)</f>
        <v>6.9622337992945038E-3</v>
      </c>
      <c r="AB959" s="8">
        <f>+VLOOKUP($B959,NIFTY_AUTO!$B$63:$K$1238,10,0)</f>
        <v>4.308819733437419E-2</v>
      </c>
      <c r="AC959" s="8">
        <f>+VLOOKUP($B959,EBBETF0430!$B$63:$K$1238,10,0)</f>
        <v>-0.31226898771908906</v>
      </c>
      <c r="AD959" s="16">
        <f t="shared" si="517"/>
        <v>8.189083371310471E-2</v>
      </c>
      <c r="AE959" s="8">
        <f t="shared" si="518"/>
        <v>0.1510698823105969</v>
      </c>
      <c r="AF959" s="8">
        <f t="shared" si="519"/>
        <v>0.11663859923963399</v>
      </c>
      <c r="AG959" s="8">
        <f t="shared" si="520"/>
        <v>0.13706171722834432</v>
      </c>
      <c r="AH959" s="8">
        <f t="shared" si="521"/>
        <v>7.0665905376743596E-2</v>
      </c>
      <c r="AI959" s="8">
        <f t="shared" si="522"/>
        <v>0.1471947075667307</v>
      </c>
      <c r="AJ959" s="8">
        <f t="shared" si="523"/>
        <v>0.10384130952365297</v>
      </c>
      <c r="AK959" s="8">
        <f t="shared" si="524"/>
        <v>0.10703448118960242</v>
      </c>
      <c r="AL959" s="9">
        <v>0</v>
      </c>
      <c r="AM959" s="17">
        <f t="shared" si="501"/>
        <v>12.211378913339521</v>
      </c>
      <c r="AN959" s="13">
        <f t="shared" si="502"/>
        <v>6.619453094853271</v>
      </c>
      <c r="AO959" s="13">
        <f t="shared" si="503"/>
        <v>8.5734911643228848</v>
      </c>
      <c r="AP959" s="13">
        <f t="shared" si="504"/>
        <v>7.2959833002384151</v>
      </c>
      <c r="AQ959" s="13">
        <f t="shared" si="505"/>
        <v>14.151095845566051</v>
      </c>
      <c r="AR959" s="13">
        <f t="shared" si="506"/>
        <v>6.7937225225754139</v>
      </c>
      <c r="AS959" s="13">
        <f t="shared" si="507"/>
        <v>9.6300788634817813</v>
      </c>
      <c r="AT959" s="13">
        <f t="shared" si="508"/>
        <v>9.3427836421104864</v>
      </c>
      <c r="AU959" s="9">
        <v>0</v>
      </c>
      <c r="AV959" s="18">
        <f t="shared" si="525"/>
        <v>2</v>
      </c>
      <c r="AW959" s="18">
        <f t="shared" si="526"/>
        <v>8</v>
      </c>
      <c r="AX959" s="18">
        <f t="shared" si="527"/>
        <v>5</v>
      </c>
      <c r="AY959" s="18">
        <f t="shared" si="528"/>
        <v>6</v>
      </c>
      <c r="AZ959" s="18">
        <f t="shared" si="529"/>
        <v>1</v>
      </c>
      <c r="BA959" s="18">
        <f t="shared" si="530"/>
        <v>7</v>
      </c>
      <c r="BB959" s="18">
        <f t="shared" si="531"/>
        <v>3</v>
      </c>
      <c r="BC959" s="18">
        <f t="shared" si="532"/>
        <v>4</v>
      </c>
      <c r="BD959" s="18">
        <f t="shared" si="533"/>
        <v>9</v>
      </c>
      <c r="BE959" s="8">
        <f t="shared" si="535"/>
        <v>1.8835107633709556E-3</v>
      </c>
    </row>
    <row r="960" spans="1:57" x14ac:dyDescent="0.25">
      <c r="A960" t="str">
        <f t="shared" si="534"/>
        <v/>
      </c>
      <c r="B960" s="1">
        <v>44148</v>
      </c>
      <c r="C960" s="9">
        <f t="shared" si="509"/>
        <v>0.25780660455759918</v>
      </c>
      <c r="D960" s="9">
        <f t="shared" si="510"/>
        <v>0</v>
      </c>
      <c r="E960" s="9">
        <f t="shared" si="511"/>
        <v>0.24183315304480812</v>
      </c>
      <c r="F960" s="9">
        <f t="shared" si="512"/>
        <v>0</v>
      </c>
      <c r="G960" s="9">
        <f t="shared" si="513"/>
        <v>0.25034900704836688</v>
      </c>
      <c r="H960" s="9">
        <f t="shared" si="514"/>
        <v>0</v>
      </c>
      <c r="I960" s="9">
        <f t="shared" si="515"/>
        <v>0.25001123534922581</v>
      </c>
      <c r="J960" s="9">
        <f t="shared" si="516"/>
        <v>0</v>
      </c>
      <c r="K960" s="9">
        <v>0</v>
      </c>
      <c r="L960" s="8">
        <f>+VLOOKUP($B960,NIFTY_50!$B$3:$I$1238,8,0)</f>
        <v>2.2969395152394601E-3</v>
      </c>
      <c r="M960" s="8">
        <f>+VLOOKUP($B960,NIFTY_BANK!$B$3:$I$41238,8,0)</f>
        <v>6.6091913376806755E-3</v>
      </c>
      <c r="N960" s="8">
        <f>+VLOOKUP($B960,NIFTY_IT!$B$3:$I$1238,8,0)</f>
        <v>3.4404716488753984E-3</v>
      </c>
      <c r="O960" s="8">
        <f>+VLOOKUP($B960,NIFTY_PHARMA!$B$3:$I$1238,8,0)</f>
        <v>1.0831149575891486E-2</v>
      </c>
      <c r="P960" s="8">
        <f>+VLOOKUP($B960,NIFTY_FMCG!$B$3:$I$1238,8,0)</f>
        <v>-5.793816940993235E-4</v>
      </c>
      <c r="Q960" s="8">
        <f>+VLOOKUP($B960,NIFTY_METAL!$B$3:$I$1238,8,0)</f>
        <v>1.6724183700557393E-2</v>
      </c>
      <c r="R960" s="8">
        <f>+VLOOKUP($B960,NIFTY_ENERGY!$B$3:$I$1238,8,0)</f>
        <v>8.0066314345239586E-3</v>
      </c>
      <c r="S960" s="8">
        <f>+VLOOKUP($B960,NIFTY_AUTO!$B$3:$I$1238,8,0)</f>
        <v>2.9997404651107562E-3</v>
      </c>
      <c r="T960" s="8">
        <v>0</v>
      </c>
      <c r="U960" s="8">
        <f>+VLOOKUP($B960,NIFTY_50!$B$63:$K$1238,10,0)</f>
        <v>0.11496353564040551</v>
      </c>
      <c r="V960" s="8">
        <f>+VLOOKUP($B960,NIFTY_BANK!$B$63:$K$1238,10,0)</f>
        <v>0.277296407145325</v>
      </c>
      <c r="W960" s="8">
        <f>+VLOOKUP($B960,NIFTY_IT!$B$63:$K$1238,10,0)</f>
        <v>0.17714714030372014</v>
      </c>
      <c r="X960" s="8">
        <f>+VLOOKUP($B960,NIFTY_PHARMA!$B$63:$K$1238,10,0)</f>
        <v>1.6341795300704787E-2</v>
      </c>
      <c r="Y960" s="8">
        <f>+VLOOKUP($B960,NIFTY_FMCG!$B$63:$K$1238,10,0)</f>
        <v>-1.1522491732901097E-2</v>
      </c>
      <c r="Z960" s="8">
        <f>+VLOOKUP($B960,NIFTY_METAL!$B$63:$K$1238,10,0)</f>
        <v>6.6788691482800422E-2</v>
      </c>
      <c r="AA960" s="8">
        <f>+VLOOKUP($B960,NIFTY_ENERGY!$B$63:$K$1238,10,0)</f>
        <v>1.0008273930753653E-2</v>
      </c>
      <c r="AB960" s="8">
        <f>+VLOOKUP($B960,NIFTY_AUTO!$B$63:$K$1238,10,0)</f>
        <v>4.6283062703444511E-2</v>
      </c>
      <c r="AC960" s="8">
        <f>+VLOOKUP($B960,EBBETF0430!$B$63:$K$1238,10,0)</f>
        <v>0.11121959157106831</v>
      </c>
      <c r="AD960" s="16">
        <f t="shared" si="517"/>
        <v>8.1891905501239301E-2</v>
      </c>
      <c r="AE960" s="8">
        <f t="shared" si="518"/>
        <v>0.15108582377350199</v>
      </c>
      <c r="AF960" s="8">
        <f t="shared" si="519"/>
        <v>0.11648682985791602</v>
      </c>
      <c r="AG960" s="8">
        <f t="shared" si="520"/>
        <v>0.13740495712958617</v>
      </c>
      <c r="AH960" s="8">
        <f t="shared" si="521"/>
        <v>7.0539993964452111E-2</v>
      </c>
      <c r="AI960" s="8">
        <f t="shared" si="522"/>
        <v>0.14801496767564881</v>
      </c>
      <c r="AJ960" s="8">
        <f t="shared" si="523"/>
        <v>0.10402440463546336</v>
      </c>
      <c r="AK960" s="8">
        <f t="shared" si="524"/>
        <v>0.10705328072084956</v>
      </c>
      <c r="AL960" s="9">
        <v>0</v>
      </c>
      <c r="AM960" s="17">
        <f t="shared" ref="AM960:AM1023" si="536">1/AD960</f>
        <v>12.21121909276939</v>
      </c>
      <c r="AN960" s="13">
        <f t="shared" ref="AN960:AN1023" si="537">1/AE960</f>
        <v>6.6187546589356705</v>
      </c>
      <c r="AO960" s="13">
        <f t="shared" ref="AO960:AO1023" si="538">1/AF960</f>
        <v>8.5846614696248746</v>
      </c>
      <c r="AP960" s="13">
        <f t="shared" ref="AP960:AP1023" si="539">1/AG960</f>
        <v>7.277757810854693</v>
      </c>
      <c r="AQ960" s="13">
        <f t="shared" ref="AQ960:AQ1023" si="540">1/AH960</f>
        <v>14.176355054750069</v>
      </c>
      <c r="AR960" s="13">
        <f t="shared" ref="AR960:AR1023" si="541">1/AI960</f>
        <v>6.7560734951571959</v>
      </c>
      <c r="AS960" s="13">
        <f t="shared" ref="AS960:AS1023" si="542">1/AJ960</f>
        <v>9.6131287989999805</v>
      </c>
      <c r="AT960" s="13">
        <f t="shared" ref="AT960:AT1023" si="543">1/AK960</f>
        <v>9.3411429641991468</v>
      </c>
      <c r="AU960" s="9">
        <v>0</v>
      </c>
      <c r="AV960" s="18">
        <f t="shared" si="525"/>
        <v>2</v>
      </c>
      <c r="AW960" s="18">
        <f t="shared" si="526"/>
        <v>8</v>
      </c>
      <c r="AX960" s="18">
        <f t="shared" si="527"/>
        <v>5</v>
      </c>
      <c r="AY960" s="18">
        <f t="shared" si="528"/>
        <v>6</v>
      </c>
      <c r="AZ960" s="18">
        <f t="shared" si="529"/>
        <v>1</v>
      </c>
      <c r="BA960" s="18">
        <f t="shared" si="530"/>
        <v>7</v>
      </c>
      <c r="BB960" s="18">
        <f t="shared" si="531"/>
        <v>3</v>
      </c>
      <c r="BC960" s="18">
        <f t="shared" si="532"/>
        <v>4</v>
      </c>
      <c r="BD960" s="18">
        <f t="shared" si="533"/>
        <v>9</v>
      </c>
      <c r="BE960" s="8">
        <f t="shared" si="535"/>
        <v>3.2713595479719176E-3</v>
      </c>
    </row>
    <row r="961" spans="1:57" x14ac:dyDescent="0.25">
      <c r="A961" t="str">
        <f t="shared" si="534"/>
        <v/>
      </c>
      <c r="B961" s="1">
        <v>44152</v>
      </c>
      <c r="C961" s="9">
        <f t="shared" ref="C961:C1024" si="544">+IF($A961="Y",IF(AV961&lt;=4,0.25,0),C960*(1+L961)/SUMPRODUCT($C960:$J960,1+$L961:$S961))</f>
        <v>0.25959635189490854</v>
      </c>
      <c r="D961" s="9">
        <f t="shared" ref="D961:D1024" si="545">+IF($A961="Y",IF(AW961&lt;=4,0.25,0),D960*(1+M961)/SUMPRODUCT($C960:$J960,1+$L961:$S961))</f>
        <v>0</v>
      </c>
      <c r="E961" s="9">
        <f t="shared" ref="E961:E1024" si="546">+IF($A961="Y",IF(AX961&lt;=4,0.25,0),E960*(1+N961)/SUMPRODUCT($C960:$J960,1+$L961:$S961))</f>
        <v>0.24117466228059492</v>
      </c>
      <c r="F961" s="9">
        <f t="shared" ref="F961:F1024" si="547">+IF($A961="Y",IF(AY961&lt;=4,0.25,0),F960*(1+O961)/SUMPRODUCT($C960:$J960,1+$L961:$S961))</f>
        <v>0</v>
      </c>
      <c r="G961" s="9">
        <f t="shared" ref="G961:G1024" si="548">+IF($A961="Y",IF(AZ961&lt;=4,0.25,0),G960*(1+P961)/SUMPRODUCT($C960:$J960,1+$L961:$S961))</f>
        <v>0.24961986823728335</v>
      </c>
      <c r="H961" s="9">
        <f t="shared" ref="H961:H1024" si="549">+IF($A961="Y",IF(BA961&lt;=4,0.25,0),H960*(1+Q961)/SUMPRODUCT($C960:$J960,1+$L961:$S961))</f>
        <v>0</v>
      </c>
      <c r="I961" s="9">
        <f t="shared" ref="I961:I1024" si="550">+IF($A961="Y",IF(BB961&lt;=4,0.25,0),I960*(1+R961)/SUMPRODUCT($C960:$J960,1+$L961:$S961))</f>
        <v>0.24960911758721327</v>
      </c>
      <c r="J961" s="9">
        <f t="shared" ref="J961:J1024" si="551">+IF($A961="Y",IF(BC961&lt;=4,0.25,0),J960*(1+S961)/SUMPRODUCT($C960:$J960,1+$L961:$S961))</f>
        <v>0</v>
      </c>
      <c r="K961" s="9">
        <v>0</v>
      </c>
      <c r="L961" s="8">
        <f>+VLOOKUP($B961,NIFTY_50!$B$3:$I$1238,8,0)</f>
        <v>1.2126619994575538E-2</v>
      </c>
      <c r="M961" s="8">
        <f>+VLOOKUP($B961,NIFTY_BANK!$B$3:$I$41238,8,0)</f>
        <v>2.5139026969299927E-2</v>
      </c>
      <c r="N961" s="8">
        <f>+VLOOKUP($B961,NIFTY_IT!$B$3:$I$1238,8,0)</f>
        <v>2.411734933070786E-3</v>
      </c>
      <c r="O961" s="8">
        <f>+VLOOKUP($B961,NIFTY_PHARMA!$B$3:$I$1238,8,0)</f>
        <v>-3.040135761462448E-3</v>
      </c>
      <c r="P961" s="8">
        <f>+VLOOKUP($B961,NIFTY_FMCG!$B$3:$I$1238,8,0)</f>
        <v>2.2211830722469461E-3</v>
      </c>
      <c r="Q961" s="8">
        <f>+VLOOKUP($B961,NIFTY_METAL!$B$3:$I$1238,8,0)</f>
        <v>2.9970160387915001E-2</v>
      </c>
      <c r="R961" s="8">
        <f>+VLOOKUP($B961,NIFTY_ENERGY!$B$3:$I$1238,8,0)</f>
        <v>3.5319879641444452E-3</v>
      </c>
      <c r="S961" s="8">
        <f>+VLOOKUP($B961,NIFTY_AUTO!$B$3:$I$1238,8,0)</f>
        <v>1.4039162825403961E-2</v>
      </c>
      <c r="T961" s="8">
        <v>0</v>
      </c>
      <c r="U961" s="8">
        <f>+VLOOKUP($B961,NIFTY_50!$B$63:$K$1238,10,0)</f>
        <v>0.1380810098831351</v>
      </c>
      <c r="V961" s="8">
        <f>+VLOOKUP($B961,NIFTY_BANK!$B$63:$K$1238,10,0)</f>
        <v>0.32645588866994402</v>
      </c>
      <c r="W961" s="8">
        <f>+VLOOKUP($B961,NIFTY_IT!$B$63:$K$1238,10,0)</f>
        <v>0.1855032246318844</v>
      </c>
      <c r="X961" s="8">
        <f>+VLOOKUP($B961,NIFTY_PHARMA!$B$63:$K$1238,10,0)</f>
        <v>1.298858841164896E-2</v>
      </c>
      <c r="Y961" s="8">
        <f>+VLOOKUP($B961,NIFTY_FMCG!$B$63:$K$1238,10,0)</f>
        <v>-4.7217071301117741E-3</v>
      </c>
      <c r="Z961" s="8">
        <f>+VLOOKUP($B961,NIFTY_METAL!$B$63:$K$1238,10,0)</f>
        <v>8.7616684390877886E-2</v>
      </c>
      <c r="AA961" s="8">
        <f>+VLOOKUP($B961,NIFTY_ENERGY!$B$63:$K$1238,10,0)</f>
        <v>-2.2335763222114391E-3</v>
      </c>
      <c r="AB961" s="8">
        <f>+VLOOKUP($B961,NIFTY_AUTO!$B$63:$K$1238,10,0)</f>
        <v>6.4961575408261085E-2</v>
      </c>
      <c r="AC961" s="8">
        <f>+VLOOKUP($B961,EBBETF0430!$B$63:$K$1238,10,0)</f>
        <v>-0.18868600071607589</v>
      </c>
      <c r="AD961" s="16">
        <f t="shared" ref="AD961:AD1024" si="552">+_xlfn.STDEV.S(L901:L961)*SQRT(60)</f>
        <v>8.1851183745829934E-2</v>
      </c>
      <c r="AE961" s="8">
        <f t="shared" ref="AE961:AE1024" si="553">+_xlfn.STDEV.S(M901:M961)*SQRT(60)</f>
        <v>0.15149383185488016</v>
      </c>
      <c r="AF961" s="8">
        <f t="shared" ref="AF961:AF1024" si="554">+_xlfn.STDEV.S(N901:N961)*SQRT(60)</f>
        <v>0.11624594274070206</v>
      </c>
      <c r="AG961" s="8">
        <f t="shared" ref="AG961:AG1024" si="555">+_xlfn.STDEV.S(O901:O961)*SQRT(60)</f>
        <v>0.1374477984063687</v>
      </c>
      <c r="AH961" s="8">
        <f t="shared" ref="AH961:AH1024" si="556">+_xlfn.STDEV.S(P901:P961)*SQRT(60)</f>
        <v>7.0432151168272658E-2</v>
      </c>
      <c r="AI961" s="8">
        <f t="shared" ref="AI961:AI1024" si="557">+_xlfn.STDEV.S(Q901:Q961)*SQRT(60)</f>
        <v>0.1504870137889591</v>
      </c>
      <c r="AJ961" s="8">
        <f t="shared" ref="AJ961:AJ1024" si="558">+_xlfn.STDEV.S(R901:R961)*SQRT(60)</f>
        <v>0.10288934299790904</v>
      </c>
      <c r="AK961" s="8">
        <f t="shared" ref="AK961:AK1024" si="559">+_xlfn.STDEV.S(S901:S961)*SQRT(60)</f>
        <v>0.10774289143422518</v>
      </c>
      <c r="AL961" s="9">
        <v>0</v>
      </c>
      <c r="AM961" s="17">
        <f t="shared" si="536"/>
        <v>12.217294292349766</v>
      </c>
      <c r="AN961" s="13">
        <f t="shared" si="537"/>
        <v>6.6009288150947674</v>
      </c>
      <c r="AO961" s="13">
        <f t="shared" si="538"/>
        <v>8.6024507731043798</v>
      </c>
      <c r="AP961" s="13">
        <f t="shared" si="539"/>
        <v>7.2754893973890278</v>
      </c>
      <c r="AQ961" s="13">
        <f t="shared" si="540"/>
        <v>14.198061303151944</v>
      </c>
      <c r="AR961" s="13">
        <f t="shared" si="541"/>
        <v>6.6450916582236532</v>
      </c>
      <c r="AS961" s="13">
        <f t="shared" si="542"/>
        <v>9.7191795657624365</v>
      </c>
      <c r="AT961" s="13">
        <f t="shared" si="543"/>
        <v>9.2813547760640844</v>
      </c>
      <c r="AU961" s="9">
        <v>0</v>
      </c>
      <c r="AV961" s="18">
        <f t="shared" ref="AV961:AV1024" si="560">+RANK(AM961,$AM961:$AU961)</f>
        <v>2</v>
      </c>
      <c r="AW961" s="18">
        <f t="shared" ref="AW961:AW1024" si="561">+RANK(AN961,$AM961:$AU961)</f>
        <v>8</v>
      </c>
      <c r="AX961" s="18">
        <f t="shared" ref="AX961:AX1024" si="562">+RANK(AO961,$AM961:$AU961)</f>
        <v>5</v>
      </c>
      <c r="AY961" s="18">
        <f t="shared" ref="AY961:AY1024" si="563">+RANK(AP961,$AM961:$AU961)</f>
        <v>6</v>
      </c>
      <c r="AZ961" s="18">
        <f t="shared" ref="AZ961:AZ1024" si="564">+RANK(AQ961,$AM961:$AU961)</f>
        <v>1</v>
      </c>
      <c r="BA961" s="18">
        <f t="shared" ref="BA961:BA1024" si="565">+RANK(AR961,$AM961:$AU961)</f>
        <v>7</v>
      </c>
      <c r="BB961" s="18">
        <f t="shared" ref="BB961:BB1024" si="566">+RANK(AS961,$AM961:$AU961)</f>
        <v>3</v>
      </c>
      <c r="BC961" s="18">
        <f t="shared" ref="BC961:BC1024" si="567">+RANK(AT961,$AM961:$AU961)</f>
        <v>4</v>
      </c>
      <c r="BD961" s="18">
        <f t="shared" ref="BD961:BD1024" si="568">+RANK(AU961,$AM961:$AU961)</f>
        <v>9</v>
      </c>
      <c r="BE961" s="8">
        <f t="shared" si="535"/>
        <v>5.1486678394986425E-3</v>
      </c>
    </row>
    <row r="962" spans="1:57" x14ac:dyDescent="0.25">
      <c r="A962" t="str">
        <f t="shared" si="534"/>
        <v/>
      </c>
      <c r="B962" s="1">
        <v>44153</v>
      </c>
      <c r="C962" s="9">
        <f t="shared" si="544"/>
        <v>0.2618256318282835</v>
      </c>
      <c r="D962" s="9">
        <f t="shared" si="545"/>
        <v>0</v>
      </c>
      <c r="E962" s="9">
        <f t="shared" si="546"/>
        <v>0.24008506060377816</v>
      </c>
      <c r="F962" s="9">
        <f t="shared" si="547"/>
        <v>0</v>
      </c>
      <c r="G962" s="9">
        <f t="shared" si="548"/>
        <v>0.2478063282173058</v>
      </c>
      <c r="H962" s="9">
        <f t="shared" si="549"/>
        <v>0</v>
      </c>
      <c r="I962" s="9">
        <f t="shared" si="550"/>
        <v>0.25028297935063271</v>
      </c>
      <c r="J962" s="9">
        <f t="shared" si="551"/>
        <v>0</v>
      </c>
      <c r="K962" s="9">
        <v>0</v>
      </c>
      <c r="L962" s="8">
        <f>+VLOOKUP($B962,NIFTY_50!$B$3:$I$1238,8,0)</f>
        <v>4.9750664118934917E-3</v>
      </c>
      <c r="M962" s="8">
        <f>+VLOOKUP($B962,NIFTY_BANK!$B$3:$I$41238,8,0)</f>
        <v>1.9483367773197147E-2</v>
      </c>
      <c r="N962" s="8">
        <f>+VLOOKUP($B962,NIFTY_IT!$B$3:$I$1238,8,0)</f>
        <v>-8.0833746343983437E-3</v>
      </c>
      <c r="O962" s="8">
        <f>+VLOOKUP($B962,NIFTY_PHARMA!$B$3:$I$1238,8,0)</f>
        <v>-6.6590823553561718E-3</v>
      </c>
      <c r="P962" s="8">
        <f>+VLOOKUP($B962,NIFTY_FMCG!$B$3:$I$1238,8,0)</f>
        <v>-1.0820847228236508E-2</v>
      </c>
      <c r="Q962" s="8">
        <f>+VLOOKUP($B962,NIFTY_METAL!$B$3:$I$1238,8,0)</f>
        <v>4.0378800224527556E-3</v>
      </c>
      <c r="R962" s="8">
        <f>+VLOOKUP($B962,NIFTY_ENERGY!$B$3:$I$1238,8,0)</f>
        <v>-8.9166295140430396E-4</v>
      </c>
      <c r="S962" s="8">
        <f>+VLOOKUP($B962,NIFTY_AUTO!$B$3:$I$1238,8,0)</f>
        <v>3.0983140566491318E-2</v>
      </c>
      <c r="T962" s="8">
        <v>0</v>
      </c>
      <c r="U962" s="8">
        <f>+VLOOKUP($B962,NIFTY_50!$B$63:$K$1238,10,0)</f>
        <v>0.13776865172886832</v>
      </c>
      <c r="V962" s="8">
        <f>+VLOOKUP($B962,NIFTY_BANK!$B$63:$K$1238,10,0)</f>
        <v>0.33409792103894231</v>
      </c>
      <c r="W962" s="8">
        <f>+VLOOKUP($B962,NIFTY_IT!$B$63:$K$1238,10,0)</f>
        <v>0.17987799815115157</v>
      </c>
      <c r="X962" s="8">
        <f>+VLOOKUP($B962,NIFTY_PHARMA!$B$63:$K$1238,10,0)</f>
        <v>-1.678877992922212E-4</v>
      </c>
      <c r="Y962" s="8">
        <f>+VLOOKUP($B962,NIFTY_FMCG!$B$63:$K$1238,10,0)</f>
        <v>-2.0615800331599488E-2</v>
      </c>
      <c r="Z962" s="8">
        <f>+VLOOKUP($B962,NIFTY_METAL!$B$63:$K$1238,10,0)</f>
        <v>9.8628942780155437E-2</v>
      </c>
      <c r="AA962" s="8">
        <f>+VLOOKUP($B962,NIFTY_ENERGY!$B$63:$K$1238,10,0)</f>
        <v>-1.0832838576717352E-2</v>
      </c>
      <c r="AB962" s="8">
        <f>+VLOOKUP($B962,NIFTY_AUTO!$B$63:$K$1238,10,0)</f>
        <v>9.4760986552736792E-2</v>
      </c>
      <c r="AC962" s="8">
        <f>+VLOOKUP($B962,EBBETF0430!$B$63:$K$1238,10,0)</f>
        <v>-0.8794520547945206</v>
      </c>
      <c r="AD962" s="16">
        <f t="shared" si="552"/>
        <v>8.1841281579688119E-2</v>
      </c>
      <c r="AE962" s="8">
        <f t="shared" si="553"/>
        <v>0.15194364415151604</v>
      </c>
      <c r="AF962" s="8">
        <f t="shared" si="554"/>
        <v>0.11659464197035721</v>
      </c>
      <c r="AG962" s="8">
        <f t="shared" si="555"/>
        <v>0.13748424643452756</v>
      </c>
      <c r="AH962" s="8">
        <f t="shared" si="556"/>
        <v>7.1028136284471521E-2</v>
      </c>
      <c r="AI962" s="8">
        <f t="shared" si="557"/>
        <v>0.15031031357568411</v>
      </c>
      <c r="AJ962" s="8">
        <f t="shared" si="558"/>
        <v>0.10259579202337109</v>
      </c>
      <c r="AK962" s="8">
        <f t="shared" si="559"/>
        <v>0.11173065368279458</v>
      </c>
      <c r="AL962" s="9">
        <v>0</v>
      </c>
      <c r="AM962" s="17">
        <f t="shared" si="536"/>
        <v>12.218772491072357</v>
      </c>
      <c r="AN962" s="13">
        <f t="shared" si="537"/>
        <v>6.5813874978726599</v>
      </c>
      <c r="AO962" s="13">
        <f t="shared" si="538"/>
        <v>8.5767234505873606</v>
      </c>
      <c r="AP962" s="13">
        <f t="shared" si="539"/>
        <v>7.2735606146426219</v>
      </c>
      <c r="AQ962" s="13">
        <f t="shared" si="540"/>
        <v>14.078927764554402</v>
      </c>
      <c r="AR962" s="13">
        <f t="shared" si="541"/>
        <v>6.6529034249967216</v>
      </c>
      <c r="AS962" s="13">
        <f t="shared" si="542"/>
        <v>9.7469884512632081</v>
      </c>
      <c r="AT962" s="13">
        <f t="shared" si="543"/>
        <v>8.9500953143890012</v>
      </c>
      <c r="AU962" s="9">
        <v>0</v>
      </c>
      <c r="AV962" s="18">
        <f t="shared" si="560"/>
        <v>2</v>
      </c>
      <c r="AW962" s="18">
        <f t="shared" si="561"/>
        <v>8</v>
      </c>
      <c r="AX962" s="18">
        <f t="shared" si="562"/>
        <v>5</v>
      </c>
      <c r="AY962" s="18">
        <f t="shared" si="563"/>
        <v>6</v>
      </c>
      <c r="AZ962" s="18">
        <f t="shared" si="564"/>
        <v>1</v>
      </c>
      <c r="BA962" s="18">
        <f t="shared" si="565"/>
        <v>7</v>
      </c>
      <c r="BB962" s="18">
        <f t="shared" si="566"/>
        <v>3</v>
      </c>
      <c r="BC962" s="18">
        <f t="shared" si="567"/>
        <v>4</v>
      </c>
      <c r="BD962" s="18">
        <f t="shared" si="568"/>
        <v>9</v>
      </c>
      <c r="BE962" s="8">
        <f t="shared" si="535"/>
        <v>-3.5816617183895135E-3</v>
      </c>
    </row>
    <row r="963" spans="1:57" x14ac:dyDescent="0.25">
      <c r="A963" t="str">
        <f t="shared" si="534"/>
        <v/>
      </c>
      <c r="B963" s="1">
        <v>44154</v>
      </c>
      <c r="C963" s="9">
        <f t="shared" si="544"/>
        <v>0.25947543530770889</v>
      </c>
      <c r="D963" s="9">
        <f t="shared" si="545"/>
        <v>0</v>
      </c>
      <c r="E963" s="9">
        <f t="shared" si="546"/>
        <v>0.23876658511249188</v>
      </c>
      <c r="F963" s="9">
        <f t="shared" si="547"/>
        <v>0</v>
      </c>
      <c r="G963" s="9">
        <f t="shared" si="548"/>
        <v>0.24984826299630913</v>
      </c>
      <c r="H963" s="9">
        <f t="shared" si="549"/>
        <v>0</v>
      </c>
      <c r="I963" s="9">
        <f t="shared" si="550"/>
        <v>0.25190971658349015</v>
      </c>
      <c r="J963" s="9">
        <f t="shared" si="551"/>
        <v>0</v>
      </c>
      <c r="K963" s="9">
        <v>0</v>
      </c>
      <c r="L963" s="8">
        <f>+VLOOKUP($B963,NIFTY_50!$B$3:$I$1238,8,0)</f>
        <v>-1.2872683709156951E-2</v>
      </c>
      <c r="M963" s="8">
        <f>+VLOOKUP($B963,NIFTY_BANK!$B$3:$I$41238,8,0)</f>
        <v>-2.8464009062230566E-2</v>
      </c>
      <c r="N963" s="8">
        <f>+VLOOKUP($B963,NIFTY_IT!$B$3:$I$1238,8,0)</f>
        <v>-9.401895861335996E-3</v>
      </c>
      <c r="O963" s="8">
        <f>+VLOOKUP($B963,NIFTY_PHARMA!$B$3:$I$1238,8,0)</f>
        <v>-3.9912339241967576E-3</v>
      </c>
      <c r="P963" s="8">
        <f>+VLOOKUP($B963,NIFTY_FMCG!$B$3:$I$1238,8,0)</f>
        <v>4.2758582812245649E-3</v>
      </c>
      <c r="Q963" s="8">
        <f>+VLOOKUP($B963,NIFTY_METAL!$B$3:$I$1238,8,0)</f>
        <v>-7.1596032461677117E-3</v>
      </c>
      <c r="R963" s="8">
        <f>+VLOOKUP($B963,NIFTY_ENERGY!$B$3:$I$1238,8,0)</f>
        <v>2.5422503786662887E-3</v>
      </c>
      <c r="S963" s="8">
        <f>+VLOOKUP($B963,NIFTY_AUTO!$B$3:$I$1238,8,0)</f>
        <v>-6.7114866576106769E-3</v>
      </c>
      <c r="T963" s="8">
        <v>0</v>
      </c>
      <c r="U963" s="8">
        <f>+VLOOKUP($B963,NIFTY_50!$B$63:$K$1238,10,0)</f>
        <v>0.11383209275756667</v>
      </c>
      <c r="V963" s="8">
        <f>+VLOOKUP($B963,NIFTY_BANK!$B$63:$K$1238,10,0)</f>
        <v>0.26584548679542763</v>
      </c>
      <c r="W963" s="8">
        <f>+VLOOKUP($B963,NIFTY_IT!$B$63:$K$1238,10,0)</f>
        <v>0.17231184362845942</v>
      </c>
      <c r="X963" s="8">
        <f>+VLOOKUP($B963,NIFTY_PHARMA!$B$63:$K$1238,10,0)</f>
        <v>-4.8823694614263946E-4</v>
      </c>
      <c r="Y963" s="8">
        <f>+VLOOKUP($B963,NIFTY_FMCG!$B$63:$K$1238,10,0)</f>
        <v>-1.7596864926363698E-2</v>
      </c>
      <c r="Z963" s="8">
        <f>+VLOOKUP($B963,NIFTY_METAL!$B$63:$K$1238,10,0)</f>
        <v>8.9683702149558675E-2</v>
      </c>
      <c r="AA963" s="8">
        <f>+VLOOKUP($B963,NIFTY_ENERGY!$B$63:$K$1238,10,0)</f>
        <v>-7.4326426482483887E-3</v>
      </c>
      <c r="AB963" s="8">
        <f>+VLOOKUP($B963,NIFTY_AUTO!$B$63:$K$1238,10,0)</f>
        <v>8.553922802073366E-2</v>
      </c>
      <c r="AC963" s="8">
        <f>+VLOOKUP($B963,EBBETF0430!$B$63:$K$1238,10,0)</f>
        <v>-0.77063680895731279</v>
      </c>
      <c r="AD963" s="16">
        <f t="shared" si="552"/>
        <v>8.2939488204951312E-2</v>
      </c>
      <c r="AE963" s="8">
        <f t="shared" si="553"/>
        <v>0.15425931639201629</v>
      </c>
      <c r="AF963" s="8">
        <f t="shared" si="554"/>
        <v>0.1170859871789503</v>
      </c>
      <c r="AG963" s="8">
        <f t="shared" si="555"/>
        <v>0.13749349112014711</v>
      </c>
      <c r="AH963" s="8">
        <f t="shared" si="556"/>
        <v>7.1158689730553351E-2</v>
      </c>
      <c r="AI963" s="8">
        <f t="shared" si="557"/>
        <v>0.15056746810015731</v>
      </c>
      <c r="AJ963" s="8">
        <f t="shared" si="558"/>
        <v>0.10262555785157226</v>
      </c>
      <c r="AK963" s="8">
        <f t="shared" si="559"/>
        <v>0.11203318677006745</v>
      </c>
      <c r="AL963" s="9">
        <v>0</v>
      </c>
      <c r="AM963" s="17">
        <f t="shared" si="536"/>
        <v>12.056983008249405</v>
      </c>
      <c r="AN963" s="13">
        <f t="shared" si="537"/>
        <v>6.4825906362680801</v>
      </c>
      <c r="AO963" s="13">
        <f t="shared" si="538"/>
        <v>8.5407316801423345</v>
      </c>
      <c r="AP963" s="13">
        <f t="shared" si="539"/>
        <v>7.2730715603559846</v>
      </c>
      <c r="AQ963" s="13">
        <f t="shared" si="540"/>
        <v>14.053097433167475</v>
      </c>
      <c r="AR963" s="13">
        <f t="shared" si="541"/>
        <v>6.6415409159620138</v>
      </c>
      <c r="AS963" s="13">
        <f t="shared" si="542"/>
        <v>9.7441614051570262</v>
      </c>
      <c r="AT963" s="13">
        <f t="shared" si="543"/>
        <v>8.9259265832753751</v>
      </c>
      <c r="AU963" s="9">
        <v>0</v>
      </c>
      <c r="AV963" s="18">
        <f t="shared" si="560"/>
        <v>2</v>
      </c>
      <c r="AW963" s="18">
        <f t="shared" si="561"/>
        <v>8</v>
      </c>
      <c r="AX963" s="18">
        <f t="shared" si="562"/>
        <v>5</v>
      </c>
      <c r="AY963" s="18">
        <f t="shared" si="563"/>
        <v>6</v>
      </c>
      <c r="AZ963" s="18">
        <f t="shared" si="564"/>
        <v>1</v>
      </c>
      <c r="BA963" s="18">
        <f t="shared" si="565"/>
        <v>7</v>
      </c>
      <c r="BB963" s="18">
        <f t="shared" si="566"/>
        <v>3</v>
      </c>
      <c r="BC963" s="18">
        <f t="shared" si="567"/>
        <v>4</v>
      </c>
      <c r="BD963" s="18">
        <f t="shared" si="568"/>
        <v>9</v>
      </c>
      <c r="BE963" s="8">
        <f t="shared" si="535"/>
        <v>-3.9317865434592416E-3</v>
      </c>
    </row>
    <row r="964" spans="1:57" x14ac:dyDescent="0.25">
      <c r="A964" t="str">
        <f t="shared" ref="A964:A1027" si="569">+IF(MONTH(B964)&lt;&gt;MONTH(B965),"Y","")</f>
        <v/>
      </c>
      <c r="B964" s="1">
        <v>44155</v>
      </c>
      <c r="C964" s="9">
        <f t="shared" si="544"/>
        <v>0.25912400226881299</v>
      </c>
      <c r="D964" s="9">
        <f t="shared" si="545"/>
        <v>0</v>
      </c>
      <c r="E964" s="9">
        <f t="shared" si="546"/>
        <v>0.24013001378211521</v>
      </c>
      <c r="F964" s="9">
        <f t="shared" si="547"/>
        <v>0</v>
      </c>
      <c r="G964" s="9">
        <f t="shared" si="548"/>
        <v>0.25075788655877512</v>
      </c>
      <c r="H964" s="9">
        <f t="shared" si="549"/>
        <v>0</v>
      </c>
      <c r="I964" s="9">
        <f t="shared" si="550"/>
        <v>0.24998809739029662</v>
      </c>
      <c r="J964" s="9">
        <f t="shared" si="551"/>
        <v>0</v>
      </c>
      <c r="K964" s="9">
        <v>0</v>
      </c>
      <c r="L964" s="8">
        <f>+VLOOKUP($B964,NIFTY_50!$B$3:$I$1238,8,0)</f>
        <v>6.8393401035100609E-3</v>
      </c>
      <c r="M964" s="8">
        <f>+VLOOKUP($B964,NIFTY_BANK!$B$3:$I$41238,8,0)</f>
        <v>1.1519545515092711E-2</v>
      </c>
      <c r="N964" s="8">
        <f>+VLOOKUP($B964,NIFTY_IT!$B$3:$I$1238,8,0)</f>
        <v>1.3962002325421663E-2</v>
      </c>
      <c r="O964" s="8">
        <f>+VLOOKUP($B964,NIFTY_PHARMA!$B$3:$I$1238,8,0)</f>
        <v>-3.4452648142064835E-3</v>
      </c>
      <c r="P964" s="8">
        <f>+VLOOKUP($B964,NIFTY_FMCG!$B$3:$I$1238,8,0)</f>
        <v>1.1875426247860643E-2</v>
      </c>
      <c r="Q964" s="8">
        <f>+VLOOKUP($B964,NIFTY_METAL!$B$3:$I$1238,8,0)</f>
        <v>8.0286269594753712E-3</v>
      </c>
      <c r="R964" s="8">
        <f>+VLOOKUP($B964,NIFTY_ENERGY!$B$3:$I$1238,8,0)</f>
        <v>5.1405662772596727E-4</v>
      </c>
      <c r="S964" s="8">
        <f>+VLOOKUP($B964,NIFTY_AUTO!$B$3:$I$1238,8,0)</f>
        <v>6.5424243477858468E-3</v>
      </c>
      <c r="T964" s="8">
        <v>0</v>
      </c>
      <c r="U964" s="8">
        <f>+VLOOKUP($B964,NIFTY_50!$B$63:$K$1238,10,0)</f>
        <v>0.12088300028329213</v>
      </c>
      <c r="V964" s="8">
        <f>+VLOOKUP($B964,NIFTY_BANK!$B$63:$K$1238,10,0)</f>
        <v>0.26605794609856592</v>
      </c>
      <c r="W964" s="8">
        <f>+VLOOKUP($B964,NIFTY_IT!$B$63:$K$1238,10,0)</f>
        <v>0.19114317029882555</v>
      </c>
      <c r="X964" s="8">
        <f>+VLOOKUP($B964,NIFTY_PHARMA!$B$63:$K$1238,10,0)</f>
        <v>2.3260869565218112E-3</v>
      </c>
      <c r="Y964" s="8">
        <f>+VLOOKUP($B964,NIFTY_FMCG!$B$63:$K$1238,10,0)</f>
        <v>-1.8912724926334334E-4</v>
      </c>
      <c r="Z964" s="8">
        <f>+VLOOKUP($B964,NIFTY_METAL!$B$63:$K$1238,10,0)</f>
        <v>0.10658025922233305</v>
      </c>
      <c r="AA964" s="8">
        <f>+VLOOKUP($B964,NIFTY_ENERGY!$B$63:$K$1238,10,0)</f>
        <v>-1.2797086394413792E-3</v>
      </c>
      <c r="AB964" s="8">
        <f>+VLOOKUP($B964,NIFTY_AUTO!$B$63:$K$1238,10,0)</f>
        <v>8.7823788766972166E-2</v>
      </c>
      <c r="AC964" s="8">
        <f>+VLOOKUP($B964,EBBETF0430!$B$63:$K$1238,10,0)</f>
        <v>-0.6846071665752318</v>
      </c>
      <c r="AD964" s="16">
        <f t="shared" si="552"/>
        <v>8.3076458734179043E-2</v>
      </c>
      <c r="AE964" s="8">
        <f t="shared" si="553"/>
        <v>0.15426742251187464</v>
      </c>
      <c r="AF964" s="8">
        <f t="shared" si="554"/>
        <v>0.11750877778784891</v>
      </c>
      <c r="AG964" s="8">
        <f t="shared" si="555"/>
        <v>0.13739140043035644</v>
      </c>
      <c r="AH964" s="8">
        <f t="shared" si="556"/>
        <v>7.193962075534048E-2</v>
      </c>
      <c r="AI964" s="8">
        <f t="shared" si="557"/>
        <v>0.15042543748794082</v>
      </c>
      <c r="AJ964" s="8">
        <f t="shared" si="558"/>
        <v>0.10247033735795653</v>
      </c>
      <c r="AK964" s="8">
        <f t="shared" si="559"/>
        <v>0.11210898173414051</v>
      </c>
      <c r="AL964" s="9">
        <v>0</v>
      </c>
      <c r="AM964" s="17">
        <f t="shared" si="536"/>
        <v>12.037104316154286</v>
      </c>
      <c r="AN964" s="13">
        <f t="shared" si="537"/>
        <v>6.4822500027381063</v>
      </c>
      <c r="AO964" s="13">
        <f t="shared" si="538"/>
        <v>8.5100025617269743</v>
      </c>
      <c r="AP964" s="13">
        <f t="shared" si="539"/>
        <v>7.2784759225661944</v>
      </c>
      <c r="AQ964" s="13">
        <f t="shared" si="540"/>
        <v>13.900545895298793</v>
      </c>
      <c r="AR964" s="13">
        <f t="shared" si="541"/>
        <v>6.6478118109523008</v>
      </c>
      <c r="AS964" s="13">
        <f t="shared" si="542"/>
        <v>9.758921711233663</v>
      </c>
      <c r="AT964" s="13">
        <f t="shared" si="543"/>
        <v>8.9198919170583313</v>
      </c>
      <c r="AU964" s="9">
        <v>0</v>
      </c>
      <c r="AV964" s="18">
        <f t="shared" si="560"/>
        <v>2</v>
      </c>
      <c r="AW964" s="18">
        <f t="shared" si="561"/>
        <v>8</v>
      </c>
      <c r="AX964" s="18">
        <f t="shared" si="562"/>
        <v>5</v>
      </c>
      <c r="AY964" s="18">
        <f t="shared" si="563"/>
        <v>6</v>
      </c>
      <c r="AZ964" s="18">
        <f t="shared" si="564"/>
        <v>1</v>
      </c>
      <c r="BA964" s="18">
        <f t="shared" si="565"/>
        <v>7</v>
      </c>
      <c r="BB964" s="18">
        <f t="shared" si="566"/>
        <v>3</v>
      </c>
      <c r="BC964" s="18">
        <f t="shared" si="567"/>
        <v>4</v>
      </c>
      <c r="BD964" s="18">
        <f t="shared" si="568"/>
        <v>9</v>
      </c>
      <c r="BE964" s="8">
        <f t="shared" ref="BE964:BE1027" si="570">+SUMPRODUCT(C963:J963,L964:S964)</f>
        <v>8.2048508469164168E-3</v>
      </c>
    </row>
    <row r="965" spans="1:57" x14ac:dyDescent="0.25">
      <c r="A965" t="str">
        <f t="shared" si="569"/>
        <v/>
      </c>
      <c r="B965" s="1">
        <v>44158</v>
      </c>
      <c r="C965" s="9">
        <f t="shared" si="544"/>
        <v>0.25639198928981299</v>
      </c>
      <c r="D965" s="9">
        <f t="shared" si="545"/>
        <v>0</v>
      </c>
      <c r="E965" s="9">
        <f t="shared" si="546"/>
        <v>0.24295914234135352</v>
      </c>
      <c r="F965" s="9">
        <f t="shared" si="547"/>
        <v>0</v>
      </c>
      <c r="G965" s="9">
        <f t="shared" si="548"/>
        <v>0.24771297372626913</v>
      </c>
      <c r="H965" s="9">
        <f t="shared" si="549"/>
        <v>0</v>
      </c>
      <c r="I965" s="9">
        <f t="shared" si="550"/>
        <v>0.25293589464256439</v>
      </c>
      <c r="J965" s="9">
        <f t="shared" si="551"/>
        <v>0</v>
      </c>
      <c r="K965" s="9">
        <v>0</v>
      </c>
      <c r="L965" s="8">
        <f>+VLOOKUP($B965,NIFTY_50!$B$3:$I$1238,8,0)</f>
        <v>5.2414447412523213E-3</v>
      </c>
      <c r="M965" s="8">
        <f>+VLOOKUP($B965,NIFTY_BANK!$B$3:$I$41238,8,0)</f>
        <v>-7.2444930907100691E-3</v>
      </c>
      <c r="N965" s="8">
        <f>+VLOOKUP($B965,NIFTY_IT!$B$3:$I$1238,8,0)</f>
        <v>2.792251012996716E-2</v>
      </c>
      <c r="O965" s="8">
        <f>+VLOOKUP($B965,NIFTY_PHARMA!$B$3:$I$1238,8,0)</f>
        <v>1.8257531394365367E-2</v>
      </c>
      <c r="P965" s="8">
        <f>+VLOOKUP($B965,NIFTY_FMCG!$B$3:$I$1238,8,0)</f>
        <v>3.6163519513199294E-3</v>
      </c>
      <c r="Q965" s="8">
        <f>+VLOOKUP($B965,NIFTY_METAL!$B$3:$I$1238,8,0)</f>
        <v>1.2199297233985051E-2</v>
      </c>
      <c r="R965" s="8">
        <f>+VLOOKUP($B965,NIFTY_ENERGY!$B$3:$I$1238,8,0)</f>
        <v>2.7932768370431793E-2</v>
      </c>
      <c r="S965" s="8">
        <f>+VLOOKUP($B965,NIFTY_AUTO!$B$3:$I$1238,8,0)</f>
        <v>6.200523906848332E-3</v>
      </c>
      <c r="T965" s="8">
        <v>0</v>
      </c>
      <c r="U965" s="8">
        <f>+VLOOKUP($B965,NIFTY_50!$B$63:$K$1238,10,0)</f>
        <v>0.11921192075916043</v>
      </c>
      <c r="V965" s="8">
        <f>+VLOOKUP($B965,NIFTY_BANK!$B$63:$K$1238,10,0)</f>
        <v>0.23959819254982029</v>
      </c>
      <c r="W965" s="8">
        <f>+VLOOKUP($B965,NIFTY_IT!$B$63:$K$1238,10,0)</f>
        <v>0.21398113415710496</v>
      </c>
      <c r="X965" s="8">
        <f>+VLOOKUP($B965,NIFTY_PHARMA!$B$63:$K$1238,10,0)</f>
        <v>2.1999120557618879E-2</v>
      </c>
      <c r="Y965" s="8">
        <f>+VLOOKUP($B965,NIFTY_FMCG!$B$63:$K$1238,10,0)</f>
        <v>5.0830270197987915E-3</v>
      </c>
      <c r="Z965" s="8">
        <f>+VLOOKUP($B965,NIFTY_METAL!$B$63:$K$1238,10,0)</f>
        <v>0.11108473771659133</v>
      </c>
      <c r="AA965" s="8">
        <f>+VLOOKUP($B965,NIFTY_ENERGY!$B$63:$K$1238,10,0)</f>
        <v>1.802662728319171E-2</v>
      </c>
      <c r="AB965" s="8">
        <f>+VLOOKUP($B965,NIFTY_AUTO!$B$63:$K$1238,10,0)</f>
        <v>7.8772915252145026E-2</v>
      </c>
      <c r="AC965" s="8">
        <f>+VLOOKUP($B965,EBBETF0430!$B$63:$K$1238,10,0)</f>
        <v>-0.86385492944467146</v>
      </c>
      <c r="AD965" s="16">
        <f t="shared" si="552"/>
        <v>8.3002807041733753E-2</v>
      </c>
      <c r="AE965" s="8">
        <f t="shared" si="553"/>
        <v>0.15434222085614296</v>
      </c>
      <c r="AF965" s="8">
        <f t="shared" si="554"/>
        <v>0.11996965896643412</v>
      </c>
      <c r="AG965" s="8">
        <f t="shared" si="555"/>
        <v>0.13854260995073669</v>
      </c>
      <c r="AH965" s="8">
        <f t="shared" si="556"/>
        <v>7.2005564197503369E-2</v>
      </c>
      <c r="AI965" s="8">
        <f t="shared" si="557"/>
        <v>0.15065077004158767</v>
      </c>
      <c r="AJ965" s="8">
        <f t="shared" si="558"/>
        <v>0.1058321244346937</v>
      </c>
      <c r="AK965" s="8">
        <f t="shared" si="559"/>
        <v>0.11142872563477628</v>
      </c>
      <c r="AL965" s="9">
        <v>0</v>
      </c>
      <c r="AM965" s="17">
        <f t="shared" si="536"/>
        <v>12.047785317636315</v>
      </c>
      <c r="AN965" s="13">
        <f t="shared" si="537"/>
        <v>6.4791085320203168</v>
      </c>
      <c r="AO965" s="13">
        <f t="shared" si="538"/>
        <v>8.3354408824300013</v>
      </c>
      <c r="AP965" s="13">
        <f t="shared" si="539"/>
        <v>7.2179959678512073</v>
      </c>
      <c r="AQ965" s="13">
        <f t="shared" si="540"/>
        <v>13.887815631263019</v>
      </c>
      <c r="AR965" s="13">
        <f t="shared" si="541"/>
        <v>6.637868493628984</v>
      </c>
      <c r="AS965" s="13">
        <f t="shared" si="542"/>
        <v>9.4489268295570739</v>
      </c>
      <c r="AT965" s="13">
        <f t="shared" si="543"/>
        <v>8.9743465547442796</v>
      </c>
      <c r="AU965" s="9">
        <v>0</v>
      </c>
      <c r="AV965" s="18">
        <f t="shared" si="560"/>
        <v>2</v>
      </c>
      <c r="AW965" s="18">
        <f t="shared" si="561"/>
        <v>8</v>
      </c>
      <c r="AX965" s="18">
        <f t="shared" si="562"/>
        <v>5</v>
      </c>
      <c r="AY965" s="18">
        <f t="shared" si="563"/>
        <v>6</v>
      </c>
      <c r="AZ965" s="18">
        <f t="shared" si="564"/>
        <v>1</v>
      </c>
      <c r="BA965" s="18">
        <f t="shared" si="565"/>
        <v>7</v>
      </c>
      <c r="BB965" s="18">
        <f t="shared" si="566"/>
        <v>3</v>
      </c>
      <c r="BC965" s="18">
        <f t="shared" si="567"/>
        <v>4</v>
      </c>
      <c r="BD965" s="18">
        <f t="shared" si="568"/>
        <v>9</v>
      </c>
      <c r="BE965" s="8">
        <f t="shared" si="570"/>
        <v>1.5952905273498175E-2</v>
      </c>
    </row>
    <row r="966" spans="1:57" x14ac:dyDescent="0.25">
      <c r="A966" t="str">
        <f t="shared" si="569"/>
        <v/>
      </c>
      <c r="B966" s="1">
        <v>44159</v>
      </c>
      <c r="C966" s="9">
        <f t="shared" si="544"/>
        <v>0.25737341767175975</v>
      </c>
      <c r="D966" s="9">
        <f t="shared" si="545"/>
        <v>0</v>
      </c>
      <c r="E966" s="9">
        <f t="shared" si="546"/>
        <v>0.24211305720214024</v>
      </c>
      <c r="F966" s="9">
        <f t="shared" si="547"/>
        <v>0</v>
      </c>
      <c r="G966" s="9">
        <f t="shared" si="548"/>
        <v>0.24826963529472226</v>
      </c>
      <c r="H966" s="9">
        <f t="shared" si="549"/>
        <v>0</v>
      </c>
      <c r="I966" s="9">
        <f t="shared" si="550"/>
        <v>0.25224388983137785</v>
      </c>
      <c r="J966" s="9">
        <f t="shared" si="551"/>
        <v>0</v>
      </c>
      <c r="K966" s="9">
        <v>0</v>
      </c>
      <c r="L966" s="8">
        <f>+VLOOKUP($B966,NIFTY_50!$B$3:$I$1238,8,0)</f>
        <v>9.956329850809631E-3</v>
      </c>
      <c r="M966" s="8">
        <f>+VLOOKUP($B966,NIFTY_BANK!$B$3:$I$41238,8,0)</f>
        <v>2.4567429937776053E-2</v>
      </c>
      <c r="N966" s="8">
        <f>+VLOOKUP($B966,NIFTY_IT!$B$3:$I$1238,8,0)</f>
        <v>2.6014390842934443E-3</v>
      </c>
      <c r="O966" s="8">
        <f>+VLOOKUP($B966,NIFTY_PHARMA!$B$3:$I$1238,8,0)</f>
        <v>1.2234604505333424E-2</v>
      </c>
      <c r="P966" s="8">
        <f>+VLOOKUP($B966,NIFTY_FMCG!$B$3:$I$1238,8,0)</f>
        <v>8.3660404015446499E-3</v>
      </c>
      <c r="Q966" s="8">
        <f>+VLOOKUP($B966,NIFTY_METAL!$B$3:$I$1238,8,0)</f>
        <v>1.087730541907006E-2</v>
      </c>
      <c r="R966" s="8">
        <f>+VLOOKUP($B966,NIFTY_ENERGY!$B$3:$I$1238,8,0)</f>
        <v>3.352523993404688E-3</v>
      </c>
      <c r="S966" s="8">
        <f>+VLOOKUP($B966,NIFTY_AUTO!$B$3:$I$1238,8,0)</f>
        <v>1.7090838349392401E-2</v>
      </c>
      <c r="T966" s="8">
        <v>0</v>
      </c>
      <c r="U966" s="8">
        <f>+VLOOKUP($B966,NIFTY_50!$B$63:$K$1238,10,0)</f>
        <v>0.12941151026234388</v>
      </c>
      <c r="V966" s="8">
        <f>+VLOOKUP($B966,NIFTY_BANK!$B$63:$K$1238,10,0)</f>
        <v>0.26003427915263977</v>
      </c>
      <c r="W966" s="8">
        <f>+VLOOKUP($B966,NIFTY_IT!$B$63:$K$1238,10,0)</f>
        <v>0.21884364996285055</v>
      </c>
      <c r="X966" s="8">
        <f>+VLOOKUP($B966,NIFTY_PHARMA!$B$63:$K$1238,10,0)</f>
        <v>2.5263094308360712E-2</v>
      </c>
      <c r="Y966" s="8">
        <f>+VLOOKUP($B966,NIFTY_FMCG!$B$63:$K$1238,10,0)</f>
        <v>1.653390048364245E-2</v>
      </c>
      <c r="Z966" s="8">
        <f>+VLOOKUP($B966,NIFTY_METAL!$B$63:$K$1238,10,0)</f>
        <v>0.12172813654412207</v>
      </c>
      <c r="AA966" s="8">
        <f>+VLOOKUP($B966,NIFTY_ENERGY!$B$63:$K$1238,10,0)</f>
        <v>2.9035202330568E-2</v>
      </c>
      <c r="AB966" s="8">
        <f>+VLOOKUP($B966,NIFTY_AUTO!$B$63:$K$1238,10,0)</f>
        <v>8.614811193938654E-2</v>
      </c>
      <c r="AC966" s="8">
        <f>+VLOOKUP($B966,EBBETF0430!$B$63:$K$1238,10,0)</f>
        <v>-0.87606633453900229</v>
      </c>
      <c r="AD966" s="16">
        <f t="shared" si="552"/>
        <v>8.3377378150941303E-2</v>
      </c>
      <c r="AE966" s="8">
        <f t="shared" si="553"/>
        <v>0.15567161684427855</v>
      </c>
      <c r="AF966" s="8">
        <f t="shared" si="554"/>
        <v>0.11987850859837822</v>
      </c>
      <c r="AG966" s="8">
        <f t="shared" si="555"/>
        <v>0.13877692698035743</v>
      </c>
      <c r="AH966" s="8">
        <f t="shared" si="556"/>
        <v>7.2393807666226398E-2</v>
      </c>
      <c r="AI966" s="8">
        <f t="shared" si="557"/>
        <v>0.15091081729026903</v>
      </c>
      <c r="AJ966" s="8">
        <f t="shared" si="558"/>
        <v>0.10557959592119381</v>
      </c>
      <c r="AK966" s="8">
        <f t="shared" si="559"/>
        <v>0.11218448658962119</v>
      </c>
      <c r="AL966" s="9">
        <v>0</v>
      </c>
      <c r="AM966" s="17">
        <f t="shared" si="536"/>
        <v>11.993660896720225</v>
      </c>
      <c r="AN966" s="13">
        <f t="shared" si="537"/>
        <v>6.4237785941435952</v>
      </c>
      <c r="AO966" s="13">
        <f t="shared" si="538"/>
        <v>8.3417787866400648</v>
      </c>
      <c r="AP966" s="13">
        <f t="shared" si="539"/>
        <v>7.2058087879517654</v>
      </c>
      <c r="AQ966" s="13">
        <f t="shared" si="540"/>
        <v>13.81333614347966</v>
      </c>
      <c r="AR966" s="13">
        <f t="shared" si="541"/>
        <v>6.626430218561155</v>
      </c>
      <c r="AS966" s="13">
        <f t="shared" si="542"/>
        <v>9.4715270623541219</v>
      </c>
      <c r="AT966" s="13">
        <f t="shared" si="543"/>
        <v>8.9138884564143961</v>
      </c>
      <c r="AU966" s="9">
        <v>0</v>
      </c>
      <c r="AV966" s="18">
        <f t="shared" si="560"/>
        <v>2</v>
      </c>
      <c r="AW966" s="18">
        <f t="shared" si="561"/>
        <v>8</v>
      </c>
      <c r="AX966" s="18">
        <f t="shared" si="562"/>
        <v>5</v>
      </c>
      <c r="AY966" s="18">
        <f t="shared" si="563"/>
        <v>6</v>
      </c>
      <c r="AZ966" s="18">
        <f t="shared" si="564"/>
        <v>1</v>
      </c>
      <c r="BA966" s="18">
        <f t="shared" si="565"/>
        <v>7</v>
      </c>
      <c r="BB966" s="18">
        <f t="shared" si="566"/>
        <v>3</v>
      </c>
      <c r="BC966" s="18">
        <f t="shared" si="567"/>
        <v>4</v>
      </c>
      <c r="BD966" s="18">
        <f t="shared" si="568"/>
        <v>9</v>
      </c>
      <c r="BE966" s="8">
        <f t="shared" si="570"/>
        <v>6.1051170270110533E-3</v>
      </c>
    </row>
    <row r="967" spans="1:57" x14ac:dyDescent="0.25">
      <c r="A967" t="str">
        <f t="shared" si="569"/>
        <v/>
      </c>
      <c r="B967" s="1">
        <v>44160</v>
      </c>
      <c r="C967" s="9">
        <f t="shared" si="544"/>
        <v>0.25656544215222399</v>
      </c>
      <c r="D967" s="9">
        <f t="shared" si="545"/>
        <v>0</v>
      </c>
      <c r="E967" s="9">
        <f t="shared" si="546"/>
        <v>0.2410656102778726</v>
      </c>
      <c r="F967" s="9">
        <f t="shared" si="547"/>
        <v>0</v>
      </c>
      <c r="G967" s="9">
        <f t="shared" si="548"/>
        <v>0.24819462667046632</v>
      </c>
      <c r="H967" s="9">
        <f t="shared" si="549"/>
        <v>0</v>
      </c>
      <c r="I967" s="9">
        <f t="shared" si="550"/>
        <v>0.25417432089943703</v>
      </c>
      <c r="J967" s="9">
        <f t="shared" si="551"/>
        <v>0</v>
      </c>
      <c r="K967" s="9">
        <v>0</v>
      </c>
      <c r="L967" s="8">
        <f>+VLOOKUP($B967,NIFTY_50!$B$3:$I$1238,8,0)</f>
        <v>-1.5070680919024304E-2</v>
      </c>
      <c r="M967" s="8">
        <f>+VLOOKUP($B967,NIFTY_BANK!$B$3:$I$41238,8,0)</f>
        <v>-1.8187626629900144E-2</v>
      </c>
      <c r="N967" s="8">
        <f>+VLOOKUP($B967,NIFTY_IT!$B$3:$I$1238,8,0)</f>
        <v>-1.6243433963461285E-2</v>
      </c>
      <c r="O967" s="8">
        <f>+VLOOKUP($B967,NIFTY_PHARMA!$B$3:$I$1238,8,0)</f>
        <v>-2.0672008618948134E-2</v>
      </c>
      <c r="P967" s="8">
        <f>+VLOOKUP($B967,NIFTY_FMCG!$B$3:$I$1238,8,0)</f>
        <v>-1.2267452453804673E-2</v>
      </c>
      <c r="Q967" s="8">
        <f>+VLOOKUP($B967,NIFTY_METAL!$B$3:$I$1238,8,0)</f>
        <v>-7.9601289118221841E-3</v>
      </c>
      <c r="R967" s="8">
        <f>+VLOOKUP($B967,NIFTY_ENERGY!$B$3:$I$1238,8,0)</f>
        <v>-4.4075076470713181E-3</v>
      </c>
      <c r="S967" s="8">
        <f>+VLOOKUP($B967,NIFTY_AUTO!$B$3:$I$1238,8,0)</f>
        <v>-1.6820526668129276E-2</v>
      </c>
      <c r="T967" s="8">
        <v>0</v>
      </c>
      <c r="U967" s="8">
        <f>+VLOOKUP($B967,NIFTY_50!$B$63:$K$1238,10,0)</f>
        <v>0.1039527456300009</v>
      </c>
      <c r="V967" s="8">
        <f>+VLOOKUP($B967,NIFTY_BANK!$B$63:$K$1238,10,0)</f>
        <v>0.19053327787700125</v>
      </c>
      <c r="W967" s="8">
        <f>+VLOOKUP($B967,NIFTY_IT!$B$63:$K$1238,10,0)</f>
        <v>0.19776514733473127</v>
      </c>
      <c r="X967" s="8">
        <f>+VLOOKUP($B967,NIFTY_PHARMA!$B$63:$K$1238,10,0)</f>
        <v>1.0582556848979241E-3</v>
      </c>
      <c r="Y967" s="8">
        <f>+VLOOKUP($B967,NIFTY_FMCG!$B$63:$K$1238,10,0)</f>
        <v>6.0233350238134697E-3</v>
      </c>
      <c r="Z967" s="8">
        <f>+VLOOKUP($B967,NIFTY_METAL!$B$63:$K$1238,10,0)</f>
        <v>0.11752335985081452</v>
      </c>
      <c r="AA967" s="8">
        <f>+VLOOKUP($B967,NIFTY_ENERGY!$B$63:$K$1238,10,0)</f>
        <v>2.6125886386049402E-2</v>
      </c>
      <c r="AB967" s="8">
        <f>+VLOOKUP($B967,NIFTY_AUTO!$B$63:$K$1238,10,0)</f>
        <v>7.7245018090817741E-2</v>
      </c>
      <c r="AC967" s="8">
        <f>+VLOOKUP($B967,EBBETF0430!$B$63:$K$1238,10,0)</f>
        <v>-0.94175495942290355</v>
      </c>
      <c r="AD967" s="16">
        <f t="shared" si="552"/>
        <v>8.4884370356125963E-2</v>
      </c>
      <c r="AE967" s="8">
        <f t="shared" si="553"/>
        <v>0.15309281351123899</v>
      </c>
      <c r="AF967" s="8">
        <f t="shared" si="554"/>
        <v>0.12142997379234946</v>
      </c>
      <c r="AG967" s="8">
        <f t="shared" si="555"/>
        <v>0.14033888681465043</v>
      </c>
      <c r="AH967" s="8">
        <f t="shared" si="556"/>
        <v>7.3431952005320544E-2</v>
      </c>
      <c r="AI967" s="8">
        <f t="shared" si="557"/>
        <v>0.15111190403673933</v>
      </c>
      <c r="AJ967" s="8">
        <f t="shared" si="558"/>
        <v>0.1056740236411455</v>
      </c>
      <c r="AK967" s="8">
        <f t="shared" si="559"/>
        <v>0.11320477135864461</v>
      </c>
      <c r="AL967" s="9">
        <v>0</v>
      </c>
      <c r="AM967" s="17">
        <f t="shared" si="536"/>
        <v>11.780731786129479</v>
      </c>
      <c r="AN967" s="13">
        <f t="shared" si="537"/>
        <v>6.5319852517217409</v>
      </c>
      <c r="AO967" s="13">
        <f t="shared" si="538"/>
        <v>8.2351990103369666</v>
      </c>
      <c r="AP967" s="13">
        <f t="shared" si="539"/>
        <v>7.1256087510564949</v>
      </c>
      <c r="AQ967" s="13">
        <f t="shared" si="540"/>
        <v>13.618050081625837</v>
      </c>
      <c r="AR967" s="13">
        <f t="shared" si="541"/>
        <v>6.6176123342134145</v>
      </c>
      <c r="AS967" s="13">
        <f t="shared" si="542"/>
        <v>9.4630635376945893</v>
      </c>
      <c r="AT967" s="13">
        <f t="shared" si="543"/>
        <v>8.8335499290210571</v>
      </c>
      <c r="AU967" s="9">
        <v>0</v>
      </c>
      <c r="AV967" s="18">
        <f t="shared" si="560"/>
        <v>2</v>
      </c>
      <c r="AW967" s="18">
        <f t="shared" si="561"/>
        <v>8</v>
      </c>
      <c r="AX967" s="18">
        <f t="shared" si="562"/>
        <v>5</v>
      </c>
      <c r="AY967" s="18">
        <f t="shared" si="563"/>
        <v>6</v>
      </c>
      <c r="AZ967" s="18">
        <f t="shared" si="564"/>
        <v>1</v>
      </c>
      <c r="BA967" s="18">
        <f t="shared" si="565"/>
        <v>7</v>
      </c>
      <c r="BB967" s="18">
        <f t="shared" si="566"/>
        <v>3</v>
      </c>
      <c r="BC967" s="18">
        <f t="shared" si="567"/>
        <v>4</v>
      </c>
      <c r="BD967" s="18">
        <f t="shared" si="568"/>
        <v>9</v>
      </c>
      <c r="BE967" s="8">
        <f t="shared" si="570"/>
        <v>-1.1968942931184796E-2</v>
      </c>
    </row>
    <row r="968" spans="1:57" x14ac:dyDescent="0.25">
      <c r="A968" t="str">
        <f t="shared" si="569"/>
        <v/>
      </c>
      <c r="B968" s="1">
        <v>44161</v>
      </c>
      <c r="C968" s="9">
        <f t="shared" si="544"/>
        <v>0.25766936952637087</v>
      </c>
      <c r="D968" s="9">
        <f t="shared" si="545"/>
        <v>0</v>
      </c>
      <c r="E968" s="9">
        <f t="shared" si="546"/>
        <v>0.24140616648964058</v>
      </c>
      <c r="F968" s="9">
        <f t="shared" si="547"/>
        <v>0</v>
      </c>
      <c r="G968" s="9">
        <f t="shared" si="548"/>
        <v>0.24883195648984807</v>
      </c>
      <c r="H968" s="9">
        <f t="shared" si="549"/>
        <v>0</v>
      </c>
      <c r="I968" s="9">
        <f t="shared" si="550"/>
        <v>0.25209250749414025</v>
      </c>
      <c r="J968" s="9">
        <f t="shared" si="551"/>
        <v>0</v>
      </c>
      <c r="K968" s="9">
        <v>0</v>
      </c>
      <c r="L968" s="8">
        <f>+VLOOKUP($B968,NIFTY_50!$B$3:$I$1238,8,0)</f>
        <v>1.000124432277727E-2</v>
      </c>
      <c r="M968" s="8">
        <f>+VLOOKUP($B968,NIFTY_BANK!$B$3:$I$41238,8,0)</f>
        <v>1.2102519488704111E-2</v>
      </c>
      <c r="N968" s="8">
        <f>+VLOOKUP($B968,NIFTY_IT!$B$3:$I$1238,8,0)</f>
        <v>7.094845180342757E-3</v>
      </c>
      <c r="O968" s="8">
        <f>+VLOOKUP($B968,NIFTY_PHARMA!$B$3:$I$1238,8,0)</f>
        <v>1.4271349009900902E-2</v>
      </c>
      <c r="P968" s="8">
        <f>+VLOOKUP($B968,NIFTY_FMCG!$B$3:$I$1238,8,0)</f>
        <v>8.2565510134628983E-3</v>
      </c>
      <c r="Q968" s="8">
        <f>+VLOOKUP($B968,NIFTY_METAL!$B$3:$I$1238,8,0)</f>
        <v>3.8522305657630707E-2</v>
      </c>
      <c r="R968" s="8">
        <f>+VLOOKUP($B968,NIFTY_ENERGY!$B$3:$I$1238,8,0)</f>
        <v>-2.5628508664876648E-3</v>
      </c>
      <c r="S968" s="8">
        <f>+VLOOKUP($B968,NIFTY_AUTO!$B$3:$I$1238,8,0)</f>
        <v>3.3529973851196271E-3</v>
      </c>
      <c r="T968" s="8">
        <v>0</v>
      </c>
      <c r="U968" s="8">
        <f>+VLOOKUP($B968,NIFTY_50!$B$63:$K$1238,10,0)</f>
        <v>0.14046103183315028</v>
      </c>
      <c r="V968" s="8">
        <f>+VLOOKUP($B968,NIFTY_BANK!$B$63:$K$1238,10,0)</f>
        <v>0.24397215667867167</v>
      </c>
      <c r="W968" s="8">
        <f>+VLOOKUP($B968,NIFTY_IT!$B$63:$K$1238,10,0)</f>
        <v>0.21925834618505946</v>
      </c>
      <c r="X968" s="8">
        <f>+VLOOKUP($B968,NIFTY_PHARMA!$B$63:$K$1238,10,0)</f>
        <v>6.5113991227278456E-2</v>
      </c>
      <c r="Y968" s="8">
        <f>+VLOOKUP($B968,NIFTY_FMCG!$B$63:$K$1238,10,0)</f>
        <v>3.6154423168377914E-2</v>
      </c>
      <c r="Z968" s="8">
        <f>+VLOOKUP($B968,NIFTY_METAL!$B$63:$K$1238,10,0)</f>
        <v>0.20839874411302994</v>
      </c>
      <c r="AA968" s="8">
        <f>+VLOOKUP($B968,NIFTY_ENERGY!$B$63:$K$1238,10,0)</f>
        <v>4.7467999551433104E-2</v>
      </c>
      <c r="AB968" s="8">
        <f>+VLOOKUP($B968,NIFTY_AUTO!$B$63:$K$1238,10,0)</f>
        <v>0.1182855357222572</v>
      </c>
      <c r="AC968" s="8">
        <f>+VLOOKUP($B968,EBBETF0430!$B$63:$K$1238,10,0)</f>
        <v>0.61105752144996694</v>
      </c>
      <c r="AD968" s="16">
        <f t="shared" si="552"/>
        <v>8.1736296095679978E-2</v>
      </c>
      <c r="AE968" s="8">
        <f t="shared" si="553"/>
        <v>0.14934134592315243</v>
      </c>
      <c r="AF968" s="8">
        <f t="shared" si="554"/>
        <v>0.12069518911313366</v>
      </c>
      <c r="AG968" s="8">
        <f t="shared" si="555"/>
        <v>0.13278714702451905</v>
      </c>
      <c r="AH968" s="8">
        <f t="shared" si="556"/>
        <v>7.0670332454749282E-2</v>
      </c>
      <c r="AI968" s="8">
        <f t="shared" si="557"/>
        <v>0.14945990297473638</v>
      </c>
      <c r="AJ968" s="8">
        <f t="shared" si="558"/>
        <v>0.10306379903561089</v>
      </c>
      <c r="AK968" s="8">
        <f t="shared" si="559"/>
        <v>0.10764047027616447</v>
      </c>
      <c r="AL968" s="9">
        <v>0</v>
      </c>
      <c r="AM968" s="17">
        <f t="shared" si="536"/>
        <v>12.234466788529376</v>
      </c>
      <c r="AN968" s="13">
        <f t="shared" si="537"/>
        <v>6.6960692889066147</v>
      </c>
      <c r="AO968" s="13">
        <f t="shared" si="538"/>
        <v>8.2853343811628637</v>
      </c>
      <c r="AP968" s="13">
        <f t="shared" si="539"/>
        <v>7.5308493510697296</v>
      </c>
      <c r="AQ968" s="13">
        <f t="shared" si="540"/>
        <v>14.15020936317665</v>
      </c>
      <c r="AR968" s="13">
        <f t="shared" si="541"/>
        <v>6.6907577222837666</v>
      </c>
      <c r="AS968" s="13">
        <f t="shared" si="542"/>
        <v>9.7027279156911082</v>
      </c>
      <c r="AT968" s="13">
        <f t="shared" si="543"/>
        <v>9.2901860929665272</v>
      </c>
      <c r="AU968" s="9">
        <v>0</v>
      </c>
      <c r="AV968" s="18">
        <f t="shared" si="560"/>
        <v>2</v>
      </c>
      <c r="AW968" s="18">
        <f t="shared" si="561"/>
        <v>7</v>
      </c>
      <c r="AX968" s="18">
        <f t="shared" si="562"/>
        <v>5</v>
      </c>
      <c r="AY968" s="18">
        <f t="shared" si="563"/>
        <v>6</v>
      </c>
      <c r="AZ968" s="18">
        <f t="shared" si="564"/>
        <v>1</v>
      </c>
      <c r="BA968" s="18">
        <f t="shared" si="565"/>
        <v>8</v>
      </c>
      <c r="BB968" s="18">
        <f t="shared" si="566"/>
        <v>3</v>
      </c>
      <c r="BC968" s="18">
        <f t="shared" si="567"/>
        <v>4</v>
      </c>
      <c r="BD968" s="18">
        <f t="shared" si="568"/>
        <v>9</v>
      </c>
      <c r="BE968" s="8">
        <f t="shared" si="570"/>
        <v>5.6741175727881678E-3</v>
      </c>
    </row>
    <row r="969" spans="1:57" x14ac:dyDescent="0.25">
      <c r="A969" t="str">
        <f t="shared" si="569"/>
        <v>Y</v>
      </c>
      <c r="B969" s="1">
        <v>44162</v>
      </c>
      <c r="C969" s="9">
        <f t="shared" si="544"/>
        <v>0.25</v>
      </c>
      <c r="D969" s="9">
        <f t="shared" si="545"/>
        <v>0</v>
      </c>
      <c r="E969" s="9">
        <f t="shared" si="546"/>
        <v>0</v>
      </c>
      <c r="F969" s="9">
        <f t="shared" si="547"/>
        <v>0</v>
      </c>
      <c r="G969" s="9">
        <f t="shared" si="548"/>
        <v>0.25</v>
      </c>
      <c r="H969" s="9">
        <f t="shared" si="549"/>
        <v>0</v>
      </c>
      <c r="I969" s="9">
        <f t="shared" si="550"/>
        <v>0.25</v>
      </c>
      <c r="J969" s="9">
        <f t="shared" si="551"/>
        <v>0.25</v>
      </c>
      <c r="K969" s="9">
        <v>0</v>
      </c>
      <c r="L969" s="8">
        <f>+VLOOKUP($B969,NIFTY_50!$B$3:$I$1238,8,0)</f>
        <v>-1.3898513898513709E-3</v>
      </c>
      <c r="M969" s="8">
        <f>+VLOOKUP($B969,NIFTY_BANK!$B$3:$I$41238,8,0)</f>
        <v>2.0067851673872816E-3</v>
      </c>
      <c r="N969" s="8">
        <f>+VLOOKUP($B969,NIFTY_IT!$B$3:$I$1238,8,0)</f>
        <v>-4.345857025878419E-3</v>
      </c>
      <c r="O969" s="8">
        <f>+VLOOKUP($B969,NIFTY_PHARMA!$B$3:$I$1238,8,0)</f>
        <v>3.2115242029446822E-3</v>
      </c>
      <c r="P969" s="8">
        <f>+VLOOKUP($B969,NIFTY_FMCG!$B$3:$I$1238,8,0)</f>
        <v>5.5202783482055651E-4</v>
      </c>
      <c r="Q969" s="8">
        <f>+VLOOKUP($B969,NIFTY_METAL!$B$3:$I$1238,8,0)</f>
        <v>2.3931214851025118E-4</v>
      </c>
      <c r="R969" s="8">
        <f>+VLOOKUP($B969,NIFTY_ENERGY!$B$3:$I$1238,8,0)</f>
        <v>-5.7598189159426827E-3</v>
      </c>
      <c r="S969" s="8">
        <f>+VLOOKUP($B969,NIFTY_AUTO!$B$3:$I$1238,8,0)</f>
        <v>1.4125630863106364E-2</v>
      </c>
      <c r="T969" s="8">
        <v>0</v>
      </c>
      <c r="U969" s="8">
        <f>+VLOOKUP($B969,NIFTY_50!$B$63:$K$1238,10,0)</f>
        <v>0.13065975022340415</v>
      </c>
      <c r="V969" s="8">
        <f>+VLOOKUP($B969,NIFTY_BANK!$B$63:$K$1238,10,0)</f>
        <v>0.24345078111876362</v>
      </c>
      <c r="W969" s="8">
        <f>+VLOOKUP($B969,NIFTY_IT!$B$63:$K$1238,10,0)</f>
        <v>0.22178280626808622</v>
      </c>
      <c r="X969" s="8">
        <f>+VLOOKUP($B969,NIFTY_PHARMA!$B$63:$K$1238,10,0)</f>
        <v>4.4062789364610389E-2</v>
      </c>
      <c r="Y969" s="8">
        <f>+VLOOKUP($B969,NIFTY_FMCG!$B$63:$K$1238,10,0)</f>
        <v>2.3578367859972138E-2</v>
      </c>
      <c r="Z969" s="8">
        <f>+VLOOKUP($B969,NIFTY_METAL!$B$63:$K$1238,10,0)</f>
        <v>0.17182337038149598</v>
      </c>
      <c r="AA969" s="8">
        <f>+VLOOKUP($B969,NIFTY_ENERGY!$B$63:$K$1238,10,0)</f>
        <v>3.6929633989555288E-2</v>
      </c>
      <c r="AB969" s="8">
        <f>+VLOOKUP($B969,NIFTY_AUTO!$B$63:$K$1238,10,0)</f>
        <v>0.12752426784344317</v>
      </c>
      <c r="AC969" s="8">
        <f>+VLOOKUP($B969,EBBETF0430!$B$63:$K$1238,10,0)</f>
        <v>-0.95773884459364944</v>
      </c>
      <c r="AD969" s="16">
        <f t="shared" si="552"/>
        <v>8.1651793438062059E-2</v>
      </c>
      <c r="AE969" s="8">
        <f t="shared" si="553"/>
        <v>0.14934569835276726</v>
      </c>
      <c r="AF969" s="8">
        <f t="shared" si="554"/>
        <v>0.12054568532609443</v>
      </c>
      <c r="AG969" s="8">
        <f t="shared" si="555"/>
        <v>0.13089823666577088</v>
      </c>
      <c r="AH969" s="8">
        <f t="shared" si="556"/>
        <v>6.9587732146356704E-2</v>
      </c>
      <c r="AI969" s="8">
        <f t="shared" si="557"/>
        <v>0.14675888895168149</v>
      </c>
      <c r="AJ969" s="8">
        <f t="shared" si="558"/>
        <v>0.10320802483448298</v>
      </c>
      <c r="AK969" s="8">
        <f t="shared" si="559"/>
        <v>0.1082542225549829</v>
      </c>
      <c r="AL969" s="9">
        <v>0</v>
      </c>
      <c r="AM969" s="17">
        <f t="shared" si="536"/>
        <v>12.247128420498957</v>
      </c>
      <c r="AN969" s="13">
        <f t="shared" si="537"/>
        <v>6.6958741432104381</v>
      </c>
      <c r="AO969" s="13">
        <f t="shared" si="538"/>
        <v>8.2956100609893078</v>
      </c>
      <c r="AP969" s="13">
        <f t="shared" si="539"/>
        <v>7.6395223149823694</v>
      </c>
      <c r="AQ969" s="13">
        <f t="shared" si="540"/>
        <v>14.3703490422249</v>
      </c>
      <c r="AR969" s="13">
        <f t="shared" si="541"/>
        <v>6.8138973192229422</v>
      </c>
      <c r="AS969" s="13">
        <f t="shared" si="542"/>
        <v>9.6891690506016594</v>
      </c>
      <c r="AT969" s="13">
        <f t="shared" si="543"/>
        <v>9.2375149569070576</v>
      </c>
      <c r="AU969" s="9">
        <v>0</v>
      </c>
      <c r="AV969" s="18">
        <f t="shared" si="560"/>
        <v>2</v>
      </c>
      <c r="AW969" s="18">
        <f t="shared" si="561"/>
        <v>8</v>
      </c>
      <c r="AX969" s="18">
        <f t="shared" si="562"/>
        <v>5</v>
      </c>
      <c r="AY969" s="18">
        <f t="shared" si="563"/>
        <v>6</v>
      </c>
      <c r="AZ969" s="18">
        <f t="shared" si="564"/>
        <v>1</v>
      </c>
      <c r="BA969" s="18">
        <f t="shared" si="565"/>
        <v>7</v>
      </c>
      <c r="BB969" s="18">
        <f t="shared" si="566"/>
        <v>3</v>
      </c>
      <c r="BC969" s="18">
        <f t="shared" si="567"/>
        <v>4</v>
      </c>
      <c r="BD969" s="18">
        <f t="shared" si="568"/>
        <v>9</v>
      </c>
      <c r="BE969" s="8">
        <f t="shared" si="570"/>
        <v>-2.7218838431446509E-3</v>
      </c>
    </row>
    <row r="970" spans="1:57" x14ac:dyDescent="0.25">
      <c r="A970" t="str">
        <f t="shared" si="569"/>
        <v/>
      </c>
      <c r="B970" s="1">
        <v>44166</v>
      </c>
      <c r="C970" s="9">
        <f t="shared" si="544"/>
        <v>0.25051655817430263</v>
      </c>
      <c r="D970" s="9">
        <f t="shared" si="545"/>
        <v>0</v>
      </c>
      <c r="E970" s="9">
        <f t="shared" si="546"/>
        <v>0</v>
      </c>
      <c r="F970" s="9">
        <f t="shared" si="547"/>
        <v>0</v>
      </c>
      <c r="G970" s="9">
        <f t="shared" si="548"/>
        <v>0.24773334445778269</v>
      </c>
      <c r="H970" s="9">
        <f t="shared" si="549"/>
        <v>0</v>
      </c>
      <c r="I970" s="9">
        <f t="shared" si="550"/>
        <v>0.25124757371637207</v>
      </c>
      <c r="J970" s="9">
        <f t="shared" si="551"/>
        <v>0.25050252365154274</v>
      </c>
      <c r="K970" s="9">
        <v>0</v>
      </c>
      <c r="L970" s="8">
        <f>+VLOOKUP($B970,NIFTY_50!$B$3:$I$1238,8,0)</f>
        <v>1.0802724970024435E-2</v>
      </c>
      <c r="M970" s="8">
        <f>+VLOOKUP($B970,NIFTY_BANK!$B$3:$I$41238,8,0)</f>
        <v>7.0518979838933848E-3</v>
      </c>
      <c r="N970" s="8">
        <f>+VLOOKUP($B970,NIFTY_IT!$B$3:$I$1238,8,0)</f>
        <v>1.8653887681542303E-2</v>
      </c>
      <c r="O970" s="8">
        <f>+VLOOKUP($B970,NIFTY_PHARMA!$B$3:$I$1238,8,0)</f>
        <v>1.7399897796716912E-2</v>
      </c>
      <c r="P970" s="8">
        <f>+VLOOKUP($B970,NIFTY_FMCG!$B$3:$I$1238,8,0)</f>
        <v>-4.2719144482139537E-4</v>
      </c>
      <c r="Q970" s="8">
        <f>+VLOOKUP($B970,NIFTY_METAL!$B$3:$I$1238,8,0)</f>
        <v>1.6508587541655961E-2</v>
      </c>
      <c r="R970" s="8">
        <f>+VLOOKUP($B970,NIFTY_ENERGY!$B$3:$I$1238,8,0)</f>
        <v>1.375228050960331E-2</v>
      </c>
      <c r="S970" s="8">
        <f>+VLOOKUP($B970,NIFTY_AUTO!$B$3:$I$1238,8,0)</f>
        <v>1.0746097440280655E-2</v>
      </c>
      <c r="T970" s="8">
        <v>0</v>
      </c>
      <c r="U970" s="8">
        <f>+VLOOKUP($B970,NIFTY_50!$B$63:$K$1238,10,0)</f>
        <v>0.13645860424794098</v>
      </c>
      <c r="V970" s="8">
        <f>+VLOOKUP($B970,NIFTY_BANK!$B$63:$K$1238,10,0)</f>
        <v>0.24893872345237922</v>
      </c>
      <c r="W970" s="8">
        <f>+VLOOKUP($B970,NIFTY_IT!$B$63:$K$1238,10,0)</f>
        <v>0.22647010012723356</v>
      </c>
      <c r="X970" s="8">
        <f>+VLOOKUP($B970,NIFTY_PHARMA!$B$63:$K$1238,10,0)</f>
        <v>5.6198347107437874E-2</v>
      </c>
      <c r="Y970" s="8">
        <f>+VLOOKUP($B970,NIFTY_FMCG!$B$63:$K$1238,10,0)</f>
        <v>1.9974681793249793E-2</v>
      </c>
      <c r="Z970" s="8">
        <f>+VLOOKUP($B970,NIFTY_METAL!$B$63:$K$1238,10,0)</f>
        <v>0.1702638361500779</v>
      </c>
      <c r="AA970" s="8">
        <f>+VLOOKUP($B970,NIFTY_ENERGY!$B$63:$K$1238,10,0)</f>
        <v>3.8979015907550041E-2</v>
      </c>
      <c r="AB970" s="8">
        <f>+VLOOKUP($B970,NIFTY_AUTO!$B$63:$K$1238,10,0)</f>
        <v>0.12663988115758529</v>
      </c>
      <c r="AC970" s="8">
        <f>+VLOOKUP($B970,EBBETF0430!$B$63:$K$1238,10,0)</f>
        <v>-0.70054299468412773</v>
      </c>
      <c r="AD970" s="16">
        <f t="shared" si="552"/>
        <v>8.2036934753019389E-2</v>
      </c>
      <c r="AE970" s="8">
        <f t="shared" si="553"/>
        <v>0.14937658578611349</v>
      </c>
      <c r="AF970" s="8">
        <f t="shared" si="554"/>
        <v>0.12097339828815498</v>
      </c>
      <c r="AG970" s="8">
        <f t="shared" si="555"/>
        <v>0.13184249138811455</v>
      </c>
      <c r="AH970" s="8">
        <f t="shared" si="556"/>
        <v>6.9539722991190253E-2</v>
      </c>
      <c r="AI970" s="8">
        <f t="shared" si="557"/>
        <v>0.14662575002005296</v>
      </c>
      <c r="AJ970" s="8">
        <f t="shared" si="558"/>
        <v>0.1034413106369878</v>
      </c>
      <c r="AK970" s="8">
        <f t="shared" si="559"/>
        <v>0.10818762806716582</v>
      </c>
      <c r="AL970" s="9">
        <v>0</v>
      </c>
      <c r="AM970" s="17">
        <f t="shared" si="536"/>
        <v>12.189631450889806</v>
      </c>
      <c r="AN970" s="13">
        <f t="shared" si="537"/>
        <v>6.6944895998082394</v>
      </c>
      <c r="AO970" s="13">
        <f t="shared" si="538"/>
        <v>8.2662801421683643</v>
      </c>
      <c r="AP970" s="13">
        <f t="shared" si="539"/>
        <v>7.5848081257523088</v>
      </c>
      <c r="AQ970" s="13">
        <f t="shared" si="540"/>
        <v>14.380270110174102</v>
      </c>
      <c r="AR970" s="13">
        <f t="shared" si="541"/>
        <v>6.8200844658133866</v>
      </c>
      <c r="AS970" s="13">
        <f t="shared" si="542"/>
        <v>9.6673175720805986</v>
      </c>
      <c r="AT970" s="13">
        <f t="shared" si="543"/>
        <v>9.2432010745181774</v>
      </c>
      <c r="AU970" s="9">
        <v>0</v>
      </c>
      <c r="AV970" s="18">
        <f t="shared" si="560"/>
        <v>2</v>
      </c>
      <c r="AW970" s="18">
        <f t="shared" si="561"/>
        <v>8</v>
      </c>
      <c r="AX970" s="18">
        <f t="shared" si="562"/>
        <v>5</v>
      </c>
      <c r="AY970" s="18">
        <f t="shared" si="563"/>
        <v>6</v>
      </c>
      <c r="AZ970" s="18">
        <f t="shared" si="564"/>
        <v>1</v>
      </c>
      <c r="BA970" s="18">
        <f t="shared" si="565"/>
        <v>7</v>
      </c>
      <c r="BB970" s="18">
        <f t="shared" si="566"/>
        <v>3</v>
      </c>
      <c r="BC970" s="18">
        <f t="shared" si="567"/>
        <v>4</v>
      </c>
      <c r="BD970" s="18">
        <f t="shared" si="568"/>
        <v>9</v>
      </c>
      <c r="BE970" s="8">
        <f t="shared" si="570"/>
        <v>8.7184778687717512E-3</v>
      </c>
    </row>
    <row r="971" spans="1:57" x14ac:dyDescent="0.25">
      <c r="A971" t="str">
        <f t="shared" si="569"/>
        <v/>
      </c>
      <c r="B971" s="1">
        <v>44167</v>
      </c>
      <c r="C971" s="9">
        <f t="shared" si="544"/>
        <v>0.24876546132696886</v>
      </c>
      <c r="D971" s="9">
        <f t="shared" si="545"/>
        <v>0</v>
      </c>
      <c r="E971" s="9">
        <f t="shared" si="546"/>
        <v>0</v>
      </c>
      <c r="F971" s="9">
        <f t="shared" si="547"/>
        <v>0</v>
      </c>
      <c r="G971" s="9">
        <f t="shared" si="548"/>
        <v>0.24680550213230157</v>
      </c>
      <c r="H971" s="9">
        <f t="shared" si="549"/>
        <v>0</v>
      </c>
      <c r="I971" s="9">
        <f t="shared" si="550"/>
        <v>0.25281856937438013</v>
      </c>
      <c r="J971" s="9">
        <f t="shared" si="551"/>
        <v>0.25161046716634938</v>
      </c>
      <c r="K971" s="9">
        <v>0</v>
      </c>
      <c r="L971" s="8">
        <f>+VLOOKUP($B971,NIFTY_50!$B$3:$I$1238,8,0)</f>
        <v>3.5853093855009455E-4</v>
      </c>
      <c r="M971" s="8">
        <f>+VLOOKUP($B971,NIFTY_BANK!$B$3:$I$41238,8,0)</f>
        <v>-1.1895559203631278E-2</v>
      </c>
      <c r="N971" s="8">
        <f>+VLOOKUP($B971,NIFTY_IT!$B$3:$I$1238,8,0)</f>
        <v>6.6799272920810004E-3</v>
      </c>
      <c r="O971" s="8">
        <f>+VLOOKUP($B971,NIFTY_PHARMA!$B$3:$I$1238,8,0)</f>
        <v>3.6072610137691807E-3</v>
      </c>
      <c r="P971" s="8">
        <f>+VLOOKUP($B971,NIFTY_FMCG!$B$3:$I$1238,8,0)</f>
        <v>3.6271595398238432E-3</v>
      </c>
      <c r="Q971" s="8">
        <f>+VLOOKUP($B971,NIFTY_METAL!$B$3:$I$1238,8,0)</f>
        <v>2.5604814982935542E-2</v>
      </c>
      <c r="R971" s="8">
        <f>+VLOOKUP($B971,NIFTY_ENERGY!$B$3:$I$1238,8,0)</f>
        <v>1.369925373360803E-2</v>
      </c>
      <c r="S971" s="8">
        <f>+VLOOKUP($B971,NIFTY_AUTO!$B$3:$I$1238,8,0)</f>
        <v>1.1855816360025306E-2</v>
      </c>
      <c r="T971" s="8">
        <v>0</v>
      </c>
      <c r="U971" s="8">
        <f>+VLOOKUP($B971,NIFTY_50!$B$63:$K$1238,10,0)</f>
        <v>0.13761065977297671</v>
      </c>
      <c r="V971" s="8">
        <f>+VLOOKUP($B971,NIFTY_BANK!$B$63:$K$1238,10,0)</f>
        <v>0.25210733993884649</v>
      </c>
      <c r="W971" s="8">
        <f>+VLOOKUP($B971,NIFTY_IT!$B$63:$K$1238,10,0)</f>
        <v>0.2163903959713438</v>
      </c>
      <c r="X971" s="8">
        <f>+VLOOKUP($B971,NIFTY_PHARMA!$B$63:$K$1238,10,0)</f>
        <v>5.0100548565174208E-2</v>
      </c>
      <c r="Y971" s="8">
        <f>+VLOOKUP($B971,NIFTY_FMCG!$B$63:$K$1238,10,0)</f>
        <v>1.607441361439621E-2</v>
      </c>
      <c r="Z971" s="8">
        <f>+VLOOKUP($B971,NIFTY_METAL!$B$63:$K$1238,10,0)</f>
        <v>0.20690064495706872</v>
      </c>
      <c r="AA971" s="8">
        <f>+VLOOKUP($B971,NIFTY_ENERGY!$B$63:$K$1238,10,0)</f>
        <v>6.1411843213269979E-2</v>
      </c>
      <c r="AB971" s="8">
        <f>+VLOOKUP($B971,NIFTY_AUTO!$B$63:$K$1238,10,0)</f>
        <v>0.12971532570143673</v>
      </c>
      <c r="AC971" s="8">
        <f>+VLOOKUP($B971,EBBETF0430!$B$63:$K$1238,10,0)</f>
        <v>-0.50096143149999206</v>
      </c>
      <c r="AD971" s="16">
        <f t="shared" si="552"/>
        <v>8.2008393173883795E-2</v>
      </c>
      <c r="AE971" s="8">
        <f t="shared" si="553"/>
        <v>0.14909174894016983</v>
      </c>
      <c r="AF971" s="8">
        <f t="shared" si="554"/>
        <v>0.12045876364553854</v>
      </c>
      <c r="AG971" s="8">
        <f t="shared" si="555"/>
        <v>0.13159783562255664</v>
      </c>
      <c r="AH971" s="8">
        <f t="shared" si="556"/>
        <v>6.9249877647152222E-2</v>
      </c>
      <c r="AI971" s="8">
        <f t="shared" si="557"/>
        <v>0.1481100086789208</v>
      </c>
      <c r="AJ971" s="8">
        <f t="shared" si="558"/>
        <v>0.10387471326899188</v>
      </c>
      <c r="AK971" s="8">
        <f t="shared" si="559"/>
        <v>0.10840136997029032</v>
      </c>
      <c r="AL971" s="9">
        <v>0</v>
      </c>
      <c r="AM971" s="17">
        <f t="shared" si="536"/>
        <v>12.193873837762958</v>
      </c>
      <c r="AN971" s="13">
        <f t="shared" si="537"/>
        <v>6.707279290159093</v>
      </c>
      <c r="AO971" s="13">
        <f t="shared" si="538"/>
        <v>8.3015960793238417</v>
      </c>
      <c r="AP971" s="13">
        <f t="shared" si="539"/>
        <v>7.5989091710304244</v>
      </c>
      <c r="AQ971" s="13">
        <f t="shared" si="540"/>
        <v>14.440458726805032</v>
      </c>
      <c r="AR971" s="13">
        <f t="shared" si="541"/>
        <v>6.751738177045433</v>
      </c>
      <c r="AS971" s="13">
        <f t="shared" si="542"/>
        <v>9.6269820491385616</v>
      </c>
      <c r="AT971" s="13">
        <f t="shared" si="543"/>
        <v>9.2249756647362577</v>
      </c>
      <c r="AU971" s="9">
        <v>0</v>
      </c>
      <c r="AV971" s="18">
        <f t="shared" si="560"/>
        <v>2</v>
      </c>
      <c r="AW971" s="18">
        <f t="shared" si="561"/>
        <v>8</v>
      </c>
      <c r="AX971" s="18">
        <f t="shared" si="562"/>
        <v>5</v>
      </c>
      <c r="AY971" s="18">
        <f t="shared" si="563"/>
        <v>6</v>
      </c>
      <c r="AZ971" s="18">
        <f t="shared" si="564"/>
        <v>1</v>
      </c>
      <c r="BA971" s="18">
        <f t="shared" si="565"/>
        <v>7</v>
      </c>
      <c r="BB971" s="18">
        <f t="shared" si="566"/>
        <v>3</v>
      </c>
      <c r="BC971" s="18">
        <f t="shared" si="567"/>
        <v>4</v>
      </c>
      <c r="BD971" s="18">
        <f t="shared" si="568"/>
        <v>9</v>
      </c>
      <c r="BE971" s="8">
        <f t="shared" si="570"/>
        <v>7.4002024808366412E-3</v>
      </c>
    </row>
    <row r="972" spans="1:57" x14ac:dyDescent="0.25">
      <c r="A972" t="str">
        <f t="shared" si="569"/>
        <v/>
      </c>
      <c r="B972" s="1">
        <v>44168</v>
      </c>
      <c r="C972" s="9">
        <f t="shared" si="544"/>
        <v>0.24695019664878259</v>
      </c>
      <c r="D972" s="9">
        <f t="shared" si="545"/>
        <v>0</v>
      </c>
      <c r="E972" s="9">
        <f t="shared" si="546"/>
        <v>0</v>
      </c>
      <c r="F972" s="9">
        <f t="shared" si="547"/>
        <v>0</v>
      </c>
      <c r="G972" s="9">
        <f t="shared" si="548"/>
        <v>0.24530825816260218</v>
      </c>
      <c r="H972" s="9">
        <f t="shared" si="549"/>
        <v>0</v>
      </c>
      <c r="I972" s="9">
        <f t="shared" si="550"/>
        <v>0.25419273443875895</v>
      </c>
      <c r="J972" s="9">
        <f t="shared" si="551"/>
        <v>0.2535488107498563</v>
      </c>
      <c r="K972" s="9">
        <v>0</v>
      </c>
      <c r="L972" s="8">
        <f>+VLOOKUP($B972,NIFTY_50!$B$3:$I$1238,8,0)</f>
        <v>1.5365551425030599E-3</v>
      </c>
      <c r="M972" s="8">
        <f>+VLOOKUP($B972,NIFTY_BANK!$B$3:$I$41238,8,0)</f>
        <v>-4.8874611166838111E-4</v>
      </c>
      <c r="N972" s="8">
        <f>+VLOOKUP($B972,NIFTY_IT!$B$3:$I$1238,8,0)</f>
        <v>-5.2332093731797258E-3</v>
      </c>
      <c r="O972" s="8">
        <f>+VLOOKUP($B972,NIFTY_PHARMA!$B$3:$I$1238,8,0)</f>
        <v>9.7902155750044795E-3</v>
      </c>
      <c r="P972" s="8">
        <f>+VLOOKUP($B972,NIFTY_FMCG!$B$3:$I$1238,8,0)</f>
        <v>2.7781051374518029E-3</v>
      </c>
      <c r="Q972" s="8">
        <f>+VLOOKUP($B972,NIFTY_METAL!$B$3:$I$1238,8,0)</f>
        <v>2.4883614189233461E-2</v>
      </c>
      <c r="R972" s="8">
        <f>+VLOOKUP($B972,NIFTY_ENERGY!$B$3:$I$1238,8,0)</f>
        <v>1.4382329254747583E-2</v>
      </c>
      <c r="S972" s="8">
        <f>+VLOOKUP($B972,NIFTY_AUTO!$B$3:$I$1238,8,0)</f>
        <v>1.6670882039213852E-2</v>
      </c>
      <c r="T972" s="8">
        <v>0</v>
      </c>
      <c r="U972" s="8">
        <f>+VLOOKUP($B972,NIFTY_50!$B$63:$K$1238,10,0)</f>
        <v>0.15882070082099187</v>
      </c>
      <c r="V972" s="8">
        <f>+VLOOKUP($B972,NIFTY_BANK!$B$63:$K$1238,10,0)</f>
        <v>0.27974056450035856</v>
      </c>
      <c r="W972" s="8">
        <f>+VLOOKUP($B972,NIFTY_IT!$B$63:$K$1238,10,0)</f>
        <v>0.22840884256070204</v>
      </c>
      <c r="X972" s="8">
        <f>+VLOOKUP($B972,NIFTY_PHARMA!$B$63:$K$1238,10,0)</f>
        <v>8.2037326762073981E-2</v>
      </c>
      <c r="Y972" s="8">
        <f>+VLOOKUP($B972,NIFTY_FMCG!$B$63:$K$1238,10,0)</f>
        <v>3.5032348156665893E-2</v>
      </c>
      <c r="Z972" s="8">
        <f>+VLOOKUP($B972,NIFTY_METAL!$B$63:$K$1238,10,0)</f>
        <v>0.27525649132110885</v>
      </c>
      <c r="AA972" s="8">
        <f>+VLOOKUP($B972,NIFTY_ENERGY!$B$63:$K$1238,10,0)</f>
        <v>9.7607987197677826E-2</v>
      </c>
      <c r="AB972" s="8">
        <f>+VLOOKUP($B972,NIFTY_AUTO!$B$63:$K$1238,10,0)</f>
        <v>0.15616109447199089</v>
      </c>
      <c r="AC972" s="8">
        <f>+VLOOKUP($B972,EBBETF0430!$B$63:$K$1238,10,0)</f>
        <v>-5.163941749307599E-2</v>
      </c>
      <c r="AD972" s="16">
        <f t="shared" si="552"/>
        <v>7.9753157735757613E-2</v>
      </c>
      <c r="AE972" s="8">
        <f t="shared" si="553"/>
        <v>0.14685571074241219</v>
      </c>
      <c r="AF972" s="8">
        <f t="shared" si="554"/>
        <v>0.11936185676701314</v>
      </c>
      <c r="AG972" s="8">
        <f t="shared" si="555"/>
        <v>0.13016319397982901</v>
      </c>
      <c r="AH972" s="8">
        <f t="shared" si="556"/>
        <v>6.7406699102468534E-2</v>
      </c>
      <c r="AI972" s="8">
        <f t="shared" si="557"/>
        <v>0.14575376517122923</v>
      </c>
      <c r="AJ972" s="8">
        <f t="shared" si="558"/>
        <v>0.10268167703671409</v>
      </c>
      <c r="AK972" s="8">
        <f t="shared" si="559"/>
        <v>0.10899072717081662</v>
      </c>
      <c r="AL972" s="9">
        <v>0</v>
      </c>
      <c r="AM972" s="17">
        <f t="shared" si="536"/>
        <v>12.538688478182305</v>
      </c>
      <c r="AN972" s="13">
        <f t="shared" si="537"/>
        <v>6.8094049250425117</v>
      </c>
      <c r="AO972" s="13">
        <f t="shared" si="538"/>
        <v>8.3778857591997529</v>
      </c>
      <c r="AP972" s="13">
        <f t="shared" si="539"/>
        <v>7.6826633507085491</v>
      </c>
      <c r="AQ972" s="13">
        <f t="shared" si="540"/>
        <v>14.835320722052366</v>
      </c>
      <c r="AR972" s="13">
        <f t="shared" si="541"/>
        <v>6.8608862270227853</v>
      </c>
      <c r="AS972" s="13">
        <f t="shared" si="542"/>
        <v>9.738835874704769</v>
      </c>
      <c r="AT972" s="13">
        <f t="shared" si="543"/>
        <v>9.1750924684880921</v>
      </c>
      <c r="AU972" s="9">
        <v>0</v>
      </c>
      <c r="AV972" s="18">
        <f t="shared" si="560"/>
        <v>2</v>
      </c>
      <c r="AW972" s="18">
        <f t="shared" si="561"/>
        <v>8</v>
      </c>
      <c r="AX972" s="18">
        <f t="shared" si="562"/>
        <v>5</v>
      </c>
      <c r="AY972" s="18">
        <f t="shared" si="563"/>
        <v>6</v>
      </c>
      <c r="AZ972" s="18">
        <f t="shared" si="564"/>
        <v>1</v>
      </c>
      <c r="BA972" s="18">
        <f t="shared" si="565"/>
        <v>7</v>
      </c>
      <c r="BB972" s="18">
        <f t="shared" si="566"/>
        <v>3</v>
      </c>
      <c r="BC972" s="18">
        <f t="shared" si="567"/>
        <v>4</v>
      </c>
      <c r="BD972" s="18">
        <f t="shared" si="568"/>
        <v>9</v>
      </c>
      <c r="BE972" s="8">
        <f t="shared" si="570"/>
        <v>8.8985818067224987E-3</v>
      </c>
    </row>
    <row r="973" spans="1:57" x14ac:dyDescent="0.25">
      <c r="A973" t="str">
        <f t="shared" si="569"/>
        <v/>
      </c>
      <c r="B973" s="1">
        <v>44169</v>
      </c>
      <c r="C973" s="9">
        <f t="shared" si="544"/>
        <v>0.24754046789793957</v>
      </c>
      <c r="D973" s="9">
        <f t="shared" si="545"/>
        <v>0</v>
      </c>
      <c r="E973" s="9">
        <f t="shared" si="546"/>
        <v>0</v>
      </c>
      <c r="F973" s="9">
        <f t="shared" si="547"/>
        <v>0</v>
      </c>
      <c r="G973" s="9">
        <f t="shared" si="548"/>
        <v>0.24700351725829636</v>
      </c>
      <c r="H973" s="9">
        <f t="shared" si="549"/>
        <v>0</v>
      </c>
      <c r="I973" s="9">
        <f t="shared" si="550"/>
        <v>0.25214110758976904</v>
      </c>
      <c r="J973" s="9">
        <f t="shared" si="551"/>
        <v>0.25331490725399519</v>
      </c>
      <c r="K973" s="9">
        <v>0</v>
      </c>
      <c r="L973" s="8">
        <f>+VLOOKUP($B973,NIFTY_50!$B$3:$I$1238,8,0)</f>
        <v>9.4907072537480097E-3</v>
      </c>
      <c r="M973" s="8">
        <f>+VLOOKUP($B973,NIFTY_BANK!$B$3:$I$41238,8,0)</f>
        <v>2.0498323358376869E-2</v>
      </c>
      <c r="N973" s="8">
        <f>+VLOOKUP($B973,NIFTY_IT!$B$3:$I$1238,8,0)</f>
        <v>4.8463665762852326E-3</v>
      </c>
      <c r="O973" s="8">
        <f>+VLOOKUP($B973,NIFTY_PHARMA!$B$3:$I$1238,8,0)</f>
        <v>1.2013647962840768E-2</v>
      </c>
      <c r="P973" s="8">
        <f>+VLOOKUP($B973,NIFTY_FMCG!$B$3:$I$1238,8,0)</f>
        <v>1.4043213987429803E-2</v>
      </c>
      <c r="Q973" s="8">
        <f>+VLOOKUP($B973,NIFTY_METAL!$B$3:$I$1238,8,0)</f>
        <v>1.1276030837145345E-2</v>
      </c>
      <c r="R973" s="8">
        <f>+VLOOKUP($B973,NIFTY_ENERGY!$B$3:$I$1238,8,0)</f>
        <v>-1.0447871320002911E-3</v>
      </c>
      <c r="S973" s="8">
        <f>+VLOOKUP($B973,NIFTY_AUTO!$B$3:$I$1238,8,0)</f>
        <v>6.1544784917744177E-3</v>
      </c>
      <c r="T973" s="8">
        <v>0</v>
      </c>
      <c r="U973" s="8">
        <f>+VLOOKUP($B973,NIFTY_50!$B$63:$K$1238,10,0)</f>
        <v>0.16763466475268718</v>
      </c>
      <c r="V973" s="8">
        <f>+VLOOKUP($B973,NIFTY_BANK!$B$63:$K$1238,10,0)</f>
        <v>0.30975526311775314</v>
      </c>
      <c r="W973" s="8">
        <f>+VLOOKUP($B973,NIFTY_IT!$B$63:$K$1238,10,0)</f>
        <v>0.22737775626072798</v>
      </c>
      <c r="X973" s="8">
        <f>+VLOOKUP($B973,NIFTY_PHARMA!$B$63:$K$1238,10,0)</f>
        <v>9.6163657901391808E-2</v>
      </c>
      <c r="Y973" s="8">
        <f>+VLOOKUP($B973,NIFTY_FMCG!$B$63:$K$1238,10,0)</f>
        <v>4.3636516110096002E-2</v>
      </c>
      <c r="Z973" s="8">
        <f>+VLOOKUP($B973,NIFTY_METAL!$B$63:$K$1238,10,0)</f>
        <v>0.29032060570192431</v>
      </c>
      <c r="AA973" s="8">
        <f>+VLOOKUP($B973,NIFTY_ENERGY!$B$63:$K$1238,10,0)</f>
        <v>0.10204832497094052</v>
      </c>
      <c r="AB973" s="8">
        <f>+VLOOKUP($B973,NIFTY_AUTO!$B$63:$K$1238,10,0)</f>
        <v>0.16893382006446478</v>
      </c>
      <c r="AC973" s="8">
        <f>+VLOOKUP($B973,EBBETF0430!$B$63:$K$1238,10,0)</f>
        <v>0.2214005084354056</v>
      </c>
      <c r="AD973" s="16">
        <f t="shared" si="552"/>
        <v>8.0053228516992064E-2</v>
      </c>
      <c r="AE973" s="8">
        <f t="shared" si="553"/>
        <v>0.14755246607913802</v>
      </c>
      <c r="AF973" s="8">
        <f t="shared" si="554"/>
        <v>0.11934926359634306</v>
      </c>
      <c r="AG973" s="8">
        <f t="shared" si="555"/>
        <v>0.13055872051453232</v>
      </c>
      <c r="AH973" s="8">
        <f t="shared" si="556"/>
        <v>6.8537344388482413E-2</v>
      </c>
      <c r="AI973" s="8">
        <f t="shared" si="557"/>
        <v>0.14584347376370521</v>
      </c>
      <c r="AJ973" s="8">
        <f t="shared" si="558"/>
        <v>0.10249710778383531</v>
      </c>
      <c r="AK973" s="8">
        <f t="shared" si="559"/>
        <v>0.10879769808232717</v>
      </c>
      <c r="AL973" s="9">
        <v>0</v>
      </c>
      <c r="AM973" s="17">
        <f t="shared" si="536"/>
        <v>12.491688574280804</v>
      </c>
      <c r="AN973" s="13">
        <f t="shared" si="537"/>
        <v>6.7772503338823347</v>
      </c>
      <c r="AO973" s="13">
        <f t="shared" si="538"/>
        <v>8.3787697541406594</v>
      </c>
      <c r="AP973" s="13">
        <f t="shared" si="539"/>
        <v>7.6593887873517517</v>
      </c>
      <c r="AQ973" s="13">
        <f t="shared" si="540"/>
        <v>14.590585744493017</v>
      </c>
      <c r="AR973" s="13">
        <f t="shared" si="541"/>
        <v>6.8566660831200066</v>
      </c>
      <c r="AS973" s="13">
        <f t="shared" si="542"/>
        <v>9.7563728540417287</v>
      </c>
      <c r="AT973" s="13">
        <f t="shared" si="543"/>
        <v>9.1913709354705322</v>
      </c>
      <c r="AU973" s="9">
        <v>0</v>
      </c>
      <c r="AV973" s="18">
        <f t="shared" si="560"/>
        <v>2</v>
      </c>
      <c r="AW973" s="18">
        <f t="shared" si="561"/>
        <v>8</v>
      </c>
      <c r="AX973" s="18">
        <f t="shared" si="562"/>
        <v>5</v>
      </c>
      <c r="AY973" s="18">
        <f t="shared" si="563"/>
        <v>6</v>
      </c>
      <c r="AZ973" s="18">
        <f t="shared" si="564"/>
        <v>1</v>
      </c>
      <c r="BA973" s="18">
        <f t="shared" si="565"/>
        <v>7</v>
      </c>
      <c r="BB973" s="18">
        <f t="shared" si="566"/>
        <v>3</v>
      </c>
      <c r="BC973" s="18">
        <f t="shared" si="567"/>
        <v>4</v>
      </c>
      <c r="BD973" s="18">
        <f t="shared" si="568"/>
        <v>9</v>
      </c>
      <c r="BE973" s="8">
        <f t="shared" si="570"/>
        <v>7.0835317892955852E-3</v>
      </c>
    </row>
    <row r="974" spans="1:57" x14ac:dyDescent="0.25">
      <c r="A974" t="str">
        <f t="shared" si="569"/>
        <v/>
      </c>
      <c r="B974" s="1">
        <v>44172</v>
      </c>
      <c r="C974" s="9">
        <f t="shared" si="544"/>
        <v>0.24760474285909939</v>
      </c>
      <c r="D974" s="9">
        <f t="shared" si="545"/>
        <v>0</v>
      </c>
      <c r="E974" s="9">
        <f t="shared" si="546"/>
        <v>0</v>
      </c>
      <c r="F974" s="9">
        <f t="shared" si="547"/>
        <v>0</v>
      </c>
      <c r="G974" s="9">
        <f t="shared" si="548"/>
        <v>0.24913657460900315</v>
      </c>
      <c r="H974" s="9">
        <f t="shared" si="549"/>
        <v>0</v>
      </c>
      <c r="I974" s="9">
        <f t="shared" si="550"/>
        <v>0.25148138490054711</v>
      </c>
      <c r="J974" s="9">
        <f t="shared" si="551"/>
        <v>0.25177729763135043</v>
      </c>
      <c r="K974" s="9">
        <v>0</v>
      </c>
      <c r="L974" s="8">
        <f>+VLOOKUP($B974,NIFTY_50!$B$3:$I$1238,8,0)</f>
        <v>7.331118410384363E-3</v>
      </c>
      <c r="M974" s="8">
        <f>+VLOOKUP($B974,NIFTY_BANK!$B$3:$I$41238,8,0)</f>
        <v>5.2957500898429544E-3</v>
      </c>
      <c r="N974" s="8">
        <f>+VLOOKUP($B974,NIFTY_IT!$B$3:$I$1238,8,0)</f>
        <v>5.876341338783897E-3</v>
      </c>
      <c r="O974" s="8">
        <f>+VLOOKUP($B974,NIFTY_PHARMA!$B$3:$I$1238,8,0)</f>
        <v>1.6379840694210612E-2</v>
      </c>
      <c r="P974" s="8">
        <f>+VLOOKUP($B974,NIFTY_FMCG!$B$3:$I$1238,8,0)</f>
        <v>1.576641659004685E-2</v>
      </c>
      <c r="Q974" s="8">
        <f>+VLOOKUP($B974,NIFTY_METAL!$B$3:$I$1238,8,0)</f>
        <v>-4.7448083888235182E-5</v>
      </c>
      <c r="R974" s="8">
        <f>+VLOOKUP($B974,NIFTY_ENERGY!$B$3:$I$1238,8,0)</f>
        <v>4.4346487586823802E-3</v>
      </c>
      <c r="S974" s="8">
        <f>+VLOOKUP($B974,NIFTY_AUTO!$B$3:$I$1238,8,0)</f>
        <v>9.5676291629942511E-4</v>
      </c>
      <c r="T974" s="8">
        <v>0</v>
      </c>
      <c r="U974" s="8">
        <f>+VLOOKUP($B974,NIFTY_50!$B$63:$K$1238,10,0)</f>
        <v>0.18011283560197389</v>
      </c>
      <c r="V974" s="8">
        <f>+VLOOKUP($B974,NIFTY_BANK!$B$63:$K$1238,10,0)</f>
        <v>0.32830718770334655</v>
      </c>
      <c r="W974" s="8">
        <f>+VLOOKUP($B974,NIFTY_IT!$B$63:$K$1238,10,0)</f>
        <v>0.21989589986817615</v>
      </c>
      <c r="X974" s="8">
        <f>+VLOOKUP($B974,NIFTY_PHARMA!$B$63:$K$1238,10,0)</f>
        <v>0.13186005841416359</v>
      </c>
      <c r="Y974" s="8">
        <f>+VLOOKUP($B974,NIFTY_FMCG!$B$63:$K$1238,10,0)</f>
        <v>6.6468300644581424E-2</v>
      </c>
      <c r="Z974" s="8">
        <f>+VLOOKUP($B974,NIFTY_METAL!$B$63:$K$1238,10,0)</f>
        <v>0.32999558238845528</v>
      </c>
      <c r="AA974" s="8">
        <f>+VLOOKUP($B974,NIFTY_ENERGY!$B$63:$K$1238,10,0)</f>
        <v>0.10837905773500367</v>
      </c>
      <c r="AB974" s="8">
        <f>+VLOOKUP($B974,NIFTY_AUTO!$B$63:$K$1238,10,0)</f>
        <v>0.18041328600405682</v>
      </c>
      <c r="AC974" s="8">
        <f>+VLOOKUP($B974,EBBETF0430!$B$63:$K$1238,10,0)</f>
        <v>-0.5643031784841076</v>
      </c>
      <c r="AD974" s="16">
        <f t="shared" si="552"/>
        <v>7.9962913464032587E-2</v>
      </c>
      <c r="AE974" s="8">
        <f t="shared" si="553"/>
        <v>0.14693734264250827</v>
      </c>
      <c r="AF974" s="8">
        <f t="shared" si="554"/>
        <v>0.11906304119225175</v>
      </c>
      <c r="AG974" s="8">
        <f t="shared" si="555"/>
        <v>0.13017608601686756</v>
      </c>
      <c r="AH974" s="8">
        <f t="shared" si="556"/>
        <v>6.9787496301466662E-2</v>
      </c>
      <c r="AI974" s="8">
        <f t="shared" si="557"/>
        <v>0.14178463212642212</v>
      </c>
      <c r="AJ974" s="8">
        <f t="shared" si="558"/>
        <v>0.10248809710955112</v>
      </c>
      <c r="AK974" s="8">
        <f t="shared" si="559"/>
        <v>0.10820111169161729</v>
      </c>
      <c r="AL974" s="9">
        <v>0</v>
      </c>
      <c r="AM974" s="17">
        <f t="shared" si="536"/>
        <v>12.505797458840732</v>
      </c>
      <c r="AN974" s="13">
        <f t="shared" si="537"/>
        <v>6.8056219203103021</v>
      </c>
      <c r="AO974" s="13">
        <f t="shared" si="538"/>
        <v>8.3989119544266853</v>
      </c>
      <c r="AP974" s="13">
        <f t="shared" si="539"/>
        <v>7.6819024952895347</v>
      </c>
      <c r="AQ974" s="13">
        <f t="shared" si="540"/>
        <v>14.329214443805514</v>
      </c>
      <c r="AR974" s="13">
        <f t="shared" si="541"/>
        <v>7.0529505560824886</v>
      </c>
      <c r="AS974" s="13">
        <f t="shared" si="542"/>
        <v>9.7572306268022952</v>
      </c>
      <c r="AT974" s="13">
        <f t="shared" si="543"/>
        <v>9.2420492208073437</v>
      </c>
      <c r="AU974" s="9">
        <v>0</v>
      </c>
      <c r="AV974" s="18">
        <f t="shared" si="560"/>
        <v>2</v>
      </c>
      <c r="AW974" s="18">
        <f t="shared" si="561"/>
        <v>8</v>
      </c>
      <c r="AX974" s="18">
        <f t="shared" si="562"/>
        <v>5</v>
      </c>
      <c r="AY974" s="18">
        <f t="shared" si="563"/>
        <v>6</v>
      </c>
      <c r="AZ974" s="18">
        <f t="shared" si="564"/>
        <v>1</v>
      </c>
      <c r="BA974" s="18">
        <f t="shared" si="565"/>
        <v>7</v>
      </c>
      <c r="BB974" s="18">
        <f t="shared" si="566"/>
        <v>3</v>
      </c>
      <c r="BC974" s="18">
        <f t="shared" si="567"/>
        <v>4</v>
      </c>
      <c r="BD974" s="18">
        <f t="shared" si="568"/>
        <v>9</v>
      </c>
      <c r="BE974" s="8">
        <f t="shared" si="570"/>
        <v>7.0696283930150915E-3</v>
      </c>
    </row>
    <row r="975" spans="1:57" x14ac:dyDescent="0.25">
      <c r="A975" t="str">
        <f t="shared" si="569"/>
        <v/>
      </c>
      <c r="B975" s="1">
        <v>44173</v>
      </c>
      <c r="C975" s="9">
        <f t="shared" si="544"/>
        <v>0.24835828645483476</v>
      </c>
      <c r="D975" s="9">
        <f t="shared" si="545"/>
        <v>0</v>
      </c>
      <c r="E975" s="9">
        <f t="shared" si="546"/>
        <v>0</v>
      </c>
      <c r="F975" s="9">
        <f t="shared" si="547"/>
        <v>0</v>
      </c>
      <c r="G975" s="9">
        <f t="shared" si="548"/>
        <v>0.24907140205686859</v>
      </c>
      <c r="H975" s="9">
        <f t="shared" si="549"/>
        <v>0</v>
      </c>
      <c r="I975" s="9">
        <f t="shared" si="550"/>
        <v>0.25108661138217825</v>
      </c>
      <c r="J975" s="9">
        <f t="shared" si="551"/>
        <v>0.25148370010611831</v>
      </c>
      <c r="K975" s="9">
        <v>0</v>
      </c>
      <c r="L975" s="8">
        <f>+VLOOKUP($B975,NIFTY_50!$B$3:$I$1238,8,0)</f>
        <v>2.785317185481917E-3</v>
      </c>
      <c r="M975" s="8">
        <f>+VLOOKUP($B975,NIFTY_BANK!$B$3:$I$41238,8,0)</f>
        <v>1.6665811585305779E-3</v>
      </c>
      <c r="N975" s="8">
        <f>+VLOOKUP($B975,NIFTY_IT!$B$3:$I$1238,8,0)</f>
        <v>7.8651034495051952E-3</v>
      </c>
      <c r="O975" s="8">
        <f>+VLOOKUP($B975,NIFTY_PHARMA!$B$3:$I$1238,8,0)</f>
        <v>-1.1839008597517631E-2</v>
      </c>
      <c r="P975" s="8">
        <f>+VLOOKUP($B975,NIFTY_FMCG!$B$3:$I$1238,8,0)</f>
        <v>-5.1875899461173436E-4</v>
      </c>
      <c r="Q975" s="8">
        <f>+VLOOKUP($B975,NIFTY_METAL!$B$3:$I$1238,8,0)</f>
        <v>-1.2289636846766983E-2</v>
      </c>
      <c r="R975" s="8">
        <f>+VLOOKUP($B975,NIFTY_ENERGY!$B$3:$I$1238,8,0)</f>
        <v>-1.8266210158482954E-3</v>
      </c>
      <c r="S975" s="8">
        <f>+VLOOKUP($B975,NIFTY_AUTO!$B$3:$I$1238,8,0)</f>
        <v>-1.4230327243827112E-3</v>
      </c>
      <c r="T975" s="8">
        <v>0</v>
      </c>
      <c r="U975" s="8">
        <f>+VLOOKUP($B975,NIFTY_50!$B$63:$K$1238,10,0)</f>
        <v>0.18752881716616421</v>
      </c>
      <c r="V975" s="8">
        <f>+VLOOKUP($B975,NIFTY_BANK!$B$63:$K$1238,10,0)</f>
        <v>0.35904702025418778</v>
      </c>
      <c r="W975" s="8">
        <f>+VLOOKUP($B975,NIFTY_IT!$B$63:$K$1238,10,0)</f>
        <v>0.23852914601757802</v>
      </c>
      <c r="X975" s="8">
        <f>+VLOOKUP($B975,NIFTY_PHARMA!$B$63:$K$1238,10,0)</f>
        <v>9.7592908767615283E-2</v>
      </c>
      <c r="Y975" s="8">
        <f>+VLOOKUP($B975,NIFTY_FMCG!$B$63:$K$1238,10,0)</f>
        <v>7.2347030711375826E-2</v>
      </c>
      <c r="Z975" s="8">
        <f>+VLOOKUP($B975,NIFTY_METAL!$B$63:$K$1238,10,0)</f>
        <v>0.30249874853996328</v>
      </c>
      <c r="AA975" s="8">
        <f>+VLOOKUP($B975,NIFTY_ENERGY!$B$63:$K$1238,10,0)</f>
        <v>0.10423764386610568</v>
      </c>
      <c r="AB975" s="8">
        <f>+VLOOKUP($B975,NIFTY_AUTO!$B$63:$K$1238,10,0)</f>
        <v>0.17648138072401975</v>
      </c>
      <c r="AC975" s="8">
        <f>+VLOOKUP($B975,EBBETF0430!$B$63:$K$1238,10,0)</f>
        <v>0.18627224404899478</v>
      </c>
      <c r="AD975" s="16">
        <f t="shared" si="552"/>
        <v>7.9714396551683345E-2</v>
      </c>
      <c r="AE975" s="8">
        <f t="shared" si="553"/>
        <v>0.14465474743826151</v>
      </c>
      <c r="AF975" s="8">
        <f t="shared" si="554"/>
        <v>0.11865219584044147</v>
      </c>
      <c r="AG975" s="8">
        <f t="shared" si="555"/>
        <v>0.12978027339657525</v>
      </c>
      <c r="AH975" s="8">
        <f t="shared" si="556"/>
        <v>6.9441271238610977E-2</v>
      </c>
      <c r="AI975" s="8">
        <f t="shared" si="557"/>
        <v>0.14274375012825138</v>
      </c>
      <c r="AJ975" s="8">
        <f t="shared" si="558"/>
        <v>0.10255011127257772</v>
      </c>
      <c r="AK975" s="8">
        <f t="shared" si="559"/>
        <v>0.10827961361371613</v>
      </c>
      <c r="AL975" s="9">
        <v>0</v>
      </c>
      <c r="AM975" s="17">
        <f t="shared" si="536"/>
        <v>12.544785424696071</v>
      </c>
      <c r="AN975" s="13">
        <f t="shared" si="537"/>
        <v>6.9130119661423413</v>
      </c>
      <c r="AO975" s="13">
        <f t="shared" si="538"/>
        <v>8.4279940452577744</v>
      </c>
      <c r="AP975" s="13">
        <f t="shared" si="539"/>
        <v>7.7053312790015189</v>
      </c>
      <c r="AQ975" s="13">
        <f t="shared" si="540"/>
        <v>14.400658026029577</v>
      </c>
      <c r="AR975" s="13">
        <f t="shared" si="541"/>
        <v>7.0055606574825671</v>
      </c>
      <c r="AS975" s="13">
        <f t="shared" si="542"/>
        <v>9.7513302286138401</v>
      </c>
      <c r="AT975" s="13">
        <f t="shared" si="543"/>
        <v>9.235348803214853</v>
      </c>
      <c r="AU975" s="9">
        <v>0</v>
      </c>
      <c r="AV975" s="18">
        <f t="shared" si="560"/>
        <v>2</v>
      </c>
      <c r="AW975" s="18">
        <f t="shared" si="561"/>
        <v>8</v>
      </c>
      <c r="AX975" s="18">
        <f t="shared" si="562"/>
        <v>5</v>
      </c>
      <c r="AY975" s="18">
        <f t="shared" si="563"/>
        <v>6</v>
      </c>
      <c r="AZ975" s="18">
        <f t="shared" si="564"/>
        <v>1</v>
      </c>
      <c r="BA975" s="18">
        <f t="shared" si="565"/>
        <v>7</v>
      </c>
      <c r="BB975" s="18">
        <f t="shared" si="566"/>
        <v>3</v>
      </c>
      <c r="BC975" s="18">
        <f t="shared" si="567"/>
        <v>4</v>
      </c>
      <c r="BD975" s="18">
        <f t="shared" si="568"/>
        <v>9</v>
      </c>
      <c r="BE975" s="8">
        <f t="shared" si="570"/>
        <v>-2.5723261001292817E-4</v>
      </c>
    </row>
    <row r="976" spans="1:57" x14ac:dyDescent="0.25">
      <c r="A976" t="str">
        <f t="shared" si="569"/>
        <v/>
      </c>
      <c r="B976" s="1">
        <v>44174</v>
      </c>
      <c r="C976" s="9">
        <f t="shared" si="544"/>
        <v>0.24931970457598332</v>
      </c>
      <c r="D976" s="9">
        <f t="shared" si="545"/>
        <v>0</v>
      </c>
      <c r="E976" s="9">
        <f t="shared" si="546"/>
        <v>0</v>
      </c>
      <c r="F976" s="9">
        <f t="shared" si="547"/>
        <v>0</v>
      </c>
      <c r="G976" s="9">
        <f t="shared" si="548"/>
        <v>0.24959633637405432</v>
      </c>
      <c r="H976" s="9">
        <f t="shared" si="549"/>
        <v>0</v>
      </c>
      <c r="I976" s="9">
        <f t="shared" si="550"/>
        <v>0.25128964273775695</v>
      </c>
      <c r="J976" s="9">
        <f t="shared" si="551"/>
        <v>0.24979431631220522</v>
      </c>
      <c r="K976" s="9">
        <v>0</v>
      </c>
      <c r="L976" s="8">
        <f>+VLOOKUP($B976,NIFTY_50!$B$3:$I$1238,8,0)</f>
        <v>1.0165796183813081E-2</v>
      </c>
      <c r="M976" s="8">
        <f>+VLOOKUP($B976,NIFTY_BANK!$B$3:$I$41238,8,0)</f>
        <v>1.4787571170349567E-2</v>
      </c>
      <c r="N976" s="8">
        <f>+VLOOKUP($B976,NIFTY_IT!$B$3:$I$1238,8,0)</f>
        <v>8.2259676178517704E-3</v>
      </c>
      <c r="O976" s="8">
        <f>+VLOOKUP($B976,NIFTY_PHARMA!$B$3:$I$1238,8,0)</f>
        <v>2.949876282511088E-3</v>
      </c>
      <c r="P976" s="8">
        <f>+VLOOKUP($B976,NIFTY_FMCG!$B$3:$I$1238,8,0)</f>
        <v>8.391210309940611E-3</v>
      </c>
      <c r="Q976" s="8">
        <f>+VLOOKUP($B976,NIFTY_METAL!$B$3:$I$1238,8,0)</f>
        <v>-5.2684676605760927E-3</v>
      </c>
      <c r="R976" s="8">
        <f>+VLOOKUP($B976,NIFTY_ENERGY!$B$3:$I$1238,8,0)</f>
        <v>7.0841105522012615E-3</v>
      </c>
      <c r="S976" s="8">
        <f>+VLOOKUP($B976,NIFTY_AUTO!$B$3:$I$1238,8,0)</f>
        <v>-4.8936044354352948E-4</v>
      </c>
      <c r="T976" s="8">
        <v>0</v>
      </c>
      <c r="U976" s="8">
        <f>+VLOOKUP($B976,NIFTY_50!$B$63:$K$1238,10,0)</f>
        <v>0.18165818721750338</v>
      </c>
      <c r="V976" s="8">
        <f>+VLOOKUP($B976,NIFTY_BANK!$B$63:$K$1238,10,0)</f>
        <v>0.36691563326241194</v>
      </c>
      <c r="W976" s="8">
        <f>+VLOOKUP($B976,NIFTY_IT!$B$63:$K$1238,10,0)</f>
        <v>0.23959751791844375</v>
      </c>
      <c r="X976" s="8">
        <f>+VLOOKUP($B976,NIFTY_PHARMA!$B$63:$K$1238,10,0)</f>
        <v>0.10089884459543152</v>
      </c>
      <c r="Y976" s="8">
        <f>+VLOOKUP($B976,NIFTY_FMCG!$B$63:$K$1238,10,0)</f>
        <v>7.6245786459814058E-2</v>
      </c>
      <c r="Z976" s="8">
        <f>+VLOOKUP($B976,NIFTY_METAL!$B$63:$K$1238,10,0)</f>
        <v>0.31061692969870869</v>
      </c>
      <c r="AA976" s="8">
        <f>+VLOOKUP($B976,NIFTY_ENERGY!$B$63:$K$1238,10,0)</f>
        <v>6.9451528816094621E-2</v>
      </c>
      <c r="AB976" s="8">
        <f>+VLOOKUP($B976,NIFTY_AUTO!$B$63:$K$1238,10,0)</f>
        <v>0.16970421648835732</v>
      </c>
      <c r="AC976" s="8">
        <f>+VLOOKUP($B976,EBBETF0430!$B$63:$K$1238,10,0)</f>
        <v>-0.46392345498274601</v>
      </c>
      <c r="AD976" s="16">
        <f t="shared" si="552"/>
        <v>7.9092316696127582E-2</v>
      </c>
      <c r="AE976" s="8">
        <f t="shared" si="553"/>
        <v>0.14492127408824917</v>
      </c>
      <c r="AF976" s="8">
        <f t="shared" si="554"/>
        <v>0.1186826286678889</v>
      </c>
      <c r="AG976" s="8">
        <f t="shared" si="555"/>
        <v>0.12977455180769151</v>
      </c>
      <c r="AH976" s="8">
        <f t="shared" si="556"/>
        <v>6.9722111597462375E-2</v>
      </c>
      <c r="AI976" s="8">
        <f t="shared" si="557"/>
        <v>0.14218545328332813</v>
      </c>
      <c r="AJ976" s="8">
        <f t="shared" si="558"/>
        <v>9.5257428474385605E-2</v>
      </c>
      <c r="AK976" s="8">
        <f t="shared" si="559"/>
        <v>0.1082962294096302</v>
      </c>
      <c r="AL976" s="9">
        <v>0</v>
      </c>
      <c r="AM976" s="17">
        <f t="shared" si="536"/>
        <v>12.643453141497886</v>
      </c>
      <c r="AN976" s="13">
        <f t="shared" si="537"/>
        <v>6.9002981535413106</v>
      </c>
      <c r="AO976" s="13">
        <f t="shared" si="538"/>
        <v>8.4258329228476452</v>
      </c>
      <c r="AP976" s="13">
        <f t="shared" si="539"/>
        <v>7.7056709968982666</v>
      </c>
      <c r="AQ976" s="13">
        <f t="shared" si="540"/>
        <v>14.342652238840056</v>
      </c>
      <c r="AR976" s="13">
        <f t="shared" si="541"/>
        <v>7.0330682704041037</v>
      </c>
      <c r="AS976" s="13">
        <f t="shared" si="542"/>
        <v>10.497868943301325</v>
      </c>
      <c r="AT976" s="13">
        <f t="shared" si="543"/>
        <v>9.2339318317122814</v>
      </c>
      <c r="AU976" s="9">
        <v>0</v>
      </c>
      <c r="AV976" s="18">
        <f t="shared" si="560"/>
        <v>2</v>
      </c>
      <c r="AW976" s="18">
        <f t="shared" si="561"/>
        <v>8</v>
      </c>
      <c r="AX976" s="18">
        <f t="shared" si="562"/>
        <v>5</v>
      </c>
      <c r="AY976" s="18">
        <f t="shared" si="563"/>
        <v>6</v>
      </c>
      <c r="AZ976" s="18">
        <f t="shared" si="564"/>
        <v>1</v>
      </c>
      <c r="BA976" s="18">
        <f t="shared" si="565"/>
        <v>7</v>
      </c>
      <c r="BB976" s="18">
        <f t="shared" si="566"/>
        <v>3</v>
      </c>
      <c r="BC976" s="18">
        <f t="shared" si="567"/>
        <v>4</v>
      </c>
      <c r="BD976" s="18">
        <f t="shared" si="568"/>
        <v>9</v>
      </c>
      <c r="BE976" s="8">
        <f t="shared" si="570"/>
        <v>6.2704293756929222E-3</v>
      </c>
    </row>
    <row r="977" spans="1:57" x14ac:dyDescent="0.25">
      <c r="A977" t="str">
        <f t="shared" si="569"/>
        <v/>
      </c>
      <c r="B977" s="1">
        <v>44175</v>
      </c>
      <c r="C977" s="9">
        <f t="shared" si="544"/>
        <v>0.24806484908552645</v>
      </c>
      <c r="D977" s="9">
        <f t="shared" si="545"/>
        <v>0</v>
      </c>
      <c r="E977" s="9">
        <f t="shared" si="546"/>
        <v>0</v>
      </c>
      <c r="F977" s="9">
        <f t="shared" si="547"/>
        <v>0</v>
      </c>
      <c r="G977" s="9">
        <f t="shared" si="548"/>
        <v>0.25626925811592566</v>
      </c>
      <c r="H977" s="9">
        <f t="shared" si="549"/>
        <v>0</v>
      </c>
      <c r="I977" s="9">
        <f t="shared" si="550"/>
        <v>0.24867385148281518</v>
      </c>
      <c r="J977" s="9">
        <f t="shared" si="551"/>
        <v>0.24699204131573271</v>
      </c>
      <c r="K977" s="9">
        <v>0</v>
      </c>
      <c r="L977" s="8">
        <f>+VLOOKUP($B977,NIFTY_50!$B$3:$I$1238,8,0)</f>
        <v>-3.7548691339409634E-3</v>
      </c>
      <c r="M977" s="8">
        <f>+VLOOKUP($B977,NIFTY_BANK!$B$3:$I$41238,8,0)</f>
        <v>-6.4817287214991026E-3</v>
      </c>
      <c r="N977" s="8">
        <f>+VLOOKUP($B977,NIFTY_IT!$B$3:$I$1238,8,0)</f>
        <v>-2.0917887424929393E-3</v>
      </c>
      <c r="O977" s="8">
        <f>+VLOOKUP($B977,NIFTY_PHARMA!$B$3:$I$1238,8,0)</f>
        <v>-2.651901734985751E-4</v>
      </c>
      <c r="P977" s="8">
        <f>+VLOOKUP($B977,NIFTY_FMCG!$B$3:$I$1238,8,0)</f>
        <v>2.8053916167303239E-2</v>
      </c>
      <c r="Q977" s="8">
        <f>+VLOOKUP($B977,NIFTY_METAL!$B$3:$I$1238,8,0)</f>
        <v>2.3020702533886883E-3</v>
      </c>
      <c r="R977" s="8">
        <f>+VLOOKUP($B977,NIFTY_ENERGY!$B$3:$I$1238,8,0)</f>
        <v>-9.1381252651754341E-3</v>
      </c>
      <c r="S977" s="8">
        <f>+VLOOKUP($B977,NIFTY_AUTO!$B$3:$I$1238,8,0)</f>
        <v>-9.9480270732676956E-3</v>
      </c>
      <c r="T977" s="8">
        <v>0</v>
      </c>
      <c r="U977" s="8">
        <f>+VLOOKUP($B977,NIFTY_50!$B$63:$K$1238,10,0)</f>
        <v>0.17566041109691244</v>
      </c>
      <c r="V977" s="8">
        <f>+VLOOKUP($B977,NIFTY_BANK!$B$63:$K$1238,10,0)</f>
        <v>0.35722499382783313</v>
      </c>
      <c r="W977" s="8">
        <f>+VLOOKUP($B977,NIFTY_IT!$B$63:$K$1238,10,0)</f>
        <v>0.22124428105671323</v>
      </c>
      <c r="X977" s="8">
        <f>+VLOOKUP($B977,NIFTY_PHARMA!$B$63:$K$1238,10,0)</f>
        <v>9.9643782097177835E-2</v>
      </c>
      <c r="Y977" s="8">
        <f>+VLOOKUP($B977,NIFTY_FMCG!$B$63:$K$1238,10,0)</f>
        <v>9.9526188765750145E-2</v>
      </c>
      <c r="Z977" s="8">
        <f>+VLOOKUP($B977,NIFTY_METAL!$B$63:$K$1238,10,0)</f>
        <v>0.30564526276055859</v>
      </c>
      <c r="AA977" s="8">
        <f>+VLOOKUP($B977,NIFTY_ENERGY!$B$63:$K$1238,10,0)</f>
        <v>6.2055035973479278E-2</v>
      </c>
      <c r="AB977" s="8">
        <f>+VLOOKUP($B977,NIFTY_AUTO!$B$63:$K$1238,10,0)</f>
        <v>0.15635054293183193</v>
      </c>
      <c r="AC977" s="8">
        <f>+VLOOKUP($B977,EBBETF0430!$B$63:$K$1238,10,0)</f>
        <v>-0.53109553670232379</v>
      </c>
      <c r="AD977" s="16">
        <f t="shared" si="552"/>
        <v>7.9346607740260283E-2</v>
      </c>
      <c r="AE977" s="8">
        <f t="shared" si="553"/>
        <v>0.1453213850106426</v>
      </c>
      <c r="AF977" s="8">
        <f t="shared" si="554"/>
        <v>0.11844395158917802</v>
      </c>
      <c r="AG977" s="8">
        <f t="shared" si="555"/>
        <v>0.12978686523314112</v>
      </c>
      <c r="AH977" s="8">
        <f t="shared" si="556"/>
        <v>7.447613522794154E-2</v>
      </c>
      <c r="AI977" s="8">
        <f t="shared" si="557"/>
        <v>0.14219534016516355</v>
      </c>
      <c r="AJ977" s="8">
        <f t="shared" si="558"/>
        <v>9.5749272714234196E-2</v>
      </c>
      <c r="AK977" s="8">
        <f t="shared" si="559"/>
        <v>0.10901251203814052</v>
      </c>
      <c r="AL977" s="9">
        <v>0</v>
      </c>
      <c r="AM977" s="17">
        <f t="shared" si="536"/>
        <v>12.602933237845306</v>
      </c>
      <c r="AN977" s="13">
        <f t="shared" si="537"/>
        <v>6.8812996788240435</v>
      </c>
      <c r="AO977" s="13">
        <f t="shared" si="538"/>
        <v>8.4428118665653162</v>
      </c>
      <c r="AP977" s="13">
        <f t="shared" si="539"/>
        <v>7.7049399275008428</v>
      </c>
      <c r="AQ977" s="13">
        <f t="shared" si="540"/>
        <v>13.427119934988593</v>
      </c>
      <c r="AR977" s="13">
        <f t="shared" si="541"/>
        <v>7.0325792591970613</v>
      </c>
      <c r="AS977" s="13">
        <f t="shared" si="542"/>
        <v>10.443943558553411</v>
      </c>
      <c r="AT977" s="13">
        <f t="shared" si="543"/>
        <v>9.1732589342600157</v>
      </c>
      <c r="AU977" s="9">
        <v>0</v>
      </c>
      <c r="AV977" s="18">
        <f t="shared" si="560"/>
        <v>2</v>
      </c>
      <c r="AW977" s="18">
        <f t="shared" si="561"/>
        <v>8</v>
      </c>
      <c r="AX977" s="18">
        <f t="shared" si="562"/>
        <v>5</v>
      </c>
      <c r="AY977" s="18">
        <f t="shared" si="563"/>
        <v>6</v>
      </c>
      <c r="AZ977" s="18">
        <f t="shared" si="564"/>
        <v>1</v>
      </c>
      <c r="BA977" s="18">
        <f t="shared" si="565"/>
        <v>7</v>
      </c>
      <c r="BB977" s="18">
        <f t="shared" si="566"/>
        <v>3</v>
      </c>
      <c r="BC977" s="18">
        <f t="shared" si="567"/>
        <v>4</v>
      </c>
      <c r="BD977" s="18">
        <f t="shared" si="568"/>
        <v>9</v>
      </c>
      <c r="BE977" s="8">
        <f t="shared" si="570"/>
        <v>1.2847149785070833E-3</v>
      </c>
    </row>
    <row r="978" spans="1:57" x14ac:dyDescent="0.25">
      <c r="A978" t="str">
        <f t="shared" si="569"/>
        <v/>
      </c>
      <c r="B978" s="1">
        <v>44176</v>
      </c>
      <c r="C978" s="9">
        <f t="shared" si="544"/>
        <v>0.24707129794800528</v>
      </c>
      <c r="D978" s="9">
        <f t="shared" si="545"/>
        <v>0</v>
      </c>
      <c r="E978" s="9">
        <f t="shared" si="546"/>
        <v>0</v>
      </c>
      <c r="F978" s="9">
        <f t="shared" si="547"/>
        <v>0</v>
      </c>
      <c r="G978" s="9">
        <f t="shared" si="548"/>
        <v>0.25688912685492998</v>
      </c>
      <c r="H978" s="9">
        <f t="shared" si="549"/>
        <v>0</v>
      </c>
      <c r="I978" s="9">
        <f t="shared" si="550"/>
        <v>0.25100126449160198</v>
      </c>
      <c r="J978" s="9">
        <f t="shared" si="551"/>
        <v>0.24503831070546264</v>
      </c>
      <c r="K978" s="9">
        <v>0</v>
      </c>
      <c r="L978" s="8">
        <f>+VLOOKUP($B978,NIFTY_50!$B$3:$I$1238,8,0)</f>
        <v>2.6375729876915166E-3</v>
      </c>
      <c r="M978" s="8">
        <f>+VLOOKUP($B978,NIFTY_BANK!$B$3:$I$41238,8,0)</f>
        <v>3.0973096014959012E-3</v>
      </c>
      <c r="N978" s="8">
        <f>+VLOOKUP($B978,NIFTY_IT!$B$3:$I$1238,8,0)</f>
        <v>-4.0319479691945936E-3</v>
      </c>
      <c r="O978" s="8">
        <f>+VLOOKUP($B978,NIFTY_PHARMA!$B$3:$I$1238,8,0)</f>
        <v>-5.9964953458836456E-3</v>
      </c>
      <c r="P978" s="8">
        <f>+VLOOKUP($B978,NIFTY_FMCG!$B$3:$I$1238,8,0)</f>
        <v>9.1044434264770935E-3</v>
      </c>
      <c r="Q978" s="8">
        <f>+VLOOKUP($B978,NIFTY_METAL!$B$3:$I$1238,8,0)</f>
        <v>1.0616597870255706E-2</v>
      </c>
      <c r="R978" s="8">
        <f>+VLOOKUP($B978,NIFTY_ENERGY!$B$3:$I$1238,8,0)</f>
        <v>1.6091214061281889E-2</v>
      </c>
      <c r="S978" s="8">
        <f>+VLOOKUP($B978,NIFTY_AUTO!$B$3:$I$1238,8,0)</f>
        <v>-1.2933587657661949E-3</v>
      </c>
      <c r="T978" s="8">
        <v>0</v>
      </c>
      <c r="U978" s="8">
        <f>+VLOOKUP($B978,NIFTY_50!$B$63:$K$1238,10,0)</f>
        <v>0.18127543148849878</v>
      </c>
      <c r="V978" s="8">
        <f>+VLOOKUP($B978,NIFTY_BANK!$B$63:$K$1238,10,0)</f>
        <v>0.38475651829647628</v>
      </c>
      <c r="W978" s="8">
        <f>+VLOOKUP($B978,NIFTY_IT!$B$63:$K$1238,10,0)</f>
        <v>0.1619525149832608</v>
      </c>
      <c r="X978" s="8">
        <f>+VLOOKUP($B978,NIFTY_PHARMA!$B$63:$K$1238,10,0)</f>
        <v>0.10083412710423478</v>
      </c>
      <c r="Y978" s="8">
        <f>+VLOOKUP($B978,NIFTY_FMCG!$B$63:$K$1238,10,0)</f>
        <v>0.11717462329936112</v>
      </c>
      <c r="Z978" s="8">
        <f>+VLOOKUP($B978,NIFTY_METAL!$B$63:$K$1238,10,0)</f>
        <v>0.31798663622462864</v>
      </c>
      <c r="AA978" s="8">
        <f>+VLOOKUP($B978,NIFTY_ENERGY!$B$63:$K$1238,10,0)</f>
        <v>8.6858738466689678E-2</v>
      </c>
      <c r="AB978" s="8">
        <f>+VLOOKUP($B978,NIFTY_AUTO!$B$63:$K$1238,10,0)</f>
        <v>0.14356561941919144</v>
      </c>
      <c r="AC978" s="8">
        <f>+VLOOKUP($B978,EBBETF0430!$B$63:$K$1238,10,0)</f>
        <v>0.92325056433408581</v>
      </c>
      <c r="AD978" s="16">
        <f t="shared" si="552"/>
        <v>7.9196742403614101E-2</v>
      </c>
      <c r="AE978" s="8">
        <f t="shared" si="553"/>
        <v>0.14363314671804964</v>
      </c>
      <c r="AF978" s="8">
        <f t="shared" si="554"/>
        <v>0.11026713116167557</v>
      </c>
      <c r="AG978" s="8">
        <f t="shared" si="555"/>
        <v>0.12971861434048185</v>
      </c>
      <c r="AH978" s="8">
        <f t="shared" si="556"/>
        <v>7.4347839711564639E-2</v>
      </c>
      <c r="AI978" s="8">
        <f t="shared" si="557"/>
        <v>0.1422791691665474</v>
      </c>
      <c r="AJ978" s="8">
        <f t="shared" si="558"/>
        <v>9.653175323075297E-2</v>
      </c>
      <c r="AK978" s="8">
        <f t="shared" si="559"/>
        <v>0.10881784778271814</v>
      </c>
      <c r="AL978" s="9">
        <v>0</v>
      </c>
      <c r="AM978" s="17">
        <f t="shared" si="536"/>
        <v>12.626781981809968</v>
      </c>
      <c r="AN978" s="13">
        <f t="shared" si="537"/>
        <v>6.9621812433239354</v>
      </c>
      <c r="AO978" s="13">
        <f t="shared" si="538"/>
        <v>9.0688856186326525</v>
      </c>
      <c r="AP978" s="13">
        <f t="shared" si="539"/>
        <v>7.708993848602387</v>
      </c>
      <c r="AQ978" s="13">
        <f t="shared" si="540"/>
        <v>13.450289932828435</v>
      </c>
      <c r="AR978" s="13">
        <f t="shared" si="541"/>
        <v>7.028435756673785</v>
      </c>
      <c r="AS978" s="13">
        <f t="shared" si="542"/>
        <v>10.359285587712927</v>
      </c>
      <c r="AT978" s="13">
        <f t="shared" si="543"/>
        <v>9.1896689778017695</v>
      </c>
      <c r="AU978" s="9">
        <v>0</v>
      </c>
      <c r="AV978" s="18">
        <f t="shared" si="560"/>
        <v>2</v>
      </c>
      <c r="AW978" s="18">
        <f t="shared" si="561"/>
        <v>8</v>
      </c>
      <c r="AX978" s="18">
        <f t="shared" si="562"/>
        <v>5</v>
      </c>
      <c r="AY978" s="18">
        <f t="shared" si="563"/>
        <v>6</v>
      </c>
      <c r="AZ978" s="18">
        <f t="shared" si="564"/>
        <v>1</v>
      </c>
      <c r="BA978" s="18">
        <f t="shared" si="565"/>
        <v>7</v>
      </c>
      <c r="BB978" s="18">
        <f t="shared" si="566"/>
        <v>3</v>
      </c>
      <c r="BC978" s="18">
        <f t="shared" si="567"/>
        <v>4</v>
      </c>
      <c r="BD978" s="18">
        <f t="shared" si="568"/>
        <v>9</v>
      </c>
      <c r="BE978" s="8">
        <f t="shared" si="570"/>
        <v>6.6694929615486688E-3</v>
      </c>
    </row>
    <row r="979" spans="1:57" x14ac:dyDescent="0.25">
      <c r="A979" t="str">
        <f t="shared" si="569"/>
        <v/>
      </c>
      <c r="B979" s="1">
        <v>44179</v>
      </c>
      <c r="C979" s="9">
        <f t="shared" si="544"/>
        <v>0.24769475338956598</v>
      </c>
      <c r="D979" s="9">
        <f t="shared" si="545"/>
        <v>0</v>
      </c>
      <c r="E979" s="9">
        <f t="shared" si="546"/>
        <v>0</v>
      </c>
      <c r="F979" s="9">
        <f t="shared" si="547"/>
        <v>0</v>
      </c>
      <c r="G979" s="9">
        <f t="shared" si="548"/>
        <v>0.2570454599559997</v>
      </c>
      <c r="H979" s="9">
        <f t="shared" si="549"/>
        <v>0</v>
      </c>
      <c r="I979" s="9">
        <f t="shared" si="550"/>
        <v>0.25295988431814886</v>
      </c>
      <c r="J979" s="9">
        <f t="shared" si="551"/>
        <v>0.24229990233628532</v>
      </c>
      <c r="K979" s="9">
        <v>0</v>
      </c>
      <c r="L979" s="8">
        <f>+VLOOKUP($B979,NIFTY_50!$B$3:$I$1238,8,0)</f>
        <v>3.2781183748524789E-3</v>
      </c>
      <c r="M979" s="8">
        <f>+VLOOKUP($B979,NIFTY_BANK!$B$3:$I$41238,8,0)</f>
        <v>4.6087466528998977E-3</v>
      </c>
      <c r="N979" s="8">
        <f>+VLOOKUP($B979,NIFTY_IT!$B$3:$I$1238,8,0)</f>
        <v>3.6489587010237745E-3</v>
      </c>
      <c r="O979" s="8">
        <f>+VLOOKUP($B979,NIFTY_PHARMA!$B$3:$I$1238,8,0)</f>
        <v>7.5934012615235247E-3</v>
      </c>
      <c r="P979" s="8">
        <f>+VLOOKUP($B979,NIFTY_FMCG!$B$3:$I$1238,8,0)</f>
        <v>1.361856664586103E-3</v>
      </c>
      <c r="Q979" s="8">
        <f>+VLOOKUP($B979,NIFTY_METAL!$B$3:$I$1238,8,0)</f>
        <v>1.3794857124694193E-2</v>
      </c>
      <c r="R979" s="8">
        <f>+VLOOKUP($B979,NIFTY_ENERGY!$B$3:$I$1238,8,0)</f>
        <v>8.5619374507746038E-3</v>
      </c>
      <c r="S979" s="8">
        <f>+VLOOKUP($B979,NIFTY_AUTO!$B$3:$I$1238,8,0)</f>
        <v>-1.0431006807088972E-2</v>
      </c>
      <c r="T979" s="8">
        <v>0</v>
      </c>
      <c r="U979" s="8">
        <f>+VLOOKUP($B979,NIFTY_50!$B$63:$K$1238,10,0)</f>
        <v>0.17673887760592977</v>
      </c>
      <c r="V979" s="8">
        <f>+VLOOKUP($B979,NIFTY_BANK!$B$63:$K$1238,10,0)</f>
        <v>0.36857380044645938</v>
      </c>
      <c r="W979" s="8">
        <f>+VLOOKUP($B979,NIFTY_IT!$B$63:$K$1238,10,0)</f>
        <v>0.15893169208194724</v>
      </c>
      <c r="X979" s="8">
        <f>+VLOOKUP($B979,NIFTY_PHARMA!$B$63:$K$1238,10,0)</f>
        <v>8.8153355748657125E-2</v>
      </c>
      <c r="Y979" s="8">
        <f>+VLOOKUP($B979,NIFTY_FMCG!$B$63:$K$1238,10,0)</f>
        <v>0.12045538906362951</v>
      </c>
      <c r="Z979" s="8">
        <f>+VLOOKUP($B979,NIFTY_METAL!$B$63:$K$1238,10,0)</f>
        <v>0.33700823709417116</v>
      </c>
      <c r="AA979" s="8">
        <f>+VLOOKUP($B979,NIFTY_ENERGY!$B$63:$K$1238,10,0)</f>
        <v>9.1375970211213353E-2</v>
      </c>
      <c r="AB979" s="8">
        <f>+VLOOKUP($B979,NIFTY_AUTO!$B$63:$K$1238,10,0)</f>
        <v>0.13189767847140099</v>
      </c>
      <c r="AC979" s="8">
        <f>+VLOOKUP($B979,EBBETF0430!$B$63:$K$1238,10,0)</f>
        <v>-6.2170563589674099E-3</v>
      </c>
      <c r="AD979" s="16">
        <f t="shared" si="552"/>
        <v>7.907664037459515E-2</v>
      </c>
      <c r="AE979" s="8">
        <f t="shared" si="553"/>
        <v>0.14320854950514161</v>
      </c>
      <c r="AF979" s="8">
        <f t="shared" si="554"/>
        <v>0.1102098253016055</v>
      </c>
      <c r="AG979" s="8">
        <f t="shared" si="555"/>
        <v>0.12864181351033258</v>
      </c>
      <c r="AH979" s="8">
        <f t="shared" si="556"/>
        <v>7.4269256405981393E-2</v>
      </c>
      <c r="AI979" s="8">
        <f t="shared" si="557"/>
        <v>0.14245772165972137</v>
      </c>
      <c r="AJ979" s="8">
        <f t="shared" si="558"/>
        <v>9.6747635398524226E-2</v>
      </c>
      <c r="AK979" s="8">
        <f t="shared" si="559"/>
        <v>0.10952293374730776</v>
      </c>
      <c r="AL979" s="9">
        <v>0</v>
      </c>
      <c r="AM979" s="17">
        <f t="shared" si="536"/>
        <v>12.645959606565034</v>
      </c>
      <c r="AN979" s="13">
        <f t="shared" si="537"/>
        <v>6.9828233262295347</v>
      </c>
      <c r="AO979" s="13">
        <f t="shared" si="538"/>
        <v>9.0736011717952731</v>
      </c>
      <c r="AP979" s="13">
        <f t="shared" si="539"/>
        <v>7.7735222530867034</v>
      </c>
      <c r="AQ979" s="13">
        <f t="shared" si="540"/>
        <v>13.464521504478984</v>
      </c>
      <c r="AR979" s="13">
        <f t="shared" si="541"/>
        <v>7.0196265133920148</v>
      </c>
      <c r="AS979" s="13">
        <f t="shared" si="542"/>
        <v>10.336169932017313</v>
      </c>
      <c r="AT979" s="13">
        <f t="shared" si="543"/>
        <v>9.130507792159845</v>
      </c>
      <c r="AU979" s="9">
        <v>0</v>
      </c>
      <c r="AV979" s="18">
        <f t="shared" si="560"/>
        <v>2</v>
      </c>
      <c r="AW979" s="18">
        <f t="shared" si="561"/>
        <v>8</v>
      </c>
      <c r="AX979" s="18">
        <f t="shared" si="562"/>
        <v>5</v>
      </c>
      <c r="AY979" s="18">
        <f t="shared" si="563"/>
        <v>6</v>
      </c>
      <c r="AZ979" s="18">
        <f t="shared" si="564"/>
        <v>1</v>
      </c>
      <c r="BA979" s="18">
        <f t="shared" si="565"/>
        <v>7</v>
      </c>
      <c r="BB979" s="18">
        <f t="shared" si="566"/>
        <v>3</v>
      </c>
      <c r="BC979" s="18">
        <f t="shared" si="567"/>
        <v>4</v>
      </c>
      <c r="BD979" s="18">
        <f t="shared" si="568"/>
        <v>9</v>
      </c>
      <c r="BE979" s="8">
        <f t="shared" si="570"/>
        <v>7.528359708452643E-4</v>
      </c>
    </row>
    <row r="980" spans="1:57" x14ac:dyDescent="0.25">
      <c r="A980" t="str">
        <f t="shared" si="569"/>
        <v/>
      </c>
      <c r="B980" s="1">
        <v>44180</v>
      </c>
      <c r="C980" s="9">
        <f t="shared" si="544"/>
        <v>0.24853018539139465</v>
      </c>
      <c r="D980" s="9">
        <f t="shared" si="545"/>
        <v>0</v>
      </c>
      <c r="E980" s="9">
        <f t="shared" si="546"/>
        <v>0</v>
      </c>
      <c r="F980" s="9">
        <f t="shared" si="547"/>
        <v>0</v>
      </c>
      <c r="G980" s="9">
        <f t="shared" si="548"/>
        <v>0.25440455087416625</v>
      </c>
      <c r="H980" s="9">
        <f t="shared" si="549"/>
        <v>0</v>
      </c>
      <c r="I980" s="9">
        <f t="shared" si="550"/>
        <v>0.25260839932730472</v>
      </c>
      <c r="J980" s="9">
        <f t="shared" si="551"/>
        <v>0.24445686440713443</v>
      </c>
      <c r="K980" s="9">
        <v>0</v>
      </c>
      <c r="L980" s="8">
        <f>+VLOOKUP($B980,NIFTY_50!$B$3:$I$1238,8,0)</f>
        <v>7.1543684057195911E-4</v>
      </c>
      <c r="M980" s="8">
        <f>+VLOOKUP($B980,NIFTY_BANK!$B$3:$I$41238,8,0)</f>
        <v>-1.7839777010919544E-3</v>
      </c>
      <c r="N980" s="8">
        <f>+VLOOKUP($B980,NIFTY_IT!$B$3:$I$1238,8,0)</f>
        <v>-1.3892125011540912E-3</v>
      </c>
      <c r="O980" s="8">
        <f>+VLOOKUP($B980,NIFTY_PHARMA!$B$3:$I$1238,8,0)</f>
        <v>-2.1910288204559647E-3</v>
      </c>
      <c r="P980" s="8">
        <f>+VLOOKUP($B980,NIFTY_FMCG!$B$3:$I$1238,8,0)</f>
        <v>-1.2895342129772946E-2</v>
      </c>
      <c r="Q980" s="8">
        <f>+VLOOKUP($B980,NIFTY_METAL!$B$3:$I$1238,8,0)</f>
        <v>7.7284840884150885E-3</v>
      </c>
      <c r="R980" s="8">
        <f>+VLOOKUP($B980,NIFTY_ENERGY!$B$3:$I$1238,8,0)</f>
        <v>-4.034268226967952E-3</v>
      </c>
      <c r="S980" s="8">
        <f>+VLOOKUP($B980,NIFTY_AUTO!$B$3:$I$1238,8,0)</f>
        <v>6.2299985703444527E-3</v>
      </c>
      <c r="T980" s="8">
        <v>0</v>
      </c>
      <c r="U980" s="8">
        <f>+VLOOKUP($B980,NIFTY_50!$B$63:$K$1238,10,0)</f>
        <v>0.16918363917601287</v>
      </c>
      <c r="V980" s="8">
        <f>+VLOOKUP($B980,NIFTY_BANK!$B$63:$K$1238,10,0)</f>
        <v>0.35960227788717325</v>
      </c>
      <c r="W980" s="8">
        <f>+VLOOKUP($B980,NIFTY_IT!$B$63:$K$1238,10,0)</f>
        <v>0.14894779303350725</v>
      </c>
      <c r="X980" s="8">
        <f>+VLOOKUP($B980,NIFTY_PHARMA!$B$63:$K$1238,10,0)</f>
        <v>6.3656313229613737E-2</v>
      </c>
      <c r="Y980" s="8">
        <f>+VLOOKUP($B980,NIFTY_FMCG!$B$63:$K$1238,10,0)</f>
        <v>0.10151098255211588</v>
      </c>
      <c r="Z980" s="8">
        <f>+VLOOKUP($B980,NIFTY_METAL!$B$63:$K$1238,10,0)</f>
        <v>0.34126901329104697</v>
      </c>
      <c r="AA980" s="8">
        <f>+VLOOKUP($B980,NIFTY_ENERGY!$B$63:$K$1238,10,0)</f>
        <v>9.1721443259241253E-2</v>
      </c>
      <c r="AB980" s="8">
        <f>+VLOOKUP($B980,NIFTY_AUTO!$B$63:$K$1238,10,0)</f>
        <v>0.12181530614747071</v>
      </c>
      <c r="AC980" s="8">
        <f>+VLOOKUP($B980,EBBETF0430!$B$63:$K$1238,10,0)</f>
        <v>-5.1401145688186989E-2</v>
      </c>
      <c r="AD980" s="16">
        <f t="shared" si="552"/>
        <v>7.8972001402292338E-2</v>
      </c>
      <c r="AE980" s="8">
        <f t="shared" si="553"/>
        <v>0.14338143547355878</v>
      </c>
      <c r="AF980" s="8">
        <f t="shared" si="554"/>
        <v>0.11017045478395615</v>
      </c>
      <c r="AG980" s="8">
        <f t="shared" si="555"/>
        <v>0.12721081799263811</v>
      </c>
      <c r="AH980" s="8">
        <f t="shared" si="556"/>
        <v>7.5668551193768099E-2</v>
      </c>
      <c r="AI980" s="8">
        <f t="shared" si="557"/>
        <v>0.14248384506818618</v>
      </c>
      <c r="AJ980" s="8">
        <f t="shared" si="558"/>
        <v>9.6729046543939115E-2</v>
      </c>
      <c r="AK980" s="8">
        <f t="shared" si="559"/>
        <v>0.10880266808676491</v>
      </c>
      <c r="AL980" s="9">
        <v>0</v>
      </c>
      <c r="AM980" s="17">
        <f t="shared" si="536"/>
        <v>12.6627156744564</v>
      </c>
      <c r="AN980" s="13">
        <f t="shared" si="537"/>
        <v>6.9744036018136519</v>
      </c>
      <c r="AO980" s="13">
        <f t="shared" si="538"/>
        <v>9.0768437142335152</v>
      </c>
      <c r="AP980" s="13">
        <f t="shared" si="539"/>
        <v>7.8609666676136891</v>
      </c>
      <c r="AQ980" s="13">
        <f t="shared" si="540"/>
        <v>13.215529889547533</v>
      </c>
      <c r="AR980" s="13">
        <f t="shared" si="541"/>
        <v>7.0183395143600054</v>
      </c>
      <c r="AS980" s="13">
        <f t="shared" si="542"/>
        <v>10.338156280138154</v>
      </c>
      <c r="AT980" s="13">
        <f t="shared" si="543"/>
        <v>9.1909510822156317</v>
      </c>
      <c r="AU980" s="9">
        <v>0</v>
      </c>
      <c r="AV980" s="18">
        <f t="shared" si="560"/>
        <v>2</v>
      </c>
      <c r="AW980" s="18">
        <f t="shared" si="561"/>
        <v>8</v>
      </c>
      <c r="AX980" s="18">
        <f t="shared" si="562"/>
        <v>5</v>
      </c>
      <c r="AY980" s="18">
        <f t="shared" si="563"/>
        <v>6</v>
      </c>
      <c r="AZ980" s="18">
        <f t="shared" si="564"/>
        <v>1</v>
      </c>
      <c r="BA980" s="18">
        <f t="shared" si="565"/>
        <v>7</v>
      </c>
      <c r="BB980" s="18">
        <f t="shared" si="566"/>
        <v>3</v>
      </c>
      <c r="BC980" s="18">
        <f t="shared" si="567"/>
        <v>4</v>
      </c>
      <c r="BD980" s="18">
        <f t="shared" si="568"/>
        <v>9</v>
      </c>
      <c r="BE980" s="8">
        <f t="shared" si="570"/>
        <v>-2.6484591760987247E-3</v>
      </c>
    </row>
    <row r="981" spans="1:57" x14ac:dyDescent="0.25">
      <c r="A981" t="str">
        <f t="shared" si="569"/>
        <v/>
      </c>
      <c r="B981" s="1">
        <v>44181</v>
      </c>
      <c r="C981" s="9">
        <f t="shared" si="544"/>
        <v>0.24872221508527231</v>
      </c>
      <c r="D981" s="9">
        <f t="shared" si="545"/>
        <v>0</v>
      </c>
      <c r="E981" s="9">
        <f t="shared" si="546"/>
        <v>0</v>
      </c>
      <c r="F981" s="9">
        <f t="shared" si="547"/>
        <v>0</v>
      </c>
      <c r="G981" s="9">
        <f t="shared" si="548"/>
        <v>0.25415826820892368</v>
      </c>
      <c r="H981" s="9">
        <f t="shared" si="549"/>
        <v>0</v>
      </c>
      <c r="I981" s="9">
        <f t="shared" si="550"/>
        <v>0.25215829555841307</v>
      </c>
      <c r="J981" s="9">
        <f t="shared" si="551"/>
        <v>0.24496122114739086</v>
      </c>
      <c r="K981" s="9">
        <v>0</v>
      </c>
      <c r="L981" s="8">
        <f>+VLOOKUP($B981,NIFTY_50!$B$3:$I$1238,8,0)</f>
        <v>8.4648636298307878E-3</v>
      </c>
      <c r="M981" s="8">
        <f>+VLOOKUP($B981,NIFTY_BANK!$B$3:$I$41238,8,0)</f>
        <v>2.3948349763203147E-4</v>
      </c>
      <c r="N981" s="8">
        <f>+VLOOKUP($B981,NIFTY_IT!$B$3:$I$1238,8,0)</f>
        <v>8.4151071313796066E-3</v>
      </c>
      <c r="O981" s="8">
        <f>+VLOOKUP($B981,NIFTY_PHARMA!$B$3:$I$1238,8,0)</f>
        <v>9.2418319579170571E-3</v>
      </c>
      <c r="P981" s="8">
        <f>+VLOOKUP($B981,NIFTY_FMCG!$B$3:$I$1238,8,0)</f>
        <v>6.7107474998453487E-3</v>
      </c>
      <c r="Q981" s="8">
        <f>+VLOOKUP($B981,NIFTY_METAL!$B$3:$I$1238,8,0)</f>
        <v>1.7920756654169923E-2</v>
      </c>
      <c r="R981" s="8">
        <f>+VLOOKUP($B981,NIFTY_ENERGY!$B$3:$I$1238,8,0)</f>
        <v>5.8907434893686883E-3</v>
      </c>
      <c r="S981" s="8">
        <f>+VLOOKUP($B981,NIFTY_AUTO!$B$3:$I$1238,8,0)</f>
        <v>9.7652941337196264E-3</v>
      </c>
      <c r="T981" s="8">
        <v>0</v>
      </c>
      <c r="U981" s="8">
        <f>+VLOOKUP($B981,NIFTY_50!$B$63:$K$1238,10,0)</f>
        <v>0.18813660874775318</v>
      </c>
      <c r="V981" s="8">
        <f>+VLOOKUP($B981,NIFTY_BANK!$B$63:$K$1238,10,0)</f>
        <v>0.37535477714283161</v>
      </c>
      <c r="W981" s="8">
        <f>+VLOOKUP($B981,NIFTY_IT!$B$63:$K$1238,10,0)</f>
        <v>0.1558480550215211</v>
      </c>
      <c r="X981" s="8">
        <f>+VLOOKUP($B981,NIFTY_PHARMA!$B$63:$K$1238,10,0)</f>
        <v>6.9150771773908382E-2</v>
      </c>
      <c r="Y981" s="8">
        <f>+VLOOKUP($B981,NIFTY_FMCG!$B$63:$K$1238,10,0)</f>
        <v>0.11562471963264742</v>
      </c>
      <c r="Z981" s="8">
        <f>+VLOOKUP($B981,NIFTY_METAL!$B$63:$K$1238,10,0)</f>
        <v>0.38439893369441025</v>
      </c>
      <c r="AA981" s="8">
        <f>+VLOOKUP($B981,NIFTY_ENERGY!$B$63:$K$1238,10,0)</f>
        <v>0.10802214367894858</v>
      </c>
      <c r="AB981" s="8">
        <f>+VLOOKUP($B981,NIFTY_AUTO!$B$63:$K$1238,10,0)</f>
        <v>0.13660940008488498</v>
      </c>
      <c r="AC981" s="8">
        <f>+VLOOKUP($B981,EBBETF0430!$B$63:$K$1238,10,0)</f>
        <v>-0.18878342328928599</v>
      </c>
      <c r="AD981" s="16">
        <f t="shared" si="552"/>
        <v>7.8496462521383523E-2</v>
      </c>
      <c r="AE981" s="8">
        <f t="shared" si="553"/>
        <v>0.14251598267480212</v>
      </c>
      <c r="AF981" s="8">
        <f t="shared" si="554"/>
        <v>0.11033302093577983</v>
      </c>
      <c r="AG981" s="8">
        <f t="shared" si="555"/>
        <v>0.12743328219383659</v>
      </c>
      <c r="AH981" s="8">
        <f t="shared" si="556"/>
        <v>7.5433439907595434E-2</v>
      </c>
      <c r="AI981" s="8">
        <f t="shared" si="557"/>
        <v>0.14177275230300798</v>
      </c>
      <c r="AJ981" s="8">
        <f t="shared" si="558"/>
        <v>9.6246546001860611E-2</v>
      </c>
      <c r="AK981" s="8">
        <f t="shared" si="559"/>
        <v>0.10893577283439766</v>
      </c>
      <c r="AL981" s="9">
        <v>0</v>
      </c>
      <c r="AM981" s="17">
        <f t="shared" si="536"/>
        <v>12.739427585384325</v>
      </c>
      <c r="AN981" s="13">
        <f t="shared" si="537"/>
        <v>7.0167568663637852</v>
      </c>
      <c r="AO981" s="13">
        <f t="shared" si="538"/>
        <v>9.0634697710493892</v>
      </c>
      <c r="AP981" s="13">
        <f t="shared" si="539"/>
        <v>7.8472435362601507</v>
      </c>
      <c r="AQ981" s="13">
        <f t="shared" si="540"/>
        <v>13.25672011279058</v>
      </c>
      <c r="AR981" s="13">
        <f t="shared" si="541"/>
        <v>7.0535415568622142</v>
      </c>
      <c r="AS981" s="13">
        <f t="shared" si="542"/>
        <v>10.389983241379575</v>
      </c>
      <c r="AT981" s="13">
        <f t="shared" si="543"/>
        <v>9.1797209858710342</v>
      </c>
      <c r="AU981" s="9">
        <v>0</v>
      </c>
      <c r="AV981" s="18">
        <f t="shared" si="560"/>
        <v>2</v>
      </c>
      <c r="AW981" s="18">
        <f t="shared" si="561"/>
        <v>8</v>
      </c>
      <c r="AX981" s="18">
        <f t="shared" si="562"/>
        <v>5</v>
      </c>
      <c r="AY981" s="18">
        <f t="shared" si="563"/>
        <v>6</v>
      </c>
      <c r="AZ981" s="18">
        <f t="shared" si="564"/>
        <v>1</v>
      </c>
      <c r="BA981" s="18">
        <f t="shared" si="565"/>
        <v>7</v>
      </c>
      <c r="BB981" s="18">
        <f t="shared" si="566"/>
        <v>3</v>
      </c>
      <c r="BC981" s="18">
        <f t="shared" si="567"/>
        <v>4</v>
      </c>
      <c r="BD981" s="18">
        <f t="shared" si="568"/>
        <v>9</v>
      </c>
      <c r="BE981" s="8">
        <f t="shared" si="570"/>
        <v>7.6862632986024592E-3</v>
      </c>
    </row>
    <row r="982" spans="1:57" x14ac:dyDescent="0.25">
      <c r="A982" t="str">
        <f t="shared" si="569"/>
        <v/>
      </c>
      <c r="B982" s="1">
        <v>44182</v>
      </c>
      <c r="C982" s="9">
        <f t="shared" si="544"/>
        <v>0.25042619857279158</v>
      </c>
      <c r="D982" s="9">
        <f t="shared" si="545"/>
        <v>0</v>
      </c>
      <c r="E982" s="9">
        <f t="shared" si="546"/>
        <v>0</v>
      </c>
      <c r="F982" s="9">
        <f t="shared" si="547"/>
        <v>0</v>
      </c>
      <c r="G982" s="9">
        <f t="shared" si="548"/>
        <v>0.25346087645438337</v>
      </c>
      <c r="H982" s="9">
        <f t="shared" si="549"/>
        <v>0</v>
      </c>
      <c r="I982" s="9">
        <f t="shared" si="550"/>
        <v>0.25194735754065256</v>
      </c>
      <c r="J982" s="9">
        <f t="shared" si="551"/>
        <v>0.24416556743217252</v>
      </c>
      <c r="K982" s="9">
        <v>0</v>
      </c>
      <c r="L982" s="8">
        <f>+VLOOKUP($B982,NIFTY_50!$B$3:$I$1238,8,0)</f>
        <v>4.2389294510585263E-3</v>
      </c>
      <c r="M982" s="8">
        <f>+VLOOKUP($B982,NIFTY_BANK!$B$3:$I$41238,8,0)</f>
        <v>4.8422719099365796E-3</v>
      </c>
      <c r="N982" s="8">
        <f>+VLOOKUP($B982,NIFTY_IT!$B$3:$I$1238,8,0)</f>
        <v>-6.1118690313777257E-4</v>
      </c>
      <c r="O982" s="8">
        <f>+VLOOKUP($B982,NIFTY_PHARMA!$B$3:$I$1238,8,0)</f>
        <v>4.3753735803944149E-3</v>
      </c>
      <c r="P982" s="8">
        <f>+VLOOKUP($B982,NIFTY_FMCG!$B$3:$I$1238,8,0)</f>
        <v>-5.3310562539020667E-3</v>
      </c>
      <c r="Q982" s="8">
        <f>+VLOOKUP($B982,NIFTY_METAL!$B$3:$I$1238,8,0)</f>
        <v>-1.3463742645373311E-2</v>
      </c>
      <c r="R982" s="8">
        <f>+VLOOKUP($B982,NIFTY_ENERGY!$B$3:$I$1238,8,0)</f>
        <v>-3.4286075883831479E-3</v>
      </c>
      <c r="S982" s="8">
        <f>+VLOOKUP($B982,NIFTY_AUTO!$B$3:$I$1238,8,0)</f>
        <v>-5.8339015704992336E-3</v>
      </c>
      <c r="T982" s="8">
        <v>0</v>
      </c>
      <c r="U982" s="8">
        <f>+VLOOKUP($B982,NIFTY_50!$B$63:$K$1238,10,0)</f>
        <v>0.19432939734635957</v>
      </c>
      <c r="V982" s="8">
        <f>+VLOOKUP($B982,NIFTY_BANK!$B$63:$K$1238,10,0)</f>
        <v>0.40016249792905922</v>
      </c>
      <c r="W982" s="8">
        <f>+VLOOKUP($B982,NIFTY_IT!$B$63:$K$1238,10,0)</f>
        <v>0.15459396482592025</v>
      </c>
      <c r="X982" s="8">
        <f>+VLOOKUP($B982,NIFTY_PHARMA!$B$63:$K$1238,10,0)</f>
        <v>2.2847356930094431E-2</v>
      </c>
      <c r="Y982" s="8">
        <f>+VLOOKUP($B982,NIFTY_FMCG!$B$63:$K$1238,10,0)</f>
        <v>0.11663167639773686</v>
      </c>
      <c r="Z982" s="8">
        <f>+VLOOKUP($B982,NIFTY_METAL!$B$63:$K$1238,10,0)</f>
        <v>0.36639573279146553</v>
      </c>
      <c r="AA982" s="8">
        <f>+VLOOKUP($B982,NIFTY_ENERGY!$B$63:$K$1238,10,0)</f>
        <v>9.801864727991827E-2</v>
      </c>
      <c r="AB982" s="8">
        <f>+VLOOKUP($B982,NIFTY_AUTO!$B$63:$K$1238,10,0)</f>
        <v>0.12540279598613036</v>
      </c>
      <c r="AC982" s="8">
        <f>+VLOOKUP($B982,EBBETF0430!$B$63:$K$1238,10,0)</f>
        <v>-0.32938949361097969</v>
      </c>
      <c r="AD982" s="16">
        <f t="shared" si="552"/>
        <v>7.8410972246453395E-2</v>
      </c>
      <c r="AE982" s="8">
        <f t="shared" si="553"/>
        <v>0.14131040091983016</v>
      </c>
      <c r="AF982" s="8">
        <f t="shared" si="554"/>
        <v>0.11035797550969557</v>
      </c>
      <c r="AG982" s="8">
        <f t="shared" si="555"/>
        <v>0.11769475565790781</v>
      </c>
      <c r="AH982" s="8">
        <f t="shared" si="556"/>
        <v>7.534267166717043E-2</v>
      </c>
      <c r="AI982" s="8">
        <f t="shared" si="557"/>
        <v>0.14290232994916996</v>
      </c>
      <c r="AJ982" s="8">
        <f t="shared" si="558"/>
        <v>9.6300633045069209E-2</v>
      </c>
      <c r="AK982" s="8">
        <f t="shared" si="559"/>
        <v>0.10920822639616777</v>
      </c>
      <c r="AL982" s="9">
        <v>0</v>
      </c>
      <c r="AM982" s="17">
        <f t="shared" si="536"/>
        <v>12.753317186999055</v>
      </c>
      <c r="AN982" s="13">
        <f t="shared" si="537"/>
        <v>7.0766199337820259</v>
      </c>
      <c r="AO982" s="13">
        <f t="shared" si="538"/>
        <v>9.0614203040734864</v>
      </c>
      <c r="AP982" s="13">
        <f t="shared" si="539"/>
        <v>8.4965553002769738</v>
      </c>
      <c r="AQ982" s="13">
        <f t="shared" si="540"/>
        <v>13.272690997971827</v>
      </c>
      <c r="AR982" s="13">
        <f t="shared" si="541"/>
        <v>6.9977865326317481</v>
      </c>
      <c r="AS982" s="13">
        <f t="shared" si="542"/>
        <v>10.384147729662324</v>
      </c>
      <c r="AT982" s="13">
        <f t="shared" si="543"/>
        <v>9.1568193441065819</v>
      </c>
      <c r="AU982" s="9">
        <v>0</v>
      </c>
      <c r="AV982" s="18">
        <f t="shared" si="560"/>
        <v>2</v>
      </c>
      <c r="AW982" s="18">
        <f t="shared" si="561"/>
        <v>7</v>
      </c>
      <c r="AX982" s="18">
        <f t="shared" si="562"/>
        <v>5</v>
      </c>
      <c r="AY982" s="18">
        <f t="shared" si="563"/>
        <v>6</v>
      </c>
      <c r="AZ982" s="18">
        <f t="shared" si="564"/>
        <v>1</v>
      </c>
      <c r="BA982" s="18">
        <f t="shared" si="565"/>
        <v>8</v>
      </c>
      <c r="BB982" s="18">
        <f t="shared" si="566"/>
        <v>3</v>
      </c>
      <c r="BC982" s="18">
        <f t="shared" si="567"/>
        <v>4</v>
      </c>
      <c r="BD982" s="18">
        <f t="shared" si="568"/>
        <v>9</v>
      </c>
      <c r="BE982" s="8">
        <f t="shared" si="570"/>
        <v>-2.5942476009471367E-3</v>
      </c>
    </row>
    <row r="983" spans="1:57" x14ac:dyDescent="0.25">
      <c r="A983" t="str">
        <f t="shared" si="569"/>
        <v/>
      </c>
      <c r="B983" s="1">
        <v>44183</v>
      </c>
      <c r="C983" s="9">
        <f t="shared" si="544"/>
        <v>0.25097520605551044</v>
      </c>
      <c r="D983" s="9">
        <f t="shared" si="545"/>
        <v>0</v>
      </c>
      <c r="E983" s="9">
        <f t="shared" si="546"/>
        <v>0</v>
      </c>
      <c r="F983" s="9">
        <f t="shared" si="547"/>
        <v>0</v>
      </c>
      <c r="G983" s="9">
        <f t="shared" si="548"/>
        <v>0.25431493103786151</v>
      </c>
      <c r="H983" s="9">
        <f t="shared" si="549"/>
        <v>0</v>
      </c>
      <c r="I983" s="9">
        <f t="shared" si="550"/>
        <v>0.25080227014716422</v>
      </c>
      <c r="J983" s="9">
        <f t="shared" si="551"/>
        <v>0.24390759275946389</v>
      </c>
      <c r="K983" s="9">
        <v>0</v>
      </c>
      <c r="L983" s="8">
        <f>+VLOOKUP($B983,NIFTY_50!$B$3:$I$1238,8,0)</f>
        <v>1.4446134476409078E-3</v>
      </c>
      <c r="M983" s="8">
        <f>+VLOOKUP($B983,NIFTY_BANK!$B$3:$I$41238,8,0)</f>
        <v>-4.2921446297132793E-3</v>
      </c>
      <c r="N983" s="8">
        <f>+VLOOKUP($B983,NIFTY_IT!$B$3:$I$1238,8,0)</f>
        <v>1.5915866723454464E-2</v>
      </c>
      <c r="O983" s="8">
        <f>+VLOOKUP($B983,NIFTY_PHARMA!$B$3:$I$1238,8,0)</f>
        <v>1.2692026915508192E-2</v>
      </c>
      <c r="P983" s="8">
        <f>+VLOOKUP($B983,NIFTY_FMCG!$B$3:$I$1238,8,0)</f>
        <v>2.6210142722531415E-3</v>
      </c>
      <c r="Q983" s="8">
        <f>+VLOOKUP($B983,NIFTY_METAL!$B$3:$I$1238,8,0)</f>
        <v>-3.438981317966272E-3</v>
      </c>
      <c r="R983" s="8">
        <f>+VLOOKUP($B983,NIFTY_ENERGY!$B$3:$I$1238,8,0)</f>
        <v>-5.287599827979772E-3</v>
      </c>
      <c r="S983" s="8">
        <f>+VLOOKUP($B983,NIFTY_AUTO!$B$3:$I$1238,8,0)</f>
        <v>-1.8018116099813852E-3</v>
      </c>
      <c r="T983" s="8">
        <v>0</v>
      </c>
      <c r="U983" s="8">
        <f>+VLOOKUP($B983,NIFTY_50!$B$63:$K$1238,10,0)</f>
        <v>0.22310020399002717</v>
      </c>
      <c r="V983" s="8">
        <f>+VLOOKUP($B983,NIFTY_BANK!$B$63:$K$1238,10,0)</f>
        <v>0.43749414980249735</v>
      </c>
      <c r="W983" s="8">
        <f>+VLOOKUP($B983,NIFTY_IT!$B$63:$K$1238,10,0)</f>
        <v>0.17880277763698094</v>
      </c>
      <c r="X983" s="8">
        <f>+VLOOKUP($B983,NIFTY_PHARMA!$B$63:$K$1238,10,0)</f>
        <v>8.1596332063510912E-2</v>
      </c>
      <c r="Y983" s="8">
        <f>+VLOOKUP($B983,NIFTY_FMCG!$B$63:$K$1238,10,0)</f>
        <v>0.15438997351206329</v>
      </c>
      <c r="Z983" s="8">
        <f>+VLOOKUP($B983,NIFTY_METAL!$B$63:$K$1238,10,0)</f>
        <v>0.43575780570000222</v>
      </c>
      <c r="AA983" s="8">
        <f>+VLOOKUP($B983,NIFTY_ENERGY!$B$63:$K$1238,10,0)</f>
        <v>0.12141179073687236</v>
      </c>
      <c r="AB983" s="8">
        <f>+VLOOKUP($B983,NIFTY_AUTO!$B$63:$K$1238,10,0)</f>
        <v>0.17063532596205411</v>
      </c>
      <c r="AC983" s="8">
        <f>+VLOOKUP($B983,EBBETF0430!$B$63:$K$1238,10,0)</f>
        <v>-0.45107753282140206</v>
      </c>
      <c r="AD983" s="16">
        <f t="shared" si="552"/>
        <v>7.4246729299488792E-2</v>
      </c>
      <c r="AE983" s="8">
        <f t="shared" si="553"/>
        <v>0.13701255183675523</v>
      </c>
      <c r="AF983" s="8">
        <f t="shared" si="554"/>
        <v>0.11089615827938841</v>
      </c>
      <c r="AG983" s="8">
        <f t="shared" si="555"/>
        <v>0.11008967093323166</v>
      </c>
      <c r="AH983" s="8">
        <f t="shared" si="556"/>
        <v>6.8070296065148833E-2</v>
      </c>
      <c r="AI983" s="8">
        <f t="shared" si="557"/>
        <v>0.13123988426468589</v>
      </c>
      <c r="AJ983" s="8">
        <f t="shared" si="558"/>
        <v>9.2465819134914737E-2</v>
      </c>
      <c r="AK983" s="8">
        <f t="shared" si="559"/>
        <v>0.10058993192849193</v>
      </c>
      <c r="AL983" s="9">
        <v>0</v>
      </c>
      <c r="AM983" s="17">
        <f t="shared" si="536"/>
        <v>13.468606757966445</v>
      </c>
      <c r="AN983" s="13">
        <f t="shared" si="537"/>
        <v>7.2986013806345165</v>
      </c>
      <c r="AO983" s="13">
        <f t="shared" si="538"/>
        <v>9.0174449278993993</v>
      </c>
      <c r="AP983" s="13">
        <f t="shared" si="539"/>
        <v>9.0835043062894663</v>
      </c>
      <c r="AQ983" s="13">
        <f t="shared" si="540"/>
        <v>14.690695616233523</v>
      </c>
      <c r="AR983" s="13">
        <f t="shared" si="541"/>
        <v>7.619634881597352</v>
      </c>
      <c r="AS983" s="13">
        <f t="shared" si="542"/>
        <v>10.814807129334172</v>
      </c>
      <c r="AT983" s="13">
        <f t="shared" si="543"/>
        <v>9.9413527857925867</v>
      </c>
      <c r="AU983" s="9">
        <v>0</v>
      </c>
      <c r="AV983" s="18">
        <f t="shared" si="560"/>
        <v>2</v>
      </c>
      <c r="AW983" s="18">
        <f t="shared" si="561"/>
        <v>8</v>
      </c>
      <c r="AX983" s="18">
        <f t="shared" si="562"/>
        <v>6</v>
      </c>
      <c r="AY983" s="18">
        <f t="shared" si="563"/>
        <v>5</v>
      </c>
      <c r="AZ983" s="18">
        <f t="shared" si="564"/>
        <v>1</v>
      </c>
      <c r="BA983" s="18">
        <f t="shared" si="565"/>
        <v>7</v>
      </c>
      <c r="BB983" s="18">
        <f t="shared" si="566"/>
        <v>3</v>
      </c>
      <c r="BC983" s="18">
        <f t="shared" si="567"/>
        <v>4</v>
      </c>
      <c r="BD983" s="18">
        <f t="shared" si="568"/>
        <v>9</v>
      </c>
      <c r="BE983" s="8">
        <f t="shared" si="570"/>
        <v>-7.4604352980431787E-4</v>
      </c>
    </row>
    <row r="984" spans="1:57" x14ac:dyDescent="0.25">
      <c r="A984" t="str">
        <f t="shared" si="569"/>
        <v/>
      </c>
      <c r="B984" s="1">
        <v>44186</v>
      </c>
      <c r="C984" s="9">
        <f t="shared" si="544"/>
        <v>0.25287587535171019</v>
      </c>
      <c r="D984" s="9">
        <f t="shared" si="545"/>
        <v>0</v>
      </c>
      <c r="E984" s="9">
        <f t="shared" si="546"/>
        <v>0</v>
      </c>
      <c r="F984" s="9">
        <f t="shared" si="547"/>
        <v>0</v>
      </c>
      <c r="G984" s="9">
        <f t="shared" si="548"/>
        <v>0.25716709086874495</v>
      </c>
      <c r="H984" s="9">
        <f t="shared" si="549"/>
        <v>0</v>
      </c>
      <c r="I984" s="9">
        <f t="shared" si="550"/>
        <v>0.2479577426982659</v>
      </c>
      <c r="J984" s="9">
        <f t="shared" si="551"/>
        <v>0.24199929108127893</v>
      </c>
      <c r="K984" s="9">
        <v>0</v>
      </c>
      <c r="L984" s="8">
        <f>+VLOOKUP($B984,NIFTY_50!$B$3:$I$1238,8,0)</f>
        <v>-3.1404994713147394E-2</v>
      </c>
      <c r="M984" s="8">
        <f>+VLOOKUP($B984,NIFTY_BANK!$B$3:$I$41238,8,0)</f>
        <v>-4.0964165308737033E-2</v>
      </c>
      <c r="N984" s="8">
        <f>+VLOOKUP($B984,NIFTY_IT!$B$3:$I$1238,8,0)</f>
        <v>-1.771540121943882E-2</v>
      </c>
      <c r="O984" s="8">
        <f>+VLOOKUP($B984,NIFTY_PHARMA!$B$3:$I$1238,8,0)</f>
        <v>-3.793972113286348E-2</v>
      </c>
      <c r="P984" s="8">
        <f>+VLOOKUP($B984,NIFTY_FMCG!$B$3:$I$1238,8,0)</f>
        <v>-2.7903948954188351E-2</v>
      </c>
      <c r="Q984" s="8">
        <f>+VLOOKUP($B984,NIFTY_METAL!$B$3:$I$1238,8,0)</f>
        <v>-5.5446745010259257E-2</v>
      </c>
      <c r="R984" s="8">
        <f>+VLOOKUP($B984,NIFTY_ENERGY!$B$3:$I$1238,8,0)</f>
        <v>-4.9588119742687287E-2</v>
      </c>
      <c r="S984" s="8">
        <f>+VLOOKUP($B984,NIFTY_AUTO!$B$3:$I$1238,8,0)</f>
        <v>-4.6206366258936704E-2</v>
      </c>
      <c r="T984" s="8">
        <v>0</v>
      </c>
      <c r="U984" s="8">
        <f>+VLOOKUP($B984,NIFTY_50!$B$63:$K$1238,10,0)</f>
        <v>0.19498101518337041</v>
      </c>
      <c r="V984" s="8">
        <f>+VLOOKUP($B984,NIFTY_BANK!$B$63:$K$1238,10,0)</f>
        <v>0.39345809424242284</v>
      </c>
      <c r="W984" s="8">
        <f>+VLOOKUP($B984,NIFTY_IT!$B$63:$K$1238,10,0)</f>
        <v>0.1499287731361465</v>
      </c>
      <c r="X984" s="8">
        <f>+VLOOKUP($B984,NIFTY_PHARMA!$B$63:$K$1238,10,0)</f>
        <v>3.3788420330306268E-2</v>
      </c>
      <c r="Y984" s="8">
        <f>+VLOOKUP($B984,NIFTY_FMCG!$B$63:$K$1238,10,0)</f>
        <v>0.13095822928180545</v>
      </c>
      <c r="Z984" s="8">
        <f>+VLOOKUP($B984,NIFTY_METAL!$B$63:$K$1238,10,0)</f>
        <v>0.37232096479143628</v>
      </c>
      <c r="AA984" s="8">
        <f>+VLOOKUP($B984,NIFTY_ENERGY!$B$63:$K$1238,10,0)</f>
        <v>8.7126366587232607E-2</v>
      </c>
      <c r="AB984" s="8">
        <f>+VLOOKUP($B984,NIFTY_AUTO!$B$63:$K$1238,10,0)</f>
        <v>0.13641532113966415</v>
      </c>
      <c r="AC984" s="8">
        <f>+VLOOKUP($B984,EBBETF0430!$B$63:$K$1238,10,0)</f>
        <v>-0.32964580300824842</v>
      </c>
      <c r="AD984" s="16">
        <f t="shared" si="552"/>
        <v>8.1049135422761182E-2</v>
      </c>
      <c r="AE984" s="8">
        <f t="shared" si="553"/>
        <v>0.14385009077722077</v>
      </c>
      <c r="AF984" s="8">
        <f t="shared" si="554"/>
        <v>0.11265753725881623</v>
      </c>
      <c r="AG984" s="8">
        <f t="shared" si="555"/>
        <v>0.11664967612658431</v>
      </c>
      <c r="AH984" s="8">
        <f t="shared" si="556"/>
        <v>7.3767973673044107E-2</v>
      </c>
      <c r="AI984" s="8">
        <f t="shared" si="557"/>
        <v>0.14373494295802319</v>
      </c>
      <c r="AJ984" s="8">
        <f t="shared" si="558"/>
        <v>0.10356820648814946</v>
      </c>
      <c r="AK984" s="8">
        <f t="shared" si="559"/>
        <v>0.10994273167421313</v>
      </c>
      <c r="AL984" s="9">
        <v>0</v>
      </c>
      <c r="AM984" s="17">
        <f t="shared" si="536"/>
        <v>12.338194538213028</v>
      </c>
      <c r="AN984" s="13">
        <f t="shared" si="537"/>
        <v>6.9516813969112485</v>
      </c>
      <c r="AO984" s="13">
        <f t="shared" si="538"/>
        <v>8.8764589066298178</v>
      </c>
      <c r="AP984" s="13">
        <f t="shared" si="539"/>
        <v>8.5726770378242083</v>
      </c>
      <c r="AQ984" s="13">
        <f t="shared" si="540"/>
        <v>13.556018285553295</v>
      </c>
      <c r="AR984" s="13">
        <f t="shared" si="541"/>
        <v>6.9572504738255834</v>
      </c>
      <c r="AS984" s="13">
        <f t="shared" si="542"/>
        <v>9.6554727933270001</v>
      </c>
      <c r="AT984" s="13">
        <f t="shared" si="543"/>
        <v>9.0956444757370729</v>
      </c>
      <c r="AU984" s="9">
        <v>0</v>
      </c>
      <c r="AV984" s="18">
        <f t="shared" si="560"/>
        <v>2</v>
      </c>
      <c r="AW984" s="18">
        <f t="shared" si="561"/>
        <v>8</v>
      </c>
      <c r="AX984" s="18">
        <f t="shared" si="562"/>
        <v>5</v>
      </c>
      <c r="AY984" s="18">
        <f t="shared" si="563"/>
        <v>6</v>
      </c>
      <c r="AZ984" s="18">
        <f t="shared" si="564"/>
        <v>1</v>
      </c>
      <c r="BA984" s="18">
        <f t="shared" si="565"/>
        <v>7</v>
      </c>
      <c r="BB984" s="18">
        <f t="shared" si="566"/>
        <v>3</v>
      </c>
      <c r="BC984" s="18">
        <f t="shared" si="567"/>
        <v>4</v>
      </c>
      <c r="BD984" s="18">
        <f t="shared" si="568"/>
        <v>9</v>
      </c>
      <c r="BE984" s="8">
        <f t="shared" si="570"/>
        <v>-3.8685162441447554E-2</v>
      </c>
    </row>
    <row r="985" spans="1:57" x14ac:dyDescent="0.25">
      <c r="A985" t="str">
        <f t="shared" si="569"/>
        <v/>
      </c>
      <c r="B985" s="1">
        <v>44187</v>
      </c>
      <c r="C985" s="9">
        <f t="shared" si="544"/>
        <v>0.25322995760546063</v>
      </c>
      <c r="D985" s="9">
        <f t="shared" si="545"/>
        <v>0</v>
      </c>
      <c r="E985" s="9">
        <f t="shared" si="546"/>
        <v>0</v>
      </c>
      <c r="F985" s="9">
        <f t="shared" si="547"/>
        <v>0</v>
      </c>
      <c r="G985" s="9">
        <f t="shared" si="548"/>
        <v>0.25625821643505781</v>
      </c>
      <c r="H985" s="9">
        <f t="shared" si="549"/>
        <v>0</v>
      </c>
      <c r="I985" s="9">
        <f t="shared" si="550"/>
        <v>0.24863662697266445</v>
      </c>
      <c r="J985" s="9">
        <f t="shared" si="551"/>
        <v>0.24187519898681706</v>
      </c>
      <c r="K985" s="9">
        <v>0</v>
      </c>
      <c r="L985" s="8">
        <f>+VLOOKUP($B985,NIFTY_50!$B$3:$I$1238,8,0)</f>
        <v>1.0346328141412231E-2</v>
      </c>
      <c r="M985" s="8">
        <f>+VLOOKUP($B985,NIFTY_BANK!$B$3:$I$41238,8,0)</f>
        <v>5.754257556494391E-3</v>
      </c>
      <c r="N985" s="8">
        <f>+VLOOKUP($B985,NIFTY_IT!$B$3:$I$1238,8,0)</f>
        <v>3.357467410241366E-2</v>
      </c>
      <c r="O985" s="8">
        <f>+VLOOKUP($B985,NIFTY_PHARMA!$B$3:$I$1238,8,0)</f>
        <v>2.2218330937478381E-2</v>
      </c>
      <c r="P985" s="8">
        <f>+VLOOKUP($B985,NIFTY_FMCG!$B$3:$I$1238,8,0)</f>
        <v>5.3678460141595163E-3</v>
      </c>
      <c r="Q985" s="8">
        <f>+VLOOKUP($B985,NIFTY_METAL!$B$3:$I$1238,8,0)</f>
        <v>1.3626265119723646E-2</v>
      </c>
      <c r="R985" s="8">
        <f>+VLOOKUP($B985,NIFTY_ENERGY!$B$3:$I$1238,8,0)</f>
        <v>1.1695959993771821E-2</v>
      </c>
      <c r="S985" s="8">
        <f>+VLOOKUP($B985,NIFTY_AUTO!$B$3:$I$1238,8,0)</f>
        <v>8.4162378502001811E-3</v>
      </c>
      <c r="T985" s="8">
        <v>0</v>
      </c>
      <c r="U985" s="8">
        <f>+VLOOKUP($B985,NIFTY_50!$B$63:$K$1238,10,0)</f>
        <v>0.20970907800590188</v>
      </c>
      <c r="V985" s="8">
        <f>+VLOOKUP($B985,NIFTY_BANK!$B$63:$K$1238,10,0)</f>
        <v>0.39886913615222985</v>
      </c>
      <c r="W985" s="8">
        <f>+VLOOKUP($B985,NIFTY_IT!$B$63:$K$1238,10,0)</f>
        <v>0.19216486204694094</v>
      </c>
      <c r="X985" s="8">
        <f>+VLOOKUP($B985,NIFTY_PHARMA!$B$63:$K$1238,10,0)</f>
        <v>7.4025107180448302E-2</v>
      </c>
      <c r="Y985" s="8">
        <f>+VLOOKUP($B985,NIFTY_FMCG!$B$63:$K$1238,10,0)</f>
        <v>0.13664320901974114</v>
      </c>
      <c r="Z985" s="8">
        <f>+VLOOKUP($B985,NIFTY_METAL!$B$63:$K$1238,10,0)</f>
        <v>0.39650833238861805</v>
      </c>
      <c r="AA985" s="8">
        <f>+VLOOKUP($B985,NIFTY_ENERGY!$B$63:$K$1238,10,0)</f>
        <v>0.10780524985625073</v>
      </c>
      <c r="AB985" s="8">
        <f>+VLOOKUP($B985,NIFTY_AUTO!$B$63:$K$1238,10,0)</f>
        <v>0.14662783289341963</v>
      </c>
      <c r="AC985" s="8">
        <f>+VLOOKUP($B985,EBBETF0430!$B$63:$K$1238,10,0)</f>
        <v>3.7754480892796751</v>
      </c>
      <c r="AD985" s="16">
        <f t="shared" si="552"/>
        <v>8.1218403381358495E-2</v>
      </c>
      <c r="AE985" s="8">
        <f t="shared" si="553"/>
        <v>0.14380015423501291</v>
      </c>
      <c r="AF985" s="8">
        <f t="shared" si="554"/>
        <v>0.11667128885255436</v>
      </c>
      <c r="AG985" s="8">
        <f t="shared" si="555"/>
        <v>0.1173369366510443</v>
      </c>
      <c r="AH985" s="8">
        <f t="shared" si="556"/>
        <v>7.3818968548779187E-2</v>
      </c>
      <c r="AI985" s="8">
        <f t="shared" si="557"/>
        <v>0.14365341214408289</v>
      </c>
      <c r="AJ985" s="8">
        <f t="shared" si="558"/>
        <v>0.10368480712847022</v>
      </c>
      <c r="AK985" s="8">
        <f t="shared" si="559"/>
        <v>0.11007774992857564</v>
      </c>
      <c r="AL985" s="9">
        <v>0</v>
      </c>
      <c r="AM985" s="17">
        <f t="shared" si="536"/>
        <v>12.312480403050168</v>
      </c>
      <c r="AN985" s="13">
        <f t="shared" si="537"/>
        <v>6.954095461995804</v>
      </c>
      <c r="AO985" s="13">
        <f t="shared" si="538"/>
        <v>8.5710889957148737</v>
      </c>
      <c r="AP985" s="13">
        <f t="shared" si="539"/>
        <v>8.5224655470081245</v>
      </c>
      <c r="AQ985" s="13">
        <f t="shared" si="540"/>
        <v>13.546653653650081</v>
      </c>
      <c r="AR985" s="13">
        <f t="shared" si="541"/>
        <v>6.9611990768239487</v>
      </c>
      <c r="AS985" s="13">
        <f t="shared" si="542"/>
        <v>9.6446145553509517</v>
      </c>
      <c r="AT985" s="13">
        <f t="shared" si="543"/>
        <v>9.084488015505892</v>
      </c>
      <c r="AU985" s="9">
        <v>0</v>
      </c>
      <c r="AV985" s="18">
        <f t="shared" si="560"/>
        <v>2</v>
      </c>
      <c r="AW985" s="18">
        <f t="shared" si="561"/>
        <v>8</v>
      </c>
      <c r="AX985" s="18">
        <f t="shared" si="562"/>
        <v>5</v>
      </c>
      <c r="AY985" s="18">
        <f t="shared" si="563"/>
        <v>6</v>
      </c>
      <c r="AZ985" s="18">
        <f t="shared" si="564"/>
        <v>1</v>
      </c>
      <c r="BA985" s="18">
        <f t="shared" si="565"/>
        <v>7</v>
      </c>
      <c r="BB985" s="18">
        <f t="shared" si="566"/>
        <v>3</v>
      </c>
      <c r="BC985" s="18">
        <f t="shared" si="567"/>
        <v>4</v>
      </c>
      <c r="BD985" s="18">
        <f t="shared" si="568"/>
        <v>9</v>
      </c>
      <c r="BE985" s="8">
        <f t="shared" si="570"/>
        <v>8.9335975611931958E-3</v>
      </c>
    </row>
    <row r="986" spans="1:57" x14ac:dyDescent="0.25">
      <c r="A986" t="str">
        <f t="shared" si="569"/>
        <v/>
      </c>
      <c r="B986" s="1">
        <v>44188</v>
      </c>
      <c r="C986" s="9">
        <f t="shared" si="544"/>
        <v>0.25284717024713782</v>
      </c>
      <c r="D986" s="9">
        <f t="shared" si="545"/>
        <v>0</v>
      </c>
      <c r="E986" s="9">
        <f t="shared" si="546"/>
        <v>0</v>
      </c>
      <c r="F986" s="9">
        <f t="shared" si="547"/>
        <v>0</v>
      </c>
      <c r="G986" s="9">
        <f t="shared" si="548"/>
        <v>0.25817639748037091</v>
      </c>
      <c r="H986" s="9">
        <f t="shared" si="549"/>
        <v>0</v>
      </c>
      <c r="I986" s="9">
        <f t="shared" si="550"/>
        <v>0.24667850854238824</v>
      </c>
      <c r="J986" s="9">
        <f t="shared" si="551"/>
        <v>0.242297923730103</v>
      </c>
      <c r="K986" s="9">
        <v>0</v>
      </c>
      <c r="L986" s="8">
        <f>+VLOOKUP($B986,NIFTY_50!$B$3:$I$1238,8,0)</f>
        <v>1.0010173544329204E-2</v>
      </c>
      <c r="M986" s="8">
        <f>+VLOOKUP($B986,NIFTY_BANK!$B$3:$I$41238,8,0)</f>
        <v>8.6866412722630404E-3</v>
      </c>
      <c r="N986" s="8">
        <f>+VLOOKUP($B986,NIFTY_IT!$B$3:$I$1238,8,0)</f>
        <v>2.35541005268598E-2</v>
      </c>
      <c r="O986" s="8">
        <f>+VLOOKUP($B986,NIFTY_PHARMA!$B$3:$I$1238,8,0)</f>
        <v>1.6118301801855583E-2</v>
      </c>
      <c r="P986" s="8">
        <f>+VLOOKUP($B986,NIFTY_FMCG!$B$3:$I$1238,8,0)</f>
        <v>1.9110955757814851E-2</v>
      </c>
      <c r="Q986" s="8">
        <f>+VLOOKUP($B986,NIFTY_METAL!$B$3:$I$1238,8,0)</f>
        <v>1.7680580585456074E-2</v>
      </c>
      <c r="R986" s="8">
        <f>+VLOOKUP($B986,NIFTY_ENERGY!$B$3:$I$1238,8,0)</f>
        <v>3.5729374132416059E-3</v>
      </c>
      <c r="S986" s="8">
        <f>+VLOOKUP($B986,NIFTY_AUTO!$B$3:$I$1238,8,0)</f>
        <v>1.3307100900369795E-2</v>
      </c>
      <c r="T986" s="8">
        <v>0</v>
      </c>
      <c r="U986" s="8">
        <f>+VLOOKUP($B986,NIFTY_50!$B$63:$K$1238,10,0)</f>
        <v>0.2587142718325306</v>
      </c>
      <c r="V986" s="8">
        <f>+VLOOKUP($B986,NIFTY_BANK!$B$63:$K$1238,10,0)</f>
        <v>0.4607967502328072</v>
      </c>
      <c r="W986" s="8">
        <f>+VLOOKUP($B986,NIFTY_IT!$B$63:$K$1238,10,0)</f>
        <v>0.27379361778944356</v>
      </c>
      <c r="X986" s="8">
        <f>+VLOOKUP($B986,NIFTY_PHARMA!$B$63:$K$1238,10,0)</f>
        <v>0.12516101141637104</v>
      </c>
      <c r="Y986" s="8">
        <f>+VLOOKUP($B986,NIFTY_FMCG!$B$63:$K$1238,10,0)</f>
        <v>0.169428764725021</v>
      </c>
      <c r="Z986" s="8">
        <f>+VLOOKUP($B986,NIFTY_METAL!$B$63:$K$1238,10,0)</f>
        <v>0.48405426521770023</v>
      </c>
      <c r="AA986" s="8">
        <f>+VLOOKUP($B986,NIFTY_ENERGY!$B$63:$K$1238,10,0)</f>
        <v>0.14295337303973965</v>
      </c>
      <c r="AB986" s="8">
        <f>+VLOOKUP($B986,NIFTY_AUTO!$B$63:$K$1238,10,0)</f>
        <v>0.20449261004063968</v>
      </c>
      <c r="AC986" s="8">
        <f>+VLOOKUP($B986,EBBETF0430!$B$63:$K$1238,10,0)</f>
        <v>-0.49077551020408161</v>
      </c>
      <c r="AD986" s="16">
        <f t="shared" si="552"/>
        <v>7.4578557866236239E-2</v>
      </c>
      <c r="AE986" s="8">
        <f t="shared" si="553"/>
        <v>0.13811775117609634</v>
      </c>
      <c r="AF986" s="8">
        <f t="shared" si="554"/>
        <v>0.10925204336094455</v>
      </c>
      <c r="AG986" s="8">
        <f t="shared" si="555"/>
        <v>0.11388775208913793</v>
      </c>
      <c r="AH986" s="8">
        <f t="shared" si="556"/>
        <v>7.4759157438259158E-2</v>
      </c>
      <c r="AI986" s="8">
        <f t="shared" si="557"/>
        <v>0.13570731233824473</v>
      </c>
      <c r="AJ986" s="8">
        <f t="shared" si="558"/>
        <v>9.946780934650841E-2</v>
      </c>
      <c r="AK986" s="8">
        <f t="shared" si="559"/>
        <v>0.10380632587615997</v>
      </c>
      <c r="AL986" s="9">
        <v>0</v>
      </c>
      <c r="AM986" s="17">
        <f t="shared" si="536"/>
        <v>13.408679768166012</v>
      </c>
      <c r="AN986" s="13">
        <f t="shared" si="537"/>
        <v>7.2401989714198827</v>
      </c>
      <c r="AO986" s="13">
        <f t="shared" si="538"/>
        <v>9.1531468816214403</v>
      </c>
      <c r="AP986" s="13">
        <f t="shared" si="539"/>
        <v>8.7805754495647399</v>
      </c>
      <c r="AQ986" s="13">
        <f t="shared" si="540"/>
        <v>13.376287725364792</v>
      </c>
      <c r="AR986" s="13">
        <f t="shared" si="541"/>
        <v>7.3687996819769177</v>
      </c>
      <c r="AS986" s="13">
        <f t="shared" si="542"/>
        <v>10.053503807612534</v>
      </c>
      <c r="AT986" s="13">
        <f t="shared" si="543"/>
        <v>9.6333242850054361</v>
      </c>
      <c r="AU986" s="9">
        <v>0</v>
      </c>
      <c r="AV986" s="18">
        <f t="shared" si="560"/>
        <v>1</v>
      </c>
      <c r="AW986" s="18">
        <f t="shared" si="561"/>
        <v>8</v>
      </c>
      <c r="AX986" s="18">
        <f t="shared" si="562"/>
        <v>5</v>
      </c>
      <c r="AY986" s="18">
        <f t="shared" si="563"/>
        <v>6</v>
      </c>
      <c r="AZ986" s="18">
        <f t="shared" si="564"/>
        <v>2</v>
      </c>
      <c r="BA986" s="18">
        <f t="shared" si="565"/>
        <v>7</v>
      </c>
      <c r="BB986" s="18">
        <f t="shared" si="566"/>
        <v>3</v>
      </c>
      <c r="BC986" s="18">
        <f t="shared" si="567"/>
        <v>4</v>
      </c>
      <c r="BD986" s="18">
        <f t="shared" si="568"/>
        <v>9</v>
      </c>
      <c r="BE986" s="8">
        <f t="shared" si="570"/>
        <v>1.1539236044148147E-2</v>
      </c>
    </row>
    <row r="987" spans="1:57" x14ac:dyDescent="0.25">
      <c r="A987" t="str">
        <f t="shared" si="569"/>
        <v/>
      </c>
      <c r="B987" s="1">
        <v>44189</v>
      </c>
      <c r="C987" s="9">
        <f t="shared" si="544"/>
        <v>0.2534514578396036</v>
      </c>
      <c r="D987" s="9">
        <f t="shared" si="545"/>
        <v>0</v>
      </c>
      <c r="E987" s="9">
        <f t="shared" si="546"/>
        <v>0</v>
      </c>
      <c r="F987" s="9">
        <f t="shared" si="547"/>
        <v>0</v>
      </c>
      <c r="G987" s="9">
        <f t="shared" si="548"/>
        <v>0.25713281388955023</v>
      </c>
      <c r="H987" s="9">
        <f t="shared" si="549"/>
        <v>0</v>
      </c>
      <c r="I987" s="9">
        <f t="shared" si="550"/>
        <v>0.24802382258454186</v>
      </c>
      <c r="J987" s="9">
        <f t="shared" si="551"/>
        <v>0.24139190568630434</v>
      </c>
      <c r="K987" s="9">
        <v>0</v>
      </c>
      <c r="L987" s="8">
        <f>+VLOOKUP($B987,NIFTY_50!$B$3:$I$1238,8,0)</f>
        <v>1.0892501341803307E-2</v>
      </c>
      <c r="M987" s="8">
        <f>+VLOOKUP($B987,NIFTY_BANK!$B$3:$I$41238,8,0)</f>
        <v>1.7364213457014444E-2</v>
      </c>
      <c r="N987" s="8">
        <f>+VLOOKUP($B987,NIFTY_IT!$B$3:$I$1238,8,0)</f>
        <v>-6.5583266956998898E-3</v>
      </c>
      <c r="O987" s="8">
        <f>+VLOOKUP($B987,NIFTY_PHARMA!$B$3:$I$1238,8,0)</f>
        <v>1.2208652696371614E-2</v>
      </c>
      <c r="P987" s="8">
        <f>+VLOOKUP($B987,NIFTY_FMCG!$B$3:$I$1238,8,0)</f>
        <v>4.4058764647001425E-3</v>
      </c>
      <c r="Q987" s="8">
        <f>+VLOOKUP($B987,NIFTY_METAL!$B$3:$I$1238,8,0)</f>
        <v>3.2545228295204343E-3</v>
      </c>
      <c r="R987" s="8">
        <f>+VLOOKUP($B987,NIFTY_ENERGY!$B$3:$I$1238,8,0)</f>
        <v>1.3982271081656394E-2</v>
      </c>
      <c r="S987" s="8">
        <f>+VLOOKUP($B987,NIFTY_AUTO!$B$3:$I$1238,8,0)</f>
        <v>4.7113065762451889E-3</v>
      </c>
      <c r="T987" s="8">
        <v>0</v>
      </c>
      <c r="U987" s="8">
        <f>+VLOOKUP($B987,NIFTY_50!$B$63:$K$1238,10,0)</f>
        <v>0.24424786769530105</v>
      </c>
      <c r="V987" s="8">
        <f>+VLOOKUP($B987,NIFTY_BANK!$B$63:$K$1238,10,0)</f>
        <v>0.448941610448782</v>
      </c>
      <c r="W987" s="8">
        <f>+VLOOKUP($B987,NIFTY_IT!$B$63:$K$1238,10,0)</f>
        <v>0.22313015968435024</v>
      </c>
      <c r="X987" s="8">
        <f>+VLOOKUP($B987,NIFTY_PHARMA!$B$63:$K$1238,10,0)</f>
        <v>0.11323398787502481</v>
      </c>
      <c r="Y987" s="8">
        <f>+VLOOKUP($B987,NIFTY_FMCG!$B$63:$K$1238,10,0)</f>
        <v>0.15125280510233363</v>
      </c>
      <c r="Z987" s="8">
        <f>+VLOOKUP($B987,NIFTY_METAL!$B$63:$K$1238,10,0)</f>
        <v>0.44721883414263686</v>
      </c>
      <c r="AA987" s="8">
        <f>+VLOOKUP($B987,NIFTY_ENERGY!$B$63:$K$1238,10,0)</f>
        <v>0.1372156235878137</v>
      </c>
      <c r="AB987" s="8">
        <f>+VLOOKUP($B987,NIFTY_AUTO!$B$63:$K$1238,10,0)</f>
        <v>0.17061738053328113</v>
      </c>
      <c r="AC987" s="8">
        <f>+VLOOKUP($B987,EBBETF0430!$B$63:$K$1238,10,0)</f>
        <v>1.0327868852459017</v>
      </c>
      <c r="AD987" s="16">
        <f t="shared" si="552"/>
        <v>7.2494294403263035E-2</v>
      </c>
      <c r="AE987" s="8">
        <f t="shared" si="553"/>
        <v>0.13719824014415441</v>
      </c>
      <c r="AF987" s="8">
        <f t="shared" si="554"/>
        <v>0.10530853524609</v>
      </c>
      <c r="AG987" s="8">
        <f t="shared" si="555"/>
        <v>0.11238493473035115</v>
      </c>
      <c r="AH987" s="8">
        <f t="shared" si="556"/>
        <v>7.2639837278165378E-2</v>
      </c>
      <c r="AI987" s="8">
        <f t="shared" si="557"/>
        <v>0.13389106388976543</v>
      </c>
      <c r="AJ987" s="8">
        <f t="shared" si="558"/>
        <v>9.872916784043681E-2</v>
      </c>
      <c r="AK987" s="8">
        <f t="shared" si="559"/>
        <v>9.9123204357825553E-2</v>
      </c>
      <c r="AL987" s="9">
        <v>0</v>
      </c>
      <c r="AM987" s="17">
        <f t="shared" si="536"/>
        <v>13.794189021791336</v>
      </c>
      <c r="AN987" s="13">
        <f t="shared" si="537"/>
        <v>7.2887232296077444</v>
      </c>
      <c r="AO987" s="13">
        <f t="shared" si="538"/>
        <v>9.4959064587039634</v>
      </c>
      <c r="AP987" s="13">
        <f t="shared" si="539"/>
        <v>8.8979897741572991</v>
      </c>
      <c r="AQ987" s="13">
        <f t="shared" si="540"/>
        <v>13.766550662422635</v>
      </c>
      <c r="AR987" s="13">
        <f t="shared" si="541"/>
        <v>7.4687583394162536</v>
      </c>
      <c r="AS987" s="13">
        <f t="shared" si="542"/>
        <v>10.128719018640679</v>
      </c>
      <c r="AT987" s="13">
        <f t="shared" si="543"/>
        <v>10.088455134986283</v>
      </c>
      <c r="AU987" s="9">
        <v>0</v>
      </c>
      <c r="AV987" s="18">
        <f t="shared" si="560"/>
        <v>1</v>
      </c>
      <c r="AW987" s="18">
        <f t="shared" si="561"/>
        <v>8</v>
      </c>
      <c r="AX987" s="18">
        <f t="shared" si="562"/>
        <v>5</v>
      </c>
      <c r="AY987" s="18">
        <f t="shared" si="563"/>
        <v>6</v>
      </c>
      <c r="AZ987" s="18">
        <f t="shared" si="564"/>
        <v>2</v>
      </c>
      <c r="BA987" s="18">
        <f t="shared" si="565"/>
        <v>7</v>
      </c>
      <c r="BB987" s="18">
        <f t="shared" si="566"/>
        <v>3</v>
      </c>
      <c r="BC987" s="18">
        <f t="shared" si="567"/>
        <v>4</v>
      </c>
      <c r="BD987" s="18">
        <f t="shared" si="568"/>
        <v>9</v>
      </c>
      <c r="BE987" s="8">
        <f t="shared" si="570"/>
        <v>8.4822970325265073E-3</v>
      </c>
    </row>
    <row r="988" spans="1:57" x14ac:dyDescent="0.25">
      <c r="A988" t="str">
        <f t="shared" si="569"/>
        <v/>
      </c>
      <c r="B988" s="1">
        <v>44193</v>
      </c>
      <c r="C988" s="9">
        <f t="shared" si="544"/>
        <v>0.25388405335750913</v>
      </c>
      <c r="D988" s="9">
        <f t="shared" si="545"/>
        <v>0</v>
      </c>
      <c r="E988" s="9">
        <f t="shared" si="546"/>
        <v>0</v>
      </c>
      <c r="F988" s="9">
        <f t="shared" si="547"/>
        <v>0</v>
      </c>
      <c r="G988" s="9">
        <f t="shared" si="548"/>
        <v>0.25576015023782978</v>
      </c>
      <c r="H988" s="9">
        <f t="shared" si="549"/>
        <v>0</v>
      </c>
      <c r="I988" s="9">
        <f t="shared" si="550"/>
        <v>0.24834201036291745</v>
      </c>
      <c r="J988" s="9">
        <f t="shared" si="551"/>
        <v>0.24201378604174381</v>
      </c>
      <c r="K988" s="9">
        <v>0</v>
      </c>
      <c r="L988" s="8">
        <f>+VLOOKUP($B988,NIFTY_50!$B$3:$I$1238,8,0)</f>
        <v>9.0150371838464416E-3</v>
      </c>
      <c r="M988" s="8">
        <f>+VLOOKUP($B988,NIFTY_BANK!$B$3:$I$41238,8,0)</f>
        <v>1.5747215662024416E-2</v>
      </c>
      <c r="N988" s="8">
        <f>+VLOOKUP($B988,NIFTY_IT!$B$3:$I$1238,8,0)</f>
        <v>3.7922883888501513E-3</v>
      </c>
      <c r="O988" s="8">
        <f>+VLOOKUP($B988,NIFTY_PHARMA!$B$3:$I$1238,8,0)</f>
        <v>-2.6803109470561193E-3</v>
      </c>
      <c r="P988" s="8">
        <f>+VLOOKUP($B988,NIFTY_FMCG!$B$3:$I$1238,8,0)</f>
        <v>1.9184743658702264E-3</v>
      </c>
      <c r="Q988" s="8">
        <f>+VLOOKUP($B988,NIFTY_METAL!$B$3:$I$1238,8,0)</f>
        <v>2.5617784562541601E-2</v>
      </c>
      <c r="R988" s="8">
        <f>+VLOOKUP($B988,NIFTY_ENERGY!$B$3:$I$1238,8,0)</f>
        <v>8.5880182910553771E-3</v>
      </c>
      <c r="S988" s="8">
        <f>+VLOOKUP($B988,NIFTY_AUTO!$B$3:$I$1238,8,0)</f>
        <v>9.8907892025552613E-3</v>
      </c>
      <c r="T988" s="8">
        <v>0</v>
      </c>
      <c r="U988" s="8">
        <f>+VLOOKUP($B988,NIFTY_50!$B$63:$K$1238,10,0)</f>
        <v>0.2356391198435992</v>
      </c>
      <c r="V988" s="8">
        <f>+VLOOKUP($B988,NIFTY_BANK!$B$63:$K$1238,10,0)</f>
        <v>0.42535136507350391</v>
      </c>
      <c r="W988" s="8">
        <f>+VLOOKUP($B988,NIFTY_IT!$B$63:$K$1238,10,0)</f>
        <v>0.21822974718256294</v>
      </c>
      <c r="X988" s="8">
        <f>+VLOOKUP($B988,NIFTY_PHARMA!$B$63:$K$1238,10,0)</f>
        <v>9.1361070138853639E-2</v>
      </c>
      <c r="Y988" s="8">
        <f>+VLOOKUP($B988,NIFTY_FMCG!$B$63:$K$1238,10,0)</f>
        <v>0.14370846745320565</v>
      </c>
      <c r="Z988" s="8">
        <f>+VLOOKUP($B988,NIFTY_METAL!$B$63:$K$1238,10,0)</f>
        <v>0.44159588734912836</v>
      </c>
      <c r="AA988" s="8">
        <f>+VLOOKUP($B988,NIFTY_ENERGY!$B$63:$K$1238,10,0)</f>
        <v>0.11803263599426694</v>
      </c>
      <c r="AB988" s="8">
        <f>+VLOOKUP($B988,NIFTY_AUTO!$B$63:$K$1238,10,0)</f>
        <v>0.14733219024239008</v>
      </c>
      <c r="AC988" s="8">
        <f>+VLOOKUP($B988,EBBETF0430!$B$63:$K$1238,10,0)</f>
        <v>-2.2322232223222271E-2</v>
      </c>
      <c r="AD988" s="16">
        <f t="shared" si="552"/>
        <v>7.1620619739802369E-2</v>
      </c>
      <c r="AE988" s="8">
        <f t="shared" si="553"/>
        <v>0.13496980144814061</v>
      </c>
      <c r="AF988" s="8">
        <f t="shared" si="554"/>
        <v>0.1052146980722449</v>
      </c>
      <c r="AG988" s="8">
        <f t="shared" si="555"/>
        <v>0.11138205913839114</v>
      </c>
      <c r="AH988" s="8">
        <f t="shared" si="556"/>
        <v>7.2373472238974612E-2</v>
      </c>
      <c r="AI988" s="8">
        <f t="shared" si="557"/>
        <v>0.13324936517288291</v>
      </c>
      <c r="AJ988" s="8">
        <f t="shared" si="558"/>
        <v>9.602943842958675E-2</v>
      </c>
      <c r="AK988" s="8">
        <f t="shared" si="559"/>
        <v>9.540607524549137E-2</v>
      </c>
      <c r="AL988" s="9">
        <v>0</v>
      </c>
      <c r="AM988" s="17">
        <f t="shared" si="536"/>
        <v>13.962459465346695</v>
      </c>
      <c r="AN988" s="13">
        <f t="shared" si="537"/>
        <v>7.40906476315911</v>
      </c>
      <c r="AO988" s="13">
        <f t="shared" si="538"/>
        <v>9.5043755133275898</v>
      </c>
      <c r="AP988" s="13">
        <f t="shared" si="539"/>
        <v>8.9781065975581367</v>
      </c>
      <c r="AQ988" s="13">
        <f t="shared" si="540"/>
        <v>13.817217401122276</v>
      </c>
      <c r="AR988" s="13">
        <f t="shared" si="541"/>
        <v>7.5047261853935368</v>
      </c>
      <c r="AS988" s="13">
        <f t="shared" si="542"/>
        <v>10.413473371847806</v>
      </c>
      <c r="AT988" s="13">
        <f t="shared" si="543"/>
        <v>10.481512811703857</v>
      </c>
      <c r="AU988" s="9">
        <v>0</v>
      </c>
      <c r="AV988" s="18">
        <f t="shared" si="560"/>
        <v>1</v>
      </c>
      <c r="AW988" s="18">
        <f t="shared" si="561"/>
        <v>8</v>
      </c>
      <c r="AX988" s="18">
        <f t="shared" si="562"/>
        <v>5</v>
      </c>
      <c r="AY988" s="18">
        <f t="shared" si="563"/>
        <v>6</v>
      </c>
      <c r="AZ988" s="18">
        <f t="shared" si="564"/>
        <v>2</v>
      </c>
      <c r="BA988" s="18">
        <f t="shared" si="565"/>
        <v>7</v>
      </c>
      <c r="BB988" s="18">
        <f t="shared" si="566"/>
        <v>4</v>
      </c>
      <c r="BC988" s="18">
        <f t="shared" si="567"/>
        <v>3</v>
      </c>
      <c r="BD988" s="18">
        <f t="shared" si="568"/>
        <v>9</v>
      </c>
      <c r="BE988" s="8">
        <f t="shared" si="570"/>
        <v>7.2957666081151541E-3</v>
      </c>
    </row>
    <row r="989" spans="1:57" x14ac:dyDescent="0.25">
      <c r="A989" t="str">
        <f t="shared" si="569"/>
        <v/>
      </c>
      <c r="B989" s="1">
        <v>44194</v>
      </c>
      <c r="C989" s="9">
        <f t="shared" si="544"/>
        <v>0.2552440405794959</v>
      </c>
      <c r="D989" s="9">
        <f t="shared" si="545"/>
        <v>0</v>
      </c>
      <c r="E989" s="9">
        <f t="shared" si="546"/>
        <v>0</v>
      </c>
      <c r="F989" s="9">
        <f t="shared" si="547"/>
        <v>0</v>
      </c>
      <c r="G989" s="9">
        <f t="shared" si="548"/>
        <v>0.25604030984679788</v>
      </c>
      <c r="H989" s="9">
        <f t="shared" si="549"/>
        <v>0</v>
      </c>
      <c r="I989" s="9">
        <f t="shared" si="550"/>
        <v>0.24705602720293068</v>
      </c>
      <c r="J989" s="9">
        <f t="shared" si="551"/>
        <v>0.2416596223707756</v>
      </c>
      <c r="K989" s="9">
        <v>0</v>
      </c>
      <c r="L989" s="8">
        <f>+VLOOKUP($B989,NIFTY_50!$B$3:$I$1238,8,0)</f>
        <v>4.2816365366318276E-3</v>
      </c>
      <c r="M989" s="8">
        <f>+VLOOKUP($B989,NIFTY_BANK!$B$3:$I$41238,8,0)</f>
        <v>1.4298459082379145E-2</v>
      </c>
      <c r="N989" s="8">
        <f>+VLOOKUP($B989,NIFTY_IT!$B$3:$I$1238,8,0)</f>
        <v>7.2094538242262196E-3</v>
      </c>
      <c r="O989" s="8">
        <f>+VLOOKUP($B989,NIFTY_PHARMA!$B$3:$I$1238,8,0)</f>
        <v>-2.3651679502266765E-3</v>
      </c>
      <c r="P989" s="8">
        <f>+VLOOKUP($B989,NIFTY_FMCG!$B$3:$I$1238,8,0)</f>
        <v>2.4867543759521382E-5</v>
      </c>
      <c r="Q989" s="8">
        <f>+VLOOKUP($B989,NIFTY_METAL!$B$3:$I$1238,8,0)</f>
        <v>-1.0853217979130858E-2</v>
      </c>
      <c r="R989" s="8">
        <f>+VLOOKUP($B989,NIFTY_ENERGY!$B$3:$I$1238,8,0)</f>
        <v>-6.2420981447179891E-3</v>
      </c>
      <c r="S989" s="8">
        <f>+VLOOKUP($B989,NIFTY_AUTO!$B$3:$I$1238,8,0)</f>
        <v>-2.5311988176710543E-3</v>
      </c>
      <c r="T989" s="8">
        <v>0</v>
      </c>
      <c r="U989" s="8">
        <f>+VLOOKUP($B989,NIFTY_50!$B$63:$K$1238,10,0)</f>
        <v>0.24149914456800681</v>
      </c>
      <c r="V989" s="8">
        <f>+VLOOKUP($B989,NIFTY_BANK!$B$63:$K$1238,10,0)</f>
        <v>0.46289576064975035</v>
      </c>
      <c r="W989" s="8">
        <f>+VLOOKUP($B989,NIFTY_IT!$B$63:$K$1238,10,0)</f>
        <v>0.22399630895833966</v>
      </c>
      <c r="X989" s="8">
        <f>+VLOOKUP($B989,NIFTY_PHARMA!$B$63:$K$1238,10,0)</f>
        <v>9.6878602843844641E-2</v>
      </c>
      <c r="Y989" s="8">
        <f>+VLOOKUP($B989,NIFTY_FMCG!$B$63:$K$1238,10,0)</f>
        <v>0.16127678801962286</v>
      </c>
      <c r="Z989" s="8">
        <f>+VLOOKUP($B989,NIFTY_METAL!$B$63:$K$1238,10,0)</f>
        <v>0.39850497610592295</v>
      </c>
      <c r="AA989" s="8">
        <f>+VLOOKUP($B989,NIFTY_ENERGY!$B$63:$K$1238,10,0)</f>
        <v>0.1136236334521683</v>
      </c>
      <c r="AB989" s="8">
        <f>+VLOOKUP($B989,NIFTY_AUTO!$B$63:$K$1238,10,0)</f>
        <v>0.14115732095089073</v>
      </c>
      <c r="AC989" s="8">
        <f>+VLOOKUP($B989,EBBETF0430!$B$63:$K$1238,10,0)</f>
        <v>-0.79420254252901801</v>
      </c>
      <c r="AD989" s="16">
        <f t="shared" si="552"/>
        <v>7.1511701525290738E-2</v>
      </c>
      <c r="AE989" s="8">
        <f t="shared" si="553"/>
        <v>0.13402012968437535</v>
      </c>
      <c r="AF989" s="8">
        <f t="shared" si="554"/>
        <v>0.10528079789950252</v>
      </c>
      <c r="AG989" s="8">
        <f t="shared" si="555"/>
        <v>0.11109099313902526</v>
      </c>
      <c r="AH989" s="8">
        <f t="shared" si="556"/>
        <v>7.0271347396710745E-2</v>
      </c>
      <c r="AI989" s="8">
        <f t="shared" si="557"/>
        <v>0.1335975037690075</v>
      </c>
      <c r="AJ989" s="8">
        <f t="shared" si="558"/>
        <v>9.6281061203353752E-2</v>
      </c>
      <c r="AK989" s="8">
        <f t="shared" si="559"/>
        <v>9.5525877819835348E-2</v>
      </c>
      <c r="AL989" s="9">
        <v>0</v>
      </c>
      <c r="AM989" s="17">
        <f t="shared" si="536"/>
        <v>13.983725441721468</v>
      </c>
      <c r="AN989" s="13">
        <f t="shared" si="537"/>
        <v>7.4615656793875225</v>
      </c>
      <c r="AO989" s="13">
        <f t="shared" si="538"/>
        <v>9.4984082563143755</v>
      </c>
      <c r="AP989" s="13">
        <f t="shared" si="539"/>
        <v>9.0016298508425976</v>
      </c>
      <c r="AQ989" s="13">
        <f t="shared" si="540"/>
        <v>14.230551100074793</v>
      </c>
      <c r="AR989" s="13">
        <f t="shared" si="541"/>
        <v>7.485169795754703</v>
      </c>
      <c r="AS989" s="13">
        <f t="shared" si="542"/>
        <v>10.386258600618406</v>
      </c>
      <c r="AT989" s="13">
        <f t="shared" si="543"/>
        <v>10.4683675546644</v>
      </c>
      <c r="AU989" s="9">
        <v>0</v>
      </c>
      <c r="AV989" s="18">
        <f t="shared" si="560"/>
        <v>2</v>
      </c>
      <c r="AW989" s="18">
        <f t="shared" si="561"/>
        <v>8</v>
      </c>
      <c r="AX989" s="18">
        <f t="shared" si="562"/>
        <v>5</v>
      </c>
      <c r="AY989" s="18">
        <f t="shared" si="563"/>
        <v>6</v>
      </c>
      <c r="AZ989" s="18">
        <f t="shared" si="564"/>
        <v>1</v>
      </c>
      <c r="BA989" s="18">
        <f t="shared" si="565"/>
        <v>7</v>
      </c>
      <c r="BB989" s="18">
        <f t="shared" si="566"/>
        <v>4</v>
      </c>
      <c r="BC989" s="18">
        <f t="shared" si="567"/>
        <v>3</v>
      </c>
      <c r="BD989" s="18">
        <f t="shared" si="568"/>
        <v>9</v>
      </c>
      <c r="BE989" s="8">
        <f t="shared" si="570"/>
        <v>-1.0693608455791836E-3</v>
      </c>
    </row>
    <row r="990" spans="1:57" x14ac:dyDescent="0.25">
      <c r="A990" t="str">
        <f t="shared" si="569"/>
        <v/>
      </c>
      <c r="B990" s="1">
        <v>44195</v>
      </c>
      <c r="C990" s="9">
        <f t="shared" si="544"/>
        <v>0.2546599742316607</v>
      </c>
      <c r="D990" s="9">
        <f t="shared" si="545"/>
        <v>0</v>
      </c>
      <c r="E990" s="9">
        <f t="shared" si="546"/>
        <v>0</v>
      </c>
      <c r="F990" s="9">
        <f t="shared" si="547"/>
        <v>0</v>
      </c>
      <c r="G990" s="9">
        <f t="shared" si="548"/>
        <v>0.25553392359752819</v>
      </c>
      <c r="H990" s="9">
        <f t="shared" si="549"/>
        <v>0</v>
      </c>
      <c r="I990" s="9">
        <f t="shared" si="550"/>
        <v>0.24633869162552194</v>
      </c>
      <c r="J990" s="9">
        <f t="shared" si="551"/>
        <v>0.24346741054528906</v>
      </c>
      <c r="K990" s="9">
        <v>0</v>
      </c>
      <c r="L990" s="8">
        <f>+VLOOKUP($B990,NIFTY_50!$B$3:$I$1238,8,0)</f>
        <v>3.5420524525213715E-3</v>
      </c>
      <c r="M990" s="8">
        <f>+VLOOKUP($B990,NIFTY_BANK!$B$3:$I$41238,8,0)</f>
        <v>-6.2095937425177272E-4</v>
      </c>
      <c r="N990" s="8">
        <f>+VLOOKUP($B990,NIFTY_IT!$B$3:$I$1238,8,0)</f>
        <v>2.306990386853558E-3</v>
      </c>
      <c r="O990" s="8">
        <f>+VLOOKUP($B990,NIFTY_PHARMA!$B$3:$I$1238,8,0)</f>
        <v>-1.5571594297681957E-3</v>
      </c>
      <c r="P990" s="8">
        <f>+VLOOKUP($B990,NIFTY_FMCG!$B$3:$I$1238,8,0)</f>
        <v>3.8543734339322455E-3</v>
      </c>
      <c r="Q990" s="8">
        <f>+VLOOKUP($B990,NIFTY_METAL!$B$3:$I$1238,8,0)</f>
        <v>1.2868943680737432E-2</v>
      </c>
      <c r="R990" s="8">
        <f>+VLOOKUP($B990,NIFTY_ENERGY!$B$3:$I$1238,8,0)</f>
        <v>2.923189353436717E-3</v>
      </c>
      <c r="S990" s="8">
        <f>+VLOOKUP($B990,NIFTY_AUTO!$B$3:$I$1238,8,0)</f>
        <v>1.336812658255826E-2</v>
      </c>
      <c r="T990" s="8">
        <v>0</v>
      </c>
      <c r="U990" s="8">
        <f>+VLOOKUP($B990,NIFTY_50!$B$63:$K$1238,10,0)</f>
        <v>0.24311072189054528</v>
      </c>
      <c r="V990" s="8">
        <f>+VLOOKUP($B990,NIFTY_BANK!$B$63:$K$1238,10,0)</f>
        <v>0.45922719771767406</v>
      </c>
      <c r="W990" s="8">
        <f>+VLOOKUP($B990,NIFTY_IT!$B$63:$K$1238,10,0)</f>
        <v>0.21946885799707805</v>
      </c>
      <c r="X990" s="8">
        <f>+VLOOKUP($B990,NIFTY_PHARMA!$B$63:$K$1238,10,0)</f>
        <v>8.9277447686838762E-2</v>
      </c>
      <c r="Y990" s="8">
        <f>+VLOOKUP($B990,NIFTY_FMCG!$B$63:$K$1238,10,0)</f>
        <v>0.14985548769760482</v>
      </c>
      <c r="Z990" s="8">
        <f>+VLOOKUP($B990,NIFTY_METAL!$B$63:$K$1238,10,0)</f>
        <v>0.4407259592874182</v>
      </c>
      <c r="AA990" s="8">
        <f>+VLOOKUP($B990,NIFTY_ENERGY!$B$63:$K$1238,10,0)</f>
        <v>0.12789022389773042</v>
      </c>
      <c r="AB990" s="8">
        <f>+VLOOKUP($B990,NIFTY_AUTO!$B$63:$K$1238,10,0)</f>
        <v>0.15891301323958973</v>
      </c>
      <c r="AC990" s="8">
        <f>+VLOOKUP($B990,EBBETF0430!$B$63:$K$1238,10,0)</f>
        <v>-0.95079964460239896</v>
      </c>
      <c r="AD990" s="16">
        <f t="shared" si="552"/>
        <v>7.1498714166722294E-2</v>
      </c>
      <c r="AE990" s="8">
        <f t="shared" si="553"/>
        <v>0.13412782337303197</v>
      </c>
      <c r="AF990" s="8">
        <f t="shared" si="554"/>
        <v>0.10525292658537128</v>
      </c>
      <c r="AG990" s="8">
        <f t="shared" si="555"/>
        <v>0.1110680997496809</v>
      </c>
      <c r="AH990" s="8">
        <f t="shared" si="556"/>
        <v>6.9353388141599137E-2</v>
      </c>
      <c r="AI990" s="8">
        <f t="shared" si="557"/>
        <v>0.1318361313899257</v>
      </c>
      <c r="AJ990" s="8">
        <f t="shared" si="558"/>
        <v>9.5571411632280986E-2</v>
      </c>
      <c r="AK990" s="8">
        <f t="shared" si="559"/>
        <v>9.605033785268717E-2</v>
      </c>
      <c r="AL990" s="9">
        <v>0</v>
      </c>
      <c r="AM990" s="17">
        <f t="shared" si="536"/>
        <v>13.986265510568172</v>
      </c>
      <c r="AN990" s="13">
        <f t="shared" si="537"/>
        <v>7.4555746514936896</v>
      </c>
      <c r="AO990" s="13">
        <f t="shared" si="538"/>
        <v>9.5009234654287162</v>
      </c>
      <c r="AP990" s="13">
        <f t="shared" si="539"/>
        <v>9.0034852694314953</v>
      </c>
      <c r="AQ990" s="13">
        <f t="shared" si="540"/>
        <v>14.418906225003678</v>
      </c>
      <c r="AR990" s="13">
        <f t="shared" si="541"/>
        <v>7.5851740297380674</v>
      </c>
      <c r="AS990" s="13">
        <f t="shared" si="542"/>
        <v>10.463380030919536</v>
      </c>
      <c r="AT990" s="13">
        <f t="shared" si="543"/>
        <v>10.411207522598248</v>
      </c>
      <c r="AU990" s="9">
        <v>0</v>
      </c>
      <c r="AV990" s="18">
        <f t="shared" si="560"/>
        <v>2</v>
      </c>
      <c r="AW990" s="18">
        <f t="shared" si="561"/>
        <v>8</v>
      </c>
      <c r="AX990" s="18">
        <f t="shared" si="562"/>
        <v>5</v>
      </c>
      <c r="AY990" s="18">
        <f t="shared" si="563"/>
        <v>6</v>
      </c>
      <c r="AZ990" s="18">
        <f t="shared" si="564"/>
        <v>1</v>
      </c>
      <c r="BA990" s="18">
        <f t="shared" si="565"/>
        <v>7</v>
      </c>
      <c r="BB990" s="18">
        <f t="shared" si="566"/>
        <v>3</v>
      </c>
      <c r="BC990" s="18">
        <f t="shared" si="567"/>
        <v>4</v>
      </c>
      <c r="BD990" s="18">
        <f t="shared" si="568"/>
        <v>9</v>
      </c>
      <c r="BE990" s="8">
        <f t="shared" si="570"/>
        <v>5.8436907183830808E-3</v>
      </c>
    </row>
    <row r="991" spans="1:57" x14ac:dyDescent="0.25">
      <c r="A991" t="str">
        <f t="shared" si="569"/>
        <v>Y</v>
      </c>
      <c r="B991" s="1">
        <v>44196</v>
      </c>
      <c r="C991" s="9">
        <f t="shared" si="544"/>
        <v>0.25</v>
      </c>
      <c r="D991" s="9">
        <f t="shared" si="545"/>
        <v>0</v>
      </c>
      <c r="E991" s="9">
        <f t="shared" si="546"/>
        <v>0</v>
      </c>
      <c r="F991" s="9">
        <f t="shared" si="547"/>
        <v>0</v>
      </c>
      <c r="G991" s="9">
        <f t="shared" si="548"/>
        <v>0.25</v>
      </c>
      <c r="H991" s="9">
        <f t="shared" si="549"/>
        <v>0</v>
      </c>
      <c r="I991" s="9">
        <f t="shared" si="550"/>
        <v>0.25</v>
      </c>
      <c r="J991" s="9">
        <f t="shared" si="551"/>
        <v>0.25</v>
      </c>
      <c r="K991" s="9">
        <v>0</v>
      </c>
      <c r="L991" s="8">
        <f>+VLOOKUP($B991,NIFTY_50!$B$3:$I$1238,8,0)</f>
        <v>-1.430415643033367E-5</v>
      </c>
      <c r="M991" s="8">
        <f>+VLOOKUP($B991,NIFTY_BANK!$B$3:$I$41238,8,0)</f>
        <v>-1.2458849856483711E-3</v>
      </c>
      <c r="N991" s="8">
        <f>+VLOOKUP($B991,NIFTY_IT!$B$3:$I$1238,8,0)</f>
        <v>-3.23468303599872E-3</v>
      </c>
      <c r="O991" s="8">
        <f>+VLOOKUP($B991,NIFTY_PHARMA!$B$3:$I$1238,8,0)</f>
        <v>7.1741046015643128E-3</v>
      </c>
      <c r="P991" s="8">
        <f>+VLOOKUP($B991,NIFTY_FMCG!$B$3:$I$1238,8,0)</f>
        <v>-3.9809172429670081E-3</v>
      </c>
      <c r="Q991" s="8">
        <f>+VLOOKUP($B991,NIFTY_METAL!$B$3:$I$1238,8,0)</f>
        <v>7.3508929400476486E-3</v>
      </c>
      <c r="R991" s="8">
        <f>+VLOOKUP($B991,NIFTY_ENERGY!$B$3:$I$1238,8,0)</f>
        <v>-1.5487867836860847E-3</v>
      </c>
      <c r="S991" s="8">
        <f>+VLOOKUP($B991,NIFTY_AUTO!$B$3:$I$1238,8,0)</f>
        <v>3.1315467877095493E-3</v>
      </c>
      <c r="T991" s="8">
        <v>0</v>
      </c>
      <c r="U991" s="8">
        <f>+VLOOKUP($B991,NIFTY_50!$B$63:$K$1238,10,0)</f>
        <v>0.22464843938179624</v>
      </c>
      <c r="V991" s="8">
        <f>+VLOOKUP($B991,NIFTY_BANK!$B$63:$K$1238,10,0)</f>
        <v>0.40537849501033896</v>
      </c>
      <c r="W991" s="8">
        <f>+VLOOKUP($B991,NIFTY_IT!$B$63:$K$1238,10,0)</f>
        <v>0.2059108719866336</v>
      </c>
      <c r="X991" s="8">
        <f>+VLOOKUP($B991,NIFTY_PHARMA!$B$63:$K$1238,10,0)</f>
        <v>9.2447707415270308E-2</v>
      </c>
      <c r="Y991" s="8">
        <f>+VLOOKUP($B991,NIFTY_FMCG!$B$63:$K$1238,10,0)</f>
        <v>0.13887412507018593</v>
      </c>
      <c r="Z991" s="8">
        <f>+VLOOKUP($B991,NIFTY_METAL!$B$63:$K$1238,10,0)</f>
        <v>0.43931453841901602</v>
      </c>
      <c r="AA991" s="8">
        <f>+VLOOKUP($B991,NIFTY_ENERGY!$B$63:$K$1238,10,0)</f>
        <v>0.12444101875784885</v>
      </c>
      <c r="AB991" s="8">
        <f>+VLOOKUP($B991,NIFTY_AUTO!$B$63:$K$1238,10,0)</f>
        <v>0.15407790512295838</v>
      </c>
      <c r="AC991" s="8">
        <f>+VLOOKUP($B991,EBBETF0430!$B$63:$K$1238,10,0)</f>
        <v>-0.36400191479176636</v>
      </c>
      <c r="AD991" s="16">
        <f t="shared" si="552"/>
        <v>7.0643690231855918E-2</v>
      </c>
      <c r="AE991" s="8">
        <f t="shared" si="553"/>
        <v>0.1307059413449152</v>
      </c>
      <c r="AF991" s="8">
        <f t="shared" si="554"/>
        <v>0.10534745292941579</v>
      </c>
      <c r="AG991" s="8">
        <f t="shared" si="555"/>
        <v>0.11117815812118677</v>
      </c>
      <c r="AH991" s="8">
        <f t="shared" si="556"/>
        <v>6.9551318395934481E-2</v>
      </c>
      <c r="AI991" s="8">
        <f t="shared" si="557"/>
        <v>0.13182334478352478</v>
      </c>
      <c r="AJ991" s="8">
        <f t="shared" si="558"/>
        <v>9.5636849442202534E-2</v>
      </c>
      <c r="AK991" s="8">
        <f t="shared" si="559"/>
        <v>9.5929034128715798E-2</v>
      </c>
      <c r="AL991" s="9">
        <v>0</v>
      </c>
      <c r="AM991" s="17">
        <f t="shared" si="536"/>
        <v>14.155545905344878</v>
      </c>
      <c r="AN991" s="13">
        <f t="shared" si="537"/>
        <v>7.6507616234608342</v>
      </c>
      <c r="AO991" s="13">
        <f t="shared" si="538"/>
        <v>9.4923984604546003</v>
      </c>
      <c r="AP991" s="13">
        <f t="shared" si="539"/>
        <v>8.9945724672824383</v>
      </c>
      <c r="AQ991" s="13">
        <f t="shared" si="540"/>
        <v>14.377872671044198</v>
      </c>
      <c r="AR991" s="13">
        <f t="shared" si="541"/>
        <v>7.5859097767710377</v>
      </c>
      <c r="AS991" s="13">
        <f t="shared" si="542"/>
        <v>10.456220649597444</v>
      </c>
      <c r="AT991" s="13">
        <f t="shared" si="543"/>
        <v>10.424372652999075</v>
      </c>
      <c r="AU991" s="9">
        <v>0</v>
      </c>
      <c r="AV991" s="18">
        <f t="shared" si="560"/>
        <v>2</v>
      </c>
      <c r="AW991" s="18">
        <f t="shared" si="561"/>
        <v>7</v>
      </c>
      <c r="AX991" s="18">
        <f t="shared" si="562"/>
        <v>5</v>
      </c>
      <c r="AY991" s="18">
        <f t="shared" si="563"/>
        <v>6</v>
      </c>
      <c r="AZ991" s="18">
        <f t="shared" si="564"/>
        <v>1</v>
      </c>
      <c r="BA991" s="18">
        <f t="shared" si="565"/>
        <v>8</v>
      </c>
      <c r="BB991" s="18">
        <f t="shared" si="566"/>
        <v>3</v>
      </c>
      <c r="BC991" s="18">
        <f t="shared" si="567"/>
        <v>4</v>
      </c>
      <c r="BD991" s="18">
        <f t="shared" si="568"/>
        <v>9</v>
      </c>
      <c r="BE991" s="8">
        <f t="shared" si="570"/>
        <v>-6.3999862121543675E-4</v>
      </c>
    </row>
    <row r="992" spans="1:57" x14ac:dyDescent="0.25">
      <c r="A992" t="str">
        <f t="shared" si="569"/>
        <v/>
      </c>
      <c r="B992" s="1">
        <v>44197</v>
      </c>
      <c r="C992" s="9">
        <f t="shared" si="544"/>
        <v>0.2493679868621054</v>
      </c>
      <c r="D992" s="9">
        <f t="shared" si="545"/>
        <v>0</v>
      </c>
      <c r="E992" s="9">
        <f t="shared" si="546"/>
        <v>0</v>
      </c>
      <c r="F992" s="9">
        <f t="shared" si="547"/>
        <v>0</v>
      </c>
      <c r="G992" s="9">
        <f t="shared" si="548"/>
        <v>0.25027704264529538</v>
      </c>
      <c r="H992" s="9">
        <f t="shared" si="549"/>
        <v>0</v>
      </c>
      <c r="I992" s="9">
        <f t="shared" si="550"/>
        <v>0.24950350222323139</v>
      </c>
      <c r="J992" s="9">
        <f t="shared" si="551"/>
        <v>0.25085146826936783</v>
      </c>
      <c r="K992" s="9">
        <v>0</v>
      </c>
      <c r="L992" s="8">
        <f>+VLOOKUP($B992,NIFTY_50!$B$3:$I$1238,8,0)</f>
        <v>2.6284263414808606E-3</v>
      </c>
      <c r="M992" s="8">
        <f>+VLOOKUP($B992,NIFTY_BANK!$B$3:$I$41238,8,0)</f>
        <v>-1.2218506559451559E-3</v>
      </c>
      <c r="N992" s="8">
        <f>+VLOOKUP($B992,NIFTY_IT!$B$3:$I$1238,8,0)</f>
        <v>8.4428289559137504E-3</v>
      </c>
      <c r="O992" s="8">
        <f>+VLOOKUP($B992,NIFTY_PHARMA!$B$3:$I$1238,8,0)</f>
        <v>6.6623309254485452E-3</v>
      </c>
      <c r="P992" s="8">
        <f>+VLOOKUP($B992,NIFTY_FMCG!$B$3:$I$1238,8,0)</f>
        <v>6.2834471034698414E-3</v>
      </c>
      <c r="Q992" s="8">
        <f>+VLOOKUP($B992,NIFTY_METAL!$B$3:$I$1238,8,0)</f>
        <v>1.2904613399289389E-3</v>
      </c>
      <c r="R992" s="8">
        <f>+VLOOKUP($B992,NIFTY_ENERGY!$B$3:$I$1238,8,0)</f>
        <v>3.1732899985226215E-3</v>
      </c>
      <c r="S992" s="8">
        <f>+VLOOKUP($B992,NIFTY_AUTO!$B$3:$I$1238,8,0)</f>
        <v>8.5930276826018392E-3</v>
      </c>
      <c r="T992" s="8">
        <v>0</v>
      </c>
      <c r="U992" s="8">
        <f>+VLOOKUP($B992,NIFTY_50!$B$63:$K$1238,10,0)</f>
        <v>0.21864500341204951</v>
      </c>
      <c r="V992" s="8">
        <f>+VLOOKUP($B992,NIFTY_BANK!$B$63:$K$1238,10,0)</f>
        <v>0.39582136654902889</v>
      </c>
      <c r="W992" s="8">
        <f>+VLOOKUP($B992,NIFTY_IT!$B$63:$K$1238,10,0)</f>
        <v>0.17526551011581515</v>
      </c>
      <c r="X992" s="8">
        <f>+VLOOKUP($B992,NIFTY_PHARMA!$B$63:$K$1238,10,0)</f>
        <v>8.1333166999334683E-2</v>
      </c>
      <c r="Y992" s="8">
        <f>+VLOOKUP($B992,NIFTY_FMCG!$B$63:$K$1238,10,0)</f>
        <v>0.14212535471562138</v>
      </c>
      <c r="Z992" s="8">
        <f>+VLOOKUP($B992,NIFTY_METAL!$B$63:$K$1238,10,0)</f>
        <v>0.40537335317075285</v>
      </c>
      <c r="AA992" s="8">
        <f>+VLOOKUP($B992,NIFTY_ENERGY!$B$63:$K$1238,10,0)</f>
        <v>0.13181834849540475</v>
      </c>
      <c r="AB992" s="8">
        <f>+VLOOKUP($B992,NIFTY_AUTO!$B$63:$K$1238,10,0)</f>
        <v>0.16518701424361804</v>
      </c>
      <c r="AC992" s="8">
        <f>+VLOOKUP($B992,EBBETF0430!$B$63:$K$1238,10,0)</f>
        <v>0.19495438675526522</v>
      </c>
      <c r="AD992" s="16">
        <f t="shared" si="552"/>
        <v>7.051985061343885E-2</v>
      </c>
      <c r="AE992" s="8">
        <f t="shared" si="553"/>
        <v>0.13088792686698539</v>
      </c>
      <c r="AF992" s="8">
        <f t="shared" si="554"/>
        <v>0.100586944178632</v>
      </c>
      <c r="AG992" s="8">
        <f t="shared" si="555"/>
        <v>0.11020898089526561</v>
      </c>
      <c r="AH992" s="8">
        <f t="shared" si="556"/>
        <v>6.9660540681748984E-2</v>
      </c>
      <c r="AI992" s="8">
        <f t="shared" si="557"/>
        <v>0.13044962655015541</v>
      </c>
      <c r="AJ992" s="8">
        <f t="shared" si="558"/>
        <v>9.5489748793357671E-2</v>
      </c>
      <c r="AK992" s="8">
        <f t="shared" si="559"/>
        <v>9.6057085283743723E-2</v>
      </c>
      <c r="AL992" s="9">
        <v>0</v>
      </c>
      <c r="AM992" s="17">
        <f t="shared" si="536"/>
        <v>14.180404401047209</v>
      </c>
      <c r="AN992" s="13">
        <f t="shared" si="537"/>
        <v>7.6401240659594842</v>
      </c>
      <c r="AO992" s="13">
        <f t="shared" si="538"/>
        <v>9.9416480753615861</v>
      </c>
      <c r="AP992" s="13">
        <f t="shared" si="539"/>
        <v>9.0736706925030486</v>
      </c>
      <c r="AQ992" s="13">
        <f t="shared" si="540"/>
        <v>14.355329289914618</v>
      </c>
      <c r="AR992" s="13">
        <f t="shared" si="541"/>
        <v>7.6657942720558037</v>
      </c>
      <c r="AS992" s="13">
        <f t="shared" si="542"/>
        <v>10.472328314152614</v>
      </c>
      <c r="AT992" s="13">
        <f t="shared" si="543"/>
        <v>10.410476198045076</v>
      </c>
      <c r="AU992" s="9">
        <v>0</v>
      </c>
      <c r="AV992" s="18">
        <f t="shared" si="560"/>
        <v>2</v>
      </c>
      <c r="AW992" s="18">
        <f t="shared" si="561"/>
        <v>8</v>
      </c>
      <c r="AX992" s="18">
        <f t="shared" si="562"/>
        <v>5</v>
      </c>
      <c r="AY992" s="18">
        <f t="shared" si="563"/>
        <v>6</v>
      </c>
      <c r="AZ992" s="18">
        <f t="shared" si="564"/>
        <v>1</v>
      </c>
      <c r="BA992" s="18">
        <f t="shared" si="565"/>
        <v>7</v>
      </c>
      <c r="BB992" s="18">
        <f t="shared" si="566"/>
        <v>3</v>
      </c>
      <c r="BC992" s="18">
        <f t="shared" si="567"/>
        <v>4</v>
      </c>
      <c r="BD992" s="18">
        <f t="shared" si="568"/>
        <v>9</v>
      </c>
      <c r="BE992" s="8">
        <f t="shared" si="570"/>
        <v>5.1695477815187907E-3</v>
      </c>
    </row>
    <row r="993" spans="1:57" x14ac:dyDescent="0.25">
      <c r="A993" t="str">
        <f t="shared" si="569"/>
        <v/>
      </c>
      <c r="B993" s="1">
        <v>44200</v>
      </c>
      <c r="C993" s="9">
        <f t="shared" si="544"/>
        <v>0.24877425946245871</v>
      </c>
      <c r="D993" s="9">
        <f t="shared" si="545"/>
        <v>0</v>
      </c>
      <c r="E993" s="9">
        <f t="shared" si="546"/>
        <v>0</v>
      </c>
      <c r="F993" s="9">
        <f t="shared" si="547"/>
        <v>0</v>
      </c>
      <c r="G993" s="9">
        <f t="shared" si="548"/>
        <v>0.24930086167127757</v>
      </c>
      <c r="H993" s="9">
        <f t="shared" si="549"/>
        <v>0</v>
      </c>
      <c r="I993" s="9">
        <f t="shared" si="550"/>
        <v>0.24980262051536073</v>
      </c>
      <c r="J993" s="9">
        <f t="shared" si="551"/>
        <v>0.25212225835090302</v>
      </c>
      <c r="K993" s="9">
        <v>0</v>
      </c>
      <c r="L993" s="8">
        <f>+VLOOKUP($B993,NIFTY_50!$B$3:$I$1238,8,0)</f>
        <v>8.1606448621465155E-3</v>
      </c>
      <c r="M993" s="8">
        <f>+VLOOKUP($B993,NIFTY_BANK!$B$3:$I$41238,8,0)</f>
        <v>-4.2913163292590539E-4</v>
      </c>
      <c r="N993" s="8">
        <f>+VLOOKUP($B993,NIFTY_IT!$B$3:$I$1238,8,0)</f>
        <v>2.6739750001022244E-2</v>
      </c>
      <c r="O993" s="8">
        <f>+VLOOKUP($B993,NIFTY_PHARMA!$B$3:$I$1238,8,0)</f>
        <v>1.1371371217394177E-2</v>
      </c>
      <c r="P993" s="8">
        <f>+VLOOKUP($B993,NIFTY_FMCG!$B$3:$I$1238,8,0)</f>
        <v>6.6251161248958024E-3</v>
      </c>
      <c r="Q993" s="8">
        <f>+VLOOKUP($B993,NIFTY_METAL!$B$3:$I$1238,8,0)</f>
        <v>5.0861500222471046E-2</v>
      </c>
      <c r="R993" s="8">
        <f>+VLOOKUP($B993,NIFTY_ENERGY!$B$3:$I$1238,8,0)</f>
        <v>1.1778254261848975E-2</v>
      </c>
      <c r="S993" s="8">
        <f>+VLOOKUP($B993,NIFTY_AUTO!$B$3:$I$1238,8,0)</f>
        <v>1.5686168778646703E-2</v>
      </c>
      <c r="T993" s="8">
        <v>0</v>
      </c>
      <c r="U993" s="8">
        <f>+VLOOKUP($B993,NIFTY_50!$B$63:$K$1238,10,0)</f>
        <v>0.21183461380161894</v>
      </c>
      <c r="V993" s="8">
        <f>+VLOOKUP($B993,NIFTY_BANK!$B$63:$K$1238,10,0)</f>
        <v>0.36575040365455047</v>
      </c>
      <c r="W993" s="8">
        <f>+VLOOKUP($B993,NIFTY_IT!$B$63:$K$1238,10,0)</f>
        <v>0.20162465455154499</v>
      </c>
      <c r="X993" s="8">
        <f>+VLOOKUP($B993,NIFTY_PHARMA!$B$63:$K$1238,10,0)</f>
        <v>9.4954390084474927E-2</v>
      </c>
      <c r="Y993" s="8">
        <f>+VLOOKUP($B993,NIFTY_FMCG!$B$63:$K$1238,10,0)</f>
        <v>0.15188972107523946</v>
      </c>
      <c r="Z993" s="8">
        <f>+VLOOKUP($B993,NIFTY_METAL!$B$63:$K$1238,10,0)</f>
        <v>0.48721066574021799</v>
      </c>
      <c r="AA993" s="8">
        <f>+VLOOKUP($B993,NIFTY_ENERGY!$B$63:$K$1238,10,0)</f>
        <v>0.14761672501804002</v>
      </c>
      <c r="AB993" s="8">
        <f>+VLOOKUP($B993,NIFTY_AUTO!$B$63:$K$1238,10,0)</f>
        <v>0.16875566200469105</v>
      </c>
      <c r="AC993" s="8">
        <f>+VLOOKUP($B993,EBBETF0430!$B$63:$K$1238,10,0)</f>
        <v>0.47094522834167796</v>
      </c>
      <c r="AD993" s="16">
        <f t="shared" si="552"/>
        <v>6.9894254307859005E-2</v>
      </c>
      <c r="AE993" s="8">
        <f t="shared" si="553"/>
        <v>0.13002189530965735</v>
      </c>
      <c r="AF993" s="8">
        <f t="shared" si="554"/>
        <v>0.10336101814511248</v>
      </c>
      <c r="AG993" s="8">
        <f t="shared" si="555"/>
        <v>0.1106186060457014</v>
      </c>
      <c r="AH993" s="8">
        <f t="shared" si="556"/>
        <v>6.9668874299943992E-2</v>
      </c>
      <c r="AI993" s="8">
        <f t="shared" si="557"/>
        <v>0.13724991629643787</v>
      </c>
      <c r="AJ993" s="8">
        <f t="shared" si="558"/>
        <v>9.5867161018920552E-2</v>
      </c>
      <c r="AK993" s="8">
        <f t="shared" si="559"/>
        <v>9.6428446965519138E-2</v>
      </c>
      <c r="AL993" s="9">
        <v>0</v>
      </c>
      <c r="AM993" s="17">
        <f t="shared" si="536"/>
        <v>14.307327689560294</v>
      </c>
      <c r="AN993" s="13">
        <f t="shared" si="537"/>
        <v>7.6910123300265809</v>
      </c>
      <c r="AO993" s="13">
        <f t="shared" si="538"/>
        <v>9.6748272989732147</v>
      </c>
      <c r="AP993" s="13">
        <f t="shared" si="539"/>
        <v>9.0400705247257971</v>
      </c>
      <c r="AQ993" s="13">
        <f t="shared" si="540"/>
        <v>14.353612140978772</v>
      </c>
      <c r="AR993" s="13">
        <f t="shared" si="541"/>
        <v>7.2859789425310826</v>
      </c>
      <c r="AS993" s="13">
        <f t="shared" si="542"/>
        <v>10.431100591396858</v>
      </c>
      <c r="AT993" s="13">
        <f t="shared" si="543"/>
        <v>10.370383755714533</v>
      </c>
      <c r="AU993" s="9">
        <v>0</v>
      </c>
      <c r="AV993" s="18">
        <f t="shared" si="560"/>
        <v>2</v>
      </c>
      <c r="AW993" s="18">
        <f t="shared" si="561"/>
        <v>7</v>
      </c>
      <c r="AX993" s="18">
        <f t="shared" si="562"/>
        <v>5</v>
      </c>
      <c r="AY993" s="18">
        <f t="shared" si="563"/>
        <v>6</v>
      </c>
      <c r="AZ993" s="18">
        <f t="shared" si="564"/>
        <v>1</v>
      </c>
      <c r="BA993" s="18">
        <f t="shared" si="565"/>
        <v>8</v>
      </c>
      <c r="BB993" s="18">
        <f t="shared" si="566"/>
        <v>3</v>
      </c>
      <c r="BC993" s="18">
        <f t="shared" si="567"/>
        <v>4</v>
      </c>
      <c r="BD993" s="18">
        <f t="shared" si="568"/>
        <v>9</v>
      </c>
      <c r="BE993" s="8">
        <f t="shared" si="570"/>
        <v>1.0566732209742302E-2</v>
      </c>
    </row>
    <row r="994" spans="1:57" x14ac:dyDescent="0.25">
      <c r="A994" t="str">
        <f t="shared" si="569"/>
        <v/>
      </c>
      <c r="B994" s="1">
        <v>44201</v>
      </c>
      <c r="C994" s="9">
        <f t="shared" si="544"/>
        <v>0.24986919243104974</v>
      </c>
      <c r="D994" s="9">
        <f t="shared" si="545"/>
        <v>0</v>
      </c>
      <c r="E994" s="9">
        <f t="shared" si="546"/>
        <v>0</v>
      </c>
      <c r="F994" s="9">
        <f t="shared" si="547"/>
        <v>0</v>
      </c>
      <c r="G994" s="9">
        <f t="shared" si="548"/>
        <v>0.24994751774650595</v>
      </c>
      <c r="H994" s="9">
        <f t="shared" si="549"/>
        <v>0</v>
      </c>
      <c r="I994" s="9">
        <f t="shared" si="550"/>
        <v>0.2481899461473234</v>
      </c>
      <c r="J994" s="9">
        <f t="shared" si="551"/>
        <v>0.25199334367512083</v>
      </c>
      <c r="K994" s="9">
        <v>0</v>
      </c>
      <c r="L994" s="8">
        <f>+VLOOKUP($B994,NIFTY_50!$B$3:$I$1238,8,0)</f>
        <v>4.7124086351704175E-3</v>
      </c>
      <c r="M994" s="8">
        <f>+VLOOKUP($B994,NIFTY_BANK!$B$3:$I$41238,8,0)</f>
        <v>1.633322600436693E-2</v>
      </c>
      <c r="N994" s="8">
        <f>+VLOOKUP($B994,NIFTY_IT!$B$3:$I$1238,8,0)</f>
        <v>2.6248454304153235E-2</v>
      </c>
      <c r="O994" s="8">
        <f>+VLOOKUP($B994,NIFTY_PHARMA!$B$3:$I$1238,8,0)</f>
        <v>1.2585742748940643E-3</v>
      </c>
      <c r="P994" s="8">
        <f>+VLOOKUP($B994,NIFTY_FMCG!$B$3:$I$1238,8,0)</f>
        <v>2.9044156939546095E-3</v>
      </c>
      <c r="Q994" s="8">
        <f>+VLOOKUP($B994,NIFTY_METAL!$B$3:$I$1238,8,0)</f>
        <v>-1.4118437189744815E-2</v>
      </c>
      <c r="R994" s="8">
        <f>+VLOOKUP($B994,NIFTY_ENERGY!$B$3:$I$1238,8,0)</f>
        <v>-6.148059955228713E-3</v>
      </c>
      <c r="S994" s="8">
        <f>+VLOOKUP($B994,NIFTY_AUTO!$B$3:$I$1238,8,0)</f>
        <v>-2.0174241740522625E-4</v>
      </c>
      <c r="T994" s="8">
        <v>0</v>
      </c>
      <c r="U994" s="8">
        <f>+VLOOKUP($B994,NIFTY_50!$B$63:$K$1238,10,0)</f>
        <v>0.2096159334176686</v>
      </c>
      <c r="V994" s="8">
        <f>+VLOOKUP($B994,NIFTY_BANK!$B$63:$K$1238,10,0)</f>
        <v>0.3813423151954296</v>
      </c>
      <c r="W994" s="8">
        <f>+VLOOKUP($B994,NIFTY_IT!$B$63:$K$1238,10,0)</f>
        <v>0.22608648072549409</v>
      </c>
      <c r="X994" s="8">
        <f>+VLOOKUP($B994,NIFTY_PHARMA!$B$63:$K$1238,10,0)</f>
        <v>0.10502308015107009</v>
      </c>
      <c r="Y994" s="8">
        <f>+VLOOKUP($B994,NIFTY_FMCG!$B$63:$K$1238,10,0)</f>
        <v>0.15086612659436249</v>
      </c>
      <c r="Z994" s="8">
        <f>+VLOOKUP($B994,NIFTY_METAL!$B$63:$K$1238,10,0)</f>
        <v>0.48881049498401508</v>
      </c>
      <c r="AA994" s="8">
        <f>+VLOOKUP($B994,NIFTY_ENERGY!$B$63:$K$1238,10,0)</f>
        <v>0.14456833664109858</v>
      </c>
      <c r="AB994" s="8">
        <f>+VLOOKUP($B994,NIFTY_AUTO!$B$63:$K$1238,10,0)</f>
        <v>0.1525082465835581</v>
      </c>
      <c r="AC994" s="8">
        <f>+VLOOKUP($B994,EBBETF0430!$B$63:$K$1238,10,0)</f>
        <v>-0.47947341865052062</v>
      </c>
      <c r="AD994" s="16">
        <f t="shared" si="552"/>
        <v>6.9829524273387497E-2</v>
      </c>
      <c r="AE994" s="8">
        <f t="shared" si="553"/>
        <v>0.13048357473928043</v>
      </c>
      <c r="AF994" s="8">
        <f t="shared" si="554"/>
        <v>0.10585463352471447</v>
      </c>
      <c r="AG994" s="8">
        <f t="shared" si="555"/>
        <v>0.11020821467577183</v>
      </c>
      <c r="AH994" s="8">
        <f t="shared" si="556"/>
        <v>6.9656105682177658E-2</v>
      </c>
      <c r="AI994" s="8">
        <f t="shared" si="557"/>
        <v>0.13708510971584512</v>
      </c>
      <c r="AJ994" s="8">
        <f t="shared" si="558"/>
        <v>9.6064060214305746E-2</v>
      </c>
      <c r="AK994" s="8">
        <f t="shared" si="559"/>
        <v>9.5794231845236458E-2</v>
      </c>
      <c r="AL994" s="9">
        <v>0</v>
      </c>
      <c r="AM994" s="17">
        <f t="shared" si="536"/>
        <v>14.320590185963887</v>
      </c>
      <c r="AN994" s="13">
        <f t="shared" si="537"/>
        <v>7.6637998460580388</v>
      </c>
      <c r="AO994" s="13">
        <f t="shared" si="538"/>
        <v>9.4469175954071432</v>
      </c>
      <c r="AP994" s="13">
        <f t="shared" si="539"/>
        <v>9.073733776941765</v>
      </c>
      <c r="AQ994" s="13">
        <f t="shared" si="540"/>
        <v>14.356243292766536</v>
      </c>
      <c r="AR994" s="13">
        <f t="shared" si="541"/>
        <v>7.2947382985127671</v>
      </c>
      <c r="AS994" s="13">
        <f t="shared" si="542"/>
        <v>10.409720323804107</v>
      </c>
      <c r="AT994" s="13">
        <f t="shared" si="543"/>
        <v>10.43904189988791</v>
      </c>
      <c r="AU994" s="9">
        <v>0</v>
      </c>
      <c r="AV994" s="18">
        <f t="shared" si="560"/>
        <v>2</v>
      </c>
      <c r="AW994" s="18">
        <f t="shared" si="561"/>
        <v>7</v>
      </c>
      <c r="AX994" s="18">
        <f t="shared" si="562"/>
        <v>5</v>
      </c>
      <c r="AY994" s="18">
        <f t="shared" si="563"/>
        <v>6</v>
      </c>
      <c r="AZ994" s="18">
        <f t="shared" si="564"/>
        <v>1</v>
      </c>
      <c r="BA994" s="18">
        <f t="shared" si="565"/>
        <v>8</v>
      </c>
      <c r="BB994" s="18">
        <f t="shared" si="566"/>
        <v>4</v>
      </c>
      <c r="BC994" s="18">
        <f t="shared" si="567"/>
        <v>3</v>
      </c>
      <c r="BD994" s="18">
        <f t="shared" si="568"/>
        <v>9</v>
      </c>
      <c r="BE994" s="8">
        <f t="shared" si="570"/>
        <v>3.0973406187042202E-4</v>
      </c>
    </row>
    <row r="995" spans="1:57" x14ac:dyDescent="0.25">
      <c r="A995" t="str">
        <f t="shared" si="569"/>
        <v/>
      </c>
      <c r="B995" s="1">
        <v>44202</v>
      </c>
      <c r="C995" s="9">
        <f t="shared" si="544"/>
        <v>0.25001857807802735</v>
      </c>
      <c r="D995" s="9">
        <f t="shared" si="545"/>
        <v>0</v>
      </c>
      <c r="E995" s="9">
        <f t="shared" si="546"/>
        <v>0</v>
      </c>
      <c r="F995" s="9">
        <f t="shared" si="547"/>
        <v>0</v>
      </c>
      <c r="G995" s="9">
        <f t="shared" si="548"/>
        <v>0.24819758614848811</v>
      </c>
      <c r="H995" s="9">
        <f t="shared" si="549"/>
        <v>0</v>
      </c>
      <c r="I995" s="9">
        <f t="shared" si="550"/>
        <v>0.24967178395541431</v>
      </c>
      <c r="J995" s="9">
        <f t="shared" si="551"/>
        <v>0.25211205181807023</v>
      </c>
      <c r="K995" s="9">
        <v>0</v>
      </c>
      <c r="L995" s="8">
        <f>+VLOOKUP($B995,NIFTY_50!$B$3:$I$1238,8,0)</f>
        <v>-3.7501320469031096E-3</v>
      </c>
      <c r="M995" s="8">
        <f>+VLOOKUP($B995,NIFTY_BANK!$B$3:$I$41238,8,0)</f>
        <v>2.3847614844469955E-3</v>
      </c>
      <c r="N995" s="8">
        <f>+VLOOKUP($B995,NIFTY_IT!$B$3:$I$1238,8,0)</f>
        <v>-1.3582132123100665E-2</v>
      </c>
      <c r="O995" s="8">
        <f>+VLOOKUP($B995,NIFTY_PHARMA!$B$3:$I$1238,8,0)</f>
        <v>-3.6646450990593937E-3</v>
      </c>
      <c r="P995" s="8">
        <f>+VLOOKUP($B995,NIFTY_FMCG!$B$3:$I$1238,8,0)</f>
        <v>-1.1316162758044701E-2</v>
      </c>
      <c r="Q995" s="8">
        <f>+VLOOKUP($B995,NIFTY_METAL!$B$3:$I$1238,8,0)</f>
        <v>1.2898926323583915E-2</v>
      </c>
      <c r="R995" s="8">
        <f>+VLOOKUP($B995,NIFTY_ENERGY!$B$3:$I$1238,8,0)</f>
        <v>1.5992454841817771E-3</v>
      </c>
      <c r="S995" s="8">
        <f>+VLOOKUP($B995,NIFTY_AUTO!$B$3:$I$1238,8,0)</f>
        <v>-3.8763600448170621E-3</v>
      </c>
      <c r="T995" s="8">
        <f>+VLOOKUP($B995,EBBETF0430!$B$3:$I$1238,8,0)</f>
        <v>1.9015591023936462E-3</v>
      </c>
      <c r="U995" s="8">
        <f>+VLOOKUP($B995,NIFTY_50!$B$63:$K$1238,10,0)</f>
        <v>0.19532979568384223</v>
      </c>
      <c r="V995" s="8">
        <f>+VLOOKUP($B995,NIFTY_BANK!$B$63:$K$1238,10,0)</f>
        <v>0.37111034933283338</v>
      </c>
      <c r="W995" s="8">
        <f>+VLOOKUP($B995,NIFTY_IT!$B$63:$K$1238,10,0)</f>
        <v>0.1715378677021282</v>
      </c>
      <c r="X995" s="8">
        <f>+VLOOKUP($B995,NIFTY_PHARMA!$B$63:$K$1238,10,0)</f>
        <v>7.4443862005700634E-2</v>
      </c>
      <c r="Y995" s="8">
        <f>+VLOOKUP($B995,NIFTY_FMCG!$B$63:$K$1238,10,0)</f>
        <v>0.13907927548567245</v>
      </c>
      <c r="Z995" s="8">
        <f>+VLOOKUP($B995,NIFTY_METAL!$B$63:$K$1238,10,0)</f>
        <v>0.50492870973420168</v>
      </c>
      <c r="AA995" s="8">
        <f>+VLOOKUP($B995,NIFTY_ENERGY!$B$63:$K$1238,10,0)</f>
        <v>0.15681166970565252</v>
      </c>
      <c r="AB995" s="8">
        <f>+VLOOKUP($B995,NIFTY_AUTO!$B$63:$K$1238,10,0)</f>
        <v>0.14612583550227876</v>
      </c>
      <c r="AC995" s="8">
        <f>+VLOOKUP($B995,EBBETF0430!$B$63:$K$1238,10,0)</f>
        <v>-0.71557951482479787</v>
      </c>
      <c r="AD995" s="16">
        <f t="shared" si="552"/>
        <v>6.9976684472162695E-2</v>
      </c>
      <c r="AE995" s="8">
        <f t="shared" si="553"/>
        <v>0.13044132449911935</v>
      </c>
      <c r="AF995" s="8">
        <f t="shared" si="554"/>
        <v>0.10307591791306843</v>
      </c>
      <c r="AG995" s="8">
        <f t="shared" si="555"/>
        <v>0.10786574796486416</v>
      </c>
      <c r="AH995" s="8">
        <f t="shared" si="556"/>
        <v>7.0888182538597175E-2</v>
      </c>
      <c r="AI995" s="8">
        <f t="shared" si="557"/>
        <v>0.13713943353519722</v>
      </c>
      <c r="AJ995" s="8">
        <f t="shared" si="558"/>
        <v>9.5390751614172417E-2</v>
      </c>
      <c r="AK995" s="8">
        <f t="shared" si="559"/>
        <v>9.5994531570922303E-2</v>
      </c>
      <c r="AL995" s="8">
        <f>+_xlfn.STDEV.S(T935:T995)*SQRT(60)</f>
        <v>1.8859081440427273E-3</v>
      </c>
      <c r="AM995" s="17">
        <f t="shared" si="536"/>
        <v>14.290474142109552</v>
      </c>
      <c r="AN995" s="13">
        <f t="shared" si="537"/>
        <v>7.6662821681694231</v>
      </c>
      <c r="AO995" s="13">
        <f t="shared" si="538"/>
        <v>9.7015871432100589</v>
      </c>
      <c r="AP995" s="13">
        <f t="shared" si="539"/>
        <v>9.2707835329314801</v>
      </c>
      <c r="AQ995" s="13">
        <f t="shared" si="540"/>
        <v>14.106723634161735</v>
      </c>
      <c r="AR995" s="13">
        <f t="shared" si="541"/>
        <v>7.2918486989619016</v>
      </c>
      <c r="AS995" s="13">
        <f t="shared" si="542"/>
        <v>10.483196568622359</v>
      </c>
      <c r="AT995" s="13">
        <f t="shared" si="543"/>
        <v>10.417260062998317</v>
      </c>
      <c r="AU995" s="13">
        <f t="shared" ref="AU995:AU1026" si="571">1/AL995</f>
        <v>530.24851881510506</v>
      </c>
      <c r="AV995" s="18">
        <f t="shared" si="560"/>
        <v>2</v>
      </c>
      <c r="AW995" s="18">
        <f t="shared" si="561"/>
        <v>8</v>
      </c>
      <c r="AX995" s="18">
        <f t="shared" si="562"/>
        <v>6</v>
      </c>
      <c r="AY995" s="18">
        <f t="shared" si="563"/>
        <v>7</v>
      </c>
      <c r="AZ995" s="18">
        <f t="shared" si="564"/>
        <v>3</v>
      </c>
      <c r="BA995" s="18">
        <f t="shared" si="565"/>
        <v>9</v>
      </c>
      <c r="BB995" s="18">
        <f t="shared" si="566"/>
        <v>4</v>
      </c>
      <c r="BC995" s="18">
        <f t="shared" si="567"/>
        <v>5</v>
      </c>
      <c r="BD995" s="18">
        <f t="shared" si="568"/>
        <v>1</v>
      </c>
      <c r="BE995" s="8">
        <f t="shared" si="570"/>
        <v>-4.3453895362448747E-3</v>
      </c>
    </row>
    <row r="996" spans="1:57" x14ac:dyDescent="0.25">
      <c r="A996" t="str">
        <f t="shared" si="569"/>
        <v/>
      </c>
      <c r="B996" s="1">
        <v>44203</v>
      </c>
      <c r="C996" s="9">
        <f t="shared" si="544"/>
        <v>0.2502988549219351</v>
      </c>
      <c r="D996" s="9">
        <f t="shared" si="545"/>
        <v>0</v>
      </c>
      <c r="E996" s="9">
        <f t="shared" si="546"/>
        <v>0</v>
      </c>
      <c r="F996" s="9">
        <f t="shared" si="547"/>
        <v>0</v>
      </c>
      <c r="G996" s="9">
        <f t="shared" si="548"/>
        <v>0.24649556804572492</v>
      </c>
      <c r="H996" s="9">
        <f t="shared" si="549"/>
        <v>0</v>
      </c>
      <c r="I996" s="9">
        <f t="shared" si="550"/>
        <v>0.2493030179251913</v>
      </c>
      <c r="J996" s="9">
        <f t="shared" si="551"/>
        <v>0.25390255910714871</v>
      </c>
      <c r="K996" s="9">
        <v>0</v>
      </c>
      <c r="L996" s="8">
        <f>+VLOOKUP($B996,NIFTY_50!$B$3:$I$1238,8,0)</f>
        <v>-6.2914199876284993E-4</v>
      </c>
      <c r="M996" s="8">
        <f>+VLOOKUP($B996,NIFTY_BANK!$B$3:$I$41238,8,0)</f>
        <v>4.972026454577172E-3</v>
      </c>
      <c r="N996" s="8">
        <f>+VLOOKUP($B996,NIFTY_IT!$B$3:$I$1238,8,0)</f>
        <v>-6.6072232942486764E-3</v>
      </c>
      <c r="O996" s="8">
        <f>+VLOOKUP($B996,NIFTY_PHARMA!$B$3:$I$1238,8,0)</f>
        <v>-4.3718221388768796E-3</v>
      </c>
      <c r="P996" s="8">
        <f>+VLOOKUP($B996,NIFTY_FMCG!$B$3:$I$1238,8,0)</f>
        <v>-8.5937306550024628E-3</v>
      </c>
      <c r="Q996" s="8">
        <f>+VLOOKUP($B996,NIFTY_METAL!$B$3:$I$1238,8,0)</f>
        <v>3.8203988537341305E-2</v>
      </c>
      <c r="R996" s="8">
        <f>+VLOOKUP($B996,NIFTY_ENERGY!$B$3:$I$1238,8,0)</f>
        <v>-3.2226274063696936E-3</v>
      </c>
      <c r="S996" s="8">
        <f>+VLOOKUP($B996,NIFTY_AUTO!$B$3:$I$1238,8,0)</f>
        <v>5.3414076368270003E-3</v>
      </c>
      <c r="T996" s="8">
        <f>+VLOOKUP($B996,EBBETF0430!$B$3:$I$1238,8,0)</f>
        <v>-4.8327431528816245E-4</v>
      </c>
      <c r="U996" s="8">
        <f>+VLOOKUP($B996,NIFTY_50!$B$63:$K$1238,10,0)</f>
        <v>0.18659666616306581</v>
      </c>
      <c r="V996" s="8">
        <f>+VLOOKUP($B996,NIFTY_BANK!$B$63:$K$1238,10,0)</f>
        <v>0.34005401143969016</v>
      </c>
      <c r="W996" s="8">
        <f>+VLOOKUP($B996,NIFTY_IT!$B$63:$K$1238,10,0)</f>
        <v>0.15631489652045882</v>
      </c>
      <c r="X996" s="8">
        <f>+VLOOKUP($B996,NIFTY_PHARMA!$B$63:$K$1238,10,0)</f>
        <v>8.442412995736448E-2</v>
      </c>
      <c r="Y996" s="8">
        <f>+VLOOKUP($B996,NIFTY_FMCG!$B$63:$K$1238,10,0)</f>
        <v>0.13729660906499475</v>
      </c>
      <c r="Z996" s="8">
        <f>+VLOOKUP($B996,NIFTY_METAL!$B$63:$K$1238,10,0)</f>
        <v>0.57040493619656329</v>
      </c>
      <c r="AA996" s="8">
        <f>+VLOOKUP($B996,NIFTY_ENERGY!$B$63:$K$1238,10,0)</f>
        <v>0.14891329261551323</v>
      </c>
      <c r="AB996" s="8">
        <f>+VLOOKUP($B996,NIFTY_AUTO!$B$63:$K$1238,10,0)</f>
        <v>0.15509891590616776</v>
      </c>
      <c r="AC996" s="8">
        <f>+VLOOKUP($B996,EBBETF0430!$B$63:$K$1238,10,0)</f>
        <v>-2.4513680215087819E-2</v>
      </c>
      <c r="AD996" s="16">
        <f t="shared" si="552"/>
        <v>6.9962061577515514E-2</v>
      </c>
      <c r="AE996" s="8">
        <f t="shared" si="553"/>
        <v>0.12837489771089633</v>
      </c>
      <c r="AF996" s="8">
        <f t="shared" si="554"/>
        <v>0.10341119333193816</v>
      </c>
      <c r="AG996" s="8">
        <f t="shared" si="555"/>
        <v>0.10698701919890483</v>
      </c>
      <c r="AH996" s="8">
        <f t="shared" si="556"/>
        <v>7.1106672372892046E-2</v>
      </c>
      <c r="AI996" s="8">
        <f t="shared" si="557"/>
        <v>0.14005302214427692</v>
      </c>
      <c r="AJ996" s="8">
        <f t="shared" si="558"/>
        <v>9.5549109407916735E-2</v>
      </c>
      <c r="AK996" s="8">
        <f t="shared" si="559"/>
        <v>9.5917877078064415E-2</v>
      </c>
      <c r="AL996" s="8">
        <f t="shared" ref="AL996:AL1059" si="572">+_xlfn.STDEV.S(T936:T996)*SQRT(60)</f>
        <v>1.9535877644971901E-3</v>
      </c>
      <c r="AM996" s="17">
        <f t="shared" si="536"/>
        <v>14.293461019470318</v>
      </c>
      <c r="AN996" s="13">
        <f t="shared" si="537"/>
        <v>7.789684882569694</v>
      </c>
      <c r="AO996" s="13">
        <f t="shared" si="538"/>
        <v>9.6701330656741753</v>
      </c>
      <c r="AP996" s="13">
        <f t="shared" si="539"/>
        <v>9.3469283235272762</v>
      </c>
      <c r="AQ996" s="13">
        <f t="shared" si="540"/>
        <v>14.063377832615739</v>
      </c>
      <c r="AR996" s="13">
        <f t="shared" si="541"/>
        <v>7.1401529555702172</v>
      </c>
      <c r="AS996" s="13">
        <f t="shared" si="542"/>
        <v>10.465822300141134</v>
      </c>
      <c r="AT996" s="13">
        <f t="shared" si="543"/>
        <v>10.425585203331103</v>
      </c>
      <c r="AU996" s="13">
        <f t="shared" si="571"/>
        <v>511.87871779969799</v>
      </c>
      <c r="AV996" s="18">
        <f t="shared" si="560"/>
        <v>2</v>
      </c>
      <c r="AW996" s="18">
        <f t="shared" si="561"/>
        <v>8</v>
      </c>
      <c r="AX996" s="18">
        <f t="shared" si="562"/>
        <v>6</v>
      </c>
      <c r="AY996" s="18">
        <f t="shared" si="563"/>
        <v>7</v>
      </c>
      <c r="AZ996" s="18">
        <f t="shared" si="564"/>
        <v>3</v>
      </c>
      <c r="BA996" s="18">
        <f t="shared" si="565"/>
        <v>9</v>
      </c>
      <c r="BB996" s="18">
        <f t="shared" si="566"/>
        <v>4</v>
      </c>
      <c r="BC996" s="18">
        <f t="shared" si="567"/>
        <v>5</v>
      </c>
      <c r="BD996" s="18">
        <f t="shared" si="568"/>
        <v>1</v>
      </c>
      <c r="BE996" s="8">
        <f t="shared" si="570"/>
        <v>-1.7482062871764994E-3</v>
      </c>
    </row>
    <row r="997" spans="1:57" x14ac:dyDescent="0.25">
      <c r="A997" t="str">
        <f t="shared" si="569"/>
        <v/>
      </c>
      <c r="B997" s="1">
        <v>44204</v>
      </c>
      <c r="C997" s="9">
        <f t="shared" si="544"/>
        <v>0.2497730545514745</v>
      </c>
      <c r="D997" s="9">
        <f t="shared" si="545"/>
        <v>0</v>
      </c>
      <c r="E997" s="9">
        <f t="shared" si="546"/>
        <v>0</v>
      </c>
      <c r="F997" s="9">
        <f t="shared" si="547"/>
        <v>0</v>
      </c>
      <c r="G997" s="9">
        <f t="shared" si="548"/>
        <v>0.24411972910371371</v>
      </c>
      <c r="H997" s="9">
        <f t="shared" si="549"/>
        <v>0</v>
      </c>
      <c r="I997" s="9">
        <f t="shared" si="550"/>
        <v>0.24819479402147773</v>
      </c>
      <c r="J997" s="9">
        <f t="shared" si="551"/>
        <v>0.25791242232333406</v>
      </c>
      <c r="K997" s="9">
        <v>0</v>
      </c>
      <c r="L997" s="8">
        <f>+VLOOKUP($B997,NIFTY_50!$B$3:$I$1238,8,0)</f>
        <v>1.4847195549378078E-2</v>
      </c>
      <c r="M997" s="8">
        <f>+VLOOKUP($B997,NIFTY_BANK!$B$3:$I$41238,8,0)</f>
        <v>4.0117661784955239E-3</v>
      </c>
      <c r="N997" s="8">
        <f>+VLOOKUP($B997,NIFTY_IT!$B$3:$I$1238,8,0)</f>
        <v>3.6085413762514396E-2</v>
      </c>
      <c r="O997" s="8">
        <f>+VLOOKUP($B997,NIFTY_PHARMA!$B$3:$I$1238,8,0)</f>
        <v>1.6139961334532771E-2</v>
      </c>
      <c r="P997" s="8">
        <f>+VLOOKUP($B997,NIFTY_FMCG!$B$3:$I$1238,8,0)</f>
        <v>7.181402400950887E-3</v>
      </c>
      <c r="Q997" s="8">
        <f>+VLOOKUP($B997,NIFTY_METAL!$B$3:$I$1238,8,0)</f>
        <v>-5.9851568111084497E-3</v>
      </c>
      <c r="R997" s="8">
        <f>+VLOOKUP($B997,NIFTY_ENERGY!$B$3:$I$1238,8,0)</f>
        <v>1.2462777427351801E-2</v>
      </c>
      <c r="S997" s="8">
        <f>+VLOOKUP($B997,NIFTY_AUTO!$B$3:$I$1238,8,0)</f>
        <v>3.3044704734534136E-2</v>
      </c>
      <c r="T997" s="8">
        <f>+VLOOKUP($B997,EBBETF0430!$B$3:$I$1238,8,0)</f>
        <v>-4.5713481960751867E-4</v>
      </c>
      <c r="U997" s="8">
        <f>+VLOOKUP($B997,NIFTY_50!$B$63:$K$1238,10,0)</f>
        <v>0.20252368839027901</v>
      </c>
      <c r="V997" s="8">
        <f>+VLOOKUP($B997,NIFTY_BANK!$B$63:$K$1238,10,0)</f>
        <v>0.35303296110117754</v>
      </c>
      <c r="W997" s="8">
        <f>+VLOOKUP($B997,NIFTY_IT!$B$63:$K$1238,10,0)</f>
        <v>0.17837501857932381</v>
      </c>
      <c r="X997" s="8">
        <f>+VLOOKUP($B997,NIFTY_PHARMA!$B$63:$K$1238,10,0)</f>
        <v>9.1899741249161782E-2</v>
      </c>
      <c r="Y997" s="8">
        <f>+VLOOKUP($B997,NIFTY_FMCG!$B$63:$K$1238,10,0)</f>
        <v>0.14163551129503649</v>
      </c>
      <c r="Z997" s="8">
        <f>+VLOOKUP($B997,NIFTY_METAL!$B$63:$K$1238,10,0)</f>
        <v>0.57493808153156167</v>
      </c>
      <c r="AA997" s="8">
        <f>+VLOOKUP($B997,NIFTY_ENERGY!$B$63:$K$1238,10,0)</f>
        <v>0.16947596003958099</v>
      </c>
      <c r="AB997" s="8">
        <f>+VLOOKUP($B997,NIFTY_AUTO!$B$63:$K$1238,10,0)</f>
        <v>0.20225239123727246</v>
      </c>
      <c r="AC997" s="8">
        <f>+VLOOKUP($B997,EBBETF0430!$B$63:$K$1238,10,0)</f>
        <v>0.28742023701002739</v>
      </c>
      <c r="AD997" s="16">
        <f t="shared" si="552"/>
        <v>7.0947874767809782E-2</v>
      </c>
      <c r="AE997" s="8">
        <f t="shared" si="553"/>
        <v>0.12793695221196649</v>
      </c>
      <c r="AF997" s="8">
        <f t="shared" si="554"/>
        <v>0.10777507372168016</v>
      </c>
      <c r="AG997" s="8">
        <f t="shared" si="555"/>
        <v>0.10771159544881743</v>
      </c>
      <c r="AH997" s="8">
        <f t="shared" si="556"/>
        <v>7.1272466139519777E-2</v>
      </c>
      <c r="AI997" s="8">
        <f t="shared" si="557"/>
        <v>0.13974573042236343</v>
      </c>
      <c r="AJ997" s="8">
        <f t="shared" si="558"/>
        <v>9.5746801069293785E-2</v>
      </c>
      <c r="AK997" s="8">
        <f t="shared" si="559"/>
        <v>0.10005762310175255</v>
      </c>
      <c r="AL997" s="8">
        <f t="shared" si="572"/>
        <v>2.0107980786026871E-3</v>
      </c>
      <c r="AM997" s="17">
        <f t="shared" si="536"/>
        <v>14.094854895550958</v>
      </c>
      <c r="AN997" s="13">
        <f t="shared" si="537"/>
        <v>7.816350027966867</v>
      </c>
      <c r="AO997" s="13">
        <f t="shared" si="538"/>
        <v>9.2785833075133297</v>
      </c>
      <c r="AP997" s="13">
        <f t="shared" si="539"/>
        <v>9.2840515065546647</v>
      </c>
      <c r="AQ997" s="13">
        <f t="shared" si="540"/>
        <v>14.030663651268148</v>
      </c>
      <c r="AR997" s="13">
        <f t="shared" si="541"/>
        <v>7.1558536849578811</v>
      </c>
      <c r="AS997" s="13">
        <f t="shared" si="542"/>
        <v>10.444213162550266</v>
      </c>
      <c r="AT997" s="13">
        <f t="shared" si="543"/>
        <v>9.994241008334372</v>
      </c>
      <c r="AU997" s="13">
        <f t="shared" si="571"/>
        <v>497.31497689459928</v>
      </c>
      <c r="AV997" s="18">
        <f t="shared" si="560"/>
        <v>2</v>
      </c>
      <c r="AW997" s="18">
        <f t="shared" si="561"/>
        <v>8</v>
      </c>
      <c r="AX997" s="18">
        <f t="shared" si="562"/>
        <v>7</v>
      </c>
      <c r="AY997" s="18">
        <f t="shared" si="563"/>
        <v>6</v>
      </c>
      <c r="AZ997" s="18">
        <f t="shared" si="564"/>
        <v>3</v>
      </c>
      <c r="BA997" s="18">
        <f t="shared" si="565"/>
        <v>9</v>
      </c>
      <c r="BB997" s="18">
        <f t="shared" si="566"/>
        <v>4</v>
      </c>
      <c r="BC997" s="18">
        <f t="shared" si="567"/>
        <v>5</v>
      </c>
      <c r="BD997" s="18">
        <f t="shared" si="568"/>
        <v>1</v>
      </c>
      <c r="BE997" s="8">
        <f t="shared" si="570"/>
        <v>1.6983563030405789E-2</v>
      </c>
    </row>
    <row r="998" spans="1:57" x14ac:dyDescent="0.25">
      <c r="A998" t="str">
        <f t="shared" si="569"/>
        <v/>
      </c>
      <c r="B998" s="1">
        <v>44207</v>
      </c>
      <c r="C998" s="9">
        <f t="shared" si="544"/>
        <v>0.24969478164891332</v>
      </c>
      <c r="D998" s="9">
        <f t="shared" si="545"/>
        <v>0</v>
      </c>
      <c r="E998" s="9">
        <f t="shared" si="546"/>
        <v>0</v>
      </c>
      <c r="F998" s="9">
        <f t="shared" si="547"/>
        <v>0</v>
      </c>
      <c r="G998" s="9">
        <f t="shared" si="548"/>
        <v>0.24457920431553692</v>
      </c>
      <c r="H998" s="9">
        <f t="shared" si="549"/>
        <v>0</v>
      </c>
      <c r="I998" s="9">
        <f t="shared" si="550"/>
        <v>0.24367370985902578</v>
      </c>
      <c r="J998" s="9">
        <f t="shared" si="551"/>
        <v>0.26205230417652403</v>
      </c>
      <c r="K998" s="9">
        <v>0</v>
      </c>
      <c r="L998" s="8">
        <f>+VLOOKUP($B998,NIFTY_50!$B$3:$I$1238,8,0)</f>
        <v>9.5837181341371647E-3</v>
      </c>
      <c r="M998" s="8">
        <f>+VLOOKUP($B998,NIFTY_BANK!$B$3:$I$41238,8,0)</f>
        <v>-2.6586294811776767E-3</v>
      </c>
      <c r="N998" s="8">
        <f>+VLOOKUP($B998,NIFTY_IT!$B$3:$I$1238,8,0)</f>
        <v>3.3076093936336148E-2</v>
      </c>
      <c r="O998" s="8">
        <f>+VLOOKUP($B998,NIFTY_PHARMA!$B$3:$I$1238,8,0)</f>
        <v>1.0609160196058509E-2</v>
      </c>
      <c r="P998" s="8">
        <f>+VLOOKUP($B998,NIFTY_FMCG!$B$3:$I$1238,8,0)</f>
        <v>1.180100213701718E-2</v>
      </c>
      <c r="Q998" s="8">
        <f>+VLOOKUP($B998,NIFTY_METAL!$B$3:$I$1238,8,0)</f>
        <v>-1.0002266802674797E-2</v>
      </c>
      <c r="R998" s="8">
        <f>+VLOOKUP($B998,NIFTY_ENERGY!$B$3:$I$1238,8,0)</f>
        <v>-8.4960142334319366E-3</v>
      </c>
      <c r="S998" s="8">
        <f>+VLOOKUP($B998,NIFTY_AUTO!$B$3:$I$1238,8,0)</f>
        <v>2.6110612087771212E-2</v>
      </c>
      <c r="T998" s="8">
        <f>+VLOOKUP($B998,EBBETF0430!$B$3:$I$1238,8,0)</f>
        <v>1.5567282321899967E-3</v>
      </c>
      <c r="U998" s="8">
        <f>+VLOOKUP($B998,NIFTY_50!$B$63:$K$1238,10,0)</f>
        <v>0.21368720935104113</v>
      </c>
      <c r="V998" s="8">
        <f>+VLOOKUP($B998,NIFTY_BANK!$B$63:$K$1238,10,0)</f>
        <v>0.36210742288929954</v>
      </c>
      <c r="W998" s="8">
        <f>+VLOOKUP($B998,NIFTY_IT!$B$63:$K$1238,10,0)</f>
        <v>0.20162853560726646</v>
      </c>
      <c r="X998" s="8">
        <f>+VLOOKUP($B998,NIFTY_PHARMA!$B$63:$K$1238,10,0)</f>
        <v>0.12358529291033826</v>
      </c>
      <c r="Y998" s="8">
        <f>+VLOOKUP($B998,NIFTY_FMCG!$B$63:$K$1238,10,0)</f>
        <v>0.15887318013680085</v>
      </c>
      <c r="Z998" s="8">
        <f>+VLOOKUP($B998,NIFTY_METAL!$B$63:$K$1238,10,0)</f>
        <v>0.55308603560553871</v>
      </c>
      <c r="AA998" s="8">
        <f>+VLOOKUP($B998,NIFTY_ENERGY!$B$63:$K$1238,10,0)</f>
        <v>0.14730467846257511</v>
      </c>
      <c r="AB998" s="8">
        <f>+VLOOKUP($B998,NIFTY_AUTO!$B$63:$K$1238,10,0)</f>
        <v>0.24124999223877253</v>
      </c>
      <c r="AC998" s="8">
        <f>+VLOOKUP($B998,EBBETF0430!$B$63:$K$1238,10,0)</f>
        <v>-0.27242137957810275</v>
      </c>
      <c r="AD998" s="16">
        <f t="shared" si="552"/>
        <v>7.1182444284136476E-2</v>
      </c>
      <c r="AE998" s="8">
        <f t="shared" si="553"/>
        <v>0.1273571858596608</v>
      </c>
      <c r="AF998" s="8">
        <f t="shared" si="554"/>
        <v>0.11144600817837153</v>
      </c>
      <c r="AG998" s="8">
        <f t="shared" si="555"/>
        <v>0.10626994233617414</v>
      </c>
      <c r="AH998" s="8">
        <f t="shared" si="556"/>
        <v>7.1680351795454289E-2</v>
      </c>
      <c r="AI998" s="8">
        <f t="shared" si="557"/>
        <v>0.14079407925524548</v>
      </c>
      <c r="AJ998" s="8">
        <f t="shared" si="558"/>
        <v>9.602740685248437E-2</v>
      </c>
      <c r="AK998" s="8">
        <f t="shared" si="559"/>
        <v>0.10216849459806993</v>
      </c>
      <c r="AL998" s="8">
        <f t="shared" si="572"/>
        <v>2.5254556882817266E-3</v>
      </c>
      <c r="AM998" s="17">
        <f t="shared" si="536"/>
        <v>14.048407722672952</v>
      </c>
      <c r="AN998" s="13">
        <f t="shared" si="537"/>
        <v>7.851932289882205</v>
      </c>
      <c r="AO998" s="13">
        <f t="shared" si="538"/>
        <v>8.972954853613782</v>
      </c>
      <c r="AP998" s="13">
        <f t="shared" si="539"/>
        <v>9.4099985190224515</v>
      </c>
      <c r="AQ998" s="13">
        <f t="shared" si="540"/>
        <v>13.950824388440243</v>
      </c>
      <c r="AR998" s="13">
        <f t="shared" si="541"/>
        <v>7.1025713956841949</v>
      </c>
      <c r="AS998" s="13">
        <f t="shared" si="542"/>
        <v>10.413693681598447</v>
      </c>
      <c r="AT998" s="13">
        <f t="shared" si="543"/>
        <v>9.787753102695623</v>
      </c>
      <c r="AU998" s="13">
        <f t="shared" si="571"/>
        <v>395.96814334936187</v>
      </c>
      <c r="AV998" s="18">
        <f t="shared" si="560"/>
        <v>2</v>
      </c>
      <c r="AW998" s="18">
        <f t="shared" si="561"/>
        <v>8</v>
      </c>
      <c r="AX998" s="18">
        <f t="shared" si="562"/>
        <v>7</v>
      </c>
      <c r="AY998" s="18">
        <f t="shared" si="563"/>
        <v>6</v>
      </c>
      <c r="AZ998" s="18">
        <f t="shared" si="564"/>
        <v>3</v>
      </c>
      <c r="BA998" s="18">
        <f t="shared" si="565"/>
        <v>9</v>
      </c>
      <c r="BB998" s="18">
        <f t="shared" si="566"/>
        <v>4</v>
      </c>
      <c r="BC998" s="18">
        <f t="shared" si="567"/>
        <v>5</v>
      </c>
      <c r="BD998" s="18">
        <f t="shared" si="568"/>
        <v>1</v>
      </c>
      <c r="BE998" s="8">
        <f t="shared" si="570"/>
        <v>9.9001967063965957E-3</v>
      </c>
    </row>
    <row r="999" spans="1:57" x14ac:dyDescent="0.25">
      <c r="A999" t="str">
        <f t="shared" si="569"/>
        <v/>
      </c>
      <c r="B999" s="1">
        <v>44208</v>
      </c>
      <c r="C999" s="9">
        <f t="shared" si="544"/>
        <v>0.24945389150298744</v>
      </c>
      <c r="D999" s="9">
        <f t="shared" si="545"/>
        <v>0</v>
      </c>
      <c r="E999" s="9">
        <f t="shared" si="546"/>
        <v>0</v>
      </c>
      <c r="F999" s="9">
        <f t="shared" si="547"/>
        <v>0</v>
      </c>
      <c r="G999" s="9">
        <f t="shared" si="548"/>
        <v>0.24167322223779306</v>
      </c>
      <c r="H999" s="9">
        <f t="shared" si="549"/>
        <v>0</v>
      </c>
      <c r="I999" s="9">
        <f t="shared" si="550"/>
        <v>0.24525143798344162</v>
      </c>
      <c r="J999" s="9">
        <f t="shared" si="551"/>
        <v>0.26362144827577788</v>
      </c>
      <c r="K999" s="9">
        <v>0</v>
      </c>
      <c r="L999" s="8">
        <f>+VLOOKUP($B999,NIFTY_50!$B$3:$I$1238,8,0)</f>
        <v>5.4333005402233958E-3</v>
      </c>
      <c r="M999" s="8">
        <f>+VLOOKUP($B999,NIFTY_BANK!$B$3:$I$41238,8,0)</f>
        <v>1.0628490354355868E-2</v>
      </c>
      <c r="N999" s="8">
        <f>+VLOOKUP($B999,NIFTY_IT!$B$3:$I$1238,8,0)</f>
        <v>-1.6890048191211537E-3</v>
      </c>
      <c r="O999" s="8">
        <f>+VLOOKUP($B999,NIFTY_PHARMA!$B$3:$I$1238,8,0)</f>
        <v>-1.2499673808094802E-2</v>
      </c>
      <c r="P999" s="8">
        <f>+VLOOKUP($B999,NIFTY_FMCG!$B$3:$I$1238,8,0)</f>
        <v>-5.5534330510000895E-3</v>
      </c>
      <c r="Q999" s="8">
        <f>+VLOOKUP($B999,NIFTY_METAL!$B$3:$I$1238,8,0)</f>
        <v>4.5794098285583118E-3</v>
      </c>
      <c r="R999" s="8">
        <f>+VLOOKUP($B999,NIFTY_ENERGY!$B$3:$I$1238,8,0)</f>
        <v>1.2920440364613039E-2</v>
      </c>
      <c r="S999" s="8">
        <f>+VLOOKUP($B999,NIFTY_AUTO!$B$3:$I$1238,8,0)</f>
        <v>1.2430469406538913E-2</v>
      </c>
      <c r="T999" s="8">
        <f>+VLOOKUP($B999,EBBETF0430!$B$3:$I$1238,8,0)</f>
        <v>-6.4104252834196185E-4</v>
      </c>
      <c r="U999" s="8">
        <f>+VLOOKUP($B999,NIFTY_50!$B$63:$K$1238,10,0)</f>
        <v>0.21655577413844251</v>
      </c>
      <c r="V999" s="8">
        <f>+VLOOKUP($B999,NIFTY_BANK!$B$63:$K$1238,10,0)</f>
        <v>0.35453294603271668</v>
      </c>
      <c r="W999" s="8">
        <f>+VLOOKUP($B999,NIFTY_IT!$B$63:$K$1238,10,0)</f>
        <v>0.21518822016704164</v>
      </c>
      <c r="X999" s="8">
        <f>+VLOOKUP($B999,NIFTY_PHARMA!$B$63:$K$1238,10,0)</f>
        <v>0.11701279807712583</v>
      </c>
      <c r="Y999" s="8">
        <f>+VLOOKUP($B999,NIFTY_FMCG!$B$63:$K$1238,10,0)</f>
        <v>0.15117191150749676</v>
      </c>
      <c r="Z999" s="8">
        <f>+VLOOKUP($B999,NIFTY_METAL!$B$63:$K$1238,10,0)</f>
        <v>0.55860476475943077</v>
      </c>
      <c r="AA999" s="8">
        <f>+VLOOKUP($B999,NIFTY_ENERGY!$B$63:$K$1238,10,0)</f>
        <v>0.17449000338868181</v>
      </c>
      <c r="AB999" s="8">
        <f>+VLOOKUP($B999,NIFTY_AUTO!$B$63:$K$1238,10,0)</f>
        <v>0.26009052365506391</v>
      </c>
      <c r="AC999" s="8">
        <f>+VLOOKUP($B999,EBBETF0430!$B$63:$K$1238,10,0)</f>
        <v>1.0330912025827281</v>
      </c>
      <c r="AD999" s="16">
        <f t="shared" si="552"/>
        <v>7.1215970030600498E-2</v>
      </c>
      <c r="AE999" s="8">
        <f t="shared" si="553"/>
        <v>0.12698884521558379</v>
      </c>
      <c r="AF999" s="8">
        <f t="shared" si="554"/>
        <v>0.1103947876263676</v>
      </c>
      <c r="AG999" s="8">
        <f t="shared" si="555"/>
        <v>0.10689969307171827</v>
      </c>
      <c r="AH999" s="8">
        <f t="shared" si="556"/>
        <v>7.2109223882741547E-2</v>
      </c>
      <c r="AI999" s="8">
        <f t="shared" si="557"/>
        <v>0.14067697037368462</v>
      </c>
      <c r="AJ999" s="8">
        <f t="shared" si="558"/>
        <v>9.5703120098131006E-2</v>
      </c>
      <c r="AK999" s="8">
        <f t="shared" si="559"/>
        <v>0.10233171319445382</v>
      </c>
      <c r="AL999" s="8">
        <f t="shared" si="572"/>
        <v>2.6143920016785888E-3</v>
      </c>
      <c r="AM999" s="17">
        <f t="shared" si="536"/>
        <v>14.041794271289348</v>
      </c>
      <c r="AN999" s="13">
        <f t="shared" si="537"/>
        <v>7.874707406798926</v>
      </c>
      <c r="AO999" s="13">
        <f t="shared" si="538"/>
        <v>9.0583986934646887</v>
      </c>
      <c r="AP999" s="13">
        <f t="shared" si="539"/>
        <v>9.3545638089821903</v>
      </c>
      <c r="AQ999" s="13">
        <f t="shared" si="540"/>
        <v>13.867851380929059</v>
      </c>
      <c r="AR999" s="13">
        <f t="shared" si="541"/>
        <v>7.1084840492631365</v>
      </c>
      <c r="AS999" s="13">
        <f t="shared" si="542"/>
        <v>10.448980127028577</v>
      </c>
      <c r="AT999" s="13">
        <f t="shared" si="543"/>
        <v>9.7721416829968408</v>
      </c>
      <c r="AU999" s="13">
        <f t="shared" si="571"/>
        <v>382.4981102137487</v>
      </c>
      <c r="AV999" s="18">
        <f t="shared" si="560"/>
        <v>2</v>
      </c>
      <c r="AW999" s="18">
        <f t="shared" si="561"/>
        <v>8</v>
      </c>
      <c r="AX999" s="18">
        <f t="shared" si="562"/>
        <v>7</v>
      </c>
      <c r="AY999" s="18">
        <f t="shared" si="563"/>
        <v>6</v>
      </c>
      <c r="AZ999" s="18">
        <f t="shared" si="564"/>
        <v>3</v>
      </c>
      <c r="BA999" s="18">
        <f t="shared" si="565"/>
        <v>9</v>
      </c>
      <c r="BB999" s="18">
        <f t="shared" si="566"/>
        <v>4</v>
      </c>
      <c r="BC999" s="18">
        <f t="shared" si="567"/>
        <v>5</v>
      </c>
      <c r="BD999" s="18">
        <f t="shared" si="568"/>
        <v>1</v>
      </c>
      <c r="BE999" s="8">
        <f t="shared" si="570"/>
        <v>6.4042173418276723E-3</v>
      </c>
    </row>
    <row r="1000" spans="1:57" x14ac:dyDescent="0.25">
      <c r="A1000" t="str">
        <f t="shared" si="569"/>
        <v/>
      </c>
      <c r="B1000" s="1">
        <v>44209</v>
      </c>
      <c r="C1000" s="9">
        <f t="shared" si="544"/>
        <v>0.2483203994860379</v>
      </c>
      <c r="D1000" s="9">
        <f t="shared" si="545"/>
        <v>0</v>
      </c>
      <c r="E1000" s="9">
        <f t="shared" si="546"/>
        <v>0</v>
      </c>
      <c r="F1000" s="9">
        <f t="shared" si="547"/>
        <v>0</v>
      </c>
      <c r="G1000" s="9">
        <f t="shared" si="548"/>
        <v>0.24145136265968822</v>
      </c>
      <c r="H1000" s="9">
        <f t="shared" si="549"/>
        <v>0</v>
      </c>
      <c r="I1000" s="9">
        <f t="shared" si="550"/>
        <v>0.24552997309837674</v>
      </c>
      <c r="J1000" s="9">
        <f t="shared" si="551"/>
        <v>0.26469826475589719</v>
      </c>
      <c r="K1000" s="9">
        <v>0</v>
      </c>
      <c r="L1000" s="8">
        <f>+VLOOKUP($B1000,NIFTY_50!$B$3:$I$1238,8,0)</f>
        <v>9.6131067844451579E-5</v>
      </c>
      <c r="M1000" s="8">
        <f>+VLOOKUP($B1000,NIFTY_BANK!$B$3:$I$41238,8,0)</f>
        <v>7.2868672500696618E-3</v>
      </c>
      <c r="N1000" s="8">
        <f>+VLOOKUP($B1000,NIFTY_IT!$B$3:$I$1238,8,0)</f>
        <v>8.2276768672562284E-4</v>
      </c>
      <c r="O1000" s="8">
        <f>+VLOOKUP($B1000,NIFTY_PHARMA!$B$3:$I$1238,8,0)</f>
        <v>-9.2225569473073366E-3</v>
      </c>
      <c r="P1000" s="8">
        <f>+VLOOKUP($B1000,NIFTY_FMCG!$B$3:$I$1238,8,0)</f>
        <v>3.7389112070203012E-3</v>
      </c>
      <c r="Q1000" s="8">
        <f>+VLOOKUP($B1000,NIFTY_METAL!$B$3:$I$1238,8,0)</f>
        <v>3.803527166016174E-3</v>
      </c>
      <c r="R1000" s="8">
        <f>+VLOOKUP($B1000,NIFTY_ENERGY!$B$3:$I$1238,8,0)</f>
        <v>5.8022112454991781E-3</v>
      </c>
      <c r="S1000" s="8">
        <f>+VLOOKUP($B1000,NIFTY_AUTO!$B$3:$I$1238,8,0)</f>
        <v>8.7649520496844158E-3</v>
      </c>
      <c r="T1000" s="8">
        <f>+VLOOKUP($B1000,EBBETF0430!$B$3:$I$1238,8,0)</f>
        <v>9.7536114723562051E-4</v>
      </c>
      <c r="U1000" s="8">
        <f>+VLOOKUP($B1000,NIFTY_50!$B$63:$K$1238,10,0)</f>
        <v>0.24695321629916922</v>
      </c>
      <c r="V1000" s="8">
        <f>+VLOOKUP($B1000,NIFTY_BANK!$B$63:$K$1238,10,0)</f>
        <v>0.41184488826476651</v>
      </c>
      <c r="W1000" s="8">
        <f>+VLOOKUP($B1000,NIFTY_IT!$B$63:$K$1238,10,0)</f>
        <v>0.25209460618621704</v>
      </c>
      <c r="X1000" s="8">
        <f>+VLOOKUP($B1000,NIFTY_PHARMA!$B$63:$K$1238,10,0)</f>
        <v>0.12757026611330224</v>
      </c>
      <c r="Y1000" s="8">
        <f>+VLOOKUP($B1000,NIFTY_FMCG!$B$63:$K$1238,10,0)</f>
        <v>0.16774611398963724</v>
      </c>
      <c r="Z1000" s="8">
        <f>+VLOOKUP($B1000,NIFTY_METAL!$B$63:$K$1238,10,0)</f>
        <v>0.57221267765902861</v>
      </c>
      <c r="AA1000" s="8">
        <f>+VLOOKUP($B1000,NIFTY_ENERGY!$B$63:$K$1238,10,0)</f>
        <v>0.20538789228364762</v>
      </c>
      <c r="AB1000" s="8">
        <f>+VLOOKUP($B1000,NIFTY_AUTO!$B$63:$K$1238,10,0)</f>
        <v>0.28646499524280578</v>
      </c>
      <c r="AC1000" s="8">
        <f>+VLOOKUP($B1000,EBBETF0430!$B$63:$K$1238,10,0)</f>
        <v>1.6241670633031888</v>
      </c>
      <c r="AD1000" s="16">
        <f t="shared" si="552"/>
        <v>6.5675773558306436E-2</v>
      </c>
      <c r="AE1000" s="8">
        <f t="shared" si="553"/>
        <v>0.12084737834459477</v>
      </c>
      <c r="AF1000" s="8">
        <f t="shared" si="554"/>
        <v>0.10562363958066252</v>
      </c>
      <c r="AG1000" s="8">
        <f t="shared" si="555"/>
        <v>0.10551556016377314</v>
      </c>
      <c r="AH1000" s="8">
        <f t="shared" si="556"/>
        <v>7.0943202633094532E-2</v>
      </c>
      <c r="AI1000" s="8">
        <f t="shared" si="557"/>
        <v>0.14017735427163719</v>
      </c>
      <c r="AJ1000" s="8">
        <f t="shared" si="558"/>
        <v>9.2965758142622659E-2</v>
      </c>
      <c r="AK1000" s="8">
        <f t="shared" si="559"/>
        <v>0.10118781674794555</v>
      </c>
      <c r="AL1000" s="8">
        <f t="shared" si="572"/>
        <v>2.7768255100524275E-3</v>
      </c>
      <c r="AM1000" s="17">
        <f t="shared" si="536"/>
        <v>15.22631475535203</v>
      </c>
      <c r="AN1000" s="13">
        <f t="shared" si="537"/>
        <v>8.2749002394451008</v>
      </c>
      <c r="AO1000" s="13">
        <f t="shared" si="538"/>
        <v>9.4675775609523587</v>
      </c>
      <c r="AP1000" s="13">
        <f t="shared" si="539"/>
        <v>9.4772751852700861</v>
      </c>
      <c r="AQ1000" s="13">
        <f t="shared" si="540"/>
        <v>14.095783146016398</v>
      </c>
      <c r="AR1000" s="13">
        <f t="shared" si="541"/>
        <v>7.1338199040494743</v>
      </c>
      <c r="AS1000" s="13">
        <f t="shared" si="542"/>
        <v>10.75664868419465</v>
      </c>
      <c r="AT1000" s="13">
        <f t="shared" si="543"/>
        <v>9.8826126715527067</v>
      </c>
      <c r="AU1000" s="13">
        <f t="shared" si="571"/>
        <v>360.12345622001999</v>
      </c>
      <c r="AV1000" s="18">
        <f t="shared" si="560"/>
        <v>2</v>
      </c>
      <c r="AW1000" s="18">
        <f t="shared" si="561"/>
        <v>8</v>
      </c>
      <c r="AX1000" s="18">
        <f t="shared" si="562"/>
        <v>7</v>
      </c>
      <c r="AY1000" s="18">
        <f t="shared" si="563"/>
        <v>6</v>
      </c>
      <c r="AZ1000" s="18">
        <f t="shared" si="564"/>
        <v>3</v>
      </c>
      <c r="BA1000" s="18">
        <f t="shared" si="565"/>
        <v>9</v>
      </c>
      <c r="BB1000" s="18">
        <f t="shared" si="566"/>
        <v>4</v>
      </c>
      <c r="BC1000" s="18">
        <f t="shared" si="567"/>
        <v>5</v>
      </c>
      <c r="BD1000" s="18">
        <f t="shared" si="568"/>
        <v>1</v>
      </c>
      <c r="BE1000" s="8">
        <f t="shared" si="570"/>
        <v>4.6612049928776511E-3</v>
      </c>
    </row>
    <row r="1001" spans="1:57" x14ac:dyDescent="0.25">
      <c r="A1001" t="str">
        <f t="shared" si="569"/>
        <v/>
      </c>
      <c r="B1001" s="1">
        <v>44210</v>
      </c>
      <c r="C1001" s="9">
        <f t="shared" si="544"/>
        <v>0.24722882681307032</v>
      </c>
      <c r="D1001" s="9">
        <f t="shared" si="545"/>
        <v>0</v>
      </c>
      <c r="E1001" s="9">
        <f t="shared" si="546"/>
        <v>0</v>
      </c>
      <c r="F1001" s="9">
        <f t="shared" si="547"/>
        <v>0</v>
      </c>
      <c r="G1001" s="9">
        <f t="shared" si="548"/>
        <v>0.24174133731287004</v>
      </c>
      <c r="H1001" s="9">
        <f t="shared" si="549"/>
        <v>0</v>
      </c>
      <c r="I1001" s="9">
        <f t="shared" si="550"/>
        <v>0.24728397163245402</v>
      </c>
      <c r="J1001" s="9">
        <f t="shared" si="551"/>
        <v>0.26374586424160562</v>
      </c>
      <c r="K1001" s="9">
        <v>0</v>
      </c>
      <c r="L1001" s="8">
        <f>+VLOOKUP($B1001,NIFTY_50!$B$3:$I$1238,8,0)</f>
        <v>2.1112472837001572E-3</v>
      </c>
      <c r="M1001" s="8">
        <f>+VLOOKUP($B1001,NIFTY_BANK!$B$3:$I$41238,8,0)</f>
        <v>-1.6853596278088023E-3</v>
      </c>
      <c r="N1001" s="8">
        <f>+VLOOKUP($B1001,NIFTY_IT!$B$3:$I$1238,8,0)</f>
        <v>-1.4349566550512227E-3</v>
      </c>
      <c r="O1001" s="8">
        <f>+VLOOKUP($B1001,NIFTY_PHARMA!$B$3:$I$1238,8,0)</f>
        <v>8.3825171174809476E-3</v>
      </c>
      <c r="P1001" s="8">
        <f>+VLOOKUP($B1001,NIFTY_FMCG!$B$3:$I$1238,8,0)</f>
        <v>7.7446154557219149E-3</v>
      </c>
      <c r="Q1001" s="8">
        <f>+VLOOKUP($B1001,NIFTY_METAL!$B$3:$I$1238,8,0)</f>
        <v>-1.017526431561766E-2</v>
      </c>
      <c r="R1001" s="8">
        <f>+VLOOKUP($B1001,NIFTY_ENERGY!$B$3:$I$1238,8,0)</f>
        <v>1.3726215781275641E-2</v>
      </c>
      <c r="S1001" s="8">
        <f>+VLOOKUP($B1001,NIFTY_AUTO!$B$3:$I$1238,8,0)</f>
        <v>2.9142238613710791E-3</v>
      </c>
      <c r="T1001" s="8">
        <f>+VLOOKUP($B1001,EBBETF0430!$B$3:$I$1238,8,0)</f>
        <v>-2.9934600359917685E-3</v>
      </c>
      <c r="U1001" s="8">
        <f>+VLOOKUP($B1001,NIFTY_50!$B$63:$K$1238,10,0)</f>
        <v>0.24086393565966269</v>
      </c>
      <c r="V1001" s="8">
        <f>+VLOOKUP($B1001,NIFTY_BANK!$B$63:$K$1238,10,0)</f>
        <v>0.38186395844177912</v>
      </c>
      <c r="W1001" s="8">
        <f>+VLOOKUP($B1001,NIFTY_IT!$B$63:$K$1238,10,0)</f>
        <v>0.25199007342784774</v>
      </c>
      <c r="X1001" s="8">
        <f>+VLOOKUP($B1001,NIFTY_PHARMA!$B$63:$K$1238,10,0)</f>
        <v>0.12006416062162995</v>
      </c>
      <c r="Y1001" s="8">
        <f>+VLOOKUP($B1001,NIFTY_FMCG!$B$63:$K$1238,10,0)</f>
        <v>0.1757487517293792</v>
      </c>
      <c r="Z1001" s="8">
        <f>+VLOOKUP($B1001,NIFTY_METAL!$B$63:$K$1238,10,0)</f>
        <v>0.49683456016481764</v>
      </c>
      <c r="AA1001" s="8">
        <f>+VLOOKUP($B1001,NIFTY_ENERGY!$B$63:$K$1238,10,0)</f>
        <v>0.21334519023110676</v>
      </c>
      <c r="AB1001" s="8">
        <f>+VLOOKUP($B1001,NIFTY_AUTO!$B$63:$K$1238,10,0)</f>
        <v>0.28630747099359866</v>
      </c>
      <c r="AC1001" s="8">
        <f>+VLOOKUP($B1001,EBBETF0430!$B$63:$K$1238,10,0)</f>
        <v>5.7470825852782763</v>
      </c>
      <c r="AD1001" s="16">
        <f t="shared" si="552"/>
        <v>6.5604585158997711E-2</v>
      </c>
      <c r="AE1001" s="8">
        <f t="shared" si="553"/>
        <v>0.12021258416227681</v>
      </c>
      <c r="AF1001" s="8">
        <f t="shared" si="554"/>
        <v>0.10562772509959906</v>
      </c>
      <c r="AG1001" s="8">
        <f t="shared" si="555"/>
        <v>0.104888959440733</v>
      </c>
      <c r="AH1001" s="8">
        <f t="shared" si="556"/>
        <v>7.1104690460388476E-2</v>
      </c>
      <c r="AI1001" s="8">
        <f t="shared" si="557"/>
        <v>0.13746630171749422</v>
      </c>
      <c r="AJ1001" s="8">
        <f t="shared" si="558"/>
        <v>9.3479879957314035E-2</v>
      </c>
      <c r="AK1001" s="8">
        <f t="shared" si="559"/>
        <v>0.10118932868242801</v>
      </c>
      <c r="AL1001" s="8">
        <f t="shared" si="572"/>
        <v>4.0993410272455151E-3</v>
      </c>
      <c r="AM1001" s="17">
        <f t="shared" si="536"/>
        <v>15.242837030009774</v>
      </c>
      <c r="AN1001" s="13">
        <f t="shared" si="537"/>
        <v>8.3185966508305373</v>
      </c>
      <c r="AO1001" s="13">
        <f t="shared" si="538"/>
        <v>9.4672113695251383</v>
      </c>
      <c r="AP1001" s="13">
        <f t="shared" si="539"/>
        <v>9.5338918922638864</v>
      </c>
      <c r="AQ1001" s="13">
        <f t="shared" si="540"/>
        <v>14.063769823413933</v>
      </c>
      <c r="AR1001" s="13">
        <f t="shared" si="541"/>
        <v>7.2745100981554822</v>
      </c>
      <c r="AS1001" s="13">
        <f t="shared" si="542"/>
        <v>10.697489133026622</v>
      </c>
      <c r="AT1001" s="13">
        <f t="shared" si="543"/>
        <v>9.8824650091156752</v>
      </c>
      <c r="AU1001" s="13">
        <f t="shared" si="571"/>
        <v>243.94164656067503</v>
      </c>
      <c r="AV1001" s="18">
        <f t="shared" si="560"/>
        <v>2</v>
      </c>
      <c r="AW1001" s="18">
        <f t="shared" si="561"/>
        <v>8</v>
      </c>
      <c r="AX1001" s="18">
        <f t="shared" si="562"/>
        <v>7</v>
      </c>
      <c r="AY1001" s="18">
        <f t="shared" si="563"/>
        <v>6</v>
      </c>
      <c r="AZ1001" s="18">
        <f t="shared" si="564"/>
        <v>3</v>
      </c>
      <c r="BA1001" s="18">
        <f t="shared" si="565"/>
        <v>9</v>
      </c>
      <c r="BB1001" s="18">
        <f t="shared" si="566"/>
        <v>4</v>
      </c>
      <c r="BC1001" s="18">
        <f t="shared" si="567"/>
        <v>5</v>
      </c>
      <c r="BD1001" s="18">
        <f t="shared" si="568"/>
        <v>1</v>
      </c>
      <c r="BE1001" s="8">
        <f t="shared" si="570"/>
        <v>6.5358011146958517E-3</v>
      </c>
    </row>
    <row r="1002" spans="1:57" x14ac:dyDescent="0.25">
      <c r="A1002" t="str">
        <f t="shared" si="569"/>
        <v/>
      </c>
      <c r="B1002" s="1">
        <v>44211</v>
      </c>
      <c r="C1002" s="9">
        <f t="shared" si="544"/>
        <v>0.2471194794282412</v>
      </c>
      <c r="D1002" s="9">
        <f t="shared" si="545"/>
        <v>0</v>
      </c>
      <c r="E1002" s="9">
        <f t="shared" si="546"/>
        <v>0</v>
      </c>
      <c r="F1002" s="9">
        <f t="shared" si="547"/>
        <v>0</v>
      </c>
      <c r="G1002" s="9">
        <f t="shared" si="548"/>
        <v>0.24255417143132618</v>
      </c>
      <c r="H1002" s="9">
        <f t="shared" si="549"/>
        <v>0</v>
      </c>
      <c r="I1002" s="9">
        <f t="shared" si="550"/>
        <v>0.24530234855378413</v>
      </c>
      <c r="J1002" s="9">
        <f t="shared" si="551"/>
        <v>0.26502400058664843</v>
      </c>
      <c r="K1002" s="9">
        <v>0</v>
      </c>
      <c r="L1002" s="8">
        <f>+VLOOKUP($B1002,NIFTY_50!$B$3:$I$1238,8,0)</f>
        <v>-1.1092384006138767E-2</v>
      </c>
      <c r="M1002" s="8">
        <f>+VLOOKUP($B1002,NIFTY_BANK!$B$3:$I$41238,8,0)</f>
        <v>-8.393360957571927E-3</v>
      </c>
      <c r="N1002" s="8">
        <f>+VLOOKUP($B1002,NIFTY_IT!$B$3:$I$1238,8,0)</f>
        <v>-2.2352594328689745E-2</v>
      </c>
      <c r="O1002" s="8">
        <f>+VLOOKUP($B1002,NIFTY_PHARMA!$B$3:$I$1238,8,0)</f>
        <v>-1.6497198196870566E-2</v>
      </c>
      <c r="P1002" s="8">
        <f>+VLOOKUP($B1002,NIFTY_FMCG!$B$3:$I$1238,8,0)</f>
        <v>-7.3282175791224979E-3</v>
      </c>
      <c r="Q1002" s="8">
        <f>+VLOOKUP($B1002,NIFTY_METAL!$B$3:$I$1238,8,0)</f>
        <v>-1.0968056431725604E-2</v>
      </c>
      <c r="R1002" s="8">
        <f>+VLOOKUP($B1002,NIFTY_ENERGY!$B$3:$I$1238,8,0)</f>
        <v>-1.8582973954973103E-2</v>
      </c>
      <c r="S1002" s="8">
        <f>+VLOOKUP($B1002,NIFTY_AUTO!$B$3:$I$1238,8,0)</f>
        <v>-5.8603479093208843E-3</v>
      </c>
      <c r="T1002" s="8">
        <f>+VLOOKUP($B1002,EBBETF0430!$B$3:$I$1238,8,0)</f>
        <v>1.6024794407170084E-3</v>
      </c>
      <c r="U1002" s="8">
        <f>+VLOOKUP($B1002,NIFTY_50!$B$63:$K$1238,10,0)</f>
        <v>0.2156690993468402</v>
      </c>
      <c r="V1002" s="8">
        <f>+VLOOKUP($B1002,NIFTY_BANK!$B$63:$K$1238,10,0)</f>
        <v>0.32884708500314219</v>
      </c>
      <c r="W1002" s="8">
        <f>+VLOOKUP($B1002,NIFTY_IT!$B$63:$K$1238,10,0)</f>
        <v>0.2323730009957039</v>
      </c>
      <c r="X1002" s="8">
        <f>+VLOOKUP($B1002,NIFTY_PHARMA!$B$63:$K$1238,10,0)</f>
        <v>0.1203100721808783</v>
      </c>
      <c r="Y1002" s="8">
        <f>+VLOOKUP($B1002,NIFTY_FMCG!$B$63:$K$1238,10,0)</f>
        <v>0.15169186716485683</v>
      </c>
      <c r="Z1002" s="8">
        <f>+VLOOKUP($B1002,NIFTY_METAL!$B$63:$K$1238,10,0)</f>
        <v>0.45665899444643876</v>
      </c>
      <c r="AA1002" s="8">
        <f>+VLOOKUP($B1002,NIFTY_ENERGY!$B$63:$K$1238,10,0)</f>
        <v>0.17620266901802517</v>
      </c>
      <c r="AB1002" s="8">
        <f>+VLOOKUP($B1002,NIFTY_AUTO!$B$63:$K$1238,10,0)</f>
        <v>0.29324617075479464</v>
      </c>
      <c r="AC1002" s="8">
        <f>+VLOOKUP($B1002,EBBETF0430!$B$63:$K$1238,10,0)</f>
        <v>0.3079481792717087</v>
      </c>
      <c r="AD1002" s="16">
        <f t="shared" si="552"/>
        <v>6.6921079601809583E-2</v>
      </c>
      <c r="AE1002" s="8">
        <f t="shared" si="553"/>
        <v>0.11812855964571795</v>
      </c>
      <c r="AF1002" s="8">
        <f t="shared" si="554"/>
        <v>0.10827968178631525</v>
      </c>
      <c r="AG1002" s="8">
        <f t="shared" si="555"/>
        <v>0.10485075637836273</v>
      </c>
      <c r="AH1002" s="8">
        <f t="shared" si="556"/>
        <v>7.0955742126211474E-2</v>
      </c>
      <c r="AI1002" s="8">
        <f t="shared" si="557"/>
        <v>0.13823688895346786</v>
      </c>
      <c r="AJ1002" s="8">
        <f t="shared" si="558"/>
        <v>9.5474517722455104E-2</v>
      </c>
      <c r="AK1002" s="8">
        <f t="shared" si="559"/>
        <v>0.10051281221709117</v>
      </c>
      <c r="AL1002" s="8">
        <f t="shared" si="572"/>
        <v>4.3974835810757108E-3</v>
      </c>
      <c r="AM1002" s="17">
        <f t="shared" si="536"/>
        <v>14.942974709167116</v>
      </c>
      <c r="AN1002" s="13">
        <f t="shared" si="537"/>
        <v>8.4653533658509232</v>
      </c>
      <c r="AO1002" s="13">
        <f t="shared" si="538"/>
        <v>9.2353429886638558</v>
      </c>
      <c r="AP1002" s="13">
        <f t="shared" si="539"/>
        <v>9.5373656284501784</v>
      </c>
      <c r="AQ1002" s="13">
        <f t="shared" si="540"/>
        <v>14.093292100606387</v>
      </c>
      <c r="AR1002" s="13">
        <f t="shared" si="541"/>
        <v>7.2339590942082879</v>
      </c>
      <c r="AS1002" s="13">
        <f t="shared" si="542"/>
        <v>10.473998967001906</v>
      </c>
      <c r="AT1002" s="13">
        <f t="shared" si="543"/>
        <v>9.9489804129663018</v>
      </c>
      <c r="AU1002" s="13">
        <f t="shared" si="571"/>
        <v>227.40278196908704</v>
      </c>
      <c r="AV1002" s="18">
        <f t="shared" si="560"/>
        <v>2</v>
      </c>
      <c r="AW1002" s="18">
        <f t="shared" si="561"/>
        <v>8</v>
      </c>
      <c r="AX1002" s="18">
        <f t="shared" si="562"/>
        <v>7</v>
      </c>
      <c r="AY1002" s="18">
        <f t="shared" si="563"/>
        <v>6</v>
      </c>
      <c r="AZ1002" s="18">
        <f t="shared" si="564"/>
        <v>3</v>
      </c>
      <c r="BA1002" s="18">
        <f t="shared" si="565"/>
        <v>9</v>
      </c>
      <c r="BB1002" s="18">
        <f t="shared" si="566"/>
        <v>4</v>
      </c>
      <c r="BC1002" s="18">
        <f t="shared" si="567"/>
        <v>5</v>
      </c>
      <c r="BD1002" s="18">
        <f t="shared" si="568"/>
        <v>1</v>
      </c>
      <c r="BE1002" s="8">
        <f t="shared" si="570"/>
        <v>-1.0654804330523031E-2</v>
      </c>
    </row>
    <row r="1003" spans="1:57" x14ac:dyDescent="0.25">
      <c r="A1003" t="str">
        <f t="shared" si="569"/>
        <v/>
      </c>
      <c r="B1003" s="1">
        <v>44214</v>
      </c>
      <c r="C1003" s="9">
        <f t="shared" si="544"/>
        <v>0.24726484348532804</v>
      </c>
      <c r="D1003" s="9">
        <f t="shared" si="545"/>
        <v>0</v>
      </c>
      <c r="E1003" s="9">
        <f t="shared" si="546"/>
        <v>0</v>
      </c>
      <c r="F1003" s="9">
        <f t="shared" si="547"/>
        <v>0</v>
      </c>
      <c r="G1003" s="9">
        <f t="shared" si="548"/>
        <v>0.24438577499219155</v>
      </c>
      <c r="H1003" s="9">
        <f t="shared" si="549"/>
        <v>0</v>
      </c>
      <c r="I1003" s="9">
        <f t="shared" si="550"/>
        <v>0.24605886889500156</v>
      </c>
      <c r="J1003" s="9">
        <f t="shared" si="551"/>
        <v>0.26229051262747888</v>
      </c>
      <c r="K1003" s="9">
        <v>0</v>
      </c>
      <c r="L1003" s="8">
        <f>+VLOOKUP($B1003,NIFTY_50!$B$3:$I$1238,8,0)</f>
        <v>-1.0558623222042929E-2</v>
      </c>
      <c r="M1003" s="8">
        <f>+VLOOKUP($B1003,NIFTY_BANK!$B$3:$I$41238,8,0)</f>
        <v>-1.3491261148392941E-2</v>
      </c>
      <c r="N1003" s="8">
        <f>+VLOOKUP($B1003,NIFTY_IT!$B$3:$I$1238,8,0)</f>
        <v>-1.6938640812053318E-2</v>
      </c>
      <c r="O1003" s="8">
        <f>+VLOOKUP($B1003,NIFTY_PHARMA!$B$3:$I$1238,8,0)</f>
        <v>-2.7719615037362866E-2</v>
      </c>
      <c r="P1003" s="8">
        <f>+VLOOKUP($B1003,NIFTY_FMCG!$B$3:$I$1238,8,0)</f>
        <v>-3.6731104921882141E-3</v>
      </c>
      <c r="Q1003" s="8">
        <f>+VLOOKUP($B1003,NIFTY_METAL!$B$3:$I$1238,8,0)</f>
        <v>-4.0778162735746526E-2</v>
      </c>
      <c r="R1003" s="8">
        <f>+VLOOKUP($B1003,NIFTY_ENERGY!$B$3:$I$1238,8,0)</f>
        <v>-8.0906288834874385E-3</v>
      </c>
      <c r="S1003" s="8">
        <f>+VLOOKUP($B1003,NIFTY_AUTO!$B$3:$I$1238,8,0)</f>
        <v>-2.1339516422192228E-2</v>
      </c>
      <c r="T1003" s="8">
        <f>+VLOOKUP($B1003,EBBETF0430!$B$3:$I$1238,8,0)</f>
        <v>-6.4172439255949509E-4</v>
      </c>
      <c r="U1003" s="8">
        <f>+VLOOKUP($B1003,NIFTY_50!$B$63:$K$1238,10,0)</f>
        <v>0.20043204895434075</v>
      </c>
      <c r="V1003" s="8">
        <f>+VLOOKUP($B1003,NIFTY_BANK!$B$63:$K$1238,10,0)</f>
        <v>0.30849011591079223</v>
      </c>
      <c r="W1003" s="8">
        <f>+VLOOKUP($B1003,NIFTY_IT!$B$63:$K$1238,10,0)</f>
        <v>0.19460827358275323</v>
      </c>
      <c r="X1003" s="8">
        <f>+VLOOKUP($B1003,NIFTY_PHARMA!$B$63:$K$1238,10,0)</f>
        <v>8.6659681907182984E-2</v>
      </c>
      <c r="Y1003" s="8">
        <f>+VLOOKUP($B1003,NIFTY_FMCG!$B$63:$K$1238,10,0)</f>
        <v>0.15145371538415331</v>
      </c>
      <c r="Z1003" s="8">
        <f>+VLOOKUP($B1003,NIFTY_METAL!$B$63:$K$1238,10,0)</f>
        <v>0.39991960564453</v>
      </c>
      <c r="AA1003" s="8">
        <f>+VLOOKUP($B1003,NIFTY_ENERGY!$B$63:$K$1238,10,0)</f>
        <v>0.18387861643661196</v>
      </c>
      <c r="AB1003" s="8">
        <f>+VLOOKUP($B1003,NIFTY_AUTO!$B$63:$K$1238,10,0)</f>
        <v>0.26142565881950697</v>
      </c>
      <c r="AC1003" s="8">
        <f>+VLOOKUP($B1003,EBBETF0430!$B$63:$K$1238,10,0)</f>
        <v>-0.41935806169601597</v>
      </c>
      <c r="AD1003" s="16">
        <f t="shared" si="552"/>
        <v>6.8299340747587145E-2</v>
      </c>
      <c r="AE1003" s="8">
        <f t="shared" si="553"/>
        <v>0.11948206681416297</v>
      </c>
      <c r="AF1003" s="8">
        <f t="shared" si="554"/>
        <v>0.1096124363853327</v>
      </c>
      <c r="AG1003" s="8">
        <f t="shared" si="555"/>
        <v>0.10889993596919668</v>
      </c>
      <c r="AH1003" s="8">
        <f t="shared" si="556"/>
        <v>7.0972954744415007E-2</v>
      </c>
      <c r="AI1003" s="8">
        <f t="shared" si="557"/>
        <v>0.14572920530461819</v>
      </c>
      <c r="AJ1003" s="8">
        <f t="shared" si="558"/>
        <v>9.4520065549058827E-2</v>
      </c>
      <c r="AK1003" s="8">
        <f t="shared" si="559"/>
        <v>0.10368073061160982</v>
      </c>
      <c r="AL1003" s="8">
        <f t="shared" si="572"/>
        <v>4.4467589607259861E-3</v>
      </c>
      <c r="AM1003" s="17">
        <f t="shared" si="536"/>
        <v>14.64142975692379</v>
      </c>
      <c r="AN1003" s="13">
        <f t="shared" si="537"/>
        <v>8.3694568286582705</v>
      </c>
      <c r="AO1003" s="13">
        <f t="shared" si="538"/>
        <v>9.1230523923817319</v>
      </c>
      <c r="AP1003" s="13">
        <f t="shared" si="539"/>
        <v>9.1827418547138446</v>
      </c>
      <c r="AQ1003" s="13">
        <f t="shared" si="540"/>
        <v>14.089874144329491</v>
      </c>
      <c r="AR1003" s="13">
        <f t="shared" si="541"/>
        <v>6.8620424979996084</v>
      </c>
      <c r="AS1003" s="13">
        <f t="shared" si="542"/>
        <v>10.579764139932481</v>
      </c>
      <c r="AT1003" s="13">
        <f t="shared" si="543"/>
        <v>9.644993762110154</v>
      </c>
      <c r="AU1003" s="13">
        <f t="shared" si="571"/>
        <v>224.88288860090094</v>
      </c>
      <c r="AV1003" s="18">
        <f t="shared" si="560"/>
        <v>2</v>
      </c>
      <c r="AW1003" s="18">
        <f t="shared" si="561"/>
        <v>8</v>
      </c>
      <c r="AX1003" s="18">
        <f t="shared" si="562"/>
        <v>7</v>
      </c>
      <c r="AY1003" s="18">
        <f t="shared" si="563"/>
        <v>6</v>
      </c>
      <c r="AZ1003" s="18">
        <f t="shared" si="564"/>
        <v>3</v>
      </c>
      <c r="BA1003" s="18">
        <f t="shared" si="565"/>
        <v>9</v>
      </c>
      <c r="BB1003" s="18">
        <f t="shared" si="566"/>
        <v>4</v>
      </c>
      <c r="BC1003" s="18">
        <f t="shared" si="567"/>
        <v>5</v>
      </c>
      <c r="BD1003" s="18">
        <f t="shared" si="568"/>
        <v>1</v>
      </c>
      <c r="BE1003" s="8">
        <f t="shared" si="570"/>
        <v>-1.1140304025309026E-2</v>
      </c>
    </row>
    <row r="1004" spans="1:57" x14ac:dyDescent="0.25">
      <c r="A1004" t="str">
        <f t="shared" si="569"/>
        <v/>
      </c>
      <c r="B1004" s="1">
        <v>44215</v>
      </c>
      <c r="C1004" s="9">
        <f t="shared" si="544"/>
        <v>0.24783942618659544</v>
      </c>
      <c r="D1004" s="9">
        <f t="shared" si="545"/>
        <v>0</v>
      </c>
      <c r="E1004" s="9">
        <f t="shared" si="546"/>
        <v>0</v>
      </c>
      <c r="F1004" s="9">
        <f t="shared" si="547"/>
        <v>0</v>
      </c>
      <c r="G1004" s="9">
        <f t="shared" si="548"/>
        <v>0.24200391149241293</v>
      </c>
      <c r="H1004" s="9">
        <f t="shared" si="549"/>
        <v>0</v>
      </c>
      <c r="I1004" s="9">
        <f t="shared" si="550"/>
        <v>0.24703844788555171</v>
      </c>
      <c r="J1004" s="9">
        <f t="shared" si="551"/>
        <v>0.26311821443543998</v>
      </c>
      <c r="K1004" s="9">
        <v>0</v>
      </c>
      <c r="L1004" s="8">
        <f>+VLOOKUP($B1004,NIFTY_50!$B$3:$I$1238,8,0)</f>
        <v>1.6794689559073817E-2</v>
      </c>
      <c r="M1004" s="8">
        <f>+VLOOKUP($B1004,NIFTY_BANK!$B$3:$I$41238,8,0)</f>
        <v>1.9272752992211872E-2</v>
      </c>
      <c r="N1004" s="8">
        <f>+VLOOKUP($B1004,NIFTY_IT!$B$3:$I$1238,8,0)</f>
        <v>4.9100467853180341E-3</v>
      </c>
      <c r="O1004" s="8">
        <f>+VLOOKUP($B1004,NIFTY_PHARMA!$B$3:$I$1238,8,0)</f>
        <v>1.6797723949895316E-2</v>
      </c>
      <c r="P1004" s="8">
        <f>+VLOOKUP($B1004,NIFTY_FMCG!$B$3:$I$1238,8,0)</f>
        <v>4.5503487393070419E-3</v>
      </c>
      <c r="Q1004" s="8">
        <f>+VLOOKUP($B1004,NIFTY_METAL!$B$3:$I$1238,8,0)</f>
        <v>2.9227746713011982E-2</v>
      </c>
      <c r="R1004" s="8">
        <f>+VLOOKUP($B1004,NIFTY_ENERGY!$B$3:$I$1238,8,0)</f>
        <v>1.8475938549191051E-2</v>
      </c>
      <c r="S1004" s="8">
        <f>+VLOOKUP($B1004,NIFTY_AUTO!$B$3:$I$1238,8,0)</f>
        <v>1.7638614209273928E-2</v>
      </c>
      <c r="T1004" s="8">
        <f>+VLOOKUP($B1004,EBBETF0430!$B$3:$I$1238,8,0)</f>
        <v>-7.9167509654021195E-4</v>
      </c>
      <c r="U1004" s="8">
        <f>+VLOOKUP($B1004,NIFTY_50!$B$63:$K$1238,10,0)</f>
        <v>0.21641612880257011</v>
      </c>
      <c r="V1004" s="8">
        <f>+VLOOKUP($B1004,NIFTY_BANK!$B$63:$K$1238,10,0)</f>
        <v>0.3162080044489457</v>
      </c>
      <c r="W1004" s="8">
        <f>+VLOOKUP($B1004,NIFTY_IT!$B$63:$K$1238,10,0)</f>
        <v>0.20696646761811399</v>
      </c>
      <c r="X1004" s="8">
        <f>+VLOOKUP($B1004,NIFTY_PHARMA!$B$63:$K$1238,10,0)</f>
        <v>0.10478975072344276</v>
      </c>
      <c r="Y1004" s="8">
        <f>+VLOOKUP($B1004,NIFTY_FMCG!$B$63:$K$1238,10,0)</f>
        <v>0.16762340781765328</v>
      </c>
      <c r="Z1004" s="8">
        <f>+VLOOKUP($B1004,NIFTY_METAL!$B$63:$K$1238,10,0)</f>
        <v>0.40940791788249387</v>
      </c>
      <c r="AA1004" s="8">
        <f>+VLOOKUP($B1004,NIFTY_ENERGY!$B$63:$K$1238,10,0)</f>
        <v>0.19633217355081256</v>
      </c>
      <c r="AB1004" s="8">
        <f>+VLOOKUP($B1004,NIFTY_AUTO!$B$63:$K$1238,10,0)</f>
        <v>0.28671435190180294</v>
      </c>
      <c r="AC1004" s="8">
        <f>+VLOOKUP($B1004,EBBETF0430!$B$63:$K$1238,10,0)</f>
        <v>-0.17078268522083495</v>
      </c>
      <c r="AD1004" s="16">
        <f t="shared" si="552"/>
        <v>6.9648919161217793E-2</v>
      </c>
      <c r="AE1004" s="8">
        <f t="shared" si="553"/>
        <v>0.12006595920732922</v>
      </c>
      <c r="AF1004" s="8">
        <f t="shared" si="554"/>
        <v>0.10929880366791693</v>
      </c>
      <c r="AG1004" s="8">
        <f t="shared" si="555"/>
        <v>0.10994554293912996</v>
      </c>
      <c r="AH1004" s="8">
        <f t="shared" si="556"/>
        <v>7.0010847027527079E-2</v>
      </c>
      <c r="AI1004" s="8">
        <f t="shared" si="557"/>
        <v>0.14667715492001426</v>
      </c>
      <c r="AJ1004" s="8">
        <f t="shared" si="558"/>
        <v>9.5662120261014352E-2</v>
      </c>
      <c r="AK1004" s="8">
        <f t="shared" si="559"/>
        <v>0.10436740845954959</v>
      </c>
      <c r="AL1004" s="8">
        <f t="shared" si="572"/>
        <v>4.517898994146609E-3</v>
      </c>
      <c r="AM1004" s="17">
        <f t="shared" si="536"/>
        <v>14.357724599936423</v>
      </c>
      <c r="AN1004" s="13">
        <f t="shared" si="537"/>
        <v>8.3287553491594206</v>
      </c>
      <c r="AO1004" s="13">
        <f t="shared" si="538"/>
        <v>9.1492309745521521</v>
      </c>
      <c r="AP1004" s="13">
        <f t="shared" si="539"/>
        <v>9.0954119036334014</v>
      </c>
      <c r="AQ1004" s="13">
        <f t="shared" si="540"/>
        <v>14.283500949600237</v>
      </c>
      <c r="AR1004" s="13">
        <f t="shared" si="541"/>
        <v>6.8176942792851296</v>
      </c>
      <c r="AS1004" s="13">
        <f t="shared" si="542"/>
        <v>10.453458456403615</v>
      </c>
      <c r="AT1004" s="13">
        <f t="shared" si="543"/>
        <v>9.5815352202366615</v>
      </c>
      <c r="AU1004" s="13">
        <f t="shared" si="571"/>
        <v>221.34182311193771</v>
      </c>
      <c r="AV1004" s="18">
        <f t="shared" si="560"/>
        <v>2</v>
      </c>
      <c r="AW1004" s="18">
        <f t="shared" si="561"/>
        <v>8</v>
      </c>
      <c r="AX1004" s="18">
        <f t="shared" si="562"/>
        <v>6</v>
      </c>
      <c r="AY1004" s="18">
        <f t="shared" si="563"/>
        <v>7</v>
      </c>
      <c r="AZ1004" s="18">
        <f t="shared" si="564"/>
        <v>3</v>
      </c>
      <c r="BA1004" s="18">
        <f t="shared" si="565"/>
        <v>9</v>
      </c>
      <c r="BB1004" s="18">
        <f t="shared" si="566"/>
        <v>4</v>
      </c>
      <c r="BC1004" s="18">
        <f t="shared" si="567"/>
        <v>5</v>
      </c>
      <c r="BD1004" s="18">
        <f t="shared" si="568"/>
        <v>1</v>
      </c>
      <c r="BE1004" s="8">
        <f t="shared" si="570"/>
        <v>1.4437386492525652E-2</v>
      </c>
    </row>
    <row r="1005" spans="1:57" x14ac:dyDescent="0.25">
      <c r="A1005" t="str">
        <f t="shared" si="569"/>
        <v/>
      </c>
      <c r="B1005" s="1">
        <v>44216</v>
      </c>
      <c r="C1005" s="9">
        <f t="shared" si="544"/>
        <v>0.24775346568244988</v>
      </c>
      <c r="D1005" s="9">
        <f t="shared" si="545"/>
        <v>0</v>
      </c>
      <c r="E1005" s="9">
        <f t="shared" si="546"/>
        <v>0</v>
      </c>
      <c r="F1005" s="9">
        <f t="shared" si="547"/>
        <v>0</v>
      </c>
      <c r="G1005" s="9">
        <f t="shared" si="548"/>
        <v>0.2395018256347429</v>
      </c>
      <c r="H1005" s="9">
        <f t="shared" si="549"/>
        <v>0</v>
      </c>
      <c r="I1005" s="9">
        <f t="shared" si="550"/>
        <v>0.24595611594346545</v>
      </c>
      <c r="J1005" s="9">
        <f t="shared" si="551"/>
        <v>0.26678859273934163</v>
      </c>
      <c r="K1005" s="9">
        <v>0</v>
      </c>
      <c r="L1005" s="8">
        <f>+VLOOKUP($B1005,NIFTY_50!$B$3:$I$1238,8,0)</f>
        <v>8.508279302947841E-3</v>
      </c>
      <c r="M1005" s="8">
        <f>+VLOOKUP($B1005,NIFTY_BANK!$B$3:$I$41238,8,0)</f>
        <v>3.6653986063159838E-3</v>
      </c>
      <c r="N1005" s="8">
        <f>+VLOOKUP($B1005,NIFTY_IT!$B$3:$I$1238,8,0)</f>
        <v>2.2124522433620619E-2</v>
      </c>
      <c r="O1005" s="8">
        <f>+VLOOKUP($B1005,NIFTY_PHARMA!$B$3:$I$1238,8,0)</f>
        <v>1.1775175753243605E-3</v>
      </c>
      <c r="P1005" s="8">
        <f>+VLOOKUP($B1005,NIFTY_FMCG!$B$3:$I$1238,8,0)</f>
        <v>-1.5724245777174461E-3</v>
      </c>
      <c r="Q1005" s="8">
        <f>+VLOOKUP($B1005,NIFTY_METAL!$B$3:$I$1238,8,0)</f>
        <v>9.3386585222601237E-3</v>
      </c>
      <c r="R1005" s="8">
        <f>+VLOOKUP($B1005,NIFTY_ENERGY!$B$3:$I$1238,8,0)</f>
        <v>4.4381527009940136E-3</v>
      </c>
      <c r="S1005" s="8">
        <f>+VLOOKUP($B1005,NIFTY_AUTO!$B$3:$I$1238,8,0)</f>
        <v>2.2931299818483186E-2</v>
      </c>
      <c r="T1005" s="8">
        <f>+VLOOKUP($B1005,EBBETF0430!$B$3:$I$1238,8,0)</f>
        <v>-3.9615117128699584E-4</v>
      </c>
      <c r="U1005" s="8">
        <f>+VLOOKUP($B1005,NIFTY_50!$B$63:$K$1238,10,0)</f>
        <v>0.2310142941801967</v>
      </c>
      <c r="V1005" s="8">
        <f>+VLOOKUP($B1005,NIFTY_BANK!$B$63:$K$1238,10,0)</f>
        <v>0.3291741800307546</v>
      </c>
      <c r="W1005" s="8">
        <f>+VLOOKUP($B1005,NIFTY_IT!$B$63:$K$1238,10,0)</f>
        <v>0.24312699932285708</v>
      </c>
      <c r="X1005" s="8">
        <f>+VLOOKUP($B1005,NIFTY_PHARMA!$B$63:$K$1238,10,0)</f>
        <v>0.11570942288203878</v>
      </c>
      <c r="Y1005" s="8">
        <f>+VLOOKUP($B1005,NIFTY_FMCG!$B$63:$K$1238,10,0)</f>
        <v>0.16456141354552445</v>
      </c>
      <c r="Z1005" s="8">
        <f>+VLOOKUP($B1005,NIFTY_METAL!$B$63:$K$1238,10,0)</f>
        <v>0.4129496402877697</v>
      </c>
      <c r="AA1005" s="8">
        <f>+VLOOKUP($B1005,NIFTY_ENERGY!$B$63:$K$1238,10,0)</f>
        <v>0.18978731460601983</v>
      </c>
      <c r="AB1005" s="8">
        <f>+VLOOKUP($B1005,NIFTY_AUTO!$B$63:$K$1238,10,0)</f>
        <v>0.31854682324218131</v>
      </c>
      <c r="AC1005" s="8">
        <f>+VLOOKUP($B1005,EBBETF0430!$B$63:$K$1238,10,0)</f>
        <v>-9.2120989243357543E-2</v>
      </c>
      <c r="AD1005" s="16">
        <f t="shared" si="552"/>
        <v>6.9506900084107648E-2</v>
      </c>
      <c r="AE1005" s="8">
        <f t="shared" si="553"/>
        <v>0.11958040095935615</v>
      </c>
      <c r="AF1005" s="8">
        <f t="shared" si="554"/>
        <v>0.11033540772935418</v>
      </c>
      <c r="AG1005" s="8">
        <f t="shared" si="555"/>
        <v>0.10945097067440643</v>
      </c>
      <c r="AH1005" s="8">
        <f t="shared" si="556"/>
        <v>7.0116590225478601E-2</v>
      </c>
      <c r="AI1005" s="8">
        <f t="shared" si="557"/>
        <v>0.14671570189435404</v>
      </c>
      <c r="AJ1005" s="8">
        <f t="shared" si="558"/>
        <v>9.5417636782385587E-2</v>
      </c>
      <c r="AK1005" s="8">
        <f t="shared" si="559"/>
        <v>0.10581266511665076</v>
      </c>
      <c r="AL1005" s="8">
        <f t="shared" si="572"/>
        <v>4.5349901492733142E-3</v>
      </c>
      <c r="AM1005" s="17">
        <f t="shared" si="536"/>
        <v>14.387060835542057</v>
      </c>
      <c r="AN1005" s="13">
        <f t="shared" si="537"/>
        <v>8.3625744016353245</v>
      </c>
      <c r="AO1005" s="13">
        <f t="shared" si="538"/>
        <v>9.0632737085898771</v>
      </c>
      <c r="AP1005" s="13">
        <f t="shared" si="539"/>
        <v>9.1365110225910122</v>
      </c>
      <c r="AQ1005" s="13">
        <f t="shared" si="540"/>
        <v>14.261959926805243</v>
      </c>
      <c r="AR1005" s="13">
        <f t="shared" si="541"/>
        <v>6.8159030498322029</v>
      </c>
      <c r="AS1005" s="13">
        <f t="shared" si="542"/>
        <v>10.480242790760496</v>
      </c>
      <c r="AT1005" s="13">
        <f t="shared" si="543"/>
        <v>9.4506645201457964</v>
      </c>
      <c r="AU1005" s="13">
        <f t="shared" si="571"/>
        <v>220.50764545987818</v>
      </c>
      <c r="AV1005" s="18">
        <f t="shared" si="560"/>
        <v>2</v>
      </c>
      <c r="AW1005" s="18">
        <f t="shared" si="561"/>
        <v>8</v>
      </c>
      <c r="AX1005" s="18">
        <f t="shared" si="562"/>
        <v>7</v>
      </c>
      <c r="AY1005" s="18">
        <f t="shared" si="563"/>
        <v>6</v>
      </c>
      <c r="AZ1005" s="18">
        <f t="shared" si="564"/>
        <v>3</v>
      </c>
      <c r="BA1005" s="18">
        <f t="shared" si="565"/>
        <v>9</v>
      </c>
      <c r="BB1005" s="18">
        <f t="shared" si="566"/>
        <v>4</v>
      </c>
      <c r="BC1005" s="18">
        <f t="shared" si="567"/>
        <v>5</v>
      </c>
      <c r="BD1005" s="18">
        <f t="shared" si="568"/>
        <v>1</v>
      </c>
      <c r="BE1005" s="8">
        <f t="shared" si="570"/>
        <v>8.8581911795991078E-3</v>
      </c>
    </row>
    <row r="1006" spans="1:57" x14ac:dyDescent="0.25">
      <c r="A1006" t="str">
        <f t="shared" si="569"/>
        <v/>
      </c>
      <c r="B1006" s="1">
        <v>44217</v>
      </c>
      <c r="C1006" s="9">
        <f t="shared" si="544"/>
        <v>0.24737210868955428</v>
      </c>
      <c r="D1006" s="9">
        <f t="shared" si="545"/>
        <v>0</v>
      </c>
      <c r="E1006" s="9">
        <f t="shared" si="546"/>
        <v>0</v>
      </c>
      <c r="F1006" s="9">
        <f t="shared" si="547"/>
        <v>0</v>
      </c>
      <c r="G1006" s="9">
        <f t="shared" si="548"/>
        <v>0.23925440342385187</v>
      </c>
      <c r="H1006" s="9">
        <f t="shared" si="549"/>
        <v>0</v>
      </c>
      <c r="I1006" s="9">
        <f t="shared" si="550"/>
        <v>0.2460419544326212</v>
      </c>
      <c r="J1006" s="9">
        <f t="shared" si="551"/>
        <v>0.2673315334539727</v>
      </c>
      <c r="K1006" s="9">
        <v>0</v>
      </c>
      <c r="L1006" s="8">
        <f>+VLOOKUP($B1006,NIFTY_50!$B$3:$I$1238,8,0)</f>
        <v>-3.711240243910785E-3</v>
      </c>
      <c r="M1006" s="8">
        <f>+VLOOKUP($B1006,NIFTY_BANK!$B$3:$I$41238,8,0)</f>
        <v>-1.0963719552478657E-2</v>
      </c>
      <c r="N1006" s="8">
        <f>+VLOOKUP($B1006,NIFTY_IT!$B$3:$I$1238,8,0)</f>
        <v>-6.3693430053681777E-3</v>
      </c>
      <c r="O1006" s="8">
        <f>+VLOOKUP($B1006,NIFTY_PHARMA!$B$3:$I$1238,8,0)</f>
        <v>-1.4288265068471917E-2</v>
      </c>
      <c r="P1006" s="8">
        <f>+VLOOKUP($B1006,NIFTY_FMCG!$B$3:$I$1238,8,0)</f>
        <v>-3.2061516499615195E-3</v>
      </c>
      <c r="Q1006" s="8">
        <f>+VLOOKUP($B1006,NIFTY_METAL!$B$3:$I$1238,8,0)</f>
        <v>-2.1777713121908571E-2</v>
      </c>
      <c r="R1006" s="8">
        <f>+VLOOKUP($B1006,NIFTY_ENERGY!$B$3:$I$1238,8,0)</f>
        <v>-1.8270886493182426E-3</v>
      </c>
      <c r="S1006" s="8">
        <f>+VLOOKUP($B1006,NIFTY_AUTO!$B$3:$I$1238,8,0)</f>
        <v>-1.4465848542566384E-4</v>
      </c>
      <c r="T1006" s="8">
        <f>+VLOOKUP($B1006,EBBETF0430!$B$3:$I$1238,8,0)</f>
        <v>4.0511501743756284E-4</v>
      </c>
      <c r="U1006" s="8">
        <f>+VLOOKUP($B1006,NIFTY_50!$B$63:$K$1238,10,0)</f>
        <v>0.2229607681249921</v>
      </c>
      <c r="V1006" s="8">
        <f>+VLOOKUP($B1006,NIFTY_BANK!$B$63:$K$1238,10,0)</f>
        <v>0.3149156599927283</v>
      </c>
      <c r="W1006" s="8">
        <f>+VLOOKUP($B1006,NIFTY_IT!$B$63:$K$1238,10,0)</f>
        <v>0.2288906130944639</v>
      </c>
      <c r="X1006" s="8">
        <f>+VLOOKUP($B1006,NIFTY_PHARMA!$B$63:$K$1238,10,0)</f>
        <v>0.10380725112035516</v>
      </c>
      <c r="Y1006" s="8">
        <f>+VLOOKUP($B1006,NIFTY_FMCG!$B$63:$K$1238,10,0)</f>
        <v>0.15822202523655071</v>
      </c>
      <c r="Z1006" s="8">
        <f>+VLOOKUP($B1006,NIFTY_METAL!$B$63:$K$1238,10,0)</f>
        <v>0.37623823168235782</v>
      </c>
      <c r="AA1006" s="8">
        <f>+VLOOKUP($B1006,NIFTY_ENERGY!$B$63:$K$1238,10,0)</f>
        <v>0.17866753457659201</v>
      </c>
      <c r="AB1006" s="8">
        <f>+VLOOKUP($B1006,NIFTY_AUTO!$B$63:$K$1238,10,0)</f>
        <v>0.28082301781434538</v>
      </c>
      <c r="AC1006" s="8">
        <f>+VLOOKUP($B1006,EBBETF0430!$B$63:$K$1238,10,0)</f>
        <v>-0.24191335032346595</v>
      </c>
      <c r="AD1006" s="16">
        <f t="shared" si="552"/>
        <v>6.9867465504718021E-2</v>
      </c>
      <c r="AE1006" s="8">
        <f t="shared" si="553"/>
        <v>0.12050117558392902</v>
      </c>
      <c r="AF1006" s="8">
        <f t="shared" si="554"/>
        <v>0.11077198679640242</v>
      </c>
      <c r="AG1006" s="8">
        <f t="shared" si="555"/>
        <v>0.11049305272803908</v>
      </c>
      <c r="AH1006" s="8">
        <f t="shared" si="556"/>
        <v>7.0347646791617868E-2</v>
      </c>
      <c r="AI1006" s="8">
        <f t="shared" si="557"/>
        <v>0.14925066660681033</v>
      </c>
      <c r="AJ1006" s="8">
        <f t="shared" si="558"/>
        <v>9.5414622552309952E-2</v>
      </c>
      <c r="AK1006" s="8">
        <f t="shared" si="559"/>
        <v>0.10293900493682667</v>
      </c>
      <c r="AL1006" s="8">
        <f t="shared" si="572"/>
        <v>4.5532906514641723E-3</v>
      </c>
      <c r="AM1006" s="17">
        <f t="shared" si="536"/>
        <v>14.312813450095335</v>
      </c>
      <c r="AN1006" s="13">
        <f t="shared" si="537"/>
        <v>8.2986742258252946</v>
      </c>
      <c r="AO1006" s="13">
        <f t="shared" si="538"/>
        <v>9.0275531650252692</v>
      </c>
      <c r="AP1006" s="13">
        <f t="shared" si="539"/>
        <v>9.0503427619231367</v>
      </c>
      <c r="AQ1006" s="13">
        <f t="shared" si="540"/>
        <v>14.21511657614044</v>
      </c>
      <c r="AR1006" s="13">
        <f t="shared" si="541"/>
        <v>6.7001375788452915</v>
      </c>
      <c r="AS1006" s="13">
        <f t="shared" si="542"/>
        <v>10.480573870653439</v>
      </c>
      <c r="AT1006" s="13">
        <f t="shared" si="543"/>
        <v>9.7144906404884779</v>
      </c>
      <c r="AU1006" s="13">
        <f t="shared" si="571"/>
        <v>219.62138517962529</v>
      </c>
      <c r="AV1006" s="18">
        <f t="shared" si="560"/>
        <v>2</v>
      </c>
      <c r="AW1006" s="18">
        <f t="shared" si="561"/>
        <v>8</v>
      </c>
      <c r="AX1006" s="18">
        <f t="shared" si="562"/>
        <v>7</v>
      </c>
      <c r="AY1006" s="18">
        <f t="shared" si="563"/>
        <v>6</v>
      </c>
      <c r="AZ1006" s="18">
        <f t="shared" si="564"/>
        <v>3</v>
      </c>
      <c r="BA1006" s="18">
        <f t="shared" si="565"/>
        <v>9</v>
      </c>
      <c r="BB1006" s="18">
        <f t="shared" si="566"/>
        <v>4</v>
      </c>
      <c r="BC1006" s="18">
        <f t="shared" si="567"/>
        <v>5</v>
      </c>
      <c r="BD1006" s="18">
        <f t="shared" si="568"/>
        <v>1</v>
      </c>
      <c r="BE1006" s="8">
        <f t="shared" si="570"/>
        <v>-2.1753286672619295E-3</v>
      </c>
    </row>
    <row r="1007" spans="1:57" x14ac:dyDescent="0.25">
      <c r="A1007" t="str">
        <f t="shared" si="569"/>
        <v/>
      </c>
      <c r="B1007" s="1">
        <v>44218</v>
      </c>
      <c r="C1007" s="9">
        <f t="shared" si="544"/>
        <v>0.24479272050327652</v>
      </c>
      <c r="D1007" s="9">
        <f t="shared" si="545"/>
        <v>0</v>
      </c>
      <c r="E1007" s="9">
        <f t="shared" si="546"/>
        <v>0</v>
      </c>
      <c r="F1007" s="9">
        <f t="shared" si="547"/>
        <v>0</v>
      </c>
      <c r="G1007" s="9">
        <f t="shared" si="548"/>
        <v>0.2399117078576033</v>
      </c>
      <c r="H1007" s="9">
        <f t="shared" si="549"/>
        <v>0</v>
      </c>
      <c r="I1007" s="9">
        <f t="shared" si="550"/>
        <v>0.24289416438030736</v>
      </c>
      <c r="J1007" s="9">
        <f t="shared" si="551"/>
        <v>0.27240140725881279</v>
      </c>
      <c r="K1007" s="9">
        <v>0</v>
      </c>
      <c r="L1007" s="8">
        <f>+VLOOKUP($B1007,NIFTY_50!$B$3:$I$1238,8,0)</f>
        <v>-1.4972224792414224E-2</v>
      </c>
      <c r="M1007" s="8">
        <f>+VLOOKUP($B1007,NIFTY_BANK!$B$3:$I$41238,8,0)</f>
        <v>-3.1679037123798826E-2</v>
      </c>
      <c r="N1007" s="8">
        <f>+VLOOKUP($B1007,NIFTY_IT!$B$3:$I$1238,8,0)</f>
        <v>1.4971559707599447E-3</v>
      </c>
      <c r="O1007" s="8">
        <f>+VLOOKUP($B1007,NIFTY_PHARMA!$B$3:$I$1238,8,0)</f>
        <v>-1.2211401771263564E-2</v>
      </c>
      <c r="P1007" s="8">
        <f>+VLOOKUP($B1007,NIFTY_FMCG!$B$3:$I$1238,8,0)</f>
        <v>-1.8582726471543243E-3</v>
      </c>
      <c r="Q1007" s="8">
        <f>+VLOOKUP($B1007,NIFTY_METAL!$B$3:$I$1238,8,0)</f>
        <v>-3.8873934833365653E-2</v>
      </c>
      <c r="R1007" s="8">
        <f>+VLOOKUP($B1007,NIFTY_ENERGY!$B$3:$I$1238,8,0)</f>
        <v>-1.7327909406376185E-2</v>
      </c>
      <c r="S1007" s="8">
        <f>+VLOOKUP($B1007,NIFTY_AUTO!$B$3:$I$1238,8,0)</f>
        <v>1.4284680861324839E-2</v>
      </c>
      <c r="T1007" s="8">
        <f>+VLOOKUP($B1007,EBBETF0430!$B$3:$I$1238,8,0)</f>
        <v>-1.672623554060948E-4</v>
      </c>
      <c r="U1007" s="8">
        <f>+VLOOKUP($B1007,NIFTY_50!$B$63:$K$1238,10,0)</f>
        <v>0.2212954897920163</v>
      </c>
      <c r="V1007" s="8">
        <f>+VLOOKUP($B1007,NIFTY_BANK!$B$63:$K$1238,10,0)</f>
        <v>0.29456562597999203</v>
      </c>
      <c r="W1007" s="8">
        <f>+VLOOKUP($B1007,NIFTY_IT!$B$63:$K$1238,10,0)</f>
        <v>0.2456561505146786</v>
      </c>
      <c r="X1007" s="8">
        <f>+VLOOKUP($B1007,NIFTY_PHARMA!$B$63:$K$1238,10,0)</f>
        <v>0.10657126219759672</v>
      </c>
      <c r="Y1007" s="8">
        <f>+VLOOKUP($B1007,NIFTY_FMCG!$B$63:$K$1238,10,0)</f>
        <v>0.15636287916062819</v>
      </c>
      <c r="Z1007" s="8">
        <f>+VLOOKUP($B1007,NIFTY_METAL!$B$63:$K$1238,10,0)</f>
        <v>0.37068142775338786</v>
      </c>
      <c r="AA1007" s="8">
        <f>+VLOOKUP($B1007,NIFTY_ENERGY!$B$63:$K$1238,10,0)</f>
        <v>0.1810900232320225</v>
      </c>
      <c r="AB1007" s="8">
        <f>+VLOOKUP($B1007,NIFTY_AUTO!$B$63:$K$1238,10,0)</f>
        <v>0.3423946691516726</v>
      </c>
      <c r="AC1007" s="8">
        <f>+VLOOKUP($B1007,EBBETF0430!$B$63:$K$1238,10,0)</f>
        <v>-0.41634112427994441</v>
      </c>
      <c r="AD1007" s="16">
        <f t="shared" si="552"/>
        <v>7.0205656511593412E-2</v>
      </c>
      <c r="AE1007" s="8">
        <f t="shared" si="553"/>
        <v>0.12405644209521979</v>
      </c>
      <c r="AF1007" s="8">
        <f t="shared" si="554"/>
        <v>0.10969128365765447</v>
      </c>
      <c r="AG1007" s="8">
        <f t="shared" si="555"/>
        <v>0.11015341952889175</v>
      </c>
      <c r="AH1007" s="8">
        <f t="shared" si="556"/>
        <v>7.0427309703548727E-2</v>
      </c>
      <c r="AI1007" s="8">
        <f t="shared" si="557"/>
        <v>0.15035158293549974</v>
      </c>
      <c r="AJ1007" s="8">
        <f t="shared" si="558"/>
        <v>9.4967315389060114E-2</v>
      </c>
      <c r="AK1007" s="8">
        <f t="shared" si="559"/>
        <v>9.6640263126852172E-2</v>
      </c>
      <c r="AL1007" s="8">
        <f t="shared" si="572"/>
        <v>4.5563335614313017E-3</v>
      </c>
      <c r="AM1007" s="17">
        <f t="shared" si="536"/>
        <v>14.243866515725339</v>
      </c>
      <c r="AN1007" s="13">
        <f t="shared" si="537"/>
        <v>8.0608470073037228</v>
      </c>
      <c r="AO1007" s="13">
        <f t="shared" si="538"/>
        <v>9.1164946443784096</v>
      </c>
      <c r="AP1007" s="13">
        <f t="shared" si="539"/>
        <v>9.0782474504816761</v>
      </c>
      <c r="AQ1007" s="13">
        <f t="shared" si="540"/>
        <v>14.199037336642883</v>
      </c>
      <c r="AR1007" s="13">
        <f t="shared" si="541"/>
        <v>6.6510772981285884</v>
      </c>
      <c r="AS1007" s="13">
        <f t="shared" si="542"/>
        <v>10.529938599435194</v>
      </c>
      <c r="AT1007" s="13">
        <f t="shared" si="543"/>
        <v>10.347653945099236</v>
      </c>
      <c r="AU1007" s="13">
        <f t="shared" si="571"/>
        <v>219.47471284035348</v>
      </c>
      <c r="AV1007" s="18">
        <f t="shared" si="560"/>
        <v>2</v>
      </c>
      <c r="AW1007" s="18">
        <f t="shared" si="561"/>
        <v>8</v>
      </c>
      <c r="AX1007" s="18">
        <f t="shared" si="562"/>
        <v>6</v>
      </c>
      <c r="AY1007" s="18">
        <f t="shared" si="563"/>
        <v>7</v>
      </c>
      <c r="AZ1007" s="18">
        <f t="shared" si="564"/>
        <v>3</v>
      </c>
      <c r="BA1007" s="18">
        <f t="shared" si="565"/>
        <v>9</v>
      </c>
      <c r="BB1007" s="18">
        <f t="shared" si="566"/>
        <v>4</v>
      </c>
      <c r="BC1007" s="18">
        <f t="shared" si="567"/>
        <v>5</v>
      </c>
      <c r="BD1007" s="18">
        <f t="shared" si="568"/>
        <v>1</v>
      </c>
      <c r="BE1007" s="8">
        <f t="shared" si="570"/>
        <v>-4.5929577892849134E-3</v>
      </c>
    </row>
    <row r="1008" spans="1:57" x14ac:dyDescent="0.25">
      <c r="A1008" t="str">
        <f t="shared" si="569"/>
        <v/>
      </c>
      <c r="B1008" s="1">
        <v>44221</v>
      </c>
      <c r="C1008" s="9">
        <f t="shared" si="544"/>
        <v>0.24572496075342845</v>
      </c>
      <c r="D1008" s="9">
        <f t="shared" si="545"/>
        <v>0</v>
      </c>
      <c r="E1008" s="9">
        <f t="shared" si="546"/>
        <v>0</v>
      </c>
      <c r="F1008" s="9">
        <f t="shared" si="547"/>
        <v>0</v>
      </c>
      <c r="G1008" s="9">
        <f t="shared" si="548"/>
        <v>0.24129783607164801</v>
      </c>
      <c r="H1008" s="9">
        <f t="shared" si="549"/>
        <v>0</v>
      </c>
      <c r="I1008" s="9">
        <f t="shared" si="550"/>
        <v>0.23914563921138121</v>
      </c>
      <c r="J1008" s="9">
        <f t="shared" si="551"/>
        <v>0.27383156396354236</v>
      </c>
      <c r="K1008" s="9">
        <v>0</v>
      </c>
      <c r="L1008" s="8">
        <f>+VLOOKUP($B1008,NIFTY_50!$B$3:$I$1238,8,0)</f>
        <v>-9.2541695948343827E-3</v>
      </c>
      <c r="M1008" s="8">
        <f>+VLOOKUP($B1008,NIFTY_BANK!$B$3:$I$41238,8,0)</f>
        <v>9.9944653442318732E-4</v>
      </c>
      <c r="N1008" s="8">
        <f>+VLOOKUP($B1008,NIFTY_IT!$B$3:$I$1238,8,0)</f>
        <v>-1.7608697703828891E-2</v>
      </c>
      <c r="O1008" s="8">
        <f>+VLOOKUP($B1008,NIFTY_PHARMA!$B$3:$I$1238,8,0)</f>
        <v>1.7114358839428689E-2</v>
      </c>
      <c r="P1008" s="8">
        <f>+VLOOKUP($B1008,NIFTY_FMCG!$B$3:$I$1238,8,0)</f>
        <v>-7.3104213439907362E-3</v>
      </c>
      <c r="Q1008" s="8">
        <f>+VLOOKUP($B1008,NIFTY_METAL!$B$3:$I$1238,8,0)</f>
        <v>1.5163471506598469E-3</v>
      </c>
      <c r="R1008" s="8">
        <f>+VLOOKUP($B1008,NIFTY_ENERGY!$B$3:$I$1238,8,0)</f>
        <v>-2.8244823230860194E-2</v>
      </c>
      <c r="S1008" s="8">
        <f>+VLOOKUP($B1008,NIFTY_AUTO!$B$3:$I$1238,8,0)</f>
        <v>-7.8310360075505292E-3</v>
      </c>
      <c r="T1008" s="8">
        <f>+VLOOKUP($B1008,EBBETF0430!$B$3:$I$1238,8,0)</f>
        <v>3.6099493726626797E-4</v>
      </c>
      <c r="U1008" s="8">
        <f>+VLOOKUP($B1008,NIFTY_50!$B$63:$K$1238,10,0)</f>
        <v>0.19761299981496117</v>
      </c>
      <c r="V1008" s="8">
        <f>+VLOOKUP($B1008,NIFTY_BANK!$B$63:$K$1238,10,0)</f>
        <v>0.25954904216879626</v>
      </c>
      <c r="W1008" s="8">
        <f>+VLOOKUP($B1008,NIFTY_IT!$B$63:$K$1238,10,0)</f>
        <v>0.23782547066601967</v>
      </c>
      <c r="X1008" s="8">
        <f>+VLOOKUP($B1008,NIFTY_PHARMA!$B$63:$K$1238,10,0)</f>
        <v>0.10817443426139084</v>
      </c>
      <c r="Y1008" s="8">
        <f>+VLOOKUP($B1008,NIFTY_FMCG!$B$63:$K$1238,10,0)</f>
        <v>0.13310369749069229</v>
      </c>
      <c r="Z1008" s="8">
        <f>+VLOOKUP($B1008,NIFTY_METAL!$B$63:$K$1238,10,0)</f>
        <v>0.37156721478216648</v>
      </c>
      <c r="AA1008" s="8">
        <f>+VLOOKUP($B1008,NIFTY_ENERGY!$B$63:$K$1238,10,0)</f>
        <v>0.13693165449338229</v>
      </c>
      <c r="AB1008" s="8">
        <f>+VLOOKUP($B1008,NIFTY_AUTO!$B$63:$K$1238,10,0)</f>
        <v>0.31559203848360484</v>
      </c>
      <c r="AC1008" s="8">
        <f>+VLOOKUP($B1008,EBBETF0430!$B$63:$K$1238,10,0)</f>
        <v>-0.98530502256105545</v>
      </c>
      <c r="AD1008" s="16">
        <f t="shared" si="552"/>
        <v>7.0933281899633688E-2</v>
      </c>
      <c r="AE1008" s="8">
        <f t="shared" si="553"/>
        <v>0.12161544463682053</v>
      </c>
      <c r="AF1008" s="8">
        <f t="shared" si="554"/>
        <v>0.11071517425341916</v>
      </c>
      <c r="AG1008" s="8">
        <f t="shared" si="555"/>
        <v>0.11034834289116353</v>
      </c>
      <c r="AH1008" s="8">
        <f t="shared" si="556"/>
        <v>7.0247705716281403E-2</v>
      </c>
      <c r="AI1008" s="8">
        <f t="shared" si="557"/>
        <v>0.15033359962688195</v>
      </c>
      <c r="AJ1008" s="8">
        <f t="shared" si="558"/>
        <v>9.9573392647981027E-2</v>
      </c>
      <c r="AK1008" s="8">
        <f t="shared" si="559"/>
        <v>9.7156399404064717E-2</v>
      </c>
      <c r="AL1008" s="8">
        <f t="shared" si="572"/>
        <v>4.5705471102517152E-3</v>
      </c>
      <c r="AM1008" s="17">
        <f t="shared" si="536"/>
        <v>14.097754583172108</v>
      </c>
      <c r="AN1008" s="13">
        <f t="shared" si="537"/>
        <v>8.2226398381085062</v>
      </c>
      <c r="AO1008" s="13">
        <f t="shared" si="538"/>
        <v>9.0321855765775254</v>
      </c>
      <c r="AP1008" s="13">
        <f t="shared" si="539"/>
        <v>9.0622113010459895</v>
      </c>
      <c r="AQ1008" s="13">
        <f t="shared" si="540"/>
        <v>14.235340354585114</v>
      </c>
      <c r="AR1008" s="13">
        <f t="shared" si="541"/>
        <v>6.6518729178436082</v>
      </c>
      <c r="AS1008" s="13">
        <f t="shared" si="542"/>
        <v>10.04284350876013</v>
      </c>
      <c r="AT1008" s="13">
        <f t="shared" si="543"/>
        <v>10.292682789129412</v>
      </c>
      <c r="AU1008" s="13">
        <f t="shared" si="571"/>
        <v>218.79218742916024</v>
      </c>
      <c r="AV1008" s="18">
        <f t="shared" si="560"/>
        <v>3</v>
      </c>
      <c r="AW1008" s="18">
        <f t="shared" si="561"/>
        <v>8</v>
      </c>
      <c r="AX1008" s="18">
        <f t="shared" si="562"/>
        <v>7</v>
      </c>
      <c r="AY1008" s="18">
        <f t="shared" si="563"/>
        <v>6</v>
      </c>
      <c r="AZ1008" s="18">
        <f t="shared" si="564"/>
        <v>2</v>
      </c>
      <c r="BA1008" s="18">
        <f t="shared" si="565"/>
        <v>9</v>
      </c>
      <c r="BB1008" s="18">
        <f t="shared" si="566"/>
        <v>5</v>
      </c>
      <c r="BC1008" s="18">
        <f t="shared" si="567"/>
        <v>4</v>
      </c>
      <c r="BD1008" s="18">
        <f t="shared" si="568"/>
        <v>1</v>
      </c>
      <c r="BE1008" s="8">
        <f t="shared" si="570"/>
        <v>-1.3012896986394186E-2</v>
      </c>
    </row>
    <row r="1009" spans="1:57" x14ac:dyDescent="0.25">
      <c r="A1009" t="str">
        <f t="shared" si="569"/>
        <v/>
      </c>
      <c r="B1009" s="1">
        <v>44223</v>
      </c>
      <c r="C1009" s="9">
        <f t="shared" si="544"/>
        <v>0.24444982405658111</v>
      </c>
      <c r="D1009" s="9">
        <f t="shared" si="545"/>
        <v>0</v>
      </c>
      <c r="E1009" s="9">
        <f t="shared" si="546"/>
        <v>0</v>
      </c>
      <c r="F1009" s="9">
        <f t="shared" si="547"/>
        <v>0</v>
      </c>
      <c r="G1009" s="9">
        <f t="shared" si="548"/>
        <v>0.24544597909598645</v>
      </c>
      <c r="H1009" s="9">
        <f t="shared" si="549"/>
        <v>0</v>
      </c>
      <c r="I1009" s="9">
        <f t="shared" si="550"/>
        <v>0.23834260543514077</v>
      </c>
      <c r="J1009" s="9">
        <f t="shared" si="551"/>
        <v>0.27176159141229173</v>
      </c>
      <c r="K1009" s="9">
        <v>0</v>
      </c>
      <c r="L1009" s="8">
        <f>+VLOOKUP($B1009,NIFTY_50!$B$3:$I$1238,8,0)</f>
        <v>-1.9060461131126694E-2</v>
      </c>
      <c r="M1009" s="8">
        <f>+VLOOKUP($B1009,NIFTY_BANK!$B$3:$I$41238,8,0)</f>
        <v>-2.9291566234165956E-2</v>
      </c>
      <c r="N1009" s="8">
        <f>+VLOOKUP($B1009,NIFTY_IT!$B$3:$I$1238,8,0)</f>
        <v>-6.0714820948918335E-3</v>
      </c>
      <c r="O1009" s="8">
        <f>+VLOOKUP($B1009,NIFTY_PHARMA!$B$3:$I$1238,8,0)</f>
        <v>-2.0447998118643063E-2</v>
      </c>
      <c r="P1009" s="8">
        <f>+VLOOKUP($B1009,NIFTY_FMCG!$B$3:$I$1238,8,0)</f>
        <v>3.0077299830888471E-3</v>
      </c>
      <c r="Q1009" s="8">
        <f>+VLOOKUP($B1009,NIFTY_METAL!$B$3:$I$1238,8,0)</f>
        <v>-2.5198139879802794E-2</v>
      </c>
      <c r="R1009" s="8">
        <f>+VLOOKUP($B1009,NIFTY_ENERGY!$B$3:$I$1238,8,0)</f>
        <v>-1.7254640091102447E-2</v>
      </c>
      <c r="S1009" s="8">
        <f>+VLOOKUP($B1009,NIFTY_AUTO!$B$3:$I$1238,8,0)</f>
        <v>-2.1397421766425451E-2</v>
      </c>
      <c r="T1009" s="8">
        <f>+VLOOKUP($B1009,EBBETF0430!$B$3:$I$1238,8,0)</f>
        <v>-9.505703422054701E-4</v>
      </c>
      <c r="U1009" s="8">
        <f>+VLOOKUP($B1009,NIFTY_50!$B$63:$K$1238,10,0)</f>
        <v>0.19079081980630197</v>
      </c>
      <c r="V1009" s="8">
        <f>+VLOOKUP($B1009,NIFTY_BANK!$B$63:$K$1238,10,0)</f>
        <v>0.24974930362116998</v>
      </c>
      <c r="W1009" s="8">
        <f>+VLOOKUP($B1009,NIFTY_IT!$B$63:$K$1238,10,0)</f>
        <v>0.24290855970360825</v>
      </c>
      <c r="X1009" s="8">
        <f>+VLOOKUP($B1009,NIFTY_PHARMA!$B$63:$K$1238,10,0)</f>
        <v>0.10338098559836117</v>
      </c>
      <c r="Y1009" s="8">
        <f>+VLOOKUP($B1009,NIFTY_FMCG!$B$63:$K$1238,10,0)</f>
        <v>0.14469365335363515</v>
      </c>
      <c r="Z1009" s="8">
        <f>+VLOOKUP($B1009,NIFTY_METAL!$B$63:$K$1238,10,0)</f>
        <v>0.35666982024597926</v>
      </c>
      <c r="AA1009" s="8">
        <f>+VLOOKUP($B1009,NIFTY_ENERGY!$B$63:$K$1238,10,0)</f>
        <v>0.12217505710307841</v>
      </c>
      <c r="AB1009" s="8">
        <f>+VLOOKUP($B1009,NIFTY_AUTO!$B$63:$K$1238,10,0)</f>
        <v>0.28872550566406874</v>
      </c>
      <c r="AC1009" s="8">
        <f>+VLOOKUP($B1009,EBBETF0430!$B$63:$K$1238,10,0)</f>
        <v>-0.10564529286996249</v>
      </c>
      <c r="AD1009" s="16">
        <f t="shared" si="552"/>
        <v>7.243899440041586E-2</v>
      </c>
      <c r="AE1009" s="8">
        <f t="shared" si="553"/>
        <v>0.12343777769106205</v>
      </c>
      <c r="AF1009" s="8">
        <f t="shared" si="554"/>
        <v>0.11028326440132445</v>
      </c>
      <c r="AG1009" s="8">
        <f t="shared" si="555"/>
        <v>0.1111196684335993</v>
      </c>
      <c r="AH1009" s="8">
        <f t="shared" si="556"/>
        <v>6.963142973759659E-2</v>
      </c>
      <c r="AI1009" s="8">
        <f t="shared" si="557"/>
        <v>0.15211286553886874</v>
      </c>
      <c r="AJ1009" s="8">
        <f t="shared" si="558"/>
        <v>0.10123059641795408</v>
      </c>
      <c r="AK1009" s="8">
        <f t="shared" si="559"/>
        <v>0.10038152096582638</v>
      </c>
      <c r="AL1009" s="8">
        <f t="shared" si="572"/>
        <v>4.6675321358463657E-3</v>
      </c>
      <c r="AM1009" s="17">
        <f t="shared" si="536"/>
        <v>13.804719519881397</v>
      </c>
      <c r="AN1009" s="13">
        <f t="shared" si="537"/>
        <v>8.1012475978203593</v>
      </c>
      <c r="AO1009" s="13">
        <f t="shared" si="538"/>
        <v>9.0675589395047904</v>
      </c>
      <c r="AP1009" s="13">
        <f t="shared" si="539"/>
        <v>8.9993069102573884</v>
      </c>
      <c r="AQ1009" s="13">
        <f t="shared" si="540"/>
        <v>14.361330849710571</v>
      </c>
      <c r="AR1009" s="13">
        <f t="shared" si="541"/>
        <v>6.5740658849430087</v>
      </c>
      <c r="AS1009" s="13">
        <f t="shared" si="542"/>
        <v>9.8784363165387994</v>
      </c>
      <c r="AT1009" s="13">
        <f t="shared" si="543"/>
        <v>9.9619929084401644</v>
      </c>
      <c r="AU1009" s="13">
        <f t="shared" si="571"/>
        <v>214.24598072288785</v>
      </c>
      <c r="AV1009" s="18">
        <f t="shared" si="560"/>
        <v>3</v>
      </c>
      <c r="AW1009" s="18">
        <f t="shared" si="561"/>
        <v>8</v>
      </c>
      <c r="AX1009" s="18">
        <f t="shared" si="562"/>
        <v>6</v>
      </c>
      <c r="AY1009" s="18">
        <f t="shared" si="563"/>
        <v>7</v>
      </c>
      <c r="AZ1009" s="18">
        <f t="shared" si="564"/>
        <v>2</v>
      </c>
      <c r="BA1009" s="18">
        <f t="shared" si="565"/>
        <v>9</v>
      </c>
      <c r="BB1009" s="18">
        <f t="shared" si="566"/>
        <v>5</v>
      </c>
      <c r="BC1009" s="18">
        <f t="shared" si="567"/>
        <v>4</v>
      </c>
      <c r="BD1009" s="18">
        <f t="shared" si="568"/>
        <v>1</v>
      </c>
      <c r="BE1009" s="8">
        <f t="shared" si="570"/>
        <v>-1.3943533728018046E-2</v>
      </c>
    </row>
    <row r="1010" spans="1:57" x14ac:dyDescent="0.25">
      <c r="A1010" t="str">
        <f t="shared" si="569"/>
        <v/>
      </c>
      <c r="B1010" s="1">
        <v>44224</v>
      </c>
      <c r="C1010" s="9">
        <f t="shared" si="544"/>
        <v>0.24437631518515232</v>
      </c>
      <c r="D1010" s="9">
        <f t="shared" si="545"/>
        <v>0</v>
      </c>
      <c r="E1010" s="9">
        <f t="shared" si="546"/>
        <v>0</v>
      </c>
      <c r="F1010" s="9">
        <f t="shared" si="547"/>
        <v>0</v>
      </c>
      <c r="G1010" s="9">
        <f t="shared" si="548"/>
        <v>0.24329190664115755</v>
      </c>
      <c r="H1010" s="9">
        <f t="shared" si="549"/>
        <v>0</v>
      </c>
      <c r="I1010" s="9">
        <f t="shared" si="550"/>
        <v>0.24051840301580898</v>
      </c>
      <c r="J1010" s="9">
        <f t="shared" si="551"/>
        <v>0.27181337515788118</v>
      </c>
      <c r="K1010" s="9">
        <v>0</v>
      </c>
      <c r="L1010" s="8">
        <f>+VLOOKUP($B1010,NIFTY_50!$B$3:$I$1238,8,0)</f>
        <v>-1.0735636298550233E-2</v>
      </c>
      <c r="M1010" s="8">
        <f>+VLOOKUP($B1010,NIFTY_BANK!$B$3:$I$41238,8,0)</f>
        <v>2.4352351281429208E-3</v>
      </c>
      <c r="N1010" s="8">
        <f>+VLOOKUP($B1010,NIFTY_IT!$B$3:$I$1238,8,0)</f>
        <v>-2.1807208886036489E-2</v>
      </c>
      <c r="O1010" s="8">
        <f>+VLOOKUP($B1010,NIFTY_PHARMA!$B$3:$I$1238,8,0)</f>
        <v>-7.9986235485238755E-3</v>
      </c>
      <c r="P1010" s="8">
        <f>+VLOOKUP($B1010,NIFTY_FMCG!$B$3:$I$1238,8,0)</f>
        <v>-1.9122614595669996E-2</v>
      </c>
      <c r="Q1010" s="8">
        <f>+VLOOKUP($B1010,NIFTY_METAL!$B$3:$I$1238,8,0)</f>
        <v>-5.2935209838976816E-3</v>
      </c>
      <c r="R1010" s="8">
        <f>+VLOOKUP($B1010,NIFTY_ENERGY!$B$3:$I$1238,8,0)</f>
        <v>-1.4044858611046429E-3</v>
      </c>
      <c r="S1010" s="8">
        <f>+VLOOKUP($B1010,NIFTY_AUTO!$B$3:$I$1238,8,0)</f>
        <v>-1.0249504174726365E-2</v>
      </c>
      <c r="T1010" s="8">
        <f>+VLOOKUP($B1010,EBBETF0430!$B$3:$I$1238,8,0)</f>
        <v>-5.5502695845210948E-4</v>
      </c>
      <c r="U1010" s="8">
        <f>+VLOOKUP($B1010,NIFTY_50!$B$63:$K$1238,10,0)</f>
        <v>0.18394197484319852</v>
      </c>
      <c r="V1010" s="8">
        <f>+VLOOKUP($B1010,NIFTY_BANK!$B$63:$K$1238,10,0)</f>
        <v>0.26009878797941233</v>
      </c>
      <c r="W1010" s="8">
        <f>+VLOOKUP($B1010,NIFTY_IT!$B$63:$K$1238,10,0)</f>
        <v>0.21192271859634659</v>
      </c>
      <c r="X1010" s="8">
        <f>+VLOOKUP($B1010,NIFTY_PHARMA!$B$63:$K$1238,10,0)</f>
        <v>0.10421788704792445</v>
      </c>
      <c r="Y1010" s="8">
        <f>+VLOOKUP($B1010,NIFTY_FMCG!$B$63:$K$1238,10,0)</f>
        <v>0.13357852845842255</v>
      </c>
      <c r="Z1010" s="8">
        <f>+VLOOKUP($B1010,NIFTY_METAL!$B$63:$K$1238,10,0)</f>
        <v>0.35983880053733164</v>
      </c>
      <c r="AA1010" s="8">
        <f>+VLOOKUP($B1010,NIFTY_ENERGY!$B$63:$K$1238,10,0)</f>
        <v>0.11802623937400458</v>
      </c>
      <c r="AB1010" s="8">
        <f>+VLOOKUP($B1010,NIFTY_AUTO!$B$63:$K$1238,10,0)</f>
        <v>0.28787077452448462</v>
      </c>
      <c r="AC1010" s="8">
        <f>+VLOOKUP($B1010,EBBETF0430!$B$63:$K$1238,10,0)</f>
        <v>0.98179772982922597</v>
      </c>
      <c r="AD1010" s="16">
        <f t="shared" si="552"/>
        <v>7.3282330182740163E-2</v>
      </c>
      <c r="AE1010" s="8">
        <f t="shared" si="553"/>
        <v>0.12306802984241223</v>
      </c>
      <c r="AF1010" s="8">
        <f t="shared" si="554"/>
        <v>0.11314167997706635</v>
      </c>
      <c r="AG1010" s="8">
        <f t="shared" si="555"/>
        <v>0.11105133267809193</v>
      </c>
      <c r="AH1010" s="8">
        <f t="shared" si="556"/>
        <v>7.1873348730224801E-2</v>
      </c>
      <c r="AI1010" s="8">
        <f t="shared" si="557"/>
        <v>0.15193485363972567</v>
      </c>
      <c r="AJ1010" s="8">
        <f t="shared" si="558"/>
        <v>0.10128539547958015</v>
      </c>
      <c r="AK1010" s="8">
        <f t="shared" si="559"/>
        <v>0.10047417419384443</v>
      </c>
      <c r="AL1010" s="8">
        <f t="shared" si="572"/>
        <v>4.6984846245099604E-3</v>
      </c>
      <c r="AM1010" s="17">
        <f t="shared" si="536"/>
        <v>13.64585429402087</v>
      </c>
      <c r="AN1010" s="13">
        <f t="shared" si="537"/>
        <v>8.1255871348594191</v>
      </c>
      <c r="AO1010" s="13">
        <f t="shared" si="538"/>
        <v>8.8384757960346576</v>
      </c>
      <c r="AP1010" s="13">
        <f t="shared" si="539"/>
        <v>9.0048446595299509</v>
      </c>
      <c r="AQ1010" s="13">
        <f t="shared" si="540"/>
        <v>13.913363126483508</v>
      </c>
      <c r="AR1010" s="13">
        <f t="shared" si="541"/>
        <v>6.5817682779439286</v>
      </c>
      <c r="AS1010" s="13">
        <f t="shared" si="542"/>
        <v>9.8730917252685959</v>
      </c>
      <c r="AT1010" s="13">
        <f t="shared" si="543"/>
        <v>9.9528063606743764</v>
      </c>
      <c r="AU1010" s="13">
        <f t="shared" si="571"/>
        <v>212.83457963945074</v>
      </c>
      <c r="AV1010" s="18">
        <f t="shared" si="560"/>
        <v>3</v>
      </c>
      <c r="AW1010" s="18">
        <f t="shared" si="561"/>
        <v>8</v>
      </c>
      <c r="AX1010" s="18">
        <f t="shared" si="562"/>
        <v>7</v>
      </c>
      <c r="AY1010" s="18">
        <f t="shared" si="563"/>
        <v>6</v>
      </c>
      <c r="AZ1010" s="18">
        <f t="shared" si="564"/>
        <v>2</v>
      </c>
      <c r="BA1010" s="18">
        <f t="shared" si="565"/>
        <v>9</v>
      </c>
      <c r="BB1010" s="18">
        <f t="shared" si="566"/>
        <v>5</v>
      </c>
      <c r="BC1010" s="18">
        <f t="shared" si="567"/>
        <v>4</v>
      </c>
      <c r="BD1010" s="18">
        <f t="shared" si="568"/>
        <v>1</v>
      </c>
      <c r="BE1010" s="8">
        <f t="shared" si="570"/>
        <v>-1.0438063651768536E-2</v>
      </c>
    </row>
    <row r="1011" spans="1:57" x14ac:dyDescent="0.25">
      <c r="A1011" t="str">
        <f t="shared" si="569"/>
        <v>Y</v>
      </c>
      <c r="B1011" s="1">
        <v>44225</v>
      </c>
      <c r="C1011" s="9">
        <f t="shared" si="544"/>
        <v>0.25</v>
      </c>
      <c r="D1011" s="9">
        <f t="shared" si="545"/>
        <v>0</v>
      </c>
      <c r="E1011" s="9">
        <f t="shared" si="546"/>
        <v>0</v>
      </c>
      <c r="F1011" s="9">
        <f t="shared" si="547"/>
        <v>0</v>
      </c>
      <c r="G1011" s="9">
        <f t="shared" si="548"/>
        <v>0.25</v>
      </c>
      <c r="H1011" s="9">
        <f t="shared" si="549"/>
        <v>0</v>
      </c>
      <c r="I1011" s="9">
        <f t="shared" si="550"/>
        <v>0.25</v>
      </c>
      <c r="J1011" s="9">
        <f t="shared" si="551"/>
        <v>0</v>
      </c>
      <c r="K1011" s="9">
        <v>0</v>
      </c>
      <c r="L1011" s="8">
        <f>+VLOOKUP($B1011,NIFTY_50!$B$3:$I$1238,8,0)</f>
        <v>-1.3240408031814588E-2</v>
      </c>
      <c r="M1011" s="8">
        <f>+VLOOKUP($B1011,NIFTY_BANK!$B$3:$I$41238,8,0)</f>
        <v>6.8251516059858464E-3</v>
      </c>
      <c r="N1011" s="8">
        <f>+VLOOKUP($B1011,NIFTY_IT!$B$3:$I$1238,8,0)</f>
        <v>-2.5907810878909143E-2</v>
      </c>
      <c r="O1011" s="8">
        <f>+VLOOKUP($B1011,NIFTY_PHARMA!$B$3:$I$1238,8,0)</f>
        <v>-1.8207559727169031E-2</v>
      </c>
      <c r="P1011" s="8">
        <f>+VLOOKUP($B1011,NIFTY_FMCG!$B$3:$I$1238,8,0)</f>
        <v>-1.5012259913132153E-2</v>
      </c>
      <c r="Q1011" s="8">
        <f>+VLOOKUP($B1011,NIFTY_METAL!$B$3:$I$1238,8,0)</f>
        <v>-1.9326981294413792E-2</v>
      </c>
      <c r="R1011" s="8">
        <f>+VLOOKUP($B1011,NIFTY_ENERGY!$B$3:$I$1238,8,0)</f>
        <v>-1.8259694102279789E-2</v>
      </c>
      <c r="S1011" s="8">
        <f>+VLOOKUP($B1011,NIFTY_AUTO!$B$3:$I$1238,8,0)</f>
        <v>-2.893939993666883E-2</v>
      </c>
      <c r="T1011" s="8">
        <f>+VLOOKUP($B1011,EBBETF0430!$B$3:$I$1238,8,0)</f>
        <v>4.9363127506718563E-4</v>
      </c>
      <c r="U1011" s="8">
        <f>+VLOOKUP($B1011,NIFTY_50!$B$63:$K$1238,10,0)</f>
        <v>0.17111592111592122</v>
      </c>
      <c r="V1011" s="8">
        <f>+VLOOKUP($B1011,NIFTY_BANK!$B$63:$K$1238,10,0)</f>
        <v>0.27884305611922566</v>
      </c>
      <c r="W1011" s="8">
        <f>+VLOOKUP($B1011,NIFTY_IT!$B$63:$K$1238,10,0)</f>
        <v>0.17827254103748902</v>
      </c>
      <c r="X1011" s="8">
        <f>+VLOOKUP($B1011,NIFTY_PHARMA!$B$63:$K$1238,10,0)</f>
        <v>8.2401334074485799E-2</v>
      </c>
      <c r="Y1011" s="8">
        <f>+VLOOKUP($B1011,NIFTY_FMCG!$B$63:$K$1238,10,0)</f>
        <v>0.12547721677492363</v>
      </c>
      <c r="Z1011" s="8">
        <f>+VLOOKUP($B1011,NIFTY_METAL!$B$63:$K$1238,10,0)</f>
        <v>0.31312937361324455</v>
      </c>
      <c r="AA1011" s="8">
        <f>+VLOOKUP($B1011,NIFTY_ENERGY!$B$63:$K$1238,10,0)</f>
        <v>7.8876737571606181E-2</v>
      </c>
      <c r="AB1011" s="8">
        <f>+VLOOKUP($B1011,NIFTY_AUTO!$B$63:$K$1238,10,0)</f>
        <v>0.26484197772736651</v>
      </c>
      <c r="AC1011" s="8">
        <f>+VLOOKUP($B1011,EBBETF0430!$B$63:$K$1238,10,0)</f>
        <v>0.42982924226254005</v>
      </c>
      <c r="AD1011" s="16">
        <f t="shared" si="552"/>
        <v>7.48240521122919E-2</v>
      </c>
      <c r="AE1011" s="8">
        <f t="shared" si="553"/>
        <v>0.12251571132855889</v>
      </c>
      <c r="AF1011" s="8">
        <f t="shared" si="554"/>
        <v>0.11677895062201712</v>
      </c>
      <c r="AG1011" s="8">
        <f t="shared" si="555"/>
        <v>0.11279800928626549</v>
      </c>
      <c r="AH1011" s="8">
        <f t="shared" si="556"/>
        <v>7.3193831528109807E-2</v>
      </c>
      <c r="AI1011" s="8">
        <f t="shared" si="557"/>
        <v>0.15349727172895797</v>
      </c>
      <c r="AJ1011" s="8">
        <f t="shared" si="558"/>
        <v>0.1020111176037829</v>
      </c>
      <c r="AK1011" s="8">
        <f t="shared" si="559"/>
        <v>0.10464483539523371</v>
      </c>
      <c r="AL1011" s="8">
        <f t="shared" si="572"/>
        <v>4.7261053468721859E-3</v>
      </c>
      <c r="AM1011" s="17">
        <f t="shared" si="536"/>
        <v>13.364686511487696</v>
      </c>
      <c r="AN1011" s="13">
        <f t="shared" si="537"/>
        <v>8.1622184547272525</v>
      </c>
      <c r="AO1011" s="13">
        <f t="shared" si="538"/>
        <v>8.5631870698747594</v>
      </c>
      <c r="AP1011" s="13">
        <f t="shared" si="539"/>
        <v>8.8654046851318142</v>
      </c>
      <c r="AQ1011" s="13">
        <f t="shared" si="540"/>
        <v>13.662353495129626</v>
      </c>
      <c r="AR1011" s="13">
        <f t="shared" si="541"/>
        <v>6.5147737724340633</v>
      </c>
      <c r="AS1011" s="13">
        <f t="shared" si="542"/>
        <v>9.8028530957190174</v>
      </c>
      <c r="AT1011" s="13">
        <f t="shared" si="543"/>
        <v>9.5561333363762664</v>
      </c>
      <c r="AU1011" s="13">
        <f t="shared" si="571"/>
        <v>211.59071298777044</v>
      </c>
      <c r="AV1011" s="18">
        <f t="shared" si="560"/>
        <v>3</v>
      </c>
      <c r="AW1011" s="18">
        <f t="shared" si="561"/>
        <v>8</v>
      </c>
      <c r="AX1011" s="18">
        <f t="shared" si="562"/>
        <v>7</v>
      </c>
      <c r="AY1011" s="18">
        <f t="shared" si="563"/>
        <v>6</v>
      </c>
      <c r="AZ1011" s="18">
        <f t="shared" si="564"/>
        <v>2</v>
      </c>
      <c r="BA1011" s="18">
        <f t="shared" si="565"/>
        <v>9</v>
      </c>
      <c r="BB1011" s="18">
        <f t="shared" si="566"/>
        <v>4</v>
      </c>
      <c r="BC1011" s="18">
        <f t="shared" si="567"/>
        <v>5</v>
      </c>
      <c r="BD1011" s="18">
        <f t="shared" si="568"/>
        <v>1</v>
      </c>
      <c r="BE1011" s="8">
        <f t="shared" si="570"/>
        <v>-1.9145911900488533E-2</v>
      </c>
    </row>
    <row r="1012" spans="1:57" x14ac:dyDescent="0.25">
      <c r="A1012" t="str">
        <f t="shared" si="569"/>
        <v/>
      </c>
      <c r="B1012" s="1">
        <v>44228</v>
      </c>
      <c r="C1012" s="9">
        <f t="shared" si="544"/>
        <v>0.33885148783322955</v>
      </c>
      <c r="D1012" s="9">
        <f t="shared" si="545"/>
        <v>0</v>
      </c>
      <c r="E1012" s="9">
        <f t="shared" si="546"/>
        <v>0</v>
      </c>
      <c r="F1012" s="9">
        <f t="shared" si="547"/>
        <v>0</v>
      </c>
      <c r="G1012" s="9">
        <f t="shared" si="548"/>
        <v>0.32906333887800421</v>
      </c>
      <c r="H1012" s="9">
        <f t="shared" si="549"/>
        <v>0</v>
      </c>
      <c r="I1012" s="9">
        <f t="shared" si="550"/>
        <v>0.33208517328876608</v>
      </c>
      <c r="J1012" s="9">
        <f t="shared" si="551"/>
        <v>0</v>
      </c>
      <c r="K1012" s="9">
        <v>0</v>
      </c>
      <c r="L1012" s="8">
        <f>+VLOOKUP($B1012,NIFTY_50!$B$3:$I$1238,8,0)</f>
        <v>4.7423466768368838E-2</v>
      </c>
      <c r="M1012" s="8">
        <f>+VLOOKUP($B1012,NIFTY_BANK!$B$3:$I$41238,8,0)</f>
        <v>8.2562038900067192E-2</v>
      </c>
      <c r="N1012" s="8">
        <f>+VLOOKUP($B1012,NIFTY_IT!$B$3:$I$1238,8,0)</f>
        <v>1.1237231571366246E-2</v>
      </c>
      <c r="O1012" s="8">
        <f>+VLOOKUP($B1012,NIFTY_PHARMA!$B$3:$I$1238,8,0)</f>
        <v>-5.4805776380929538E-3</v>
      </c>
      <c r="P1012" s="8">
        <f>+VLOOKUP($B1012,NIFTY_FMCG!$B$3:$I$1238,8,0)</f>
        <v>1.716733014200944E-2</v>
      </c>
      <c r="Q1012" s="8">
        <f>+VLOOKUP($B1012,NIFTY_METAL!$B$3:$I$1238,8,0)</f>
        <v>4.8676664121269253E-2</v>
      </c>
      <c r="R1012" s="8">
        <f>+VLOOKUP($B1012,NIFTY_ENERGY!$B$3:$I$1238,8,0)</f>
        <v>2.6508119213822345E-2</v>
      </c>
      <c r="S1012" s="8">
        <f>+VLOOKUP($B1012,NIFTY_AUTO!$B$3:$I$1238,8,0)</f>
        <v>4.2269811426504322E-2</v>
      </c>
      <c r="T1012" s="8">
        <f>+VLOOKUP($B1012,EBBETF0430!$B$3:$I$1238,8,0)</f>
        <v>-1.2334693086405446E-3</v>
      </c>
      <c r="U1012" s="8">
        <f>+VLOOKUP($B1012,NIFTY_50!$B$63:$K$1238,10,0)</f>
        <v>0.22384235355617177</v>
      </c>
      <c r="V1012" s="8">
        <f>+VLOOKUP($B1012,NIFTY_BANK!$B$63:$K$1238,10,0)</f>
        <v>0.32927789494827775</v>
      </c>
      <c r="W1012" s="8">
        <f>+VLOOKUP($B1012,NIFTY_IT!$B$63:$K$1238,10,0)</f>
        <v>0.2021193982336742</v>
      </c>
      <c r="X1012" s="8">
        <f>+VLOOKUP($B1012,NIFTY_PHARMA!$B$63:$K$1238,10,0)</f>
        <v>8.3062647087774E-2</v>
      </c>
      <c r="Y1012" s="8">
        <f>+VLOOKUP($B1012,NIFTY_FMCG!$B$63:$K$1238,10,0)</f>
        <v>0.14429316490865762</v>
      </c>
      <c r="Z1012" s="8">
        <f>+VLOOKUP($B1012,NIFTY_METAL!$B$63:$K$1238,10,0)</f>
        <v>0.37981529778955925</v>
      </c>
      <c r="AA1012" s="8">
        <f>+VLOOKUP($B1012,NIFTY_ENERGY!$B$63:$K$1238,10,0)</f>
        <v>0.1356590739485557</v>
      </c>
      <c r="AB1012" s="8">
        <f>+VLOOKUP($B1012,NIFTY_AUTO!$B$63:$K$1238,10,0)</f>
        <v>0.32276504251673188</v>
      </c>
      <c r="AC1012" s="8">
        <f>+VLOOKUP($B1012,EBBETF0430!$B$63:$K$1238,10,0)</f>
        <v>-5.5112150818769745E-2</v>
      </c>
      <c r="AD1012" s="16">
        <f t="shared" si="552"/>
        <v>8.7010320470284688E-2</v>
      </c>
      <c r="AE1012" s="8">
        <f t="shared" si="553"/>
        <v>0.14048373675044154</v>
      </c>
      <c r="AF1012" s="8">
        <f t="shared" si="554"/>
        <v>0.11647591753173038</v>
      </c>
      <c r="AG1012" s="8">
        <f t="shared" si="555"/>
        <v>0.11275927933076695</v>
      </c>
      <c r="AH1012" s="8">
        <f t="shared" si="556"/>
        <v>7.4705544653672656E-2</v>
      </c>
      <c r="AI1012" s="8">
        <f t="shared" si="557"/>
        <v>0.15940963968409091</v>
      </c>
      <c r="AJ1012" s="8">
        <f t="shared" si="558"/>
        <v>0.10155408048001743</v>
      </c>
      <c r="AK1012" s="8">
        <f t="shared" si="559"/>
        <v>0.11104631124441638</v>
      </c>
      <c r="AL1012" s="8">
        <f t="shared" si="572"/>
        <v>4.8786241217641801E-3</v>
      </c>
      <c r="AM1012" s="17">
        <f t="shared" si="536"/>
        <v>11.492889516956954</v>
      </c>
      <c r="AN1012" s="13">
        <f t="shared" si="537"/>
        <v>7.1182616801859595</v>
      </c>
      <c r="AO1012" s="13">
        <f t="shared" si="538"/>
        <v>8.5854657442606523</v>
      </c>
      <c r="AP1012" s="13">
        <f t="shared" si="539"/>
        <v>8.8684497270207796</v>
      </c>
      <c r="AQ1012" s="13">
        <f t="shared" si="540"/>
        <v>13.38588728100302</v>
      </c>
      <c r="AR1012" s="13">
        <f t="shared" si="541"/>
        <v>6.2731463541461103</v>
      </c>
      <c r="AS1012" s="13">
        <f t="shared" si="542"/>
        <v>9.8469701588875864</v>
      </c>
      <c r="AT1012" s="13">
        <f t="shared" si="543"/>
        <v>9.0052518520761033</v>
      </c>
      <c r="AU1012" s="13">
        <f t="shared" si="571"/>
        <v>204.97582413428188</v>
      </c>
      <c r="AV1012" s="18">
        <f t="shared" si="560"/>
        <v>3</v>
      </c>
      <c r="AW1012" s="18">
        <f t="shared" si="561"/>
        <v>8</v>
      </c>
      <c r="AX1012" s="18">
        <f t="shared" si="562"/>
        <v>7</v>
      </c>
      <c r="AY1012" s="18">
        <f t="shared" si="563"/>
        <v>6</v>
      </c>
      <c r="AZ1012" s="18">
        <f t="shared" si="564"/>
        <v>2</v>
      </c>
      <c r="BA1012" s="18">
        <f t="shared" si="565"/>
        <v>9</v>
      </c>
      <c r="BB1012" s="18">
        <f t="shared" si="566"/>
        <v>4</v>
      </c>
      <c r="BC1012" s="18">
        <f t="shared" si="567"/>
        <v>5</v>
      </c>
      <c r="BD1012" s="18">
        <f t="shared" si="568"/>
        <v>1</v>
      </c>
      <c r="BE1012" s="8">
        <f t="shared" si="570"/>
        <v>2.2774729031050156E-2</v>
      </c>
    </row>
    <row r="1013" spans="1:57" x14ac:dyDescent="0.25">
      <c r="A1013" t="str">
        <f t="shared" si="569"/>
        <v/>
      </c>
      <c r="B1013" s="1">
        <v>44229</v>
      </c>
      <c r="C1013" s="9">
        <f t="shared" si="544"/>
        <v>0.34195383549360359</v>
      </c>
      <c r="D1013" s="9">
        <f t="shared" si="545"/>
        <v>0</v>
      </c>
      <c r="E1013" s="9">
        <f t="shared" si="546"/>
        <v>0</v>
      </c>
      <c r="F1013" s="9">
        <f t="shared" si="547"/>
        <v>0</v>
      </c>
      <c r="G1013" s="9">
        <f t="shared" si="548"/>
        <v>0.324159822523159</v>
      </c>
      <c r="H1013" s="9">
        <f t="shared" si="549"/>
        <v>0</v>
      </c>
      <c r="I1013" s="9">
        <f t="shared" si="550"/>
        <v>0.3338863419832373</v>
      </c>
      <c r="J1013" s="9">
        <f t="shared" si="551"/>
        <v>0</v>
      </c>
      <c r="K1013" s="9">
        <v>0</v>
      </c>
      <c r="L1013" s="8">
        <f>+VLOOKUP($B1013,NIFTY_50!$B$3:$I$1238,8,0)</f>
        <v>2.5673612861664363E-2</v>
      </c>
      <c r="M1013" s="8">
        <f>+VLOOKUP($B1013,NIFTY_BANK!$B$3:$I$41238,8,0)</f>
        <v>3.5626589460863833E-2</v>
      </c>
      <c r="N1013" s="8">
        <f>+VLOOKUP($B1013,NIFTY_IT!$B$3:$I$1238,8,0)</f>
        <v>2.1069145798809918E-2</v>
      </c>
      <c r="O1013" s="8">
        <f>+VLOOKUP($B1013,NIFTY_PHARMA!$B$3:$I$1238,8,0)</f>
        <v>2.131606016416665E-2</v>
      </c>
      <c r="P1013" s="8">
        <f>+VLOOKUP($B1013,NIFTY_FMCG!$B$3:$I$1238,8,0)</f>
        <v>1.2229275163142539E-3</v>
      </c>
      <c r="Q1013" s="8">
        <f>+VLOOKUP($B1013,NIFTY_METAL!$B$3:$I$1238,8,0)</f>
        <v>1.9164923696645797E-2</v>
      </c>
      <c r="R1013" s="8">
        <f>+VLOOKUP($B1013,NIFTY_ENERGY!$B$3:$I$1238,8,0)</f>
        <v>2.1880868482687443E-2</v>
      </c>
      <c r="S1013" s="8">
        <f>+VLOOKUP($B1013,NIFTY_AUTO!$B$3:$I$1238,8,0)</f>
        <v>4.0149785636417912E-2</v>
      </c>
      <c r="T1013" s="8">
        <f>+VLOOKUP($B1013,EBBETF0430!$B$3:$I$1238,8,0)</f>
        <v>-6.9071373752876974E-3</v>
      </c>
      <c r="U1013" s="8">
        <f>+VLOOKUP($B1013,NIFTY_50!$B$63:$K$1238,10,0)</f>
        <v>0.23992466246243715</v>
      </c>
      <c r="V1013" s="8">
        <f>+VLOOKUP($B1013,NIFTY_BANK!$B$63:$K$1238,10,0)</f>
        <v>0.3342743003099351</v>
      </c>
      <c r="W1013" s="8">
        <f>+VLOOKUP($B1013,NIFTY_IT!$B$63:$K$1238,10,0)</f>
        <v>0.22722800925925912</v>
      </c>
      <c r="X1013" s="8">
        <f>+VLOOKUP($B1013,NIFTY_PHARMA!$B$63:$K$1238,10,0)</f>
        <v>8.8068831969016825E-2</v>
      </c>
      <c r="Y1013" s="8">
        <f>+VLOOKUP($B1013,NIFTY_FMCG!$B$63:$K$1238,10,0)</f>
        <v>0.14239823073288771</v>
      </c>
      <c r="Z1013" s="8">
        <f>+VLOOKUP($B1013,NIFTY_METAL!$B$63:$K$1238,10,0)</f>
        <v>0.37550184008029452</v>
      </c>
      <c r="AA1013" s="8">
        <f>+VLOOKUP($B1013,NIFTY_ENERGY!$B$63:$K$1238,10,0)</f>
        <v>0.16671083288306732</v>
      </c>
      <c r="AB1013" s="8">
        <f>+VLOOKUP($B1013,NIFTY_AUTO!$B$63:$K$1238,10,0)</f>
        <v>0.35543423558865306</v>
      </c>
      <c r="AC1013" s="8">
        <f>+VLOOKUP($B1013,EBBETF0430!$B$63:$K$1238,10,0)</f>
        <v>-0.1380428906109209</v>
      </c>
      <c r="AD1013" s="16">
        <f t="shared" si="552"/>
        <v>8.9353850977488006E-2</v>
      </c>
      <c r="AE1013" s="8">
        <f t="shared" si="553"/>
        <v>0.14127705456716305</v>
      </c>
      <c r="AF1013" s="8">
        <f t="shared" si="554"/>
        <v>0.11778135525386031</v>
      </c>
      <c r="AG1013" s="8">
        <f t="shared" si="555"/>
        <v>0.1134868113108904</v>
      </c>
      <c r="AH1013" s="8">
        <f t="shared" si="556"/>
        <v>7.4709788316333042E-2</v>
      </c>
      <c r="AI1013" s="8">
        <f t="shared" si="557"/>
        <v>0.15910280782231653</v>
      </c>
      <c r="AJ1013" s="8">
        <f t="shared" si="558"/>
        <v>0.10311852461134637</v>
      </c>
      <c r="AK1013" s="8">
        <f t="shared" si="559"/>
        <v>0.11606058238701669</v>
      </c>
      <c r="AL1013" s="8">
        <f t="shared" si="572"/>
        <v>8.382786311880365E-3</v>
      </c>
      <c r="AM1013" s="17">
        <f t="shared" si="536"/>
        <v>11.191459450941203</v>
      </c>
      <c r="AN1013" s="13">
        <f t="shared" si="537"/>
        <v>7.0782902649248003</v>
      </c>
      <c r="AO1013" s="13">
        <f t="shared" si="538"/>
        <v>8.4903081463500545</v>
      </c>
      <c r="AP1013" s="13">
        <f t="shared" si="539"/>
        <v>8.8115965939034027</v>
      </c>
      <c r="AQ1013" s="13">
        <f t="shared" si="540"/>
        <v>13.38512693632382</v>
      </c>
      <c r="AR1013" s="13">
        <f t="shared" si="541"/>
        <v>6.2852441995667601</v>
      </c>
      <c r="AS1013" s="13">
        <f t="shared" si="542"/>
        <v>9.6975786239087416</v>
      </c>
      <c r="AT1013" s="13">
        <f t="shared" si="543"/>
        <v>8.6161897470528857</v>
      </c>
      <c r="AU1013" s="13">
        <f t="shared" si="571"/>
        <v>119.29207817009085</v>
      </c>
      <c r="AV1013" s="18">
        <f t="shared" si="560"/>
        <v>3</v>
      </c>
      <c r="AW1013" s="18">
        <f t="shared" si="561"/>
        <v>8</v>
      </c>
      <c r="AX1013" s="18">
        <f t="shared" si="562"/>
        <v>7</v>
      </c>
      <c r="AY1013" s="18">
        <f t="shared" si="563"/>
        <v>5</v>
      </c>
      <c r="AZ1013" s="18">
        <f t="shared" si="564"/>
        <v>2</v>
      </c>
      <c r="BA1013" s="18">
        <f t="shared" si="565"/>
        <v>9</v>
      </c>
      <c r="BB1013" s="18">
        <f t="shared" si="566"/>
        <v>4</v>
      </c>
      <c r="BC1013" s="18">
        <f t="shared" si="567"/>
        <v>6</v>
      </c>
      <c r="BD1013" s="18">
        <f t="shared" si="568"/>
        <v>1</v>
      </c>
      <c r="BE1013" s="8">
        <f t="shared" si="570"/>
        <v>1.6368274529735421E-2</v>
      </c>
    </row>
    <row r="1014" spans="1:57" x14ac:dyDescent="0.25">
      <c r="A1014" t="str">
        <f t="shared" si="569"/>
        <v/>
      </c>
      <c r="B1014" s="1">
        <v>44230</v>
      </c>
      <c r="C1014" s="9">
        <f t="shared" si="544"/>
        <v>0.34246659187481021</v>
      </c>
      <c r="D1014" s="9">
        <f t="shared" si="545"/>
        <v>0</v>
      </c>
      <c r="E1014" s="9">
        <f t="shared" si="546"/>
        <v>0</v>
      </c>
      <c r="F1014" s="9">
        <f t="shared" si="547"/>
        <v>0</v>
      </c>
      <c r="G1014" s="9">
        <f t="shared" si="548"/>
        <v>0.32106443141042013</v>
      </c>
      <c r="H1014" s="9">
        <f t="shared" si="549"/>
        <v>0</v>
      </c>
      <c r="I1014" s="9">
        <f t="shared" si="550"/>
        <v>0.33646897671476972</v>
      </c>
      <c r="J1014" s="9">
        <f t="shared" si="551"/>
        <v>0</v>
      </c>
      <c r="K1014" s="9">
        <v>0</v>
      </c>
      <c r="L1014" s="8">
        <f>+VLOOKUP($B1014,NIFTY_50!$B$3:$I$1238,8,0)</f>
        <v>9.7010824114118765E-3</v>
      </c>
      <c r="M1014" s="8">
        <f>+VLOOKUP($B1014,NIFTY_BANK!$B$3:$I$41238,8,0)</f>
        <v>1.4315146244736177E-2</v>
      </c>
      <c r="N1014" s="8">
        <f>+VLOOKUP($B1014,NIFTY_IT!$B$3:$I$1238,8,0)</f>
        <v>9.1599273807558834E-3</v>
      </c>
      <c r="O1014" s="8">
        <f>+VLOOKUP($B1014,NIFTY_PHARMA!$B$3:$I$1238,8,0)</f>
        <v>2.7917211029361289E-2</v>
      </c>
      <c r="P1014" s="8">
        <f>+VLOOKUP($B1014,NIFTY_FMCG!$B$3:$I$1238,8,0)</f>
        <v>-1.4378528854149808E-3</v>
      </c>
      <c r="Q1014" s="8">
        <f>+VLOOKUP($B1014,NIFTY_METAL!$B$3:$I$1238,8,0)</f>
        <v>1.6813109969292528E-2</v>
      </c>
      <c r="R1014" s="8">
        <f>+VLOOKUP($B1014,NIFTY_ENERGY!$B$3:$I$1238,8,0)</f>
        <v>1.5987728975546345E-2</v>
      </c>
      <c r="S1014" s="8">
        <f>+VLOOKUP($B1014,NIFTY_AUTO!$B$3:$I$1238,8,0)</f>
        <v>1.0391404884101174E-2</v>
      </c>
      <c r="T1014" s="8">
        <f>+VLOOKUP($B1014,EBBETF0430!$B$3:$I$1238,8,0)</f>
        <v>-6.04913926344397E-3</v>
      </c>
      <c r="U1014" s="8">
        <f>+VLOOKUP($B1014,NIFTY_50!$B$63:$K$1238,10,0)</f>
        <v>0.24196582273166234</v>
      </c>
      <c r="V1014" s="8">
        <f>+VLOOKUP($B1014,NIFTY_BANK!$B$63:$K$1238,10,0)</f>
        <v>0.34871137220816717</v>
      </c>
      <c r="W1014" s="8">
        <f>+VLOOKUP($B1014,NIFTY_IT!$B$63:$K$1238,10,0)</f>
        <v>0.21684186585357201</v>
      </c>
      <c r="X1014" s="8">
        <f>+VLOOKUP($B1014,NIFTY_PHARMA!$B$63:$K$1238,10,0)</f>
        <v>9.4584641624995136E-2</v>
      </c>
      <c r="Y1014" s="8">
        <f>+VLOOKUP($B1014,NIFTY_FMCG!$B$63:$K$1238,10,0)</f>
        <v>0.13744073428698789</v>
      </c>
      <c r="Z1014" s="8">
        <f>+VLOOKUP($B1014,NIFTY_METAL!$B$63:$K$1238,10,0)</f>
        <v>0.40297004782280377</v>
      </c>
      <c r="AA1014" s="8">
        <f>+VLOOKUP($B1014,NIFTY_ENERGY!$B$63:$K$1238,10,0)</f>
        <v>0.17725672488635191</v>
      </c>
      <c r="AB1014" s="8">
        <f>+VLOOKUP($B1014,NIFTY_AUTO!$B$63:$K$1238,10,0)</f>
        <v>0.36035055525674697</v>
      </c>
      <c r="AC1014" s="8">
        <f>+VLOOKUP($B1014,EBBETF0430!$B$63:$K$1238,10,0)</f>
        <v>0.13905991890674274</v>
      </c>
      <c r="AD1014" s="16">
        <f t="shared" si="552"/>
        <v>8.9451502158941626E-2</v>
      </c>
      <c r="AE1014" s="8">
        <f t="shared" si="553"/>
        <v>0.14157625163892956</v>
      </c>
      <c r="AF1014" s="8">
        <f t="shared" si="554"/>
        <v>0.11704323157210882</v>
      </c>
      <c r="AG1014" s="8">
        <f t="shared" si="555"/>
        <v>0.1147371143725565</v>
      </c>
      <c r="AH1014" s="8">
        <f t="shared" si="556"/>
        <v>7.4794598229467185E-2</v>
      </c>
      <c r="AI1014" s="8">
        <f t="shared" si="557"/>
        <v>0.15925896477158769</v>
      </c>
      <c r="AJ1014" s="8">
        <f t="shared" si="558"/>
        <v>0.10388739565335989</v>
      </c>
      <c r="AK1014" s="8">
        <f t="shared" si="559"/>
        <v>0.11616836387727482</v>
      </c>
      <c r="AL1014" s="8">
        <f t="shared" si="572"/>
        <v>1.0222220312909489E-2</v>
      </c>
      <c r="AM1014" s="17">
        <f t="shared" si="536"/>
        <v>11.179242112929005</v>
      </c>
      <c r="AN1014" s="13">
        <f t="shared" si="537"/>
        <v>7.0633315151637168</v>
      </c>
      <c r="AO1014" s="13">
        <f t="shared" si="538"/>
        <v>8.5438515885808659</v>
      </c>
      <c r="AP1014" s="13">
        <f t="shared" si="539"/>
        <v>8.7155756484597973</v>
      </c>
      <c r="AQ1014" s="13">
        <f t="shared" si="540"/>
        <v>13.369949483945824</v>
      </c>
      <c r="AR1014" s="13">
        <f t="shared" si="541"/>
        <v>6.2790813781454595</v>
      </c>
      <c r="AS1014" s="13">
        <f t="shared" si="542"/>
        <v>9.6258068046742729</v>
      </c>
      <c r="AT1014" s="13">
        <f t="shared" si="543"/>
        <v>8.6081956104369546</v>
      </c>
      <c r="AU1014" s="13">
        <f t="shared" si="571"/>
        <v>97.826105228539731</v>
      </c>
      <c r="AV1014" s="18">
        <f t="shared" si="560"/>
        <v>3</v>
      </c>
      <c r="AW1014" s="18">
        <f t="shared" si="561"/>
        <v>8</v>
      </c>
      <c r="AX1014" s="18">
        <f t="shared" si="562"/>
        <v>7</v>
      </c>
      <c r="AY1014" s="18">
        <f t="shared" si="563"/>
        <v>5</v>
      </c>
      <c r="AZ1014" s="18">
        <f t="shared" si="564"/>
        <v>2</v>
      </c>
      <c r="BA1014" s="18">
        <f t="shared" si="565"/>
        <v>9</v>
      </c>
      <c r="BB1014" s="18">
        <f t="shared" si="566"/>
        <v>4</v>
      </c>
      <c r="BC1014" s="18">
        <f t="shared" si="567"/>
        <v>6</v>
      </c>
      <c r="BD1014" s="18">
        <f t="shared" si="568"/>
        <v>1</v>
      </c>
      <c r="BE1014" s="8">
        <f t="shared" si="570"/>
        <v>8.1893125471358755E-3</v>
      </c>
    </row>
    <row r="1015" spans="1:57" x14ac:dyDescent="0.25">
      <c r="A1015" t="str">
        <f t="shared" si="569"/>
        <v/>
      </c>
      <c r="B1015" s="1">
        <v>44231</v>
      </c>
      <c r="C1015" s="9">
        <f t="shared" si="544"/>
        <v>0.33980622425215995</v>
      </c>
      <c r="D1015" s="9">
        <f t="shared" si="545"/>
        <v>0</v>
      </c>
      <c r="E1015" s="9">
        <f t="shared" si="546"/>
        <v>0</v>
      </c>
      <c r="F1015" s="9">
        <f t="shared" si="547"/>
        <v>0</v>
      </c>
      <c r="G1015" s="9">
        <f t="shared" si="548"/>
        <v>0.32406009880349168</v>
      </c>
      <c r="H1015" s="9">
        <f t="shared" si="549"/>
        <v>0</v>
      </c>
      <c r="I1015" s="9">
        <f t="shared" si="550"/>
        <v>0.33613367694434837</v>
      </c>
      <c r="J1015" s="9">
        <f t="shared" si="551"/>
        <v>0</v>
      </c>
      <c r="K1015" s="9">
        <v>0</v>
      </c>
      <c r="L1015" s="8">
        <f>+VLOOKUP($B1015,NIFTY_50!$B$3:$I$1238,8,0)</f>
        <v>7.1467449180016018E-3</v>
      </c>
      <c r="M1015" s="8">
        <f>+VLOOKUP($B1015,NIFTY_BANK!$B$3:$I$41238,8,0)</f>
        <v>1.6869279268782345E-2</v>
      </c>
      <c r="N1015" s="8">
        <f>+VLOOKUP($B1015,NIFTY_IT!$B$3:$I$1238,8,0)</f>
        <v>-4.3164375080313455E-3</v>
      </c>
      <c r="O1015" s="8">
        <f>+VLOOKUP($B1015,NIFTY_PHARMA!$B$3:$I$1238,8,0)</f>
        <v>2.5498459468074053E-3</v>
      </c>
      <c r="P1015" s="8">
        <f>+VLOOKUP($B1015,NIFTY_FMCG!$B$3:$I$1238,8,0)</f>
        <v>2.4502447127353166E-2</v>
      </c>
      <c r="Q1015" s="8">
        <f>+VLOOKUP($B1015,NIFTY_METAL!$B$3:$I$1238,8,0)</f>
        <v>1.9480325319937819E-2</v>
      </c>
      <c r="R1015" s="8">
        <f>+VLOOKUP($B1015,NIFTY_ENERGY!$B$3:$I$1238,8,0)</f>
        <v>1.40202653659669E-2</v>
      </c>
      <c r="S1015" s="8">
        <f>+VLOOKUP($B1015,NIFTY_AUTO!$B$3:$I$1238,8,0)</f>
        <v>1.0972960652702923E-2</v>
      </c>
      <c r="T1015" s="8">
        <f>+VLOOKUP($B1015,EBBETF0430!$B$3:$I$1238,8,0)</f>
        <v>5.093970347729293E-4</v>
      </c>
      <c r="U1015" s="8">
        <f>+VLOOKUP($B1015,NIFTY_50!$B$63:$K$1238,10,0)</f>
        <v>0.22898360601635281</v>
      </c>
      <c r="V1015" s="8">
        <f>+VLOOKUP($B1015,NIFTY_BANK!$B$63:$K$1238,10,0)</f>
        <v>0.3432396790952037</v>
      </c>
      <c r="W1015" s="8">
        <f>+VLOOKUP($B1015,NIFTY_IT!$B$63:$K$1238,10,0)</f>
        <v>0.19566391482138723</v>
      </c>
      <c r="X1015" s="8">
        <f>+VLOOKUP($B1015,NIFTY_PHARMA!$B$63:$K$1238,10,0)</f>
        <v>8.8347237707123716E-2</v>
      </c>
      <c r="Y1015" s="8">
        <f>+VLOOKUP($B1015,NIFTY_FMCG!$B$63:$K$1238,10,0)</f>
        <v>0.14339273791792939</v>
      </c>
      <c r="Z1015" s="8">
        <f>+VLOOKUP($B1015,NIFTY_METAL!$B$63:$K$1238,10,0)</f>
        <v>0.37003998151608308</v>
      </c>
      <c r="AA1015" s="8">
        <f>+VLOOKUP($B1015,NIFTY_ENERGY!$B$63:$K$1238,10,0)</f>
        <v>0.16261937970819584</v>
      </c>
      <c r="AB1015" s="8">
        <f>+VLOOKUP($B1015,NIFTY_AUTO!$B$63:$K$1238,10,0)</f>
        <v>0.3591520230129448</v>
      </c>
      <c r="AC1015" s="8">
        <f>+VLOOKUP($B1015,EBBETF0430!$B$63:$K$1238,10,0)</f>
        <v>0.4572183098591549</v>
      </c>
      <c r="AD1015" s="16">
        <f t="shared" si="552"/>
        <v>8.8383106748802509E-2</v>
      </c>
      <c r="AE1015" s="8">
        <f t="shared" si="553"/>
        <v>0.14116909227694543</v>
      </c>
      <c r="AF1015" s="8">
        <f t="shared" si="554"/>
        <v>0.11684545715307937</v>
      </c>
      <c r="AG1015" s="8">
        <f t="shared" si="555"/>
        <v>0.11454271511179023</v>
      </c>
      <c r="AH1015" s="8">
        <f t="shared" si="556"/>
        <v>7.6181632946715719E-2</v>
      </c>
      <c r="AI1015" s="8">
        <f t="shared" si="557"/>
        <v>0.15518180489217645</v>
      </c>
      <c r="AJ1015" s="8">
        <f t="shared" si="558"/>
        <v>0.10168395656785595</v>
      </c>
      <c r="AK1015" s="8">
        <f t="shared" si="559"/>
        <v>0.11612033061672405</v>
      </c>
      <c r="AL1015" s="8">
        <f t="shared" si="572"/>
        <v>1.0246904982201105E-2</v>
      </c>
      <c r="AM1015" s="17">
        <f t="shared" si="536"/>
        <v>11.314379373901664</v>
      </c>
      <c r="AN1015" s="13">
        <f t="shared" si="537"/>
        <v>7.0837035492032534</v>
      </c>
      <c r="AO1015" s="13">
        <f t="shared" si="538"/>
        <v>8.5583130432696137</v>
      </c>
      <c r="AP1015" s="13">
        <f t="shared" si="539"/>
        <v>8.7303675229282813</v>
      </c>
      <c r="AQ1015" s="13">
        <f t="shared" si="540"/>
        <v>13.126523563749775</v>
      </c>
      <c r="AR1015" s="13">
        <f t="shared" si="541"/>
        <v>6.4440544475869501</v>
      </c>
      <c r="AS1015" s="13">
        <f t="shared" si="542"/>
        <v>9.834393091624813</v>
      </c>
      <c r="AT1015" s="13">
        <f t="shared" si="543"/>
        <v>8.6117563969110549</v>
      </c>
      <c r="AU1015" s="13">
        <f t="shared" si="571"/>
        <v>97.590443332596735</v>
      </c>
      <c r="AV1015" s="18">
        <f t="shared" si="560"/>
        <v>3</v>
      </c>
      <c r="AW1015" s="18">
        <f t="shared" si="561"/>
        <v>8</v>
      </c>
      <c r="AX1015" s="18">
        <f t="shared" si="562"/>
        <v>7</v>
      </c>
      <c r="AY1015" s="18">
        <f t="shared" si="563"/>
        <v>5</v>
      </c>
      <c r="AZ1015" s="18">
        <f t="shared" si="564"/>
        <v>2</v>
      </c>
      <c r="BA1015" s="18">
        <f t="shared" si="565"/>
        <v>9</v>
      </c>
      <c r="BB1015" s="18">
        <f t="shared" si="566"/>
        <v>4</v>
      </c>
      <c r="BC1015" s="18">
        <f t="shared" si="567"/>
        <v>6</v>
      </c>
      <c r="BD1015" s="18">
        <f t="shared" si="568"/>
        <v>1</v>
      </c>
      <c r="BE1015" s="8">
        <f t="shared" si="570"/>
        <v>1.5031769971130563E-2</v>
      </c>
    </row>
    <row r="1016" spans="1:57" x14ac:dyDescent="0.25">
      <c r="A1016" t="str">
        <f t="shared" si="569"/>
        <v/>
      </c>
      <c r="B1016" s="1">
        <v>44232</v>
      </c>
      <c r="C1016" s="9">
        <f t="shared" si="544"/>
        <v>0.34011030113945417</v>
      </c>
      <c r="D1016" s="9">
        <f t="shared" si="545"/>
        <v>0</v>
      </c>
      <c r="E1016" s="9">
        <f t="shared" si="546"/>
        <v>0</v>
      </c>
      <c r="F1016" s="9">
        <f t="shared" si="547"/>
        <v>0</v>
      </c>
      <c r="G1016" s="9">
        <f t="shared" si="548"/>
        <v>0.32501235725198396</v>
      </c>
      <c r="H1016" s="9">
        <f t="shared" si="549"/>
        <v>0</v>
      </c>
      <c r="I1016" s="9">
        <f t="shared" si="550"/>
        <v>0.33487734160856186</v>
      </c>
      <c r="J1016" s="9">
        <f t="shared" si="551"/>
        <v>0</v>
      </c>
      <c r="K1016" s="9">
        <v>0</v>
      </c>
      <c r="L1016" s="8">
        <f>+VLOOKUP($B1016,NIFTY_50!$B$3:$I$1238,8,0)</f>
        <v>1.9200236310601415E-3</v>
      </c>
      <c r="M1016" s="8">
        <f>+VLOOKUP($B1016,NIFTY_BANK!$B$3:$I$41238,8,0)</f>
        <v>8.7622507412687956E-3</v>
      </c>
      <c r="N1016" s="8">
        <f>+VLOOKUP($B1016,NIFTY_IT!$B$3:$I$1238,8,0)</f>
        <v>-9.3253630712494262E-3</v>
      </c>
      <c r="O1016" s="8">
        <f>+VLOOKUP($B1016,NIFTY_PHARMA!$B$3:$I$1238,8,0)</f>
        <v>1.6610343785447235E-2</v>
      </c>
      <c r="P1016" s="8">
        <f>+VLOOKUP($B1016,NIFTY_FMCG!$B$3:$I$1238,8,0)</f>
        <v>3.9657872964400376E-3</v>
      </c>
      <c r="Q1016" s="8">
        <f>+VLOOKUP($B1016,NIFTY_METAL!$B$3:$I$1238,8,0)</f>
        <v>9.8546729040489556E-3</v>
      </c>
      <c r="R1016" s="8">
        <f>+VLOOKUP($B1016,NIFTY_ENERGY!$B$3:$I$1238,8,0)</f>
        <v>-2.7171812322660527E-3</v>
      </c>
      <c r="S1016" s="8">
        <f>+VLOOKUP($B1016,NIFTY_AUTO!$B$3:$I$1238,8,0)</f>
        <v>-1.3172787588224932E-2</v>
      </c>
      <c r="T1016" s="8">
        <f>+VLOOKUP($B1016,EBBETF0430!$B$3:$I$1238,8,0)</f>
        <v>3.572896010861637E-4</v>
      </c>
      <c r="U1016" s="8">
        <f>+VLOOKUP($B1016,NIFTY_50!$B$63:$K$1238,10,0)</f>
        <v>0.21696001565615175</v>
      </c>
      <c r="V1016" s="8">
        <f>+VLOOKUP($B1016,NIFTY_BANK!$B$63:$K$1238,10,0)</f>
        <v>0.33044391664598805</v>
      </c>
      <c r="W1016" s="8">
        <f>+VLOOKUP($B1016,NIFTY_IT!$B$63:$K$1238,10,0)</f>
        <v>0.17863606966215806</v>
      </c>
      <c r="X1016" s="8">
        <f>+VLOOKUP($B1016,NIFTY_PHARMA!$B$63:$K$1238,10,0)</f>
        <v>0.11419255206115264</v>
      </c>
      <c r="Y1016" s="8">
        <f>+VLOOKUP($B1016,NIFTY_FMCG!$B$63:$K$1238,10,0)</f>
        <v>0.14904653796850154</v>
      </c>
      <c r="Z1016" s="8">
        <f>+VLOOKUP($B1016,NIFTY_METAL!$B$63:$K$1238,10,0)</f>
        <v>0.37706721059051751</v>
      </c>
      <c r="AA1016" s="8">
        <f>+VLOOKUP($B1016,NIFTY_ENERGY!$B$63:$K$1238,10,0)</f>
        <v>0.14720945934818763</v>
      </c>
      <c r="AB1016" s="8">
        <f>+VLOOKUP($B1016,NIFTY_AUTO!$B$63:$K$1238,10,0)</f>
        <v>0.33947240229325137</v>
      </c>
      <c r="AC1016" s="8">
        <f>+VLOOKUP($B1016,EBBETF0430!$B$63:$K$1238,10,0)</f>
        <v>-0.64207171045974298</v>
      </c>
      <c r="AD1016" s="16">
        <f t="shared" si="552"/>
        <v>8.7990107374620999E-2</v>
      </c>
      <c r="AE1016" s="8">
        <f t="shared" si="553"/>
        <v>0.1405711139638206</v>
      </c>
      <c r="AF1016" s="8">
        <f t="shared" si="554"/>
        <v>0.11746816949733123</v>
      </c>
      <c r="AG1016" s="8">
        <f t="shared" si="555"/>
        <v>0.11518516442782122</v>
      </c>
      <c r="AH1016" s="8">
        <f t="shared" si="556"/>
        <v>7.6130301322431732E-2</v>
      </c>
      <c r="AI1016" s="8">
        <f t="shared" si="557"/>
        <v>0.15524368284320583</v>
      </c>
      <c r="AJ1016" s="8">
        <f t="shared" si="558"/>
        <v>0.10148191115839883</v>
      </c>
      <c r="AK1016" s="8">
        <f t="shared" si="559"/>
        <v>0.11748059591606272</v>
      </c>
      <c r="AL1016" s="8">
        <f t="shared" si="572"/>
        <v>1.0261288241502809E-2</v>
      </c>
      <c r="AM1016" s="17">
        <f t="shared" si="536"/>
        <v>11.364913964048988</v>
      </c>
      <c r="AN1016" s="13">
        <f t="shared" si="537"/>
        <v>7.1138370594215701</v>
      </c>
      <c r="AO1016" s="13">
        <f t="shared" si="538"/>
        <v>8.5129444366009217</v>
      </c>
      <c r="AP1016" s="13">
        <f t="shared" si="539"/>
        <v>8.6816735902359419</v>
      </c>
      <c r="AQ1016" s="13">
        <f t="shared" si="540"/>
        <v>13.135374254789017</v>
      </c>
      <c r="AR1016" s="13">
        <f t="shared" si="541"/>
        <v>6.4414859380138996</v>
      </c>
      <c r="AS1016" s="13">
        <f t="shared" si="542"/>
        <v>9.8539728763990482</v>
      </c>
      <c r="AT1016" s="13">
        <f t="shared" si="543"/>
        <v>8.5120439865190836</v>
      </c>
      <c r="AU1016" s="13">
        <f t="shared" si="571"/>
        <v>97.453650698106273</v>
      </c>
      <c r="AV1016" s="18">
        <f t="shared" si="560"/>
        <v>3</v>
      </c>
      <c r="AW1016" s="18">
        <f t="shared" si="561"/>
        <v>8</v>
      </c>
      <c r="AX1016" s="18">
        <f t="shared" si="562"/>
        <v>6</v>
      </c>
      <c r="AY1016" s="18">
        <f t="shared" si="563"/>
        <v>5</v>
      </c>
      <c r="AZ1016" s="18">
        <f t="shared" si="564"/>
        <v>2</v>
      </c>
      <c r="BA1016" s="18">
        <f t="shared" si="565"/>
        <v>9</v>
      </c>
      <c r="BB1016" s="18">
        <f t="shared" si="566"/>
        <v>4</v>
      </c>
      <c r="BC1016" s="18">
        <f t="shared" si="567"/>
        <v>7</v>
      </c>
      <c r="BD1016" s="18">
        <f t="shared" si="568"/>
        <v>1</v>
      </c>
      <c r="BE1016" s="8">
        <f t="shared" si="570"/>
        <v>1.0242532851376957E-3</v>
      </c>
    </row>
    <row r="1017" spans="1:57" x14ac:dyDescent="0.25">
      <c r="A1017" t="str">
        <f t="shared" si="569"/>
        <v/>
      </c>
      <c r="B1017" s="1">
        <v>44235</v>
      </c>
      <c r="C1017" s="9">
        <f t="shared" si="544"/>
        <v>0.34196519464398278</v>
      </c>
      <c r="D1017" s="9">
        <f t="shared" si="545"/>
        <v>0</v>
      </c>
      <c r="E1017" s="9">
        <f t="shared" si="546"/>
        <v>0</v>
      </c>
      <c r="F1017" s="9">
        <f t="shared" si="547"/>
        <v>0</v>
      </c>
      <c r="G1017" s="9">
        <f t="shared" si="548"/>
        <v>0.3208534133214187</v>
      </c>
      <c r="H1017" s="9">
        <f t="shared" si="549"/>
        <v>0</v>
      </c>
      <c r="I1017" s="9">
        <f t="shared" si="550"/>
        <v>0.33718139203459835</v>
      </c>
      <c r="J1017" s="9">
        <f t="shared" si="551"/>
        <v>0</v>
      </c>
      <c r="K1017" s="9">
        <v>0</v>
      </c>
      <c r="L1017" s="8">
        <f>+VLOOKUP($B1017,NIFTY_50!$B$3:$I$1238,8,0)</f>
        <v>1.2834815819890322E-2</v>
      </c>
      <c r="M1017" s="8">
        <f>+VLOOKUP($B1017,NIFTY_BANK!$B$3:$I$41238,8,0)</f>
        <v>9.2316537884418182E-3</v>
      </c>
      <c r="N1017" s="8">
        <f>+VLOOKUP($B1017,NIFTY_IT!$B$3:$I$1238,8,0)</f>
        <v>2.3054208972192791E-2</v>
      </c>
      <c r="O1017" s="8">
        <f>+VLOOKUP($B1017,NIFTY_PHARMA!$B$3:$I$1238,8,0)</f>
        <v>1.5713497005942489E-3</v>
      </c>
      <c r="P1017" s="8">
        <f>+VLOOKUP($B1017,NIFTY_FMCG!$B$3:$I$1238,8,0)</f>
        <v>-5.5492213771305421E-3</v>
      </c>
      <c r="Q1017" s="8">
        <f>+VLOOKUP($B1017,NIFTY_METAL!$B$3:$I$1238,8,0)</f>
        <v>3.1744187735068152E-2</v>
      </c>
      <c r="R1017" s="8">
        <f>+VLOOKUP($B1017,NIFTY_ENERGY!$B$3:$I$1238,8,0)</f>
        <v>1.4271769400820977E-2</v>
      </c>
      <c r="S1017" s="8">
        <f>+VLOOKUP($B1017,NIFTY_AUTO!$B$3:$I$1238,8,0)</f>
        <v>3.1443637838669325E-2</v>
      </c>
      <c r="T1017" s="8">
        <f>+VLOOKUP($B1017,EBBETF0430!$B$3:$I$1238,8,0)</f>
        <v>-2.0090361983677862E-3</v>
      </c>
      <c r="U1017" s="8">
        <f>+VLOOKUP($B1017,NIFTY_50!$B$63:$K$1238,10,0)</f>
        <v>0.2130438446198355</v>
      </c>
      <c r="V1017" s="8">
        <f>+VLOOKUP($B1017,NIFTY_BANK!$B$63:$K$1238,10,0)</f>
        <v>0.30687583759774251</v>
      </c>
      <c r="W1017" s="8">
        <f>+VLOOKUP($B1017,NIFTY_IT!$B$63:$K$1238,10,0)</f>
        <v>0.18769119369023568</v>
      </c>
      <c r="X1017" s="8">
        <f>+VLOOKUP($B1017,NIFTY_PHARMA!$B$63:$K$1238,10,0)</f>
        <v>0.1110682821741682</v>
      </c>
      <c r="Y1017" s="8">
        <f>+VLOOKUP($B1017,NIFTY_FMCG!$B$63:$K$1238,10,0)</f>
        <v>0.13129931666759709</v>
      </c>
      <c r="Z1017" s="8">
        <f>+VLOOKUP($B1017,NIFTY_METAL!$B$63:$K$1238,10,0)</f>
        <v>0.39571751301443858</v>
      </c>
      <c r="AA1017" s="8">
        <f>+VLOOKUP($B1017,NIFTY_ENERGY!$B$63:$K$1238,10,0)</f>
        <v>0.14024142271568274</v>
      </c>
      <c r="AB1017" s="8">
        <f>+VLOOKUP($B1017,NIFTY_AUTO!$B$63:$K$1238,10,0)</f>
        <v>0.3710498100438171</v>
      </c>
      <c r="AC1017" s="8">
        <f>+VLOOKUP($B1017,EBBETF0430!$B$63:$K$1238,10,0)</f>
        <v>-0.6301410937682197</v>
      </c>
      <c r="AD1017" s="16">
        <f t="shared" si="552"/>
        <v>8.7572567699360684E-2</v>
      </c>
      <c r="AE1017" s="8">
        <f t="shared" si="553"/>
        <v>0.13879517479216782</v>
      </c>
      <c r="AF1017" s="8">
        <f t="shared" si="554"/>
        <v>0.11854420154143609</v>
      </c>
      <c r="AG1017" s="8">
        <f t="shared" si="555"/>
        <v>0.1151577969545077</v>
      </c>
      <c r="AH1017" s="8">
        <f t="shared" si="556"/>
        <v>7.6119808355043048E-2</v>
      </c>
      <c r="AI1017" s="8">
        <f t="shared" si="557"/>
        <v>0.15694665199304844</v>
      </c>
      <c r="AJ1017" s="8">
        <f t="shared" si="558"/>
        <v>0.10055647679690873</v>
      </c>
      <c r="AK1017" s="8">
        <f t="shared" si="559"/>
        <v>0.12036807310149572</v>
      </c>
      <c r="AL1017" s="8">
        <f t="shared" si="572"/>
        <v>1.0408411521637578E-2</v>
      </c>
      <c r="AM1017" s="17">
        <f t="shared" si="536"/>
        <v>11.419101052661043</v>
      </c>
      <c r="AN1017" s="13">
        <f t="shared" si="537"/>
        <v>7.2048614189751339</v>
      </c>
      <c r="AO1017" s="13">
        <f t="shared" si="538"/>
        <v>8.4356719856133893</v>
      </c>
      <c r="AP1017" s="13">
        <f t="shared" si="539"/>
        <v>8.6837368067664862</v>
      </c>
      <c r="AQ1017" s="13">
        <f t="shared" si="540"/>
        <v>13.137184940557573</v>
      </c>
      <c r="AR1017" s="13">
        <f t="shared" si="541"/>
        <v>6.3715917944161848</v>
      </c>
      <c r="AS1017" s="13">
        <f t="shared" si="542"/>
        <v>9.9446602730490827</v>
      </c>
      <c r="AT1017" s="13">
        <f t="shared" si="543"/>
        <v>8.3078508630506089</v>
      </c>
      <c r="AU1017" s="13">
        <f t="shared" si="571"/>
        <v>96.076139756882696</v>
      </c>
      <c r="AV1017" s="18">
        <f t="shared" si="560"/>
        <v>3</v>
      </c>
      <c r="AW1017" s="18">
        <f t="shared" si="561"/>
        <v>8</v>
      </c>
      <c r="AX1017" s="18">
        <f t="shared" si="562"/>
        <v>6</v>
      </c>
      <c r="AY1017" s="18">
        <f t="shared" si="563"/>
        <v>5</v>
      </c>
      <c r="AZ1017" s="18">
        <f t="shared" si="564"/>
        <v>2</v>
      </c>
      <c r="BA1017" s="18">
        <f t="shared" si="565"/>
        <v>9</v>
      </c>
      <c r="BB1017" s="18">
        <f t="shared" si="566"/>
        <v>4</v>
      </c>
      <c r="BC1017" s="18">
        <f t="shared" si="567"/>
        <v>7</v>
      </c>
      <c r="BD1017" s="18">
        <f t="shared" si="568"/>
        <v>1</v>
      </c>
      <c r="BE1017" s="8">
        <f t="shared" si="570"/>
        <v>7.3409797498753754E-3</v>
      </c>
    </row>
    <row r="1018" spans="1:57" x14ac:dyDescent="0.25">
      <c r="A1018" t="str">
        <f t="shared" si="569"/>
        <v/>
      </c>
      <c r="B1018" s="1">
        <v>44236</v>
      </c>
      <c r="C1018" s="9">
        <f t="shared" si="544"/>
        <v>0.34243357123613316</v>
      </c>
      <c r="D1018" s="9">
        <f t="shared" si="545"/>
        <v>0</v>
      </c>
      <c r="E1018" s="9">
        <f t="shared" si="546"/>
        <v>0</v>
      </c>
      <c r="F1018" s="9">
        <f t="shared" si="547"/>
        <v>0</v>
      </c>
      <c r="G1018" s="9">
        <f t="shared" si="548"/>
        <v>0.31936968403196908</v>
      </c>
      <c r="H1018" s="9">
        <f t="shared" si="549"/>
        <v>0</v>
      </c>
      <c r="I1018" s="9">
        <f t="shared" si="550"/>
        <v>0.33819674473189781</v>
      </c>
      <c r="J1018" s="9">
        <f t="shared" si="551"/>
        <v>0</v>
      </c>
      <c r="K1018" s="9">
        <v>0</v>
      </c>
      <c r="L1018" s="8">
        <f>+VLOOKUP($B1018,NIFTY_50!$B$3:$I$1238,8,0)</f>
        <v>-4.3001362812422617E-4</v>
      </c>
      <c r="M1018" s="8">
        <f>+VLOOKUP($B1018,NIFTY_BANK!$B$3:$I$41238,8,0)</f>
        <v>2.0245305854185158E-3</v>
      </c>
      <c r="N1018" s="8">
        <f>+VLOOKUP($B1018,NIFTY_IT!$B$3:$I$1238,8,0)</f>
        <v>-5.2651684699561718E-3</v>
      </c>
      <c r="O1018" s="8">
        <f>+VLOOKUP($B1018,NIFTY_PHARMA!$B$3:$I$1238,8,0)</f>
        <v>-1.2196438208310956E-2</v>
      </c>
      <c r="P1018" s="8">
        <f>+VLOOKUP($B1018,NIFTY_FMCG!$B$3:$I$1238,8,0)</f>
        <v>-6.4132241000224299E-3</v>
      </c>
      <c r="Q1018" s="8">
        <f>+VLOOKUP($B1018,NIFTY_METAL!$B$3:$I$1238,8,0)</f>
        <v>-1.0922039719067023E-2</v>
      </c>
      <c r="R1018" s="8">
        <f>+VLOOKUP($B1018,NIFTY_ENERGY!$B$3:$I$1238,8,0)</f>
        <v>1.2086695859669927E-3</v>
      </c>
      <c r="S1018" s="8">
        <f>+VLOOKUP($B1018,NIFTY_AUTO!$B$3:$I$1238,8,0)</f>
        <v>-1.3881920053520624E-2</v>
      </c>
      <c r="T1018" s="8">
        <f>+VLOOKUP($B1018,EBBETF0430!$B$3:$I$1238,8,0)</f>
        <v>-2.9525181400935629E-4</v>
      </c>
      <c r="U1018" s="8">
        <f>+VLOOKUP($B1018,NIFTY_50!$B$63:$K$1238,10,0)</f>
        <v>0.19619827251783284</v>
      </c>
      <c r="V1018" s="8">
        <f>+VLOOKUP($B1018,NIFTY_BANK!$B$63:$K$1238,10,0)</f>
        <v>0.26045235265328959</v>
      </c>
      <c r="W1018" s="8">
        <f>+VLOOKUP($B1018,NIFTY_IT!$B$63:$K$1238,10,0)</f>
        <v>0.22883666611054188</v>
      </c>
      <c r="X1018" s="8">
        <f>+VLOOKUP($B1018,NIFTY_PHARMA!$B$63:$K$1238,10,0)</f>
        <v>0.14718548827547928</v>
      </c>
      <c r="Y1018" s="8">
        <f>+VLOOKUP($B1018,NIFTY_FMCG!$B$63:$K$1238,10,0)</f>
        <v>0.12253092745472594</v>
      </c>
      <c r="Z1018" s="8">
        <f>+VLOOKUP($B1018,NIFTY_METAL!$B$63:$K$1238,10,0)</f>
        <v>0.37429107834317699</v>
      </c>
      <c r="AA1018" s="8">
        <f>+VLOOKUP($B1018,NIFTY_ENERGY!$B$63:$K$1238,10,0)</f>
        <v>0.12552305249458273</v>
      </c>
      <c r="AB1018" s="8">
        <f>+VLOOKUP($B1018,NIFTY_AUTO!$B$63:$K$1238,10,0)</f>
        <v>0.34210218708665296</v>
      </c>
      <c r="AC1018" s="8">
        <f>+VLOOKUP($B1018,EBBETF0430!$B$63:$K$1238,10,0)</f>
        <v>-0.87176773316502398</v>
      </c>
      <c r="AD1018" s="16">
        <f t="shared" si="552"/>
        <v>8.7009779548213928E-2</v>
      </c>
      <c r="AE1018" s="8">
        <f t="shared" si="553"/>
        <v>0.13441123314540537</v>
      </c>
      <c r="AF1018" s="8">
        <f t="shared" si="554"/>
        <v>0.11125957947143662</v>
      </c>
      <c r="AG1018" s="8">
        <f t="shared" si="555"/>
        <v>0.10679613689327321</v>
      </c>
      <c r="AH1018" s="8">
        <f t="shared" si="556"/>
        <v>7.6581402115490527E-2</v>
      </c>
      <c r="AI1018" s="8">
        <f t="shared" si="557"/>
        <v>0.15780578026927802</v>
      </c>
      <c r="AJ1018" s="8">
        <f t="shared" si="558"/>
        <v>9.9821393140742593E-2</v>
      </c>
      <c r="AK1018" s="8">
        <f t="shared" si="559"/>
        <v>0.12183954536333474</v>
      </c>
      <c r="AL1018" s="8">
        <f t="shared" si="572"/>
        <v>1.0405036740527313E-2</v>
      </c>
      <c r="AM1018" s="17">
        <f t="shared" si="536"/>
        <v>11.492960965909345</v>
      </c>
      <c r="AN1018" s="13">
        <f t="shared" si="537"/>
        <v>7.4398543678131812</v>
      </c>
      <c r="AO1018" s="13">
        <f t="shared" si="538"/>
        <v>8.9879901106109017</v>
      </c>
      <c r="AP1018" s="13">
        <f t="shared" si="539"/>
        <v>9.3636345760273212</v>
      </c>
      <c r="AQ1018" s="13">
        <f t="shared" si="540"/>
        <v>13.058000668255259</v>
      </c>
      <c r="AR1018" s="13">
        <f t="shared" si="541"/>
        <v>6.3369034917074085</v>
      </c>
      <c r="AS1018" s="13">
        <f t="shared" si="542"/>
        <v>10.01789264341418</v>
      </c>
      <c r="AT1018" s="13">
        <f t="shared" si="543"/>
        <v>8.2075158522458729</v>
      </c>
      <c r="AU1018" s="13">
        <f t="shared" si="571"/>
        <v>96.107301198181204</v>
      </c>
      <c r="AV1018" s="18">
        <f t="shared" si="560"/>
        <v>3</v>
      </c>
      <c r="AW1018" s="18">
        <f t="shared" si="561"/>
        <v>8</v>
      </c>
      <c r="AX1018" s="18">
        <f t="shared" si="562"/>
        <v>6</v>
      </c>
      <c r="AY1018" s="18">
        <f t="shared" si="563"/>
        <v>5</v>
      </c>
      <c r="AZ1018" s="18">
        <f t="shared" si="564"/>
        <v>2</v>
      </c>
      <c r="BA1018" s="18">
        <f t="shared" si="565"/>
        <v>9</v>
      </c>
      <c r="BB1018" s="18">
        <f t="shared" si="566"/>
        <v>4</v>
      </c>
      <c r="BC1018" s="18">
        <f t="shared" si="567"/>
        <v>7</v>
      </c>
      <c r="BD1018" s="18">
        <f t="shared" si="568"/>
        <v>1</v>
      </c>
      <c r="BE1018" s="8">
        <f t="shared" si="570"/>
        <v>-1.7972136434222141E-3</v>
      </c>
    </row>
    <row r="1019" spans="1:57" x14ac:dyDescent="0.25">
      <c r="A1019" t="str">
        <f t="shared" si="569"/>
        <v/>
      </c>
      <c r="B1019" s="1">
        <v>44237</v>
      </c>
      <c r="C1019" s="9">
        <f t="shared" si="544"/>
        <v>0.34239266109361893</v>
      </c>
      <c r="D1019" s="9">
        <f t="shared" si="545"/>
        <v>0</v>
      </c>
      <c r="E1019" s="9">
        <f t="shared" si="546"/>
        <v>0</v>
      </c>
      <c r="F1019" s="9">
        <f t="shared" si="547"/>
        <v>0</v>
      </c>
      <c r="G1019" s="9">
        <f t="shared" si="548"/>
        <v>0.31898671257032768</v>
      </c>
      <c r="H1019" s="9">
        <f t="shared" si="549"/>
        <v>0</v>
      </c>
      <c r="I1019" s="9">
        <f t="shared" si="550"/>
        <v>0.33862062633605339</v>
      </c>
      <c r="J1019" s="9">
        <f t="shared" si="551"/>
        <v>0</v>
      </c>
      <c r="K1019" s="9">
        <v>0</v>
      </c>
      <c r="L1019" s="8">
        <f>+VLOOKUP($B1019,NIFTY_50!$B$3:$I$1238,8,0)</f>
        <v>-1.8531632835405709E-4</v>
      </c>
      <c r="M1019" s="8">
        <f>+VLOOKUP($B1019,NIFTY_BANK!$B$3:$I$41238,8,0)</f>
        <v>-7.5825440627903529E-3</v>
      </c>
      <c r="N1019" s="8">
        <f>+VLOOKUP($B1019,NIFTY_IT!$B$3:$I$1238,8,0)</f>
        <v>4.1176687361685893E-3</v>
      </c>
      <c r="O1019" s="8">
        <f>+VLOOKUP($B1019,NIFTY_PHARMA!$B$3:$I$1238,8,0)</f>
        <v>7.2388548951047849E-3</v>
      </c>
      <c r="P1019" s="8">
        <f>+VLOOKUP($B1019,NIFTY_FMCG!$B$3:$I$1238,8,0)</f>
        <v>-1.2649242067932498E-3</v>
      </c>
      <c r="Q1019" s="8">
        <f>+VLOOKUP($B1019,NIFTY_METAL!$B$3:$I$1238,8,0)</f>
        <v>-7.9689212072919791E-4</v>
      </c>
      <c r="R1019" s="8">
        <f>+VLOOKUP($B1019,NIFTY_ENERGY!$B$3:$I$1238,8,0)</f>
        <v>1.1874201318602395E-3</v>
      </c>
      <c r="S1019" s="8">
        <f>+VLOOKUP($B1019,NIFTY_AUTO!$B$3:$I$1238,8,0)</f>
        <v>9.4658770031903483E-3</v>
      </c>
      <c r="T1019" s="8">
        <f>+VLOOKUP($B1019,EBBETF0430!$B$3:$I$1238,8,0)</f>
        <v>-1.2440037230614376E-3</v>
      </c>
      <c r="U1019" s="8">
        <f>+VLOOKUP($B1019,NIFTY_50!$B$63:$K$1238,10,0)</f>
        <v>0.18490252291329234</v>
      </c>
      <c r="V1019" s="8">
        <f>+VLOOKUP($B1019,NIFTY_BANK!$B$63:$K$1238,10,0)</f>
        <v>0.24053042121684864</v>
      </c>
      <c r="W1019" s="8">
        <f>+VLOOKUP($B1019,NIFTY_IT!$B$63:$K$1238,10,0)</f>
        <v>0.2135346100653992</v>
      </c>
      <c r="X1019" s="8">
        <f>+VLOOKUP($B1019,NIFTY_PHARMA!$B$63:$K$1238,10,0)</f>
        <v>0.11539841059259226</v>
      </c>
      <c r="Y1019" s="8">
        <f>+VLOOKUP($B1019,NIFTY_FMCG!$B$63:$K$1238,10,0)</f>
        <v>0.10835905283087377</v>
      </c>
      <c r="Z1019" s="8">
        <f>+VLOOKUP($B1019,NIFTY_METAL!$B$63:$K$1238,10,0)</f>
        <v>0.3273284058902477</v>
      </c>
      <c r="AA1019" s="8">
        <f>+VLOOKUP($B1019,NIFTY_ENERGY!$B$63:$K$1238,10,0)</f>
        <v>0.12253741231365178</v>
      </c>
      <c r="AB1019" s="8">
        <f>+VLOOKUP($B1019,NIFTY_AUTO!$B$63:$K$1238,10,0)</f>
        <v>0.33380778176179859</v>
      </c>
      <c r="AC1019" s="8">
        <f>+VLOOKUP($B1019,EBBETF0430!$B$63:$K$1238,10,0)</f>
        <v>1.7819571865443424</v>
      </c>
      <c r="AD1019" s="16">
        <f t="shared" si="552"/>
        <v>8.6828238089336193E-2</v>
      </c>
      <c r="AE1019" s="8">
        <f t="shared" si="553"/>
        <v>0.13481743964583703</v>
      </c>
      <c r="AF1019" s="8">
        <f t="shared" si="554"/>
        <v>0.11045237284697938</v>
      </c>
      <c r="AG1019" s="8">
        <f t="shared" si="555"/>
        <v>0.101425419871519</v>
      </c>
      <c r="AH1019" s="8">
        <f t="shared" si="556"/>
        <v>7.6032457570739884E-2</v>
      </c>
      <c r="AI1019" s="8">
        <f t="shared" si="557"/>
        <v>0.15515345110747084</v>
      </c>
      <c r="AJ1019" s="8">
        <f t="shared" si="558"/>
        <v>9.9807573020957066E-2</v>
      </c>
      <c r="AK1019" s="8">
        <f t="shared" si="559"/>
        <v>0.12144220973623772</v>
      </c>
      <c r="AL1019" s="8">
        <f t="shared" si="572"/>
        <v>1.0445941766398816E-2</v>
      </c>
      <c r="AM1019" s="17">
        <f t="shared" si="536"/>
        <v>11.516990578239257</v>
      </c>
      <c r="AN1019" s="13">
        <f t="shared" si="537"/>
        <v>7.4174380008030258</v>
      </c>
      <c r="AO1019" s="13">
        <f t="shared" si="538"/>
        <v>9.0536760254612094</v>
      </c>
      <c r="AP1019" s="13">
        <f t="shared" si="539"/>
        <v>9.8594612796945125</v>
      </c>
      <c r="AQ1019" s="13">
        <f t="shared" si="540"/>
        <v>13.152277750191217</v>
      </c>
      <c r="AR1019" s="13">
        <f t="shared" si="541"/>
        <v>6.4452320774181526</v>
      </c>
      <c r="AS1019" s="13">
        <f t="shared" si="542"/>
        <v>10.019279797436065</v>
      </c>
      <c r="AT1019" s="13">
        <f t="shared" si="543"/>
        <v>8.2343692705519445</v>
      </c>
      <c r="AU1019" s="13">
        <f t="shared" si="571"/>
        <v>95.730956802446812</v>
      </c>
      <c r="AV1019" s="18">
        <f t="shared" si="560"/>
        <v>3</v>
      </c>
      <c r="AW1019" s="18">
        <f t="shared" si="561"/>
        <v>8</v>
      </c>
      <c r="AX1019" s="18">
        <f t="shared" si="562"/>
        <v>6</v>
      </c>
      <c r="AY1019" s="18">
        <f t="shared" si="563"/>
        <v>5</v>
      </c>
      <c r="AZ1019" s="18">
        <f t="shared" si="564"/>
        <v>2</v>
      </c>
      <c r="BA1019" s="18">
        <f t="shared" si="565"/>
        <v>9</v>
      </c>
      <c r="BB1019" s="18">
        <f t="shared" si="566"/>
        <v>4</v>
      </c>
      <c r="BC1019" s="18">
        <f t="shared" si="567"/>
        <v>7</v>
      </c>
      <c r="BD1019" s="18">
        <f t="shared" si="568"/>
        <v>1</v>
      </c>
      <c r="BE1019" s="8">
        <f t="shared" si="570"/>
        <v>-6.5855353150343088E-5</v>
      </c>
    </row>
    <row r="1020" spans="1:57" x14ac:dyDescent="0.25">
      <c r="A1020" t="str">
        <f t="shared" si="569"/>
        <v/>
      </c>
      <c r="B1020" s="1">
        <v>44238</v>
      </c>
      <c r="C1020" s="9">
        <f t="shared" si="544"/>
        <v>0.34095162692992276</v>
      </c>
      <c r="D1020" s="9">
        <f t="shared" si="545"/>
        <v>0</v>
      </c>
      <c r="E1020" s="9">
        <f t="shared" si="546"/>
        <v>0</v>
      </c>
      <c r="F1020" s="9">
        <f t="shared" si="547"/>
        <v>0</v>
      </c>
      <c r="G1020" s="9">
        <f t="shared" si="548"/>
        <v>0.31879651048916197</v>
      </c>
      <c r="H1020" s="9">
        <f t="shared" si="549"/>
        <v>0</v>
      </c>
      <c r="I1020" s="9">
        <f t="shared" si="550"/>
        <v>0.34025186258091539</v>
      </c>
      <c r="J1020" s="9">
        <f t="shared" si="551"/>
        <v>0</v>
      </c>
      <c r="K1020" s="9">
        <v>0</v>
      </c>
      <c r="L1020" s="8">
        <f>+VLOOKUP($B1020,NIFTY_50!$B$3:$I$1238,8,0)</f>
        <v>4.4219375765397473E-3</v>
      </c>
      <c r="M1020" s="8">
        <f>+VLOOKUP($B1020,NIFTY_BANK!$B$3:$I$41238,8,0)</f>
        <v>-8.6633075390341041E-4</v>
      </c>
      <c r="N1020" s="8">
        <f>+VLOOKUP($B1020,NIFTY_IT!$B$3:$I$1238,8,0)</f>
        <v>6.1096452426667724E-3</v>
      </c>
      <c r="O1020" s="8">
        <f>+VLOOKUP($B1020,NIFTY_PHARMA!$B$3:$I$1238,8,0)</f>
        <v>1.8790365385434882E-3</v>
      </c>
      <c r="P1020" s="8">
        <f>+VLOOKUP($B1020,NIFTY_FMCG!$B$3:$I$1238,8,0)</f>
        <v>8.0656955656954743E-3</v>
      </c>
      <c r="Q1020" s="8">
        <f>+VLOOKUP($B1020,NIFTY_METAL!$B$3:$I$1238,8,0)</f>
        <v>1.0211202415369547E-2</v>
      </c>
      <c r="R1020" s="8">
        <f>+VLOOKUP($B1020,NIFTY_ENERGY!$B$3:$I$1238,8,0)</f>
        <v>1.3526182623232241E-2</v>
      </c>
      <c r="S1020" s="8">
        <f>+VLOOKUP($B1020,NIFTY_AUTO!$B$3:$I$1238,8,0)</f>
        <v>-4.1413696490280039E-3</v>
      </c>
      <c r="T1020" s="8">
        <f>+VLOOKUP($B1020,EBBETF0430!$B$3:$I$1238,8,0)</f>
        <v>5.8245293332248593E-4</v>
      </c>
      <c r="U1020" s="8">
        <f>+VLOOKUP($B1020,NIFTY_50!$B$63:$K$1238,10,0)</f>
        <v>0.19561414568033531</v>
      </c>
      <c r="V1020" s="8">
        <f>+VLOOKUP($B1020,NIFTY_BANK!$B$63:$K$1238,10,0)</f>
        <v>0.26427217562272798</v>
      </c>
      <c r="W1020" s="8">
        <f>+VLOOKUP($B1020,NIFTY_IT!$B$63:$K$1238,10,0)</f>
        <v>0.21907144712790849</v>
      </c>
      <c r="X1020" s="8">
        <f>+VLOOKUP($B1020,NIFTY_PHARMA!$B$63:$K$1238,10,0)</f>
        <v>0.11456106475415484</v>
      </c>
      <c r="Y1020" s="8">
        <f>+VLOOKUP($B1020,NIFTY_FMCG!$B$63:$K$1238,10,0)</f>
        <v>0.10318595911677897</v>
      </c>
      <c r="Z1020" s="8">
        <f>+VLOOKUP($B1020,NIFTY_METAL!$B$63:$K$1238,10,0)</f>
        <v>0.34502635670673887</v>
      </c>
      <c r="AA1020" s="8">
        <f>+VLOOKUP($B1020,NIFTY_ENERGY!$B$63:$K$1238,10,0)</f>
        <v>0.13991437573047416</v>
      </c>
      <c r="AB1020" s="8">
        <f>+VLOOKUP($B1020,NIFTY_AUTO!$B$63:$K$1238,10,0)</f>
        <v>0.32365811408670897</v>
      </c>
      <c r="AC1020" s="8">
        <f>+VLOOKUP($B1020,EBBETF0430!$B$63:$K$1238,10,0)</f>
        <v>0.83670118716847686</v>
      </c>
      <c r="AD1020" s="16">
        <f t="shared" si="552"/>
        <v>8.651698885556823E-2</v>
      </c>
      <c r="AE1020" s="8">
        <f t="shared" si="553"/>
        <v>0.1328423239642218</v>
      </c>
      <c r="AF1020" s="8">
        <f t="shared" si="554"/>
        <v>0.11047347982242567</v>
      </c>
      <c r="AG1020" s="8">
        <f t="shared" si="555"/>
        <v>0.10142256270236158</v>
      </c>
      <c r="AH1020" s="8">
        <f t="shared" si="556"/>
        <v>7.5487583971840244E-2</v>
      </c>
      <c r="AI1020" s="8">
        <f t="shared" si="557"/>
        <v>0.15503396243305381</v>
      </c>
      <c r="AJ1020" s="8">
        <f t="shared" si="558"/>
        <v>0.10037799217360796</v>
      </c>
      <c r="AK1020" s="8">
        <f t="shared" si="559"/>
        <v>0.12176337989443034</v>
      </c>
      <c r="AL1020" s="8">
        <f t="shared" si="572"/>
        <v>1.0478000843779388E-2</v>
      </c>
      <c r="AM1020" s="17">
        <f t="shared" si="536"/>
        <v>11.558423533086705</v>
      </c>
      <c r="AN1020" s="13">
        <f t="shared" si="537"/>
        <v>7.5277213628792605</v>
      </c>
      <c r="AO1020" s="13">
        <f t="shared" si="538"/>
        <v>9.0519462372996067</v>
      </c>
      <c r="AP1020" s="13">
        <f t="shared" si="539"/>
        <v>9.8597390300089067</v>
      </c>
      <c r="AQ1020" s="13">
        <f t="shared" si="540"/>
        <v>13.247211625862052</v>
      </c>
      <c r="AR1020" s="13">
        <f t="shared" si="541"/>
        <v>6.4501995840544701</v>
      </c>
      <c r="AS1020" s="13">
        <f t="shared" si="542"/>
        <v>9.9623431226882673</v>
      </c>
      <c r="AT1020" s="13">
        <f t="shared" si="543"/>
        <v>8.2126498202251508</v>
      </c>
      <c r="AU1020" s="13">
        <f t="shared" si="571"/>
        <v>95.438053013107279</v>
      </c>
      <c r="AV1020" s="18">
        <f t="shared" si="560"/>
        <v>3</v>
      </c>
      <c r="AW1020" s="18">
        <f t="shared" si="561"/>
        <v>8</v>
      </c>
      <c r="AX1020" s="18">
        <f t="shared" si="562"/>
        <v>6</v>
      </c>
      <c r="AY1020" s="18">
        <f t="shared" si="563"/>
        <v>5</v>
      </c>
      <c r="AZ1020" s="18">
        <f t="shared" si="564"/>
        <v>2</v>
      </c>
      <c r="BA1020" s="18">
        <f t="shared" si="565"/>
        <v>9</v>
      </c>
      <c r="BB1020" s="18">
        <f t="shared" si="566"/>
        <v>4</v>
      </c>
      <c r="BC1020" s="18">
        <f t="shared" si="567"/>
        <v>7</v>
      </c>
      <c r="BD1020" s="18">
        <f t="shared" si="568"/>
        <v>1</v>
      </c>
      <c r="BE1020" s="8">
        <f t="shared" si="570"/>
        <v>8.6671331189303244E-3</v>
      </c>
    </row>
    <row r="1021" spans="1:57" x14ac:dyDescent="0.25">
      <c r="A1021" t="str">
        <f t="shared" si="569"/>
        <v/>
      </c>
      <c r="B1021" s="1">
        <v>44239</v>
      </c>
      <c r="C1021" s="9">
        <f t="shared" si="544"/>
        <v>0.34376377710272005</v>
      </c>
      <c r="D1021" s="9">
        <f t="shared" si="545"/>
        <v>0</v>
      </c>
      <c r="E1021" s="9">
        <f t="shared" si="546"/>
        <v>0</v>
      </c>
      <c r="F1021" s="9">
        <f t="shared" si="547"/>
        <v>0</v>
      </c>
      <c r="G1021" s="9">
        <f t="shared" si="548"/>
        <v>0.31664073860045233</v>
      </c>
      <c r="H1021" s="9">
        <f t="shared" si="549"/>
        <v>0</v>
      </c>
      <c r="I1021" s="9">
        <f t="shared" si="550"/>
        <v>0.33959548429682768</v>
      </c>
      <c r="J1021" s="9">
        <f t="shared" si="551"/>
        <v>0</v>
      </c>
      <c r="K1021" s="9">
        <v>0</v>
      </c>
      <c r="L1021" s="8">
        <f>+VLOOKUP($B1021,NIFTY_50!$B$3:$I$1238,8,0)</f>
        <v>-6.5905241443853235E-4</v>
      </c>
      <c r="M1021" s="8">
        <f>+VLOOKUP($B1021,NIFTY_BANK!$B$3:$I$41238,8,0)</f>
        <v>9.9798333524465654E-3</v>
      </c>
      <c r="N1021" s="8">
        <f>+VLOOKUP($B1021,NIFTY_IT!$B$3:$I$1238,8,0)</f>
        <v>1.9333076070950916E-3</v>
      </c>
      <c r="O1021" s="8">
        <f>+VLOOKUP($B1021,NIFTY_PHARMA!$B$3:$I$1238,8,0)</f>
        <v>-1.1140930254141534E-2</v>
      </c>
      <c r="P1021" s="8">
        <f>+VLOOKUP($B1021,NIFTY_FMCG!$B$3:$I$1238,8,0)</f>
        <v>-1.5536614558775419E-2</v>
      </c>
      <c r="Q1021" s="8">
        <f>+VLOOKUP($B1021,NIFTY_METAL!$B$3:$I$1238,8,0)</f>
        <v>-1.7044012744241055E-2</v>
      </c>
      <c r="R1021" s="8">
        <f>+VLOOKUP($B1021,NIFTY_ENERGY!$B$3:$I$1238,8,0)</f>
        <v>-1.0746187151382869E-2</v>
      </c>
      <c r="S1021" s="8">
        <f>+VLOOKUP($B1021,NIFTY_AUTO!$B$3:$I$1238,8,0)</f>
        <v>-4.8334511297052352E-3</v>
      </c>
      <c r="T1021" s="8">
        <f>+VLOOKUP($B1021,EBBETF0430!$B$3:$I$1238,8,0)</f>
        <v>3.7613512206480237E-4</v>
      </c>
      <c r="U1021" s="8">
        <f>+VLOOKUP($B1021,NIFTY_50!$B$63:$K$1238,10,0)</f>
        <v>0.19208801921391183</v>
      </c>
      <c r="V1021" s="8">
        <f>+VLOOKUP($B1021,NIFTY_BANK!$B$63:$K$1238,10,0)</f>
        <v>0.26850560499127019</v>
      </c>
      <c r="W1021" s="8">
        <f>+VLOOKUP($B1021,NIFTY_IT!$B$63:$K$1238,10,0)</f>
        <v>0.21724040612310125</v>
      </c>
      <c r="X1021" s="8">
        <f>+VLOOKUP($B1021,NIFTY_PHARMA!$B$63:$K$1238,10,0)</f>
        <v>9.0334244379159934E-2</v>
      </c>
      <c r="Y1021" s="8">
        <f>+VLOOKUP($B1021,NIFTY_FMCG!$B$63:$K$1238,10,0)</f>
        <v>8.6675784140080481E-2</v>
      </c>
      <c r="Z1021" s="8">
        <f>+VLOOKUP($B1021,NIFTY_METAL!$B$63:$K$1238,10,0)</f>
        <v>0.3003543453935098</v>
      </c>
      <c r="AA1021" s="8">
        <f>+VLOOKUP($B1021,NIFTY_ENERGY!$B$63:$K$1238,10,0)</f>
        <v>0.11870756336940924</v>
      </c>
      <c r="AB1021" s="8">
        <f>+VLOOKUP($B1021,NIFTY_AUTO!$B$63:$K$1238,10,0)</f>
        <v>0.31332065616387261</v>
      </c>
      <c r="AC1021" s="8">
        <f>+VLOOKUP($B1021,EBBETF0430!$B$63:$K$1238,10,0)</f>
        <v>15.7252080443828</v>
      </c>
      <c r="AD1021" s="16">
        <f t="shared" si="552"/>
        <v>8.659045061873373E-2</v>
      </c>
      <c r="AE1021" s="8">
        <f t="shared" si="553"/>
        <v>0.13295069377617175</v>
      </c>
      <c r="AF1021" s="8">
        <f t="shared" si="554"/>
        <v>0.11048238588001495</v>
      </c>
      <c r="AG1021" s="8">
        <f t="shared" si="555"/>
        <v>0.10182018315712384</v>
      </c>
      <c r="AH1021" s="8">
        <f t="shared" si="556"/>
        <v>7.7365055979856989E-2</v>
      </c>
      <c r="AI1021" s="8">
        <f t="shared" si="557"/>
        <v>0.15610867508870319</v>
      </c>
      <c r="AJ1021" s="8">
        <f t="shared" si="558"/>
        <v>0.10102016682333952</v>
      </c>
      <c r="AK1021" s="8">
        <f t="shared" si="559"/>
        <v>0.12212190273222628</v>
      </c>
      <c r="AL1021" s="8">
        <f t="shared" si="572"/>
        <v>1.0494673729116138E-2</v>
      </c>
      <c r="AM1021" s="17">
        <f t="shared" si="536"/>
        <v>11.548617576816852</v>
      </c>
      <c r="AN1021" s="13">
        <f t="shared" si="537"/>
        <v>7.5215854208594299</v>
      </c>
      <c r="AO1021" s="13">
        <f t="shared" si="538"/>
        <v>9.0512165539764009</v>
      </c>
      <c r="AP1021" s="13">
        <f t="shared" si="539"/>
        <v>9.8212355251497616</v>
      </c>
      <c r="AQ1021" s="13">
        <f t="shared" si="540"/>
        <v>12.925732261608692</v>
      </c>
      <c r="AR1021" s="13">
        <f t="shared" si="541"/>
        <v>6.4057939088380937</v>
      </c>
      <c r="AS1021" s="13">
        <f t="shared" si="542"/>
        <v>9.8990135479459713</v>
      </c>
      <c r="AT1021" s="13">
        <f t="shared" si="543"/>
        <v>8.1885393007073883</v>
      </c>
      <c r="AU1021" s="13">
        <f t="shared" si="571"/>
        <v>95.286430603900257</v>
      </c>
      <c r="AV1021" s="18">
        <f t="shared" si="560"/>
        <v>3</v>
      </c>
      <c r="AW1021" s="18">
        <f t="shared" si="561"/>
        <v>8</v>
      </c>
      <c r="AX1021" s="18">
        <f t="shared" si="562"/>
        <v>6</v>
      </c>
      <c r="AY1021" s="18">
        <f t="shared" si="563"/>
        <v>5</v>
      </c>
      <c r="AZ1021" s="18">
        <f t="shared" si="564"/>
        <v>2</v>
      </c>
      <c r="BA1021" s="18">
        <f t="shared" si="565"/>
        <v>9</v>
      </c>
      <c r="BB1021" s="18">
        <f t="shared" si="566"/>
        <v>4</v>
      </c>
      <c r="BC1021" s="18">
        <f t="shared" si="567"/>
        <v>7</v>
      </c>
      <c r="BD1021" s="18">
        <f t="shared" si="568"/>
        <v>1</v>
      </c>
      <c r="BE1021" s="8">
        <f t="shared" si="570"/>
        <v>-8.8341336929887472E-3</v>
      </c>
    </row>
    <row r="1022" spans="1:57" x14ac:dyDescent="0.25">
      <c r="A1022" t="str">
        <f t="shared" si="569"/>
        <v/>
      </c>
      <c r="B1022" s="1">
        <v>44242</v>
      </c>
      <c r="C1022" s="9">
        <f t="shared" si="544"/>
        <v>0.34616083262456471</v>
      </c>
      <c r="D1022" s="9">
        <f t="shared" si="545"/>
        <v>0</v>
      </c>
      <c r="E1022" s="9">
        <f t="shared" si="546"/>
        <v>0</v>
      </c>
      <c r="F1022" s="9">
        <f t="shared" si="547"/>
        <v>0</v>
      </c>
      <c r="G1022" s="9">
        <f t="shared" si="548"/>
        <v>0.31599058355356363</v>
      </c>
      <c r="H1022" s="9">
        <f t="shared" si="549"/>
        <v>0</v>
      </c>
      <c r="I1022" s="9">
        <f t="shared" si="550"/>
        <v>0.33784858382187166</v>
      </c>
      <c r="J1022" s="9">
        <f t="shared" si="551"/>
        <v>0</v>
      </c>
      <c r="K1022" s="9">
        <v>0</v>
      </c>
      <c r="L1022" s="8">
        <f>+VLOOKUP($B1022,NIFTY_50!$B$3:$I$1238,8,0)</f>
        <v>9.9846339517124516E-3</v>
      </c>
      <c r="M1022" s="8">
        <f>+VLOOKUP($B1022,NIFTY_BANK!$B$3:$I$41238,8,0)</f>
        <v>3.3159414991871694E-2</v>
      </c>
      <c r="N1022" s="8">
        <f>+VLOOKUP($B1022,NIFTY_IT!$B$3:$I$1238,8,0)</f>
        <v>-3.5525680429834283E-3</v>
      </c>
      <c r="O1022" s="8">
        <f>+VLOOKUP($B1022,NIFTY_PHARMA!$B$3:$I$1238,8,0)</f>
        <v>-3.1793207281544111E-3</v>
      </c>
      <c r="P1022" s="8">
        <f>+VLOOKUP($B1022,NIFTY_FMCG!$B$3:$I$1238,8,0)</f>
        <v>9.3137587205949224E-4</v>
      </c>
      <c r="Q1022" s="8">
        <f>+VLOOKUP($B1022,NIFTY_METAL!$B$3:$I$1238,8,0)</f>
        <v>-4.6755109358193048E-3</v>
      </c>
      <c r="R1022" s="8">
        <f>+VLOOKUP($B1022,NIFTY_ENERGY!$B$3:$I$1238,8,0)</f>
        <v>-2.1686414447095181E-3</v>
      </c>
      <c r="S1022" s="8">
        <f>+VLOOKUP($B1022,NIFTY_AUTO!$B$3:$I$1238,8,0)</f>
        <v>4.0138376595111325E-3</v>
      </c>
      <c r="T1022" s="8">
        <f>+VLOOKUP($B1022,EBBETF0430!$B$3:$I$1238,8,0)</f>
        <v>3.77784143808646E-3</v>
      </c>
      <c r="U1022" s="8">
        <f>+VLOOKUP($B1022,NIFTY_50!$B$63:$K$1238,10,0)</f>
        <v>0.18956517686535856</v>
      </c>
      <c r="V1022" s="8">
        <f>+VLOOKUP($B1022,NIFTY_BANK!$B$63:$K$1238,10,0)</f>
        <v>0.27843002196612221</v>
      </c>
      <c r="W1022" s="8">
        <f>+VLOOKUP($B1022,NIFTY_IT!$B$63:$K$1238,10,0)</f>
        <v>0.209997882593288</v>
      </c>
      <c r="X1022" s="8">
        <f>+VLOOKUP($B1022,NIFTY_PHARMA!$B$63:$K$1238,10,0)</f>
        <v>9.0182023471447659E-2</v>
      </c>
      <c r="Y1022" s="8">
        <f>+VLOOKUP($B1022,NIFTY_FMCG!$B$63:$K$1238,10,0)</f>
        <v>8.5277288204925084E-2</v>
      </c>
      <c r="Z1022" s="8">
        <f>+VLOOKUP($B1022,NIFTY_METAL!$B$63:$K$1238,10,0)</f>
        <v>0.25661361290673046</v>
      </c>
      <c r="AA1022" s="8">
        <f>+VLOOKUP($B1022,NIFTY_ENERGY!$B$63:$K$1238,10,0)</f>
        <v>0.1123526715352301</v>
      </c>
      <c r="AB1022" s="8">
        <f>+VLOOKUP($B1022,NIFTY_AUTO!$B$63:$K$1238,10,0)</f>
        <v>0.30033647655049234</v>
      </c>
      <c r="AC1022" s="8">
        <f>+VLOOKUP($B1022,EBBETF0430!$B$63:$K$1238,10,0)</f>
        <v>-0.39976570508127107</v>
      </c>
      <c r="AD1022" s="16">
        <f t="shared" si="552"/>
        <v>8.6389168047752082E-2</v>
      </c>
      <c r="AE1022" s="8">
        <f t="shared" si="553"/>
        <v>0.13445242087865159</v>
      </c>
      <c r="AF1022" s="8">
        <f t="shared" si="554"/>
        <v>0.1106899703890986</v>
      </c>
      <c r="AG1022" s="8">
        <f t="shared" si="555"/>
        <v>0.10182648824246016</v>
      </c>
      <c r="AH1022" s="8">
        <f t="shared" si="556"/>
        <v>7.7362151493368905E-2</v>
      </c>
      <c r="AI1022" s="8">
        <f t="shared" si="557"/>
        <v>0.15422940471391558</v>
      </c>
      <c r="AJ1022" s="8">
        <f t="shared" si="558"/>
        <v>0.10108766162823574</v>
      </c>
      <c r="AK1022" s="8">
        <f t="shared" si="559"/>
        <v>0.12175122832915038</v>
      </c>
      <c r="AL1022" s="8">
        <f t="shared" si="572"/>
        <v>1.1235840002495452E-2</v>
      </c>
      <c r="AM1022" s="17">
        <f t="shared" si="536"/>
        <v>11.575525295569978</v>
      </c>
      <c r="AN1022" s="13">
        <f t="shared" si="537"/>
        <v>7.4375752661421988</v>
      </c>
      <c r="AO1022" s="13">
        <f t="shared" si="538"/>
        <v>9.0342421854915038</v>
      </c>
      <c r="AP1022" s="13">
        <f t="shared" si="539"/>
        <v>9.8206273952892218</v>
      </c>
      <c r="AQ1022" s="13">
        <f t="shared" si="540"/>
        <v>12.926217545613568</v>
      </c>
      <c r="AR1022" s="13">
        <f t="shared" si="541"/>
        <v>6.4838478878585306</v>
      </c>
      <c r="AS1022" s="13">
        <f t="shared" si="542"/>
        <v>9.8924041163168095</v>
      </c>
      <c r="AT1022" s="13">
        <f t="shared" si="543"/>
        <v>8.2134694961477788</v>
      </c>
      <c r="AU1022" s="13">
        <f t="shared" si="571"/>
        <v>89.000911349565541</v>
      </c>
      <c r="AV1022" s="18">
        <f t="shared" si="560"/>
        <v>3</v>
      </c>
      <c r="AW1022" s="18">
        <f t="shared" si="561"/>
        <v>8</v>
      </c>
      <c r="AX1022" s="18">
        <f t="shared" si="562"/>
        <v>6</v>
      </c>
      <c r="AY1022" s="18">
        <f t="shared" si="563"/>
        <v>5</v>
      </c>
      <c r="AZ1022" s="18">
        <f t="shared" si="564"/>
        <v>2</v>
      </c>
      <c r="BA1022" s="18">
        <f t="shared" si="565"/>
        <v>9</v>
      </c>
      <c r="BB1022" s="18">
        <f t="shared" si="566"/>
        <v>4</v>
      </c>
      <c r="BC1022" s="18">
        <f t="shared" si="567"/>
        <v>7</v>
      </c>
      <c r="BD1022" s="18">
        <f t="shared" si="568"/>
        <v>1</v>
      </c>
      <c r="BE1022" s="8">
        <f t="shared" si="570"/>
        <v>2.9908061825899878E-3</v>
      </c>
    </row>
    <row r="1023" spans="1:57" x14ac:dyDescent="0.25">
      <c r="A1023" t="str">
        <f t="shared" si="569"/>
        <v/>
      </c>
      <c r="B1023" s="1">
        <v>44243</v>
      </c>
      <c r="C1023" s="9">
        <f t="shared" si="544"/>
        <v>0.34417373893966657</v>
      </c>
      <c r="D1023" s="9">
        <f t="shared" si="545"/>
        <v>0</v>
      </c>
      <c r="E1023" s="9">
        <f t="shared" si="546"/>
        <v>0</v>
      </c>
      <c r="F1023" s="9">
        <f t="shared" si="547"/>
        <v>0</v>
      </c>
      <c r="G1023" s="9">
        <f t="shared" si="548"/>
        <v>0.31202436621735891</v>
      </c>
      <c r="H1023" s="9">
        <f t="shared" si="549"/>
        <v>0</v>
      </c>
      <c r="I1023" s="9">
        <f t="shared" si="550"/>
        <v>0.34380189484297452</v>
      </c>
      <c r="J1023" s="9">
        <f t="shared" si="551"/>
        <v>0</v>
      </c>
      <c r="K1023" s="9">
        <v>0</v>
      </c>
      <c r="L1023" s="8">
        <f>+VLOOKUP($B1023,NIFTY_50!$B$3:$I$1238,8,0)</f>
        <v>-8.1620926299597052E-5</v>
      </c>
      <c r="M1023" s="8">
        <f>+VLOOKUP($B1023,NIFTY_BANK!$B$3:$I$41238,8,0)</f>
        <v>-5.5714525046071106E-3</v>
      </c>
      <c r="N1023" s="8">
        <f>+VLOOKUP($B1023,NIFTY_IT!$B$3:$I$1238,8,0)</f>
        <v>-1.4889754664225707E-2</v>
      </c>
      <c r="O1023" s="8">
        <f>+VLOOKUP($B1023,NIFTY_PHARMA!$B$3:$I$1238,8,0)</f>
        <v>4.6331531333609899E-3</v>
      </c>
      <c r="P1023" s="8">
        <f>+VLOOKUP($B1023,NIFTY_FMCG!$B$3:$I$1238,8,0)</f>
        <v>-6.9317047458915537E-3</v>
      </c>
      <c r="Q1023" s="8">
        <f>+VLOOKUP($B1023,NIFTY_METAL!$B$3:$I$1238,8,0)</f>
        <v>2.8876496779492555E-2</v>
      </c>
      <c r="R1023" s="8">
        <f>+VLOOKUP($B1023,NIFTY_ENERGY!$B$3:$I$1238,8,0)</f>
        <v>2.3412957145397373E-2</v>
      </c>
      <c r="S1023" s="8">
        <f>+VLOOKUP($B1023,NIFTY_AUTO!$B$3:$I$1238,8,0)</f>
        <v>-1.0177025479073398E-3</v>
      </c>
      <c r="T1023" s="8">
        <f>+VLOOKUP($B1023,EBBETF0430!$B$3:$I$1238,8,0)</f>
        <v>-3.3355332393913972E-3</v>
      </c>
      <c r="U1023" s="8">
        <f>+VLOOKUP($B1023,NIFTY_50!$B$63:$K$1238,10,0)</f>
        <v>0.18357969586304179</v>
      </c>
      <c r="V1023" s="8">
        <f>+VLOOKUP($B1023,NIFTY_BANK!$B$63:$K$1238,10,0)</f>
        <v>0.24701132946888826</v>
      </c>
      <c r="W1023" s="8">
        <f>+VLOOKUP($B1023,NIFTY_IT!$B$63:$K$1238,10,0)</f>
        <v>0.20169506236262524</v>
      </c>
      <c r="X1023" s="8">
        <f>+VLOOKUP($B1023,NIFTY_PHARMA!$B$63:$K$1238,10,0)</f>
        <v>0.10257514240567622</v>
      </c>
      <c r="Y1023" s="8">
        <f>+VLOOKUP($B1023,NIFTY_FMCG!$B$63:$K$1238,10,0)</f>
        <v>8.9544258444699043E-2</v>
      </c>
      <c r="Z1023" s="8">
        <f>+VLOOKUP($B1023,NIFTY_METAL!$B$63:$K$1238,10,0)</f>
        <v>0.28770063119927869</v>
      </c>
      <c r="AA1023" s="8">
        <f>+VLOOKUP($B1023,NIFTY_ENERGY!$B$63:$K$1238,10,0)</f>
        <v>0.13941210852800867</v>
      </c>
      <c r="AB1023" s="8">
        <f>+VLOOKUP($B1023,NIFTY_AUTO!$B$63:$K$1238,10,0)</f>
        <v>0.25997513411461326</v>
      </c>
      <c r="AC1023" s="8">
        <f>+VLOOKUP($B1023,EBBETF0430!$B$63:$K$1238,10,0)</f>
        <v>5.2802294792586055</v>
      </c>
      <c r="AD1023" s="16">
        <f t="shared" si="552"/>
        <v>8.6413891859688299E-2</v>
      </c>
      <c r="AE1023" s="8">
        <f t="shared" si="553"/>
        <v>0.13389586696458991</v>
      </c>
      <c r="AF1023" s="8">
        <f t="shared" si="554"/>
        <v>0.11158780213124181</v>
      </c>
      <c r="AG1023" s="8">
        <f t="shared" si="555"/>
        <v>0.10153694006435111</v>
      </c>
      <c r="AH1023" s="8">
        <f t="shared" si="556"/>
        <v>7.6842624141114077E-2</v>
      </c>
      <c r="AI1023" s="8">
        <f t="shared" si="557"/>
        <v>0.15619887277756786</v>
      </c>
      <c r="AJ1023" s="8">
        <f t="shared" si="558"/>
        <v>0.10328300615920528</v>
      </c>
      <c r="AK1023" s="8">
        <f t="shared" si="559"/>
        <v>0.11887622767324202</v>
      </c>
      <c r="AL1023" s="8">
        <f t="shared" si="572"/>
        <v>1.165225023038907E-2</v>
      </c>
      <c r="AM1023" s="17">
        <f t="shared" si="536"/>
        <v>11.57221343095757</v>
      </c>
      <c r="AN1023" s="13">
        <f t="shared" si="537"/>
        <v>7.4684904222208734</v>
      </c>
      <c r="AO1023" s="13">
        <f t="shared" si="538"/>
        <v>8.9615529735397921</v>
      </c>
      <c r="AP1023" s="13">
        <f t="shared" si="539"/>
        <v>9.8486324225078032</v>
      </c>
      <c r="AQ1023" s="13">
        <f t="shared" si="540"/>
        <v>13.01361075545255</v>
      </c>
      <c r="AR1023" s="13">
        <f t="shared" si="541"/>
        <v>6.402094856497663</v>
      </c>
      <c r="AS1023" s="13">
        <f t="shared" si="542"/>
        <v>9.6821349144171212</v>
      </c>
      <c r="AT1023" s="13">
        <f t="shared" si="543"/>
        <v>8.4121108111600265</v>
      </c>
      <c r="AU1023" s="13">
        <f t="shared" si="571"/>
        <v>85.82033343156327</v>
      </c>
      <c r="AV1023" s="18">
        <f t="shared" si="560"/>
        <v>3</v>
      </c>
      <c r="AW1023" s="18">
        <f t="shared" si="561"/>
        <v>8</v>
      </c>
      <c r="AX1023" s="18">
        <f t="shared" si="562"/>
        <v>6</v>
      </c>
      <c r="AY1023" s="18">
        <f t="shared" si="563"/>
        <v>4</v>
      </c>
      <c r="AZ1023" s="18">
        <f t="shared" si="564"/>
        <v>2</v>
      </c>
      <c r="BA1023" s="18">
        <f t="shared" si="565"/>
        <v>9</v>
      </c>
      <c r="BB1023" s="18">
        <f t="shared" si="566"/>
        <v>5</v>
      </c>
      <c r="BC1023" s="18">
        <f t="shared" si="567"/>
        <v>7</v>
      </c>
      <c r="BD1023" s="18">
        <f t="shared" si="568"/>
        <v>1</v>
      </c>
      <c r="BE1023" s="8">
        <f t="shared" si="570"/>
        <v>5.6914270191719381E-3</v>
      </c>
    </row>
    <row r="1024" spans="1:57" x14ac:dyDescent="0.25">
      <c r="A1024" t="str">
        <f t="shared" si="569"/>
        <v/>
      </c>
      <c r="B1024" s="1">
        <v>44244</v>
      </c>
      <c r="C1024" s="9">
        <f t="shared" si="544"/>
        <v>0.34213376313245836</v>
      </c>
      <c r="D1024" s="9">
        <f t="shared" si="545"/>
        <v>0</v>
      </c>
      <c r="E1024" s="9">
        <f t="shared" si="546"/>
        <v>0</v>
      </c>
      <c r="F1024" s="9">
        <f t="shared" si="547"/>
        <v>0</v>
      </c>
      <c r="G1024" s="9">
        <f t="shared" si="548"/>
        <v>0.31040922154111195</v>
      </c>
      <c r="H1024" s="9">
        <f t="shared" si="549"/>
        <v>0</v>
      </c>
      <c r="I1024" s="9">
        <f t="shared" si="550"/>
        <v>0.34745701532642964</v>
      </c>
      <c r="J1024" s="9">
        <f t="shared" si="551"/>
        <v>0</v>
      </c>
      <c r="K1024" s="9">
        <v>0</v>
      </c>
      <c r="L1024" s="8">
        <f>+VLOOKUP($B1024,NIFTY_50!$B$3:$I$1238,8,0)</f>
        <v>-6.8273315288195358E-3</v>
      </c>
      <c r="M1024" s="8">
        <f>+VLOOKUP($B1024,NIFTY_BANK!$B$3:$I$41238,8,0)</f>
        <v>-5.0527785564877803E-3</v>
      </c>
      <c r="N1024" s="8">
        <f>+VLOOKUP($B1024,NIFTY_IT!$B$3:$I$1238,8,0)</f>
        <v>-1.2922645667692745E-2</v>
      </c>
      <c r="O1024" s="8">
        <f>+VLOOKUP($B1024,NIFTY_PHARMA!$B$3:$I$1238,8,0)</f>
        <v>-1.71663093606369E-2</v>
      </c>
      <c r="P1024" s="8">
        <f>+VLOOKUP($B1024,NIFTY_FMCG!$B$3:$I$1238,8,0)</f>
        <v>-6.0771842429093725E-3</v>
      </c>
      <c r="Q1024" s="8">
        <f>+VLOOKUP($B1024,NIFTY_METAL!$B$3:$I$1238,8,0)</f>
        <v>1.6525916278027353E-3</v>
      </c>
      <c r="R1024" s="8">
        <f>+VLOOKUP($B1024,NIFTY_ENERGY!$B$3:$I$1238,8,0)</f>
        <v>9.7163155775459309E-3</v>
      </c>
      <c r="S1024" s="8">
        <f>+VLOOKUP($B1024,NIFTY_AUTO!$B$3:$I$1238,8,0)</f>
        <v>2.7912543741834828E-3</v>
      </c>
      <c r="T1024" s="8">
        <f>+VLOOKUP($B1024,EBBETF0430!$B$3:$I$1238,8,0)</f>
        <v>2.156560956403597E-3</v>
      </c>
      <c r="U1024" s="8">
        <f>+VLOOKUP($B1024,NIFTY_50!$B$63:$K$1238,10,0)</f>
        <v>0.19082815913308315</v>
      </c>
      <c r="V1024" s="8">
        <f>+VLOOKUP($B1024,NIFTY_BANK!$B$63:$K$1238,10,0)</f>
        <v>0.27706072542517135</v>
      </c>
      <c r="W1024" s="8">
        <f>+VLOOKUP($B1024,NIFTY_IT!$B$63:$K$1238,10,0)</f>
        <v>0.19742403898751792</v>
      </c>
      <c r="X1024" s="8">
        <f>+VLOOKUP($B1024,NIFTY_PHARMA!$B$63:$K$1238,10,0)</f>
        <v>8.7990420694067373E-2</v>
      </c>
      <c r="Y1024" s="8">
        <f>+VLOOKUP($B1024,NIFTY_FMCG!$B$63:$K$1238,10,0)</f>
        <v>7.8312187150155088E-2</v>
      </c>
      <c r="Z1024" s="8">
        <f>+VLOOKUP($B1024,NIFTY_METAL!$B$63:$K$1238,10,0)</f>
        <v>0.29912992934081695</v>
      </c>
      <c r="AA1024" s="8">
        <f>+VLOOKUP($B1024,NIFTY_ENERGY!$B$63:$K$1238,10,0)</f>
        <v>0.1475655970736387</v>
      </c>
      <c r="AB1024" s="8">
        <f>+VLOOKUP($B1024,NIFTY_AUTO!$B$63:$K$1238,10,0)</f>
        <v>0.27202925257582633</v>
      </c>
      <c r="AC1024" s="8">
        <f>+VLOOKUP($B1024,EBBETF0430!$B$63:$K$1238,10,0)</f>
        <v>0.89940387481371098</v>
      </c>
      <c r="AD1024" s="16">
        <f t="shared" si="552"/>
        <v>8.5518880544777076E-2</v>
      </c>
      <c r="AE1024" s="8">
        <f t="shared" si="553"/>
        <v>0.13022258881628387</v>
      </c>
      <c r="AF1024" s="8">
        <f t="shared" si="554"/>
        <v>0.11203655195970384</v>
      </c>
      <c r="AG1024" s="8">
        <f t="shared" si="555"/>
        <v>0.10310240343958207</v>
      </c>
      <c r="AH1024" s="8">
        <f t="shared" si="556"/>
        <v>7.7147997312421904E-2</v>
      </c>
      <c r="AI1024" s="8">
        <f t="shared" si="557"/>
        <v>0.1557933037585626</v>
      </c>
      <c r="AJ1024" s="8">
        <f t="shared" si="558"/>
        <v>0.10354943364681832</v>
      </c>
      <c r="AK1024" s="8">
        <f t="shared" si="559"/>
        <v>0.11839969913712049</v>
      </c>
      <c r="AL1024" s="8">
        <f t="shared" si="572"/>
        <v>1.1895317187100782E-2</v>
      </c>
      <c r="AM1024" s="17">
        <f t="shared" ref="AM1024:AM1080" si="573">1/AD1024</f>
        <v>11.693324253425033</v>
      </c>
      <c r="AN1024" s="13">
        <f t="shared" ref="AN1024:AN1080" si="574">1/AE1024</f>
        <v>7.6791592694473723</v>
      </c>
      <c r="AO1024" s="13">
        <f t="shared" ref="AO1024:AO1080" si="575">1/AF1024</f>
        <v>8.9256584793833156</v>
      </c>
      <c r="AP1024" s="13">
        <f t="shared" ref="AP1024:AP1080" si="576">1/AG1024</f>
        <v>9.6990949448234662</v>
      </c>
      <c r="AQ1024" s="13">
        <f t="shared" ref="AQ1024:AQ1080" si="577">1/AH1024</f>
        <v>12.96209927459758</v>
      </c>
      <c r="AR1024" s="13">
        <f t="shared" ref="AR1024:AR1080" si="578">1/AI1024</f>
        <v>6.4187611140831127</v>
      </c>
      <c r="AS1024" s="13">
        <f t="shared" ref="AS1024:AS1080" si="579">1/AJ1024</f>
        <v>9.6572232679780203</v>
      </c>
      <c r="AT1024" s="13">
        <f t="shared" ref="AT1024:AT1080" si="580">1/AK1024</f>
        <v>8.4459674077540079</v>
      </c>
      <c r="AU1024" s="13">
        <f t="shared" si="571"/>
        <v>84.066694840587743</v>
      </c>
      <c r="AV1024" s="18">
        <f t="shared" si="560"/>
        <v>3</v>
      </c>
      <c r="AW1024" s="18">
        <f t="shared" si="561"/>
        <v>8</v>
      </c>
      <c r="AX1024" s="18">
        <f t="shared" si="562"/>
        <v>6</v>
      </c>
      <c r="AY1024" s="18">
        <f t="shared" si="563"/>
        <v>4</v>
      </c>
      <c r="AZ1024" s="18">
        <f t="shared" si="564"/>
        <v>2</v>
      </c>
      <c r="BA1024" s="18">
        <f t="shared" si="565"/>
        <v>9</v>
      </c>
      <c r="BB1024" s="18">
        <f t="shared" si="566"/>
        <v>5</v>
      </c>
      <c r="BC1024" s="18">
        <f t="shared" si="567"/>
        <v>7</v>
      </c>
      <c r="BD1024" s="18">
        <f t="shared" si="568"/>
        <v>1</v>
      </c>
      <c r="BE1024" s="8">
        <f t="shared" si="570"/>
        <v>-9.0553007458180545E-4</v>
      </c>
    </row>
    <row r="1025" spans="1:57" x14ac:dyDescent="0.25">
      <c r="A1025" t="str">
        <f t="shared" si="569"/>
        <v/>
      </c>
      <c r="B1025" s="1">
        <v>44245</v>
      </c>
      <c r="C1025" s="9">
        <f t="shared" ref="C1025:C1080" si="581">+IF($A1025="Y",IF(AV1025&lt;=4,0.25,0),C1024*(1+L1025)/SUMPRODUCT($C1024:$J1024,1+$L1025:$S1025))</f>
        <v>0.3382641325866993</v>
      </c>
      <c r="D1025" s="9">
        <f t="shared" ref="D1025:D1080" si="582">+IF($A1025="Y",IF(AW1025&lt;=4,0.25,0),D1024*(1+M1025)/SUMPRODUCT($C1024:$J1024,1+$L1025:$S1025))</f>
        <v>0</v>
      </c>
      <c r="E1025" s="9">
        <f t="shared" ref="E1025:E1080" si="583">+IF($A1025="Y",IF(AX1025&lt;=4,0.25,0),E1024*(1+N1025)/SUMPRODUCT($C1024:$J1024,1+$L1025:$S1025))</f>
        <v>0</v>
      </c>
      <c r="F1025" s="9">
        <f t="shared" ref="F1025:F1080" si="584">+IF($A1025="Y",IF(AY1025&lt;=4,0.25,0),F1024*(1+O1025)/SUMPRODUCT($C1024:$J1024,1+$L1025:$S1025))</f>
        <v>0</v>
      </c>
      <c r="G1025" s="9">
        <f t="shared" ref="G1025:G1080" si="585">+IF($A1025="Y",IF(AZ1025&lt;=4,0.25,0),G1024*(1+P1025)/SUMPRODUCT($C1024:$J1024,1+$L1025:$S1025))</f>
        <v>0.30738281612072915</v>
      </c>
      <c r="H1025" s="9">
        <f t="shared" ref="H1025:H1080" si="586">+IF($A1025="Y",IF(BA1025&lt;=4,0.25,0),H1024*(1+Q1025)/SUMPRODUCT($C1024:$J1024,1+$L1025:$S1025))</f>
        <v>0</v>
      </c>
      <c r="I1025" s="9">
        <f t="shared" ref="I1025:I1080" si="587">+IF($A1025="Y",IF(BB1025&lt;=4,0.25,0),I1024*(1+R1025)/SUMPRODUCT($C1024:$J1024,1+$L1025:$S1025))</f>
        <v>0.3543530512925715</v>
      </c>
      <c r="J1025" s="9">
        <f t="shared" ref="J1025:J1080" si="588">+IF($A1025="Y",IF(BC1025&lt;=4,0.25,0),J1024*(1+S1025)/SUMPRODUCT($C1024:$J1024,1+$L1025:$S1025))</f>
        <v>0</v>
      </c>
      <c r="K1025" s="9">
        <v>0</v>
      </c>
      <c r="L1025" s="8">
        <f>+VLOOKUP($B1025,NIFTY_50!$B$3:$I$1238,8,0)</f>
        <v>-5.9143001795001204E-3</v>
      </c>
      <c r="M1025" s="8">
        <f>+VLOOKUP($B1025,NIFTY_BANK!$B$3:$I$41238,8,0)</f>
        <v>-8.7765283743712619E-3</v>
      </c>
      <c r="N1025" s="8">
        <f>+VLOOKUP($B1025,NIFTY_IT!$B$3:$I$1238,8,0)</f>
        <v>1.3273767499441202E-2</v>
      </c>
      <c r="O1025" s="8">
        <f>+VLOOKUP($B1025,NIFTY_PHARMA!$B$3:$I$1238,8,0)</f>
        <v>-5.312153587590962E-3</v>
      </c>
      <c r="P1025" s="8">
        <f>+VLOOKUP($B1025,NIFTY_FMCG!$B$3:$I$1238,8,0)</f>
        <v>-4.3452253983123912E-3</v>
      </c>
      <c r="Q1025" s="8">
        <f>+VLOOKUP($B1025,NIFTY_METAL!$B$3:$I$1238,8,0)</f>
        <v>1.3142992967100531E-2</v>
      </c>
      <c r="R1025" s="8">
        <f>+VLOOKUP($B1025,NIFTY_ENERGY!$B$3:$I$1238,8,0)</f>
        <v>2.5413196616308253E-2</v>
      </c>
      <c r="S1025" s="8">
        <f>+VLOOKUP($B1025,NIFTY_AUTO!$B$3:$I$1238,8,0)</f>
        <v>-1.3525641317668091E-2</v>
      </c>
      <c r="T1025" s="8">
        <f>+VLOOKUP($B1025,EBBETF0430!$B$3:$I$1238,8,0)</f>
        <v>-1.9554793603172582E-3</v>
      </c>
      <c r="U1025" s="8">
        <f>+VLOOKUP($B1025,NIFTY_50!$B$63:$K$1238,10,0)</f>
        <v>0.17574393131685473</v>
      </c>
      <c r="V1025" s="8">
        <f>+VLOOKUP($B1025,NIFTY_BANK!$B$63:$K$1238,10,0)</f>
        <v>0.25143658503215205</v>
      </c>
      <c r="W1025" s="8">
        <f>+VLOOKUP($B1025,NIFTY_IT!$B$63:$K$1238,10,0)</f>
        <v>0.19661127783551491</v>
      </c>
      <c r="X1025" s="8">
        <f>+VLOOKUP($B1025,NIFTY_PHARMA!$B$63:$K$1238,10,0)</f>
        <v>8.5952241525148132E-2</v>
      </c>
      <c r="Y1025" s="8">
        <f>+VLOOKUP($B1025,NIFTY_FMCG!$B$63:$K$1238,10,0)</f>
        <v>6.1026535280493954E-2</v>
      </c>
      <c r="Z1025" s="8">
        <f>+VLOOKUP($B1025,NIFTY_METAL!$B$63:$K$1238,10,0)</f>
        <v>0.30572123614740065</v>
      </c>
      <c r="AA1025" s="8">
        <f>+VLOOKUP($B1025,NIFTY_ENERGY!$B$63:$K$1238,10,0)</f>
        <v>0.17612431272419693</v>
      </c>
      <c r="AB1025" s="8">
        <f>+VLOOKUP($B1025,NIFTY_AUTO!$B$63:$K$1238,10,0)</f>
        <v>0.24666801001755956</v>
      </c>
      <c r="AC1025" s="8">
        <f>+VLOOKUP($B1025,EBBETF0430!$B$63:$K$1238,10,0)</f>
        <v>0.32780082987551862</v>
      </c>
      <c r="AD1025" s="16">
        <f t="shared" ref="AD1025:AD1080" si="589">+_xlfn.STDEV.S(L965:L1025)*SQRT(60)</f>
        <v>8.5870077140112216E-2</v>
      </c>
      <c r="AE1025" s="8">
        <f t="shared" ref="AE1025:AE1080" si="590">+_xlfn.STDEV.S(M965:M1025)*SQRT(60)</f>
        <v>0.13062968022885482</v>
      </c>
      <c r="AF1025" s="8">
        <f t="shared" ref="AF1025:AF1080" si="591">+_xlfn.STDEV.S(N965:N1025)*SQRT(60)</f>
        <v>0.11197164375940223</v>
      </c>
      <c r="AG1025" s="8">
        <f t="shared" ref="AG1025:AG1080" si="592">+_xlfn.STDEV.S(O965:O1025)*SQRT(60)</f>
        <v>0.10320799132566187</v>
      </c>
      <c r="AH1025" s="8">
        <f t="shared" ref="AH1025:AH1080" si="593">+_xlfn.STDEV.S(P965:P1025)*SQRT(60)</f>
        <v>7.6596734075317738E-2</v>
      </c>
      <c r="AI1025" s="8">
        <f t="shared" ref="AI1025:AI1080" si="594">+_xlfn.STDEV.S(Q965:Q1025)*SQRT(60)</f>
        <v>0.15599164380627106</v>
      </c>
      <c r="AJ1025" s="8">
        <f t="shared" ref="AJ1025:AJ1080" si="595">+_xlfn.STDEV.S(R965:R1025)*SQRT(60)</f>
        <v>0.10602352930157442</v>
      </c>
      <c r="AK1025" s="8">
        <f t="shared" ref="AK1025:AK1088" si="596">+_xlfn.STDEV.S(S965:S1025)*SQRT(60)</f>
        <v>0.11964640319650802</v>
      </c>
      <c r="AL1025" s="8">
        <f t="shared" si="572"/>
        <v>1.2014827234868058E-2</v>
      </c>
      <c r="AM1025" s="17">
        <f t="shared" si="573"/>
        <v>11.645500194070202</v>
      </c>
      <c r="AN1025" s="13">
        <f t="shared" si="574"/>
        <v>7.6552281093244972</v>
      </c>
      <c r="AO1025" s="13">
        <f t="shared" si="575"/>
        <v>8.930832543181543</v>
      </c>
      <c r="AP1025" s="13">
        <f t="shared" si="576"/>
        <v>9.689172196410702</v>
      </c>
      <c r="AQ1025" s="13">
        <f t="shared" si="577"/>
        <v>13.055386917889969</v>
      </c>
      <c r="AR1025" s="13">
        <f t="shared" si="578"/>
        <v>6.4105997962424111</v>
      </c>
      <c r="AS1025" s="13">
        <f t="shared" si="579"/>
        <v>9.4318686294208298</v>
      </c>
      <c r="AT1025" s="13">
        <f t="shared" si="580"/>
        <v>8.3579612364743934</v>
      </c>
      <c r="AU1025" s="13">
        <f t="shared" si="571"/>
        <v>83.230493493732013</v>
      </c>
      <c r="AV1025" s="18">
        <f t="shared" ref="AV1025:AV1080" si="597">+RANK(AM1025,$AM1025:$AU1025)</f>
        <v>3</v>
      </c>
      <c r="AW1025" s="18">
        <f t="shared" ref="AW1025:AW1080" si="598">+RANK(AN1025,$AM1025:$AU1025)</f>
        <v>8</v>
      </c>
      <c r="AX1025" s="18">
        <f t="shared" ref="AX1025:AX1080" si="599">+RANK(AO1025,$AM1025:$AU1025)</f>
        <v>6</v>
      </c>
      <c r="AY1025" s="18">
        <f t="shared" ref="AY1025:AY1080" si="600">+RANK(AP1025,$AM1025:$AU1025)</f>
        <v>4</v>
      </c>
      <c r="AZ1025" s="18">
        <f t="shared" ref="AZ1025:AZ1080" si="601">+RANK(AQ1025,$AM1025:$AU1025)</f>
        <v>2</v>
      </c>
      <c r="BA1025" s="18">
        <f t="shared" ref="BA1025:BA1080" si="602">+RANK(AR1025,$AM1025:$AU1025)</f>
        <v>9</v>
      </c>
      <c r="BB1025" s="18">
        <f t="shared" ref="BB1025:BB1080" si="603">+RANK(AS1025,$AM1025:$AU1025)</f>
        <v>5</v>
      </c>
      <c r="BC1025" s="18">
        <f t="shared" ref="BC1025:BC1080" si="604">+RANK(AT1025,$AM1025:$AU1025)</f>
        <v>7</v>
      </c>
      <c r="BD1025" s="18">
        <f t="shared" ref="BD1025:BD1080" si="605">+RANK(AU1025,$AM1025:$AU1025)</f>
        <v>1</v>
      </c>
      <c r="BE1025" s="8">
        <f t="shared" si="570"/>
        <v>5.4577136361880184E-3</v>
      </c>
    </row>
    <row r="1026" spans="1:57" x14ac:dyDescent="0.25">
      <c r="A1026" t="str">
        <f t="shared" si="569"/>
        <v/>
      </c>
      <c r="B1026" s="1">
        <v>44246</v>
      </c>
      <c r="C1026" s="9">
        <f t="shared" si="581"/>
        <v>0.33691081893385283</v>
      </c>
      <c r="D1026" s="9">
        <f t="shared" si="582"/>
        <v>0</v>
      </c>
      <c r="E1026" s="9">
        <f t="shared" si="583"/>
        <v>0</v>
      </c>
      <c r="F1026" s="9">
        <f t="shared" si="584"/>
        <v>0</v>
      </c>
      <c r="G1026" s="9">
        <f t="shared" si="585"/>
        <v>0.30861329139876359</v>
      </c>
      <c r="H1026" s="9">
        <f t="shared" si="586"/>
        <v>0</v>
      </c>
      <c r="I1026" s="9">
        <f t="shared" si="587"/>
        <v>0.35447588966738364</v>
      </c>
      <c r="J1026" s="9">
        <f t="shared" si="588"/>
        <v>0</v>
      </c>
      <c r="K1026" s="9">
        <v>0</v>
      </c>
      <c r="L1026" s="8">
        <f>+VLOOKUP($B1026,NIFTY_50!$B$3:$I$1238,8,0)</f>
        <v>-9.0747042618700702E-3</v>
      </c>
      <c r="M1026" s="8">
        <f>+VLOOKUP($B1026,NIFTY_BANK!$B$3:$I$41238,8,0)</f>
        <v>-2.0373356656736008E-2</v>
      </c>
      <c r="N1026" s="8">
        <f>+VLOOKUP($B1026,NIFTY_IT!$B$3:$I$1238,8,0)</f>
        <v>-4.5025967511821419E-3</v>
      </c>
      <c r="O1026" s="8">
        <f>+VLOOKUP($B1026,NIFTY_PHARMA!$B$3:$I$1238,8,0)</f>
        <v>-1.3588975434391859E-2</v>
      </c>
      <c r="P1026" s="8">
        <f>+VLOOKUP($B1026,NIFTY_FMCG!$B$3:$I$1238,8,0)</f>
        <v>-1.1116471254483118E-3</v>
      </c>
      <c r="Q1026" s="8">
        <f>+VLOOKUP($B1026,NIFTY_METAL!$B$3:$I$1238,8,0)</f>
        <v>-1.9582948068616268E-2</v>
      </c>
      <c r="R1026" s="8">
        <f>+VLOOKUP($B1026,NIFTY_ENERGY!$B$3:$I$1238,8,0)</f>
        <v>-4.7494359545354747E-3</v>
      </c>
      <c r="S1026" s="8">
        <f>+VLOOKUP($B1026,NIFTY_AUTO!$B$3:$I$1238,8,0)</f>
        <v>-2.6475477971737327E-2</v>
      </c>
      <c r="T1026" s="8">
        <f>+VLOOKUP($B1026,EBBETF0430!$B$3:$I$1238,8,0)</f>
        <v>3.2207847978948934E-4</v>
      </c>
      <c r="U1026" s="8">
        <f>+VLOOKUP($B1026,NIFTY_50!$B$63:$K$1238,10,0)</f>
        <v>0.15899957064778025</v>
      </c>
      <c r="V1026" s="8">
        <f>+VLOOKUP($B1026,NIFTY_BANK!$B$63:$K$1238,10,0)</f>
        <v>0.23488674967785506</v>
      </c>
      <c r="W1026" s="8">
        <f>+VLOOKUP($B1026,NIFTY_IT!$B$63:$K$1238,10,0)</f>
        <v>0.15886500007951998</v>
      </c>
      <c r="X1026" s="8">
        <f>+VLOOKUP($B1026,NIFTY_PHARMA!$B$63:$K$1238,10,0)</f>
        <v>5.1988549228095149E-2</v>
      </c>
      <c r="Y1026" s="8">
        <f>+VLOOKUP($B1026,NIFTY_FMCG!$B$63:$K$1238,10,0)</f>
        <v>5.6028078978462625E-2</v>
      </c>
      <c r="Z1026" s="8">
        <f>+VLOOKUP($B1026,NIFTY_METAL!$B$63:$K$1238,10,0)</f>
        <v>0.2647226376130456</v>
      </c>
      <c r="AA1026" s="8">
        <f>+VLOOKUP($B1026,NIFTY_ENERGY!$B$63:$K$1238,10,0)</f>
        <v>0.13873049059617015</v>
      </c>
      <c r="AB1026" s="8">
        <f>+VLOOKUP($B1026,NIFTY_AUTO!$B$63:$K$1238,10,0)</f>
        <v>0.20618291259469479</v>
      </c>
      <c r="AC1026" s="8">
        <f>+VLOOKUP($B1026,EBBETF0430!$B$63:$K$1238,10,0)</f>
        <v>-0.12112057127162867</v>
      </c>
      <c r="AD1026" s="16">
        <f t="shared" si="589"/>
        <v>8.6619877428918815E-2</v>
      </c>
      <c r="AE1026" s="8">
        <f t="shared" si="590"/>
        <v>0.13237905561589725</v>
      </c>
      <c r="AF1026" s="8">
        <f t="shared" si="591"/>
        <v>0.10935606512897894</v>
      </c>
      <c r="AG1026" s="8">
        <f t="shared" si="592"/>
        <v>0.10285096329978327</v>
      </c>
      <c r="AH1026" s="8">
        <f t="shared" si="593"/>
        <v>7.6579974264222375E-2</v>
      </c>
      <c r="AI1026" s="8">
        <f t="shared" si="594"/>
        <v>0.15761586124550858</v>
      </c>
      <c r="AJ1026" s="8">
        <f t="shared" si="595"/>
        <v>0.10317905256063289</v>
      </c>
      <c r="AK1026" s="8">
        <f t="shared" si="596"/>
        <v>0.12330674099097765</v>
      </c>
      <c r="AL1026" s="8">
        <f t="shared" si="572"/>
        <v>1.2026121710164858E-2</v>
      </c>
      <c r="AM1026" s="17">
        <f t="shared" si="573"/>
        <v>11.544694239732797</v>
      </c>
      <c r="AN1026" s="13">
        <f t="shared" si="574"/>
        <v>7.5540650697912302</v>
      </c>
      <c r="AO1026" s="13">
        <f t="shared" si="575"/>
        <v>9.1444402175641546</v>
      </c>
      <c r="AP1026" s="13">
        <f t="shared" si="576"/>
        <v>9.7228063589960296</v>
      </c>
      <c r="AQ1026" s="13">
        <f t="shared" si="577"/>
        <v>13.058244137686959</v>
      </c>
      <c r="AR1026" s="13">
        <f t="shared" si="578"/>
        <v>6.3445391351975751</v>
      </c>
      <c r="AS1026" s="13">
        <f t="shared" si="579"/>
        <v>9.6918897313226697</v>
      </c>
      <c r="AT1026" s="13">
        <f t="shared" si="580"/>
        <v>8.1098567033992897</v>
      </c>
      <c r="AU1026" s="13">
        <f t="shared" si="571"/>
        <v>83.152326585450098</v>
      </c>
      <c r="AV1026" s="18">
        <f t="shared" si="597"/>
        <v>3</v>
      </c>
      <c r="AW1026" s="18">
        <f t="shared" si="598"/>
        <v>8</v>
      </c>
      <c r="AX1026" s="18">
        <f t="shared" si="599"/>
        <v>6</v>
      </c>
      <c r="AY1026" s="18">
        <f t="shared" si="600"/>
        <v>4</v>
      </c>
      <c r="AZ1026" s="18">
        <f t="shared" si="601"/>
        <v>2</v>
      </c>
      <c r="BA1026" s="18">
        <f t="shared" si="602"/>
        <v>9</v>
      </c>
      <c r="BB1026" s="18">
        <f t="shared" si="603"/>
        <v>5</v>
      </c>
      <c r="BC1026" s="18">
        <f t="shared" si="604"/>
        <v>7</v>
      </c>
      <c r="BD1026" s="18">
        <f t="shared" si="605"/>
        <v>1</v>
      </c>
      <c r="BE1026" s="8">
        <f t="shared" si="570"/>
        <v>-5.0943253119834107E-3</v>
      </c>
    </row>
    <row r="1027" spans="1:57" x14ac:dyDescent="0.25">
      <c r="A1027" t="str">
        <f t="shared" si="569"/>
        <v/>
      </c>
      <c r="B1027" s="1">
        <v>44249</v>
      </c>
      <c r="C1027" s="9">
        <f t="shared" si="581"/>
        <v>0.33592127169742991</v>
      </c>
      <c r="D1027" s="9">
        <f t="shared" si="582"/>
        <v>0</v>
      </c>
      <c r="E1027" s="9">
        <f t="shared" si="583"/>
        <v>0</v>
      </c>
      <c r="F1027" s="9">
        <f t="shared" si="584"/>
        <v>0</v>
      </c>
      <c r="G1027" s="9">
        <f t="shared" si="585"/>
        <v>0.3099297786489863</v>
      </c>
      <c r="H1027" s="9">
        <f t="shared" si="586"/>
        <v>0</v>
      </c>
      <c r="I1027" s="9">
        <f t="shared" si="587"/>
        <v>0.35414894965358379</v>
      </c>
      <c r="J1027" s="9">
        <f t="shared" si="588"/>
        <v>0</v>
      </c>
      <c r="K1027" s="9">
        <v>0</v>
      </c>
      <c r="L1027" s="8">
        <f>+VLOOKUP($B1027,NIFTY_50!$B$3:$I$1238,8,0)</f>
        <v>-2.0428187628281025E-2</v>
      </c>
      <c r="M1027" s="8">
        <f>+VLOOKUP($B1027,NIFTY_BANK!$B$3:$I$41238,8,0)</f>
        <v>-1.6305075666264934E-2</v>
      </c>
      <c r="N1027" s="8">
        <f>+VLOOKUP($B1027,NIFTY_IT!$B$3:$I$1238,8,0)</f>
        <v>-2.888853163524574E-2</v>
      </c>
      <c r="O1027" s="8">
        <f>+VLOOKUP($B1027,NIFTY_PHARMA!$B$3:$I$1238,8,0)</f>
        <v>-2.5519542575764942E-2</v>
      </c>
      <c r="P1027" s="8">
        <f>+VLOOKUP($B1027,NIFTY_FMCG!$B$3:$I$1238,8,0)</f>
        <v>-1.3351611432411148E-2</v>
      </c>
      <c r="Q1027" s="8">
        <f>+VLOOKUP($B1027,NIFTY_METAL!$B$3:$I$1238,8,0)</f>
        <v>1.6046845527997622E-2</v>
      </c>
      <c r="R1027" s="8">
        <f>+VLOOKUP($B1027,NIFTY_ENERGY!$B$3:$I$1238,8,0)</f>
        <v>-1.84487327034768E-2</v>
      </c>
      <c r="S1027" s="8">
        <f>+VLOOKUP($B1027,NIFTY_AUTO!$B$3:$I$1238,8,0)</f>
        <v>-2.2802848102767004E-2</v>
      </c>
      <c r="T1027" s="8">
        <f>+VLOOKUP($B1027,EBBETF0430!$B$3:$I$1238,8,0)</f>
        <v>6.260620695823782E-4</v>
      </c>
      <c r="U1027" s="8">
        <f>+VLOOKUP($B1027,NIFTY_50!$B$63:$K$1238,10,0)</f>
        <v>0.12413109002960532</v>
      </c>
      <c r="V1027" s="8">
        <f>+VLOOKUP($B1027,NIFTY_BANK!$B$63:$K$1238,10,0)</f>
        <v>0.18562409099698174</v>
      </c>
      <c r="W1027" s="8">
        <f>+VLOOKUP($B1027,NIFTY_IT!$B$63:$K$1238,10,0)</f>
        <v>0.12246706217736358</v>
      </c>
      <c r="X1027" s="8">
        <f>+VLOOKUP($B1027,NIFTY_PHARMA!$B$63:$K$1238,10,0)</f>
        <v>1.275166655444071E-2</v>
      </c>
      <c r="Y1027" s="8">
        <f>+VLOOKUP($B1027,NIFTY_FMCG!$B$63:$K$1238,10,0)</f>
        <v>3.3283907489900066E-2</v>
      </c>
      <c r="Z1027" s="8">
        <f>+VLOOKUP($B1027,NIFTY_METAL!$B$63:$K$1238,10,0)</f>
        <v>0.27119032104679208</v>
      </c>
      <c r="AA1027" s="8">
        <f>+VLOOKUP($B1027,NIFTY_ENERGY!$B$63:$K$1238,10,0)</f>
        <v>0.11398768570916529</v>
      </c>
      <c r="AB1027" s="8">
        <f>+VLOOKUP($B1027,NIFTY_AUTO!$B$63:$K$1238,10,0)</f>
        <v>0.15887240589787277</v>
      </c>
      <c r="AC1027" s="8">
        <f>+VLOOKUP($B1027,EBBETF0430!$B$63:$K$1238,10,0)</f>
        <v>2.3748845798707294</v>
      </c>
      <c r="AD1027" s="16">
        <f t="shared" si="589"/>
        <v>8.9201702687967802E-2</v>
      </c>
      <c r="AE1027" s="8">
        <f t="shared" si="590"/>
        <v>0.13211318747142556</v>
      </c>
      <c r="AF1027" s="8">
        <f t="shared" si="591"/>
        <v>0.11370497660362869</v>
      </c>
      <c r="AG1027" s="8">
        <f t="shared" si="592"/>
        <v>0.10547912655358764</v>
      </c>
      <c r="AH1027" s="8">
        <f t="shared" si="593"/>
        <v>7.7498103369062404E-2</v>
      </c>
      <c r="AI1027" s="8">
        <f t="shared" si="594"/>
        <v>0.15792251128751303</v>
      </c>
      <c r="AJ1027" s="8">
        <f t="shared" si="595"/>
        <v>0.10518570838161925</v>
      </c>
      <c r="AK1027" s="8">
        <f t="shared" si="596"/>
        <v>0.12514729485871998</v>
      </c>
      <c r="AL1027" s="8">
        <f t="shared" si="572"/>
        <v>1.2055537720851994E-2</v>
      </c>
      <c r="AM1027" s="17">
        <f t="shared" si="573"/>
        <v>11.210548340069831</v>
      </c>
      <c r="AN1027" s="13">
        <f t="shared" si="574"/>
        <v>7.5692670742372909</v>
      </c>
      <c r="AO1027" s="13">
        <f t="shared" si="575"/>
        <v>8.7946898180715767</v>
      </c>
      <c r="AP1027" s="13">
        <f t="shared" si="576"/>
        <v>9.4805487367394896</v>
      </c>
      <c r="AQ1027" s="13">
        <f t="shared" si="577"/>
        <v>12.903541590402385</v>
      </c>
      <c r="AR1027" s="13">
        <f t="shared" si="578"/>
        <v>6.3322194654022717</v>
      </c>
      <c r="AS1027" s="13">
        <f t="shared" si="579"/>
        <v>9.5069949652470633</v>
      </c>
      <c r="AT1027" s="13">
        <f t="shared" si="580"/>
        <v>7.990584224204845</v>
      </c>
      <c r="AU1027" s="13">
        <f t="shared" ref="AU1027:AU1058" si="606">1/AL1027</f>
        <v>82.949431469186067</v>
      </c>
      <c r="AV1027" s="18">
        <f t="shared" si="597"/>
        <v>3</v>
      </c>
      <c r="AW1027" s="18">
        <f t="shared" si="598"/>
        <v>8</v>
      </c>
      <c r="AX1027" s="18">
        <f t="shared" si="599"/>
        <v>6</v>
      </c>
      <c r="AY1027" s="18">
        <f t="shared" si="600"/>
        <v>5</v>
      </c>
      <c r="AZ1027" s="18">
        <f t="shared" si="601"/>
        <v>2</v>
      </c>
      <c r="BA1027" s="18">
        <f t="shared" si="602"/>
        <v>9</v>
      </c>
      <c r="BB1027" s="18">
        <f t="shared" si="603"/>
        <v>4</v>
      </c>
      <c r="BC1027" s="18">
        <f t="shared" si="604"/>
        <v>7</v>
      </c>
      <c r="BD1027" s="18">
        <f t="shared" si="605"/>
        <v>1</v>
      </c>
      <c r="BE1027" s="8">
        <f t="shared" si="570"/>
        <v>-1.754259311111302E-2</v>
      </c>
    </row>
    <row r="1028" spans="1:57" x14ac:dyDescent="0.25">
      <c r="A1028" t="str">
        <f t="shared" ref="A1028:A1080" si="607">+IF(MONTH(B1028)&lt;&gt;MONTH(B1029),"Y","")</f>
        <v/>
      </c>
      <c r="B1028" s="1">
        <v>44250</v>
      </c>
      <c r="C1028" s="9">
        <f t="shared" si="581"/>
        <v>0.33353697530641019</v>
      </c>
      <c r="D1028" s="9">
        <f t="shared" si="582"/>
        <v>0</v>
      </c>
      <c r="E1028" s="9">
        <f t="shared" si="583"/>
        <v>0</v>
      </c>
      <c r="F1028" s="9">
        <f t="shared" si="584"/>
        <v>0</v>
      </c>
      <c r="G1028" s="9">
        <f t="shared" si="585"/>
        <v>0.30831162105272003</v>
      </c>
      <c r="H1028" s="9">
        <f t="shared" si="586"/>
        <v>0</v>
      </c>
      <c r="I1028" s="9">
        <f t="shared" si="587"/>
        <v>0.35815140364086984</v>
      </c>
      <c r="J1028" s="9">
        <f t="shared" si="588"/>
        <v>0</v>
      </c>
      <c r="K1028" s="9">
        <v>0</v>
      </c>
      <c r="L1028" s="8">
        <f>+VLOOKUP($B1028,NIFTY_50!$B$3:$I$1238,8,0)</f>
        <v>2.1872891923382376E-3</v>
      </c>
      <c r="M1028" s="8">
        <f>+VLOOKUP($B1028,NIFTY_BANK!$B$3:$I$41238,8,0)</f>
        <v>-3.977910894795933E-3</v>
      </c>
      <c r="N1028" s="8">
        <f>+VLOOKUP($B1028,NIFTY_IT!$B$3:$I$1238,8,0)</f>
        <v>1.6695973787119733E-3</v>
      </c>
      <c r="O1028" s="8">
        <f>+VLOOKUP($B1028,NIFTY_PHARMA!$B$3:$I$1238,8,0)</f>
        <v>-2.3270696375587985E-4</v>
      </c>
      <c r="P1028" s="8">
        <f>+VLOOKUP($B1028,NIFTY_FMCG!$B$3:$I$1238,8,0)</f>
        <v>4.0815768111712725E-3</v>
      </c>
      <c r="Q1028" s="8">
        <f>+VLOOKUP($B1028,NIFTY_METAL!$B$3:$I$1238,8,0)</f>
        <v>3.8915519104485874E-2</v>
      </c>
      <c r="R1028" s="8">
        <f>+VLOOKUP($B1028,NIFTY_ENERGY!$B$3:$I$1238,8,0)</f>
        <v>2.0758745367934095E-2</v>
      </c>
      <c r="S1028" s="8">
        <f>+VLOOKUP($B1028,NIFTY_AUTO!$B$3:$I$1238,8,0)</f>
        <v>7.7233009708737033E-3</v>
      </c>
      <c r="T1028" s="8">
        <f>+VLOOKUP($B1028,EBBETF0430!$B$3:$I$1238,8,0)</f>
        <v>-5.0947443689668415E-3</v>
      </c>
      <c r="U1028" s="8">
        <f>+VLOOKUP($B1028,NIFTY_50!$B$63:$K$1238,10,0)</f>
        <v>0.14382815902445101</v>
      </c>
      <c r="V1028" s="8">
        <f>+VLOOKUP($B1028,NIFTY_BANK!$B$63:$K$1238,10,0)</f>
        <v>0.20278356235700268</v>
      </c>
      <c r="W1028" s="8">
        <f>+VLOOKUP($B1028,NIFTY_IT!$B$63:$K$1238,10,0)</f>
        <v>0.14290584587600597</v>
      </c>
      <c r="X1028" s="8">
        <f>+VLOOKUP($B1028,NIFTY_PHARMA!$B$63:$K$1238,10,0)</f>
        <v>3.3888545104510337E-2</v>
      </c>
      <c r="Y1028" s="8">
        <f>+VLOOKUP($B1028,NIFTY_FMCG!$B$63:$K$1238,10,0)</f>
        <v>5.0386906560395683E-2</v>
      </c>
      <c r="Z1028" s="8">
        <f>+VLOOKUP($B1028,NIFTY_METAL!$B$63:$K$1238,10,0)</f>
        <v>0.33125632422644724</v>
      </c>
      <c r="AA1028" s="8">
        <f>+VLOOKUP($B1028,NIFTY_ENERGY!$B$63:$K$1238,10,0)</f>
        <v>0.142146692701977</v>
      </c>
      <c r="AB1028" s="8">
        <f>+VLOOKUP($B1028,NIFTY_AUTO!$B$63:$K$1238,10,0)</f>
        <v>0.18780218459795472</v>
      </c>
      <c r="AC1028" s="8">
        <f>+VLOOKUP($B1028,EBBETF0430!$B$63:$K$1238,10,0)</f>
        <v>4.1852973568281939</v>
      </c>
      <c r="AD1028" s="16">
        <f t="shared" si="589"/>
        <v>8.7528324354452514E-2</v>
      </c>
      <c r="AE1028" s="8">
        <f t="shared" si="590"/>
        <v>0.13058399995628278</v>
      </c>
      <c r="AF1028" s="8">
        <f t="shared" si="591"/>
        <v>0.11220875142277442</v>
      </c>
      <c r="AG1028" s="8">
        <f t="shared" si="592"/>
        <v>0.10334159913509904</v>
      </c>
      <c r="AH1028" s="8">
        <f t="shared" si="593"/>
        <v>7.6476005281829421E-2</v>
      </c>
      <c r="AI1028" s="8">
        <f t="shared" si="594"/>
        <v>0.161139312387276</v>
      </c>
      <c r="AJ1028" s="8">
        <f t="shared" si="595"/>
        <v>0.10663680079112783</v>
      </c>
      <c r="AK1028" s="8">
        <f t="shared" si="596"/>
        <v>0.12370769820203563</v>
      </c>
      <c r="AL1028" s="8">
        <f t="shared" si="572"/>
        <v>1.2974749715678514E-2</v>
      </c>
      <c r="AM1028" s="17">
        <f t="shared" si="573"/>
        <v>11.424873118219709</v>
      </c>
      <c r="AN1028" s="13">
        <f t="shared" si="574"/>
        <v>7.6579060247410276</v>
      </c>
      <c r="AO1028" s="13">
        <f t="shared" si="575"/>
        <v>8.9119608526098908</v>
      </c>
      <c r="AP1028" s="13">
        <f t="shared" si="576"/>
        <v>9.6766453042079839</v>
      </c>
      <c r="AQ1028" s="13">
        <f t="shared" si="577"/>
        <v>13.07599679552821</v>
      </c>
      <c r="AR1028" s="13">
        <f t="shared" si="578"/>
        <v>6.2058102717767509</v>
      </c>
      <c r="AS1028" s="13">
        <f t="shared" si="579"/>
        <v>9.3776256656341843</v>
      </c>
      <c r="AT1028" s="13">
        <f t="shared" si="580"/>
        <v>8.0835713099020765</v>
      </c>
      <c r="AU1028" s="13">
        <f t="shared" si="606"/>
        <v>77.072777657638625</v>
      </c>
      <c r="AV1028" s="18">
        <f t="shared" si="597"/>
        <v>3</v>
      </c>
      <c r="AW1028" s="18">
        <f t="shared" si="598"/>
        <v>8</v>
      </c>
      <c r="AX1028" s="18">
        <f t="shared" si="599"/>
        <v>6</v>
      </c>
      <c r="AY1028" s="18">
        <f t="shared" si="600"/>
        <v>4</v>
      </c>
      <c r="AZ1028" s="18">
        <f t="shared" si="601"/>
        <v>2</v>
      </c>
      <c r="BA1028" s="18">
        <f t="shared" si="602"/>
        <v>9</v>
      </c>
      <c r="BB1028" s="18">
        <f t="shared" si="603"/>
        <v>5</v>
      </c>
      <c r="BC1028" s="18">
        <f t="shared" si="604"/>
        <v>7</v>
      </c>
      <c r="BD1028" s="18">
        <f t="shared" si="605"/>
        <v>1</v>
      </c>
      <c r="BE1028" s="8">
        <f t="shared" ref="BE1028:BE1080" si="608">+SUMPRODUCT(C1027:J1027,L1028:S1028)</f>
        <v>9.3514470328655112E-3</v>
      </c>
    </row>
    <row r="1029" spans="1:57" x14ac:dyDescent="0.25">
      <c r="A1029" t="str">
        <f t="shared" si="607"/>
        <v/>
      </c>
      <c r="B1029" s="1">
        <v>44251</v>
      </c>
      <c r="C1029" s="9">
        <f t="shared" si="581"/>
        <v>0.3370340078985995</v>
      </c>
      <c r="D1029" s="9">
        <f t="shared" si="582"/>
        <v>0</v>
      </c>
      <c r="E1029" s="9">
        <f t="shared" si="583"/>
        <v>0</v>
      </c>
      <c r="F1029" s="9">
        <f t="shared" si="584"/>
        <v>0</v>
      </c>
      <c r="G1029" s="9">
        <f t="shared" si="585"/>
        <v>0.3064511926407601</v>
      </c>
      <c r="H1029" s="9">
        <f t="shared" si="586"/>
        <v>0</v>
      </c>
      <c r="I1029" s="9">
        <f t="shared" si="587"/>
        <v>0.35651479946064046</v>
      </c>
      <c r="J1029" s="9">
        <f t="shared" si="588"/>
        <v>0</v>
      </c>
      <c r="K1029" s="9">
        <v>0</v>
      </c>
      <c r="L1029" s="8">
        <f>+VLOOKUP($B1029,NIFTY_50!$B$3:$I$1238,8,0)</f>
        <v>1.8643168930771559E-2</v>
      </c>
      <c r="M1029" s="8">
        <f>+VLOOKUP($B1029,NIFTY_BANK!$B$3:$I$41238,8,0)</f>
        <v>3.8025796659448163E-2</v>
      </c>
      <c r="N1029" s="8">
        <f>+VLOOKUP($B1029,NIFTY_IT!$B$3:$I$1238,8,0)</f>
        <v>-1.1448012318705514E-3</v>
      </c>
      <c r="O1029" s="8">
        <f>+VLOOKUP($B1029,NIFTY_PHARMA!$B$3:$I$1238,8,0)</f>
        <v>5.2786898873602439E-4</v>
      </c>
      <c r="P1029" s="8">
        <f>+VLOOKUP($B1029,NIFTY_FMCG!$B$3:$I$1238,8,0)</f>
        <v>1.9908587035346592E-3</v>
      </c>
      <c r="Q1029" s="8">
        <f>+VLOOKUP($B1029,NIFTY_METAL!$B$3:$I$1238,8,0)</f>
        <v>7.7609313117574796E-3</v>
      </c>
      <c r="R1029" s="8">
        <f>+VLOOKUP($B1029,NIFTY_ENERGY!$B$3:$I$1238,8,0)</f>
        <v>3.4673433952183697E-3</v>
      </c>
      <c r="S1029" s="8">
        <f>+VLOOKUP($B1029,NIFTY_AUTO!$B$3:$I$1238,8,0)</f>
        <v>2.5001083862017381E-3</v>
      </c>
      <c r="T1029" s="8">
        <f>+VLOOKUP($B1029,EBBETF0430!$B$3:$I$1238,8,0)</f>
        <v>8.9839187853746338E-4</v>
      </c>
      <c r="U1029" s="8">
        <f>+VLOOKUP($B1029,NIFTY_50!$B$63:$K$1238,10,0)</f>
        <v>0.15361515361515354</v>
      </c>
      <c r="V1029" s="8">
        <f>+VLOOKUP($B1029,NIFTY_BANK!$B$63:$K$1238,10,0)</f>
        <v>0.233590808720886</v>
      </c>
      <c r="W1029" s="8">
        <f>+VLOOKUP($B1029,NIFTY_IT!$B$63:$K$1238,10,0)</f>
        <v>0.13355504828475895</v>
      </c>
      <c r="X1029" s="8">
        <f>+VLOOKUP($B1029,NIFTY_PHARMA!$B$63:$K$1238,10,0)</f>
        <v>1.9879250079440691E-2</v>
      </c>
      <c r="Y1029" s="8">
        <f>+VLOOKUP($B1029,NIFTY_FMCG!$B$63:$K$1238,10,0)</f>
        <v>4.3859400087693512E-2</v>
      </c>
      <c r="Z1029" s="8">
        <f>+VLOOKUP($B1029,NIFTY_METAL!$B$63:$K$1238,10,0)</f>
        <v>0.29182407138339506</v>
      </c>
      <c r="AA1029" s="8">
        <f>+VLOOKUP($B1029,NIFTY_ENERGY!$B$63:$K$1238,10,0)</f>
        <v>0.14905175578123098</v>
      </c>
      <c r="AB1029" s="8">
        <f>+VLOOKUP($B1029,NIFTY_AUTO!$B$63:$K$1238,10,0)</f>
        <v>0.18679250662940894</v>
      </c>
      <c r="AC1029" s="8">
        <f>+VLOOKUP($B1029,EBBETF0430!$B$63:$K$1238,10,0)</f>
        <v>47.948234155781329</v>
      </c>
      <c r="AD1029" s="16">
        <f t="shared" si="589"/>
        <v>8.870359986410134E-2</v>
      </c>
      <c r="AE1029" s="8">
        <f t="shared" si="590"/>
        <v>0.1348197308754599</v>
      </c>
      <c r="AF1029" s="8">
        <f t="shared" si="591"/>
        <v>0.1121538347367534</v>
      </c>
      <c r="AG1029" s="8">
        <f t="shared" si="592"/>
        <v>0.10242281449018105</v>
      </c>
      <c r="AH1029" s="8">
        <f t="shared" si="593"/>
        <v>7.6121164639644939E-2</v>
      </c>
      <c r="AI1029" s="8">
        <f t="shared" si="594"/>
        <v>0.1575721031248625</v>
      </c>
      <c r="AJ1029" s="8">
        <f t="shared" si="595"/>
        <v>0.10653087665150421</v>
      </c>
      <c r="AK1029" s="8">
        <f t="shared" si="596"/>
        <v>0.12370781683944447</v>
      </c>
      <c r="AL1029" s="8">
        <f t="shared" si="572"/>
        <v>1.3028159182804698E-2</v>
      </c>
      <c r="AM1029" s="17">
        <f t="shared" si="573"/>
        <v>11.273499627208517</v>
      </c>
      <c r="AN1029" s="13">
        <f t="shared" si="574"/>
        <v>7.41731194318844</v>
      </c>
      <c r="AO1029" s="13">
        <f t="shared" si="575"/>
        <v>8.9163246388069748</v>
      </c>
      <c r="AP1029" s="13">
        <f t="shared" si="576"/>
        <v>9.7634497253135617</v>
      </c>
      <c r="AQ1029" s="13">
        <f t="shared" si="577"/>
        <v>13.136950869498211</v>
      </c>
      <c r="AR1029" s="13">
        <f t="shared" si="578"/>
        <v>6.3463010277116441</v>
      </c>
      <c r="AS1029" s="13">
        <f t="shared" si="579"/>
        <v>9.3869498818761485</v>
      </c>
      <c r="AT1029" s="13">
        <f t="shared" si="580"/>
        <v>8.083563557651825</v>
      </c>
      <c r="AU1029" s="13">
        <f t="shared" si="606"/>
        <v>76.756814678765721</v>
      </c>
      <c r="AV1029" s="18">
        <f t="shared" si="597"/>
        <v>3</v>
      </c>
      <c r="AW1029" s="18">
        <f t="shared" si="598"/>
        <v>8</v>
      </c>
      <c r="AX1029" s="18">
        <f t="shared" si="599"/>
        <v>6</v>
      </c>
      <c r="AY1029" s="18">
        <f t="shared" si="600"/>
        <v>4</v>
      </c>
      <c r="AZ1029" s="18">
        <f t="shared" si="601"/>
        <v>2</v>
      </c>
      <c r="BA1029" s="18">
        <f t="shared" si="602"/>
        <v>9</v>
      </c>
      <c r="BB1029" s="18">
        <f t="shared" si="603"/>
        <v>5</v>
      </c>
      <c r="BC1029" s="18">
        <f t="shared" si="604"/>
        <v>7</v>
      </c>
      <c r="BD1029" s="18">
        <f t="shared" si="605"/>
        <v>1</v>
      </c>
      <c r="BE1029" s="8">
        <f t="shared" si="608"/>
        <v>8.0738249533720326E-3</v>
      </c>
    </row>
    <row r="1030" spans="1:57" x14ac:dyDescent="0.25">
      <c r="A1030" t="str">
        <f t="shared" si="607"/>
        <v/>
      </c>
      <c r="B1030" s="1">
        <v>44252</v>
      </c>
      <c r="C1030" s="9">
        <f t="shared" si="581"/>
        <v>0.33538814356156738</v>
      </c>
      <c r="D1030" s="9">
        <f t="shared" si="582"/>
        <v>0</v>
      </c>
      <c r="E1030" s="9">
        <f t="shared" si="583"/>
        <v>0</v>
      </c>
      <c r="F1030" s="9">
        <f t="shared" si="584"/>
        <v>0</v>
      </c>
      <c r="G1030" s="9">
        <f t="shared" si="585"/>
        <v>0.30180255736625283</v>
      </c>
      <c r="H1030" s="9">
        <f t="shared" si="586"/>
        <v>0</v>
      </c>
      <c r="I1030" s="9">
        <f t="shared" si="587"/>
        <v>0.3628092990721799</v>
      </c>
      <c r="J1030" s="9">
        <f t="shared" si="588"/>
        <v>0</v>
      </c>
      <c r="K1030" s="9">
        <v>0</v>
      </c>
      <c r="L1030" s="8">
        <f>+VLOOKUP($B1030,NIFTY_50!$B$3:$I$1238,8,0)</f>
        <v>7.699239086904397E-3</v>
      </c>
      <c r="M1030" s="8">
        <f>+VLOOKUP($B1030,NIFTY_BANK!$B$3:$I$41238,8,0)</f>
        <v>2.6527818546429049E-3</v>
      </c>
      <c r="N1030" s="8">
        <f>+VLOOKUP($B1030,NIFTY_IT!$B$3:$I$1238,8,0)</f>
        <v>3.7551353140108379E-3</v>
      </c>
      <c r="O1030" s="8">
        <f>+VLOOKUP($B1030,NIFTY_PHARMA!$B$3:$I$1238,8,0)</f>
        <v>8.7945595865683845E-3</v>
      </c>
      <c r="P1030" s="8">
        <f>+VLOOKUP($B1030,NIFTY_FMCG!$B$3:$I$1238,8,0)</f>
        <v>-2.7166933098026202E-3</v>
      </c>
      <c r="Q1030" s="8">
        <f>+VLOOKUP($B1030,NIFTY_METAL!$B$3:$I$1238,8,0)</f>
        <v>3.9683484842470085E-2</v>
      </c>
      <c r="R1030" s="8">
        <f>+VLOOKUP($B1030,NIFTY_ENERGY!$B$3:$I$1238,8,0)</f>
        <v>3.0523255813953432E-2</v>
      </c>
      <c r="S1030" s="8">
        <f>+VLOOKUP($B1030,NIFTY_AUTO!$B$3:$I$1238,8,0)</f>
        <v>8.8847244245833235E-3</v>
      </c>
      <c r="T1030" s="8">
        <f>+VLOOKUP($B1030,EBBETF0430!$B$3:$I$1238,8,0)</f>
        <v>3.5903419800975556E-5</v>
      </c>
      <c r="U1030" s="8">
        <f>+VLOOKUP($B1030,NIFTY_50!$B$63:$K$1238,10,0)</f>
        <v>0.16411505943040883</v>
      </c>
      <c r="V1030" s="8">
        <f>+VLOOKUP($B1030,NIFTY_BANK!$B$63:$K$1238,10,0)</f>
        <v>0.23438610830134698</v>
      </c>
      <c r="W1030" s="8">
        <f>+VLOOKUP($B1030,NIFTY_IT!$B$63:$K$1238,10,0)</f>
        <v>0.14277805089846485</v>
      </c>
      <c r="X1030" s="8">
        <f>+VLOOKUP($B1030,NIFTY_PHARMA!$B$63:$K$1238,10,0)</f>
        <v>2.5555044069886845E-2</v>
      </c>
      <c r="Y1030" s="8">
        <f>+VLOOKUP($B1030,NIFTY_FMCG!$B$63:$K$1238,10,0)</f>
        <v>4.044919732146246E-2</v>
      </c>
      <c r="Z1030" s="8">
        <f>+VLOOKUP($B1030,NIFTY_METAL!$B$63:$K$1238,10,0)</f>
        <v>0.3427668119285654</v>
      </c>
      <c r="AA1030" s="8">
        <f>+VLOOKUP($B1030,NIFTY_ENERGY!$B$63:$K$1238,10,0)</f>
        <v>0.19098441100551633</v>
      </c>
      <c r="AB1030" s="8">
        <f>+VLOOKUP($B1030,NIFTY_AUTO!$B$63:$K$1238,10,0)</f>
        <v>0.18065927392145409</v>
      </c>
      <c r="AC1030" s="8">
        <f>+VLOOKUP($B1030,EBBETF0430!$B$63:$K$1238,10,0)</f>
        <v>-0.62567884116429795</v>
      </c>
      <c r="AD1030" s="16">
        <f t="shared" si="589"/>
        <v>8.8772292440395126E-2</v>
      </c>
      <c r="AE1030" s="8">
        <f t="shared" si="590"/>
        <v>0.1348136485761785</v>
      </c>
      <c r="AF1030" s="8">
        <f t="shared" si="591"/>
        <v>0.11197155120426062</v>
      </c>
      <c r="AG1030" s="8">
        <f t="shared" si="592"/>
        <v>0.10272480234855108</v>
      </c>
      <c r="AH1030" s="8">
        <f t="shared" si="593"/>
        <v>7.6198716199298577E-2</v>
      </c>
      <c r="AI1030" s="8">
        <f t="shared" si="594"/>
        <v>0.1613390495765358</v>
      </c>
      <c r="AJ1030" s="8">
        <f t="shared" si="595"/>
        <v>0.1097883245643457</v>
      </c>
      <c r="AK1030" s="8">
        <f t="shared" si="596"/>
        <v>0.12334245505662245</v>
      </c>
      <c r="AL1030" s="8">
        <f t="shared" si="572"/>
        <v>1.3029079694926702E-2</v>
      </c>
      <c r="AM1030" s="17">
        <f t="shared" si="573"/>
        <v>11.264776119997528</v>
      </c>
      <c r="AN1030" s="13">
        <f t="shared" si="574"/>
        <v>7.4176465852041291</v>
      </c>
      <c r="AO1030" s="13">
        <f t="shared" si="575"/>
        <v>8.9308399253644435</v>
      </c>
      <c r="AP1030" s="13">
        <f t="shared" si="576"/>
        <v>9.7347473749031241</v>
      </c>
      <c r="AQ1030" s="13">
        <f t="shared" si="577"/>
        <v>13.123580683229479</v>
      </c>
      <c r="AR1030" s="13">
        <f t="shared" si="578"/>
        <v>6.1981274999740306</v>
      </c>
      <c r="AS1030" s="13">
        <f t="shared" si="579"/>
        <v>9.1084366572504827</v>
      </c>
      <c r="AT1030" s="13">
        <f t="shared" si="580"/>
        <v>8.1075084774413888</v>
      </c>
      <c r="AU1030" s="13">
        <f t="shared" si="606"/>
        <v>76.751391764790782</v>
      </c>
      <c r="AV1030" s="18">
        <f t="shared" si="597"/>
        <v>3</v>
      </c>
      <c r="AW1030" s="18">
        <f t="shared" si="598"/>
        <v>8</v>
      </c>
      <c r="AX1030" s="18">
        <f t="shared" si="599"/>
        <v>6</v>
      </c>
      <c r="AY1030" s="18">
        <f t="shared" si="600"/>
        <v>4</v>
      </c>
      <c r="AZ1030" s="18">
        <f t="shared" si="601"/>
        <v>2</v>
      </c>
      <c r="BA1030" s="18">
        <f t="shared" si="602"/>
        <v>9</v>
      </c>
      <c r="BB1030" s="18">
        <f t="shared" si="603"/>
        <v>5</v>
      </c>
      <c r="BC1030" s="18">
        <f t="shared" si="604"/>
        <v>7</v>
      </c>
      <c r="BD1030" s="18">
        <f t="shared" si="605"/>
        <v>1</v>
      </c>
      <c r="BE1030" s="8">
        <f t="shared" si="608"/>
        <v>1.2644363927798191E-2</v>
      </c>
    </row>
    <row r="1031" spans="1:57" x14ac:dyDescent="0.25">
      <c r="A1031" t="str">
        <f t="shared" si="607"/>
        <v>Y</v>
      </c>
      <c r="B1031" s="1">
        <v>44253</v>
      </c>
      <c r="C1031" s="9">
        <f t="shared" si="581"/>
        <v>0.25</v>
      </c>
      <c r="D1031" s="9">
        <f t="shared" si="582"/>
        <v>0</v>
      </c>
      <c r="E1031" s="9">
        <f t="shared" si="583"/>
        <v>0</v>
      </c>
      <c r="F1031" s="9">
        <f t="shared" si="584"/>
        <v>0.25</v>
      </c>
      <c r="G1031" s="9">
        <f t="shared" si="585"/>
        <v>0.25</v>
      </c>
      <c r="H1031" s="9">
        <f t="shared" si="586"/>
        <v>0</v>
      </c>
      <c r="I1031" s="9">
        <f t="shared" si="587"/>
        <v>0</v>
      </c>
      <c r="J1031" s="9">
        <f t="shared" si="588"/>
        <v>0</v>
      </c>
      <c r="K1031" s="9">
        <v>0</v>
      </c>
      <c r="L1031" s="8">
        <f>+VLOOKUP($B1031,NIFTY_50!$B$3:$I$1238,8,0)</f>
        <v>-3.7635744021301765E-2</v>
      </c>
      <c r="M1031" s="8">
        <f>+VLOOKUP($B1031,NIFTY_BANK!$B$3:$I$41238,8,0)</f>
        <v>-4.7755068538126944E-2</v>
      </c>
      <c r="N1031" s="8">
        <f>+VLOOKUP($B1031,NIFTY_IT!$B$3:$I$1238,8,0)</f>
        <v>-2.295712726329735E-2</v>
      </c>
      <c r="O1031" s="8">
        <f>+VLOOKUP($B1031,NIFTY_PHARMA!$B$3:$I$1238,8,0)</f>
        <v>-1.7608736832568805E-2</v>
      </c>
      <c r="P1031" s="8">
        <f>+VLOOKUP($B1031,NIFTY_FMCG!$B$3:$I$1238,8,0)</f>
        <v>-1.6927864540722037E-2</v>
      </c>
      <c r="Q1031" s="8">
        <f>+VLOOKUP($B1031,NIFTY_METAL!$B$3:$I$1238,8,0)</f>
        <v>-2.6968894771674301E-2</v>
      </c>
      <c r="R1031" s="8">
        <f>+VLOOKUP($B1031,NIFTY_ENERGY!$B$3:$I$1238,8,0)</f>
        <v>-2.9053457121158255E-2</v>
      </c>
      <c r="S1031" s="8">
        <f>+VLOOKUP($B1031,NIFTY_AUTO!$B$3:$I$1238,8,0)</f>
        <v>-3.1248958129920679E-2</v>
      </c>
      <c r="T1031" s="8">
        <f>+VLOOKUP($B1031,EBBETF0430!$B$3:$I$1238,8,0)</f>
        <v>-1.5258405586382473E-4</v>
      </c>
      <c r="U1031" s="8">
        <f>+VLOOKUP($B1031,NIFTY_50!$B$63:$K$1238,10,0)</f>
        <v>0.10832974166701637</v>
      </c>
      <c r="V1031" s="8">
        <f>+VLOOKUP($B1031,NIFTY_BANK!$B$63:$K$1238,10,0)</f>
        <v>0.16720689117424636</v>
      </c>
      <c r="W1031" s="8">
        <f>+VLOOKUP($B1031,NIFTY_IT!$B$63:$K$1238,10,0)</f>
        <v>9.6096685294688067E-2</v>
      </c>
      <c r="X1031" s="8">
        <f>+VLOOKUP($B1031,NIFTY_PHARMA!$B$63:$K$1238,10,0)</f>
        <v>-9.7342083743249264E-3</v>
      </c>
      <c r="Y1031" s="8">
        <f>+VLOOKUP($B1031,NIFTY_FMCG!$B$63:$K$1238,10,0)</f>
        <v>2.3273748038574071E-2</v>
      </c>
      <c r="Z1031" s="8">
        <f>+VLOOKUP($B1031,NIFTY_METAL!$B$63:$K$1238,10,0)</f>
        <v>0.28533481279736383</v>
      </c>
      <c r="AA1031" s="8">
        <f>+VLOOKUP($B1031,NIFTY_ENERGY!$B$63:$K$1238,10,0)</f>
        <v>0.14069503834516417</v>
      </c>
      <c r="AB1031" s="8">
        <f>+VLOOKUP($B1031,NIFTY_AUTO!$B$63:$K$1238,10,0)</f>
        <v>0.13160456874537529</v>
      </c>
      <c r="AC1031" s="8">
        <f>+VLOOKUP($B1031,EBBETF0430!$B$63:$K$1238,10,0)</f>
        <v>8.3756723210591648</v>
      </c>
      <c r="AD1031" s="16">
        <f t="shared" si="589"/>
        <v>9.6900310199274781E-2</v>
      </c>
      <c r="AE1031" s="8">
        <f t="shared" si="590"/>
        <v>0.14405342753134162</v>
      </c>
      <c r="AF1031" s="8">
        <f t="shared" si="591"/>
        <v>0.11348612661858956</v>
      </c>
      <c r="AG1031" s="8">
        <f t="shared" si="592"/>
        <v>0.10283312774018823</v>
      </c>
      <c r="AH1031" s="8">
        <f t="shared" si="593"/>
        <v>7.8174031363446805E-2</v>
      </c>
      <c r="AI1031" s="8">
        <f t="shared" si="594"/>
        <v>0.16399324386012587</v>
      </c>
      <c r="AJ1031" s="8">
        <f t="shared" si="595"/>
        <v>0.11372145847640291</v>
      </c>
      <c r="AK1031" s="8">
        <f t="shared" si="596"/>
        <v>0.12761235150366726</v>
      </c>
      <c r="AL1031" s="8">
        <f t="shared" si="572"/>
        <v>1.3026259983575606E-2</v>
      </c>
      <c r="AM1031" s="17">
        <f t="shared" si="573"/>
        <v>10.319884404327574</v>
      </c>
      <c r="AN1031" s="13">
        <f t="shared" si="574"/>
        <v>6.9418688408676053</v>
      </c>
      <c r="AO1031" s="13">
        <f t="shared" si="575"/>
        <v>8.8116497566337362</v>
      </c>
      <c r="AP1031" s="13">
        <f t="shared" si="576"/>
        <v>9.7244926997313321</v>
      </c>
      <c r="AQ1031" s="13">
        <f t="shared" si="577"/>
        <v>12.791971739960534</v>
      </c>
      <c r="AR1031" s="13">
        <f t="shared" si="578"/>
        <v>6.0978121809269545</v>
      </c>
      <c r="AS1031" s="13">
        <f t="shared" si="579"/>
        <v>8.7934151865234735</v>
      </c>
      <c r="AT1031" s="13">
        <f t="shared" si="580"/>
        <v>7.8362320591769876</v>
      </c>
      <c r="AU1031" s="13">
        <f t="shared" si="606"/>
        <v>76.768005648656484</v>
      </c>
      <c r="AV1031" s="18">
        <f t="shared" si="597"/>
        <v>3</v>
      </c>
      <c r="AW1031" s="18">
        <f t="shared" si="598"/>
        <v>8</v>
      </c>
      <c r="AX1031" s="18">
        <f t="shared" si="599"/>
        <v>5</v>
      </c>
      <c r="AY1031" s="18">
        <f t="shared" si="600"/>
        <v>4</v>
      </c>
      <c r="AZ1031" s="18">
        <f t="shared" si="601"/>
        <v>2</v>
      </c>
      <c r="BA1031" s="18">
        <f t="shared" si="602"/>
        <v>9</v>
      </c>
      <c r="BB1031" s="18">
        <f t="shared" si="603"/>
        <v>6</v>
      </c>
      <c r="BC1031" s="18">
        <f t="shared" si="604"/>
        <v>7</v>
      </c>
      <c r="BD1031" s="18">
        <f t="shared" si="605"/>
        <v>1</v>
      </c>
      <c r="BE1031" s="8">
        <f t="shared" si="608"/>
        <v>-2.8272319541753237E-2</v>
      </c>
    </row>
    <row r="1032" spans="1:57" x14ac:dyDescent="0.25">
      <c r="A1032" t="str">
        <f t="shared" si="607"/>
        <v/>
      </c>
      <c r="B1032" s="1">
        <v>44256</v>
      </c>
      <c r="C1032" s="9">
        <f t="shared" si="581"/>
        <v>0.33412784506097892</v>
      </c>
      <c r="D1032" s="9">
        <f t="shared" si="582"/>
        <v>0</v>
      </c>
      <c r="E1032" s="9">
        <f t="shared" si="583"/>
        <v>0</v>
      </c>
      <c r="F1032" s="9">
        <f t="shared" si="584"/>
        <v>0.33341121544307672</v>
      </c>
      <c r="G1032" s="9">
        <f t="shared" si="585"/>
        <v>0.33246093949594441</v>
      </c>
      <c r="H1032" s="9">
        <f t="shared" si="586"/>
        <v>0</v>
      </c>
      <c r="I1032" s="9">
        <f t="shared" si="587"/>
        <v>0</v>
      </c>
      <c r="J1032" s="9">
        <f t="shared" si="588"/>
        <v>0</v>
      </c>
      <c r="K1032" s="9">
        <v>0</v>
      </c>
      <c r="L1032" s="8">
        <f>+VLOOKUP($B1032,NIFTY_50!$B$3:$I$1238,8,0)</f>
        <v>1.5995429877177836E-2</v>
      </c>
      <c r="M1032" s="8">
        <f>+VLOOKUP($B1032,NIFTY_BANK!$B$3:$I$41238,8,0)</f>
        <v>1.4147961705111012E-2</v>
      </c>
      <c r="N1032" s="8">
        <f>+VLOOKUP($B1032,NIFTY_IT!$B$3:$I$1238,8,0)</f>
        <v>1.0487028551794175E-2</v>
      </c>
      <c r="O1032" s="8">
        <f>+VLOOKUP($B1032,NIFTY_PHARMA!$B$3:$I$1238,8,0)</f>
        <v>1.3816346548847669E-2</v>
      </c>
      <c r="P1032" s="8">
        <f>+VLOOKUP($B1032,NIFTY_FMCG!$B$3:$I$1238,8,0)</f>
        <v>1.0926805812629059E-2</v>
      </c>
      <c r="Q1032" s="8">
        <f>+VLOOKUP($B1032,NIFTY_METAL!$B$3:$I$1238,8,0)</f>
        <v>1.9436778151282308E-2</v>
      </c>
      <c r="R1032" s="8">
        <f>+VLOOKUP($B1032,NIFTY_ENERGY!$B$3:$I$1238,8,0)</f>
        <v>1.9461671282661186E-2</v>
      </c>
      <c r="S1032" s="8">
        <f>+VLOOKUP($B1032,NIFTY_AUTO!$B$3:$I$1238,8,0)</f>
        <v>2.3785877933902855E-2</v>
      </c>
      <c r="T1032" s="8">
        <f>+VLOOKUP($B1032,EBBETF0430!$B$3:$I$1238,8,0)</f>
        <v>-2.0198030467606376E-3</v>
      </c>
      <c r="U1032" s="8">
        <f>+VLOOKUP($B1032,NIFTY_50!$B$63:$K$1238,10,0)</f>
        <v>0.12565437041273464</v>
      </c>
      <c r="V1032" s="8">
        <f>+VLOOKUP($B1032,NIFTY_BANK!$B$63:$K$1238,10,0)</f>
        <v>0.19797102482253259</v>
      </c>
      <c r="W1032" s="8">
        <f>+VLOOKUP($B1032,NIFTY_IT!$B$63:$K$1238,10,0)</f>
        <v>0.10024194632376004</v>
      </c>
      <c r="X1032" s="8">
        <f>+VLOOKUP($B1032,NIFTY_PHARMA!$B$63:$K$1238,10,0)</f>
        <v>3.3916251675125686E-4</v>
      </c>
      <c r="Y1032" s="8">
        <f>+VLOOKUP($B1032,NIFTY_FMCG!$B$63:$K$1238,10,0)</f>
        <v>3.0716289155490628E-2</v>
      </c>
      <c r="Z1032" s="8">
        <f>+VLOOKUP($B1032,NIFTY_METAL!$B$63:$K$1238,10,0)</f>
        <v>0.27760474722968986</v>
      </c>
      <c r="AA1032" s="8">
        <f>+VLOOKUP($B1032,NIFTY_ENERGY!$B$63:$K$1238,10,0)</f>
        <v>0.1471793689618317</v>
      </c>
      <c r="AB1032" s="8">
        <f>+VLOOKUP($B1032,NIFTY_AUTO!$B$63:$K$1238,10,0)</f>
        <v>0.14494650142406273</v>
      </c>
      <c r="AC1032" s="8">
        <f>+VLOOKUP($B1032,EBBETF0430!$B$63:$K$1238,10,0)</f>
        <v>-0.39918479296026821</v>
      </c>
      <c r="AD1032" s="16">
        <f t="shared" si="589"/>
        <v>9.7909168939545974E-2</v>
      </c>
      <c r="AE1032" s="8">
        <f t="shared" si="590"/>
        <v>0.14372886379850142</v>
      </c>
      <c r="AF1032" s="8">
        <f t="shared" si="591"/>
        <v>0.11371876410629136</v>
      </c>
      <c r="AG1032" s="8">
        <f t="shared" si="592"/>
        <v>0.10369339593179899</v>
      </c>
      <c r="AH1032" s="8">
        <f t="shared" si="593"/>
        <v>7.8805496514117904E-2</v>
      </c>
      <c r="AI1032" s="8">
        <f t="shared" si="594"/>
        <v>0.1633062403508968</v>
      </c>
      <c r="AJ1032" s="8">
        <f t="shared" si="595"/>
        <v>0.11444206637424087</v>
      </c>
      <c r="AK1032" s="8">
        <f t="shared" si="596"/>
        <v>0.12905886750167531</v>
      </c>
      <c r="AL1032" s="8">
        <f t="shared" si="572"/>
        <v>1.313051433218264E-2</v>
      </c>
      <c r="AM1032" s="17">
        <f t="shared" si="573"/>
        <v>10.213548034683555</v>
      </c>
      <c r="AN1032" s="13">
        <f t="shared" si="574"/>
        <v>6.9575447378609727</v>
      </c>
      <c r="AO1032" s="13">
        <f t="shared" si="575"/>
        <v>8.7936235313401205</v>
      </c>
      <c r="AP1032" s="13">
        <f t="shared" si="576"/>
        <v>9.6438157031496772</v>
      </c>
      <c r="AQ1032" s="13">
        <f t="shared" si="577"/>
        <v>12.689470204922207</v>
      </c>
      <c r="AR1032" s="13">
        <f t="shared" si="578"/>
        <v>6.123464711766653</v>
      </c>
      <c r="AS1032" s="13">
        <f t="shared" si="579"/>
        <v>8.7380456477416804</v>
      </c>
      <c r="AT1032" s="13">
        <f t="shared" si="580"/>
        <v>7.7484021002045367</v>
      </c>
      <c r="AU1032" s="13">
        <f t="shared" si="606"/>
        <v>76.158478997964238</v>
      </c>
      <c r="AV1032" s="18">
        <f t="shared" si="597"/>
        <v>3</v>
      </c>
      <c r="AW1032" s="18">
        <f t="shared" si="598"/>
        <v>8</v>
      </c>
      <c r="AX1032" s="18">
        <f t="shared" si="599"/>
        <v>5</v>
      </c>
      <c r="AY1032" s="18">
        <f t="shared" si="600"/>
        <v>4</v>
      </c>
      <c r="AZ1032" s="18">
        <f t="shared" si="601"/>
        <v>2</v>
      </c>
      <c r="BA1032" s="18">
        <f t="shared" si="602"/>
        <v>9</v>
      </c>
      <c r="BB1032" s="18">
        <f t="shared" si="603"/>
        <v>6</v>
      </c>
      <c r="BC1032" s="18">
        <f t="shared" si="604"/>
        <v>7</v>
      </c>
      <c r="BD1032" s="18">
        <f t="shared" si="605"/>
        <v>1</v>
      </c>
      <c r="BE1032" s="8">
        <f t="shared" si="608"/>
        <v>1.0184645559663641E-2</v>
      </c>
    </row>
    <row r="1033" spans="1:57" x14ac:dyDescent="0.25">
      <c r="A1033" t="str">
        <f t="shared" si="607"/>
        <v/>
      </c>
      <c r="B1033" s="1">
        <v>44257</v>
      </c>
      <c r="C1033" s="9">
        <f t="shared" si="581"/>
        <v>0.3334594390531293</v>
      </c>
      <c r="D1033" s="9">
        <f t="shared" si="582"/>
        <v>0</v>
      </c>
      <c r="E1033" s="9">
        <f t="shared" si="583"/>
        <v>0</v>
      </c>
      <c r="F1033" s="9">
        <f t="shared" si="584"/>
        <v>0.3337116927939181</v>
      </c>
      <c r="G1033" s="9">
        <f t="shared" si="585"/>
        <v>0.33282886815295259</v>
      </c>
      <c r="H1033" s="9">
        <f t="shared" si="586"/>
        <v>0</v>
      </c>
      <c r="I1033" s="9">
        <f t="shared" si="587"/>
        <v>0</v>
      </c>
      <c r="J1033" s="9">
        <f t="shared" si="588"/>
        <v>0</v>
      </c>
      <c r="K1033" s="9">
        <v>0</v>
      </c>
      <c r="L1033" s="8">
        <f>+VLOOKUP($B1033,NIFTY_50!$B$3:$I$1238,8,0)</f>
        <v>1.0672998431736636E-2</v>
      </c>
      <c r="M1033" s="8">
        <f>+VLOOKUP($B1033,NIFTY_BANK!$B$3:$I$41238,8,0)</f>
        <v>3.5046464188575044E-3</v>
      </c>
      <c r="N1033" s="8">
        <f>+VLOOKUP($B1033,NIFTY_IT!$B$3:$I$1238,8,0)</f>
        <v>3.0360844263997322E-2</v>
      </c>
      <c r="O1033" s="8">
        <f>+VLOOKUP($B1033,NIFTY_PHARMA!$B$3:$I$1238,8,0)</f>
        <v>1.3611517692492026E-2</v>
      </c>
      <c r="P1033" s="8">
        <f>+VLOOKUP($B1033,NIFTY_FMCG!$B$3:$I$1238,8,0)</f>
        <v>1.3819587683873591E-2</v>
      </c>
      <c r="Q1033" s="8">
        <f>+VLOOKUP($B1033,NIFTY_METAL!$B$3:$I$1238,8,0)</f>
        <v>7.8651252902910418E-3</v>
      </c>
      <c r="R1033" s="8">
        <f>+VLOOKUP($B1033,NIFTY_ENERGY!$B$3:$I$1238,8,0)</f>
        <v>7.5316690241191697E-3</v>
      </c>
      <c r="S1033" s="8">
        <f>+VLOOKUP($B1033,NIFTY_AUTO!$B$3:$I$1238,8,0)</f>
        <v>3.1910908776580316E-2</v>
      </c>
      <c r="T1033" s="8">
        <f>+VLOOKUP($B1033,EBBETF0430!$B$3:$I$1238,8,0)</f>
        <v>3.3281761594627923E-4</v>
      </c>
      <c r="U1033" s="8">
        <f>+VLOOKUP($B1033,NIFTY_50!$B$63:$K$1238,10,0)</f>
        <v>0.1359230693091924</v>
      </c>
      <c r="V1033" s="8">
        <f>+VLOOKUP($B1033,NIFTY_BANK!$B$63:$K$1238,10,0)</f>
        <v>0.20275733265418716</v>
      </c>
      <c r="W1033" s="8">
        <f>+VLOOKUP($B1033,NIFTY_IT!$B$63:$K$1238,10,0)</f>
        <v>0.13961003864481891</v>
      </c>
      <c r="X1033" s="8">
        <f>+VLOOKUP($B1033,NIFTY_PHARMA!$B$63:$K$1238,10,0)</f>
        <v>4.1246994539994031E-3</v>
      </c>
      <c r="Y1033" s="8">
        <f>+VLOOKUP($B1033,NIFTY_FMCG!$B$63:$K$1238,10,0)</f>
        <v>4.2065396060315896E-2</v>
      </c>
      <c r="Z1033" s="8">
        <f>+VLOOKUP($B1033,NIFTY_METAL!$B$63:$K$1238,10,0)</f>
        <v>0.25638975080771575</v>
      </c>
      <c r="AA1033" s="8">
        <f>+VLOOKUP($B1033,NIFTY_ENERGY!$B$63:$K$1238,10,0)</f>
        <v>0.13943186010477393</v>
      </c>
      <c r="AB1033" s="8">
        <f>+VLOOKUP($B1033,NIFTY_AUTO!$B$63:$K$1238,10,0)</f>
        <v>0.16210939612559905</v>
      </c>
      <c r="AC1033" s="8">
        <f>+VLOOKUP($B1033,EBBETF0430!$B$63:$K$1238,10,0)</f>
        <v>-0.7311403369104863</v>
      </c>
      <c r="AD1033" s="16">
        <f t="shared" si="589"/>
        <v>9.828256608410145E-2</v>
      </c>
      <c r="AE1033" s="8">
        <f t="shared" si="590"/>
        <v>0.14368279913210372</v>
      </c>
      <c r="AF1033" s="8">
        <f t="shared" si="591"/>
        <v>0.11698928921079739</v>
      </c>
      <c r="AG1033" s="8">
        <f t="shared" si="592"/>
        <v>0.10411910289627141</v>
      </c>
      <c r="AH1033" s="8">
        <f t="shared" si="593"/>
        <v>7.9871724261074153E-2</v>
      </c>
      <c r="AI1033" s="8">
        <f t="shared" si="594"/>
        <v>0.16202239278592501</v>
      </c>
      <c r="AJ1033" s="8">
        <f t="shared" si="595"/>
        <v>0.1139229846973749</v>
      </c>
      <c r="AK1033" s="8">
        <f t="shared" si="596"/>
        <v>0.13160889050924693</v>
      </c>
      <c r="AL1033" s="8">
        <f t="shared" si="572"/>
        <v>1.3143563591344561E-2</v>
      </c>
      <c r="AM1033" s="17">
        <f t="shared" si="573"/>
        <v>10.174744513124425</v>
      </c>
      <c r="AN1033" s="13">
        <f t="shared" si="574"/>
        <v>6.9597753248152401</v>
      </c>
      <c r="AO1033" s="13">
        <f t="shared" si="575"/>
        <v>8.5477910563089914</v>
      </c>
      <c r="AP1033" s="13">
        <f t="shared" si="576"/>
        <v>9.6043854795430708</v>
      </c>
      <c r="AQ1033" s="13">
        <f t="shared" si="577"/>
        <v>12.520075273839486</v>
      </c>
      <c r="AR1033" s="13">
        <f t="shared" si="578"/>
        <v>6.1719863705584697</v>
      </c>
      <c r="AS1033" s="13">
        <f t="shared" si="579"/>
        <v>8.7778599082213375</v>
      </c>
      <c r="AT1033" s="13">
        <f t="shared" si="580"/>
        <v>7.5982708776785817</v>
      </c>
      <c r="AU1033" s="13">
        <f t="shared" si="606"/>
        <v>76.082866952348496</v>
      </c>
      <c r="AV1033" s="18">
        <f t="shared" si="597"/>
        <v>3</v>
      </c>
      <c r="AW1033" s="18">
        <f t="shared" si="598"/>
        <v>8</v>
      </c>
      <c r="AX1033" s="18">
        <f t="shared" si="599"/>
        <v>6</v>
      </c>
      <c r="AY1033" s="18">
        <f t="shared" si="600"/>
        <v>4</v>
      </c>
      <c r="AZ1033" s="18">
        <f t="shared" si="601"/>
        <v>2</v>
      </c>
      <c r="BA1033" s="18">
        <f t="shared" si="602"/>
        <v>9</v>
      </c>
      <c r="BB1033" s="18">
        <f t="shared" si="603"/>
        <v>5</v>
      </c>
      <c r="BC1033" s="18">
        <f t="shared" si="604"/>
        <v>7</v>
      </c>
      <c r="BD1033" s="18">
        <f t="shared" si="605"/>
        <v>1</v>
      </c>
      <c r="BE1033" s="8">
        <f t="shared" si="608"/>
        <v>1.2698851729041276E-2</v>
      </c>
    </row>
    <row r="1034" spans="1:57" x14ac:dyDescent="0.25">
      <c r="A1034" t="str">
        <f t="shared" si="607"/>
        <v/>
      </c>
      <c r="B1034" s="1">
        <v>44258</v>
      </c>
      <c r="C1034" s="9">
        <f t="shared" si="581"/>
        <v>0.33649561639486414</v>
      </c>
      <c r="D1034" s="9">
        <f t="shared" si="582"/>
        <v>0</v>
      </c>
      <c r="E1034" s="9">
        <f t="shared" si="583"/>
        <v>0</v>
      </c>
      <c r="F1034" s="9">
        <f t="shared" si="584"/>
        <v>0.33282636384353098</v>
      </c>
      <c r="G1034" s="9">
        <f t="shared" si="585"/>
        <v>0.33067801976160488</v>
      </c>
      <c r="H1034" s="9">
        <f t="shared" si="586"/>
        <v>0</v>
      </c>
      <c r="I1034" s="9">
        <f t="shared" si="587"/>
        <v>0</v>
      </c>
      <c r="J1034" s="9">
        <f t="shared" si="588"/>
        <v>0</v>
      </c>
      <c r="K1034" s="9">
        <v>0</v>
      </c>
      <c r="L1034" s="8">
        <f>+VLOOKUP($B1034,NIFTY_50!$B$3:$I$1238,8,0)</f>
        <v>2.188469813862759E-2</v>
      </c>
      <c r="M1034" s="8">
        <f>+VLOOKUP($B1034,NIFTY_BANK!$B$3:$I$41238,8,0)</f>
        <v>2.6774648006617996E-2</v>
      </c>
      <c r="N1034" s="8">
        <f>+VLOOKUP($B1034,NIFTY_IT!$B$3:$I$1238,8,0)</f>
        <v>1.8607335036766148E-2</v>
      </c>
      <c r="O1034" s="8">
        <f>+VLOOKUP($B1034,NIFTY_PHARMA!$B$3:$I$1238,8,0)</f>
        <v>9.9777275582715319E-3</v>
      </c>
      <c r="P1034" s="8">
        <f>+VLOOKUP($B1034,NIFTY_FMCG!$B$3:$I$1238,8,0)</f>
        <v>6.1201350940875976E-3</v>
      </c>
      <c r="Q1034" s="8">
        <f>+VLOOKUP($B1034,NIFTY_METAL!$B$3:$I$1238,8,0)</f>
        <v>3.3353702006314379E-2</v>
      </c>
      <c r="R1034" s="8">
        <f>+VLOOKUP($B1034,NIFTY_ENERGY!$B$3:$I$1238,8,0)</f>
        <v>1.8994063222022906E-2</v>
      </c>
      <c r="S1034" s="8">
        <f>+VLOOKUP($B1034,NIFTY_AUTO!$B$3:$I$1238,8,0)</f>
        <v>-6.6036550462813537E-3</v>
      </c>
      <c r="T1034" s="8">
        <f>+VLOOKUP($B1034,EBBETF0430!$B$3:$I$1238,8,0)</f>
        <v>-2.0322096233218456E-3</v>
      </c>
      <c r="U1034" s="8">
        <f>+VLOOKUP($B1034,NIFTY_50!$B$63:$K$1238,10,0)</f>
        <v>0.14986932960240762</v>
      </c>
      <c r="V1034" s="8">
        <f>+VLOOKUP($B1034,NIFTY_BANK!$B$63:$K$1238,10,0)</f>
        <v>0.21015459663787261</v>
      </c>
      <c r="W1034" s="8">
        <f>+VLOOKUP($B1034,NIFTY_IT!$B$63:$K$1238,10,0)</f>
        <v>0.15521654160951703</v>
      </c>
      <c r="X1034" s="8">
        <f>+VLOOKUP($B1034,NIFTY_PHARMA!$B$63:$K$1238,10,0)</f>
        <v>2.1046496567802553E-3</v>
      </c>
      <c r="Y1034" s="8">
        <f>+VLOOKUP($B1034,NIFTY_FMCG!$B$63:$K$1238,10,0)</f>
        <v>3.3923369930540126E-2</v>
      </c>
      <c r="Z1034" s="8">
        <f>+VLOOKUP($B1034,NIFTY_METAL!$B$63:$K$1238,10,0)</f>
        <v>0.28381862179132344</v>
      </c>
      <c r="AA1034" s="8">
        <f>+VLOOKUP($B1034,NIFTY_ENERGY!$B$63:$K$1238,10,0)</f>
        <v>0.16228864511287533</v>
      </c>
      <c r="AB1034" s="8">
        <f>+VLOOKUP($B1034,NIFTY_AUTO!$B$63:$K$1238,10,0)</f>
        <v>0.14737373954548372</v>
      </c>
      <c r="AC1034" s="8">
        <f>+VLOOKUP($B1034,EBBETF0430!$B$63:$K$1238,10,0)</f>
        <v>1.3811587376354217</v>
      </c>
      <c r="AD1034" s="16">
        <f t="shared" si="589"/>
        <v>9.9960024969776143E-2</v>
      </c>
      <c r="AE1034" s="8">
        <f t="shared" si="590"/>
        <v>0.14457058344529111</v>
      </c>
      <c r="AF1034" s="8">
        <f t="shared" si="591"/>
        <v>0.11808486432654949</v>
      </c>
      <c r="AG1034" s="8">
        <f t="shared" si="592"/>
        <v>0.10390661585873968</v>
      </c>
      <c r="AH1034" s="8">
        <f t="shared" si="593"/>
        <v>7.8931887813125101E-2</v>
      </c>
      <c r="AI1034" s="8">
        <f t="shared" si="594"/>
        <v>0.16447968130320112</v>
      </c>
      <c r="AJ1034" s="8">
        <f t="shared" si="595"/>
        <v>0.11507131259813254</v>
      </c>
      <c r="AK1034" s="8">
        <f t="shared" si="596"/>
        <v>0.13187306098786031</v>
      </c>
      <c r="AL1034" s="8">
        <f t="shared" si="572"/>
        <v>1.3244220154330954E-2</v>
      </c>
      <c r="AM1034" s="17">
        <f t="shared" si="573"/>
        <v>10.003999101664485</v>
      </c>
      <c r="AN1034" s="13">
        <f t="shared" si="574"/>
        <v>6.9170364825872293</v>
      </c>
      <c r="AO1034" s="13">
        <f t="shared" si="575"/>
        <v>8.4684858275707562</v>
      </c>
      <c r="AP1034" s="13">
        <f t="shared" si="576"/>
        <v>9.6240262637317819</v>
      </c>
      <c r="AQ1034" s="13">
        <f t="shared" si="577"/>
        <v>12.669150931339008</v>
      </c>
      <c r="AR1034" s="13">
        <f t="shared" si="578"/>
        <v>6.0797783171564177</v>
      </c>
      <c r="AS1034" s="13">
        <f t="shared" si="579"/>
        <v>8.6902632586831956</v>
      </c>
      <c r="AT1034" s="13">
        <f t="shared" si="580"/>
        <v>7.583049885313998</v>
      </c>
      <c r="AU1034" s="13">
        <f t="shared" si="606"/>
        <v>75.504634349723716</v>
      </c>
      <c r="AV1034" s="18">
        <f t="shared" si="597"/>
        <v>3</v>
      </c>
      <c r="AW1034" s="18">
        <f t="shared" si="598"/>
        <v>8</v>
      </c>
      <c r="AX1034" s="18">
        <f t="shared" si="599"/>
        <v>6</v>
      </c>
      <c r="AY1034" s="18">
        <f t="shared" si="600"/>
        <v>4</v>
      </c>
      <c r="AZ1034" s="18">
        <f t="shared" si="601"/>
        <v>2</v>
      </c>
      <c r="BA1034" s="18">
        <f t="shared" si="602"/>
        <v>9</v>
      </c>
      <c r="BB1034" s="18">
        <f t="shared" si="603"/>
        <v>5</v>
      </c>
      <c r="BC1034" s="18">
        <f t="shared" si="604"/>
        <v>7</v>
      </c>
      <c r="BD1034" s="18">
        <f t="shared" si="605"/>
        <v>1</v>
      </c>
      <c r="BE1034" s="8">
        <f t="shared" si="608"/>
        <v>1.2664301155169477E-2</v>
      </c>
    </row>
    <row r="1035" spans="1:57" x14ac:dyDescent="0.25">
      <c r="A1035" t="str">
        <f t="shared" si="607"/>
        <v/>
      </c>
      <c r="B1035" s="1">
        <v>44259</v>
      </c>
      <c r="C1035" s="9">
        <f t="shared" si="581"/>
        <v>0.33435905720268921</v>
      </c>
      <c r="D1035" s="9">
        <f t="shared" si="582"/>
        <v>0</v>
      </c>
      <c r="E1035" s="9">
        <f t="shared" si="583"/>
        <v>0</v>
      </c>
      <c r="F1035" s="9">
        <f t="shared" si="584"/>
        <v>0.33357605051720907</v>
      </c>
      <c r="G1035" s="9">
        <f t="shared" si="585"/>
        <v>0.33206489228010172</v>
      </c>
      <c r="H1035" s="9">
        <f t="shared" si="586"/>
        <v>0</v>
      </c>
      <c r="I1035" s="9">
        <f t="shared" si="587"/>
        <v>0</v>
      </c>
      <c r="J1035" s="9">
        <f t="shared" si="588"/>
        <v>0</v>
      </c>
      <c r="K1035" s="9">
        <v>0</v>
      </c>
      <c r="L1035" s="8">
        <f>+VLOOKUP($B1035,NIFTY_50!$B$3:$I$1238,8,0)</f>
        <v>-1.0812955869234475E-2</v>
      </c>
      <c r="M1035" s="8">
        <f>+VLOOKUP($B1035,NIFTY_BANK!$B$3:$I$41238,8,0)</f>
        <v>-1.5550737529232417E-2</v>
      </c>
      <c r="N1035" s="8">
        <f>+VLOOKUP($B1035,NIFTY_IT!$B$3:$I$1238,8,0)</f>
        <v>-5.4631557096380678E-3</v>
      </c>
      <c r="O1035" s="8">
        <f>+VLOOKUP($B1035,NIFTY_PHARMA!$B$3:$I$1238,8,0)</f>
        <v>-2.2496688099777895E-3</v>
      </c>
      <c r="P1035" s="8">
        <f>+VLOOKUP($B1035,NIFTY_FMCG!$B$3:$I$1238,8,0)</f>
        <v>-3.1684920369212666E-4</v>
      </c>
      <c r="Q1035" s="8">
        <f>+VLOOKUP($B1035,NIFTY_METAL!$B$3:$I$1238,8,0)</f>
        <v>-2.0142413640171442E-2</v>
      </c>
      <c r="R1035" s="8">
        <f>+VLOOKUP($B1035,NIFTY_ENERGY!$B$3:$I$1238,8,0)</f>
        <v>-8.2740003202839141E-3</v>
      </c>
      <c r="S1035" s="8">
        <f>+VLOOKUP($B1035,NIFTY_AUTO!$B$3:$I$1238,8,0)</f>
        <v>-4.4363868042087695E-3</v>
      </c>
      <c r="T1035" s="8">
        <f>+VLOOKUP($B1035,EBBETF0430!$B$3:$I$1238,8,0)</f>
        <v>-7.1182072930087159E-4</v>
      </c>
      <c r="U1035" s="8">
        <f>+VLOOKUP($B1035,NIFTY_50!$B$63:$K$1238,10,0)</f>
        <v>0.12915785335904006</v>
      </c>
      <c r="V1035" s="8">
        <f>+VLOOKUP($B1035,NIFTY_BANK!$B$63:$K$1238,10,0)</f>
        <v>0.18506001843665754</v>
      </c>
      <c r="W1035" s="8">
        <f>+VLOOKUP($B1035,NIFTY_IT!$B$63:$K$1238,10,0)</f>
        <v>0.14219349491330546</v>
      </c>
      <c r="X1035" s="8">
        <f>+VLOOKUP($B1035,NIFTY_PHARMA!$B$63:$K$1238,10,0)</f>
        <v>-1.6263205890434507E-2</v>
      </c>
      <c r="Y1035" s="8">
        <f>+VLOOKUP($B1035,NIFTY_FMCG!$B$63:$K$1238,10,0)</f>
        <v>1.7552613723837762E-2</v>
      </c>
      <c r="Z1035" s="8">
        <f>+VLOOKUP($B1035,NIFTY_METAL!$B$63:$K$1238,10,0)</f>
        <v>0.25801910666835393</v>
      </c>
      <c r="AA1035" s="8">
        <f>+VLOOKUP($B1035,NIFTY_ENERGY!$B$63:$K$1238,10,0)</f>
        <v>0.14758274210817368</v>
      </c>
      <c r="AB1035" s="8">
        <f>+VLOOKUP($B1035,NIFTY_AUTO!$B$63:$K$1238,10,0)</f>
        <v>0.14119169593281122</v>
      </c>
      <c r="AC1035" s="8">
        <f>+VLOOKUP($B1035,EBBETF0430!$B$63:$K$1238,10,0)</f>
        <v>0.60290129296751815</v>
      </c>
      <c r="AD1035" s="16">
        <f t="shared" si="589"/>
        <v>0.10067732661558791</v>
      </c>
      <c r="AE1035" s="8">
        <f t="shared" si="590"/>
        <v>0.14575647116743834</v>
      </c>
      <c r="AF1035" s="8">
        <f t="shared" si="591"/>
        <v>0.11829425380256024</v>
      </c>
      <c r="AG1035" s="8">
        <f t="shared" si="592"/>
        <v>0.10262675286741377</v>
      </c>
      <c r="AH1035" s="8">
        <f t="shared" si="593"/>
        <v>7.7438756977456169E-2</v>
      </c>
      <c r="AI1035" s="8">
        <f t="shared" si="594"/>
        <v>0.1662122396498493</v>
      </c>
      <c r="AJ1035" s="8">
        <f t="shared" si="595"/>
        <v>0.11555547784698426</v>
      </c>
      <c r="AK1035" s="8">
        <f t="shared" si="596"/>
        <v>0.13204039652143787</v>
      </c>
      <c r="AL1035" s="8">
        <f t="shared" si="572"/>
        <v>1.324265148531165E-2</v>
      </c>
      <c r="AM1035" s="17">
        <f t="shared" si="573"/>
        <v>9.9327230233104906</v>
      </c>
      <c r="AN1035" s="13">
        <f t="shared" si="574"/>
        <v>6.8607588533839152</v>
      </c>
      <c r="AO1035" s="13">
        <f t="shared" si="575"/>
        <v>8.4534959886475658</v>
      </c>
      <c r="AP1035" s="13">
        <f t="shared" si="576"/>
        <v>9.7440479412997369</v>
      </c>
      <c r="AQ1035" s="13">
        <f t="shared" si="577"/>
        <v>12.913430419487728</v>
      </c>
      <c r="AR1035" s="13">
        <f t="shared" si="578"/>
        <v>6.0164040994011518</v>
      </c>
      <c r="AS1035" s="13">
        <f t="shared" si="579"/>
        <v>8.6538519733714008</v>
      </c>
      <c r="AT1035" s="13">
        <f t="shared" si="580"/>
        <v>7.5734398437499513</v>
      </c>
      <c r="AU1035" s="13">
        <f t="shared" si="606"/>
        <v>75.513578312407446</v>
      </c>
      <c r="AV1035" s="18">
        <f t="shared" si="597"/>
        <v>3</v>
      </c>
      <c r="AW1035" s="18">
        <f t="shared" si="598"/>
        <v>8</v>
      </c>
      <c r="AX1035" s="18">
        <f t="shared" si="599"/>
        <v>6</v>
      </c>
      <c r="AY1035" s="18">
        <f t="shared" si="600"/>
        <v>4</v>
      </c>
      <c r="AZ1035" s="18">
        <f t="shared" si="601"/>
        <v>2</v>
      </c>
      <c r="BA1035" s="18">
        <f t="shared" si="602"/>
        <v>9</v>
      </c>
      <c r="BB1035" s="18">
        <f t="shared" si="603"/>
        <v>5</v>
      </c>
      <c r="BC1035" s="18">
        <f t="shared" si="604"/>
        <v>7</v>
      </c>
      <c r="BD1035" s="18">
        <f t="shared" si="605"/>
        <v>1</v>
      </c>
      <c r="BE1035" s="8">
        <f t="shared" si="608"/>
        <v>-4.4920364073855832E-3</v>
      </c>
    </row>
    <row r="1036" spans="1:57" x14ac:dyDescent="0.25">
      <c r="A1036" t="str">
        <f t="shared" si="607"/>
        <v/>
      </c>
      <c r="B1036" s="1">
        <v>44260</v>
      </c>
      <c r="C1036" s="9">
        <f t="shared" si="581"/>
        <v>0.33396348927693237</v>
      </c>
      <c r="D1036" s="9">
        <f t="shared" si="582"/>
        <v>0</v>
      </c>
      <c r="E1036" s="9">
        <f t="shared" si="583"/>
        <v>0</v>
      </c>
      <c r="F1036" s="9">
        <f t="shared" si="584"/>
        <v>0.33203320282787085</v>
      </c>
      <c r="G1036" s="9">
        <f t="shared" si="585"/>
        <v>0.33400330789519683</v>
      </c>
      <c r="H1036" s="9">
        <f t="shared" si="586"/>
        <v>0</v>
      </c>
      <c r="I1036" s="9">
        <f t="shared" si="587"/>
        <v>0</v>
      </c>
      <c r="J1036" s="9">
        <f t="shared" si="588"/>
        <v>0</v>
      </c>
      <c r="K1036" s="9">
        <v>0</v>
      </c>
      <c r="L1036" s="8">
        <f>+VLOOKUP($B1036,NIFTY_50!$B$3:$I$1238,8,0)</f>
        <v>-9.4590786267261251E-3</v>
      </c>
      <c r="M1036" s="8">
        <f>+VLOOKUP($B1036,NIFTY_BANK!$B$3:$I$41238,8,0)</f>
        <v>-1.6042175825710436E-2</v>
      </c>
      <c r="N1036" s="8">
        <f>+VLOOKUP($B1036,NIFTY_IT!$B$3:$I$1238,8,0)</f>
        <v>-1.5693365870976916E-2</v>
      </c>
      <c r="O1036" s="8">
        <f>+VLOOKUP($B1036,NIFTY_PHARMA!$B$3:$I$1238,8,0)</f>
        <v>-1.2872669864594122E-2</v>
      </c>
      <c r="P1036" s="8">
        <f>+VLOOKUP($B1036,NIFTY_FMCG!$B$3:$I$1238,8,0)</f>
        <v>-2.4967258505312895E-3</v>
      </c>
      <c r="Q1036" s="8">
        <f>+VLOOKUP($B1036,NIFTY_METAL!$B$3:$I$1238,8,0)</f>
        <v>-2.7018871720079884E-2</v>
      </c>
      <c r="R1036" s="8">
        <f>+VLOOKUP($B1036,NIFTY_ENERGY!$B$3:$I$1238,8,0)</f>
        <v>-4.0548922710984536E-3</v>
      </c>
      <c r="S1036" s="8">
        <f>+VLOOKUP($B1036,NIFTY_AUTO!$B$3:$I$1238,8,0)</f>
        <v>-9.5381502482178027E-3</v>
      </c>
      <c r="T1036" s="8">
        <f>+VLOOKUP($B1036,EBBETF0430!$B$3:$I$1238,8,0)</f>
        <v>-6.0412609103377424E-4</v>
      </c>
      <c r="U1036" s="8">
        <f>+VLOOKUP($B1036,NIFTY_50!$B$63:$K$1238,10,0)</f>
        <v>0.11537040009855937</v>
      </c>
      <c r="V1036" s="8">
        <f>+VLOOKUP($B1036,NIFTY_BANK!$B$63:$K$1238,10,0)</f>
        <v>0.16410899513910238</v>
      </c>
      <c r="W1036" s="8">
        <f>+VLOOKUP($B1036,NIFTY_IT!$B$63:$K$1238,10,0)</f>
        <v>0.11549514975196074</v>
      </c>
      <c r="X1036" s="8">
        <f>+VLOOKUP($B1036,NIFTY_PHARMA!$B$63:$K$1238,10,0)</f>
        <v>-1.7292239246250118E-2</v>
      </c>
      <c r="Y1036" s="8">
        <f>+VLOOKUP($B1036,NIFTY_FMCG!$B$63:$K$1238,10,0)</f>
        <v>1.5538883739195208E-2</v>
      </c>
      <c r="Z1036" s="8">
        <f>+VLOOKUP($B1036,NIFTY_METAL!$B$63:$K$1238,10,0)</f>
        <v>0.239258891540026</v>
      </c>
      <c r="AA1036" s="8">
        <f>+VLOOKUP($B1036,NIFTY_ENERGY!$B$63:$K$1238,10,0)</f>
        <v>0.1450209370239075</v>
      </c>
      <c r="AB1036" s="8">
        <f>+VLOOKUP($B1036,NIFTY_AUTO!$B$63:$K$1238,10,0)</f>
        <v>0.13191759385234203</v>
      </c>
      <c r="AC1036" s="8">
        <f>+VLOOKUP($B1036,EBBETF0430!$B$63:$K$1238,10,0)</f>
        <v>0.29921436588103245</v>
      </c>
      <c r="AD1036" s="16">
        <f t="shared" si="589"/>
        <v>0.10132141500308391</v>
      </c>
      <c r="AE1036" s="8">
        <f t="shared" si="590"/>
        <v>0.14696666346798229</v>
      </c>
      <c r="AF1036" s="8">
        <f t="shared" si="591"/>
        <v>0.11948655999449011</v>
      </c>
      <c r="AG1036" s="8">
        <f t="shared" si="592"/>
        <v>0.1027492086882119</v>
      </c>
      <c r="AH1036" s="8">
        <f t="shared" si="593"/>
        <v>7.748538197752583E-2</v>
      </c>
      <c r="AI1036" s="8">
        <f t="shared" si="594"/>
        <v>0.16828445995851807</v>
      </c>
      <c r="AJ1036" s="8">
        <f t="shared" si="595"/>
        <v>0.11565747484232089</v>
      </c>
      <c r="AK1036" s="8">
        <f t="shared" si="596"/>
        <v>0.13251427868968743</v>
      </c>
      <c r="AL1036" s="8">
        <f t="shared" si="572"/>
        <v>1.3238370802132549E-2</v>
      </c>
      <c r="AM1036" s="17">
        <f t="shared" si="573"/>
        <v>9.8695818645008373</v>
      </c>
      <c r="AN1036" s="13">
        <f t="shared" si="574"/>
        <v>6.8042641535361312</v>
      </c>
      <c r="AO1036" s="13">
        <f t="shared" si="575"/>
        <v>8.369142103062579</v>
      </c>
      <c r="AP1036" s="13">
        <f t="shared" si="576"/>
        <v>9.732435050029995</v>
      </c>
      <c r="AQ1036" s="13">
        <f t="shared" si="577"/>
        <v>12.90566006746981</v>
      </c>
      <c r="AR1036" s="13">
        <f t="shared" si="578"/>
        <v>5.9423193338618363</v>
      </c>
      <c r="AS1036" s="13">
        <f t="shared" si="579"/>
        <v>8.6462202409600266</v>
      </c>
      <c r="AT1036" s="13">
        <f t="shared" si="580"/>
        <v>7.5463565880453478</v>
      </c>
      <c r="AU1036" s="13">
        <f t="shared" si="606"/>
        <v>75.537995947274084</v>
      </c>
      <c r="AV1036" s="18">
        <f t="shared" si="597"/>
        <v>3</v>
      </c>
      <c r="AW1036" s="18">
        <f t="shared" si="598"/>
        <v>8</v>
      </c>
      <c r="AX1036" s="18">
        <f t="shared" si="599"/>
        <v>6</v>
      </c>
      <c r="AY1036" s="18">
        <f t="shared" si="600"/>
        <v>4</v>
      </c>
      <c r="AZ1036" s="18">
        <f t="shared" si="601"/>
        <v>2</v>
      </c>
      <c r="BA1036" s="18">
        <f t="shared" si="602"/>
        <v>9</v>
      </c>
      <c r="BB1036" s="18">
        <f t="shared" si="603"/>
        <v>5</v>
      </c>
      <c r="BC1036" s="18">
        <f t="shared" si="604"/>
        <v>7</v>
      </c>
      <c r="BD1036" s="18">
        <f t="shared" si="605"/>
        <v>1</v>
      </c>
      <c r="BE1036" s="8">
        <f t="shared" si="608"/>
        <v>-8.285817985291077E-3</v>
      </c>
    </row>
    <row r="1037" spans="1:57" x14ac:dyDescent="0.25">
      <c r="A1037" t="str">
        <f t="shared" si="607"/>
        <v/>
      </c>
      <c r="B1037" s="1">
        <v>44263</v>
      </c>
      <c r="C1037" s="9">
        <f t="shared" si="581"/>
        <v>0.33437290948844972</v>
      </c>
      <c r="D1037" s="9">
        <f t="shared" si="582"/>
        <v>0</v>
      </c>
      <c r="E1037" s="9">
        <f t="shared" si="583"/>
        <v>0</v>
      </c>
      <c r="F1037" s="9">
        <f t="shared" si="584"/>
        <v>0.33332058366540052</v>
      </c>
      <c r="G1037" s="9">
        <f t="shared" si="585"/>
        <v>0.33230650684614976</v>
      </c>
      <c r="H1037" s="9">
        <f t="shared" si="586"/>
        <v>0</v>
      </c>
      <c r="I1037" s="9">
        <f t="shared" si="587"/>
        <v>0</v>
      </c>
      <c r="J1037" s="9">
        <f t="shared" si="588"/>
        <v>0</v>
      </c>
      <c r="K1037" s="9">
        <v>0</v>
      </c>
      <c r="L1037" s="8">
        <f>+VLOOKUP($B1037,NIFTY_50!$B$3:$I$1238,8,0)</f>
        <v>1.2116668117096996E-3</v>
      </c>
      <c r="M1037" s="8">
        <f>+VLOOKUP($B1037,NIFTY_BANK!$B$3:$I$41238,8,0)</f>
        <v>1.3511921574080876E-3</v>
      </c>
      <c r="N1037" s="8">
        <f>+VLOOKUP($B1037,NIFTY_IT!$B$3:$I$1238,8,0)</f>
        <v>4.6909186035450912E-3</v>
      </c>
      <c r="O1037" s="8">
        <f>+VLOOKUP($B1037,NIFTY_PHARMA!$B$3:$I$1238,8,0)</f>
        <v>3.8629513440364693E-3</v>
      </c>
      <c r="P1037" s="8">
        <f>+VLOOKUP($B1037,NIFTY_FMCG!$B$3:$I$1238,8,0)</f>
        <v>-5.0943786476741471E-3</v>
      </c>
      <c r="Q1037" s="8">
        <f>+VLOOKUP($B1037,NIFTY_METAL!$B$3:$I$1238,8,0)</f>
        <v>8.1149532227218213E-3</v>
      </c>
      <c r="R1037" s="8">
        <f>+VLOOKUP($B1037,NIFTY_ENERGY!$B$3:$I$1238,8,0)</f>
        <v>1.1434409775480825E-2</v>
      </c>
      <c r="S1037" s="8">
        <f>+VLOOKUP($B1037,NIFTY_AUTO!$B$3:$I$1238,8,0)</f>
        <v>-1.6200448481622498E-3</v>
      </c>
      <c r="T1037" s="8">
        <f>+VLOOKUP($B1037,EBBETF0430!$B$3:$I$1238,8,0)</f>
        <v>-4.5111289551313938E-5</v>
      </c>
      <c r="U1037" s="8">
        <f>+VLOOKUP($B1037,NIFTY_50!$B$63:$K$1238,10,0)</f>
        <v>0.10548373505998176</v>
      </c>
      <c r="V1037" s="8">
        <f>+VLOOKUP($B1037,NIFTY_BANK!$B$63:$K$1238,10,0)</f>
        <v>0.14869551342585652</v>
      </c>
      <c r="W1037" s="8">
        <f>+VLOOKUP($B1037,NIFTY_IT!$B$63:$K$1238,10,0)</f>
        <v>0.11158399277302333</v>
      </c>
      <c r="X1037" s="8">
        <f>+VLOOKUP($B1037,NIFTY_PHARMA!$B$63:$K$1238,10,0)</f>
        <v>-1.6397592394667204E-2</v>
      </c>
      <c r="Y1037" s="8">
        <f>+VLOOKUP($B1037,NIFTY_FMCG!$B$63:$K$1238,10,0)</f>
        <v>1.9577062987727878E-3</v>
      </c>
      <c r="Z1037" s="8">
        <f>+VLOOKUP($B1037,NIFTY_METAL!$B$63:$K$1238,10,0)</f>
        <v>0.25593225796065555</v>
      </c>
      <c r="AA1037" s="8">
        <f>+VLOOKUP($B1037,NIFTY_ENERGY!$B$63:$K$1238,10,0)</f>
        <v>0.14996708168132122</v>
      </c>
      <c r="AB1037" s="8">
        <f>+VLOOKUP($B1037,NIFTY_AUTO!$B$63:$K$1238,10,0)</f>
        <v>0.13063712567118269</v>
      </c>
      <c r="AC1037" s="8">
        <f>+VLOOKUP($B1037,EBBETF0430!$B$63:$K$1238,10,0)</f>
        <v>1.979641535164621</v>
      </c>
      <c r="AD1037" s="16">
        <f t="shared" si="589"/>
        <v>0.10097736454803702</v>
      </c>
      <c r="AE1037" s="8">
        <f t="shared" si="590"/>
        <v>0.14646201812364726</v>
      </c>
      <c r="AF1037" s="8">
        <f t="shared" si="591"/>
        <v>0.11935105490240309</v>
      </c>
      <c r="AG1037" s="8">
        <f t="shared" si="592"/>
        <v>0.10278117712174303</v>
      </c>
      <c r="AH1037" s="8">
        <f t="shared" si="593"/>
        <v>7.7231396033197314E-2</v>
      </c>
      <c r="AI1037" s="8">
        <f t="shared" si="594"/>
        <v>0.16809019984097753</v>
      </c>
      <c r="AJ1037" s="8">
        <f t="shared" si="595"/>
        <v>0.1159163749319036</v>
      </c>
      <c r="AK1037" s="8">
        <f t="shared" si="596"/>
        <v>0.13254177332966099</v>
      </c>
      <c r="AL1037" s="8">
        <f t="shared" si="572"/>
        <v>1.3237080452454629E-2</v>
      </c>
      <c r="AM1037" s="17">
        <f t="shared" si="573"/>
        <v>9.9032095408301064</v>
      </c>
      <c r="AN1037" s="13">
        <f t="shared" si="574"/>
        <v>6.8277087316642913</v>
      </c>
      <c r="AO1037" s="13">
        <f t="shared" si="575"/>
        <v>8.378643999566906</v>
      </c>
      <c r="AP1037" s="13">
        <f t="shared" si="576"/>
        <v>9.7294079325002514</v>
      </c>
      <c r="AQ1037" s="13">
        <f t="shared" si="577"/>
        <v>12.948102084936517</v>
      </c>
      <c r="AR1037" s="13">
        <f t="shared" si="578"/>
        <v>5.9491868112837887</v>
      </c>
      <c r="AS1037" s="13">
        <f t="shared" si="579"/>
        <v>8.6269088434439176</v>
      </c>
      <c r="AT1037" s="13">
        <f t="shared" si="580"/>
        <v>7.5447911618986465</v>
      </c>
      <c r="AU1037" s="13">
        <f t="shared" si="606"/>
        <v>75.545359385842829</v>
      </c>
      <c r="AV1037" s="18">
        <f t="shared" si="597"/>
        <v>3</v>
      </c>
      <c r="AW1037" s="18">
        <f t="shared" si="598"/>
        <v>8</v>
      </c>
      <c r="AX1037" s="18">
        <f t="shared" si="599"/>
        <v>6</v>
      </c>
      <c r="AY1037" s="18">
        <f t="shared" si="600"/>
        <v>4</v>
      </c>
      <c r="AZ1037" s="18">
        <f t="shared" si="601"/>
        <v>2</v>
      </c>
      <c r="BA1037" s="18">
        <f t="shared" si="602"/>
        <v>9</v>
      </c>
      <c r="BB1037" s="18">
        <f t="shared" si="603"/>
        <v>5</v>
      </c>
      <c r="BC1037" s="18">
        <f t="shared" si="604"/>
        <v>7</v>
      </c>
      <c r="BD1037" s="18">
        <f t="shared" si="605"/>
        <v>1</v>
      </c>
      <c r="BE1037" s="8">
        <f t="shared" si="608"/>
        <v>-1.4258736585540024E-5</v>
      </c>
    </row>
    <row r="1038" spans="1:57" x14ac:dyDescent="0.25">
      <c r="A1038" t="str">
        <f t="shared" si="607"/>
        <v/>
      </c>
      <c r="B1038" s="1">
        <v>44264</v>
      </c>
      <c r="C1038" s="9">
        <f t="shared" si="581"/>
        <v>0.33736723370138538</v>
      </c>
      <c r="D1038" s="9">
        <f t="shared" si="582"/>
        <v>0</v>
      </c>
      <c r="E1038" s="9">
        <f t="shared" si="583"/>
        <v>0</v>
      </c>
      <c r="F1038" s="9">
        <f t="shared" si="584"/>
        <v>0.33025303166153447</v>
      </c>
      <c r="G1038" s="9">
        <f t="shared" si="585"/>
        <v>0.33237973463708009</v>
      </c>
      <c r="H1038" s="9">
        <f t="shared" si="586"/>
        <v>0</v>
      </c>
      <c r="I1038" s="9">
        <f t="shared" si="587"/>
        <v>0</v>
      </c>
      <c r="J1038" s="9">
        <f t="shared" si="588"/>
        <v>0</v>
      </c>
      <c r="K1038" s="9">
        <v>0</v>
      </c>
      <c r="L1038" s="8">
        <f>+VLOOKUP($B1038,NIFTY_50!$B$3:$I$1238,8,0)</f>
        <v>9.5077626669874959E-3</v>
      </c>
      <c r="M1038" s="8">
        <f>+VLOOKUP($B1038,NIFTY_BANK!$B$3:$I$41238,8,0)</f>
        <v>1.6722536019786904E-2</v>
      </c>
      <c r="N1038" s="8">
        <f>+VLOOKUP($B1038,NIFTY_IT!$B$3:$I$1238,8,0)</f>
        <v>9.2472961324288061E-3</v>
      </c>
      <c r="O1038" s="8">
        <f>+VLOOKUP($B1038,NIFTY_PHARMA!$B$3:$I$1238,8,0)</f>
        <v>-8.6602368493078341E-3</v>
      </c>
      <c r="P1038" s="8">
        <f>+VLOOKUP($B1038,NIFTY_FMCG!$B$3:$I$1238,8,0)</f>
        <v>7.6829560399338526E-4</v>
      </c>
      <c r="Q1038" s="8">
        <f>+VLOOKUP($B1038,NIFTY_METAL!$B$3:$I$1238,8,0)</f>
        <v>-2.5148687448728557E-2</v>
      </c>
      <c r="R1038" s="8">
        <f>+VLOOKUP($B1038,NIFTY_ENERGY!$B$3:$I$1238,8,0)</f>
        <v>-1.349594282035671E-2</v>
      </c>
      <c r="S1038" s="8">
        <f>+VLOOKUP($B1038,NIFTY_AUTO!$B$3:$I$1238,8,0)</f>
        <v>-4.1018905813550166E-3</v>
      </c>
      <c r="T1038" s="8">
        <f>+VLOOKUP($B1038,EBBETF0430!$B$3:$I$1238,8,0)</f>
        <v>-1.3533997401460329E-4</v>
      </c>
      <c r="U1038" s="8">
        <f>+VLOOKUP($B1038,NIFTY_50!$B$63:$K$1238,10,0)</f>
        <v>0.12020061877239718</v>
      </c>
      <c r="V1038" s="8">
        <f>+VLOOKUP($B1038,NIFTY_BANK!$B$63:$K$1238,10,0)</f>
        <v>0.17552404348032735</v>
      </c>
      <c r="W1038" s="8">
        <f>+VLOOKUP($B1038,NIFTY_IT!$B$63:$K$1238,10,0)</f>
        <v>0.12421475890708944</v>
      </c>
      <c r="X1038" s="8">
        <f>+VLOOKUP($B1038,NIFTY_PHARMA!$B$63:$K$1238,10,0)</f>
        <v>-2.4657170876002721E-2</v>
      </c>
      <c r="Y1038" s="8">
        <f>+VLOOKUP($B1038,NIFTY_FMCG!$B$63:$K$1238,10,0)</f>
        <v>-2.4635293703090477E-2</v>
      </c>
      <c r="Z1038" s="8">
        <f>+VLOOKUP($B1038,NIFTY_METAL!$B$63:$K$1238,10,0)</f>
        <v>0.22153515041518745</v>
      </c>
      <c r="AA1038" s="8">
        <f>+VLOOKUP($B1038,NIFTY_ENERGY!$B$63:$K$1238,10,0)</f>
        <v>0.14490951829714871</v>
      </c>
      <c r="AB1038" s="8">
        <f>+VLOOKUP($B1038,NIFTY_AUTO!$B$63:$K$1238,10,0)</f>
        <v>0.13731340039235507</v>
      </c>
      <c r="AC1038" s="8">
        <f>+VLOOKUP($B1038,EBBETF0430!$B$63:$K$1238,10,0)</f>
        <v>0.88617965473519944</v>
      </c>
      <c r="AD1038" s="16">
        <f t="shared" si="589"/>
        <v>0.10111372823693865</v>
      </c>
      <c r="AE1038" s="8">
        <f t="shared" si="590"/>
        <v>0.14685460514130141</v>
      </c>
      <c r="AF1038" s="8">
        <f t="shared" si="591"/>
        <v>0.11950608891206796</v>
      </c>
      <c r="AG1038" s="8">
        <f t="shared" si="592"/>
        <v>0.10312445555731495</v>
      </c>
      <c r="AH1038" s="8">
        <f t="shared" si="593"/>
        <v>7.1905962804613172E-2</v>
      </c>
      <c r="AI1038" s="8">
        <f t="shared" si="594"/>
        <v>0.17055001467944303</v>
      </c>
      <c r="AJ1038" s="8">
        <f t="shared" si="595"/>
        <v>0.11642973334452722</v>
      </c>
      <c r="AK1038" s="8">
        <f t="shared" si="596"/>
        <v>0.1321339611216861</v>
      </c>
      <c r="AL1038" s="8">
        <f t="shared" si="572"/>
        <v>1.3233654736841774E-2</v>
      </c>
      <c r="AM1038" s="17">
        <f t="shared" si="573"/>
        <v>9.8898539044738953</v>
      </c>
      <c r="AN1038" s="13">
        <f t="shared" si="574"/>
        <v>6.8094561899357133</v>
      </c>
      <c r="AO1038" s="13">
        <f t="shared" si="575"/>
        <v>8.3677744716070119</v>
      </c>
      <c r="AP1038" s="13">
        <f t="shared" si="576"/>
        <v>9.6970208918505829</v>
      </c>
      <c r="AQ1038" s="13">
        <f t="shared" si="577"/>
        <v>13.907052502964946</v>
      </c>
      <c r="AR1038" s="13">
        <f t="shared" si="578"/>
        <v>5.8633826674219183</v>
      </c>
      <c r="AS1038" s="13">
        <f t="shared" si="579"/>
        <v>8.5888713413170841</v>
      </c>
      <c r="AT1038" s="13">
        <f t="shared" si="580"/>
        <v>7.5680770599094522</v>
      </c>
      <c r="AU1038" s="13">
        <f t="shared" si="606"/>
        <v>75.564915352979128</v>
      </c>
      <c r="AV1038" s="18">
        <f t="shared" si="597"/>
        <v>3</v>
      </c>
      <c r="AW1038" s="18">
        <f t="shared" si="598"/>
        <v>8</v>
      </c>
      <c r="AX1038" s="18">
        <f t="shared" si="599"/>
        <v>6</v>
      </c>
      <c r="AY1038" s="18">
        <f t="shared" si="600"/>
        <v>4</v>
      </c>
      <c r="AZ1038" s="18">
        <f t="shared" si="601"/>
        <v>2</v>
      </c>
      <c r="BA1038" s="18">
        <f t="shared" si="602"/>
        <v>9</v>
      </c>
      <c r="BB1038" s="18">
        <f t="shared" si="603"/>
        <v>5</v>
      </c>
      <c r="BC1038" s="18">
        <f t="shared" si="604"/>
        <v>7</v>
      </c>
      <c r="BD1038" s="18">
        <f t="shared" si="605"/>
        <v>1</v>
      </c>
      <c r="BE1038" s="8">
        <f t="shared" si="608"/>
        <v>5.478126927826694E-4</v>
      </c>
    </row>
    <row r="1039" spans="1:57" x14ac:dyDescent="0.25">
      <c r="A1039" t="str">
        <f t="shared" si="607"/>
        <v/>
      </c>
      <c r="B1039" s="1">
        <v>44265</v>
      </c>
      <c r="C1039" s="9">
        <f t="shared" si="581"/>
        <v>0.33622979117993629</v>
      </c>
      <c r="D1039" s="9">
        <f t="shared" si="582"/>
        <v>0</v>
      </c>
      <c r="E1039" s="9">
        <f t="shared" si="583"/>
        <v>0</v>
      </c>
      <c r="F1039" s="9">
        <f t="shared" si="584"/>
        <v>0.33232432413828239</v>
      </c>
      <c r="G1039" s="9">
        <f t="shared" si="585"/>
        <v>0.33144588468178143</v>
      </c>
      <c r="H1039" s="9">
        <f t="shared" si="586"/>
        <v>0</v>
      </c>
      <c r="I1039" s="9">
        <f t="shared" si="587"/>
        <v>0</v>
      </c>
      <c r="J1039" s="9">
        <f t="shared" si="588"/>
        <v>0</v>
      </c>
      <c r="K1039" s="9">
        <v>0</v>
      </c>
      <c r="L1039" s="8">
        <f>+VLOOKUP($B1039,NIFTY_50!$B$3:$I$1238,8,0)</f>
        <v>5.0601388226567678E-3</v>
      </c>
      <c r="M1039" s="8">
        <f>+VLOOKUP($B1039,NIFTY_BANK!$B$3:$I$41238,8,0)</f>
        <v>2.0256150383444194E-3</v>
      </c>
      <c r="N1039" s="8">
        <f>+VLOOKUP($B1039,NIFTY_IT!$B$3:$I$1238,8,0)</f>
        <v>1.6720512384515107E-2</v>
      </c>
      <c r="O1039" s="8">
        <f>+VLOOKUP($B1039,NIFTY_PHARMA!$B$3:$I$1238,8,0)</f>
        <v>1.4785084701063544E-2</v>
      </c>
      <c r="P1039" s="8">
        <f>+VLOOKUP($B1039,NIFTY_FMCG!$B$3:$I$1238,8,0)</f>
        <v>5.6268317685683744E-3</v>
      </c>
      <c r="Q1039" s="8">
        <f>+VLOOKUP($B1039,NIFTY_METAL!$B$3:$I$1238,8,0)</f>
        <v>1.8657795776685138E-2</v>
      </c>
      <c r="R1039" s="8">
        <f>+VLOOKUP($B1039,NIFTY_ENERGY!$B$3:$I$1238,8,0)</f>
        <v>-2.7804788717137319E-3</v>
      </c>
      <c r="S1039" s="8">
        <f>+VLOOKUP($B1039,NIFTY_AUTO!$B$3:$I$1238,8,0)</f>
        <v>9.0833074515612733E-3</v>
      </c>
      <c r="T1039" s="8">
        <f>+VLOOKUP($B1039,EBBETF0430!$B$3:$I$1238,8,0)</f>
        <v>1.416750137614109E-3</v>
      </c>
      <c r="U1039" s="8">
        <f>+VLOOKUP($B1039,NIFTY_50!$B$63:$K$1238,10,0)</f>
        <v>0.12290723960973371</v>
      </c>
      <c r="V1039" s="8">
        <f>+VLOOKUP($B1039,NIFTY_BANK!$B$63:$K$1238,10,0)</f>
        <v>0.17426813070477398</v>
      </c>
      <c r="W1039" s="8">
        <f>+VLOOKUP($B1039,NIFTY_IT!$B$63:$K$1238,10,0)</f>
        <v>0.14763942816801978</v>
      </c>
      <c r="X1039" s="8">
        <f>+VLOOKUP($B1039,NIFTY_PHARMA!$B$63:$K$1238,10,0)</f>
        <v>-4.2657286107067316E-3</v>
      </c>
      <c r="Y1039" s="8">
        <f>+VLOOKUP($B1039,NIFTY_FMCG!$B$63:$K$1238,10,0)</f>
        <v>-2.7996630277740131E-2</v>
      </c>
      <c r="Z1039" s="8">
        <f>+VLOOKUP($B1039,NIFTY_METAL!$B$63:$K$1238,10,0)</f>
        <v>0.23125456914910525</v>
      </c>
      <c r="AA1039" s="8">
        <f>+VLOOKUP($B1039,NIFTY_ENERGY!$B$63:$K$1238,10,0)</f>
        <v>0.12364530444866184</v>
      </c>
      <c r="AB1039" s="8">
        <f>+VLOOKUP($B1039,NIFTY_AUTO!$B$63:$K$1238,10,0)</f>
        <v>0.14913020530093202</v>
      </c>
      <c r="AC1039" s="8">
        <f>+VLOOKUP($B1039,EBBETF0430!$B$63:$K$1238,10,0)</f>
        <v>0.24842668344870988</v>
      </c>
      <c r="AD1039" s="16">
        <f t="shared" si="589"/>
        <v>0.10115882717291569</v>
      </c>
      <c r="AE1039" s="8">
        <f t="shared" si="590"/>
        <v>0.14685649581630514</v>
      </c>
      <c r="AF1039" s="8">
        <f t="shared" si="591"/>
        <v>0.12022223241609956</v>
      </c>
      <c r="AG1039" s="8">
        <f t="shared" si="592"/>
        <v>0.10403646503491581</v>
      </c>
      <c r="AH1039" s="8">
        <f t="shared" si="593"/>
        <v>7.152965315529948E-2</v>
      </c>
      <c r="AI1039" s="8">
        <f t="shared" si="594"/>
        <v>0.17107007816361908</v>
      </c>
      <c r="AJ1039" s="8">
        <f t="shared" si="595"/>
        <v>0.11570172753565484</v>
      </c>
      <c r="AK1039" s="8">
        <f t="shared" si="596"/>
        <v>0.13225605191076478</v>
      </c>
      <c r="AL1039" s="8">
        <f t="shared" si="572"/>
        <v>1.3350956474098957E-2</v>
      </c>
      <c r="AM1039" s="17">
        <f t="shared" si="573"/>
        <v>9.8854447797289264</v>
      </c>
      <c r="AN1039" s="13">
        <f t="shared" si="574"/>
        <v>6.8093685229344301</v>
      </c>
      <c r="AO1039" s="13">
        <f t="shared" si="575"/>
        <v>8.3179290544107793</v>
      </c>
      <c r="AP1039" s="13">
        <f t="shared" si="576"/>
        <v>9.6120143996087215</v>
      </c>
      <c r="AQ1039" s="13">
        <f t="shared" si="577"/>
        <v>13.98021597880364</v>
      </c>
      <c r="AR1039" s="13">
        <f t="shared" si="578"/>
        <v>5.8455576260598612</v>
      </c>
      <c r="AS1039" s="13">
        <f t="shared" si="579"/>
        <v>8.6429133021530582</v>
      </c>
      <c r="AT1039" s="13">
        <f t="shared" si="580"/>
        <v>7.5610906688392268</v>
      </c>
      <c r="AU1039" s="13">
        <f t="shared" si="606"/>
        <v>74.901000684109334</v>
      </c>
      <c r="AV1039" s="18">
        <f t="shared" si="597"/>
        <v>3</v>
      </c>
      <c r="AW1039" s="18">
        <f t="shared" si="598"/>
        <v>8</v>
      </c>
      <c r="AX1039" s="18">
        <f t="shared" si="599"/>
        <v>6</v>
      </c>
      <c r="AY1039" s="18">
        <f t="shared" si="600"/>
        <v>4</v>
      </c>
      <c r="AZ1039" s="18">
        <f t="shared" si="601"/>
        <v>2</v>
      </c>
      <c r="BA1039" s="18">
        <f t="shared" si="602"/>
        <v>9</v>
      </c>
      <c r="BB1039" s="18">
        <f t="shared" si="603"/>
        <v>5</v>
      </c>
      <c r="BC1039" s="18">
        <f t="shared" si="604"/>
        <v>7</v>
      </c>
      <c r="BD1039" s="18">
        <f t="shared" si="605"/>
        <v>1</v>
      </c>
      <c r="BE1039" s="8">
        <f t="shared" si="608"/>
        <v>8.4601889327277548E-3</v>
      </c>
    </row>
    <row r="1040" spans="1:57" x14ac:dyDescent="0.25">
      <c r="A1040" t="str">
        <f t="shared" si="607"/>
        <v/>
      </c>
      <c r="B1040" s="1">
        <v>44267</v>
      </c>
      <c r="C1040" s="9">
        <f t="shared" si="581"/>
        <v>0.33640165235352226</v>
      </c>
      <c r="D1040" s="9">
        <f t="shared" si="582"/>
        <v>0</v>
      </c>
      <c r="E1040" s="9">
        <f t="shared" si="583"/>
        <v>0</v>
      </c>
      <c r="F1040" s="9">
        <f t="shared" si="584"/>
        <v>0.33215952409880289</v>
      </c>
      <c r="G1040" s="9">
        <f t="shared" si="585"/>
        <v>0.33143882354767479</v>
      </c>
      <c r="H1040" s="9">
        <f t="shared" si="586"/>
        <v>0</v>
      </c>
      <c r="I1040" s="9">
        <f t="shared" si="587"/>
        <v>0</v>
      </c>
      <c r="J1040" s="9">
        <f t="shared" si="588"/>
        <v>0</v>
      </c>
      <c r="K1040" s="9">
        <v>0</v>
      </c>
      <c r="L1040" s="8">
        <f>+VLOOKUP($B1040,NIFTY_50!$B$3:$I$1238,8,0)</f>
        <v>-9.4795318554444785E-3</v>
      </c>
      <c r="M1040" s="8">
        <f>+VLOOKUP($B1040,NIFTY_BANK!$B$3:$I$41238,8,0)</f>
        <v>-1.2289117737900868E-2</v>
      </c>
      <c r="N1040" s="8">
        <f>+VLOOKUP($B1040,NIFTY_IT!$B$3:$I$1238,8,0)</f>
        <v>-4.6847186285327025E-3</v>
      </c>
      <c r="O1040" s="8">
        <f>+VLOOKUP($B1040,NIFTY_PHARMA!$B$3:$I$1238,8,0)</f>
        <v>-1.0476519196800149E-2</v>
      </c>
      <c r="P1040" s="8">
        <f>+VLOOKUP($B1040,NIFTY_FMCG!$B$3:$I$1238,8,0)</f>
        <v>-1.0006661128200478E-2</v>
      </c>
      <c r="Q1040" s="8">
        <f>+VLOOKUP($B1040,NIFTY_METAL!$B$3:$I$1238,8,0)</f>
        <v>-8.6352664799350665E-3</v>
      </c>
      <c r="R1040" s="8">
        <f>+VLOOKUP($B1040,NIFTY_ENERGY!$B$3:$I$1238,8,0)</f>
        <v>-6.6989977368259179E-4</v>
      </c>
      <c r="S1040" s="8">
        <f>+VLOOKUP($B1040,NIFTY_AUTO!$B$3:$I$1238,8,0)</f>
        <v>-1.661094958946141E-2</v>
      </c>
      <c r="T1040" s="8">
        <f>+VLOOKUP($B1040,EBBETF0430!$B$3:$I$1238,8,0)</f>
        <v>-6.3077838052161272E-4</v>
      </c>
      <c r="U1040" s="8">
        <f>+VLOOKUP($B1040,NIFTY_50!$B$63:$K$1238,10,0)</f>
        <v>0.10862838956642329</v>
      </c>
      <c r="V1040" s="8">
        <f>+VLOOKUP($B1040,NIFTY_BANK!$B$63:$K$1238,10,0)</f>
        <v>0.15451653716430491</v>
      </c>
      <c r="W1040" s="8">
        <f>+VLOOKUP($B1040,NIFTY_IT!$B$63:$K$1238,10,0)</f>
        <v>0.13811014344937944</v>
      </c>
      <c r="X1040" s="8">
        <f>+VLOOKUP($B1040,NIFTY_PHARMA!$B$63:$K$1238,10,0)</f>
        <v>-2.2122970489329763E-2</v>
      </c>
      <c r="Y1040" s="8">
        <f>+VLOOKUP($B1040,NIFTY_FMCG!$B$63:$K$1238,10,0)</f>
        <v>-3.9031839507841171E-2</v>
      </c>
      <c r="Z1040" s="8">
        <f>+VLOOKUP($B1040,NIFTY_METAL!$B$63:$K$1238,10,0)</f>
        <v>0.20401316820818294</v>
      </c>
      <c r="AA1040" s="8">
        <f>+VLOOKUP($B1040,NIFTY_ENERGY!$B$63:$K$1238,10,0)</f>
        <v>0.11336005555763684</v>
      </c>
      <c r="AB1040" s="8">
        <f>+VLOOKUP($B1040,NIFTY_AUTO!$B$63:$K$1238,10,0)</f>
        <v>0.14195378913681789</v>
      </c>
      <c r="AC1040" s="8">
        <f>+VLOOKUP($B1040,EBBETF0430!$B$63:$K$1238,10,0)</f>
        <v>1.7183098591549295</v>
      </c>
      <c r="AD1040" s="16">
        <f t="shared" si="589"/>
        <v>0.10178520279921947</v>
      </c>
      <c r="AE1040" s="8">
        <f t="shared" si="590"/>
        <v>0.14760405394271883</v>
      </c>
      <c r="AF1040" s="8">
        <f t="shared" si="591"/>
        <v>0.12041807783014118</v>
      </c>
      <c r="AG1040" s="8">
        <f t="shared" si="592"/>
        <v>0.10426416492028084</v>
      </c>
      <c r="AH1040" s="8">
        <f t="shared" si="593"/>
        <v>7.2131992852437002E-2</v>
      </c>
      <c r="AI1040" s="8">
        <f t="shared" si="594"/>
        <v>0.17118703885104969</v>
      </c>
      <c r="AJ1040" s="8">
        <f t="shared" si="595"/>
        <v>0.11554216286664869</v>
      </c>
      <c r="AK1040" s="8">
        <f t="shared" si="596"/>
        <v>0.13299670349992604</v>
      </c>
      <c r="AL1040" s="8">
        <f t="shared" si="572"/>
        <v>1.3347632417246489E-2</v>
      </c>
      <c r="AM1040" s="17">
        <f t="shared" si="573"/>
        <v>9.8246107734597778</v>
      </c>
      <c r="AN1040" s="13">
        <f t="shared" si="574"/>
        <v>6.7748816735621169</v>
      </c>
      <c r="AO1040" s="13">
        <f t="shared" si="575"/>
        <v>8.3044009505829823</v>
      </c>
      <c r="AP1040" s="13">
        <f t="shared" si="576"/>
        <v>9.5910229633027626</v>
      </c>
      <c r="AQ1040" s="13">
        <f t="shared" si="577"/>
        <v>13.863473896329689</v>
      </c>
      <c r="AR1040" s="13">
        <f t="shared" si="578"/>
        <v>5.8415637463657673</v>
      </c>
      <c r="AS1040" s="13">
        <f t="shared" si="579"/>
        <v>8.6548492358943943</v>
      </c>
      <c r="AT1040" s="13">
        <f t="shared" si="580"/>
        <v>7.5189833558585617</v>
      </c>
      <c r="AU1040" s="13">
        <f t="shared" si="606"/>
        <v>74.919653818747591</v>
      </c>
      <c r="AV1040" s="18">
        <f t="shared" si="597"/>
        <v>3</v>
      </c>
      <c r="AW1040" s="18">
        <f t="shared" si="598"/>
        <v>8</v>
      </c>
      <c r="AX1040" s="18">
        <f t="shared" si="599"/>
        <v>6</v>
      </c>
      <c r="AY1040" s="18">
        <f t="shared" si="600"/>
        <v>4</v>
      </c>
      <c r="AZ1040" s="18">
        <f t="shared" si="601"/>
        <v>2</v>
      </c>
      <c r="BA1040" s="18">
        <f t="shared" si="602"/>
        <v>9</v>
      </c>
      <c r="BB1040" s="18">
        <f t="shared" si="603"/>
        <v>5</v>
      </c>
      <c r="BC1040" s="18">
        <f t="shared" si="604"/>
        <v>7</v>
      </c>
      <c r="BD1040" s="18">
        <f t="shared" si="605"/>
        <v>1</v>
      </c>
      <c r="BE1040" s="8">
        <f t="shared" si="608"/>
        <v>-9.9855698279852027E-3</v>
      </c>
    </row>
    <row r="1041" spans="1:57" x14ac:dyDescent="0.25">
      <c r="A1041" t="str">
        <f t="shared" si="607"/>
        <v/>
      </c>
      <c r="B1041" s="1">
        <v>44270</v>
      </c>
      <c r="C1041" s="9">
        <f t="shared" si="581"/>
        <v>0.3363924507285605</v>
      </c>
      <c r="D1041" s="9">
        <f t="shared" si="582"/>
        <v>0</v>
      </c>
      <c r="E1041" s="9">
        <f t="shared" si="583"/>
        <v>0</v>
      </c>
      <c r="F1041" s="9">
        <f t="shared" si="584"/>
        <v>0.33002301109810694</v>
      </c>
      <c r="G1041" s="9">
        <f t="shared" si="585"/>
        <v>0.33358453817333261</v>
      </c>
      <c r="H1041" s="9">
        <f t="shared" si="586"/>
        <v>0</v>
      </c>
      <c r="I1041" s="9">
        <f t="shared" si="587"/>
        <v>0</v>
      </c>
      <c r="J1041" s="9">
        <f t="shared" si="588"/>
        <v>0</v>
      </c>
      <c r="K1041" s="9">
        <v>0</v>
      </c>
      <c r="L1041" s="8">
        <f>+VLOOKUP($B1041,NIFTY_50!$B$3:$I$1238,8,0)</f>
        <v>-6.7494070567729603E-3</v>
      </c>
      <c r="M1041" s="8">
        <f>+VLOOKUP($B1041,NIFTY_BANK!$B$3:$I$41238,8,0)</f>
        <v>-8.8487223442211826E-3</v>
      </c>
      <c r="N1041" s="8">
        <f>+VLOOKUP($B1041,NIFTY_IT!$B$3:$I$1238,8,0)</f>
        <v>5.5546435158806418E-3</v>
      </c>
      <c r="O1041" s="8">
        <f>+VLOOKUP($B1041,NIFTY_PHARMA!$B$3:$I$1238,8,0)</f>
        <v>-1.3111188624658876E-2</v>
      </c>
      <c r="P1041" s="8">
        <f>+VLOOKUP($B1041,NIFTY_FMCG!$B$3:$I$1238,8,0)</f>
        <v>-2.9181849796633408E-4</v>
      </c>
      <c r="Q1041" s="8">
        <f>+VLOOKUP($B1041,NIFTY_METAL!$B$3:$I$1238,8,0)</f>
        <v>1.0377063694599231E-2</v>
      </c>
      <c r="R1041" s="8">
        <f>+VLOOKUP($B1041,NIFTY_ENERGY!$B$3:$I$1238,8,0)</f>
        <v>2.3811619034819209E-4</v>
      </c>
      <c r="S1041" s="8">
        <f>+VLOOKUP($B1041,NIFTY_AUTO!$B$3:$I$1238,8,0)</f>
        <v>-4.6995830083108592E-3</v>
      </c>
      <c r="T1041" s="8">
        <f>+VLOOKUP($B1041,EBBETF0430!$B$3:$I$1238,8,0)</f>
        <v>1.0549664574768247E-3</v>
      </c>
      <c r="U1041" s="8">
        <f>+VLOOKUP($B1041,NIFTY_50!$B$63:$K$1238,10,0)</f>
        <v>0.10035856823299194</v>
      </c>
      <c r="V1041" s="8">
        <f>+VLOOKUP($B1041,NIFTY_BANK!$B$63:$K$1238,10,0)</f>
        <v>0.14634559586589591</v>
      </c>
      <c r="W1041" s="8">
        <f>+VLOOKUP($B1041,NIFTY_IT!$B$63:$K$1238,10,0)</f>
        <v>0.14602401046000235</v>
      </c>
      <c r="X1041" s="8">
        <f>+VLOOKUP($B1041,NIFTY_PHARMA!$B$63:$K$1238,10,0)</f>
        <v>-3.2824992358798655E-2</v>
      </c>
      <c r="Y1041" s="8">
        <f>+VLOOKUP($B1041,NIFTY_FMCG!$B$63:$K$1238,10,0)</f>
        <v>-2.6762031211820636E-2</v>
      </c>
      <c r="Z1041" s="8">
        <f>+VLOOKUP($B1041,NIFTY_METAL!$B$63:$K$1238,10,0)</f>
        <v>0.20717763638909203</v>
      </c>
      <c r="AA1041" s="8">
        <f>+VLOOKUP($B1041,NIFTY_ENERGY!$B$63:$K$1238,10,0)</f>
        <v>0.11813602525265687</v>
      </c>
      <c r="AB1041" s="8">
        <f>+VLOOKUP($B1041,NIFTY_AUTO!$B$63:$K$1238,10,0)</f>
        <v>0.12954998770458204</v>
      </c>
      <c r="AC1041" s="8">
        <f>+VLOOKUP($B1041,EBBETF0430!$B$63:$K$1238,10,0)</f>
        <v>0.84292125662994688</v>
      </c>
      <c r="AD1041" s="16">
        <f t="shared" si="589"/>
        <v>0.10213169786686323</v>
      </c>
      <c r="AE1041" s="8">
        <f t="shared" si="590"/>
        <v>0.14797658767098384</v>
      </c>
      <c r="AF1041" s="8">
        <f t="shared" si="591"/>
        <v>0.12040564505988775</v>
      </c>
      <c r="AG1041" s="8">
        <f t="shared" si="592"/>
        <v>0.10502432175233276</v>
      </c>
      <c r="AH1041" s="8">
        <f t="shared" si="593"/>
        <v>7.1060439003287387E-2</v>
      </c>
      <c r="AI1041" s="8">
        <f t="shared" si="594"/>
        <v>0.17127586724066873</v>
      </c>
      <c r="AJ1041" s="8">
        <f t="shared" si="595"/>
        <v>0.11540137969461091</v>
      </c>
      <c r="AK1041" s="8">
        <f t="shared" si="596"/>
        <v>0.13311733171116227</v>
      </c>
      <c r="AL1041" s="8">
        <f t="shared" si="572"/>
        <v>1.3419343807256446E-2</v>
      </c>
      <c r="AM1041" s="17">
        <f t="shared" si="573"/>
        <v>9.7912795036814071</v>
      </c>
      <c r="AN1041" s="13">
        <f t="shared" si="574"/>
        <v>6.7578257867618481</v>
      </c>
      <c r="AO1041" s="13">
        <f t="shared" si="575"/>
        <v>8.3052584411853516</v>
      </c>
      <c r="AP1041" s="13">
        <f t="shared" si="576"/>
        <v>9.5216039800589183</v>
      </c>
      <c r="AQ1041" s="13">
        <f t="shared" si="577"/>
        <v>14.07252775280122</v>
      </c>
      <c r="AR1041" s="13">
        <f t="shared" si="578"/>
        <v>5.8385341502597523</v>
      </c>
      <c r="AS1041" s="13">
        <f t="shared" si="579"/>
        <v>8.665407663637307</v>
      </c>
      <c r="AT1041" s="13">
        <f t="shared" si="580"/>
        <v>7.5121698064816842</v>
      </c>
      <c r="AU1041" s="13">
        <f t="shared" si="606"/>
        <v>74.519292028217862</v>
      </c>
      <c r="AV1041" s="18">
        <f t="shared" si="597"/>
        <v>3</v>
      </c>
      <c r="AW1041" s="18">
        <f t="shared" si="598"/>
        <v>8</v>
      </c>
      <c r="AX1041" s="18">
        <f t="shared" si="599"/>
        <v>6</v>
      </c>
      <c r="AY1041" s="18">
        <f t="shared" si="600"/>
        <v>4</v>
      </c>
      <c r="AZ1041" s="18">
        <f t="shared" si="601"/>
        <v>2</v>
      </c>
      <c r="BA1041" s="18">
        <f t="shared" si="602"/>
        <v>9</v>
      </c>
      <c r="BB1041" s="18">
        <f t="shared" si="603"/>
        <v>5</v>
      </c>
      <c r="BC1041" s="18">
        <f t="shared" si="604"/>
        <v>7</v>
      </c>
      <c r="BD1041" s="18">
        <f t="shared" si="605"/>
        <v>1</v>
      </c>
      <c r="BE1041" s="8">
        <f t="shared" si="608"/>
        <v>-6.7222378398966885E-3</v>
      </c>
    </row>
    <row r="1042" spans="1:57" x14ac:dyDescent="0.25">
      <c r="A1042" t="str">
        <f t="shared" si="607"/>
        <v/>
      </c>
      <c r="B1042" s="1">
        <v>44271</v>
      </c>
      <c r="C1042" s="9">
        <f t="shared" si="581"/>
        <v>0.33522214557796254</v>
      </c>
      <c r="D1042" s="9">
        <f t="shared" si="582"/>
        <v>0</v>
      </c>
      <c r="E1042" s="9">
        <f t="shared" si="583"/>
        <v>0</v>
      </c>
      <c r="F1042" s="9">
        <f t="shared" si="584"/>
        <v>0.32898011326656107</v>
      </c>
      <c r="G1042" s="9">
        <f t="shared" si="585"/>
        <v>0.33579774115547634</v>
      </c>
      <c r="H1042" s="9">
        <f t="shared" si="586"/>
        <v>0</v>
      </c>
      <c r="I1042" s="9">
        <f t="shared" si="587"/>
        <v>0</v>
      </c>
      <c r="J1042" s="9">
        <f t="shared" si="588"/>
        <v>0</v>
      </c>
      <c r="K1042" s="9">
        <v>0</v>
      </c>
      <c r="L1042" s="8">
        <f>+VLOOKUP($B1042,NIFTY_50!$B$3:$I$1238,8,0)</f>
        <v>-1.2759971867778441E-3</v>
      </c>
      <c r="M1042" s="8">
        <f>+VLOOKUP($B1042,NIFTY_BANK!$B$3:$I$41238,8,0)</f>
        <v>-1.0742541401916661E-2</v>
      </c>
      <c r="N1042" s="8">
        <f>+VLOOKUP($B1042,NIFTY_IT!$B$3:$I$1238,8,0)</f>
        <v>1.2745826778912894E-2</v>
      </c>
      <c r="O1042" s="8">
        <f>+VLOOKUP($B1042,NIFTY_PHARMA!$B$3:$I$1238,8,0)</f>
        <v>-9.563807226912191E-4</v>
      </c>
      <c r="P1042" s="8">
        <f>+VLOOKUP($B1042,NIFTY_FMCG!$B$3:$I$1238,8,0)</f>
        <v>8.859957318539502E-3</v>
      </c>
      <c r="Q1042" s="8">
        <f>+VLOOKUP($B1042,NIFTY_METAL!$B$3:$I$1238,8,0)</f>
        <v>-8.4534993105759293E-3</v>
      </c>
      <c r="R1042" s="8">
        <f>+VLOOKUP($B1042,NIFTY_ENERGY!$B$3:$I$1238,8,0)</f>
        <v>-1.5370363661769693E-3</v>
      </c>
      <c r="S1042" s="8">
        <f>+VLOOKUP($B1042,NIFTY_AUTO!$B$3:$I$1238,8,0)</f>
        <v>1.5190951224466342E-3</v>
      </c>
      <c r="T1042" s="8">
        <f>+VLOOKUP($B1042,EBBETF0430!$B$3:$I$1238,8,0)</f>
        <v>-6.5753325947348618E-4</v>
      </c>
      <c r="U1042" s="8">
        <f>+VLOOKUP($B1042,NIFTY_50!$B$63:$K$1238,10,0)</f>
        <v>8.9730097129952391E-2</v>
      </c>
      <c r="V1042" s="8">
        <f>+VLOOKUP($B1042,NIFTY_BANK!$B$63:$K$1238,10,0)</f>
        <v>0.13375941417142245</v>
      </c>
      <c r="W1042" s="8">
        <f>+VLOOKUP($B1042,NIFTY_IT!$B$63:$K$1238,10,0)</f>
        <v>0.15094570259208728</v>
      </c>
      <c r="X1042" s="8">
        <f>+VLOOKUP($B1042,NIFTY_PHARMA!$B$63:$K$1238,10,0)</f>
        <v>-4.2598127116955542E-2</v>
      </c>
      <c r="Y1042" s="8">
        <f>+VLOOKUP($B1042,NIFTY_FMCG!$B$63:$K$1238,10,0)</f>
        <v>-2.4684281864612134E-2</v>
      </c>
      <c r="Z1042" s="8">
        <f>+VLOOKUP($B1042,NIFTY_METAL!$B$63:$K$1238,10,0)</f>
        <v>0.1758997478413693</v>
      </c>
      <c r="AA1042" s="8">
        <f>+VLOOKUP($B1042,NIFTY_ENERGY!$B$63:$K$1238,10,0)</f>
        <v>0.10987939470119046</v>
      </c>
      <c r="AB1042" s="8">
        <f>+VLOOKUP($B1042,NIFTY_AUTO!$B$63:$K$1238,10,0)</f>
        <v>0.12032557283718104</v>
      </c>
      <c r="AC1042" s="8">
        <f>+VLOOKUP($B1042,EBBETF0430!$B$63:$K$1238,10,0)</f>
        <v>-0.47396768402154399</v>
      </c>
      <c r="AD1042" s="16">
        <f t="shared" si="589"/>
        <v>0.10193887151972442</v>
      </c>
      <c r="AE1042" s="8">
        <f t="shared" si="590"/>
        <v>0.14853810186260991</v>
      </c>
      <c r="AF1042" s="8">
        <f t="shared" si="591"/>
        <v>0.1206998522122268</v>
      </c>
      <c r="AG1042" s="8">
        <f t="shared" si="592"/>
        <v>0.10456863640660566</v>
      </c>
      <c r="AH1042" s="8">
        <f t="shared" si="593"/>
        <v>7.1307137693576245E-2</v>
      </c>
      <c r="AI1042" s="8">
        <f t="shared" si="594"/>
        <v>0.17102651797296292</v>
      </c>
      <c r="AJ1042" s="8">
        <f t="shared" si="595"/>
        <v>0.11538234035053495</v>
      </c>
      <c r="AK1042" s="8">
        <f t="shared" si="596"/>
        <v>0.13289626835075888</v>
      </c>
      <c r="AL1042" s="8">
        <f t="shared" si="572"/>
        <v>1.3416882088312952E-2</v>
      </c>
      <c r="AM1042" s="17">
        <f t="shared" si="573"/>
        <v>9.8098005705949713</v>
      </c>
      <c r="AN1042" s="13">
        <f t="shared" si="574"/>
        <v>6.7322793778861429</v>
      </c>
      <c r="AO1042" s="13">
        <f t="shared" si="575"/>
        <v>8.2850142868584289</v>
      </c>
      <c r="AP1042" s="13">
        <f t="shared" si="576"/>
        <v>9.5630968745885792</v>
      </c>
      <c r="AQ1042" s="13">
        <f t="shared" si="577"/>
        <v>14.023841544408054</v>
      </c>
      <c r="AR1042" s="13">
        <f t="shared" si="578"/>
        <v>5.8470464805819589</v>
      </c>
      <c r="AS1042" s="13">
        <f t="shared" si="579"/>
        <v>8.6668375503735717</v>
      </c>
      <c r="AT1042" s="13">
        <f t="shared" si="580"/>
        <v>7.5246657593173101</v>
      </c>
      <c r="AU1042" s="13">
        <f t="shared" si="606"/>
        <v>74.532964769144854</v>
      </c>
      <c r="AV1042" s="18">
        <f t="shared" si="597"/>
        <v>3</v>
      </c>
      <c r="AW1042" s="18">
        <f t="shared" si="598"/>
        <v>8</v>
      </c>
      <c r="AX1042" s="18">
        <f t="shared" si="599"/>
        <v>6</v>
      </c>
      <c r="AY1042" s="18">
        <f t="shared" si="600"/>
        <v>4</v>
      </c>
      <c r="AZ1042" s="18">
        <f t="shared" si="601"/>
        <v>2</v>
      </c>
      <c r="BA1042" s="18">
        <f t="shared" si="602"/>
        <v>9</v>
      </c>
      <c r="BB1042" s="18">
        <f t="shared" si="603"/>
        <v>5</v>
      </c>
      <c r="BC1042" s="18">
        <f t="shared" si="604"/>
        <v>7</v>
      </c>
      <c r="BD1042" s="18">
        <f t="shared" si="605"/>
        <v>1</v>
      </c>
      <c r="BE1042" s="8">
        <f t="shared" si="608"/>
        <v>2.210681303698751E-3</v>
      </c>
    </row>
    <row r="1043" spans="1:57" x14ac:dyDescent="0.25">
      <c r="A1043" t="str">
        <f t="shared" si="607"/>
        <v/>
      </c>
      <c r="B1043" s="1">
        <v>44272</v>
      </c>
      <c r="C1043" s="9">
        <f t="shared" si="581"/>
        <v>0.33499293132903896</v>
      </c>
      <c r="D1043" s="9">
        <f t="shared" si="582"/>
        <v>0</v>
      </c>
      <c r="E1043" s="9">
        <f t="shared" si="583"/>
        <v>0</v>
      </c>
      <c r="F1043" s="9">
        <f t="shared" si="584"/>
        <v>0.32672878950039952</v>
      </c>
      <c r="G1043" s="9">
        <f t="shared" si="585"/>
        <v>0.33827827917056164</v>
      </c>
      <c r="H1043" s="9">
        <f t="shared" si="586"/>
        <v>0</v>
      </c>
      <c r="I1043" s="9">
        <f t="shared" si="587"/>
        <v>0</v>
      </c>
      <c r="J1043" s="9">
        <f t="shared" si="588"/>
        <v>0</v>
      </c>
      <c r="K1043" s="9">
        <v>0</v>
      </c>
      <c r="L1043" s="8">
        <f>+VLOOKUP($B1043,NIFTY_50!$B$3:$I$1238,8,0)</f>
        <v>-1.2685733830971047E-2</v>
      </c>
      <c r="M1043" s="8">
        <f>+VLOOKUP($B1043,NIFTY_BANK!$B$3:$I$41238,8,0)</f>
        <v>-1.6530860863219199E-2</v>
      </c>
      <c r="N1043" s="8">
        <f>+VLOOKUP($B1043,NIFTY_IT!$B$3:$I$1238,8,0)</f>
        <v>-6.8408066348427665E-3</v>
      </c>
      <c r="O1043" s="8">
        <f>+VLOOKUP($B1043,NIFTY_PHARMA!$B$3:$I$1238,8,0)</f>
        <v>-1.8771331058020424E-2</v>
      </c>
      <c r="P1043" s="8">
        <f>+VLOOKUP($B1043,NIFTY_FMCG!$B$3:$I$1238,8,0)</f>
        <v>-4.7118966770859361E-3</v>
      </c>
      <c r="Q1043" s="8">
        <f>+VLOOKUP($B1043,NIFTY_METAL!$B$3:$I$1238,8,0)</f>
        <v>-2.4575995841185305E-2</v>
      </c>
      <c r="R1043" s="8">
        <f>+VLOOKUP($B1043,NIFTY_ENERGY!$B$3:$I$1238,8,0)</f>
        <v>-3.1060166276200896E-2</v>
      </c>
      <c r="S1043" s="8">
        <f>+VLOOKUP($B1043,NIFTY_AUTO!$B$3:$I$1238,8,0)</f>
        <v>-1.8520307609073638E-2</v>
      </c>
      <c r="T1043" s="8">
        <f>+VLOOKUP($B1043,EBBETF0430!$B$3:$I$1238,8,0)</f>
        <v>2.3434401701694085E-4</v>
      </c>
      <c r="U1043" s="8">
        <f>+VLOOKUP($B1043,NIFTY_50!$B$63:$K$1238,10,0)</f>
        <v>7.1364632078423806E-2</v>
      </c>
      <c r="V1043" s="8">
        <f>+VLOOKUP($B1043,NIFTY_BANK!$B$63:$K$1238,10,0)</f>
        <v>0.10964419612248166</v>
      </c>
      <c r="W1043" s="8">
        <f>+VLOOKUP($B1043,NIFTY_IT!$B$63:$K$1238,10,0)</f>
        <v>0.14377136367111132</v>
      </c>
      <c r="X1043" s="8">
        <f>+VLOOKUP($B1043,NIFTY_PHARMA!$B$63:$K$1238,10,0)</f>
        <v>-6.466228654859385E-2</v>
      </c>
      <c r="Y1043" s="8">
        <f>+VLOOKUP($B1043,NIFTY_FMCG!$B$63:$K$1238,10,0)</f>
        <v>-2.4077169245785957E-2</v>
      </c>
      <c r="Z1043" s="8">
        <f>+VLOOKUP($B1043,NIFTY_METAL!$B$63:$K$1238,10,0)</f>
        <v>0.16265452179570583</v>
      </c>
      <c r="AA1043" s="8">
        <f>+VLOOKUP($B1043,NIFTY_ENERGY!$B$63:$K$1238,10,0)</f>
        <v>7.9106187819471208E-2</v>
      </c>
      <c r="AB1043" s="8">
        <f>+VLOOKUP($B1043,NIFTY_AUTO!$B$63:$K$1238,10,0)</f>
        <v>0.10602926446892824</v>
      </c>
      <c r="AC1043" s="8">
        <f>+VLOOKUP($B1043,EBBETF0430!$B$63:$K$1238,10,0)</f>
        <v>-0.20939125114713975</v>
      </c>
      <c r="AD1043" s="16">
        <f t="shared" si="589"/>
        <v>0.10286103702808271</v>
      </c>
      <c r="AE1043" s="8">
        <f t="shared" si="590"/>
        <v>0.14967165807275915</v>
      </c>
      <c r="AF1043" s="8">
        <f t="shared" si="591"/>
        <v>0.12101433835451575</v>
      </c>
      <c r="AG1043" s="8">
        <f t="shared" si="592"/>
        <v>0.10597251005881385</v>
      </c>
      <c r="AH1043" s="8">
        <f t="shared" si="593"/>
        <v>7.1266675306184676E-2</v>
      </c>
      <c r="AI1043" s="8">
        <f t="shared" si="594"/>
        <v>0.17243894308929822</v>
      </c>
      <c r="AJ1043" s="8">
        <f t="shared" si="595"/>
        <v>0.11980874761976937</v>
      </c>
      <c r="AK1043" s="8">
        <f t="shared" si="596"/>
        <v>0.13423382683828805</v>
      </c>
      <c r="AL1043" s="8">
        <f t="shared" si="572"/>
        <v>1.3425606194893266E-2</v>
      </c>
      <c r="AM1043" s="17">
        <f t="shared" si="573"/>
        <v>9.7218541528701881</v>
      </c>
      <c r="AN1043" s="13">
        <f t="shared" si="574"/>
        <v>6.6812916545220267</v>
      </c>
      <c r="AO1043" s="13">
        <f t="shared" si="575"/>
        <v>8.2634835970466973</v>
      </c>
      <c r="AP1043" s="13">
        <f t="shared" si="576"/>
        <v>9.4364094937923841</v>
      </c>
      <c r="AQ1043" s="13">
        <f t="shared" si="577"/>
        <v>14.031803724583428</v>
      </c>
      <c r="AR1043" s="13">
        <f t="shared" si="578"/>
        <v>5.7991540778705994</v>
      </c>
      <c r="AS1043" s="13">
        <f t="shared" si="579"/>
        <v>8.3466359499361982</v>
      </c>
      <c r="AT1043" s="13">
        <f t="shared" si="580"/>
        <v>7.44968703905539</v>
      </c>
      <c r="AU1043" s="13">
        <f t="shared" si="606"/>
        <v>74.484532428812983</v>
      </c>
      <c r="AV1043" s="18">
        <f t="shared" si="597"/>
        <v>3</v>
      </c>
      <c r="AW1043" s="18">
        <f t="shared" si="598"/>
        <v>8</v>
      </c>
      <c r="AX1043" s="18">
        <f t="shared" si="599"/>
        <v>6</v>
      </c>
      <c r="AY1043" s="18">
        <f t="shared" si="600"/>
        <v>4</v>
      </c>
      <c r="AZ1043" s="18">
        <f t="shared" si="601"/>
        <v>2</v>
      </c>
      <c r="BA1043" s="18">
        <f t="shared" si="602"/>
        <v>9</v>
      </c>
      <c r="BB1043" s="18">
        <f t="shared" si="603"/>
        <v>5</v>
      </c>
      <c r="BC1043" s="18">
        <f t="shared" si="604"/>
        <v>7</v>
      </c>
      <c r="BD1043" s="18">
        <f t="shared" si="605"/>
        <v>1</v>
      </c>
      <c r="BE1043" s="8">
        <f t="shared" si="608"/>
        <v>-1.2010177791404187E-2</v>
      </c>
    </row>
    <row r="1044" spans="1:57" x14ac:dyDescent="0.25">
      <c r="A1044" t="str">
        <f t="shared" si="607"/>
        <v/>
      </c>
      <c r="B1044" s="1">
        <v>44273</v>
      </c>
      <c r="C1044" s="9">
        <f t="shared" si="581"/>
        <v>0.33495891650459025</v>
      </c>
      <c r="D1044" s="9">
        <f t="shared" si="582"/>
        <v>0</v>
      </c>
      <c r="E1044" s="9">
        <f t="shared" si="583"/>
        <v>0</v>
      </c>
      <c r="F1044" s="9">
        <f t="shared" si="584"/>
        <v>0.32271096284913714</v>
      </c>
      <c r="G1044" s="9">
        <f t="shared" si="585"/>
        <v>0.34233012064627272</v>
      </c>
      <c r="H1044" s="9">
        <f t="shared" si="586"/>
        <v>0</v>
      </c>
      <c r="I1044" s="9">
        <f t="shared" si="587"/>
        <v>0</v>
      </c>
      <c r="J1044" s="9">
        <f t="shared" si="588"/>
        <v>0</v>
      </c>
      <c r="K1044" s="9">
        <v>0</v>
      </c>
      <c r="L1044" s="8">
        <f>+VLOOKUP($B1044,NIFTY_50!$B$3:$I$1238,8,0)</f>
        <v>-1.1102959657095401E-2</v>
      </c>
      <c r="M1044" s="8">
        <f>+VLOOKUP($B1044,NIFTY_BANK!$B$3:$I$41238,8,0)</f>
        <v>-1.088104472052398E-2</v>
      </c>
      <c r="N1044" s="8">
        <f>+VLOOKUP($B1044,NIFTY_IT!$B$3:$I$1238,8,0)</f>
        <v>-3.0941241621632032E-2</v>
      </c>
      <c r="O1044" s="8">
        <f>+VLOOKUP($B1044,NIFTY_PHARMA!$B$3:$I$1238,8,0)</f>
        <v>-2.3164369034994636E-2</v>
      </c>
      <c r="P1044" s="8">
        <f>+VLOOKUP($B1044,NIFTY_FMCG!$B$3:$I$1238,8,0)</f>
        <v>8.4351069149790625E-4</v>
      </c>
      <c r="Q1044" s="8">
        <f>+VLOOKUP($B1044,NIFTY_METAL!$B$3:$I$1238,8,0)</f>
        <v>4.3968342793188064E-4</v>
      </c>
      <c r="R1044" s="8">
        <f>+VLOOKUP($B1044,NIFTY_ENERGY!$B$3:$I$1238,8,0)</f>
        <v>-1.5488968356072386E-2</v>
      </c>
      <c r="S1044" s="8">
        <f>+VLOOKUP($B1044,NIFTY_AUTO!$B$3:$I$1238,8,0)</f>
        <v>-1.4912738333119346E-3</v>
      </c>
      <c r="T1044" s="8">
        <f>+VLOOKUP($B1044,EBBETF0430!$B$3:$I$1238,8,0)</f>
        <v>1.5318903526950756E-4</v>
      </c>
      <c r="U1044" s="8">
        <f>+VLOOKUP($B1044,NIFTY_50!$B$63:$K$1238,10,0)</f>
        <v>5.7940997997899979E-2</v>
      </c>
      <c r="V1044" s="8">
        <f>+VLOOKUP($B1044,NIFTY_BANK!$B$63:$K$1238,10,0)</f>
        <v>0.10230134479800368</v>
      </c>
      <c r="W1044" s="8">
        <f>+VLOOKUP($B1044,NIFTY_IT!$B$63:$K$1238,10,0)</f>
        <v>9.1017173619531766E-2</v>
      </c>
      <c r="X1044" s="8">
        <f>+VLOOKUP($B1044,NIFTY_PHARMA!$B$63:$K$1238,10,0)</f>
        <v>-9.7779797607807306E-2</v>
      </c>
      <c r="Y1044" s="8">
        <f>+VLOOKUP($B1044,NIFTY_FMCG!$B$63:$K$1238,10,0)</f>
        <v>-2.5807340767739717E-2</v>
      </c>
      <c r="Z1044" s="8">
        <f>+VLOOKUP($B1044,NIFTY_METAL!$B$63:$K$1238,10,0)</f>
        <v>0.16717963066592056</v>
      </c>
      <c r="AA1044" s="8">
        <f>+VLOOKUP($B1044,NIFTY_ENERGY!$B$63:$K$1238,10,0)</f>
        <v>6.803931069902136E-2</v>
      </c>
      <c r="AB1044" s="8">
        <f>+VLOOKUP($B1044,NIFTY_AUTO!$B$63:$K$1238,10,0)</f>
        <v>0.10637334831191092</v>
      </c>
      <c r="AC1044" s="8">
        <f>+VLOOKUP($B1044,EBBETF0430!$B$63:$K$1238,10,0)</f>
        <v>0.26323218066337328</v>
      </c>
      <c r="AD1044" s="16">
        <f t="shared" si="589"/>
        <v>0.1035835348134185</v>
      </c>
      <c r="AE1044" s="8">
        <f t="shared" si="590"/>
        <v>0.15008582432560053</v>
      </c>
      <c r="AF1044" s="8">
        <f t="shared" si="591"/>
        <v>0.12462071801162812</v>
      </c>
      <c r="AG1044" s="8">
        <f t="shared" si="592"/>
        <v>0.10729712895244793</v>
      </c>
      <c r="AH1044" s="8">
        <f t="shared" si="593"/>
        <v>7.1214163941800024E-2</v>
      </c>
      <c r="AI1044" s="8">
        <f t="shared" si="594"/>
        <v>0.17234335271123691</v>
      </c>
      <c r="AJ1044" s="8">
        <f t="shared" si="595"/>
        <v>0.12079848639565281</v>
      </c>
      <c r="AK1044" s="8">
        <f t="shared" si="596"/>
        <v>0.13422584514761626</v>
      </c>
      <c r="AL1044" s="8">
        <f t="shared" si="572"/>
        <v>1.3430806979365486E-2</v>
      </c>
      <c r="AM1044" s="17">
        <f t="shared" si="573"/>
        <v>9.654043973313577</v>
      </c>
      <c r="AN1044" s="13">
        <f t="shared" si="574"/>
        <v>6.6628544334111863</v>
      </c>
      <c r="AO1044" s="13">
        <f t="shared" si="575"/>
        <v>8.0243479250913321</v>
      </c>
      <c r="AP1044" s="13">
        <f t="shared" si="576"/>
        <v>9.3199138668769148</v>
      </c>
      <c r="AQ1044" s="13">
        <f t="shared" si="577"/>
        <v>14.042150390437117</v>
      </c>
      <c r="AR1044" s="13">
        <f t="shared" si="578"/>
        <v>5.802370583305934</v>
      </c>
      <c r="AS1044" s="13">
        <f t="shared" si="579"/>
        <v>8.2782494204826982</v>
      </c>
      <c r="AT1044" s="13">
        <f t="shared" si="580"/>
        <v>7.450130031963961</v>
      </c>
      <c r="AU1044" s="13">
        <f t="shared" si="606"/>
        <v>74.455689932582374</v>
      </c>
      <c r="AV1044" s="18">
        <f t="shared" si="597"/>
        <v>3</v>
      </c>
      <c r="AW1044" s="18">
        <f t="shared" si="598"/>
        <v>8</v>
      </c>
      <c r="AX1044" s="18">
        <f t="shared" si="599"/>
        <v>6</v>
      </c>
      <c r="AY1044" s="18">
        <f t="shared" si="600"/>
        <v>4</v>
      </c>
      <c r="AZ1044" s="18">
        <f t="shared" si="601"/>
        <v>2</v>
      </c>
      <c r="BA1044" s="18">
        <f t="shared" si="602"/>
        <v>9</v>
      </c>
      <c r="BB1044" s="18">
        <f t="shared" si="603"/>
        <v>5</v>
      </c>
      <c r="BC1044" s="18">
        <f t="shared" si="604"/>
        <v>7</v>
      </c>
      <c r="BD1044" s="18">
        <f t="shared" si="605"/>
        <v>1</v>
      </c>
      <c r="BE1044" s="8">
        <f t="shared" si="608"/>
        <v>-1.1002537911120902E-2</v>
      </c>
    </row>
    <row r="1045" spans="1:57" x14ac:dyDescent="0.25">
      <c r="A1045" t="str">
        <f t="shared" si="607"/>
        <v/>
      </c>
      <c r="B1045" s="1">
        <v>44274</v>
      </c>
      <c r="C1045" s="9">
        <f t="shared" si="581"/>
        <v>0.33361593911995285</v>
      </c>
      <c r="D1045" s="9">
        <f t="shared" si="582"/>
        <v>0</v>
      </c>
      <c r="E1045" s="9">
        <f t="shared" si="583"/>
        <v>0</v>
      </c>
      <c r="F1045" s="9">
        <f t="shared" si="584"/>
        <v>0.3215663586109278</v>
      </c>
      <c r="G1045" s="9">
        <f t="shared" si="585"/>
        <v>0.34481770226911929</v>
      </c>
      <c r="H1045" s="9">
        <f t="shared" si="586"/>
        <v>0</v>
      </c>
      <c r="I1045" s="9">
        <f t="shared" si="587"/>
        <v>0</v>
      </c>
      <c r="J1045" s="9">
        <f t="shared" si="588"/>
        <v>0</v>
      </c>
      <c r="K1045" s="9">
        <v>0</v>
      </c>
      <c r="L1045" s="8">
        <f>+VLOOKUP($B1045,NIFTY_50!$B$3:$I$1238,8,0)</f>
        <v>1.2786915650319308E-2</v>
      </c>
      <c r="M1045" s="8">
        <f>+VLOOKUP($B1045,NIFTY_BANK!$B$3:$I$41238,8,0)</f>
        <v>9.0026228113702089E-3</v>
      </c>
      <c r="N1045" s="8">
        <f>+VLOOKUP($B1045,NIFTY_IT!$B$3:$I$1238,8,0)</f>
        <v>7.4645247868334597E-3</v>
      </c>
      <c r="O1045" s="8">
        <f>+VLOOKUP($B1045,NIFTY_PHARMA!$B$3:$I$1238,8,0)</f>
        <v>1.3257255014351488E-2</v>
      </c>
      <c r="P1045" s="8">
        <f>+VLOOKUP($B1045,NIFTY_FMCG!$B$3:$I$1238,8,0)</f>
        <v>2.4253068694202184E-2</v>
      </c>
      <c r="Q1045" s="8">
        <f>+VLOOKUP($B1045,NIFTY_METAL!$B$3:$I$1238,8,0)</f>
        <v>2.081585360981264E-2</v>
      </c>
      <c r="R1045" s="8">
        <f>+VLOOKUP($B1045,NIFTY_ENERGY!$B$3:$I$1238,8,0)</f>
        <v>3.156853795831438E-2</v>
      </c>
      <c r="S1045" s="8">
        <f>+VLOOKUP($B1045,NIFTY_AUTO!$B$3:$I$1238,8,0)</f>
        <v>4.1946184671650677E-3</v>
      </c>
      <c r="T1045" s="8">
        <f>+VLOOKUP($B1045,EBBETF0430!$B$3:$I$1238,8,0)</f>
        <v>-4.1444801830781142E-4</v>
      </c>
      <c r="U1045" s="8">
        <f>+VLOOKUP($B1045,NIFTY_50!$B$63:$K$1238,10,0)</f>
        <v>0.10620929744005281</v>
      </c>
      <c r="V1045" s="8">
        <f>+VLOOKUP($B1045,NIFTY_BANK!$B$63:$K$1238,10,0)</f>
        <v>0.15973241853651743</v>
      </c>
      <c r="W1045" s="8">
        <f>+VLOOKUP($B1045,NIFTY_IT!$B$63:$K$1238,10,0)</f>
        <v>0.1189843551648968</v>
      </c>
      <c r="X1045" s="8">
        <f>+VLOOKUP($B1045,NIFTY_PHARMA!$B$63:$K$1238,10,0)</f>
        <v>-4.97672694990694E-2</v>
      </c>
      <c r="Y1045" s="8">
        <f>+VLOOKUP($B1045,NIFTY_FMCG!$B$63:$K$1238,10,0)</f>
        <v>2.6462168676152586E-2</v>
      </c>
      <c r="Z1045" s="8">
        <f>+VLOOKUP($B1045,NIFTY_METAL!$B$63:$K$1238,10,0)</f>
        <v>0.26141693409034805</v>
      </c>
      <c r="AA1045" s="8">
        <f>+VLOOKUP($B1045,NIFTY_ENERGY!$B$63:$K$1238,10,0)</f>
        <v>0.15924029687161312</v>
      </c>
      <c r="AB1045" s="8">
        <f>+VLOOKUP($B1045,NIFTY_AUTO!$B$63:$K$1238,10,0)</f>
        <v>0.16483704974271007</v>
      </c>
      <c r="AC1045" s="8">
        <f>+VLOOKUP($B1045,EBBETF0430!$B$63:$K$1238,10,0)</f>
        <v>-0.31468110709987962</v>
      </c>
      <c r="AD1045" s="16">
        <f t="shared" si="589"/>
        <v>9.8920963855207947E-2</v>
      </c>
      <c r="AE1045" s="8">
        <f t="shared" si="590"/>
        <v>0.14390926961316186</v>
      </c>
      <c r="AF1045" s="8">
        <f t="shared" si="591"/>
        <v>0.12322116641402175</v>
      </c>
      <c r="AG1045" s="8">
        <f t="shared" si="592"/>
        <v>0.10182788788693729</v>
      </c>
      <c r="AH1045" s="8">
        <f t="shared" si="593"/>
        <v>6.9834102392138789E-2</v>
      </c>
      <c r="AI1045" s="8">
        <f t="shared" si="594"/>
        <v>0.16291626821312516</v>
      </c>
      <c r="AJ1045" s="8">
        <f t="shared" si="595"/>
        <v>0.11325687153305854</v>
      </c>
      <c r="AK1045" s="8">
        <f t="shared" si="596"/>
        <v>0.12520161134732838</v>
      </c>
      <c r="AL1045" s="8">
        <f t="shared" si="572"/>
        <v>1.3425430066261623E-2</v>
      </c>
      <c r="AM1045" s="17">
        <f t="shared" si="573"/>
        <v>10.109080633946457</v>
      </c>
      <c r="AN1045" s="13">
        <f t="shared" si="574"/>
        <v>6.9488227039722297</v>
      </c>
      <c r="AO1045" s="13">
        <f t="shared" si="575"/>
        <v>8.115488832819608</v>
      </c>
      <c r="AP1045" s="13">
        <f t="shared" si="576"/>
        <v>9.8204924088215542</v>
      </c>
      <c r="AQ1045" s="13">
        <f t="shared" si="577"/>
        <v>14.319651370110112</v>
      </c>
      <c r="AR1045" s="13">
        <f t="shared" si="578"/>
        <v>6.1381224291966454</v>
      </c>
      <c r="AS1045" s="13">
        <f t="shared" si="579"/>
        <v>8.8294863390086675</v>
      </c>
      <c r="AT1045" s="13">
        <f t="shared" si="580"/>
        <v>7.9871176515919382</v>
      </c>
      <c r="AU1045" s="13">
        <f t="shared" si="606"/>
        <v>74.485509593694147</v>
      </c>
      <c r="AV1045" s="18">
        <f t="shared" si="597"/>
        <v>3</v>
      </c>
      <c r="AW1045" s="18">
        <f t="shared" si="598"/>
        <v>8</v>
      </c>
      <c r="AX1045" s="18">
        <f t="shared" si="599"/>
        <v>6</v>
      </c>
      <c r="AY1045" s="18">
        <f t="shared" si="600"/>
        <v>4</v>
      </c>
      <c r="AZ1045" s="18">
        <f t="shared" si="601"/>
        <v>2</v>
      </c>
      <c r="BA1045" s="18">
        <f t="shared" si="602"/>
        <v>9</v>
      </c>
      <c r="BB1045" s="18">
        <f t="shared" si="603"/>
        <v>5</v>
      </c>
      <c r="BC1045" s="18">
        <f t="shared" si="604"/>
        <v>7</v>
      </c>
      <c r="BD1045" s="18">
        <f t="shared" si="605"/>
        <v>1</v>
      </c>
      <c r="BE1045" s="8">
        <f t="shared" si="608"/>
        <v>1.6863908874213039E-2</v>
      </c>
    </row>
    <row r="1046" spans="1:57" x14ac:dyDescent="0.25">
      <c r="A1046" t="str">
        <f t="shared" si="607"/>
        <v/>
      </c>
      <c r="B1046" s="1">
        <v>44277</v>
      </c>
      <c r="C1046" s="9">
        <f t="shared" si="581"/>
        <v>0.32989316835690624</v>
      </c>
      <c r="D1046" s="9">
        <f t="shared" si="582"/>
        <v>0</v>
      </c>
      <c r="E1046" s="9">
        <f t="shared" si="583"/>
        <v>0</v>
      </c>
      <c r="F1046" s="9">
        <f t="shared" si="584"/>
        <v>0.32314986223310266</v>
      </c>
      <c r="G1046" s="9">
        <f t="shared" si="585"/>
        <v>0.34695696940999116</v>
      </c>
      <c r="H1046" s="9">
        <f t="shared" si="586"/>
        <v>0</v>
      </c>
      <c r="I1046" s="9">
        <f t="shared" si="587"/>
        <v>0</v>
      </c>
      <c r="J1046" s="9">
        <f t="shared" si="588"/>
        <v>0</v>
      </c>
      <c r="K1046" s="9">
        <v>0</v>
      </c>
      <c r="L1046" s="8">
        <f>+VLOOKUP($B1046,NIFTY_50!$B$3:$I$1238,8,0)</f>
        <v>-5.1546391752577136E-4</v>
      </c>
      <c r="M1046" s="8">
        <f>+VLOOKUP($B1046,NIFTY_BANK!$B$3:$I$41238,8,0)</f>
        <v>-1.6338520444007298E-2</v>
      </c>
      <c r="N1046" s="8">
        <f>+VLOOKUP($B1046,NIFTY_IT!$B$3:$I$1238,8,0)</f>
        <v>1.8487838749743135E-2</v>
      </c>
      <c r="O1046" s="8">
        <f>+VLOOKUP($B1046,NIFTY_PHARMA!$B$3:$I$1238,8,0)</f>
        <v>1.574084391151187E-2</v>
      </c>
      <c r="P1046" s="8">
        <f>+VLOOKUP($B1046,NIFTY_FMCG!$B$3:$I$1238,8,0)</f>
        <v>1.7034325790113325E-2</v>
      </c>
      <c r="Q1046" s="8">
        <f>+VLOOKUP($B1046,NIFTY_METAL!$B$3:$I$1238,8,0)</f>
        <v>9.1193737769079686E-3</v>
      </c>
      <c r="R1046" s="8">
        <f>+VLOOKUP($B1046,NIFTY_ENERGY!$B$3:$I$1238,8,0)</f>
        <v>3.3446753821353425E-4</v>
      </c>
      <c r="S1046" s="8">
        <f>+VLOOKUP($B1046,NIFTY_AUTO!$B$3:$I$1238,8,0)</f>
        <v>-4.5206891474008914E-3</v>
      </c>
      <c r="T1046" s="8">
        <f>+VLOOKUP($B1046,EBBETF0430!$B$3:$I$1238,8,0)</f>
        <v>7.021497138221644E-3</v>
      </c>
      <c r="U1046" s="8">
        <f>+VLOOKUP($B1046,NIFTY_50!$B$63:$K$1238,10,0)</f>
        <v>9.4316924470715824E-2</v>
      </c>
      <c r="V1046" s="8">
        <f>+VLOOKUP($B1046,NIFTY_BANK!$B$63:$K$1238,10,0)</f>
        <v>0.13425729807820486</v>
      </c>
      <c r="W1046" s="8">
        <f>+VLOOKUP($B1046,NIFTY_IT!$B$63:$K$1238,10,0)</f>
        <v>0.10265081570075729</v>
      </c>
      <c r="X1046" s="8">
        <f>+VLOOKUP($B1046,NIFTY_PHARMA!$B$63:$K$1238,10,0)</f>
        <v>-5.5788605643397604E-2</v>
      </c>
      <c r="Y1046" s="8">
        <f>+VLOOKUP($B1046,NIFTY_FMCG!$B$63:$K$1238,10,0)</f>
        <v>3.837343098588164E-2</v>
      </c>
      <c r="Z1046" s="8">
        <f>+VLOOKUP($B1046,NIFTY_METAL!$B$63:$K$1238,10,0)</f>
        <v>0.25580828990307336</v>
      </c>
      <c r="AA1046" s="8">
        <f>+VLOOKUP($B1046,NIFTY_ENERGY!$B$63:$K$1238,10,0)</f>
        <v>0.14622186010018701</v>
      </c>
      <c r="AB1046" s="8">
        <f>+VLOOKUP($B1046,NIFTY_AUTO!$B$63:$K$1238,10,0)</f>
        <v>0.1498934071167759</v>
      </c>
      <c r="AC1046" s="8">
        <f>+VLOOKUP($B1046,EBBETF0430!$B$63:$K$1238,10,0)</f>
        <v>1.144904458598726</v>
      </c>
      <c r="AD1046" s="16">
        <f t="shared" si="589"/>
        <v>9.856142921590795E-2</v>
      </c>
      <c r="AE1046" s="8">
        <f t="shared" si="590"/>
        <v>0.14508817410866875</v>
      </c>
      <c r="AF1046" s="8">
        <f t="shared" si="591"/>
        <v>0.12022341636862437</v>
      </c>
      <c r="AG1046" s="8">
        <f t="shared" si="592"/>
        <v>0.10056150326920163</v>
      </c>
      <c r="AH1046" s="8">
        <f t="shared" si="593"/>
        <v>7.1589121308993336E-2</v>
      </c>
      <c r="AI1046" s="8">
        <f t="shared" si="594"/>
        <v>0.16271201412377007</v>
      </c>
      <c r="AJ1046" s="8">
        <f t="shared" si="595"/>
        <v>0.11289737734651682</v>
      </c>
      <c r="AK1046" s="8">
        <f t="shared" si="596"/>
        <v>0.1252613744592411</v>
      </c>
      <c r="AL1046" s="8">
        <f t="shared" si="572"/>
        <v>1.5301620310654197E-2</v>
      </c>
      <c r="AM1046" s="17">
        <f t="shared" si="573"/>
        <v>10.145956769857783</v>
      </c>
      <c r="AN1046" s="13">
        <f t="shared" si="574"/>
        <v>6.8923604983202544</v>
      </c>
      <c r="AO1046" s="13">
        <f t="shared" si="575"/>
        <v>8.3178471399767826</v>
      </c>
      <c r="AP1046" s="13">
        <f t="shared" si="576"/>
        <v>9.9441631985454215</v>
      </c>
      <c r="AQ1046" s="13">
        <f t="shared" si="577"/>
        <v>13.968602794882687</v>
      </c>
      <c r="AR1046" s="13">
        <f t="shared" si="578"/>
        <v>6.1458276783380636</v>
      </c>
      <c r="AS1046" s="13">
        <f t="shared" si="579"/>
        <v>8.857601686624589</v>
      </c>
      <c r="AT1046" s="13">
        <f t="shared" si="580"/>
        <v>7.9833069397253889</v>
      </c>
      <c r="AU1046" s="13">
        <f t="shared" si="606"/>
        <v>65.352556114839743</v>
      </c>
      <c r="AV1046" s="18">
        <f t="shared" si="597"/>
        <v>3</v>
      </c>
      <c r="AW1046" s="18">
        <f t="shared" si="598"/>
        <v>8</v>
      </c>
      <c r="AX1046" s="18">
        <f t="shared" si="599"/>
        <v>6</v>
      </c>
      <c r="AY1046" s="18">
        <f t="shared" si="600"/>
        <v>4</v>
      </c>
      <c r="AZ1046" s="18">
        <f t="shared" si="601"/>
        <v>2</v>
      </c>
      <c r="BA1046" s="18">
        <f t="shared" si="602"/>
        <v>9</v>
      </c>
      <c r="BB1046" s="18">
        <f t="shared" si="603"/>
        <v>5</v>
      </c>
      <c r="BC1046" s="18">
        <f t="shared" si="604"/>
        <v>7</v>
      </c>
      <c r="BD1046" s="18">
        <f t="shared" si="605"/>
        <v>1</v>
      </c>
      <c r="BE1046" s="8">
        <f t="shared" si="608"/>
        <v>1.0763495957810532E-2</v>
      </c>
    </row>
    <row r="1047" spans="1:57" x14ac:dyDescent="0.25">
      <c r="A1047" t="str">
        <f t="shared" si="607"/>
        <v/>
      </c>
      <c r="B1047" s="1">
        <v>44278</v>
      </c>
      <c r="C1047" s="9">
        <f t="shared" si="581"/>
        <v>0.33100255258753919</v>
      </c>
      <c r="D1047" s="9">
        <f t="shared" si="582"/>
        <v>0</v>
      </c>
      <c r="E1047" s="9">
        <f t="shared" si="583"/>
        <v>0</v>
      </c>
      <c r="F1047" s="9">
        <f t="shared" si="584"/>
        <v>0.32405810061160489</v>
      </c>
      <c r="G1047" s="9">
        <f t="shared" si="585"/>
        <v>0.34493934680085592</v>
      </c>
      <c r="H1047" s="9">
        <f t="shared" si="586"/>
        <v>0</v>
      </c>
      <c r="I1047" s="9">
        <f t="shared" si="587"/>
        <v>0</v>
      </c>
      <c r="J1047" s="9">
        <f t="shared" si="588"/>
        <v>0</v>
      </c>
      <c r="K1047" s="9">
        <v>0</v>
      </c>
      <c r="L1047" s="8">
        <f>+VLOOKUP($B1047,NIFTY_50!$B$3:$I$1238,8,0)</f>
        <v>5.3167666458564522E-3</v>
      </c>
      <c r="M1047" s="8">
        <f>+VLOOKUP($B1047,NIFTY_BANK!$B$3:$I$41238,8,0)</f>
        <v>1.7288403422862864E-2</v>
      </c>
      <c r="N1047" s="8">
        <f>+VLOOKUP($B1047,NIFTY_IT!$B$3:$I$1238,8,0)</f>
        <v>2.702095420265227E-3</v>
      </c>
      <c r="O1047" s="8">
        <f>+VLOOKUP($B1047,NIFTY_PHARMA!$B$3:$I$1238,8,0)</f>
        <v>4.7634115984220848E-3</v>
      </c>
      <c r="P1047" s="8">
        <f>+VLOOKUP($B1047,NIFTY_FMCG!$B$3:$I$1238,8,0)</f>
        <v>-3.8791608876560524E-3</v>
      </c>
      <c r="Q1047" s="8">
        <f>+VLOOKUP($B1047,NIFTY_METAL!$B$3:$I$1238,8,0)</f>
        <v>-6.5934918357056782E-3</v>
      </c>
      <c r="R1047" s="8">
        <f>+VLOOKUP($B1047,NIFTY_ENERGY!$B$3:$I$1238,8,0)</f>
        <v>7.2663130043304491E-4</v>
      </c>
      <c r="S1047" s="8">
        <f>+VLOOKUP($B1047,NIFTY_AUTO!$B$3:$I$1238,8,0)</f>
        <v>4.6546257809070291E-3</v>
      </c>
      <c r="T1047" s="8">
        <f>+VLOOKUP($B1047,EBBETF0430!$B$3:$I$1238,8,0)</f>
        <v>2.3987683935413617E-3</v>
      </c>
      <c r="U1047" s="8">
        <f>+VLOOKUP($B1047,NIFTY_50!$B$63:$K$1238,10,0)</f>
        <v>8.9231753314070072E-2</v>
      </c>
      <c r="V1047" s="8">
        <f>+VLOOKUP($B1047,NIFTY_BANK!$B$63:$K$1238,10,0)</f>
        <v>0.14392988726144718</v>
      </c>
      <c r="W1047" s="8">
        <f>+VLOOKUP($B1047,NIFTY_IT!$B$63:$K$1238,10,0)</f>
        <v>8.0187439873385058E-2</v>
      </c>
      <c r="X1047" s="8">
        <f>+VLOOKUP($B1047,NIFTY_PHARMA!$B$63:$K$1238,10,0)</f>
        <v>-6.6339952561111803E-2</v>
      </c>
      <c r="Y1047" s="8">
        <f>+VLOOKUP($B1047,NIFTY_FMCG!$B$63:$K$1238,10,0)</f>
        <v>1.4948772301713431E-2</v>
      </c>
      <c r="Z1047" s="8">
        <f>+VLOOKUP($B1047,NIFTY_METAL!$B$63:$K$1238,10,0)</f>
        <v>0.22585431224274899</v>
      </c>
      <c r="AA1047" s="8">
        <f>+VLOOKUP($B1047,NIFTY_ENERGY!$B$63:$K$1238,10,0)</f>
        <v>0.14297097701495032</v>
      </c>
      <c r="AB1047" s="8">
        <f>+VLOOKUP($B1047,NIFTY_AUTO!$B$63:$K$1238,10,0)</f>
        <v>0.1400746423155903</v>
      </c>
      <c r="AC1047" s="8">
        <f>+VLOOKUP($B1047,EBBETF0430!$B$63:$K$1238,10,0)</f>
        <v>-0.34530132426881954</v>
      </c>
      <c r="AD1047" s="16">
        <f t="shared" si="589"/>
        <v>9.8268423919881859E-2</v>
      </c>
      <c r="AE1047" s="8">
        <f t="shared" si="590"/>
        <v>0.14571995189819953</v>
      </c>
      <c r="AF1047" s="8">
        <f t="shared" si="591"/>
        <v>0.11819829591172046</v>
      </c>
      <c r="AG1047" s="8">
        <f t="shared" si="592"/>
        <v>9.9266893318470301E-2</v>
      </c>
      <c r="AH1047" s="8">
        <f t="shared" si="593"/>
        <v>6.925659073571977E-2</v>
      </c>
      <c r="AI1047" s="8">
        <f t="shared" si="594"/>
        <v>0.16244543687919274</v>
      </c>
      <c r="AJ1047" s="8">
        <f t="shared" si="595"/>
        <v>0.11290168960528121</v>
      </c>
      <c r="AK1047" s="8">
        <f t="shared" si="596"/>
        <v>0.12480245810475669</v>
      </c>
      <c r="AL1047" s="8">
        <f t="shared" si="572"/>
        <v>1.5527181587243255E-2</v>
      </c>
      <c r="AM1047" s="17">
        <f t="shared" si="573"/>
        <v>10.176208797398633</v>
      </c>
      <c r="AN1047" s="13">
        <f t="shared" si="574"/>
        <v>6.862478246620638</v>
      </c>
      <c r="AO1047" s="13">
        <f t="shared" si="575"/>
        <v>8.4603588595463055</v>
      </c>
      <c r="AP1047" s="13">
        <f t="shared" si="576"/>
        <v>10.073852082705734</v>
      </c>
      <c r="AQ1047" s="13">
        <f t="shared" si="577"/>
        <v>14.439059003293389</v>
      </c>
      <c r="AR1047" s="13">
        <f t="shared" si="578"/>
        <v>6.1559131435848151</v>
      </c>
      <c r="AS1047" s="13">
        <f t="shared" si="579"/>
        <v>8.8572633721968934</v>
      </c>
      <c r="AT1047" s="13">
        <f t="shared" si="580"/>
        <v>8.0126626925939224</v>
      </c>
      <c r="AU1047" s="13">
        <f t="shared" si="606"/>
        <v>64.403188330171588</v>
      </c>
      <c r="AV1047" s="18">
        <f t="shared" si="597"/>
        <v>3</v>
      </c>
      <c r="AW1047" s="18">
        <f t="shared" si="598"/>
        <v>8</v>
      </c>
      <c r="AX1047" s="18">
        <f t="shared" si="599"/>
        <v>6</v>
      </c>
      <c r="AY1047" s="18">
        <f t="shared" si="600"/>
        <v>4</v>
      </c>
      <c r="AZ1047" s="18">
        <f t="shared" si="601"/>
        <v>2</v>
      </c>
      <c r="BA1047" s="18">
        <f t="shared" si="602"/>
        <v>9</v>
      </c>
      <c r="BB1047" s="18">
        <f t="shared" si="603"/>
        <v>5</v>
      </c>
      <c r="BC1047" s="18">
        <f t="shared" si="604"/>
        <v>7</v>
      </c>
      <c r="BD1047" s="18">
        <f t="shared" si="605"/>
        <v>1</v>
      </c>
      <c r="BE1047" s="8">
        <f t="shared" si="608"/>
        <v>1.9473588905706512E-3</v>
      </c>
    </row>
    <row r="1048" spans="1:57" x14ac:dyDescent="0.25">
      <c r="A1048" t="str">
        <f t="shared" si="607"/>
        <v/>
      </c>
      <c r="B1048" s="1">
        <v>44279</v>
      </c>
      <c r="C1048" s="9">
        <f t="shared" si="581"/>
        <v>0.32854010976996822</v>
      </c>
      <c r="D1048" s="9">
        <f t="shared" si="582"/>
        <v>0</v>
      </c>
      <c r="E1048" s="9">
        <f t="shared" si="583"/>
        <v>0</v>
      </c>
      <c r="F1048" s="9">
        <f t="shared" si="584"/>
        <v>0.32776378057796907</v>
      </c>
      <c r="G1048" s="9">
        <f t="shared" si="585"/>
        <v>0.34369610965206271</v>
      </c>
      <c r="H1048" s="9">
        <f t="shared" si="586"/>
        <v>0</v>
      </c>
      <c r="I1048" s="9">
        <f t="shared" si="587"/>
        <v>0</v>
      </c>
      <c r="J1048" s="9">
        <f t="shared" si="588"/>
        <v>0</v>
      </c>
      <c r="K1048" s="9">
        <v>0</v>
      </c>
      <c r="L1048" s="8">
        <f>+VLOOKUP($B1048,NIFTY_50!$B$3:$I$1238,8,0)</f>
        <v>-1.7911203361514749E-2</v>
      </c>
      <c r="M1048" s="8">
        <f>+VLOOKUP($B1048,NIFTY_BANK!$B$3:$I$41238,8,0)</f>
        <v>-2.6068908624986897E-2</v>
      </c>
      <c r="N1048" s="8">
        <f>+VLOOKUP($B1048,NIFTY_IT!$B$3:$I$1238,8,0)</f>
        <v>-1.1597084161696469E-2</v>
      </c>
      <c r="O1048" s="8">
        <f>+VLOOKUP($B1048,NIFTY_PHARMA!$B$3:$I$1238,8,0)</f>
        <v>7.6424348293446798E-4</v>
      </c>
      <c r="P1048" s="8">
        <f>+VLOOKUP($B1048,NIFTY_FMCG!$B$3:$I$1238,8,0)</f>
        <v>-1.4116537945538354E-2</v>
      </c>
      <c r="Q1048" s="8">
        <f>+VLOOKUP($B1048,NIFTY_METAL!$B$3:$I$1238,8,0)</f>
        <v>-3.2379390674006636E-2</v>
      </c>
      <c r="R1048" s="8">
        <f>+VLOOKUP($B1048,NIFTY_ENERGY!$B$3:$I$1238,8,0)</f>
        <v>-1.7300209675594758E-2</v>
      </c>
      <c r="S1048" s="8">
        <f>+VLOOKUP($B1048,NIFTY_AUTO!$B$3:$I$1238,8,0)</f>
        <v>-2.5756675975323051E-2</v>
      </c>
      <c r="T1048" s="8">
        <f>+VLOOKUP($B1048,EBBETF0430!$B$3:$I$1238,8,0)</f>
        <v>5.4021715836845008E-3</v>
      </c>
      <c r="U1048" s="8">
        <f>+VLOOKUP($B1048,NIFTY_50!$B$63:$K$1238,10,0)</f>
        <v>5.8195901594632504E-2</v>
      </c>
      <c r="V1048" s="8">
        <f>+VLOOKUP($B1048,NIFTY_BANK!$B$63:$K$1238,10,0)</f>
        <v>9.5093447184743107E-2</v>
      </c>
      <c r="W1048" s="8">
        <f>+VLOOKUP($B1048,NIFTY_IT!$B$63:$K$1238,10,0)</f>
        <v>7.4708706019555038E-2</v>
      </c>
      <c r="X1048" s="8">
        <f>+VLOOKUP($B1048,NIFTY_PHARMA!$B$63:$K$1238,10,0)</f>
        <v>-7.6896261895816553E-2</v>
      </c>
      <c r="Y1048" s="8">
        <f>+VLOOKUP($B1048,NIFTY_FMCG!$B$63:$K$1238,10,0)</f>
        <v>-3.7680653893448213E-3</v>
      </c>
      <c r="Z1048" s="8">
        <f>+VLOOKUP($B1048,NIFTY_METAL!$B$63:$K$1238,10,0)</f>
        <v>0.18231402855961587</v>
      </c>
      <c r="AA1048" s="8">
        <f>+VLOOKUP($B1048,NIFTY_ENERGY!$B$63:$K$1238,10,0)</f>
        <v>0.10770905122563112</v>
      </c>
      <c r="AB1048" s="8">
        <f>+VLOOKUP($B1048,NIFTY_AUTO!$B$63:$K$1238,10,0)</f>
        <v>0.10550175149392138</v>
      </c>
      <c r="AC1048" s="8">
        <f>+VLOOKUP($B1048,EBBETF0430!$B$63:$K$1238,10,0)</f>
        <v>6.6758576466816288</v>
      </c>
      <c r="AD1048" s="16">
        <f t="shared" si="589"/>
        <v>9.965222452805797E-2</v>
      </c>
      <c r="AE1048" s="8">
        <f t="shared" si="590"/>
        <v>0.14760779008415062</v>
      </c>
      <c r="AF1048" s="8">
        <f t="shared" si="591"/>
        <v>0.11864149488841766</v>
      </c>
      <c r="AG1048" s="8">
        <f t="shared" si="592"/>
        <v>9.8383997914833279E-2</v>
      </c>
      <c r="AH1048" s="8">
        <f t="shared" si="593"/>
        <v>7.0577481762713806E-2</v>
      </c>
      <c r="AI1048" s="8">
        <f t="shared" si="594"/>
        <v>0.16631052054380413</v>
      </c>
      <c r="AJ1048" s="8">
        <f t="shared" si="595"/>
        <v>0.113922277916053</v>
      </c>
      <c r="AK1048" s="8">
        <f t="shared" si="596"/>
        <v>0.12782989632175204</v>
      </c>
      <c r="AL1048" s="8">
        <f t="shared" si="572"/>
        <v>1.6501144107700642E-2</v>
      </c>
      <c r="AM1048" s="17">
        <f t="shared" si="573"/>
        <v>10.034898917067737</v>
      </c>
      <c r="AN1048" s="13">
        <f t="shared" si="574"/>
        <v>6.77471019266601</v>
      </c>
      <c r="AO1048" s="13">
        <f t="shared" si="575"/>
        <v>8.4287542140336331</v>
      </c>
      <c r="AP1048" s="13">
        <f t="shared" si="576"/>
        <v>10.16425456572375</v>
      </c>
      <c r="AQ1048" s="13">
        <f t="shared" si="577"/>
        <v>14.168825169507558</v>
      </c>
      <c r="AR1048" s="13">
        <f t="shared" si="578"/>
        <v>6.0128487165465421</v>
      </c>
      <c r="AS1048" s="13">
        <f t="shared" si="579"/>
        <v>8.7779143666428396</v>
      </c>
      <c r="AT1048" s="13">
        <f t="shared" si="580"/>
        <v>7.8228961203486174</v>
      </c>
      <c r="AU1048" s="13">
        <f t="shared" si="606"/>
        <v>60.601858481638665</v>
      </c>
      <c r="AV1048" s="18">
        <f t="shared" si="597"/>
        <v>4</v>
      </c>
      <c r="AW1048" s="18">
        <f t="shared" si="598"/>
        <v>8</v>
      </c>
      <c r="AX1048" s="18">
        <f t="shared" si="599"/>
        <v>6</v>
      </c>
      <c r="AY1048" s="18">
        <f t="shared" si="600"/>
        <v>3</v>
      </c>
      <c r="AZ1048" s="18">
        <f t="shared" si="601"/>
        <v>2</v>
      </c>
      <c r="BA1048" s="18">
        <f t="shared" si="602"/>
        <v>9</v>
      </c>
      <c r="BB1048" s="18">
        <f t="shared" si="603"/>
        <v>5</v>
      </c>
      <c r="BC1048" s="18">
        <f t="shared" si="604"/>
        <v>7</v>
      </c>
      <c r="BD1048" s="18">
        <f t="shared" si="605"/>
        <v>1</v>
      </c>
      <c r="BE1048" s="8">
        <f t="shared" si="608"/>
        <v>-1.055034411911485E-2</v>
      </c>
    </row>
    <row r="1049" spans="1:57" x14ac:dyDescent="0.25">
      <c r="A1049" t="str">
        <f t="shared" si="607"/>
        <v/>
      </c>
      <c r="B1049" s="1">
        <v>44280</v>
      </c>
      <c r="C1049" s="9">
        <f t="shared" si="581"/>
        <v>0.328607745333582</v>
      </c>
      <c r="D1049" s="9">
        <f t="shared" si="582"/>
        <v>0</v>
      </c>
      <c r="E1049" s="9">
        <f t="shared" si="583"/>
        <v>0</v>
      </c>
      <c r="F1049" s="9">
        <f t="shared" si="584"/>
        <v>0.33018877105896194</v>
      </c>
      <c r="G1049" s="9">
        <f t="shared" si="585"/>
        <v>0.34120348360745606</v>
      </c>
      <c r="H1049" s="9">
        <f t="shared" si="586"/>
        <v>0</v>
      </c>
      <c r="I1049" s="9">
        <f t="shared" si="587"/>
        <v>0</v>
      </c>
      <c r="J1049" s="9">
        <f t="shared" si="588"/>
        <v>0</v>
      </c>
      <c r="K1049" s="9">
        <v>0</v>
      </c>
      <c r="L1049" s="8">
        <f>+VLOOKUP($B1049,NIFTY_50!$B$3:$I$1238,8,0)</f>
        <v>-1.5430189561081553E-2</v>
      </c>
      <c r="M1049" s="8">
        <f>+VLOOKUP($B1049,NIFTY_BANK!$B$3:$I$41238,8,0)</f>
        <v>-8.6143587664166965E-3</v>
      </c>
      <c r="N1049" s="8">
        <f>+VLOOKUP($B1049,NIFTY_IT!$B$3:$I$1238,8,0)</f>
        <v>-2.1929663081159401E-2</v>
      </c>
      <c r="O1049" s="8">
        <f>+VLOOKUP($B1049,NIFTY_PHARMA!$B$3:$I$1238,8,0)</f>
        <v>-8.3499072698740573E-3</v>
      </c>
      <c r="P1049" s="8">
        <f>+VLOOKUP($B1049,NIFTY_FMCG!$B$3:$I$1238,8,0)</f>
        <v>-2.2771875211477166E-2</v>
      </c>
      <c r="Q1049" s="8">
        <f>+VLOOKUP($B1049,NIFTY_METAL!$B$3:$I$1238,8,0)</f>
        <v>2.0174577342602085E-4</v>
      </c>
      <c r="R1049" s="8">
        <f>+VLOOKUP($B1049,NIFTY_ENERGY!$B$3:$I$1238,8,0)</f>
        <v>-2.9094997791371702E-2</v>
      </c>
      <c r="S1049" s="8">
        <f>+VLOOKUP($B1049,NIFTY_AUTO!$B$3:$I$1238,8,0)</f>
        <v>-2.7596282209516043E-2</v>
      </c>
      <c r="T1049" s="8">
        <f>+VLOOKUP($B1049,EBBETF0430!$B$3:$I$1238,8,0)</f>
        <v>2.6110820004086044E-3</v>
      </c>
      <c r="U1049" s="8">
        <f>+VLOOKUP($B1049,NIFTY_50!$B$63:$K$1238,10,0)</f>
        <v>3.2559178848427184E-2</v>
      </c>
      <c r="V1049" s="8">
        <f>+VLOOKUP($B1049,NIFTY_BANK!$B$63:$K$1238,10,0)</f>
        <v>6.882884108163756E-2</v>
      </c>
      <c r="W1049" s="8">
        <f>+VLOOKUP($B1049,NIFTY_IT!$B$63:$K$1238,10,0)</f>
        <v>4.7169537308664244E-2</v>
      </c>
      <c r="X1049" s="8">
        <f>+VLOOKUP($B1049,NIFTY_PHARMA!$B$63:$K$1238,10,0)</f>
        <v>-8.2143952898592998E-2</v>
      </c>
      <c r="Y1049" s="8">
        <f>+VLOOKUP($B1049,NIFTY_FMCG!$B$63:$K$1238,10,0)</f>
        <v>-2.8318281155375269E-2</v>
      </c>
      <c r="Z1049" s="8">
        <f>+VLOOKUP($B1049,NIFTY_METAL!$B$63:$K$1238,10,0)</f>
        <v>0.15301486890863147</v>
      </c>
      <c r="AA1049" s="8">
        <f>+VLOOKUP($B1049,NIFTY_ENERGY!$B$63:$K$1238,10,0)</f>
        <v>6.6322660315780047E-2</v>
      </c>
      <c r="AB1049" s="8">
        <f>+VLOOKUP($B1049,NIFTY_AUTO!$B$63:$K$1238,10,0)</f>
        <v>6.4465608232186389E-2</v>
      </c>
      <c r="AC1049" s="8">
        <f>+VLOOKUP($B1049,EBBETF0430!$B$63:$K$1238,10,0)</f>
        <v>2.7361751152073732</v>
      </c>
      <c r="AD1049" s="16">
        <f t="shared" si="589"/>
        <v>0.10063256238601999</v>
      </c>
      <c r="AE1049" s="8">
        <f t="shared" si="590"/>
        <v>0.14726084801881648</v>
      </c>
      <c r="AF1049" s="8">
        <f t="shared" si="591"/>
        <v>0.12082304386717344</v>
      </c>
      <c r="AG1049" s="8">
        <f t="shared" si="592"/>
        <v>9.8627876434213016E-2</v>
      </c>
      <c r="AH1049" s="8">
        <f t="shared" si="593"/>
        <v>7.4060924316673674E-2</v>
      </c>
      <c r="AI1049" s="8">
        <f t="shared" si="594"/>
        <v>0.16475312940608591</v>
      </c>
      <c r="AJ1049" s="8">
        <f t="shared" si="595"/>
        <v>0.11773816351537914</v>
      </c>
      <c r="AK1049" s="8">
        <f t="shared" si="596"/>
        <v>0.1308225742775079</v>
      </c>
      <c r="AL1049" s="8">
        <f t="shared" si="572"/>
        <v>1.6725264237746919E-2</v>
      </c>
      <c r="AM1049" s="17">
        <f t="shared" si="573"/>
        <v>9.9371413813757901</v>
      </c>
      <c r="AN1049" s="13">
        <f t="shared" si="574"/>
        <v>6.790671203198718</v>
      </c>
      <c r="AO1049" s="13">
        <f t="shared" si="575"/>
        <v>8.2765668534170356</v>
      </c>
      <c r="AP1049" s="13">
        <f t="shared" si="576"/>
        <v>10.139121272341519</v>
      </c>
      <c r="AQ1049" s="13">
        <f t="shared" si="577"/>
        <v>13.502396968800259</v>
      </c>
      <c r="AR1049" s="13">
        <f t="shared" si="578"/>
        <v>6.0696874384412176</v>
      </c>
      <c r="AS1049" s="13">
        <f t="shared" si="579"/>
        <v>8.4934227793469752</v>
      </c>
      <c r="AT1049" s="13">
        <f t="shared" si="580"/>
        <v>7.6439407000105808</v>
      </c>
      <c r="AU1049" s="13">
        <f t="shared" si="606"/>
        <v>59.789787819502408</v>
      </c>
      <c r="AV1049" s="18">
        <f t="shared" si="597"/>
        <v>4</v>
      </c>
      <c r="AW1049" s="18">
        <f t="shared" si="598"/>
        <v>8</v>
      </c>
      <c r="AX1049" s="18">
        <f t="shared" si="599"/>
        <v>6</v>
      </c>
      <c r="AY1049" s="18">
        <f t="shared" si="600"/>
        <v>3</v>
      </c>
      <c r="AZ1049" s="18">
        <f t="shared" si="601"/>
        <v>2</v>
      </c>
      <c r="BA1049" s="18">
        <f t="shared" si="602"/>
        <v>9</v>
      </c>
      <c r="BB1049" s="18">
        <f t="shared" si="603"/>
        <v>5</v>
      </c>
      <c r="BC1049" s="18">
        <f t="shared" si="604"/>
        <v>7</v>
      </c>
      <c r="BD1049" s="18">
        <f t="shared" si="605"/>
        <v>1</v>
      </c>
      <c r="BE1049" s="8">
        <f t="shared" si="608"/>
        <v>-1.5632838266085483E-2</v>
      </c>
    </row>
    <row r="1050" spans="1:57" x14ac:dyDescent="0.25">
      <c r="A1050" t="str">
        <f t="shared" si="607"/>
        <v/>
      </c>
      <c r="B1050" s="1">
        <v>44281</v>
      </c>
      <c r="C1050" s="9">
        <f t="shared" si="581"/>
        <v>0.32876200314175968</v>
      </c>
      <c r="D1050" s="9">
        <f t="shared" si="582"/>
        <v>0</v>
      </c>
      <c r="E1050" s="9">
        <f t="shared" si="583"/>
        <v>0</v>
      </c>
      <c r="F1050" s="9">
        <f t="shared" si="584"/>
        <v>0.32802326758401573</v>
      </c>
      <c r="G1050" s="9">
        <f t="shared" si="585"/>
        <v>0.34321472927422453</v>
      </c>
      <c r="H1050" s="9">
        <f t="shared" si="586"/>
        <v>0</v>
      </c>
      <c r="I1050" s="9">
        <f t="shared" si="587"/>
        <v>0</v>
      </c>
      <c r="J1050" s="9">
        <f t="shared" si="588"/>
        <v>0</v>
      </c>
      <c r="K1050" s="9">
        <v>0</v>
      </c>
      <c r="L1050" s="8">
        <f>+VLOOKUP($B1050,NIFTY_50!$B$3:$I$1238,8,0)</f>
        <v>1.2733073180266397E-2</v>
      </c>
      <c r="M1050" s="8">
        <f>+VLOOKUP($B1050,NIFTY_BANK!$B$3:$I$41238,8,0)</f>
        <v>9.4451236046289022E-3</v>
      </c>
      <c r="N1050" s="8">
        <f>+VLOOKUP($B1050,NIFTY_IT!$B$3:$I$1238,8,0)</f>
        <v>5.8643821992225842E-3</v>
      </c>
      <c r="O1050" s="8">
        <f>+VLOOKUP($B1050,NIFTY_PHARMA!$B$3:$I$1238,8,0)</f>
        <v>5.6191185430913837E-3</v>
      </c>
      <c r="P1050" s="8">
        <f>+VLOOKUP($B1050,NIFTY_FMCG!$B$3:$I$1238,8,0)</f>
        <v>1.822470918898067E-2</v>
      </c>
      <c r="Q1050" s="8">
        <f>+VLOOKUP($B1050,NIFTY_METAL!$B$3:$I$1238,8,0)</f>
        <v>3.6844794664228298E-2</v>
      </c>
      <c r="R1050" s="8">
        <f>+VLOOKUP($B1050,NIFTY_ENERGY!$B$3:$I$1238,8,0)</f>
        <v>4.6488927859442697E-3</v>
      </c>
      <c r="S1050" s="8">
        <f>+VLOOKUP($B1050,NIFTY_AUTO!$B$3:$I$1238,8,0)</f>
        <v>1.2449035627140281E-2</v>
      </c>
      <c r="T1050" s="8">
        <f>+VLOOKUP($B1050,EBBETF0430!$B$3:$I$1238,8,0)</f>
        <v>2.4979847817805378E-3</v>
      </c>
      <c r="U1050" s="8">
        <f>+VLOOKUP($B1050,NIFTY_50!$B$63:$K$1238,10,0)</f>
        <v>4.1248582461277827E-2</v>
      </c>
      <c r="V1050" s="8">
        <f>+VLOOKUP($B1050,NIFTY_BANK!$B$63:$K$1238,10,0)</f>
        <v>6.3714582169366984E-2</v>
      </c>
      <c r="W1050" s="8">
        <f>+VLOOKUP($B1050,NIFTY_IT!$B$63:$K$1238,10,0)</f>
        <v>4.5771101237741529E-2</v>
      </c>
      <c r="X1050" s="8">
        <f>+VLOOKUP($B1050,NIFTY_PHARMA!$B$63:$K$1238,10,0)</f>
        <v>-7.4798153208916252E-2</v>
      </c>
      <c r="Y1050" s="8">
        <f>+VLOOKUP($B1050,NIFTY_FMCG!$B$63:$K$1238,10,0)</f>
        <v>-1.0634267500830075E-2</v>
      </c>
      <c r="Z1050" s="8">
        <f>+VLOOKUP($B1050,NIFTY_METAL!$B$63:$K$1238,10,0)</f>
        <v>0.20861482514851803</v>
      </c>
      <c r="AA1050" s="8">
        <f>+VLOOKUP($B1050,NIFTY_ENERGY!$B$63:$K$1238,10,0)</f>
        <v>7.8008917502744302E-2</v>
      </c>
      <c r="AB1050" s="8">
        <f>+VLOOKUP($B1050,NIFTY_AUTO!$B$63:$K$1238,10,0)</f>
        <v>8.045201738188168E-2</v>
      </c>
      <c r="AC1050" s="8">
        <f>+VLOOKUP($B1050,EBBETF0430!$B$63:$K$1238,10,0)</f>
        <v>3.5882894494568216</v>
      </c>
      <c r="AD1050" s="16">
        <f t="shared" si="589"/>
        <v>0.10128801333578692</v>
      </c>
      <c r="AE1050" s="8">
        <f t="shared" si="590"/>
        <v>0.14690961420588652</v>
      </c>
      <c r="AF1050" s="8">
        <f t="shared" si="591"/>
        <v>0.12075987620404663</v>
      </c>
      <c r="AG1050" s="8">
        <f t="shared" si="592"/>
        <v>9.8861221631456261E-2</v>
      </c>
      <c r="AH1050" s="8">
        <f t="shared" si="593"/>
        <v>7.6336314524642276E-2</v>
      </c>
      <c r="AI1050" s="8">
        <f t="shared" si="594"/>
        <v>0.16763648081344604</v>
      </c>
      <c r="AJ1050" s="8">
        <f t="shared" si="595"/>
        <v>0.11754812319762274</v>
      </c>
      <c r="AK1050" s="8">
        <f t="shared" si="596"/>
        <v>0.13124234455839809</v>
      </c>
      <c r="AL1050" s="8">
        <f t="shared" si="572"/>
        <v>1.6922378304169847E-2</v>
      </c>
      <c r="AM1050" s="17">
        <f t="shared" si="573"/>
        <v>9.8728365486331597</v>
      </c>
      <c r="AN1050" s="13">
        <f t="shared" si="574"/>
        <v>6.8069064465620999</v>
      </c>
      <c r="AO1050" s="13">
        <f t="shared" si="575"/>
        <v>8.280896200243788</v>
      </c>
      <c r="AP1050" s="13">
        <f t="shared" si="576"/>
        <v>10.11518959099949</v>
      </c>
      <c r="AQ1050" s="13">
        <f t="shared" si="577"/>
        <v>13.099925064854789</v>
      </c>
      <c r="AR1050" s="13">
        <f t="shared" si="578"/>
        <v>5.9652886719379907</v>
      </c>
      <c r="AS1050" s="13">
        <f t="shared" si="579"/>
        <v>8.5071541152451484</v>
      </c>
      <c r="AT1050" s="13">
        <f t="shared" si="580"/>
        <v>7.6194920424866091</v>
      </c>
      <c r="AU1050" s="13">
        <f t="shared" si="606"/>
        <v>59.093348584081099</v>
      </c>
      <c r="AV1050" s="18">
        <f t="shared" si="597"/>
        <v>4</v>
      </c>
      <c r="AW1050" s="18">
        <f t="shared" si="598"/>
        <v>8</v>
      </c>
      <c r="AX1050" s="18">
        <f t="shared" si="599"/>
        <v>6</v>
      </c>
      <c r="AY1050" s="18">
        <f t="shared" si="600"/>
        <v>3</v>
      </c>
      <c r="AZ1050" s="18">
        <f t="shared" si="601"/>
        <v>2</v>
      </c>
      <c r="BA1050" s="18">
        <f t="shared" si="602"/>
        <v>9</v>
      </c>
      <c r="BB1050" s="18">
        <f t="shared" si="603"/>
        <v>5</v>
      </c>
      <c r="BC1050" s="18">
        <f t="shared" si="604"/>
        <v>7</v>
      </c>
      <c r="BD1050" s="18">
        <f t="shared" si="605"/>
        <v>1</v>
      </c>
      <c r="BE1050" s="8">
        <f t="shared" si="608"/>
        <v>1.2257890578125832E-2</v>
      </c>
    </row>
    <row r="1051" spans="1:57" x14ac:dyDescent="0.25">
      <c r="A1051" t="str">
        <f t="shared" si="607"/>
        <v/>
      </c>
      <c r="B1051" s="1">
        <v>44285</v>
      </c>
      <c r="C1051" s="9">
        <f t="shared" si="581"/>
        <v>0.32843636736883275</v>
      </c>
      <c r="D1051" s="9">
        <f t="shared" si="582"/>
        <v>0</v>
      </c>
      <c r="E1051" s="9">
        <f t="shared" si="583"/>
        <v>0</v>
      </c>
      <c r="F1051" s="9">
        <f t="shared" si="584"/>
        <v>0.32895693302698609</v>
      </c>
      <c r="G1051" s="9">
        <f t="shared" si="585"/>
        <v>0.34260669960418122</v>
      </c>
      <c r="H1051" s="9">
        <f t="shared" si="586"/>
        <v>0</v>
      </c>
      <c r="I1051" s="9">
        <f t="shared" si="587"/>
        <v>0</v>
      </c>
      <c r="J1051" s="9">
        <f t="shared" si="588"/>
        <v>0</v>
      </c>
      <c r="K1051" s="9">
        <v>0</v>
      </c>
      <c r="L1051" s="8">
        <f>+VLOOKUP($B1051,NIFTY_50!$B$3:$I$1238,8,0)</f>
        <v>2.3284829017115705E-2</v>
      </c>
      <c r="M1051" s="8">
        <f>+VLOOKUP($B1051,NIFTY_BANK!$B$3:$I$41238,8,0)</f>
        <v>1.6714588423144106E-2</v>
      </c>
      <c r="N1051" s="8">
        <f>+VLOOKUP($B1051,NIFTY_IT!$B$3:$I$1238,8,0)</f>
        <v>2.8993385883845146E-2</v>
      </c>
      <c r="O1051" s="8">
        <f>+VLOOKUP($B1051,NIFTY_PHARMA!$B$3:$I$1238,8,0)</f>
        <v>2.7214891611686998E-2</v>
      </c>
      <c r="P1051" s="8">
        <f>+VLOOKUP($B1051,NIFTY_FMCG!$B$3:$I$1238,8,0)</f>
        <v>2.2484767929931815E-2</v>
      </c>
      <c r="Q1051" s="8">
        <f>+VLOOKUP($B1051,NIFTY_METAL!$B$3:$I$1238,8,0)</f>
        <v>2.7935569216403389E-2</v>
      </c>
      <c r="R1051" s="8">
        <f>+VLOOKUP($B1051,NIFTY_ENERGY!$B$3:$I$1238,8,0)</f>
        <v>1.104697916580899E-2</v>
      </c>
      <c r="S1051" s="8">
        <f>+VLOOKUP($B1051,NIFTY_AUTO!$B$3:$I$1238,8,0)</f>
        <v>9.5686435040680529E-3</v>
      </c>
      <c r="T1051" s="8">
        <f>+VLOOKUP($B1051,EBBETF0430!$B$3:$I$1238,8,0)</f>
        <v>6.9804635381220947E-4</v>
      </c>
      <c r="U1051" s="8">
        <f>+VLOOKUP($B1051,NIFTY_50!$B$63:$K$1238,10,0)</f>
        <v>6.1733163113871781E-2</v>
      </c>
      <c r="V1051" s="8">
        <f>+VLOOKUP($B1051,NIFTY_BANK!$B$63:$K$1238,10,0)</f>
        <v>8.2166114803509549E-2</v>
      </c>
      <c r="W1051" s="8">
        <f>+VLOOKUP($B1051,NIFTY_IT!$B$63:$K$1238,10,0)</f>
        <v>7.3614727466651209E-2</v>
      </c>
      <c r="X1051" s="8">
        <f>+VLOOKUP($B1051,NIFTY_PHARMA!$B$63:$K$1238,10,0)</f>
        <v>-4.813668228853929E-2</v>
      </c>
      <c r="Y1051" s="8">
        <f>+VLOOKUP($B1051,NIFTY_FMCG!$B$63:$K$1238,10,0)</f>
        <v>7.7272343116598918E-3</v>
      </c>
      <c r="Z1051" s="8">
        <f>+VLOOKUP($B1051,NIFTY_METAL!$B$63:$K$1238,10,0)</f>
        <v>0.22659320932247984</v>
      </c>
      <c r="AA1051" s="8">
        <f>+VLOOKUP($B1051,NIFTY_ENERGY!$B$63:$K$1238,10,0)</f>
        <v>8.6740910096614776E-2</v>
      </c>
      <c r="AB1051" s="8">
        <f>+VLOOKUP($B1051,NIFTY_AUTO!$B$63:$K$1238,10,0)</f>
        <v>7.6401012569832449E-2</v>
      </c>
      <c r="AC1051" s="8">
        <f>+VLOOKUP($B1051,EBBETF0430!$B$63:$K$1238,10,0)</f>
        <v>4.3139361384661292</v>
      </c>
      <c r="AD1051" s="16">
        <f t="shared" si="589"/>
        <v>0.10369680245732686</v>
      </c>
      <c r="AE1051" s="8">
        <f t="shared" si="590"/>
        <v>0.14770012732239746</v>
      </c>
      <c r="AF1051" s="8">
        <f t="shared" si="591"/>
        <v>0.12393960991142212</v>
      </c>
      <c r="AG1051" s="8">
        <f t="shared" si="592"/>
        <v>0.10279528871079444</v>
      </c>
      <c r="AH1051" s="8">
        <f t="shared" si="593"/>
        <v>7.9479583852305691E-2</v>
      </c>
      <c r="AI1051" s="8">
        <f t="shared" si="594"/>
        <v>0.16915200812259854</v>
      </c>
      <c r="AJ1051" s="8">
        <f t="shared" si="595"/>
        <v>0.11793264862974416</v>
      </c>
      <c r="AK1051" s="8">
        <f t="shared" si="596"/>
        <v>0.13094992465974947</v>
      </c>
      <c r="AL1051" s="8">
        <f t="shared" si="572"/>
        <v>1.6938927452945424E-2</v>
      </c>
      <c r="AM1051" s="17">
        <f t="shared" si="573"/>
        <v>9.6434988958460739</v>
      </c>
      <c r="AN1051" s="13">
        <f t="shared" si="574"/>
        <v>6.7704748677515774</v>
      </c>
      <c r="AO1051" s="13">
        <f t="shared" si="575"/>
        <v>8.0684455979382683</v>
      </c>
      <c r="AP1051" s="13">
        <f t="shared" si="576"/>
        <v>9.7280722934045407</v>
      </c>
      <c r="AQ1051" s="13">
        <f t="shared" si="577"/>
        <v>12.581847457307619</v>
      </c>
      <c r="AR1051" s="13">
        <f t="shared" si="578"/>
        <v>5.9118423192186809</v>
      </c>
      <c r="AS1051" s="13">
        <f t="shared" si="579"/>
        <v>8.479416104182933</v>
      </c>
      <c r="AT1051" s="13">
        <f t="shared" si="580"/>
        <v>7.6365068754207037</v>
      </c>
      <c r="AU1051" s="13">
        <f t="shared" si="606"/>
        <v>59.035615022137371</v>
      </c>
      <c r="AV1051" s="18">
        <f t="shared" si="597"/>
        <v>4</v>
      </c>
      <c r="AW1051" s="18">
        <f t="shared" si="598"/>
        <v>8</v>
      </c>
      <c r="AX1051" s="18">
        <f t="shared" si="599"/>
        <v>6</v>
      </c>
      <c r="AY1051" s="18">
        <f t="shared" si="600"/>
        <v>3</v>
      </c>
      <c r="AZ1051" s="18">
        <f t="shared" si="601"/>
        <v>2</v>
      </c>
      <c r="BA1051" s="18">
        <f t="shared" si="602"/>
        <v>9</v>
      </c>
      <c r="BB1051" s="18">
        <f t="shared" si="603"/>
        <v>5</v>
      </c>
      <c r="BC1051" s="18">
        <f t="shared" si="604"/>
        <v>7</v>
      </c>
      <c r="BD1051" s="18">
        <f t="shared" si="605"/>
        <v>1</v>
      </c>
      <c r="BE1051" s="8">
        <f t="shared" si="608"/>
        <v>2.4299388241756033E-2</v>
      </c>
    </row>
    <row r="1052" spans="1:57" x14ac:dyDescent="0.25">
      <c r="A1052" t="str">
        <f t="shared" si="607"/>
        <v>Y</v>
      </c>
      <c r="B1052" s="1">
        <v>44286</v>
      </c>
      <c r="C1052" s="9">
        <f t="shared" si="581"/>
        <v>0.25</v>
      </c>
      <c r="D1052" s="9">
        <f t="shared" si="582"/>
        <v>0</v>
      </c>
      <c r="E1052" s="9">
        <f t="shared" si="583"/>
        <v>0</v>
      </c>
      <c r="F1052" s="9">
        <f t="shared" si="584"/>
        <v>0.25</v>
      </c>
      <c r="G1052" s="9">
        <f t="shared" si="585"/>
        <v>0.25</v>
      </c>
      <c r="H1052" s="9">
        <f t="shared" si="586"/>
        <v>0</v>
      </c>
      <c r="I1052" s="9">
        <f t="shared" si="587"/>
        <v>0</v>
      </c>
      <c r="J1052" s="9">
        <f t="shared" si="588"/>
        <v>0</v>
      </c>
      <c r="K1052" s="9">
        <v>0</v>
      </c>
      <c r="L1052" s="8">
        <f>+VLOOKUP($B1052,NIFTY_50!$B$3:$I$1238,8,0)</f>
        <v>-1.0400738290749056E-2</v>
      </c>
      <c r="M1052" s="8">
        <f>+VLOOKUP($B1052,NIFTY_BANK!$B$3:$I$41238,8,0)</f>
        <v>-1.6861942842973043E-2</v>
      </c>
      <c r="N1052" s="8">
        <f>+VLOOKUP($B1052,NIFTY_IT!$B$3:$I$1238,8,0)</f>
        <v>-1.0187166696655092E-2</v>
      </c>
      <c r="O1052" s="8">
        <f>+VLOOKUP($B1052,NIFTY_PHARMA!$B$3:$I$1238,8,0)</f>
        <v>5.4069110153522892E-3</v>
      </c>
      <c r="P1052" s="8">
        <f>+VLOOKUP($B1052,NIFTY_FMCG!$B$3:$I$1238,8,0)</f>
        <v>1.0204214425870051E-2</v>
      </c>
      <c r="Q1052" s="8">
        <f>+VLOOKUP($B1052,NIFTY_METAL!$B$3:$I$1238,8,0)</f>
        <v>3.5831440827656102E-3</v>
      </c>
      <c r="R1052" s="8">
        <f>+VLOOKUP($B1052,NIFTY_ENERGY!$B$3:$I$1238,8,0)</f>
        <v>-1.2693483324194288E-2</v>
      </c>
      <c r="S1052" s="8">
        <f>+VLOOKUP($B1052,NIFTY_AUTO!$B$3:$I$1238,8,0)</f>
        <v>-2.5848960973129387E-4</v>
      </c>
      <c r="T1052" s="8">
        <f>+VLOOKUP($B1052,EBBETF0430!$B$3:$I$1238,8,0)</f>
        <v>-1.1743721965173926E-3</v>
      </c>
      <c r="U1052" s="8">
        <f>+VLOOKUP($B1052,NIFTY_50!$B$63:$K$1238,10,0)</f>
        <v>5.0705383803887338E-2</v>
      </c>
      <c r="V1052" s="8">
        <f>+VLOOKUP($B1052,NIFTY_BANK!$B$63:$K$1238,10,0)</f>
        <v>6.5245865458889662E-2</v>
      </c>
      <c r="W1052" s="8">
        <f>+VLOOKUP($B1052,NIFTY_IT!$B$63:$K$1238,10,0)</f>
        <v>6.6126215653973919E-2</v>
      </c>
      <c r="X1052" s="8">
        <f>+VLOOKUP($B1052,NIFTY_PHARMA!$B$63:$K$1238,10,0)</f>
        <v>-4.9806827243939589E-2</v>
      </c>
      <c r="Y1052" s="8">
        <f>+VLOOKUP($B1052,NIFTY_FMCG!$B$63:$K$1238,10,0)</f>
        <v>2.2079111451819955E-2</v>
      </c>
      <c r="Z1052" s="8">
        <f>+VLOOKUP($B1052,NIFTY_METAL!$B$63:$K$1238,10,0)</f>
        <v>0.22200543837278963</v>
      </c>
      <c r="AA1052" s="8">
        <f>+VLOOKUP($B1052,NIFTY_ENERGY!$B$63:$K$1238,10,0)</f>
        <v>7.4610725365637398E-2</v>
      </c>
      <c r="AB1052" s="8">
        <f>+VLOOKUP($B1052,NIFTY_AUTO!$B$63:$K$1238,10,0)</f>
        <v>7.2763365421221637E-2</v>
      </c>
      <c r="AC1052" s="8">
        <f>+VLOOKUP($B1052,EBBETF0430!$B$63:$K$1238,10,0)</f>
        <v>4.4793077501881111</v>
      </c>
      <c r="AD1052" s="16">
        <f t="shared" si="589"/>
        <v>0.10431522840714591</v>
      </c>
      <c r="AE1052" s="8">
        <f t="shared" si="590"/>
        <v>0.14879538702609579</v>
      </c>
      <c r="AF1052" s="8">
        <f t="shared" si="591"/>
        <v>0.12438447345190735</v>
      </c>
      <c r="AG1052" s="8">
        <f t="shared" si="592"/>
        <v>0.10267441783051404</v>
      </c>
      <c r="AH1052" s="8">
        <f t="shared" si="593"/>
        <v>7.9980859500174972E-2</v>
      </c>
      <c r="AI1052" s="8">
        <f t="shared" si="594"/>
        <v>0.16910944428409871</v>
      </c>
      <c r="AJ1052" s="8">
        <f t="shared" si="595"/>
        <v>0.11873397648228362</v>
      </c>
      <c r="AK1052" s="8">
        <f t="shared" si="596"/>
        <v>0.13094690515861479</v>
      </c>
      <c r="AL1052" s="8">
        <f t="shared" si="572"/>
        <v>1.6975695860296344E-2</v>
      </c>
      <c r="AM1052" s="17">
        <f t="shared" si="573"/>
        <v>9.5863280488344973</v>
      </c>
      <c r="AN1052" s="13">
        <f t="shared" si="574"/>
        <v>6.7206384551734768</v>
      </c>
      <c r="AO1052" s="13">
        <f t="shared" si="575"/>
        <v>8.0395886419589591</v>
      </c>
      <c r="AP1052" s="13">
        <f t="shared" si="576"/>
        <v>9.7395244222442319</v>
      </c>
      <c r="AQ1052" s="13">
        <f t="shared" si="577"/>
        <v>12.502991418813302</v>
      </c>
      <c r="AR1052" s="13">
        <f t="shared" si="578"/>
        <v>5.9133302946701809</v>
      </c>
      <c r="AS1052" s="13">
        <f t="shared" si="579"/>
        <v>8.4221890787024272</v>
      </c>
      <c r="AT1052" s="13">
        <f t="shared" si="580"/>
        <v>7.6366829654256367</v>
      </c>
      <c r="AU1052" s="13">
        <f t="shared" si="606"/>
        <v>58.907747183363064</v>
      </c>
      <c r="AV1052" s="18">
        <f t="shared" si="597"/>
        <v>4</v>
      </c>
      <c r="AW1052" s="18">
        <f t="shared" si="598"/>
        <v>8</v>
      </c>
      <c r="AX1052" s="18">
        <f t="shared" si="599"/>
        <v>6</v>
      </c>
      <c r="AY1052" s="18">
        <f t="shared" si="600"/>
        <v>3</v>
      </c>
      <c r="AZ1052" s="18">
        <f t="shared" si="601"/>
        <v>2</v>
      </c>
      <c r="BA1052" s="18">
        <f t="shared" si="602"/>
        <v>9</v>
      </c>
      <c r="BB1052" s="18">
        <f t="shared" si="603"/>
        <v>5</v>
      </c>
      <c r="BC1052" s="18">
        <f t="shared" si="604"/>
        <v>7</v>
      </c>
      <c r="BD1052" s="18">
        <f t="shared" si="605"/>
        <v>1</v>
      </c>
      <c r="BE1052" s="8">
        <f t="shared" si="608"/>
        <v>1.8586923890932868E-3</v>
      </c>
    </row>
    <row r="1053" spans="1:57" x14ac:dyDescent="0.25">
      <c r="A1053" t="str">
        <f t="shared" si="607"/>
        <v/>
      </c>
      <c r="B1053" s="1">
        <v>44287</v>
      </c>
      <c r="C1053" s="9">
        <f t="shared" si="581"/>
        <v>0.33522920659411587</v>
      </c>
      <c r="D1053" s="9">
        <f t="shared" si="582"/>
        <v>0</v>
      </c>
      <c r="E1053" s="9">
        <f t="shared" si="583"/>
        <v>0</v>
      </c>
      <c r="F1053" s="9">
        <f t="shared" si="584"/>
        <v>0.33406662848192331</v>
      </c>
      <c r="G1053" s="9">
        <f t="shared" si="585"/>
        <v>0.33070416492396087</v>
      </c>
      <c r="H1053" s="9">
        <f t="shared" si="586"/>
        <v>0</v>
      </c>
      <c r="I1053" s="9">
        <f t="shared" si="587"/>
        <v>0</v>
      </c>
      <c r="J1053" s="9">
        <f t="shared" si="588"/>
        <v>0</v>
      </c>
      <c r="K1053" s="9">
        <v>0</v>
      </c>
      <c r="L1053" s="8">
        <f>+VLOOKUP($B1053,NIFTY_50!$B$3:$I$1238,8,0)</f>
        <v>1.2024614211712192E-2</v>
      </c>
      <c r="M1053" s="8">
        <f>+VLOOKUP($B1053,NIFTY_BANK!$B$3:$I$41238,8,0)</f>
        <v>1.6637691081224704E-2</v>
      </c>
      <c r="N1053" s="8">
        <f>+VLOOKUP($B1053,NIFTY_IT!$B$3:$I$1238,8,0)</f>
        <v>4.8501257010249432E-3</v>
      </c>
      <c r="O1053" s="8">
        <f>+VLOOKUP($B1053,NIFTY_PHARMA!$B$3:$I$1238,8,0)</f>
        <v>8.5149031175137946E-3</v>
      </c>
      <c r="P1053" s="8">
        <f>+VLOOKUP($B1053,NIFTY_FMCG!$B$3:$I$1238,8,0)</f>
        <v>-1.6360497771363836E-3</v>
      </c>
      <c r="Q1053" s="8">
        <f>+VLOOKUP($B1053,NIFTY_METAL!$B$3:$I$1238,8,0)</f>
        <v>5.329126018304331E-2</v>
      </c>
      <c r="R1053" s="8">
        <f>+VLOOKUP($B1053,NIFTY_ENERGY!$B$3:$I$1238,8,0)</f>
        <v>1.8207213597945637E-2</v>
      </c>
      <c r="S1053" s="8">
        <f>+VLOOKUP($B1053,NIFTY_AUTO!$B$3:$I$1238,8,0)</f>
        <v>1.6238358622857385E-2</v>
      </c>
      <c r="T1053" s="8">
        <f>+VLOOKUP($B1053,EBBETF0430!$B$3:$I$1238,8,0)</f>
        <v>4.9151778215861253E-3</v>
      </c>
      <c r="U1053" s="8">
        <f>+VLOOKUP($B1053,NIFTY_50!$B$63:$K$1238,10,0)</f>
        <v>6.055212754574324E-2</v>
      </c>
      <c r="V1053" s="8">
        <f>+VLOOKUP($B1053,NIFTY_BANK!$B$63:$K$1238,10,0)</f>
        <v>8.4293942358654839E-2</v>
      </c>
      <c r="W1053" s="8">
        <f>+VLOOKUP($B1053,NIFTY_IT!$B$63:$K$1238,10,0)</f>
        <v>6.2328008145207336E-2</v>
      </c>
      <c r="X1053" s="8">
        <f>+VLOOKUP($B1053,NIFTY_PHARMA!$B$63:$K$1238,10,0)</f>
        <v>-4.8058175889001298E-2</v>
      </c>
      <c r="Y1053" s="8">
        <f>+VLOOKUP($B1053,NIFTY_FMCG!$B$63:$K$1238,10,0)</f>
        <v>1.4035301968344349E-2</v>
      </c>
      <c r="Z1053" s="8">
        <f>+VLOOKUP($B1053,NIFTY_METAL!$B$63:$K$1238,10,0)</f>
        <v>0.28546880034367939</v>
      </c>
      <c r="AA1053" s="8">
        <f>+VLOOKUP($B1053,NIFTY_ENERGY!$B$63:$K$1238,10,0)</f>
        <v>9.0715236625393159E-2</v>
      </c>
      <c r="AB1053" s="8">
        <f>+VLOOKUP($B1053,NIFTY_AUTO!$B$63:$K$1238,10,0)</f>
        <v>8.0895119978430907E-2</v>
      </c>
      <c r="AC1053" s="8">
        <f>+VLOOKUP($B1053,EBBETF0430!$B$63:$K$1238,10,0)</f>
        <v>3.179587535751919</v>
      </c>
      <c r="AD1053" s="16">
        <f t="shared" si="589"/>
        <v>0.10488559661335148</v>
      </c>
      <c r="AE1053" s="8">
        <f t="shared" si="590"/>
        <v>0.1495551214223296</v>
      </c>
      <c r="AF1053" s="8">
        <f t="shared" si="591"/>
        <v>0.12422553462789793</v>
      </c>
      <c r="AG1053" s="8">
        <f t="shared" si="592"/>
        <v>0.10282450262880445</v>
      </c>
      <c r="AH1053" s="8">
        <f t="shared" si="593"/>
        <v>7.9784742116619789E-2</v>
      </c>
      <c r="AI1053" s="8">
        <f t="shared" si="594"/>
        <v>0.17614003528062902</v>
      </c>
      <c r="AJ1053" s="8">
        <f t="shared" si="595"/>
        <v>0.11990212163320041</v>
      </c>
      <c r="AK1053" s="8">
        <f t="shared" si="596"/>
        <v>0.13159111204388238</v>
      </c>
      <c r="AL1053" s="8">
        <f t="shared" si="572"/>
        <v>1.7680072210243338E-2</v>
      </c>
      <c r="AM1053" s="17">
        <f t="shared" si="573"/>
        <v>9.5341975665770722</v>
      </c>
      <c r="AN1053" s="13">
        <f t="shared" si="574"/>
        <v>6.6864978643967268</v>
      </c>
      <c r="AO1053" s="13">
        <f t="shared" si="575"/>
        <v>8.0498747942230651</v>
      </c>
      <c r="AP1053" s="13">
        <f t="shared" si="576"/>
        <v>9.7253084083469012</v>
      </c>
      <c r="AQ1053" s="13">
        <f t="shared" si="577"/>
        <v>12.533724788360155</v>
      </c>
      <c r="AR1053" s="13">
        <f t="shared" si="578"/>
        <v>5.6773010088636839</v>
      </c>
      <c r="AS1053" s="13">
        <f t="shared" si="579"/>
        <v>8.3401359907471733</v>
      </c>
      <c r="AT1053" s="13">
        <f t="shared" si="580"/>
        <v>7.5992974332987231</v>
      </c>
      <c r="AU1053" s="13">
        <f t="shared" si="606"/>
        <v>56.560854961928719</v>
      </c>
      <c r="AV1053" s="18">
        <f t="shared" si="597"/>
        <v>4</v>
      </c>
      <c r="AW1053" s="18">
        <f t="shared" si="598"/>
        <v>8</v>
      </c>
      <c r="AX1053" s="18">
        <f t="shared" si="599"/>
        <v>6</v>
      </c>
      <c r="AY1053" s="18">
        <f t="shared" si="600"/>
        <v>3</v>
      </c>
      <c r="AZ1053" s="18">
        <f t="shared" si="601"/>
        <v>2</v>
      </c>
      <c r="BA1053" s="18">
        <f t="shared" si="602"/>
        <v>9</v>
      </c>
      <c r="BB1053" s="18">
        <f t="shared" si="603"/>
        <v>5</v>
      </c>
      <c r="BC1053" s="18">
        <f t="shared" si="604"/>
        <v>7</v>
      </c>
      <c r="BD1053" s="18">
        <f t="shared" si="605"/>
        <v>1</v>
      </c>
      <c r="BE1053" s="8">
        <f t="shared" si="608"/>
        <v>4.7258668880224008E-3</v>
      </c>
    </row>
    <row r="1054" spans="1:57" x14ac:dyDescent="0.25">
      <c r="A1054" t="str">
        <f t="shared" si="607"/>
        <v/>
      </c>
      <c r="B1054" s="1">
        <v>44291</v>
      </c>
      <c r="C1054" s="9">
        <f t="shared" si="581"/>
        <v>0.33399843267250767</v>
      </c>
      <c r="D1054" s="9">
        <f t="shared" si="582"/>
        <v>0</v>
      </c>
      <c r="E1054" s="9">
        <f t="shared" si="583"/>
        <v>0</v>
      </c>
      <c r="F1054" s="9">
        <f t="shared" si="584"/>
        <v>0.33681423466766935</v>
      </c>
      <c r="G1054" s="9">
        <f t="shared" si="585"/>
        <v>0.32918733265982297</v>
      </c>
      <c r="H1054" s="9">
        <f t="shared" si="586"/>
        <v>0</v>
      </c>
      <c r="I1054" s="9">
        <f t="shared" si="587"/>
        <v>0</v>
      </c>
      <c r="J1054" s="9">
        <f t="shared" si="588"/>
        <v>0</v>
      </c>
      <c r="K1054" s="9">
        <v>0</v>
      </c>
      <c r="L1054" s="8">
        <f>+VLOOKUP($B1054,NIFTY_50!$B$3:$I$1238,8,0)</f>
        <v>-1.5439873279367244E-2</v>
      </c>
      <c r="M1054" s="8">
        <f>+VLOOKUP($B1054,NIFTY_BANK!$B$3:$I$41238,8,0)</f>
        <v>-3.4826333510544094E-2</v>
      </c>
      <c r="N1054" s="8">
        <f>+VLOOKUP($B1054,NIFTY_IT!$B$3:$I$1238,8,0)</f>
        <v>1.9668673307570383E-2</v>
      </c>
      <c r="O1054" s="8">
        <f>+VLOOKUP($B1054,NIFTY_PHARMA!$B$3:$I$1238,8,0)</f>
        <v>-3.6842232833216304E-3</v>
      </c>
      <c r="P1054" s="8">
        <f>+VLOOKUP($B1054,NIFTY_FMCG!$B$3:$I$1238,8,0)</f>
        <v>-1.6344296915659084E-2</v>
      </c>
      <c r="Q1054" s="8">
        <f>+VLOOKUP($B1054,NIFTY_METAL!$B$3:$I$1238,8,0)</f>
        <v>8.8920186672714063E-3</v>
      </c>
      <c r="R1054" s="8">
        <f>+VLOOKUP($B1054,NIFTY_ENERGY!$B$3:$I$1238,8,0)</f>
        <v>-1.5337920307622488E-2</v>
      </c>
      <c r="S1054" s="8">
        <f>+VLOOKUP($B1054,NIFTY_AUTO!$B$3:$I$1238,8,0)</f>
        <v>-2.5397601420789173E-2</v>
      </c>
      <c r="T1054" s="8">
        <f>+VLOOKUP($B1054,EBBETF0430!$B$3:$I$1238,8,0)</f>
        <v>1.671431713217153E-4</v>
      </c>
      <c r="U1054" s="8">
        <f>+VLOOKUP($B1054,NIFTY_50!$B$63:$K$1238,10,0)</f>
        <v>3.5725151950413592E-2</v>
      </c>
      <c r="V1054" s="8">
        <f>+VLOOKUP($B1054,NIFTY_BANK!$B$63:$K$1238,10,0)</f>
        <v>4.6981252673212071E-2</v>
      </c>
      <c r="W1054" s="8">
        <f>+VLOOKUP($B1054,NIFTY_IT!$B$63:$K$1238,10,0)</f>
        <v>5.501183788961006E-2</v>
      </c>
      <c r="X1054" s="8">
        <f>+VLOOKUP($B1054,NIFTY_PHARMA!$B$63:$K$1238,10,0)</f>
        <v>-6.2229083332065782E-2</v>
      </c>
      <c r="Y1054" s="8">
        <f>+VLOOKUP($B1054,NIFTY_FMCG!$B$63:$K$1238,10,0)</f>
        <v>-9.1031984679241784E-3</v>
      </c>
      <c r="Z1054" s="8">
        <f>+VLOOKUP($B1054,NIFTY_METAL!$B$63:$K$1238,10,0)</f>
        <v>0.2341295333761606</v>
      </c>
      <c r="AA1054" s="8">
        <f>+VLOOKUP($B1054,NIFTY_ENERGY!$B$63:$K$1238,10,0)</f>
        <v>6.1483510565522481E-2</v>
      </c>
      <c r="AB1054" s="8">
        <f>+VLOOKUP($B1054,NIFTY_AUTO!$B$63:$K$1238,10,0)</f>
        <v>3.7173694912374655E-2</v>
      </c>
      <c r="AC1054" s="8">
        <f>+VLOOKUP($B1054,EBBETF0430!$B$63:$K$1238,10,0)</f>
        <v>-0.25673892554194155</v>
      </c>
      <c r="AD1054" s="16">
        <f t="shared" si="589"/>
        <v>0.1058933637040344</v>
      </c>
      <c r="AE1054" s="8">
        <f t="shared" si="590"/>
        <v>0.15383043473862679</v>
      </c>
      <c r="AF1054" s="8">
        <f t="shared" si="591"/>
        <v>0.12295859128621928</v>
      </c>
      <c r="AG1054" s="8">
        <f t="shared" si="592"/>
        <v>0.10213587325777343</v>
      </c>
      <c r="AH1054" s="8">
        <f t="shared" si="593"/>
        <v>8.1197840330802268E-2</v>
      </c>
      <c r="AI1054" s="8">
        <f t="shared" si="594"/>
        <v>0.16987081245906557</v>
      </c>
      <c r="AJ1054" s="8">
        <f t="shared" si="595"/>
        <v>0.12060114881010225</v>
      </c>
      <c r="AK1054" s="8">
        <f t="shared" si="596"/>
        <v>0.13343163200755084</v>
      </c>
      <c r="AL1054" s="8">
        <f t="shared" si="572"/>
        <v>1.7680710523002997E-2</v>
      </c>
      <c r="AM1054" s="17">
        <f t="shared" si="573"/>
        <v>9.4434624137064898</v>
      </c>
      <c r="AN1054" s="13">
        <f t="shared" si="574"/>
        <v>6.5006642001571375</v>
      </c>
      <c r="AO1054" s="13">
        <f t="shared" si="575"/>
        <v>8.1328192649200926</v>
      </c>
      <c r="AP1054" s="13">
        <f t="shared" si="576"/>
        <v>9.7908792288500965</v>
      </c>
      <c r="AQ1054" s="13">
        <f t="shared" si="577"/>
        <v>12.315598492841337</v>
      </c>
      <c r="AR1054" s="13">
        <f t="shared" si="578"/>
        <v>5.8868264978774612</v>
      </c>
      <c r="AS1054" s="13">
        <f t="shared" si="579"/>
        <v>8.2917949776298823</v>
      </c>
      <c r="AT1054" s="13">
        <f t="shared" si="580"/>
        <v>7.4944747729939358</v>
      </c>
      <c r="AU1054" s="13">
        <f t="shared" si="606"/>
        <v>56.558812989951832</v>
      </c>
      <c r="AV1054" s="18">
        <f t="shared" si="597"/>
        <v>4</v>
      </c>
      <c r="AW1054" s="18">
        <f t="shared" si="598"/>
        <v>8</v>
      </c>
      <c r="AX1054" s="18">
        <f t="shared" si="599"/>
        <v>6</v>
      </c>
      <c r="AY1054" s="18">
        <f t="shared" si="600"/>
        <v>3</v>
      </c>
      <c r="AZ1054" s="18">
        <f t="shared" si="601"/>
        <v>2</v>
      </c>
      <c r="BA1054" s="18">
        <f t="shared" si="602"/>
        <v>9</v>
      </c>
      <c r="BB1054" s="18">
        <f t="shared" si="603"/>
        <v>5</v>
      </c>
      <c r="BC1054" s="18">
        <f t="shared" si="604"/>
        <v>7</v>
      </c>
      <c r="BD1054" s="18">
        <f t="shared" si="605"/>
        <v>1</v>
      </c>
      <c r="BE1054" s="8">
        <f t="shared" si="608"/>
        <v>-1.1811799582952136E-2</v>
      </c>
    </row>
    <row r="1055" spans="1:57" x14ac:dyDescent="0.25">
      <c r="A1055" t="str">
        <f t="shared" si="607"/>
        <v/>
      </c>
      <c r="B1055" s="1">
        <v>44292</v>
      </c>
      <c r="C1055" s="9">
        <f t="shared" si="581"/>
        <v>0.33172457491772139</v>
      </c>
      <c r="D1055" s="9">
        <f t="shared" si="582"/>
        <v>0</v>
      </c>
      <c r="E1055" s="9">
        <f t="shared" si="583"/>
        <v>0</v>
      </c>
      <c r="F1055" s="9">
        <f t="shared" si="584"/>
        <v>0.33935108738882747</v>
      </c>
      <c r="G1055" s="9">
        <f t="shared" si="585"/>
        <v>0.32892433769345114</v>
      </c>
      <c r="H1055" s="9">
        <f t="shared" si="586"/>
        <v>0</v>
      </c>
      <c r="I1055" s="9">
        <f t="shared" si="587"/>
        <v>0</v>
      </c>
      <c r="J1055" s="9">
        <f t="shared" si="588"/>
        <v>0</v>
      </c>
      <c r="K1055" s="9">
        <v>0</v>
      </c>
      <c r="L1055" s="8">
        <f>+VLOOKUP($B1055,NIFTY_50!$B$3:$I$1238,8,0)</f>
        <v>3.1220538605529757E-3</v>
      </c>
      <c r="M1055" s="8">
        <f>+VLOOKUP($B1055,NIFTY_BANK!$B$3:$I$41238,8,0)</f>
        <v>-5.431647686500618E-3</v>
      </c>
      <c r="N1055" s="8">
        <f>+VLOOKUP($B1055,NIFTY_IT!$B$3:$I$1238,8,0)</f>
        <v>1.5401224548343695E-3</v>
      </c>
      <c r="O1055" s="8">
        <f>+VLOOKUP($B1055,NIFTY_PHARMA!$B$3:$I$1238,8,0)</f>
        <v>1.7605319709686595E-2</v>
      </c>
      <c r="P1055" s="8">
        <f>+VLOOKUP($B1055,NIFTY_FMCG!$B$3:$I$1238,8,0)</f>
        <v>9.1912005841789934E-3</v>
      </c>
      <c r="Q1055" s="8">
        <f>+VLOOKUP($B1055,NIFTY_METAL!$B$3:$I$1238,8,0)</f>
        <v>1.4326613666477472E-2</v>
      </c>
      <c r="R1055" s="8">
        <f>+VLOOKUP($B1055,NIFTY_ENERGY!$B$3:$I$1238,8,0)</f>
        <v>-8.2546264301619487E-4</v>
      </c>
      <c r="S1055" s="8">
        <f>+VLOOKUP($B1055,NIFTY_AUTO!$B$3:$I$1238,8,0)</f>
        <v>1.3615818919847644E-3</v>
      </c>
      <c r="T1055" s="8">
        <f>+VLOOKUP($B1055,EBBETF0430!$B$3:$I$1238,8,0)</f>
        <v>1.7327211638258344E-3</v>
      </c>
      <c r="U1055" s="8">
        <f>+VLOOKUP($B1055,NIFTY_50!$B$63:$K$1238,10,0)</f>
        <v>3.4085707243212804E-2</v>
      </c>
      <c r="V1055" s="8">
        <f>+VLOOKUP($B1055,NIFTY_BANK!$B$63:$K$1238,10,0)</f>
        <v>2.4560048546367286E-2</v>
      </c>
      <c r="W1055" s="8">
        <f>+VLOOKUP($B1055,NIFTY_IT!$B$63:$K$1238,10,0)</f>
        <v>2.9610988332948507E-2</v>
      </c>
      <c r="X1055" s="8">
        <f>+VLOOKUP($B1055,NIFTY_PHARMA!$B$63:$K$1238,10,0)</f>
        <v>-4.6918849947023999E-2</v>
      </c>
      <c r="Y1055" s="8">
        <f>+VLOOKUP($B1055,NIFTY_FMCG!$B$63:$K$1238,10,0)</f>
        <v>-2.8916842476652826E-3</v>
      </c>
      <c r="Z1055" s="8">
        <f>+VLOOKUP($B1055,NIFTY_METAL!$B$63:$K$1238,10,0)</f>
        <v>0.26973713439466862</v>
      </c>
      <c r="AA1055" s="8">
        <f>+VLOOKUP($B1055,NIFTY_ENERGY!$B$63:$K$1238,10,0)</f>
        <v>6.7168310335636638E-2</v>
      </c>
      <c r="AB1055" s="8">
        <f>+VLOOKUP($B1055,NIFTY_AUTO!$B$63:$K$1238,10,0)</f>
        <v>3.8795460941690063E-2</v>
      </c>
      <c r="AC1055" s="8">
        <f>+VLOOKUP($B1055,EBBETF0430!$B$63:$K$1238,10,0)</f>
        <v>0.30232078390923167</v>
      </c>
      <c r="AD1055" s="16">
        <f t="shared" si="589"/>
        <v>0.10584434585092131</v>
      </c>
      <c r="AE1055" s="8">
        <f t="shared" si="590"/>
        <v>0.15316619526984343</v>
      </c>
      <c r="AF1055" s="8">
        <f t="shared" si="591"/>
        <v>0.12029842066359887</v>
      </c>
      <c r="AG1055" s="8">
        <f t="shared" si="592"/>
        <v>0.1037657935865495</v>
      </c>
      <c r="AH1055" s="8">
        <f t="shared" si="593"/>
        <v>8.166817355217236E-2</v>
      </c>
      <c r="AI1055" s="8">
        <f t="shared" si="594"/>
        <v>0.16923010849216211</v>
      </c>
      <c r="AJ1055" s="8">
        <f t="shared" si="595"/>
        <v>0.12039671260349002</v>
      </c>
      <c r="AK1055" s="8">
        <f t="shared" si="596"/>
        <v>0.13342956020988622</v>
      </c>
      <c r="AL1055" s="8">
        <f t="shared" si="572"/>
        <v>1.7762326918723037E-2</v>
      </c>
      <c r="AM1055" s="17">
        <f t="shared" si="573"/>
        <v>9.4478358003976037</v>
      </c>
      <c r="AN1055" s="13">
        <f t="shared" si="574"/>
        <v>6.5288557846477229</v>
      </c>
      <c r="AO1055" s="13">
        <f t="shared" si="575"/>
        <v>8.3126610846902853</v>
      </c>
      <c r="AP1055" s="13">
        <f t="shared" si="576"/>
        <v>9.637087188717107</v>
      </c>
      <c r="AQ1055" s="13">
        <f t="shared" si="577"/>
        <v>12.244672024667805</v>
      </c>
      <c r="AR1055" s="13">
        <f t="shared" si="578"/>
        <v>5.9091139804257411</v>
      </c>
      <c r="AS1055" s="13">
        <f t="shared" si="579"/>
        <v>8.3058746237811505</v>
      </c>
      <c r="AT1055" s="13">
        <f t="shared" si="580"/>
        <v>7.4945911417753948</v>
      </c>
      <c r="AU1055" s="13">
        <f t="shared" si="606"/>
        <v>56.298930009328508</v>
      </c>
      <c r="AV1055" s="18">
        <f t="shared" si="597"/>
        <v>4</v>
      </c>
      <c r="AW1055" s="18">
        <f t="shared" si="598"/>
        <v>8</v>
      </c>
      <c r="AX1055" s="18">
        <f t="shared" si="599"/>
        <v>5</v>
      </c>
      <c r="AY1055" s="18">
        <f t="shared" si="600"/>
        <v>3</v>
      </c>
      <c r="AZ1055" s="18">
        <f t="shared" si="601"/>
        <v>2</v>
      </c>
      <c r="BA1055" s="18">
        <f t="shared" si="602"/>
        <v>9</v>
      </c>
      <c r="BB1055" s="18">
        <f t="shared" si="603"/>
        <v>6</v>
      </c>
      <c r="BC1055" s="18">
        <f t="shared" si="604"/>
        <v>7</v>
      </c>
      <c r="BD1055" s="18">
        <f t="shared" si="605"/>
        <v>1</v>
      </c>
      <c r="BE1055" s="8">
        <f t="shared" si="608"/>
        <v>9.998110184488861E-3</v>
      </c>
    </row>
    <row r="1056" spans="1:57" x14ac:dyDescent="0.25">
      <c r="A1056" t="str">
        <f t="shared" si="607"/>
        <v/>
      </c>
      <c r="B1056" s="1">
        <v>44293</v>
      </c>
      <c r="C1056" s="9">
        <f t="shared" si="581"/>
        <v>0.33247898560537864</v>
      </c>
      <c r="D1056" s="9">
        <f t="shared" si="582"/>
        <v>0</v>
      </c>
      <c r="E1056" s="9">
        <f t="shared" si="583"/>
        <v>0</v>
      </c>
      <c r="F1056" s="9">
        <f t="shared" si="584"/>
        <v>0.33883126455395124</v>
      </c>
      <c r="G1056" s="9">
        <f t="shared" si="585"/>
        <v>0.32868974984067001</v>
      </c>
      <c r="H1056" s="9">
        <f t="shared" si="586"/>
        <v>0</v>
      </c>
      <c r="I1056" s="9">
        <f t="shared" si="587"/>
        <v>0</v>
      </c>
      <c r="J1056" s="9">
        <f t="shared" si="588"/>
        <v>0</v>
      </c>
      <c r="K1056" s="9">
        <v>0</v>
      </c>
      <c r="L1056" s="8">
        <f>+VLOOKUP($B1056,NIFTY_50!$B$3:$I$1238,8,0)</f>
        <v>9.2314502673067622E-3</v>
      </c>
      <c r="M1056" s="8">
        <f>+VLOOKUP($B1056,NIFTY_BANK!$B$3:$I$41238,8,0)</f>
        <v>1.5071681637839562E-2</v>
      </c>
      <c r="N1056" s="8">
        <f>+VLOOKUP($B1056,NIFTY_IT!$B$3:$I$1238,8,0)</f>
        <v>1.1261787563790371E-2</v>
      </c>
      <c r="O1056" s="8">
        <f>+VLOOKUP($B1056,NIFTY_PHARMA!$B$3:$I$1238,8,0)</f>
        <v>5.3990086543518334E-3</v>
      </c>
      <c r="P1056" s="8">
        <f>+VLOOKUP($B1056,NIFTY_FMCG!$B$3:$I$1238,8,0)</f>
        <v>6.2233083043399251E-3</v>
      </c>
      <c r="Q1056" s="8">
        <f>+VLOOKUP($B1056,NIFTY_METAL!$B$3:$I$1238,8,0)</f>
        <v>8.980743885512954E-3</v>
      </c>
      <c r="R1056" s="8">
        <f>+VLOOKUP($B1056,NIFTY_ENERGY!$B$3:$I$1238,8,0)</f>
        <v>6.3786047762683928E-3</v>
      </c>
      <c r="S1056" s="8">
        <f>+VLOOKUP($B1056,NIFTY_AUTO!$B$3:$I$1238,8,0)</f>
        <v>1.5912936353366325E-2</v>
      </c>
      <c r="T1056" s="8">
        <f>+VLOOKUP($B1056,EBBETF0430!$B$3:$I$1238,8,0)</f>
        <v>7.2437681642973928E-3</v>
      </c>
      <c r="U1056" s="8">
        <f>+VLOOKUP($B1056,NIFTY_50!$B$63:$K$1238,10,0)</f>
        <v>4.7560307501988142E-2</v>
      </c>
      <c r="V1056" s="8">
        <f>+VLOOKUP($B1056,NIFTY_BANK!$B$63:$K$1238,10,0)</f>
        <v>3.7527635472782706E-2</v>
      </c>
      <c r="W1056" s="8">
        <f>+VLOOKUP($B1056,NIFTY_IT!$B$63:$K$1238,10,0)</f>
        <v>5.5542769919529222E-2</v>
      </c>
      <c r="X1056" s="8">
        <f>+VLOOKUP($B1056,NIFTY_PHARMA!$B$63:$K$1238,10,0)</f>
        <v>-3.824867930569209E-2</v>
      </c>
      <c r="Y1056" s="8">
        <f>+VLOOKUP($B1056,NIFTY_FMCG!$B$63:$K$1238,10,0)</f>
        <v>1.479723893630025E-2</v>
      </c>
      <c r="Z1056" s="8">
        <f>+VLOOKUP($B1056,NIFTY_METAL!$B$63:$K$1238,10,0)</f>
        <v>0.26482542838762479</v>
      </c>
      <c r="AA1056" s="8">
        <f>+VLOOKUP($B1056,NIFTY_ENERGY!$B$63:$K$1238,10,0)</f>
        <v>7.2260547378764084E-2</v>
      </c>
      <c r="AB1056" s="8">
        <f>+VLOOKUP($B1056,NIFTY_AUTO!$B$63:$K$1238,10,0)</f>
        <v>5.9432488765452485E-2</v>
      </c>
      <c r="AC1056" s="8">
        <f>+VLOOKUP($B1056,EBBETF0430!$B$63:$K$1238,10,0)</f>
        <v>1.4495946422277055</v>
      </c>
      <c r="AD1056" s="16">
        <f t="shared" si="589"/>
        <v>0.10608851891335479</v>
      </c>
      <c r="AE1056" s="8">
        <f t="shared" si="590"/>
        <v>0.1538304217737384</v>
      </c>
      <c r="AF1056" s="8">
        <f t="shared" si="591"/>
        <v>0.11989281604160461</v>
      </c>
      <c r="AG1056" s="8">
        <f t="shared" si="592"/>
        <v>0.10389604214189339</v>
      </c>
      <c r="AH1056" s="8">
        <f t="shared" si="593"/>
        <v>8.1086821737394774E-2</v>
      </c>
      <c r="AI1056" s="8">
        <f t="shared" si="594"/>
        <v>0.16907223087949325</v>
      </c>
      <c r="AJ1056" s="8">
        <f t="shared" si="595"/>
        <v>0.12050640937157102</v>
      </c>
      <c r="AK1056" s="8">
        <f t="shared" si="596"/>
        <v>0.13418183467525938</v>
      </c>
      <c r="AL1056" s="8">
        <f t="shared" si="572"/>
        <v>1.9063027717157462E-2</v>
      </c>
      <c r="AM1056" s="17">
        <f t="shared" si="573"/>
        <v>9.4260906858047999</v>
      </c>
      <c r="AN1056" s="13">
        <f t="shared" si="574"/>
        <v>6.5006647480356703</v>
      </c>
      <c r="AO1056" s="13">
        <f t="shared" si="575"/>
        <v>8.3407833181012698</v>
      </c>
      <c r="AP1056" s="13">
        <f t="shared" si="576"/>
        <v>9.625005720952057</v>
      </c>
      <c r="AQ1056" s="13">
        <f t="shared" si="577"/>
        <v>12.332460177543627</v>
      </c>
      <c r="AR1056" s="13">
        <f t="shared" si="578"/>
        <v>5.9146318398835884</v>
      </c>
      <c r="AS1056" s="13">
        <f t="shared" si="579"/>
        <v>8.2983138010243671</v>
      </c>
      <c r="AT1056" s="13">
        <f t="shared" si="580"/>
        <v>7.452573609685345</v>
      </c>
      <c r="AU1056" s="13">
        <f t="shared" si="606"/>
        <v>52.457564183257276</v>
      </c>
      <c r="AV1056" s="18">
        <f t="shared" si="597"/>
        <v>4</v>
      </c>
      <c r="AW1056" s="18">
        <f t="shared" si="598"/>
        <v>8</v>
      </c>
      <c r="AX1056" s="18">
        <f t="shared" si="599"/>
        <v>5</v>
      </c>
      <c r="AY1056" s="18">
        <f t="shared" si="600"/>
        <v>3</v>
      </c>
      <c r="AZ1056" s="18">
        <f t="shared" si="601"/>
        <v>2</v>
      </c>
      <c r="BA1056" s="18">
        <f t="shared" si="602"/>
        <v>9</v>
      </c>
      <c r="BB1056" s="18">
        <f t="shared" si="603"/>
        <v>6</v>
      </c>
      <c r="BC1056" s="18">
        <f t="shared" si="604"/>
        <v>7</v>
      </c>
      <c r="BD1056" s="18">
        <f t="shared" si="605"/>
        <v>1</v>
      </c>
      <c r="BE1056" s="8">
        <f t="shared" si="608"/>
        <v>6.9414559357395701E-3</v>
      </c>
    </row>
    <row r="1057" spans="1:57" x14ac:dyDescent="0.25">
      <c r="A1057" t="str">
        <f t="shared" si="607"/>
        <v/>
      </c>
      <c r="B1057" s="1">
        <v>44294</v>
      </c>
      <c r="C1057" s="9">
        <f t="shared" si="581"/>
        <v>0.33287596633962385</v>
      </c>
      <c r="D1057" s="9">
        <f t="shared" si="582"/>
        <v>0</v>
      </c>
      <c r="E1057" s="9">
        <f t="shared" si="583"/>
        <v>0</v>
      </c>
      <c r="F1057" s="9">
        <f t="shared" si="584"/>
        <v>0.33786254158357942</v>
      </c>
      <c r="G1057" s="9">
        <f t="shared" si="585"/>
        <v>0.32926149207679678</v>
      </c>
      <c r="H1057" s="9">
        <f t="shared" si="586"/>
        <v>0</v>
      </c>
      <c r="I1057" s="9">
        <f t="shared" si="587"/>
        <v>0</v>
      </c>
      <c r="J1057" s="9">
        <f t="shared" si="588"/>
        <v>0</v>
      </c>
      <c r="K1057" s="9">
        <v>0</v>
      </c>
      <c r="L1057" s="8">
        <f>+VLOOKUP($B1057,NIFTY_50!$B$3:$I$1238,8,0)</f>
        <v>3.6945688151399647E-3</v>
      </c>
      <c r="M1057" s="8">
        <f>+VLOOKUP($B1057,NIFTY_BANK!$B$3:$I$41238,8,0)</f>
        <v>-6.3153204490894455E-3</v>
      </c>
      <c r="N1057" s="8">
        <f>+VLOOKUP($B1057,NIFTY_IT!$B$3:$I$1238,8,0)</f>
        <v>1.1829600089448888E-2</v>
      </c>
      <c r="O1057" s="8">
        <f>+VLOOKUP($B1057,NIFTY_PHARMA!$B$3:$I$1238,8,0)</f>
        <v>-3.6856935643037048E-4</v>
      </c>
      <c r="P1057" s="8">
        <f>+VLOOKUP($B1057,NIFTY_FMCG!$B$3:$I$1238,8,0)</f>
        <v>4.2413873283708714E-3</v>
      </c>
      <c r="Q1057" s="8">
        <f>+VLOOKUP($B1057,NIFTY_METAL!$B$3:$I$1238,8,0)</f>
        <v>3.9186674218867346E-2</v>
      </c>
      <c r="R1057" s="8">
        <f>+VLOOKUP($B1057,NIFTY_ENERGY!$B$3:$I$1238,8,0)</f>
        <v>-3.1527244066141824E-3</v>
      </c>
      <c r="S1057" s="8">
        <f>+VLOOKUP($B1057,NIFTY_AUTO!$B$3:$I$1238,8,0)</f>
        <v>2.2491697695481427E-3</v>
      </c>
      <c r="T1057" s="8">
        <f>+VLOOKUP($B1057,EBBETF0430!$B$3:$I$1238,8,0)</f>
        <v>-5.3174796889721154E-4</v>
      </c>
      <c r="U1057" s="8">
        <f>+VLOOKUP($B1057,NIFTY_50!$B$63:$K$1238,10,0)</f>
        <v>5.2092506728630195E-2</v>
      </c>
      <c r="V1057" s="8">
        <f>+VLOOKUP($B1057,NIFTY_BANK!$B$63:$K$1238,10,0)</f>
        <v>2.5874640130179039E-2</v>
      </c>
      <c r="W1057" s="8">
        <f>+VLOOKUP($B1057,NIFTY_IT!$B$63:$K$1238,10,0)</f>
        <v>7.5133062983145482E-2</v>
      </c>
      <c r="X1057" s="8">
        <f>+VLOOKUP($B1057,NIFTY_PHARMA!$B$63:$K$1238,10,0)</f>
        <v>-3.4381639645502671E-2</v>
      </c>
      <c r="Y1057" s="8">
        <f>+VLOOKUP($B1057,NIFTY_FMCG!$B$63:$K$1238,10,0)</f>
        <v>2.7935185198789014E-2</v>
      </c>
      <c r="Z1057" s="8">
        <f>+VLOOKUP($B1057,NIFTY_METAL!$B$63:$K$1238,10,0)</f>
        <v>0.26602261685138506</v>
      </c>
      <c r="AA1057" s="8">
        <f>+VLOOKUP($B1057,NIFTY_ENERGY!$B$63:$K$1238,10,0)</f>
        <v>7.23357439380381E-2</v>
      </c>
      <c r="AB1057" s="8">
        <f>+VLOOKUP($B1057,NIFTY_AUTO!$B$63:$K$1238,10,0)</f>
        <v>5.6173877079213064E-2</v>
      </c>
      <c r="AC1057" s="8">
        <f>+VLOOKUP($B1057,EBBETF0430!$B$63:$K$1238,10,0)</f>
        <v>2.9878695981804397</v>
      </c>
      <c r="AD1057" s="16">
        <f t="shared" si="589"/>
        <v>0.1061147358680018</v>
      </c>
      <c r="AE1057" s="8">
        <f t="shared" si="590"/>
        <v>0.15393127255252304</v>
      </c>
      <c r="AF1057" s="8">
        <f t="shared" si="591"/>
        <v>0.12011649303798277</v>
      </c>
      <c r="AG1057" s="8">
        <f t="shared" si="592"/>
        <v>0.10382464259807982</v>
      </c>
      <c r="AH1057" s="8">
        <f t="shared" si="593"/>
        <v>8.0678039690002631E-2</v>
      </c>
      <c r="AI1057" s="8">
        <f t="shared" si="594"/>
        <v>0.16927318688097093</v>
      </c>
      <c r="AJ1057" s="8">
        <f t="shared" si="595"/>
        <v>0.12050382700233186</v>
      </c>
      <c r="AK1057" s="8">
        <f t="shared" si="596"/>
        <v>0.13411898378340445</v>
      </c>
      <c r="AL1057" s="8">
        <f t="shared" si="572"/>
        <v>1.906465636104342E-2</v>
      </c>
      <c r="AM1057" s="17">
        <f t="shared" si="573"/>
        <v>9.4237618538100083</v>
      </c>
      <c r="AN1057" s="13">
        <f t="shared" si="574"/>
        <v>6.4964057232671095</v>
      </c>
      <c r="AO1057" s="13">
        <f t="shared" si="575"/>
        <v>8.3252513847851333</v>
      </c>
      <c r="AP1057" s="13">
        <f t="shared" si="576"/>
        <v>9.631624775932476</v>
      </c>
      <c r="AQ1057" s="13">
        <f t="shared" si="577"/>
        <v>12.394946677465155</v>
      </c>
      <c r="AR1057" s="13">
        <f t="shared" si="578"/>
        <v>5.9076101680721438</v>
      </c>
      <c r="AS1057" s="13">
        <f t="shared" si="579"/>
        <v>8.2984916319765425</v>
      </c>
      <c r="AT1057" s="13">
        <f t="shared" si="580"/>
        <v>7.4560660377128318</v>
      </c>
      <c r="AU1057" s="13">
        <f t="shared" si="606"/>
        <v>52.453082870320848</v>
      </c>
      <c r="AV1057" s="18">
        <f t="shared" si="597"/>
        <v>4</v>
      </c>
      <c r="AW1057" s="18">
        <f t="shared" si="598"/>
        <v>8</v>
      </c>
      <c r="AX1057" s="18">
        <f t="shared" si="599"/>
        <v>5</v>
      </c>
      <c r="AY1057" s="18">
        <f t="shared" si="600"/>
        <v>3</v>
      </c>
      <c r="AZ1057" s="18">
        <f t="shared" si="601"/>
        <v>2</v>
      </c>
      <c r="BA1057" s="18">
        <f t="shared" si="602"/>
        <v>9</v>
      </c>
      <c r="BB1057" s="18">
        <f t="shared" si="603"/>
        <v>6</v>
      </c>
      <c r="BC1057" s="18">
        <f t="shared" si="604"/>
        <v>7</v>
      </c>
      <c r="BD1057" s="18">
        <f t="shared" si="605"/>
        <v>1</v>
      </c>
      <c r="BE1057" s="8">
        <f t="shared" si="608"/>
        <v>2.4975842107314719E-3</v>
      </c>
    </row>
    <row r="1058" spans="1:57" x14ac:dyDescent="0.25">
      <c r="A1058" t="str">
        <f t="shared" si="607"/>
        <v/>
      </c>
      <c r="B1058" s="1">
        <v>44295</v>
      </c>
      <c r="C1058" s="9">
        <f t="shared" si="581"/>
        <v>0.32808436140699032</v>
      </c>
      <c r="D1058" s="9">
        <f t="shared" si="582"/>
        <v>0</v>
      </c>
      <c r="E1058" s="9">
        <f t="shared" si="583"/>
        <v>0</v>
      </c>
      <c r="F1058" s="9">
        <f t="shared" si="584"/>
        <v>0.3440299572883434</v>
      </c>
      <c r="G1058" s="9">
        <f t="shared" si="585"/>
        <v>0.32788568130466639</v>
      </c>
      <c r="H1058" s="9">
        <f t="shared" si="586"/>
        <v>0</v>
      </c>
      <c r="I1058" s="9">
        <f t="shared" si="587"/>
        <v>0</v>
      </c>
      <c r="J1058" s="9">
        <f t="shared" si="588"/>
        <v>0</v>
      </c>
      <c r="K1058" s="9">
        <v>0</v>
      </c>
      <c r="L1058" s="8">
        <f>+VLOOKUP($B1058,NIFTY_50!$B$3:$I$1238,8,0)</f>
        <v>-2.6186986513196953E-3</v>
      </c>
      <c r="M1058" s="8">
        <f>+VLOOKUP($B1058,NIFTY_BANK!$B$3:$I$41238,8,0)</f>
        <v>-1.0212656922750751E-2</v>
      </c>
      <c r="N1058" s="8">
        <f>+VLOOKUP($B1058,NIFTY_IT!$B$3:$I$1238,8,0)</f>
        <v>8.0538816283832748E-3</v>
      </c>
      <c r="O1058" s="8">
        <f>+VLOOKUP($B1058,NIFTY_PHARMA!$B$3:$I$1238,8,0)</f>
        <v>3.0420165401968013E-2</v>
      </c>
      <c r="P1058" s="8">
        <f>+VLOOKUP($B1058,NIFTY_FMCG!$B$3:$I$1238,8,0)</f>
        <v>7.7194527063819685E-3</v>
      </c>
      <c r="Q1058" s="8">
        <f>+VLOOKUP($B1058,NIFTY_METAL!$B$3:$I$1238,8,0)</f>
        <v>-6.1513476234440478E-3</v>
      </c>
      <c r="R1058" s="8">
        <f>+VLOOKUP($B1058,NIFTY_ENERGY!$B$3:$I$1238,8,0)</f>
        <v>-1.085603442851224E-2</v>
      </c>
      <c r="S1058" s="8">
        <f>+VLOOKUP($B1058,NIFTY_AUTO!$B$3:$I$1238,8,0)</f>
        <v>-3.6548569936792896E-3</v>
      </c>
      <c r="T1058" s="8">
        <f>+VLOOKUP($B1058,EBBETF0430!$B$3:$I$1238,8,0)</f>
        <v>-1.1163926562295368E-3</v>
      </c>
      <c r="U1058" s="8">
        <f>+VLOOKUP($B1058,NIFTY_50!$B$63:$K$1238,10,0)</f>
        <v>3.3985606997856799E-2</v>
      </c>
      <c r="V1058" s="8">
        <f>+VLOOKUP($B1058,NIFTY_BANK!$B$63:$K$1238,10,0)</f>
        <v>1.1340472880732477E-2</v>
      </c>
      <c r="W1058" s="8">
        <f>+VLOOKUP($B1058,NIFTY_IT!$B$63:$K$1238,10,0)</f>
        <v>4.604508760664161E-2</v>
      </c>
      <c r="X1058" s="8">
        <f>+VLOOKUP($B1058,NIFTY_PHARMA!$B$63:$K$1238,10,0)</f>
        <v>-2.0811434986870325E-2</v>
      </c>
      <c r="Y1058" s="8">
        <f>+VLOOKUP($B1058,NIFTY_FMCG!$B$63:$K$1238,10,0)</f>
        <v>2.8484322463477429E-2</v>
      </c>
      <c r="Z1058" s="8">
        <f>+VLOOKUP($B1058,NIFTY_METAL!$B$63:$K$1238,10,0)</f>
        <v>0.26581094865691957</v>
      </c>
      <c r="AA1058" s="8">
        <f>+VLOOKUP($B1058,NIFTY_ENERGY!$B$63:$K$1238,10,0)</f>
        <v>4.7637951568082482E-2</v>
      </c>
      <c r="AB1058" s="8">
        <f>+VLOOKUP($B1058,NIFTY_AUTO!$B$63:$K$1238,10,0)</f>
        <v>1.8652636981906889E-2</v>
      </c>
      <c r="AC1058" s="8">
        <f>+VLOOKUP($B1058,EBBETF0430!$B$63:$K$1238,10,0)</f>
        <v>1.0522049286640724</v>
      </c>
      <c r="AD1058" s="16">
        <f t="shared" si="589"/>
        <v>0.10523335793044403</v>
      </c>
      <c r="AE1058" s="8">
        <f t="shared" si="590"/>
        <v>0.15426308228322116</v>
      </c>
      <c r="AF1058" s="8">
        <f t="shared" si="591"/>
        <v>0.11511315914776687</v>
      </c>
      <c r="AG1058" s="8">
        <f t="shared" si="592"/>
        <v>0.10702781464622589</v>
      </c>
      <c r="AH1058" s="8">
        <f t="shared" si="593"/>
        <v>8.0724316550457129E-2</v>
      </c>
      <c r="AI1058" s="8">
        <f t="shared" si="594"/>
        <v>0.16928317631628614</v>
      </c>
      <c r="AJ1058" s="8">
        <f t="shared" si="595"/>
        <v>0.12055608484112436</v>
      </c>
      <c r="AK1058" s="8">
        <f t="shared" si="596"/>
        <v>0.13024516829382096</v>
      </c>
      <c r="AL1058" s="8">
        <f t="shared" si="572"/>
        <v>1.9096235342827277E-2</v>
      </c>
      <c r="AM1058" s="17">
        <f t="shared" si="573"/>
        <v>9.5026902083745046</v>
      </c>
      <c r="AN1058" s="13">
        <f t="shared" si="574"/>
        <v>6.4824323823897023</v>
      </c>
      <c r="AO1058" s="13">
        <f t="shared" si="575"/>
        <v>8.6871041278289809</v>
      </c>
      <c r="AP1058" s="13">
        <f t="shared" si="576"/>
        <v>9.3433655849691117</v>
      </c>
      <c r="AQ1058" s="13">
        <f t="shared" si="577"/>
        <v>12.387841021545784</v>
      </c>
      <c r="AR1058" s="13">
        <f t="shared" si="578"/>
        <v>5.9072615587718831</v>
      </c>
      <c r="AS1058" s="13">
        <f t="shared" si="579"/>
        <v>8.294894457777529</v>
      </c>
      <c r="AT1058" s="13">
        <f t="shared" si="580"/>
        <v>7.6778280000690176</v>
      </c>
      <c r="AU1058" s="13">
        <f t="shared" si="606"/>
        <v>52.366342477843901</v>
      </c>
      <c r="AV1058" s="18">
        <f t="shared" si="597"/>
        <v>3</v>
      </c>
      <c r="AW1058" s="18">
        <f t="shared" si="598"/>
        <v>8</v>
      </c>
      <c r="AX1058" s="18">
        <f t="shared" si="599"/>
        <v>5</v>
      </c>
      <c r="AY1058" s="18">
        <f t="shared" si="600"/>
        <v>4</v>
      </c>
      <c r="AZ1058" s="18">
        <f t="shared" si="601"/>
        <v>2</v>
      </c>
      <c r="BA1058" s="18">
        <f t="shared" si="602"/>
        <v>9</v>
      </c>
      <c r="BB1058" s="18">
        <f t="shared" si="603"/>
        <v>6</v>
      </c>
      <c r="BC1058" s="18">
        <f t="shared" si="604"/>
        <v>7</v>
      </c>
      <c r="BD1058" s="18">
        <f t="shared" si="605"/>
        <v>1</v>
      </c>
      <c r="BE1058" s="8">
        <f t="shared" si="608"/>
        <v>1.1947851070111062E-2</v>
      </c>
    </row>
    <row r="1059" spans="1:57" x14ac:dyDescent="0.25">
      <c r="A1059" t="str">
        <f t="shared" si="607"/>
        <v/>
      </c>
      <c r="B1059" s="1">
        <v>44298</v>
      </c>
      <c r="C1059" s="9">
        <f t="shared" si="581"/>
        <v>0.32259502802992213</v>
      </c>
      <c r="D1059" s="9">
        <f t="shared" si="582"/>
        <v>0</v>
      </c>
      <c r="E1059" s="9">
        <f t="shared" si="583"/>
        <v>0</v>
      </c>
      <c r="F1059" s="9">
        <f t="shared" si="584"/>
        <v>0.34975719646898101</v>
      </c>
      <c r="G1059" s="9">
        <f t="shared" si="585"/>
        <v>0.32764777550109681</v>
      </c>
      <c r="H1059" s="9">
        <f t="shared" si="586"/>
        <v>0</v>
      </c>
      <c r="I1059" s="9">
        <f t="shared" si="587"/>
        <v>0</v>
      </c>
      <c r="J1059" s="9">
        <f t="shared" si="588"/>
        <v>0</v>
      </c>
      <c r="K1059" s="9">
        <v>0</v>
      </c>
      <c r="L1059" s="8">
        <f>+VLOOKUP($B1059,NIFTY_50!$B$3:$I$1238,8,0)</f>
        <v>-3.5325601539617946E-2</v>
      </c>
      <c r="M1059" s="8">
        <f>+VLOOKUP($B1059,NIFTY_BANK!$B$3:$I$41238,8,0)</f>
        <v>-5.1036965241362697E-2</v>
      </c>
      <c r="N1059" s="8">
        <f>+VLOOKUP($B1059,NIFTY_IT!$B$3:$I$1238,8,0)</f>
        <v>-2.3358381703544984E-2</v>
      </c>
      <c r="O1059" s="8">
        <f>+VLOOKUP($B1059,NIFTY_PHARMA!$B$3:$I$1238,8,0)</f>
        <v>-2.5778451523045254E-3</v>
      </c>
      <c r="P1059" s="8">
        <f>+VLOOKUP($B1059,NIFTY_FMCG!$B$3:$I$1238,8,0)</f>
        <v>-1.9622387818376219E-2</v>
      </c>
      <c r="Q1059" s="8">
        <f>+VLOOKUP($B1059,NIFTY_METAL!$B$3:$I$1238,8,0)</f>
        <v>-6.0730194972354656E-2</v>
      </c>
      <c r="R1059" s="8">
        <f>+VLOOKUP($B1059,NIFTY_ENERGY!$B$3:$I$1238,8,0)</f>
        <v>-4.4127531165034317E-2</v>
      </c>
      <c r="S1059" s="8">
        <f>+VLOOKUP($B1059,NIFTY_AUTO!$B$3:$I$1238,8,0)</f>
        <v>-5.1123909724426819E-2</v>
      </c>
      <c r="T1059" s="8">
        <f>+VLOOKUP($B1059,EBBETF0430!$B$3:$I$1238,8,0)</f>
        <v>-1.397050477179973E-3</v>
      </c>
      <c r="U1059" s="8">
        <f>+VLOOKUP($B1059,NIFTY_50!$B$63:$K$1238,10,0)</f>
        <v>-1.2009182070798596E-2</v>
      </c>
      <c r="V1059" s="8">
        <f>+VLOOKUP($B1059,NIFTY_BANK!$B$63:$K$1238,10,0)</f>
        <v>-3.7716921519177271E-2</v>
      </c>
      <c r="W1059" s="8">
        <f>+VLOOKUP($B1059,NIFTY_IT!$B$63:$K$1238,10,0)</f>
        <v>-1.1097853132428726E-2</v>
      </c>
      <c r="X1059" s="8">
        <f>+VLOOKUP($B1059,NIFTY_PHARMA!$B$63:$K$1238,10,0)</f>
        <v>-3.358844646911241E-2</v>
      </c>
      <c r="Y1059" s="8">
        <f>+VLOOKUP($B1059,NIFTY_FMCG!$B$63:$K$1238,10,0)</f>
        <v>-3.4571994954045726E-3</v>
      </c>
      <c r="Z1059" s="8">
        <f>+VLOOKUP($B1059,NIFTY_METAL!$B$63:$K$1238,10,0)</f>
        <v>0.20095022753942593</v>
      </c>
      <c r="AA1059" s="8">
        <f>+VLOOKUP($B1059,NIFTY_ENERGY!$B$63:$K$1238,10,0)</f>
        <v>9.9891574680497364E-3</v>
      </c>
      <c r="AB1059" s="8">
        <f>+VLOOKUP($B1059,NIFTY_AUTO!$B$63:$K$1238,10,0)</f>
        <v>-5.8020529032774437E-2</v>
      </c>
      <c r="AC1059" s="8">
        <f>+VLOOKUP($B1059,EBBETF0430!$B$63:$K$1238,10,0)</f>
        <v>-0.45535651065637617</v>
      </c>
      <c r="AD1059" s="16">
        <f t="shared" si="589"/>
        <v>0.11069956713399001</v>
      </c>
      <c r="AE1059" s="8">
        <f t="shared" si="590"/>
        <v>0.16245911551543135</v>
      </c>
      <c r="AF1059" s="8">
        <f t="shared" si="591"/>
        <v>0.11289818492828947</v>
      </c>
      <c r="AG1059" s="8">
        <f t="shared" si="592"/>
        <v>0.1064874467903941</v>
      </c>
      <c r="AH1059" s="8">
        <f t="shared" si="593"/>
        <v>8.2330411074201873E-2</v>
      </c>
      <c r="AI1059" s="8">
        <f t="shared" si="594"/>
        <v>0.18060796214996844</v>
      </c>
      <c r="AJ1059" s="8">
        <f t="shared" si="595"/>
        <v>0.12826102917431337</v>
      </c>
      <c r="AK1059" s="8">
        <f t="shared" si="596"/>
        <v>0.13735401696842614</v>
      </c>
      <c r="AL1059" s="8">
        <f t="shared" si="572"/>
        <v>1.9098980855502889E-2</v>
      </c>
      <c r="AM1059" s="17">
        <f t="shared" si="573"/>
        <v>9.0334589907619662</v>
      </c>
      <c r="AN1059" s="13">
        <f t="shared" si="574"/>
        <v>6.1553948316615941</v>
      </c>
      <c r="AO1059" s="13">
        <f t="shared" si="575"/>
        <v>8.8575383265477541</v>
      </c>
      <c r="AP1059" s="13">
        <f t="shared" si="576"/>
        <v>9.3907782573504885</v>
      </c>
      <c r="AQ1059" s="13">
        <f t="shared" si="577"/>
        <v>12.146180092538717</v>
      </c>
      <c r="AR1059" s="13">
        <f t="shared" si="578"/>
        <v>5.5368544558940682</v>
      </c>
      <c r="AS1059" s="13">
        <f t="shared" si="579"/>
        <v>7.7966004673247111</v>
      </c>
      <c r="AT1059" s="13">
        <f t="shared" si="580"/>
        <v>7.2804568957737299</v>
      </c>
      <c r="AU1059" s="13">
        <f t="shared" ref="AU1059:AU1080" si="609">1/AL1059</f>
        <v>52.358814722403118</v>
      </c>
      <c r="AV1059" s="18">
        <f t="shared" si="597"/>
        <v>4</v>
      </c>
      <c r="AW1059" s="18">
        <f t="shared" si="598"/>
        <v>8</v>
      </c>
      <c r="AX1059" s="18">
        <f t="shared" si="599"/>
        <v>5</v>
      </c>
      <c r="AY1059" s="18">
        <f t="shared" si="600"/>
        <v>3</v>
      </c>
      <c r="AZ1059" s="18">
        <f t="shared" si="601"/>
        <v>2</v>
      </c>
      <c r="BA1059" s="18">
        <f t="shared" si="602"/>
        <v>9</v>
      </c>
      <c r="BB1059" s="18">
        <f t="shared" si="603"/>
        <v>6</v>
      </c>
      <c r="BC1059" s="18">
        <f t="shared" si="604"/>
        <v>7</v>
      </c>
      <c r="BD1059" s="18">
        <f t="shared" si="605"/>
        <v>1</v>
      </c>
      <c r="BE1059" s="8">
        <f t="shared" si="608"/>
        <v>-1.8910533378739311E-2</v>
      </c>
    </row>
    <row r="1060" spans="1:57" x14ac:dyDescent="0.25">
      <c r="A1060" t="str">
        <f t="shared" si="607"/>
        <v/>
      </c>
      <c r="B1060" s="1">
        <v>44299</v>
      </c>
      <c r="C1060" s="9">
        <f t="shared" si="581"/>
        <v>0.32640820557322164</v>
      </c>
      <c r="D1060" s="9">
        <f t="shared" si="582"/>
        <v>0</v>
      </c>
      <c r="E1060" s="9">
        <f t="shared" si="583"/>
        <v>0</v>
      </c>
      <c r="F1060" s="9">
        <f t="shared" si="584"/>
        <v>0.34500039963662293</v>
      </c>
      <c r="G1060" s="9">
        <f t="shared" si="585"/>
        <v>0.32859139479015553</v>
      </c>
      <c r="H1060" s="9">
        <f t="shared" si="586"/>
        <v>0</v>
      </c>
      <c r="I1060" s="9">
        <f t="shared" si="587"/>
        <v>0</v>
      </c>
      <c r="J1060" s="9">
        <f t="shared" si="588"/>
        <v>0</v>
      </c>
      <c r="K1060" s="9">
        <v>0</v>
      </c>
      <c r="L1060" s="8">
        <f>+VLOOKUP($B1060,NIFTY_50!$B$3:$I$1238,8,0)</f>
        <v>1.3556195321016373E-2</v>
      </c>
      <c r="M1060" s="8">
        <f>+VLOOKUP($B1060,NIFTY_BANK!$B$3:$I$41238,8,0)</f>
        <v>3.1813458041049625E-2</v>
      </c>
      <c r="N1060" s="8">
        <f>+VLOOKUP($B1060,NIFTY_IT!$B$3:$I$1238,8,0)</f>
        <v>-3.2793570739080624E-2</v>
      </c>
      <c r="O1060" s="8">
        <f>+VLOOKUP($B1060,NIFTY_PHARMA!$B$3:$I$1238,8,0)</f>
        <v>-1.1908022388779416E-2</v>
      </c>
      <c r="P1060" s="8">
        <f>+VLOOKUP($B1060,NIFTY_FMCG!$B$3:$I$1238,8,0)</f>
        <v>4.6005147368375354E-3</v>
      </c>
      <c r="Q1060" s="8">
        <f>+VLOOKUP($B1060,NIFTY_METAL!$B$3:$I$1238,8,0)</f>
        <v>3.3817921830314512E-2</v>
      </c>
      <c r="R1060" s="8">
        <f>+VLOOKUP($B1060,NIFTY_ENERGY!$B$3:$I$1238,8,0)</f>
        <v>2.276403473490185E-2</v>
      </c>
      <c r="S1060" s="8">
        <f>+VLOOKUP($B1060,NIFTY_AUTO!$B$3:$I$1238,8,0)</f>
        <v>4.2763909023806113E-2</v>
      </c>
      <c r="T1060" s="8">
        <f>+VLOOKUP($B1060,EBBETF0430!$B$3:$I$1238,8,0)</f>
        <v>1.3290547098376848E-3</v>
      </c>
      <c r="U1060" s="8">
        <f>+VLOOKUP($B1060,NIFTY_50!$B$63:$K$1238,10,0)</f>
        <v>-4.0272050922001146E-3</v>
      </c>
      <c r="V1060" s="8">
        <f>+VLOOKUP($B1060,NIFTY_BANK!$B$63:$K$1238,10,0)</f>
        <v>-1.7545378644979737E-2</v>
      </c>
      <c r="W1060" s="8">
        <f>+VLOOKUP($B1060,NIFTY_IT!$B$63:$K$1238,10,0)</f>
        <v>-4.1909265772493542E-2</v>
      </c>
      <c r="X1060" s="8">
        <f>+VLOOKUP($B1060,NIFTY_PHARMA!$B$63:$K$1238,10,0)</f>
        <v>-3.3009430187169286E-2</v>
      </c>
      <c r="Y1060" s="8">
        <f>+VLOOKUP($B1060,NIFTY_FMCG!$B$63:$K$1238,10,0)</f>
        <v>6.7181522036958707E-3</v>
      </c>
      <c r="Z1060" s="8">
        <f>+VLOOKUP($B1060,NIFTY_METAL!$B$63:$K$1238,10,0)</f>
        <v>0.23590415681358423</v>
      </c>
      <c r="AA1060" s="8">
        <f>+VLOOKUP($B1060,NIFTY_ENERGY!$B$63:$K$1238,10,0)</f>
        <v>1.9804265534115073E-2</v>
      </c>
      <c r="AB1060" s="8">
        <f>+VLOOKUP($B1060,NIFTY_AUTO!$B$63:$K$1238,10,0)</f>
        <v>-2.9797872498110278E-2</v>
      </c>
      <c r="AC1060" s="8">
        <f>+VLOOKUP($B1060,EBBETF0430!$B$63:$K$1238,10,0)</f>
        <v>1.227321237993606E-2</v>
      </c>
      <c r="AD1060" s="16">
        <f t="shared" si="589"/>
        <v>0.11139636467617325</v>
      </c>
      <c r="AE1060" s="8">
        <f t="shared" si="590"/>
        <v>0.16523421082466844</v>
      </c>
      <c r="AF1060" s="8">
        <f t="shared" si="591"/>
        <v>0.1174641865601561</v>
      </c>
      <c r="AG1060" s="8">
        <f t="shared" si="592"/>
        <v>0.10642218953260328</v>
      </c>
      <c r="AH1060" s="8">
        <f t="shared" si="593"/>
        <v>8.2261512959845587E-2</v>
      </c>
      <c r="AI1060" s="8">
        <f t="shared" si="594"/>
        <v>0.18312962795072504</v>
      </c>
      <c r="AJ1060" s="8">
        <f t="shared" si="595"/>
        <v>0.12959434989017588</v>
      </c>
      <c r="AK1060" s="8">
        <f t="shared" si="596"/>
        <v>0.14344091626777261</v>
      </c>
      <c r="AL1060" s="8">
        <f t="shared" ref="AL1060:AL1080" si="610">+_xlfn.STDEV.S(T1000:T1060)*SQRT(60)</f>
        <v>1.9125212858872753E-2</v>
      </c>
      <c r="AM1060" s="17">
        <f t="shared" si="573"/>
        <v>8.976953627768534</v>
      </c>
      <c r="AN1060" s="13">
        <f t="shared" si="574"/>
        <v>6.052015469490815</v>
      </c>
      <c r="AO1060" s="13">
        <f t="shared" si="575"/>
        <v>8.5132330907333795</v>
      </c>
      <c r="AP1060" s="13">
        <f t="shared" si="576"/>
        <v>9.3965366094412293</v>
      </c>
      <c r="AQ1060" s="13">
        <f t="shared" si="577"/>
        <v>12.156353123338873</v>
      </c>
      <c r="AR1060" s="13">
        <f t="shared" si="578"/>
        <v>5.4606128521654149</v>
      </c>
      <c r="AS1060" s="13">
        <f t="shared" si="579"/>
        <v>7.71638579033303</v>
      </c>
      <c r="AT1060" s="13">
        <f t="shared" si="580"/>
        <v>6.9715115186047765</v>
      </c>
      <c r="AU1060" s="13">
        <f t="shared" si="609"/>
        <v>52.286999751538467</v>
      </c>
      <c r="AV1060" s="18">
        <f t="shared" si="597"/>
        <v>4</v>
      </c>
      <c r="AW1060" s="18">
        <f t="shared" si="598"/>
        <v>8</v>
      </c>
      <c r="AX1060" s="18">
        <f t="shared" si="599"/>
        <v>5</v>
      </c>
      <c r="AY1060" s="18">
        <f t="shared" si="600"/>
        <v>3</v>
      </c>
      <c r="AZ1060" s="18">
        <f t="shared" si="601"/>
        <v>2</v>
      </c>
      <c r="BA1060" s="18">
        <f t="shared" si="602"/>
        <v>9</v>
      </c>
      <c r="BB1060" s="18">
        <f t="shared" si="603"/>
        <v>6</v>
      </c>
      <c r="BC1060" s="18">
        <f t="shared" si="604"/>
        <v>7</v>
      </c>
      <c r="BD1060" s="18">
        <f t="shared" si="605"/>
        <v>1</v>
      </c>
      <c r="BE1060" s="8">
        <f t="shared" si="608"/>
        <v>1.7155931030578611E-3</v>
      </c>
    </row>
    <row r="1061" spans="1:57" x14ac:dyDescent="0.25">
      <c r="A1061" t="str">
        <f t="shared" si="607"/>
        <v/>
      </c>
      <c r="B1061" s="1">
        <v>44301</v>
      </c>
      <c r="C1061" s="9">
        <f t="shared" si="581"/>
        <v>0.32618346563165412</v>
      </c>
      <c r="D1061" s="9">
        <f t="shared" si="582"/>
        <v>0</v>
      </c>
      <c r="E1061" s="9">
        <f t="shared" si="583"/>
        <v>0</v>
      </c>
      <c r="F1061" s="9">
        <f t="shared" si="584"/>
        <v>0.34775841904527027</v>
      </c>
      <c r="G1061" s="9">
        <f t="shared" si="585"/>
        <v>0.32605811532307555</v>
      </c>
      <c r="H1061" s="9">
        <f t="shared" si="586"/>
        <v>0</v>
      </c>
      <c r="I1061" s="9">
        <f t="shared" si="587"/>
        <v>0</v>
      </c>
      <c r="J1061" s="9">
        <f t="shared" si="588"/>
        <v>0</v>
      </c>
      <c r="K1061" s="9">
        <v>0</v>
      </c>
      <c r="L1061" s="8">
        <f>+VLOOKUP($B1061,NIFTY_50!$B$3:$I$1238,8,0)</f>
        <v>5.2844575588770759E-3</v>
      </c>
      <c r="M1061" s="8">
        <f>+VLOOKUP($B1061,NIFTY_BANK!$B$3:$I$41238,8,0)</f>
        <v>1.0740724420551739E-2</v>
      </c>
      <c r="N1061" s="8">
        <f>+VLOOKUP($B1061,NIFTY_IT!$B$3:$I$1238,8,0)</f>
        <v>6.1718366194349894E-3</v>
      </c>
      <c r="O1061" s="8">
        <f>+VLOOKUP($B1061,NIFTY_PHARMA!$B$3:$I$1238,8,0)</f>
        <v>1.4019129416357634E-2</v>
      </c>
      <c r="P1061" s="8">
        <f>+VLOOKUP($B1061,NIFTY_FMCG!$B$3:$I$1238,8,0)</f>
        <v>-1.7784958964986997E-3</v>
      </c>
      <c r="Q1061" s="8">
        <f>+VLOOKUP($B1061,NIFTY_METAL!$B$3:$I$1238,8,0)</f>
        <v>1.3727840660227253E-2</v>
      </c>
      <c r="R1061" s="8">
        <f>+VLOOKUP($B1061,NIFTY_ENERGY!$B$3:$I$1238,8,0)</f>
        <v>6.1591824725002464E-3</v>
      </c>
      <c r="S1061" s="8">
        <f>+VLOOKUP($B1061,NIFTY_AUTO!$B$3:$I$1238,8,0)</f>
        <v>-1.291975189187522E-2</v>
      </c>
      <c r="T1061" s="8">
        <f>+VLOOKUP($B1061,EBBETF0430!$B$3:$I$1238,8,0)</f>
        <v>1.1177184571993237E-3</v>
      </c>
      <c r="U1061" s="8">
        <f>+VLOOKUP($B1061,NIFTY_50!$B$63:$K$1238,10,0)</f>
        <v>1.1397302409568155E-3</v>
      </c>
      <c r="V1061" s="8">
        <f>+VLOOKUP($B1061,NIFTY_BANK!$B$63:$K$1238,10,0)</f>
        <v>-1.4176668053225483E-2</v>
      </c>
      <c r="W1061" s="8">
        <f>+VLOOKUP($B1061,NIFTY_IT!$B$63:$K$1238,10,0)</f>
        <v>-3.6788585521565165E-2</v>
      </c>
      <c r="X1061" s="8">
        <f>+VLOOKUP($B1061,NIFTY_PHARMA!$B$63:$K$1238,10,0)</f>
        <v>-1.0325736994715173E-2</v>
      </c>
      <c r="Y1061" s="8">
        <f>+VLOOKUP($B1061,NIFTY_FMCG!$B$63:$K$1238,10,0)</f>
        <v>1.1843686448511637E-3</v>
      </c>
      <c r="Z1061" s="8">
        <f>+VLOOKUP($B1061,NIFTY_METAL!$B$63:$K$1238,10,0)</f>
        <v>0.248123181721422</v>
      </c>
      <c r="AA1061" s="8">
        <f>+VLOOKUP($B1061,NIFTY_ENERGY!$B$63:$K$1238,10,0)</f>
        <v>2.0166206257548058E-2</v>
      </c>
      <c r="AB1061" s="8">
        <f>+VLOOKUP($B1061,NIFTY_AUTO!$B$63:$K$1238,10,0)</f>
        <v>-5.0653618780335918E-2</v>
      </c>
      <c r="AC1061" s="8">
        <f>+VLOOKUP($B1061,EBBETF0430!$B$63:$K$1238,10,0)</f>
        <v>1.5260023818975785</v>
      </c>
      <c r="AD1061" s="16">
        <f t="shared" si="589"/>
        <v>0.11151796928208532</v>
      </c>
      <c r="AE1061" s="8">
        <f t="shared" si="590"/>
        <v>0.16542335083807369</v>
      </c>
      <c r="AF1061" s="8">
        <f t="shared" si="591"/>
        <v>0.11764809086648498</v>
      </c>
      <c r="AG1061" s="8">
        <f t="shared" si="592"/>
        <v>0.10700265297606935</v>
      </c>
      <c r="AH1061" s="8">
        <f t="shared" si="593"/>
        <v>8.220379405673317E-2</v>
      </c>
      <c r="AI1061" s="8">
        <f t="shared" si="594"/>
        <v>0.18339667032764992</v>
      </c>
      <c r="AJ1061" s="8">
        <f t="shared" si="595"/>
        <v>0.1296095489796549</v>
      </c>
      <c r="AK1061" s="8">
        <f t="shared" si="596"/>
        <v>0.1436784333901083</v>
      </c>
      <c r="AL1061" s="8">
        <f t="shared" si="610"/>
        <v>1.9132206159970428E-2</v>
      </c>
      <c r="AM1061" s="17">
        <f t="shared" si="573"/>
        <v>8.9671647218619484</v>
      </c>
      <c r="AN1061" s="13">
        <f t="shared" si="574"/>
        <v>6.0450957796088902</v>
      </c>
      <c r="AO1061" s="13">
        <f t="shared" si="575"/>
        <v>8.4999254355505673</v>
      </c>
      <c r="AP1061" s="13">
        <f t="shared" si="576"/>
        <v>9.3455626770641409</v>
      </c>
      <c r="AQ1061" s="13">
        <f t="shared" si="577"/>
        <v>12.164888634092087</v>
      </c>
      <c r="AR1061" s="13">
        <f t="shared" si="578"/>
        <v>5.4526616988925474</v>
      </c>
      <c r="AS1061" s="13">
        <f t="shared" si="579"/>
        <v>7.7154809030079425</v>
      </c>
      <c r="AT1061" s="13">
        <f t="shared" si="580"/>
        <v>6.9599868011147601</v>
      </c>
      <c r="AU1061" s="13">
        <f t="shared" si="609"/>
        <v>52.267887542015991</v>
      </c>
      <c r="AV1061" s="18">
        <f t="shared" si="597"/>
        <v>4</v>
      </c>
      <c r="AW1061" s="18">
        <f t="shared" si="598"/>
        <v>8</v>
      </c>
      <c r="AX1061" s="18">
        <f t="shared" si="599"/>
        <v>5</v>
      </c>
      <c r="AY1061" s="18">
        <f t="shared" si="600"/>
        <v>3</v>
      </c>
      <c r="AZ1061" s="18">
        <f t="shared" si="601"/>
        <v>2</v>
      </c>
      <c r="BA1061" s="18">
        <f t="shared" si="602"/>
        <v>9</v>
      </c>
      <c r="BB1061" s="18">
        <f t="shared" si="603"/>
        <v>6</v>
      </c>
      <c r="BC1061" s="18">
        <f t="shared" si="604"/>
        <v>7</v>
      </c>
      <c r="BD1061" s="18">
        <f t="shared" si="605"/>
        <v>1</v>
      </c>
      <c r="BE1061" s="8">
        <f t="shared" si="608"/>
        <v>5.9770971131627576E-3</v>
      </c>
    </row>
    <row r="1062" spans="1:57" x14ac:dyDescent="0.25">
      <c r="A1062" t="str">
        <f t="shared" si="607"/>
        <v/>
      </c>
      <c r="B1062" s="1">
        <v>44302</v>
      </c>
      <c r="C1062" s="9">
        <f t="shared" si="581"/>
        <v>0.32399626114026869</v>
      </c>
      <c r="D1062" s="9">
        <f t="shared" si="582"/>
        <v>0</v>
      </c>
      <c r="E1062" s="9">
        <f t="shared" si="583"/>
        <v>0</v>
      </c>
      <c r="F1062" s="9">
        <f t="shared" si="584"/>
        <v>0.35112499205491748</v>
      </c>
      <c r="G1062" s="9">
        <f t="shared" si="585"/>
        <v>0.32487874680481382</v>
      </c>
      <c r="H1062" s="9">
        <f t="shared" si="586"/>
        <v>0</v>
      </c>
      <c r="I1062" s="9">
        <f t="shared" si="587"/>
        <v>0</v>
      </c>
      <c r="J1062" s="9">
        <f t="shared" si="588"/>
        <v>0</v>
      </c>
      <c r="K1062" s="9">
        <v>0</v>
      </c>
      <c r="L1062" s="8">
        <f>+VLOOKUP($B1062,NIFTY_50!$B$3:$I$1238,8,0)</f>
        <v>2.4963223822047631E-3</v>
      </c>
      <c r="M1062" s="8">
        <f>+VLOOKUP($B1062,NIFTY_BANK!$B$3:$I$41238,8,0)</f>
        <v>-4.2163806700432627E-3</v>
      </c>
      <c r="N1062" s="8">
        <f>+VLOOKUP($B1062,NIFTY_IT!$B$3:$I$1238,8,0)</f>
        <v>1.2073807661033831E-2</v>
      </c>
      <c r="O1062" s="8">
        <f>+VLOOKUP($B1062,NIFTY_PHARMA!$B$3:$I$1238,8,0)</f>
        <v>1.9034345752114712E-2</v>
      </c>
      <c r="P1062" s="8">
        <f>+VLOOKUP($B1062,NIFTY_FMCG!$B$3:$I$1238,8,0)</f>
        <v>5.6133254084125284E-3</v>
      </c>
      <c r="Q1062" s="8">
        <f>+VLOOKUP($B1062,NIFTY_METAL!$B$3:$I$1238,8,0)</f>
        <v>8.3116351521905774E-3</v>
      </c>
      <c r="R1062" s="8">
        <f>+VLOOKUP($B1062,NIFTY_ENERGY!$B$3:$I$1238,8,0)</f>
        <v>3.3405223924662941E-3</v>
      </c>
      <c r="S1062" s="8">
        <f>+VLOOKUP($B1062,NIFTY_AUTO!$B$3:$I$1238,8,0)</f>
        <v>1.2124088758648011E-2</v>
      </c>
      <c r="T1062" s="8">
        <f>+VLOOKUP($B1062,EBBETF0430!$B$3:$I$1238,8,0)</f>
        <v>6.0184740987567764E-4</v>
      </c>
      <c r="U1062" s="8">
        <f>+VLOOKUP($B1062,NIFTY_50!$B$63:$K$1238,10,0)</f>
        <v>1.5244320206089235E-3</v>
      </c>
      <c r="V1062" s="8">
        <f>+VLOOKUP($B1062,NIFTY_BANK!$B$63:$K$1238,10,0)</f>
        <v>-1.6676019957102994E-2</v>
      </c>
      <c r="W1062" s="8">
        <f>+VLOOKUP($B1062,NIFTY_IT!$B$63:$K$1238,10,0)</f>
        <v>-2.3758091342472087E-2</v>
      </c>
      <c r="X1062" s="8">
        <f>+VLOOKUP($B1062,NIFTY_PHARMA!$B$63:$K$1238,10,0)</f>
        <v>1.2847108078184455E-4</v>
      </c>
      <c r="Y1062" s="8">
        <f>+VLOOKUP($B1062,NIFTY_FMCG!$B$63:$K$1238,10,0)</f>
        <v>-9.330470651297551E-4</v>
      </c>
      <c r="Z1062" s="8">
        <f>+VLOOKUP($B1062,NIFTY_METAL!$B$63:$K$1238,10,0)</f>
        <v>0.27143430636003907</v>
      </c>
      <c r="AA1062" s="8">
        <f>+VLOOKUP($B1062,NIFTY_ENERGY!$B$63:$K$1238,10,0)</f>
        <v>9.7145347323619458E-3</v>
      </c>
      <c r="AB1062" s="8">
        <f>+VLOOKUP($B1062,NIFTY_AUTO!$B$63:$K$1238,10,0)</f>
        <v>-4.1935672914448552E-2</v>
      </c>
      <c r="AC1062" s="8">
        <f>+VLOOKUP($B1062,EBBETF0430!$B$63:$K$1238,10,0)</f>
        <v>-0.76017412202144785</v>
      </c>
      <c r="AD1062" s="16">
        <f t="shared" si="589"/>
        <v>0.11152549716598803</v>
      </c>
      <c r="AE1062" s="8">
        <f t="shared" si="590"/>
        <v>0.16546799864931239</v>
      </c>
      <c r="AF1062" s="8">
        <f t="shared" si="591"/>
        <v>0.11830182527680341</v>
      </c>
      <c r="AG1062" s="8">
        <f t="shared" si="592"/>
        <v>0.10835762190639243</v>
      </c>
      <c r="AH1062" s="8">
        <f t="shared" si="593"/>
        <v>8.203193389359123E-2</v>
      </c>
      <c r="AI1062" s="8">
        <f t="shared" si="594"/>
        <v>0.18289204753373534</v>
      </c>
      <c r="AJ1062" s="8">
        <f t="shared" si="595"/>
        <v>0.12895458472822313</v>
      </c>
      <c r="AK1062" s="8">
        <f t="shared" si="596"/>
        <v>0.14419839720180563</v>
      </c>
      <c r="AL1062" s="8">
        <f t="shared" si="610"/>
        <v>1.8879993985831598E-2</v>
      </c>
      <c r="AM1062" s="17">
        <f t="shared" si="573"/>
        <v>8.9665594452509669</v>
      </c>
      <c r="AN1062" s="13">
        <f t="shared" si="574"/>
        <v>6.0434646467161794</v>
      </c>
      <c r="AO1062" s="13">
        <f t="shared" si="575"/>
        <v>8.4529549536551372</v>
      </c>
      <c r="AP1062" s="13">
        <f t="shared" si="576"/>
        <v>9.2287001357770304</v>
      </c>
      <c r="AQ1062" s="13">
        <f t="shared" si="577"/>
        <v>12.190374559463182</v>
      </c>
      <c r="AR1062" s="13">
        <f t="shared" si="578"/>
        <v>5.4677062971562229</v>
      </c>
      <c r="AS1062" s="13">
        <f t="shared" si="579"/>
        <v>7.7546680647883859</v>
      </c>
      <c r="AT1062" s="13">
        <f t="shared" si="580"/>
        <v>6.934889842086803</v>
      </c>
      <c r="AU1062" s="13">
        <f t="shared" si="609"/>
        <v>52.966118567116347</v>
      </c>
      <c r="AV1062" s="18">
        <f t="shared" si="597"/>
        <v>4</v>
      </c>
      <c r="AW1062" s="18">
        <f t="shared" si="598"/>
        <v>8</v>
      </c>
      <c r="AX1062" s="18">
        <f t="shared" si="599"/>
        <v>5</v>
      </c>
      <c r="AY1062" s="18">
        <f t="shared" si="600"/>
        <v>3</v>
      </c>
      <c r="AZ1062" s="18">
        <f t="shared" si="601"/>
        <v>2</v>
      </c>
      <c r="BA1062" s="18">
        <f t="shared" si="602"/>
        <v>9</v>
      </c>
      <c r="BB1062" s="18">
        <f t="shared" si="603"/>
        <v>6</v>
      </c>
      <c r="BC1062" s="18">
        <f t="shared" si="604"/>
        <v>7</v>
      </c>
      <c r="BD1062" s="18">
        <f t="shared" si="605"/>
        <v>1</v>
      </c>
      <c r="BE1062" s="8">
        <f t="shared" si="608"/>
        <v>9.2638833756400075E-3</v>
      </c>
    </row>
    <row r="1063" spans="1:57" x14ac:dyDescent="0.25">
      <c r="A1063" t="str">
        <f t="shared" si="607"/>
        <v/>
      </c>
      <c r="B1063" s="1">
        <v>44305</v>
      </c>
      <c r="C1063" s="9">
        <f t="shared" si="581"/>
        <v>0.32091922906110915</v>
      </c>
      <c r="D1063" s="9">
        <f t="shared" si="582"/>
        <v>0</v>
      </c>
      <c r="E1063" s="9">
        <f t="shared" si="583"/>
        <v>0</v>
      </c>
      <c r="F1063" s="9">
        <f t="shared" si="584"/>
        <v>0.35463739721664367</v>
      </c>
      <c r="G1063" s="9">
        <f t="shared" si="585"/>
        <v>0.32444337372224719</v>
      </c>
      <c r="H1063" s="9">
        <f t="shared" si="586"/>
        <v>0</v>
      </c>
      <c r="I1063" s="9">
        <f t="shared" si="587"/>
        <v>0</v>
      </c>
      <c r="J1063" s="9">
        <f t="shared" si="588"/>
        <v>0</v>
      </c>
      <c r="K1063" s="9">
        <v>0</v>
      </c>
      <c r="L1063" s="8">
        <f>+VLOOKUP($B1063,NIFTY_50!$B$3:$I$1238,8,0)</f>
        <v>-1.7677018166146197E-2</v>
      </c>
      <c r="M1063" s="8">
        <f>+VLOOKUP($B1063,NIFTY_BANK!$B$3:$I$41238,8,0)</f>
        <v>-2.4049760065296022E-2</v>
      </c>
      <c r="N1063" s="8">
        <f>+VLOOKUP($B1063,NIFTY_IT!$B$3:$I$1238,8,0)</f>
        <v>-3.3428427078545653E-3</v>
      </c>
      <c r="O1063" s="8">
        <f>+VLOOKUP($B1063,NIFTY_PHARMA!$B$3:$I$1238,8,0)</f>
        <v>1.662353363431901E-3</v>
      </c>
      <c r="P1063" s="8">
        <f>+VLOOKUP($B1063,NIFTY_FMCG!$B$3:$I$1238,8,0)</f>
        <v>-9.5873687170313637E-3</v>
      </c>
      <c r="Q1063" s="8">
        <f>+VLOOKUP($B1063,NIFTY_METAL!$B$3:$I$1238,8,0)</f>
        <v>-1.5313486693730227E-2</v>
      </c>
      <c r="R1063" s="8">
        <f>+VLOOKUP($B1063,NIFTY_ENERGY!$B$3:$I$1238,8,0)</f>
        <v>-2.7089212798574014E-2</v>
      </c>
      <c r="S1063" s="8">
        <f>+VLOOKUP($B1063,NIFTY_AUTO!$B$3:$I$1238,8,0)</f>
        <v>-2.821912641006441E-2</v>
      </c>
      <c r="T1063" s="8">
        <f>+VLOOKUP($B1063,EBBETF0430!$B$3:$I$1238,8,0)</f>
        <v>-5.8405104780512307E-4</v>
      </c>
      <c r="U1063" s="8">
        <f>+VLOOKUP($B1063,NIFTY_50!$B$63:$K$1238,10,0)</f>
        <v>-5.1442111170385552E-3</v>
      </c>
      <c r="V1063" s="8">
        <f>+VLOOKUP($B1063,NIFTY_BANK!$B$63:$K$1238,10,0)</f>
        <v>-3.2201644814369157E-2</v>
      </c>
      <c r="W1063" s="8">
        <f>+VLOOKUP($B1063,NIFTY_IT!$B$63:$K$1238,10,0)</f>
        <v>-4.7756687453531788E-3</v>
      </c>
      <c r="X1063" s="8">
        <f>+VLOOKUP($B1063,NIFTY_PHARMA!$B$63:$K$1238,10,0)</f>
        <v>1.859500163282557E-2</v>
      </c>
      <c r="Y1063" s="8">
        <f>+VLOOKUP($B1063,NIFTY_FMCG!$B$63:$K$1238,10,0)</f>
        <v>-3.206752516961564E-3</v>
      </c>
      <c r="Z1063" s="8">
        <f>+VLOOKUP($B1063,NIFTY_METAL!$B$63:$K$1238,10,0)</f>
        <v>0.26584810750474763</v>
      </c>
      <c r="AA1063" s="8">
        <f>+VLOOKUP($B1063,NIFTY_ENERGY!$B$63:$K$1238,10,0)</f>
        <v>9.6303280366538679E-4</v>
      </c>
      <c r="AB1063" s="8">
        <f>+VLOOKUP($B1063,NIFTY_AUTO!$B$63:$K$1238,10,0)</f>
        <v>-6.3483096391342309E-2</v>
      </c>
      <c r="AC1063" s="8">
        <f>+VLOOKUP($B1063,EBBETF0430!$B$63:$K$1238,10,0)</f>
        <v>-0.532978546482621</v>
      </c>
      <c r="AD1063" s="16">
        <f t="shared" si="589"/>
        <v>0.11237584898861369</v>
      </c>
      <c r="AE1063" s="8">
        <f t="shared" si="590"/>
        <v>0.16697879935002211</v>
      </c>
      <c r="AF1063" s="8">
        <f t="shared" si="591"/>
        <v>0.11623916401825746</v>
      </c>
      <c r="AG1063" s="8">
        <f t="shared" si="592"/>
        <v>0.10706542568478826</v>
      </c>
      <c r="AH1063" s="8">
        <f t="shared" si="593"/>
        <v>8.2265115041523312E-2</v>
      </c>
      <c r="AI1063" s="8">
        <f t="shared" si="594"/>
        <v>0.18330319613867663</v>
      </c>
      <c r="AJ1063" s="8">
        <f t="shared" si="595"/>
        <v>0.13046692729330855</v>
      </c>
      <c r="AK1063" s="8">
        <f t="shared" si="596"/>
        <v>0.14670780656059165</v>
      </c>
      <c r="AL1063" s="8">
        <f t="shared" si="610"/>
        <v>1.8838233689359704E-2</v>
      </c>
      <c r="AM1063" s="17">
        <f t="shared" si="573"/>
        <v>8.8987091888518091</v>
      </c>
      <c r="AN1063" s="13">
        <f t="shared" si="574"/>
        <v>5.9887842282527926</v>
      </c>
      <c r="AO1063" s="13">
        <f t="shared" si="575"/>
        <v>8.6029524424567612</v>
      </c>
      <c r="AP1063" s="13">
        <f t="shared" si="576"/>
        <v>9.3400833518759256</v>
      </c>
      <c r="AQ1063" s="13">
        <f t="shared" si="577"/>
        <v>12.155820842106039</v>
      </c>
      <c r="AR1063" s="13">
        <f t="shared" si="578"/>
        <v>5.4554422457721774</v>
      </c>
      <c r="AS1063" s="13">
        <f t="shared" si="579"/>
        <v>7.6647777390499519</v>
      </c>
      <c r="AT1063" s="13">
        <f t="shared" si="580"/>
        <v>6.8162698594160425</v>
      </c>
      <c r="AU1063" s="13">
        <f t="shared" si="609"/>
        <v>53.083533015349765</v>
      </c>
      <c r="AV1063" s="18">
        <f t="shared" si="597"/>
        <v>4</v>
      </c>
      <c r="AW1063" s="18">
        <f t="shared" si="598"/>
        <v>8</v>
      </c>
      <c r="AX1063" s="18">
        <f t="shared" si="599"/>
        <v>5</v>
      </c>
      <c r="AY1063" s="18">
        <f t="shared" si="600"/>
        <v>3</v>
      </c>
      <c r="AZ1063" s="18">
        <f t="shared" si="601"/>
        <v>2</v>
      </c>
      <c r="BA1063" s="18">
        <f t="shared" si="602"/>
        <v>9</v>
      </c>
      <c r="BB1063" s="18">
        <f t="shared" si="603"/>
        <v>6</v>
      </c>
      <c r="BC1063" s="18">
        <f t="shared" si="604"/>
        <v>7</v>
      </c>
      <c r="BD1063" s="18">
        <f t="shared" si="605"/>
        <v>1</v>
      </c>
      <c r="BE1063" s="8">
        <f t="shared" si="608"/>
        <v>-8.25832631635731E-3</v>
      </c>
    </row>
    <row r="1064" spans="1:57" x14ac:dyDescent="0.25">
      <c r="A1064" t="str">
        <f t="shared" si="607"/>
        <v/>
      </c>
      <c r="B1064" s="1">
        <v>44306</v>
      </c>
      <c r="C1064" s="9">
        <f t="shared" si="581"/>
        <v>0.31917023063432803</v>
      </c>
      <c r="D1064" s="9">
        <f t="shared" si="582"/>
        <v>0</v>
      </c>
      <c r="E1064" s="9">
        <f t="shared" si="583"/>
        <v>0</v>
      </c>
      <c r="F1064" s="9">
        <f t="shared" si="584"/>
        <v>0.35882058637413466</v>
      </c>
      <c r="G1064" s="9">
        <f t="shared" si="585"/>
        <v>0.32200918299153736</v>
      </c>
      <c r="H1064" s="9">
        <f t="shared" si="586"/>
        <v>0</v>
      </c>
      <c r="I1064" s="9">
        <f t="shared" si="587"/>
        <v>0</v>
      </c>
      <c r="J1064" s="9">
        <f t="shared" si="588"/>
        <v>0</v>
      </c>
      <c r="K1064" s="9">
        <v>0</v>
      </c>
      <c r="L1064" s="8">
        <f>+VLOOKUP($B1064,NIFTY_50!$B$3:$I$1238,8,0)</f>
        <v>-4.3908366963916201E-3</v>
      </c>
      <c r="M1064" s="8">
        <f>+VLOOKUP($B1064,NIFTY_BANK!$B$3:$I$41238,8,0)</f>
        <v>-3.0664821009728227E-3</v>
      </c>
      <c r="N1064" s="8">
        <f>+VLOOKUP($B1064,NIFTY_IT!$B$3:$I$1238,8,0)</f>
        <v>-1.3694453231898662E-2</v>
      </c>
      <c r="O1064" s="8">
        <f>+VLOOKUP($B1064,NIFTY_PHARMA!$B$3:$I$1238,8,0)</f>
        <v>1.2873173031588747E-2</v>
      </c>
      <c r="P1064" s="8">
        <f>+VLOOKUP($B1064,NIFTY_FMCG!$B$3:$I$1238,8,0)</f>
        <v>-6.4457255424549276E-3</v>
      </c>
      <c r="Q1064" s="8">
        <f>+VLOOKUP($B1064,NIFTY_METAL!$B$3:$I$1238,8,0)</f>
        <v>4.191383614667421E-3</v>
      </c>
      <c r="R1064" s="8">
        <f>+VLOOKUP($B1064,NIFTY_ENERGY!$B$3:$I$1238,8,0)</f>
        <v>-9.0737566792931101E-4</v>
      </c>
      <c r="S1064" s="8">
        <f>+VLOOKUP($B1064,NIFTY_AUTO!$B$3:$I$1238,8,0)</f>
        <v>1.0338695887077032E-2</v>
      </c>
      <c r="T1064" s="8">
        <f>+VLOOKUP($B1064,EBBETF0430!$B$3:$I$1238,8,0)</f>
        <v>1.4827865921218653E-4</v>
      </c>
      <c r="U1064" s="8">
        <f>+VLOOKUP($B1064,NIFTY_50!$B$63:$K$1238,10,0)</f>
        <v>1.0573267139546427E-3</v>
      </c>
      <c r="V1064" s="8">
        <f>+VLOOKUP($B1064,NIFTY_BANK!$B$63:$K$1238,10,0)</f>
        <v>-2.197458486251147E-2</v>
      </c>
      <c r="W1064" s="8">
        <f>+VLOOKUP($B1064,NIFTY_IT!$B$63:$K$1238,10,0)</f>
        <v>-1.4913423045387342E-3</v>
      </c>
      <c r="X1064" s="8">
        <f>+VLOOKUP($B1064,NIFTY_PHARMA!$B$63:$K$1238,10,0)</f>
        <v>6.1121428853676774E-2</v>
      </c>
      <c r="Y1064" s="8">
        <f>+VLOOKUP($B1064,NIFTY_FMCG!$B$63:$K$1238,10,0)</f>
        <v>-5.9806653653248221E-3</v>
      </c>
      <c r="Z1064" s="8">
        <f>+VLOOKUP($B1064,NIFTY_METAL!$B$63:$K$1238,10,0)</f>
        <v>0.32519268550702729</v>
      </c>
      <c r="AA1064" s="8">
        <f>+VLOOKUP($B1064,NIFTY_ENERGY!$B$63:$K$1238,10,0)</f>
        <v>8.2118512274174105E-3</v>
      </c>
      <c r="AB1064" s="8">
        <f>+VLOOKUP($B1064,NIFTY_AUTO!$B$63:$K$1238,10,0)</f>
        <v>-3.3169027517041205E-2</v>
      </c>
      <c r="AC1064" s="8">
        <f>+VLOOKUP($B1064,EBBETF0430!$B$63:$K$1238,10,0)</f>
        <v>0.19966091107839201</v>
      </c>
      <c r="AD1064" s="16">
        <f t="shared" si="589"/>
        <v>0.11196102126663604</v>
      </c>
      <c r="AE1064" s="8">
        <f t="shared" si="590"/>
        <v>0.16647518063963843</v>
      </c>
      <c r="AF1064" s="8">
        <f t="shared" si="591"/>
        <v>0.11580923879903228</v>
      </c>
      <c r="AG1064" s="8">
        <f t="shared" si="592"/>
        <v>0.10392876540170733</v>
      </c>
      <c r="AH1064" s="8">
        <f t="shared" si="593"/>
        <v>8.2434786556587175E-2</v>
      </c>
      <c r="AI1064" s="8">
        <f t="shared" si="594"/>
        <v>0.17761921272506997</v>
      </c>
      <c r="AJ1064" s="8">
        <f t="shared" si="595"/>
        <v>0.13020714598119795</v>
      </c>
      <c r="AK1064" s="8">
        <f t="shared" si="596"/>
        <v>0.14565422669117073</v>
      </c>
      <c r="AL1064" s="8">
        <f t="shared" si="610"/>
        <v>1.8822110640063588E-2</v>
      </c>
      <c r="AM1064" s="17">
        <f t="shared" si="573"/>
        <v>8.9316798711445493</v>
      </c>
      <c r="AN1064" s="13">
        <f t="shared" si="574"/>
        <v>6.0069014261330427</v>
      </c>
      <c r="AO1064" s="13">
        <f t="shared" si="575"/>
        <v>8.6348896717586943</v>
      </c>
      <c r="AP1064" s="13">
        <f t="shared" si="576"/>
        <v>9.6219751686145987</v>
      </c>
      <c r="AQ1064" s="13">
        <f t="shared" si="577"/>
        <v>12.130801106806436</v>
      </c>
      <c r="AR1064" s="13">
        <f t="shared" si="578"/>
        <v>5.6300215762574171</v>
      </c>
      <c r="AS1064" s="13">
        <f t="shared" si="579"/>
        <v>7.6800700335172163</v>
      </c>
      <c r="AT1064" s="13">
        <f t="shared" si="580"/>
        <v>6.8655748804344032</v>
      </c>
      <c r="AU1064" s="13">
        <f t="shared" si="609"/>
        <v>53.129004452426365</v>
      </c>
      <c r="AV1064" s="18">
        <f t="shared" si="597"/>
        <v>4</v>
      </c>
      <c r="AW1064" s="18">
        <f t="shared" si="598"/>
        <v>8</v>
      </c>
      <c r="AX1064" s="18">
        <f t="shared" si="599"/>
        <v>5</v>
      </c>
      <c r="AY1064" s="18">
        <f t="shared" si="600"/>
        <v>3</v>
      </c>
      <c r="AZ1064" s="18">
        <f t="shared" si="601"/>
        <v>2</v>
      </c>
      <c r="BA1064" s="18">
        <f t="shared" si="602"/>
        <v>9</v>
      </c>
      <c r="BB1064" s="18">
        <f t="shared" si="603"/>
        <v>6</v>
      </c>
      <c r="BC1064" s="18">
        <f t="shared" si="604"/>
        <v>7</v>
      </c>
      <c r="BD1064" s="18">
        <f t="shared" si="605"/>
        <v>1</v>
      </c>
      <c r="BE1064" s="8">
        <f t="shared" si="608"/>
        <v>1.0649317092211591E-3</v>
      </c>
    </row>
    <row r="1065" spans="1:57" x14ac:dyDescent="0.25">
      <c r="A1065" t="str">
        <f t="shared" si="607"/>
        <v/>
      </c>
      <c r="B1065" s="1">
        <v>44308</v>
      </c>
      <c r="C1065" s="9">
        <f t="shared" si="581"/>
        <v>0.32201033289208747</v>
      </c>
      <c r="D1065" s="9">
        <f t="shared" si="582"/>
        <v>0</v>
      </c>
      <c r="E1065" s="9">
        <f t="shared" si="583"/>
        <v>0</v>
      </c>
      <c r="F1065" s="9">
        <f t="shared" si="584"/>
        <v>0.35797262521527978</v>
      </c>
      <c r="G1065" s="9">
        <f t="shared" si="585"/>
        <v>0.32001704189263286</v>
      </c>
      <c r="H1065" s="9">
        <f t="shared" si="586"/>
        <v>0</v>
      </c>
      <c r="I1065" s="9">
        <f t="shared" si="587"/>
        <v>0</v>
      </c>
      <c r="J1065" s="9">
        <f t="shared" si="588"/>
        <v>0</v>
      </c>
      <c r="K1065" s="9">
        <v>0</v>
      </c>
      <c r="L1065" s="8">
        <f>+VLOOKUP($B1065,NIFTY_50!$B$3:$I$1238,8,0)</f>
        <v>7.6767577851766244E-3</v>
      </c>
      <c r="M1065" s="8">
        <f>+VLOOKUP($B1065,NIFTY_BANK!$B$3:$I$41238,8,0)</f>
        <v>2.1531400360624398E-2</v>
      </c>
      <c r="N1065" s="8">
        <f>+VLOOKUP($B1065,NIFTY_IT!$B$3:$I$1238,8,0)</f>
        <v>-1.9669521130243339E-3</v>
      </c>
      <c r="O1065" s="8">
        <f>+VLOOKUP($B1065,NIFTY_PHARMA!$B$3:$I$1238,8,0)</f>
        <v>-3.5711891799297124E-3</v>
      </c>
      <c r="P1065" s="8">
        <f>+VLOOKUP($B1065,NIFTY_FMCG!$B$3:$I$1238,8,0)</f>
        <v>-7.3899669062439388E-3</v>
      </c>
      <c r="Q1065" s="8">
        <f>+VLOOKUP($B1065,NIFTY_METAL!$B$3:$I$1238,8,0)</f>
        <v>1.7448225526867978E-2</v>
      </c>
      <c r="R1065" s="8">
        <f>+VLOOKUP($B1065,NIFTY_ENERGY!$B$3:$I$1238,8,0)</f>
        <v>1.6693576288779877E-3</v>
      </c>
      <c r="S1065" s="8">
        <f>+VLOOKUP($B1065,NIFTY_AUTO!$B$3:$I$1238,8,0)</f>
        <v>1.4381093793802702E-3</v>
      </c>
      <c r="T1065" s="8">
        <f>+VLOOKUP($B1065,EBBETF0430!$B$3:$I$1238,8,0)</f>
        <v>-1.4302408734935268E-3</v>
      </c>
      <c r="U1065" s="8">
        <f>+VLOOKUP($B1065,NIFTY_50!$B$63:$K$1238,10,0)</f>
        <v>-7.9194829610602646E-3</v>
      </c>
      <c r="V1065" s="8">
        <f>+VLOOKUP($B1065,NIFTY_BANK!$B$63:$K$1238,10,0)</f>
        <v>-1.980733912415944E-2</v>
      </c>
      <c r="W1065" s="8">
        <f>+VLOOKUP($B1065,NIFTY_IT!$B$63:$K$1238,10,0)</f>
        <v>-8.3245339528097428E-3</v>
      </c>
      <c r="X1065" s="8">
        <f>+VLOOKUP($B1065,NIFTY_PHARMA!$B$63:$K$1238,10,0)</f>
        <v>3.9864604909821022E-2</v>
      </c>
      <c r="Y1065" s="8">
        <f>+VLOOKUP($B1065,NIFTY_FMCG!$B$63:$K$1238,10,0)</f>
        <v>-1.7795806963965433E-2</v>
      </c>
      <c r="Z1065" s="8">
        <f>+VLOOKUP($B1065,NIFTY_METAL!$B$63:$K$1238,10,0)</f>
        <v>0.31002584282861512</v>
      </c>
      <c r="AA1065" s="8">
        <f>+VLOOKUP($B1065,NIFTY_ENERGY!$B$63:$K$1238,10,0)</f>
        <v>-8.4253548381572063E-3</v>
      </c>
      <c r="AB1065" s="8">
        <f>+VLOOKUP($B1065,NIFTY_AUTO!$B$63:$K$1238,10,0)</f>
        <v>-4.8560689764028053E-2</v>
      </c>
      <c r="AC1065" s="8">
        <f>+VLOOKUP($B1065,EBBETF0430!$B$63:$K$1238,10,0)</f>
        <v>-0.49199862341908285</v>
      </c>
      <c r="AD1065" s="16">
        <f t="shared" si="589"/>
        <v>0.11096380434204342</v>
      </c>
      <c r="AE1065" s="8">
        <f t="shared" si="590"/>
        <v>0.1667533858473248</v>
      </c>
      <c r="AF1065" s="8">
        <f t="shared" si="591"/>
        <v>0.11572356927871134</v>
      </c>
      <c r="AG1065" s="8">
        <f t="shared" si="592"/>
        <v>0.10280182988415489</v>
      </c>
      <c r="AH1065" s="8">
        <f t="shared" si="593"/>
        <v>8.2619870800044848E-2</v>
      </c>
      <c r="AI1065" s="8">
        <f t="shared" si="594"/>
        <v>0.17638472590463899</v>
      </c>
      <c r="AJ1065" s="8">
        <f t="shared" si="595"/>
        <v>0.12891815193727846</v>
      </c>
      <c r="AK1065" s="8">
        <f t="shared" si="596"/>
        <v>0.14453207406492996</v>
      </c>
      <c r="AL1065" s="8">
        <f t="shared" si="610"/>
        <v>1.8864463428708705E-2</v>
      </c>
      <c r="AM1065" s="17">
        <f t="shared" si="573"/>
        <v>9.0119476880724321</v>
      </c>
      <c r="AN1065" s="13">
        <f t="shared" si="574"/>
        <v>5.9968797330182841</v>
      </c>
      <c r="AO1065" s="13">
        <f t="shared" si="575"/>
        <v>8.6412820329761573</v>
      </c>
      <c r="AP1065" s="13">
        <f t="shared" si="576"/>
        <v>9.7274533062969599</v>
      </c>
      <c r="AQ1065" s="13">
        <f t="shared" si="577"/>
        <v>12.103625802322814</v>
      </c>
      <c r="AR1065" s="13">
        <f t="shared" si="578"/>
        <v>5.6694251436524166</v>
      </c>
      <c r="AS1065" s="13">
        <f t="shared" si="579"/>
        <v>7.7568595653350831</v>
      </c>
      <c r="AT1065" s="13">
        <f t="shared" si="580"/>
        <v>6.9188794699698102</v>
      </c>
      <c r="AU1065" s="13">
        <f t="shared" si="609"/>
        <v>53.00972401251336</v>
      </c>
      <c r="AV1065" s="18">
        <f t="shared" si="597"/>
        <v>4</v>
      </c>
      <c r="AW1065" s="18">
        <f t="shared" si="598"/>
        <v>8</v>
      </c>
      <c r="AX1065" s="18">
        <f t="shared" si="599"/>
        <v>5</v>
      </c>
      <c r="AY1065" s="18">
        <f t="shared" si="600"/>
        <v>3</v>
      </c>
      <c r="AZ1065" s="18">
        <f t="shared" si="601"/>
        <v>2</v>
      </c>
      <c r="BA1065" s="18">
        <f t="shared" si="602"/>
        <v>9</v>
      </c>
      <c r="BB1065" s="18">
        <f t="shared" si="603"/>
        <v>6</v>
      </c>
      <c r="BC1065" s="18">
        <f t="shared" si="604"/>
        <v>7</v>
      </c>
      <c r="BD1065" s="18">
        <f t="shared" si="605"/>
        <v>1</v>
      </c>
      <c r="BE1065" s="8">
        <f t="shared" si="608"/>
        <v>-1.2108608485907576E-3</v>
      </c>
    </row>
    <row r="1066" spans="1:57" x14ac:dyDescent="0.25">
      <c r="A1066" t="str">
        <f t="shared" si="607"/>
        <v/>
      </c>
      <c r="B1066" s="1">
        <v>44309</v>
      </c>
      <c r="C1066" s="9">
        <f t="shared" si="581"/>
        <v>0.32250073177606486</v>
      </c>
      <c r="D1066" s="9">
        <f t="shared" si="582"/>
        <v>0</v>
      </c>
      <c r="E1066" s="9">
        <f t="shared" si="583"/>
        <v>0</v>
      </c>
      <c r="F1066" s="9">
        <f t="shared" si="584"/>
        <v>0.35854416050270138</v>
      </c>
      <c r="G1066" s="9">
        <f t="shared" si="585"/>
        <v>0.3189551077212337</v>
      </c>
      <c r="H1066" s="9">
        <f t="shared" si="586"/>
        <v>0</v>
      </c>
      <c r="I1066" s="9">
        <f t="shared" si="587"/>
        <v>0</v>
      </c>
      <c r="J1066" s="9">
        <f t="shared" si="588"/>
        <v>0</v>
      </c>
      <c r="K1066" s="9">
        <v>0</v>
      </c>
      <c r="L1066" s="8">
        <f>+VLOOKUP($B1066,NIFTY_50!$B$3:$I$1238,8,0)</f>
        <v>-4.4980789454502901E-3</v>
      </c>
      <c r="M1066" s="8">
        <f>+VLOOKUP($B1066,NIFTY_BANK!$B$3:$I$41238,8,0)</f>
        <v>-1.8972645409752742E-3</v>
      </c>
      <c r="N1066" s="8">
        <f>+VLOOKUP($B1066,NIFTY_IT!$B$3:$I$1238,8,0)</f>
        <v>-8.4253892289762877E-3</v>
      </c>
      <c r="O1066" s="8">
        <f>+VLOOKUP($B1066,NIFTY_PHARMA!$B$3:$I$1238,8,0)</f>
        <v>-4.4248614427888633E-3</v>
      </c>
      <c r="P1066" s="8">
        <f>+VLOOKUP($B1066,NIFTY_FMCG!$B$3:$I$1238,8,0)</f>
        <v>-9.3102703782418361E-3</v>
      </c>
      <c r="Q1066" s="8">
        <f>+VLOOKUP($B1066,NIFTY_METAL!$B$3:$I$1238,8,0)</f>
        <v>-3.1495886480304991E-3</v>
      </c>
      <c r="R1066" s="8">
        <f>+VLOOKUP($B1066,NIFTY_ENERGY!$B$3:$I$1238,8,0)</f>
        <v>9.5993598507853051E-3</v>
      </c>
      <c r="S1066" s="8">
        <f>+VLOOKUP($B1066,NIFTY_AUTO!$B$3:$I$1238,8,0)</f>
        <v>-4.9354298541661734E-3</v>
      </c>
      <c r="T1066" s="8">
        <f>+VLOOKUP($B1066,EBBETF0430!$B$3:$I$1238,8,0)</f>
        <v>1.2052191228102416E-3</v>
      </c>
      <c r="U1066" s="8">
        <f>+VLOOKUP($B1066,NIFTY_50!$B$63:$K$1238,10,0)</f>
        <v>-2.0713978435884628E-2</v>
      </c>
      <c r="V1066" s="8">
        <f>+VLOOKUP($B1066,NIFTY_BANK!$B$63:$K$1238,10,0)</f>
        <v>-2.5239908184994331E-2</v>
      </c>
      <c r="W1066" s="8">
        <f>+VLOOKUP($B1066,NIFTY_IT!$B$63:$K$1238,10,0)</f>
        <v>-3.7964364737393841E-2</v>
      </c>
      <c r="X1066" s="8">
        <f>+VLOOKUP($B1066,NIFTY_PHARMA!$B$63:$K$1238,10,0)</f>
        <v>3.4045741080023451E-2</v>
      </c>
      <c r="Y1066" s="8">
        <f>+VLOOKUP($B1066,NIFTY_FMCG!$B$63:$K$1238,10,0)</f>
        <v>-2.5407921029551805E-2</v>
      </c>
      <c r="Z1066" s="8">
        <f>+VLOOKUP($B1066,NIFTY_METAL!$B$63:$K$1238,10,0)</f>
        <v>0.29381728251382033</v>
      </c>
      <c r="AA1066" s="8">
        <f>+VLOOKUP($B1066,NIFTY_ENERGY!$B$63:$K$1238,10,0)</f>
        <v>-3.3302455629875549E-3</v>
      </c>
      <c r="AB1066" s="8">
        <f>+VLOOKUP($B1066,NIFTY_AUTO!$B$63:$K$1238,10,0)</f>
        <v>-7.4479832196156837E-2</v>
      </c>
      <c r="AC1066" s="8">
        <f>+VLOOKUP($B1066,EBBETF0430!$B$63:$K$1238,10,0)</f>
        <v>-0.48414698859113825</v>
      </c>
      <c r="AD1066" s="16">
        <f t="shared" si="589"/>
        <v>0.11071254075385116</v>
      </c>
      <c r="AE1066" s="8">
        <f t="shared" si="590"/>
        <v>0.16671897237123939</v>
      </c>
      <c r="AF1066" s="8">
        <f t="shared" si="591"/>
        <v>0.11382657586914578</v>
      </c>
      <c r="AG1066" s="8">
        <f t="shared" si="592"/>
        <v>0.10292738192521596</v>
      </c>
      <c r="AH1066" s="8">
        <f t="shared" si="593"/>
        <v>8.3099819866241847E-2</v>
      </c>
      <c r="AI1066" s="8">
        <f t="shared" si="594"/>
        <v>0.17649053017530417</v>
      </c>
      <c r="AJ1066" s="8">
        <f t="shared" si="595"/>
        <v>0.12919723131440394</v>
      </c>
      <c r="AK1066" s="8">
        <f t="shared" si="596"/>
        <v>0.1426162061590476</v>
      </c>
      <c r="AL1066" s="8">
        <f t="shared" si="610"/>
        <v>1.8886336763663851E-2</v>
      </c>
      <c r="AM1066" s="17">
        <f t="shared" si="573"/>
        <v>9.0324004235736481</v>
      </c>
      <c r="AN1066" s="13">
        <f t="shared" si="574"/>
        <v>5.9981175854015127</v>
      </c>
      <c r="AO1066" s="13">
        <f t="shared" si="575"/>
        <v>8.7852945796207802</v>
      </c>
      <c r="AP1066" s="13">
        <f t="shared" si="576"/>
        <v>9.7155876433986332</v>
      </c>
      <c r="AQ1066" s="13">
        <f t="shared" si="577"/>
        <v>12.033720429353616</v>
      </c>
      <c r="AR1066" s="13">
        <f t="shared" si="578"/>
        <v>5.6660263811702647</v>
      </c>
      <c r="AS1066" s="13">
        <f t="shared" si="579"/>
        <v>7.7401039467051795</v>
      </c>
      <c r="AT1066" s="13">
        <f t="shared" si="580"/>
        <v>7.011825843163896</v>
      </c>
      <c r="AU1066" s="13">
        <f t="shared" si="609"/>
        <v>52.948330452517318</v>
      </c>
      <c r="AV1066" s="18">
        <f t="shared" si="597"/>
        <v>4</v>
      </c>
      <c r="AW1066" s="18">
        <f t="shared" si="598"/>
        <v>8</v>
      </c>
      <c r="AX1066" s="18">
        <f t="shared" si="599"/>
        <v>5</v>
      </c>
      <c r="AY1066" s="18">
        <f t="shared" si="600"/>
        <v>3</v>
      </c>
      <c r="AZ1066" s="18">
        <f t="shared" si="601"/>
        <v>2</v>
      </c>
      <c r="BA1066" s="18">
        <f t="shared" si="602"/>
        <v>9</v>
      </c>
      <c r="BB1066" s="18">
        <f t="shared" si="603"/>
        <v>6</v>
      </c>
      <c r="BC1066" s="18">
        <f t="shared" si="604"/>
        <v>7</v>
      </c>
      <c r="BD1066" s="18">
        <f t="shared" si="605"/>
        <v>1</v>
      </c>
      <c r="BE1066" s="8">
        <f t="shared" si="608"/>
        <v>-6.011852351153894E-3</v>
      </c>
    </row>
    <row r="1067" spans="1:57" x14ac:dyDescent="0.25">
      <c r="A1067" t="str">
        <f t="shared" si="607"/>
        <v/>
      </c>
      <c r="B1067" s="1">
        <v>44312</v>
      </c>
      <c r="C1067" s="9">
        <f t="shared" si="581"/>
        <v>0.32526569002747918</v>
      </c>
      <c r="D1067" s="9">
        <f t="shared" si="582"/>
        <v>0</v>
      </c>
      <c r="E1067" s="9">
        <f t="shared" si="583"/>
        <v>0</v>
      </c>
      <c r="F1067" s="9">
        <f t="shared" si="584"/>
        <v>0.35491654734487055</v>
      </c>
      <c r="G1067" s="9">
        <f t="shared" si="585"/>
        <v>0.31981776262765022</v>
      </c>
      <c r="H1067" s="9">
        <f t="shared" si="586"/>
        <v>0</v>
      </c>
      <c r="I1067" s="9">
        <f t="shared" si="587"/>
        <v>0</v>
      </c>
      <c r="J1067" s="9">
        <f t="shared" si="588"/>
        <v>0</v>
      </c>
      <c r="K1067" s="9">
        <v>0</v>
      </c>
      <c r="L1067" s="8">
        <f>+VLOOKUP($B1067,NIFTY_50!$B$3:$I$1238,8,0)</f>
        <v>1.0016490776670217E-2</v>
      </c>
      <c r="M1067" s="8">
        <f>+VLOOKUP($B1067,NIFTY_BANK!$B$3:$I$41238,8,0)</f>
        <v>1.7427803154248078E-2</v>
      </c>
      <c r="N1067" s="8">
        <f>+VLOOKUP($B1067,NIFTY_IT!$B$3:$I$1238,8,0)</f>
        <v>2.7802617038474864E-3</v>
      </c>
      <c r="O1067" s="8">
        <f>+VLOOKUP($B1067,NIFTY_PHARMA!$B$3:$I$1238,8,0)</f>
        <v>-8.7013645150997299E-3</v>
      </c>
      <c r="P1067" s="8">
        <f>+VLOOKUP($B1067,NIFTY_FMCG!$B$3:$I$1238,8,0)</f>
        <v>4.1392274825728936E-3</v>
      </c>
      <c r="Q1067" s="8">
        <f>+VLOOKUP($B1067,NIFTY_METAL!$B$3:$I$1238,8,0)</f>
        <v>2.0115362560014338E-2</v>
      </c>
      <c r="R1067" s="8">
        <f>+VLOOKUP($B1067,NIFTY_ENERGY!$B$3:$I$1238,8,0)</f>
        <v>7.8288487087816439E-3</v>
      </c>
      <c r="S1067" s="8">
        <f>+VLOOKUP($B1067,NIFTY_AUTO!$B$3:$I$1238,8,0)</f>
        <v>4.6368898452111562E-3</v>
      </c>
      <c r="T1067" s="8">
        <f>+VLOOKUP($B1067,EBBETF0430!$B$3:$I$1238,8,0)</f>
        <v>1.2561060711790972E-3</v>
      </c>
      <c r="U1067" s="8">
        <f>+VLOOKUP($B1067,NIFTY_50!$B$63:$K$1238,10,0)</f>
        <v>-7.2205258955405638E-3</v>
      </c>
      <c r="V1067" s="8">
        <f>+VLOOKUP($B1067,NIFTY_BANK!$B$63:$K$1238,10,0)</f>
        <v>2.7417986820725826E-3</v>
      </c>
      <c r="W1067" s="8">
        <f>+VLOOKUP($B1067,NIFTY_IT!$B$63:$K$1238,10,0)</f>
        <v>-2.9105695052769165E-2</v>
      </c>
      <c r="X1067" s="8">
        <f>+VLOOKUP($B1067,NIFTY_PHARMA!$B$63:$K$1238,10,0)</f>
        <v>3.9906593211862518E-2</v>
      </c>
      <c r="Y1067" s="8">
        <f>+VLOOKUP($B1067,NIFTY_FMCG!$B$63:$K$1238,10,0)</f>
        <v>-1.8226146852822644E-2</v>
      </c>
      <c r="Z1067" s="8">
        <f>+VLOOKUP($B1067,NIFTY_METAL!$B$63:$K$1238,10,0)</f>
        <v>0.34922594173371202</v>
      </c>
      <c r="AA1067" s="8">
        <f>+VLOOKUP($B1067,NIFTY_ENERGY!$B$63:$K$1238,10,0)</f>
        <v>6.3111508384976478E-3</v>
      </c>
      <c r="AB1067" s="8">
        <f>+VLOOKUP($B1067,NIFTY_AUTO!$B$63:$K$1238,10,0)</f>
        <v>-7.0053772515733859E-2</v>
      </c>
      <c r="AC1067" s="8">
        <f>+VLOOKUP($B1067,EBBETF0430!$B$63:$K$1238,10,0)</f>
        <v>-0.85918987341772146</v>
      </c>
      <c r="AD1067" s="16">
        <f t="shared" si="589"/>
        <v>0.11111884904722785</v>
      </c>
      <c r="AE1067" s="8">
        <f t="shared" si="590"/>
        <v>0.16726173541617831</v>
      </c>
      <c r="AF1067" s="8">
        <f t="shared" si="591"/>
        <v>0.11371867226318261</v>
      </c>
      <c r="AG1067" s="8">
        <f t="shared" si="592"/>
        <v>0.10226431841812185</v>
      </c>
      <c r="AH1067" s="8">
        <f t="shared" si="593"/>
        <v>8.3167997305679531E-2</v>
      </c>
      <c r="AI1067" s="8">
        <f t="shared" si="594"/>
        <v>0.17514150367939066</v>
      </c>
      <c r="AJ1067" s="8">
        <f t="shared" si="595"/>
        <v>0.12940924916708824</v>
      </c>
      <c r="AK1067" s="8">
        <f t="shared" si="596"/>
        <v>0.14272708108253682</v>
      </c>
      <c r="AL1067" s="8">
        <f t="shared" si="610"/>
        <v>1.8916222847304088E-2</v>
      </c>
      <c r="AM1067" s="17">
        <f t="shared" si="573"/>
        <v>8.9993732708208576</v>
      </c>
      <c r="AN1067" s="13">
        <f t="shared" si="574"/>
        <v>5.9786537399711532</v>
      </c>
      <c r="AO1067" s="13">
        <f t="shared" si="575"/>
        <v>8.7936306333727625</v>
      </c>
      <c r="AP1067" s="13">
        <f t="shared" si="576"/>
        <v>9.7785817719075911</v>
      </c>
      <c r="AQ1067" s="13">
        <f t="shared" si="577"/>
        <v>12.023855718498949</v>
      </c>
      <c r="AR1067" s="13">
        <f t="shared" si="578"/>
        <v>5.70966891908484</v>
      </c>
      <c r="AS1067" s="13">
        <f t="shared" si="579"/>
        <v>7.7274229348849595</v>
      </c>
      <c r="AT1067" s="13">
        <f t="shared" si="580"/>
        <v>7.0063788344533986</v>
      </c>
      <c r="AU1067" s="13">
        <f t="shared" si="609"/>
        <v>52.864676424686891</v>
      </c>
      <c r="AV1067" s="18">
        <f t="shared" si="597"/>
        <v>4</v>
      </c>
      <c r="AW1067" s="18">
        <f t="shared" si="598"/>
        <v>8</v>
      </c>
      <c r="AX1067" s="18">
        <f t="shared" si="599"/>
        <v>5</v>
      </c>
      <c r="AY1067" s="18">
        <f t="shared" si="600"/>
        <v>3</v>
      </c>
      <c r="AZ1067" s="18">
        <f t="shared" si="601"/>
        <v>2</v>
      </c>
      <c r="BA1067" s="18">
        <f t="shared" si="602"/>
        <v>9</v>
      </c>
      <c r="BB1067" s="18">
        <f t="shared" si="603"/>
        <v>6</v>
      </c>
      <c r="BC1067" s="18">
        <f t="shared" si="604"/>
        <v>7</v>
      </c>
      <c r="BD1067" s="18">
        <f t="shared" si="605"/>
        <v>1</v>
      </c>
      <c r="BE1067" s="8">
        <f t="shared" si="608"/>
        <v>1.4307299175966494E-3</v>
      </c>
    </row>
    <row r="1068" spans="1:57" x14ac:dyDescent="0.25">
      <c r="A1068" t="str">
        <f t="shared" si="607"/>
        <v/>
      </c>
      <c r="B1068" s="1">
        <v>44313</v>
      </c>
      <c r="C1068" s="9">
        <f t="shared" si="581"/>
        <v>0.32654861339320612</v>
      </c>
      <c r="D1068" s="9">
        <f t="shared" si="582"/>
        <v>0</v>
      </c>
      <c r="E1068" s="9">
        <f t="shared" si="583"/>
        <v>0</v>
      </c>
      <c r="F1068" s="9">
        <f t="shared" si="584"/>
        <v>0.35470819833646827</v>
      </c>
      <c r="G1068" s="9">
        <f t="shared" si="585"/>
        <v>0.31874318827032561</v>
      </c>
      <c r="H1068" s="9">
        <f t="shared" si="586"/>
        <v>0</v>
      </c>
      <c r="I1068" s="9">
        <f t="shared" si="587"/>
        <v>0</v>
      </c>
      <c r="J1068" s="9">
        <f t="shared" si="588"/>
        <v>0</v>
      </c>
      <c r="K1068" s="9">
        <v>0</v>
      </c>
      <c r="L1068" s="8">
        <f>+VLOOKUP($B1068,NIFTY_50!$B$3:$I$1238,8,0)</f>
        <v>1.1601656886434109E-2</v>
      </c>
      <c r="M1068" s="8">
        <f>+VLOOKUP($B1068,NIFTY_BANK!$B$3:$I$41238,8,0)</f>
        <v>1.4258647907135824E-2</v>
      </c>
      <c r="N1068" s="8">
        <f>+VLOOKUP($B1068,NIFTY_IT!$B$3:$I$1238,8,0)</f>
        <v>5.274471092627353E-3</v>
      </c>
      <c r="O1068" s="8">
        <f>+VLOOKUP($B1068,NIFTY_PHARMA!$B$3:$I$1238,8,0)</f>
        <v>7.0358266717660545E-3</v>
      </c>
      <c r="P1068" s="8">
        <f>+VLOOKUP($B1068,NIFTY_FMCG!$B$3:$I$1238,8,0)</f>
        <v>4.2417549319813119E-3</v>
      </c>
      <c r="Q1068" s="8">
        <f>+VLOOKUP($B1068,NIFTY_METAL!$B$3:$I$1238,8,0)</f>
        <v>2.7103586623459686E-2</v>
      </c>
      <c r="R1068" s="8">
        <f>+VLOOKUP($B1068,NIFTY_ENERGY!$B$3:$I$1238,8,0)</f>
        <v>1.15530410183875E-2</v>
      </c>
      <c r="S1068" s="8">
        <f>+VLOOKUP($B1068,NIFTY_AUTO!$B$3:$I$1238,8,0)</f>
        <v>6.923232501335308E-3</v>
      </c>
      <c r="T1068" s="8">
        <f>+VLOOKUP($B1068,EBBETF0430!$B$3:$I$1238,8,0)</f>
        <v>-7.2309729579034254E-4</v>
      </c>
      <c r="U1068" s="8">
        <f>+VLOOKUP($B1068,NIFTY_50!$B$63:$K$1238,10,0)</f>
        <v>1.9562479560809587E-2</v>
      </c>
      <c r="V1068" s="8">
        <f>+VLOOKUP($B1068,NIFTY_BANK!$B$63:$K$1238,10,0)</f>
        <v>5.0312427307510177E-2</v>
      </c>
      <c r="W1068" s="8">
        <f>+VLOOKUP($B1068,NIFTY_IT!$B$63:$K$1238,10,0)</f>
        <v>-2.5443803735407111E-2</v>
      </c>
      <c r="X1068" s="8">
        <f>+VLOOKUP($B1068,NIFTY_PHARMA!$B$63:$K$1238,10,0)</f>
        <v>6.0169349630444735E-2</v>
      </c>
      <c r="Y1068" s="8">
        <f>+VLOOKUP($B1068,NIFTY_FMCG!$B$63:$K$1238,10,0)</f>
        <v>-1.2226149641449635E-2</v>
      </c>
      <c r="Z1068" s="8">
        <f>+VLOOKUP($B1068,NIFTY_METAL!$B$63:$K$1238,10,0)</f>
        <v>0.44184499218617046</v>
      </c>
      <c r="AA1068" s="8">
        <f>+VLOOKUP($B1068,NIFTY_ENERGY!$B$63:$K$1238,10,0)</f>
        <v>3.5886858480399519E-2</v>
      </c>
      <c r="AB1068" s="8">
        <f>+VLOOKUP($B1068,NIFTY_AUTO!$B$63:$K$1238,10,0)</f>
        <v>-7.6803111493602527E-2</v>
      </c>
      <c r="AC1068" s="8">
        <f>+VLOOKUP($B1068,EBBETF0430!$B$63:$K$1238,10,0)</f>
        <v>-0.75614171192138613</v>
      </c>
      <c r="AD1068" s="16">
        <f t="shared" si="589"/>
        <v>0.1106670382665835</v>
      </c>
      <c r="AE1068" s="8">
        <f t="shared" si="590"/>
        <v>0.16467123351809826</v>
      </c>
      <c r="AF1068" s="8">
        <f t="shared" si="591"/>
        <v>0.11384258950432656</v>
      </c>
      <c r="AG1068" s="8">
        <f t="shared" si="592"/>
        <v>0.10160859972647396</v>
      </c>
      <c r="AH1068" s="8">
        <f t="shared" si="593"/>
        <v>8.3269637809175387E-2</v>
      </c>
      <c r="AI1068" s="8">
        <f t="shared" si="594"/>
        <v>0.17071584762727104</v>
      </c>
      <c r="AJ1068" s="8">
        <f t="shared" si="595"/>
        <v>0.1286560619969733</v>
      </c>
      <c r="AK1068" s="8">
        <f t="shared" si="596"/>
        <v>0.14212300734784761</v>
      </c>
      <c r="AL1068" s="8">
        <f t="shared" si="610"/>
        <v>1.8934268166099857E-2</v>
      </c>
      <c r="AM1068" s="17">
        <f t="shared" si="573"/>
        <v>9.036114236572601</v>
      </c>
      <c r="AN1068" s="13">
        <f t="shared" si="574"/>
        <v>6.072706074009548</v>
      </c>
      <c r="AO1068" s="13">
        <f t="shared" si="575"/>
        <v>8.7840587986800429</v>
      </c>
      <c r="AP1068" s="13">
        <f t="shared" si="576"/>
        <v>9.8416866553811158</v>
      </c>
      <c r="AQ1068" s="13">
        <f t="shared" si="577"/>
        <v>12.009179171544458</v>
      </c>
      <c r="AR1068" s="13">
        <f t="shared" si="578"/>
        <v>5.8576869921492563</v>
      </c>
      <c r="AS1068" s="13">
        <f t="shared" si="579"/>
        <v>7.7726613459031997</v>
      </c>
      <c r="AT1068" s="13">
        <f t="shared" si="580"/>
        <v>7.0361584564031148</v>
      </c>
      <c r="AU1068" s="13">
        <f t="shared" si="609"/>
        <v>52.814293704280168</v>
      </c>
      <c r="AV1068" s="18">
        <f t="shared" si="597"/>
        <v>4</v>
      </c>
      <c r="AW1068" s="18">
        <f t="shared" si="598"/>
        <v>8</v>
      </c>
      <c r="AX1068" s="18">
        <f t="shared" si="599"/>
        <v>5</v>
      </c>
      <c r="AY1068" s="18">
        <f t="shared" si="600"/>
        <v>3</v>
      </c>
      <c r="AZ1068" s="18">
        <f t="shared" si="601"/>
        <v>2</v>
      </c>
      <c r="BA1068" s="18">
        <f t="shared" si="602"/>
        <v>9</v>
      </c>
      <c r="BB1068" s="18">
        <f t="shared" si="603"/>
        <v>6</v>
      </c>
      <c r="BC1068" s="18">
        <f t="shared" si="604"/>
        <v>7</v>
      </c>
      <c r="BD1068" s="18">
        <f t="shared" si="605"/>
        <v>1</v>
      </c>
      <c r="BE1068" s="8">
        <f t="shared" si="608"/>
        <v>7.6273408146492697E-3</v>
      </c>
    </row>
    <row r="1069" spans="1:57" x14ac:dyDescent="0.25">
      <c r="A1069" t="str">
        <f t="shared" si="607"/>
        <v/>
      </c>
      <c r="B1069" s="1">
        <v>44314</v>
      </c>
      <c r="C1069" s="9">
        <f t="shared" si="581"/>
        <v>0.32972291276992616</v>
      </c>
      <c r="D1069" s="9">
        <f t="shared" si="582"/>
        <v>0</v>
      </c>
      <c r="E1069" s="9">
        <f t="shared" si="583"/>
        <v>0</v>
      </c>
      <c r="F1069" s="9">
        <f t="shared" si="584"/>
        <v>0.35189721650617795</v>
      </c>
      <c r="G1069" s="9">
        <f t="shared" si="585"/>
        <v>0.31837987072389573</v>
      </c>
      <c r="H1069" s="9">
        <f t="shared" si="586"/>
        <v>0</v>
      </c>
      <c r="I1069" s="9">
        <f t="shared" si="587"/>
        <v>0</v>
      </c>
      <c r="J1069" s="9">
        <f t="shared" si="588"/>
        <v>0</v>
      </c>
      <c r="K1069" s="9">
        <v>0</v>
      </c>
      <c r="L1069" s="8">
        <f>+VLOOKUP($B1069,NIFTY_50!$B$3:$I$1238,8,0)</f>
        <v>1.4433855067716328E-2</v>
      </c>
      <c r="M1069" s="8">
        <f>+VLOOKUP($B1069,NIFTY_BANK!$B$3:$I$41238,8,0)</f>
        <v>3.016463853296214E-2</v>
      </c>
      <c r="N1069" s="8">
        <f>+VLOOKUP($B1069,NIFTY_IT!$B$3:$I$1238,8,0)</f>
        <v>5.6690198812738846E-3</v>
      </c>
      <c r="O1069" s="8">
        <f>+VLOOKUP($B1069,NIFTY_PHARMA!$B$3:$I$1238,8,0)</f>
        <v>-3.2940380168086092E-3</v>
      </c>
      <c r="P1069" s="8">
        <f>+VLOOKUP($B1069,NIFTY_FMCG!$B$3:$I$1238,8,0)</f>
        <v>3.522560707570177E-3</v>
      </c>
      <c r="Q1069" s="8">
        <f>+VLOOKUP($B1069,NIFTY_METAL!$B$3:$I$1238,8,0)</f>
        <v>-3.047700810216214E-3</v>
      </c>
      <c r="R1069" s="8">
        <f>+VLOOKUP($B1069,NIFTY_ENERGY!$B$3:$I$1238,8,0)</f>
        <v>6.23070383462343E-3</v>
      </c>
      <c r="S1069" s="8">
        <f>+VLOOKUP($B1069,NIFTY_AUTO!$B$3:$I$1238,8,0)</f>
        <v>1.6820831874085673E-2</v>
      </c>
      <c r="T1069" s="8">
        <f>+VLOOKUP($B1069,EBBETF0430!$B$3:$I$1238,8,0)</f>
        <v>-9.8517013801091569E-4</v>
      </c>
      <c r="U1069" s="8">
        <f>+VLOOKUP($B1069,NIFTY_50!$B$63:$K$1238,10,0)</f>
        <v>4.3939489707772283E-2</v>
      </c>
      <c r="V1069" s="8">
        <f>+VLOOKUP($B1069,NIFTY_BANK!$B$63:$K$1238,10,0)</f>
        <v>8.091440586696752E-2</v>
      </c>
      <c r="W1069" s="8">
        <f>+VLOOKUP($B1069,NIFTY_IT!$B$63:$K$1238,10,0)</f>
        <v>-2.3517386342239988E-3</v>
      </c>
      <c r="X1069" s="8">
        <f>+VLOOKUP($B1069,NIFTY_PHARMA!$B$63:$K$1238,10,0)</f>
        <v>3.8897054500558692E-2</v>
      </c>
      <c r="Y1069" s="8">
        <f>+VLOOKUP($B1069,NIFTY_FMCG!$B$63:$K$1238,10,0)</f>
        <v>-1.4468117477016706E-3</v>
      </c>
      <c r="Z1069" s="8">
        <f>+VLOOKUP($B1069,NIFTY_METAL!$B$63:$K$1238,10,0)</f>
        <v>0.43527430593106442</v>
      </c>
      <c r="AA1069" s="8">
        <f>+VLOOKUP($B1069,NIFTY_ENERGY!$B$63:$K$1238,10,0)</f>
        <v>7.263762274702934E-2</v>
      </c>
      <c r="AB1069" s="8">
        <f>+VLOOKUP($B1069,NIFTY_AUTO!$B$63:$K$1238,10,0)</f>
        <v>-5.3864954233957874E-2</v>
      </c>
      <c r="AC1069" s="8">
        <f>+VLOOKUP($B1069,EBBETF0430!$B$63:$K$1238,10,0)</f>
        <v>0.18729438457175274</v>
      </c>
      <c r="AD1069" s="16">
        <f t="shared" si="589"/>
        <v>0.11108956133328363</v>
      </c>
      <c r="AE1069" s="8">
        <f t="shared" si="590"/>
        <v>0.16718780260236282</v>
      </c>
      <c r="AF1069" s="8">
        <f t="shared" si="591"/>
        <v>0.11264115340932558</v>
      </c>
      <c r="AG1069" s="8">
        <f t="shared" si="592"/>
        <v>0.10038920036105028</v>
      </c>
      <c r="AH1069" s="8">
        <f t="shared" si="593"/>
        <v>8.303019811482501E-2</v>
      </c>
      <c r="AI1069" s="8">
        <f t="shared" si="594"/>
        <v>0.17090245169578316</v>
      </c>
      <c r="AJ1069" s="8">
        <f t="shared" si="595"/>
        <v>0.12539814474327154</v>
      </c>
      <c r="AK1069" s="8">
        <f t="shared" si="596"/>
        <v>0.14306288222324498</v>
      </c>
      <c r="AL1069" s="8">
        <f t="shared" si="610"/>
        <v>1.8967351184250331E-2</v>
      </c>
      <c r="AM1069" s="17">
        <f t="shared" si="573"/>
        <v>9.0017458706121403</v>
      </c>
      <c r="AN1069" s="13">
        <f t="shared" si="574"/>
        <v>5.9812975853171917</v>
      </c>
      <c r="AO1069" s="13">
        <f t="shared" si="575"/>
        <v>8.8777500028440741</v>
      </c>
      <c r="AP1069" s="13">
        <f t="shared" si="576"/>
        <v>9.9612308535529195</v>
      </c>
      <c r="AQ1069" s="13">
        <f t="shared" si="577"/>
        <v>12.043810838763378</v>
      </c>
      <c r="AR1069" s="13">
        <f t="shared" si="578"/>
        <v>5.8512911317390657</v>
      </c>
      <c r="AS1069" s="13">
        <f t="shared" si="579"/>
        <v>7.9745996405872406</v>
      </c>
      <c r="AT1069" s="13">
        <f t="shared" si="580"/>
        <v>6.9899332689210922</v>
      </c>
      <c r="AU1069" s="13">
        <f t="shared" si="609"/>
        <v>52.722174555947319</v>
      </c>
      <c r="AV1069" s="18">
        <f t="shared" si="597"/>
        <v>4</v>
      </c>
      <c r="AW1069" s="18">
        <f t="shared" si="598"/>
        <v>8</v>
      </c>
      <c r="AX1069" s="18">
        <f t="shared" si="599"/>
        <v>5</v>
      </c>
      <c r="AY1069" s="18">
        <f t="shared" si="600"/>
        <v>3</v>
      </c>
      <c r="AZ1069" s="18">
        <f t="shared" si="601"/>
        <v>2</v>
      </c>
      <c r="BA1069" s="18">
        <f t="shared" si="602"/>
        <v>9</v>
      </c>
      <c r="BB1069" s="18">
        <f t="shared" si="603"/>
        <v>6</v>
      </c>
      <c r="BC1069" s="18">
        <f t="shared" si="604"/>
        <v>7</v>
      </c>
      <c r="BD1069" s="18">
        <f t="shared" si="605"/>
        <v>1</v>
      </c>
      <c r="BE1069" s="8">
        <f t="shared" si="608"/>
        <v>4.6677252988939454E-3</v>
      </c>
    </row>
    <row r="1070" spans="1:57" x14ac:dyDescent="0.25">
      <c r="A1070" t="str">
        <f t="shared" si="607"/>
        <v/>
      </c>
      <c r="B1070" s="1">
        <v>44315</v>
      </c>
      <c r="C1070" s="9">
        <f t="shared" si="581"/>
        <v>0.33014330060521108</v>
      </c>
      <c r="D1070" s="9">
        <f t="shared" si="582"/>
        <v>0</v>
      </c>
      <c r="E1070" s="9">
        <f t="shared" si="583"/>
        <v>0</v>
      </c>
      <c r="F1070" s="9">
        <f t="shared" si="584"/>
        <v>0.35284044712111678</v>
      </c>
      <c r="G1070" s="9">
        <f t="shared" si="585"/>
        <v>0.31701625227367214</v>
      </c>
      <c r="H1070" s="9">
        <f t="shared" si="586"/>
        <v>0</v>
      </c>
      <c r="I1070" s="9">
        <f t="shared" si="587"/>
        <v>0</v>
      </c>
      <c r="J1070" s="9">
        <f t="shared" si="588"/>
        <v>0</v>
      </c>
      <c r="K1070" s="9">
        <v>0</v>
      </c>
      <c r="L1070" s="8">
        <f>+VLOOKUP($B1070,NIFTY_50!$B$3:$I$1238,8,0)</f>
        <v>2.0417705211392967E-3</v>
      </c>
      <c r="M1070" s="8">
        <f>+VLOOKUP($B1070,NIFTY_BANK!$B$3:$I$41238,8,0)</f>
        <v>-2.4612428386738827E-4</v>
      </c>
      <c r="N1070" s="8">
        <f>+VLOOKUP($B1070,NIFTY_IT!$B$3:$I$1238,8,0)</f>
        <v>-3.3818527777028651E-3</v>
      </c>
      <c r="O1070" s="8">
        <f>+VLOOKUP($B1070,NIFTY_PHARMA!$B$3:$I$1238,8,0)</f>
        <v>3.4482888715341442E-3</v>
      </c>
      <c r="P1070" s="8">
        <f>+VLOOKUP($B1070,NIFTY_FMCG!$B$3:$I$1238,8,0)</f>
        <v>-3.5204509927730943E-3</v>
      </c>
      <c r="Q1070" s="8">
        <f>+VLOOKUP($B1070,NIFTY_METAL!$B$3:$I$1238,8,0)</f>
        <v>4.5263237209502538E-2</v>
      </c>
      <c r="R1070" s="8">
        <f>+VLOOKUP($B1070,NIFTY_ENERGY!$B$3:$I$1238,8,0)</f>
        <v>4.0298822718529692E-3</v>
      </c>
      <c r="S1070" s="8">
        <f>+VLOOKUP($B1070,NIFTY_AUTO!$B$3:$I$1238,8,0)</f>
        <v>-9.9073089196169972E-3</v>
      </c>
      <c r="T1070" s="8">
        <f>+VLOOKUP($B1070,EBBETF0430!$B$3:$I$1238,8,0)</f>
        <v>8.4651097846188961E-4</v>
      </c>
      <c r="U1070" s="8">
        <f>+VLOOKUP($B1070,NIFTY_50!$B$63:$K$1238,10,0)</f>
        <v>6.6396993019509631E-2</v>
      </c>
      <c r="V1070" s="8">
        <f>+VLOOKUP($B1070,NIFTY_BANK!$B$63:$K$1238,10,0)</f>
        <v>0.11325742003760997</v>
      </c>
      <c r="W1070" s="8">
        <f>+VLOOKUP($B1070,NIFTY_IT!$B$63:$K$1238,10,0)</f>
        <v>3.4795652863106596E-4</v>
      </c>
      <c r="X1070" s="8">
        <f>+VLOOKUP($B1070,NIFTY_PHARMA!$B$63:$K$1238,10,0)</f>
        <v>6.4241071071311495E-2</v>
      </c>
      <c r="Y1070" s="8">
        <f>+VLOOKUP($B1070,NIFTY_FMCG!$B$63:$K$1238,10,0)</f>
        <v>-7.9459998716505664E-3</v>
      </c>
      <c r="Z1070" s="8">
        <f>+VLOOKUP($B1070,NIFTY_METAL!$B$63:$K$1238,10,0)</f>
        <v>0.53901990617471784</v>
      </c>
      <c r="AA1070" s="8">
        <f>+VLOOKUP($B1070,NIFTY_ENERGY!$B$63:$K$1238,10,0)</f>
        <v>9.5869052169217595E-2</v>
      </c>
      <c r="AB1070" s="8">
        <f>+VLOOKUP($B1070,NIFTY_AUTO!$B$63:$K$1238,10,0)</f>
        <v>-4.2756053965377849E-2</v>
      </c>
      <c r="AC1070" s="8">
        <f>+VLOOKUP($B1070,EBBETF0430!$B$63:$K$1238,10,0)</f>
        <v>-0.37071240105540892</v>
      </c>
      <c r="AD1070" s="16">
        <f t="shared" si="589"/>
        <v>0.10927227439802711</v>
      </c>
      <c r="AE1070" s="8">
        <f t="shared" si="590"/>
        <v>0.16429440438505616</v>
      </c>
      <c r="AF1070" s="8">
        <f t="shared" si="591"/>
        <v>0.11252613607919387</v>
      </c>
      <c r="AG1070" s="8">
        <f t="shared" si="592"/>
        <v>9.8125192742683012E-2</v>
      </c>
      <c r="AH1070" s="8">
        <f t="shared" si="593"/>
        <v>8.3048717151321366E-2</v>
      </c>
      <c r="AI1070" s="8">
        <f t="shared" si="594"/>
        <v>0.17224718035963374</v>
      </c>
      <c r="AJ1070" s="8">
        <f t="shared" si="595"/>
        <v>0.12402144019583855</v>
      </c>
      <c r="AK1070" s="8">
        <f t="shared" si="596"/>
        <v>0.14185247084983765</v>
      </c>
      <c r="AL1070" s="8">
        <f t="shared" si="610"/>
        <v>1.894750396481271E-2</v>
      </c>
      <c r="AM1070" s="17">
        <f t="shared" si="573"/>
        <v>9.1514522371656124</v>
      </c>
      <c r="AN1070" s="13">
        <f t="shared" si="574"/>
        <v>6.0866345615539279</v>
      </c>
      <c r="AO1070" s="13">
        <f t="shared" si="575"/>
        <v>8.8868242956126924</v>
      </c>
      <c r="AP1070" s="13">
        <f t="shared" si="576"/>
        <v>10.191062784685005</v>
      </c>
      <c r="AQ1070" s="13">
        <f t="shared" si="577"/>
        <v>12.041125188940853</v>
      </c>
      <c r="AR1070" s="13">
        <f t="shared" si="578"/>
        <v>5.8056102742123654</v>
      </c>
      <c r="AS1070" s="13">
        <f t="shared" si="579"/>
        <v>8.0631219764980138</v>
      </c>
      <c r="AT1070" s="13">
        <f t="shared" si="580"/>
        <v>7.0495775928963624</v>
      </c>
      <c r="AU1070" s="13">
        <f t="shared" si="609"/>
        <v>52.777400224171672</v>
      </c>
      <c r="AV1070" s="18">
        <f t="shared" si="597"/>
        <v>4</v>
      </c>
      <c r="AW1070" s="18">
        <f t="shared" si="598"/>
        <v>8</v>
      </c>
      <c r="AX1070" s="18">
        <f t="shared" si="599"/>
        <v>5</v>
      </c>
      <c r="AY1070" s="18">
        <f t="shared" si="600"/>
        <v>3</v>
      </c>
      <c r="AZ1070" s="18">
        <f t="shared" si="601"/>
        <v>2</v>
      </c>
      <c r="BA1070" s="18">
        <f t="shared" si="602"/>
        <v>9</v>
      </c>
      <c r="BB1070" s="18">
        <f t="shared" si="603"/>
        <v>6</v>
      </c>
      <c r="BC1070" s="18">
        <f t="shared" si="604"/>
        <v>7</v>
      </c>
      <c r="BD1070" s="18">
        <f t="shared" si="605"/>
        <v>1</v>
      </c>
      <c r="BE1070" s="8">
        <f t="shared" si="608"/>
        <v>7.6582104707100559E-4</v>
      </c>
    </row>
    <row r="1071" spans="1:57" x14ac:dyDescent="0.25">
      <c r="A1071" t="str">
        <f t="shared" si="607"/>
        <v>Y</v>
      </c>
      <c r="B1071" s="1">
        <v>44316</v>
      </c>
      <c r="C1071" s="9">
        <f t="shared" si="581"/>
        <v>0.25</v>
      </c>
      <c r="D1071" s="9">
        <f t="shared" si="582"/>
        <v>0</v>
      </c>
      <c r="E1071" s="9">
        <f t="shared" si="583"/>
        <v>0</v>
      </c>
      <c r="F1071" s="9">
        <f t="shared" si="584"/>
        <v>0.25</v>
      </c>
      <c r="G1071" s="9">
        <f t="shared" si="585"/>
        <v>0.25</v>
      </c>
      <c r="H1071" s="9">
        <f t="shared" si="586"/>
        <v>0</v>
      </c>
      <c r="I1071" s="9">
        <f t="shared" si="587"/>
        <v>0</v>
      </c>
      <c r="J1071" s="9">
        <f t="shared" si="588"/>
        <v>0</v>
      </c>
      <c r="K1071" s="9">
        <v>0</v>
      </c>
      <c r="L1071" s="8">
        <f>+VLOOKUP($B1071,NIFTY_50!$B$3:$I$1238,8,0)</f>
        <v>-1.7710760058812003E-2</v>
      </c>
      <c r="M1071" s="8">
        <f>+VLOOKUP($B1071,NIFTY_BANK!$B$3:$I$41238,8,0)</f>
        <v>-2.7664654673804967E-2</v>
      </c>
      <c r="N1071" s="8">
        <f>+VLOOKUP($B1071,NIFTY_IT!$B$3:$I$1238,8,0)</f>
        <v>-8.1103643383588775E-3</v>
      </c>
      <c r="O1071" s="8">
        <f>+VLOOKUP($B1071,NIFTY_PHARMA!$B$3:$I$1238,8,0)</f>
        <v>1.2828369796934247E-2</v>
      </c>
      <c r="P1071" s="8">
        <f>+VLOOKUP($B1071,NIFTY_FMCG!$B$3:$I$1238,8,0)</f>
        <v>-1.1336704989855728E-2</v>
      </c>
      <c r="Q1071" s="8">
        <f>+VLOOKUP($B1071,NIFTY_METAL!$B$3:$I$1238,8,0)</f>
        <v>-1.5138096513089838E-3</v>
      </c>
      <c r="R1071" s="8">
        <f>+VLOOKUP($B1071,NIFTY_ENERGY!$B$3:$I$1238,8,0)</f>
        <v>-1.7715674496625589E-3</v>
      </c>
      <c r="S1071" s="8">
        <f>+VLOOKUP($B1071,NIFTY_AUTO!$B$3:$I$1238,8,0)</f>
        <v>-1.3592600550456857E-2</v>
      </c>
      <c r="T1071" s="8">
        <f>+VLOOKUP($B1071,EBBETF0430!$B$3:$I$1238,8,0)</f>
        <v>9.5914897327631365E-5</v>
      </c>
      <c r="U1071" s="8">
        <f>+VLOOKUP($B1071,NIFTY_50!$B$63:$K$1238,10,0)</f>
        <v>5.8878021067410691E-2</v>
      </c>
      <c r="V1071" s="8">
        <f>+VLOOKUP($B1071,NIFTY_BANK!$B$63:$K$1238,10,0)</f>
        <v>7.9829898248584552E-2</v>
      </c>
      <c r="W1071" s="8">
        <f>+VLOOKUP($B1071,NIFTY_IT!$B$63:$K$1238,10,0)</f>
        <v>1.4355021985079874E-2</v>
      </c>
      <c r="X1071" s="8">
        <f>+VLOOKUP($B1071,NIFTY_PHARMA!$B$63:$K$1238,10,0)</f>
        <v>8.6584731303369189E-2</v>
      </c>
      <c r="Y1071" s="8">
        <f>+VLOOKUP($B1071,NIFTY_FMCG!$B$63:$K$1238,10,0)</f>
        <v>-7.137366044285276E-5</v>
      </c>
      <c r="Z1071" s="8">
        <f>+VLOOKUP($B1071,NIFTY_METAL!$B$63:$K$1238,10,0)</f>
        <v>0.5448679137057455</v>
      </c>
      <c r="AA1071" s="8">
        <f>+VLOOKUP($B1071,NIFTY_ENERGY!$B$63:$K$1238,10,0)</f>
        <v>9.5466213034827385E-2</v>
      </c>
      <c r="AB1071" s="8">
        <f>+VLOOKUP($B1071,NIFTY_AUTO!$B$63:$K$1238,10,0)</f>
        <v>-4.5989352438252085E-2</v>
      </c>
      <c r="AC1071" s="8">
        <f>+VLOOKUP($B1071,EBBETF0430!$B$63:$K$1238,10,0)</f>
        <v>1.5541366414302655</v>
      </c>
      <c r="AD1071" s="16">
        <f t="shared" si="589"/>
        <v>0.11024573969780631</v>
      </c>
      <c r="AE1071" s="8">
        <f t="shared" si="590"/>
        <v>0.16690231121863605</v>
      </c>
      <c r="AF1071" s="8">
        <f t="shared" si="591"/>
        <v>0.11066287104968399</v>
      </c>
      <c r="AG1071" s="8">
        <f t="shared" si="592"/>
        <v>9.8367750995388067E-2</v>
      </c>
      <c r="AH1071" s="8">
        <f t="shared" si="593"/>
        <v>8.1609430840251324E-2</v>
      </c>
      <c r="AI1071" s="8">
        <f t="shared" si="594"/>
        <v>0.17201067942883694</v>
      </c>
      <c r="AJ1071" s="8">
        <f t="shared" si="595"/>
        <v>0.12403095110110399</v>
      </c>
      <c r="AK1071" s="8">
        <f t="shared" si="596"/>
        <v>0.14211953263116919</v>
      </c>
      <c r="AL1071" s="8">
        <f t="shared" si="610"/>
        <v>1.8933517663147544E-2</v>
      </c>
      <c r="AM1071" s="17">
        <f t="shared" si="573"/>
        <v>9.0706452942407729</v>
      </c>
      <c r="AN1071" s="13">
        <f t="shared" si="574"/>
        <v>5.9915287733195965</v>
      </c>
      <c r="AO1071" s="13">
        <f t="shared" si="575"/>
        <v>9.0364545083150141</v>
      </c>
      <c r="AP1071" s="13">
        <f t="shared" si="576"/>
        <v>10.165933345847101</v>
      </c>
      <c r="AQ1071" s="13">
        <f t="shared" si="577"/>
        <v>12.253485776141218</v>
      </c>
      <c r="AR1071" s="13">
        <f t="shared" si="578"/>
        <v>5.813592524141578</v>
      </c>
      <c r="AS1071" s="13">
        <f t="shared" si="579"/>
        <v>8.0625036825271845</v>
      </c>
      <c r="AT1071" s="13">
        <f t="shared" si="580"/>
        <v>7.0363304852346751</v>
      </c>
      <c r="AU1071" s="13">
        <f t="shared" si="609"/>
        <v>52.816387202385194</v>
      </c>
      <c r="AV1071" s="18">
        <f t="shared" si="597"/>
        <v>4</v>
      </c>
      <c r="AW1071" s="18">
        <f t="shared" si="598"/>
        <v>8</v>
      </c>
      <c r="AX1071" s="18">
        <f t="shared" si="599"/>
        <v>5</v>
      </c>
      <c r="AY1071" s="18">
        <f t="shared" si="600"/>
        <v>3</v>
      </c>
      <c r="AZ1071" s="18">
        <f t="shared" si="601"/>
        <v>2</v>
      </c>
      <c r="BA1071" s="18">
        <f t="shared" si="602"/>
        <v>9</v>
      </c>
      <c r="BB1071" s="18">
        <f t="shared" si="603"/>
        <v>6</v>
      </c>
      <c r="BC1071" s="18">
        <f t="shared" si="604"/>
        <v>7</v>
      </c>
      <c r="BD1071" s="18">
        <f t="shared" si="605"/>
        <v>1</v>
      </c>
      <c r="BE1071" s="8">
        <f t="shared" si="608"/>
        <v>-4.9146407760741291E-3</v>
      </c>
    </row>
    <row r="1072" spans="1:57" x14ac:dyDescent="0.25">
      <c r="A1072" t="str">
        <f t="shared" si="607"/>
        <v/>
      </c>
      <c r="B1072" s="1">
        <v>44319</v>
      </c>
      <c r="C1072" s="9">
        <f t="shared" si="581"/>
        <v>0.33184634118635958</v>
      </c>
      <c r="D1072" s="9">
        <f t="shared" si="582"/>
        <v>0</v>
      </c>
      <c r="E1072" s="9">
        <f t="shared" si="583"/>
        <v>0</v>
      </c>
      <c r="F1072" s="9">
        <f t="shared" si="584"/>
        <v>0.33271812870577994</v>
      </c>
      <c r="G1072" s="9">
        <f t="shared" si="585"/>
        <v>0.33543553010786042</v>
      </c>
      <c r="H1072" s="9">
        <f t="shared" si="586"/>
        <v>0</v>
      </c>
      <c r="I1072" s="9">
        <f t="shared" si="587"/>
        <v>0</v>
      </c>
      <c r="J1072" s="9">
        <f t="shared" si="588"/>
        <v>0</v>
      </c>
      <c r="K1072" s="9">
        <v>0</v>
      </c>
      <c r="L1072" s="8">
        <f>+VLOOKUP($B1072,NIFTY_50!$B$3:$I$1238,8,0)</f>
        <v>2.0846006110275539E-4</v>
      </c>
      <c r="M1072" s="8">
        <f>+VLOOKUP($B1072,NIFTY_BANK!$B$3:$I$41238,8,0)</f>
        <v>-9.641020322252114E-3</v>
      </c>
      <c r="N1072" s="8">
        <f>+VLOOKUP($B1072,NIFTY_IT!$B$3:$I$1238,8,0)</f>
        <v>4.5198708719640379E-4</v>
      </c>
      <c r="O1072" s="8">
        <f>+VLOOKUP($B1072,NIFTY_PHARMA!$B$3:$I$1238,8,0)</f>
        <v>2.8360896115224854E-3</v>
      </c>
      <c r="P1072" s="8">
        <f>+VLOOKUP($B1072,NIFTY_FMCG!$B$3:$I$1238,8,0)</f>
        <v>1.1026530591001116E-2</v>
      </c>
      <c r="Q1072" s="8">
        <f>+VLOOKUP($B1072,NIFTY_METAL!$B$3:$I$1238,8,0)</f>
        <v>2.155550284140717E-2</v>
      </c>
      <c r="R1072" s="8">
        <f>+VLOOKUP($B1072,NIFTY_ENERGY!$B$3:$I$1238,8,0)</f>
        <v>-2.6454292860667028E-3</v>
      </c>
      <c r="S1072" s="8">
        <f>+VLOOKUP($B1072,NIFTY_AUTO!$B$3:$I$1238,8,0)</f>
        <v>2.2923289958873827E-3</v>
      </c>
      <c r="T1072" s="8">
        <f>+VLOOKUP($B1072,EBBETF0430!$B$3:$I$1238,8,0)</f>
        <v>3.1648880518935218E-3</v>
      </c>
      <c r="U1072" s="8">
        <f>+VLOOKUP($B1072,NIFTY_50!$B$63:$K$1238,10,0)</f>
        <v>7.3309814736039147E-2</v>
      </c>
      <c r="V1072" s="8">
        <f>+VLOOKUP($B1072,NIFTY_BANK!$B$63:$K$1238,10,0)</f>
        <v>6.2169766566881002E-2</v>
      </c>
      <c r="W1072" s="8">
        <f>+VLOOKUP($B1072,NIFTY_IT!$B$63:$K$1238,10,0)</f>
        <v>4.1804367893044425E-2</v>
      </c>
      <c r="X1072" s="8">
        <f>+VLOOKUP($B1072,NIFTY_PHARMA!$B$63:$K$1238,10,0)</f>
        <v>0.10987448902035712</v>
      </c>
      <c r="Y1072" s="8">
        <f>+VLOOKUP($B1072,NIFTY_FMCG!$B$63:$K$1238,10,0)</f>
        <v>2.6362388873540921E-2</v>
      </c>
      <c r="Z1072" s="8">
        <f>+VLOOKUP($B1072,NIFTY_METAL!$B$63:$K$1238,10,0)</f>
        <v>0.60927066239906424</v>
      </c>
      <c r="AA1072" s="8">
        <f>+VLOOKUP($B1072,NIFTY_ENERGY!$B$63:$K$1238,10,0)</f>
        <v>0.11288925194316546</v>
      </c>
      <c r="AB1072" s="8">
        <f>+VLOOKUP($B1072,NIFTY_AUTO!$B$63:$K$1238,10,0)</f>
        <v>-1.5305992469288543E-2</v>
      </c>
      <c r="AC1072" s="8">
        <f>+VLOOKUP($B1072,EBBETF0430!$B$63:$K$1238,10,0)</f>
        <v>-0.51140350877192975</v>
      </c>
      <c r="AD1072" s="16">
        <f t="shared" si="589"/>
        <v>0.1093068015913089</v>
      </c>
      <c r="AE1072" s="8">
        <f t="shared" si="590"/>
        <v>0.16717431192894375</v>
      </c>
      <c r="AF1072" s="8">
        <f t="shared" si="591"/>
        <v>0.10745344322141377</v>
      </c>
      <c r="AG1072" s="8">
        <f t="shared" si="592"/>
        <v>9.6357768050607098E-2</v>
      </c>
      <c r="AH1072" s="8">
        <f t="shared" si="593"/>
        <v>8.0885246719387752E-2</v>
      </c>
      <c r="AI1072" s="8">
        <f t="shared" si="594"/>
        <v>0.17043038251454759</v>
      </c>
      <c r="AJ1072" s="8">
        <f t="shared" si="595"/>
        <v>0.12248508485238579</v>
      </c>
      <c r="AK1072" s="8">
        <f t="shared" si="596"/>
        <v>0.13923931793277791</v>
      </c>
      <c r="AL1072" s="8">
        <f t="shared" si="610"/>
        <v>1.9161358681847297E-2</v>
      </c>
      <c r="AM1072" s="17">
        <f t="shared" si="573"/>
        <v>9.1485615299488465</v>
      </c>
      <c r="AN1072" s="13">
        <f t="shared" si="574"/>
        <v>5.9817802655293288</v>
      </c>
      <c r="AO1072" s="13">
        <f t="shared" si="575"/>
        <v>9.3063560368134937</v>
      </c>
      <c r="AP1072" s="13">
        <f t="shared" si="576"/>
        <v>10.377990485155282</v>
      </c>
      <c r="AQ1072" s="13">
        <f t="shared" si="577"/>
        <v>12.363194037959278</v>
      </c>
      <c r="AR1072" s="13">
        <f t="shared" si="578"/>
        <v>5.867498419271822</v>
      </c>
      <c r="AS1072" s="13">
        <f t="shared" si="579"/>
        <v>8.1642593561914953</v>
      </c>
      <c r="AT1072" s="13">
        <f t="shared" si="580"/>
        <v>7.1818794780564854</v>
      </c>
      <c r="AU1072" s="13">
        <f t="shared" si="609"/>
        <v>52.188366002842997</v>
      </c>
      <c r="AV1072" s="18">
        <f t="shared" si="597"/>
        <v>5</v>
      </c>
      <c r="AW1072" s="18">
        <f t="shared" si="598"/>
        <v>8</v>
      </c>
      <c r="AX1072" s="18">
        <f t="shared" si="599"/>
        <v>4</v>
      </c>
      <c r="AY1072" s="18">
        <f t="shared" si="600"/>
        <v>3</v>
      </c>
      <c r="AZ1072" s="18">
        <f t="shared" si="601"/>
        <v>2</v>
      </c>
      <c r="BA1072" s="18">
        <f t="shared" si="602"/>
        <v>9</v>
      </c>
      <c r="BB1072" s="18">
        <f t="shared" si="603"/>
        <v>6</v>
      </c>
      <c r="BC1072" s="18">
        <f t="shared" si="604"/>
        <v>7</v>
      </c>
      <c r="BD1072" s="18">
        <f t="shared" si="605"/>
        <v>1</v>
      </c>
      <c r="BE1072" s="8">
        <f t="shared" si="608"/>
        <v>3.5177700659065891E-3</v>
      </c>
    </row>
    <row r="1073" spans="1:57" x14ac:dyDescent="0.25">
      <c r="A1073" t="str">
        <f t="shared" si="607"/>
        <v/>
      </c>
      <c r="B1073" s="1">
        <v>44320</v>
      </c>
      <c r="C1073" s="9">
        <f t="shared" si="581"/>
        <v>0.33255949313202665</v>
      </c>
      <c r="D1073" s="9">
        <f t="shared" si="582"/>
        <v>0</v>
      </c>
      <c r="E1073" s="9">
        <f t="shared" si="583"/>
        <v>0</v>
      </c>
      <c r="F1073" s="9">
        <f t="shared" si="584"/>
        <v>0.3298036794279457</v>
      </c>
      <c r="G1073" s="9">
        <f t="shared" si="585"/>
        <v>0.3376368274400276</v>
      </c>
      <c r="H1073" s="9">
        <f t="shared" si="586"/>
        <v>0</v>
      </c>
      <c r="I1073" s="9">
        <f t="shared" si="587"/>
        <v>0</v>
      </c>
      <c r="J1073" s="9">
        <f t="shared" si="588"/>
        <v>0</v>
      </c>
      <c r="K1073" s="9">
        <v>0</v>
      </c>
      <c r="L1073" s="8">
        <f>+VLOOKUP($B1073,NIFTY_50!$B$3:$I$1238,8,0)</f>
        <v>-9.4060809818130586E-3</v>
      </c>
      <c r="M1073" s="8">
        <f>+VLOOKUP($B1073,NIFTY_BANK!$B$3:$I$41238,8,0)</f>
        <v>-6.0186504239083671E-3</v>
      </c>
      <c r="N1073" s="8">
        <f>+VLOOKUP($B1073,NIFTY_IT!$B$3:$I$1238,8,0)</f>
        <v>-7.2849990555400312E-3</v>
      </c>
      <c r="O1073" s="8">
        <f>+VLOOKUP($B1073,NIFTY_PHARMA!$B$3:$I$1238,8,0)</f>
        <v>-2.0188858740917137E-2</v>
      </c>
      <c r="P1073" s="8">
        <f>+VLOOKUP($B1073,NIFTY_FMCG!$B$3:$I$1238,8,0)</f>
        <v>-5.0435074218542209E-3</v>
      </c>
      <c r="Q1073" s="8">
        <f>+VLOOKUP($B1073,NIFTY_METAL!$B$3:$I$1238,8,0)</f>
        <v>-6.2191440600107839E-3</v>
      </c>
      <c r="R1073" s="8">
        <f>+VLOOKUP($B1073,NIFTY_ENERGY!$B$3:$I$1238,8,0)</f>
        <v>-1.9768230701648903E-3</v>
      </c>
      <c r="S1073" s="8">
        <f>+VLOOKUP($B1073,NIFTY_AUTO!$B$3:$I$1238,8,0)</f>
        <v>-8.8223575616142025E-3</v>
      </c>
      <c r="T1073" s="8">
        <f>+VLOOKUP($B1073,EBBETF0430!$B$3:$I$1238,8,0)</f>
        <v>-5.3016278604878231E-4</v>
      </c>
      <c r="U1073" s="8">
        <f>+VLOOKUP($B1073,NIFTY_50!$B$63:$K$1238,10,0)</f>
        <v>1.5075763941405418E-2</v>
      </c>
      <c r="V1073" s="8">
        <f>+VLOOKUP($B1073,NIFTY_BANK!$B$63:$K$1238,10,0)</f>
        <v>-2.4742324122330683E-2</v>
      </c>
      <c r="W1073" s="8">
        <f>+VLOOKUP($B1073,NIFTY_IT!$B$63:$K$1238,10,0)</f>
        <v>2.2722257219322195E-2</v>
      </c>
      <c r="X1073" s="8">
        <f>+VLOOKUP($B1073,NIFTY_PHARMA!$B$63:$K$1238,10,0)</f>
        <v>9.3460183169400857E-2</v>
      </c>
      <c r="Y1073" s="8">
        <f>+VLOOKUP($B1073,NIFTY_FMCG!$B$63:$K$1238,10,0)</f>
        <v>3.950768262656279E-3</v>
      </c>
      <c r="Z1073" s="8">
        <f>+VLOOKUP($B1073,NIFTY_METAL!$B$63:$K$1238,10,0)</f>
        <v>0.52502904950034845</v>
      </c>
      <c r="AA1073" s="8">
        <f>+VLOOKUP($B1073,NIFTY_ENERGY!$B$63:$K$1238,10,0)</f>
        <v>8.2007288598979322E-2</v>
      </c>
      <c r="AB1073" s="8">
        <f>+VLOOKUP($B1073,NIFTY_AUTO!$B$63:$K$1238,10,0)</f>
        <v>-6.35757898699153E-2</v>
      </c>
      <c r="AC1073" s="8">
        <f>+VLOOKUP($B1073,EBBETF0430!$B$63:$K$1238,10,0)</f>
        <v>11.380947938048143</v>
      </c>
      <c r="AD1073" s="16">
        <f t="shared" si="589"/>
        <v>9.9385830202225092E-2</v>
      </c>
      <c r="AE1073" s="8">
        <f t="shared" si="590"/>
        <v>0.14578698545684143</v>
      </c>
      <c r="AF1073" s="8">
        <f t="shared" si="591"/>
        <v>0.10721850739570227</v>
      </c>
      <c r="AG1073" s="8">
        <f t="shared" si="592"/>
        <v>9.8546307078379414E-2</v>
      </c>
      <c r="AH1073" s="8">
        <f t="shared" si="593"/>
        <v>7.9286738157486131E-2</v>
      </c>
      <c r="AI1073" s="8">
        <f t="shared" si="594"/>
        <v>0.16598841165354092</v>
      </c>
      <c r="AJ1073" s="8">
        <f t="shared" si="595"/>
        <v>0.11998972397977412</v>
      </c>
      <c r="AK1073" s="8">
        <f t="shared" si="596"/>
        <v>0.13276403438297096</v>
      </c>
      <c r="AL1073" s="8">
        <f t="shared" si="610"/>
        <v>1.9120422115852992E-2</v>
      </c>
      <c r="AM1073" s="17">
        <f t="shared" si="573"/>
        <v>10.061796515310606</v>
      </c>
      <c r="AN1073" s="13">
        <f t="shared" si="574"/>
        <v>6.8593228460440221</v>
      </c>
      <c r="AO1073" s="13">
        <f t="shared" si="575"/>
        <v>9.3267480054482075</v>
      </c>
      <c r="AP1073" s="13">
        <f t="shared" si="576"/>
        <v>10.14751368820593</v>
      </c>
      <c r="AQ1073" s="13">
        <f t="shared" si="577"/>
        <v>12.612449739245346</v>
      </c>
      <c r="AR1073" s="13">
        <f t="shared" si="578"/>
        <v>6.0245169529499965</v>
      </c>
      <c r="AS1073" s="13">
        <f t="shared" si="579"/>
        <v>8.3340470069633916</v>
      </c>
      <c r="AT1073" s="13">
        <f t="shared" si="580"/>
        <v>7.532160382497878</v>
      </c>
      <c r="AU1073" s="13">
        <f t="shared" si="609"/>
        <v>52.300100590921943</v>
      </c>
      <c r="AV1073" s="18">
        <f t="shared" si="597"/>
        <v>4</v>
      </c>
      <c r="AW1073" s="18">
        <f t="shared" si="598"/>
        <v>8</v>
      </c>
      <c r="AX1073" s="18">
        <f t="shared" si="599"/>
        <v>5</v>
      </c>
      <c r="AY1073" s="18">
        <f t="shared" si="600"/>
        <v>3</v>
      </c>
      <c r="AZ1073" s="18">
        <f t="shared" si="601"/>
        <v>2</v>
      </c>
      <c r="BA1073" s="18">
        <f t="shared" si="602"/>
        <v>9</v>
      </c>
      <c r="BB1073" s="18">
        <f t="shared" si="603"/>
        <v>6</v>
      </c>
      <c r="BC1073" s="18">
        <f t="shared" si="604"/>
        <v>7</v>
      </c>
      <c r="BD1073" s="18">
        <f t="shared" si="605"/>
        <v>1</v>
      </c>
      <c r="BE1073" s="8">
        <f t="shared" si="608"/>
        <v>-1.1530344445353143E-2</v>
      </c>
    </row>
    <row r="1074" spans="1:57" x14ac:dyDescent="0.25">
      <c r="A1074" t="str">
        <f t="shared" si="607"/>
        <v/>
      </c>
      <c r="B1074" s="1">
        <v>44321</v>
      </c>
      <c r="C1074" s="9">
        <f t="shared" si="581"/>
        <v>0.32970054176369068</v>
      </c>
      <c r="D1074" s="9">
        <f t="shared" si="582"/>
        <v>0</v>
      </c>
      <c r="E1074" s="9">
        <f t="shared" si="583"/>
        <v>0</v>
      </c>
      <c r="F1074" s="9">
        <f t="shared" si="584"/>
        <v>0.33760547967384302</v>
      </c>
      <c r="G1074" s="9">
        <f t="shared" si="585"/>
        <v>0.33269397856246641</v>
      </c>
      <c r="H1074" s="9">
        <f t="shared" si="586"/>
        <v>0</v>
      </c>
      <c r="I1074" s="9">
        <f t="shared" si="587"/>
        <v>0</v>
      </c>
      <c r="J1074" s="9">
        <f t="shared" si="588"/>
        <v>0</v>
      </c>
      <c r="K1074" s="9">
        <v>0</v>
      </c>
      <c r="L1074" s="8">
        <f>+VLOOKUP($B1074,NIFTY_50!$B$3:$I$1238,8,0)</f>
        <v>8.3709861000931252E-3</v>
      </c>
      <c r="M1074" s="8">
        <f>+VLOOKUP($B1074,NIFTY_BANK!$B$3:$I$41238,8,0)</f>
        <v>1.5907791517600467E-2</v>
      </c>
      <c r="N1074" s="8">
        <f>+VLOOKUP($B1074,NIFTY_IT!$B$3:$I$1238,8,0)</f>
        <v>1.1689356192867484E-2</v>
      </c>
      <c r="O1074" s="8">
        <f>+VLOOKUP($B1074,NIFTY_PHARMA!$B$3:$I$1238,8,0)</f>
        <v>4.1175692778480988E-2</v>
      </c>
      <c r="P1074" s="8">
        <f>+VLOOKUP($B1074,NIFTY_FMCG!$B$3:$I$1238,8,0)</f>
        <v>2.2248338766066578E-3</v>
      </c>
      <c r="Q1074" s="8">
        <f>+VLOOKUP($B1074,NIFTY_METAL!$B$3:$I$1238,8,0)</f>
        <v>9.8544187416822471E-3</v>
      </c>
      <c r="R1074" s="8">
        <f>+VLOOKUP($B1074,NIFTY_ENERGY!$B$3:$I$1238,8,0)</f>
        <v>6.181798934134175E-3</v>
      </c>
      <c r="S1074" s="8">
        <f>+VLOOKUP($B1074,NIFTY_AUTO!$B$3:$I$1238,8,0)</f>
        <v>6.8231412552073323E-3</v>
      </c>
      <c r="T1074" s="8">
        <f>+VLOOKUP($B1074,EBBETF0430!$B$3:$I$1238,8,0)</f>
        <v>-8.6958034052675437E-5</v>
      </c>
      <c r="U1074" s="8">
        <f>+VLOOKUP($B1074,NIFTY_50!$B$63:$K$1238,10,0)</f>
        <v>-2.0480821417477868E-3</v>
      </c>
      <c r="V1074" s="8">
        <f>+VLOOKUP($B1074,NIFTY_BANK!$B$63:$K$1238,10,0)</f>
        <v>-4.3311670688895521E-2</v>
      </c>
      <c r="W1074" s="8">
        <f>+VLOOKUP($B1074,NIFTY_IT!$B$63:$K$1238,10,0)</f>
        <v>1.3327281729658358E-2</v>
      </c>
      <c r="X1074" s="8">
        <f>+VLOOKUP($B1074,NIFTY_PHARMA!$B$63:$K$1238,10,0)</f>
        <v>0.11472266827380073</v>
      </c>
      <c r="Y1074" s="8">
        <f>+VLOOKUP($B1074,NIFTY_FMCG!$B$63:$K$1238,10,0)</f>
        <v>4.9554043257138414E-3</v>
      </c>
      <c r="Z1074" s="8">
        <f>+VLOOKUP($B1074,NIFTY_METAL!$B$63:$K$1238,10,0)</f>
        <v>0.51109726064880956</v>
      </c>
      <c r="AA1074" s="8">
        <f>+VLOOKUP($B1074,NIFTY_ENERGY!$B$63:$K$1238,10,0)</f>
        <v>6.5384501932096439E-2</v>
      </c>
      <c r="AB1074" s="8">
        <f>+VLOOKUP($B1074,NIFTY_AUTO!$B$63:$K$1238,10,0)</f>
        <v>-9.3579042355197206E-2</v>
      </c>
      <c r="AC1074" s="8">
        <f>+VLOOKUP($B1074,EBBETF0430!$B$63:$K$1238,10,0)</f>
        <v>0.27299206291414846</v>
      </c>
      <c r="AD1074" s="16">
        <f t="shared" si="589"/>
        <v>9.6409958409150773E-2</v>
      </c>
      <c r="AE1074" s="8">
        <f t="shared" si="590"/>
        <v>0.14220399505330461</v>
      </c>
      <c r="AF1074" s="8">
        <f t="shared" si="591"/>
        <v>0.10581011750352586</v>
      </c>
      <c r="AG1074" s="8">
        <f t="shared" si="592"/>
        <v>0.10432927070149332</v>
      </c>
      <c r="AH1074" s="8">
        <f t="shared" si="593"/>
        <v>7.9306948694090551E-2</v>
      </c>
      <c r="AI1074" s="8">
        <f t="shared" si="594"/>
        <v>0.16557179853292425</v>
      </c>
      <c r="AJ1074" s="8">
        <f t="shared" si="595"/>
        <v>0.11830998254145995</v>
      </c>
      <c r="AK1074" s="8">
        <f t="shared" si="596"/>
        <v>0.12641416268056779</v>
      </c>
      <c r="AL1074" s="8">
        <f t="shared" si="610"/>
        <v>1.7716652690861805E-2</v>
      </c>
      <c r="AM1074" s="17">
        <f t="shared" si="573"/>
        <v>10.372372486212843</v>
      </c>
      <c r="AN1074" s="13">
        <f t="shared" si="574"/>
        <v>7.0321512389659233</v>
      </c>
      <c r="AO1074" s="13">
        <f t="shared" si="575"/>
        <v>9.4508920658431137</v>
      </c>
      <c r="AP1074" s="13">
        <f t="shared" si="576"/>
        <v>9.5850377681753169</v>
      </c>
      <c r="AQ1074" s="13">
        <f t="shared" si="577"/>
        <v>12.609235589901262</v>
      </c>
      <c r="AR1074" s="13">
        <f t="shared" si="578"/>
        <v>6.0396758920339213</v>
      </c>
      <c r="AS1074" s="13">
        <f t="shared" si="579"/>
        <v>8.4523721373178713</v>
      </c>
      <c r="AT1074" s="13">
        <f t="shared" si="580"/>
        <v>7.910506060360265</v>
      </c>
      <c r="AU1074" s="13">
        <f t="shared" si="609"/>
        <v>56.444070866490314</v>
      </c>
      <c r="AV1074" s="18">
        <f t="shared" si="597"/>
        <v>3</v>
      </c>
      <c r="AW1074" s="18">
        <f t="shared" si="598"/>
        <v>8</v>
      </c>
      <c r="AX1074" s="18">
        <f t="shared" si="599"/>
        <v>5</v>
      </c>
      <c r="AY1074" s="18">
        <f t="shared" si="600"/>
        <v>4</v>
      </c>
      <c r="AZ1074" s="18">
        <f t="shared" si="601"/>
        <v>2</v>
      </c>
      <c r="BA1074" s="18">
        <f t="shared" si="602"/>
        <v>9</v>
      </c>
      <c r="BB1074" s="18">
        <f t="shared" si="603"/>
        <v>6</v>
      </c>
      <c r="BC1074" s="18">
        <f t="shared" si="604"/>
        <v>7</v>
      </c>
      <c r="BD1074" s="18">
        <f t="shared" si="605"/>
        <v>1</v>
      </c>
      <c r="BE1074" s="8">
        <f t="shared" si="608"/>
        <v>1.7114931727478501E-2</v>
      </c>
    </row>
    <row r="1075" spans="1:57" x14ac:dyDescent="0.25">
      <c r="A1075" t="str">
        <f t="shared" si="607"/>
        <v/>
      </c>
      <c r="B1075" s="1">
        <v>44322</v>
      </c>
      <c r="C1075" s="9">
        <f t="shared" si="581"/>
        <v>0.33108423883024513</v>
      </c>
      <c r="D1075" s="9">
        <f t="shared" si="582"/>
        <v>0</v>
      </c>
      <c r="E1075" s="9">
        <f t="shared" si="583"/>
        <v>0</v>
      </c>
      <c r="F1075" s="9">
        <f t="shared" si="584"/>
        <v>0.33577958874145064</v>
      </c>
      <c r="G1075" s="9">
        <f t="shared" si="585"/>
        <v>0.33313617242830412</v>
      </c>
      <c r="H1075" s="9">
        <f t="shared" si="586"/>
        <v>0</v>
      </c>
      <c r="I1075" s="9">
        <f t="shared" si="587"/>
        <v>0</v>
      </c>
      <c r="J1075" s="9">
        <f t="shared" si="588"/>
        <v>0</v>
      </c>
      <c r="K1075" s="9">
        <v>0</v>
      </c>
      <c r="L1075" s="8">
        <f>+VLOOKUP($B1075,NIFTY_50!$B$3:$I$1238,8,0)</f>
        <v>7.3163974182248737E-3</v>
      </c>
      <c r="M1075" s="8">
        <f>+VLOOKUP($B1075,NIFTY_BANK!$B$3:$I$41238,8,0)</f>
        <v>1.3451806843036707E-3</v>
      </c>
      <c r="N1075" s="8">
        <f>+VLOOKUP($B1075,NIFTY_IT!$B$3:$I$1238,8,0)</f>
        <v>1.8294137150768108E-2</v>
      </c>
      <c r="O1075" s="8">
        <f>+VLOOKUP($B1075,NIFTY_PHARMA!$B$3:$I$1238,8,0)</f>
        <v>-2.3186281268823272E-3</v>
      </c>
      <c r="P1075" s="8">
        <f>+VLOOKUP($B1075,NIFTY_FMCG!$B$3:$I$1238,8,0)</f>
        <v>4.4397899581096745E-3</v>
      </c>
      <c r="Q1075" s="8">
        <f>+VLOOKUP($B1075,NIFTY_METAL!$B$3:$I$1238,8,0)</f>
        <v>2.5119966198203336E-2</v>
      </c>
      <c r="R1075" s="8">
        <f>+VLOOKUP($B1075,NIFTY_ENERGY!$B$3:$I$1238,8,0)</f>
        <v>6.6117349990033603E-3</v>
      </c>
      <c r="S1075" s="8">
        <f>+VLOOKUP($B1075,NIFTY_AUTO!$B$3:$I$1238,8,0)</f>
        <v>1.7841865384914612E-2</v>
      </c>
      <c r="T1075" s="8">
        <f>+VLOOKUP($B1075,EBBETF0430!$B$3:$I$1238,8,0)</f>
        <v>2.3654642223533973E-3</v>
      </c>
      <c r="U1075" s="8">
        <f>+VLOOKUP($B1075,NIFTY_50!$B$63:$K$1238,10,0)</f>
        <v>-4.4050182725432485E-3</v>
      </c>
      <c r="V1075" s="8">
        <f>+VLOOKUP($B1075,NIFTY_BANK!$B$63:$K$1238,10,0)</f>
        <v>-5.5544766812098745E-2</v>
      </c>
      <c r="W1075" s="8">
        <f>+VLOOKUP($B1075,NIFTY_IT!$B$63:$K$1238,10,0)</f>
        <v>2.2499211476233238E-2</v>
      </c>
      <c r="X1075" s="8">
        <f>+VLOOKUP($B1075,NIFTY_PHARMA!$B$63:$K$1238,10,0)</f>
        <v>8.1933475778430909E-2</v>
      </c>
      <c r="Y1075" s="8">
        <f>+VLOOKUP($B1075,NIFTY_FMCG!$B$63:$K$1238,10,0)</f>
        <v>1.0870678560136238E-2</v>
      </c>
      <c r="Z1075" s="8">
        <f>+VLOOKUP($B1075,NIFTY_METAL!$B$63:$K$1238,10,0)</f>
        <v>0.52344217198899656</v>
      </c>
      <c r="AA1075" s="8">
        <f>+VLOOKUP($B1075,NIFTY_ENERGY!$B$63:$K$1238,10,0)</f>
        <v>5.5552652207995878E-2</v>
      </c>
      <c r="AB1075" s="8">
        <f>+VLOOKUP($B1075,NIFTY_AUTO!$B$63:$K$1238,10,0)</f>
        <v>-8.6895242879669543E-2</v>
      </c>
      <c r="AC1075" s="8">
        <f>+VLOOKUP($B1075,EBBETF0430!$B$63:$K$1238,10,0)</f>
        <v>5.2179245940483661</v>
      </c>
      <c r="AD1075" s="16">
        <f t="shared" si="589"/>
        <v>9.6199848615183478E-2</v>
      </c>
      <c r="AE1075" s="8">
        <f t="shared" si="590"/>
        <v>0.14142702418976824</v>
      </c>
      <c r="AF1075" s="8">
        <f t="shared" si="591"/>
        <v>0.106955775901885</v>
      </c>
      <c r="AG1075" s="8">
        <f t="shared" si="592"/>
        <v>0.10103833706848171</v>
      </c>
      <c r="AH1075" s="8">
        <f t="shared" si="593"/>
        <v>7.9404737801111278E-2</v>
      </c>
      <c r="AI1075" s="8">
        <f t="shared" si="594"/>
        <v>0.16626686889975667</v>
      </c>
      <c r="AJ1075" s="8">
        <f t="shared" si="595"/>
        <v>0.11749706138118564</v>
      </c>
      <c r="AK1075" s="8">
        <f t="shared" si="596"/>
        <v>0.12732636509911074</v>
      </c>
      <c r="AL1075" s="8">
        <f t="shared" si="610"/>
        <v>1.660826255528549E-2</v>
      </c>
      <c r="AM1075" s="17">
        <f t="shared" si="573"/>
        <v>10.395026753110372</v>
      </c>
      <c r="AN1075" s="13">
        <f t="shared" si="574"/>
        <v>7.0707844256002277</v>
      </c>
      <c r="AO1075" s="13">
        <f t="shared" si="575"/>
        <v>9.3496586936767372</v>
      </c>
      <c r="AP1075" s="13">
        <f t="shared" si="576"/>
        <v>9.897233357297047</v>
      </c>
      <c r="AQ1075" s="13">
        <f t="shared" si="577"/>
        <v>12.593706971298694</v>
      </c>
      <c r="AR1075" s="13">
        <f t="shared" si="578"/>
        <v>6.0144273276891154</v>
      </c>
      <c r="AS1075" s="13">
        <f t="shared" si="579"/>
        <v>8.5108511501899251</v>
      </c>
      <c r="AT1075" s="13">
        <f t="shared" si="580"/>
        <v>7.8538329372836548</v>
      </c>
      <c r="AU1075" s="13">
        <f t="shared" si="609"/>
        <v>60.210994176615749</v>
      </c>
      <c r="AV1075" s="18">
        <f t="shared" si="597"/>
        <v>3</v>
      </c>
      <c r="AW1075" s="18">
        <f t="shared" si="598"/>
        <v>8</v>
      </c>
      <c r="AX1075" s="18">
        <f t="shared" si="599"/>
        <v>5</v>
      </c>
      <c r="AY1075" s="18">
        <f t="shared" si="600"/>
        <v>4</v>
      </c>
      <c r="AZ1075" s="18">
        <f t="shared" si="601"/>
        <v>2</v>
      </c>
      <c r="BA1075" s="18">
        <f t="shared" si="602"/>
        <v>9</v>
      </c>
      <c r="BB1075" s="18">
        <f t="shared" si="603"/>
        <v>6</v>
      </c>
      <c r="BC1075" s="18">
        <f t="shared" si="604"/>
        <v>7</v>
      </c>
      <c r="BD1075" s="18">
        <f t="shared" si="605"/>
        <v>1</v>
      </c>
      <c r="BE1075" s="8">
        <f t="shared" si="608"/>
        <v>3.1065300167310303E-3</v>
      </c>
    </row>
    <row r="1076" spans="1:57" x14ac:dyDescent="0.25">
      <c r="A1076" t="str">
        <f t="shared" si="607"/>
        <v/>
      </c>
      <c r="B1076" s="1">
        <v>44323</v>
      </c>
      <c r="C1076" s="9">
        <f t="shared" si="581"/>
        <v>0.33232214235525898</v>
      </c>
      <c r="D1076" s="9">
        <f t="shared" si="582"/>
        <v>0</v>
      </c>
      <c r="E1076" s="9">
        <f t="shared" si="583"/>
        <v>0</v>
      </c>
      <c r="F1076" s="9">
        <f t="shared" si="584"/>
        <v>0.33478302728678544</v>
      </c>
      <c r="G1076" s="9">
        <f t="shared" si="585"/>
        <v>0.33289483035795575</v>
      </c>
      <c r="H1076" s="9">
        <f t="shared" si="586"/>
        <v>0</v>
      </c>
      <c r="I1076" s="9">
        <f t="shared" si="587"/>
        <v>0</v>
      </c>
      <c r="J1076" s="9">
        <f t="shared" si="588"/>
        <v>0</v>
      </c>
      <c r="K1076" s="9">
        <v>0</v>
      </c>
      <c r="L1076" s="8">
        <f>+VLOOKUP($B1076,NIFTY_50!$B$3:$I$1238,8,0)</f>
        <v>6.6792078669999366E-3</v>
      </c>
      <c r="M1076" s="8">
        <f>+VLOOKUP($B1076,NIFTY_BANK!$B$3:$I$41238,8,0)</f>
        <v>2.3364343635576823E-3</v>
      </c>
      <c r="N1076" s="8">
        <f>+VLOOKUP($B1076,NIFTY_IT!$B$3:$I$1238,8,0)</f>
        <v>4.0938812660185064E-4</v>
      </c>
      <c r="O1076" s="8">
        <f>+VLOOKUP($B1076,NIFTY_PHARMA!$B$3:$I$1238,8,0)</f>
        <v>-4.728046407587172E-5</v>
      </c>
      <c r="P1076" s="8">
        <f>+VLOOKUP($B1076,NIFTY_FMCG!$B$3:$I$1238,8,0)</f>
        <v>2.2027402088198311E-3</v>
      </c>
      <c r="Q1076" s="8">
        <f>+VLOOKUP($B1076,NIFTY_METAL!$B$3:$I$1238,8,0)</f>
        <v>4.7271835132482787E-2</v>
      </c>
      <c r="R1076" s="8">
        <f>+VLOOKUP($B1076,NIFTY_ENERGY!$B$3:$I$1238,8,0)</f>
        <v>6.4582851987544654E-3</v>
      </c>
      <c r="S1076" s="8">
        <f>+VLOOKUP($B1076,NIFTY_AUTO!$B$3:$I$1238,8,0)</f>
        <v>4.4319466943787411E-4</v>
      </c>
      <c r="T1076" s="8">
        <f>+VLOOKUP($B1076,EBBETF0430!$B$3:$I$1238,8,0)</f>
        <v>2.4292903001910116E-3</v>
      </c>
      <c r="U1076" s="8">
        <f>+VLOOKUP($B1076,NIFTY_50!$B$63:$K$1238,10,0)</f>
        <v>-4.8671927710438601E-3</v>
      </c>
      <c r="V1076" s="8">
        <f>+VLOOKUP($B1076,NIFTY_BANK!$B$63:$K$1238,10,0)</f>
        <v>-6.904268803331759E-2</v>
      </c>
      <c r="W1076" s="8">
        <f>+VLOOKUP($B1076,NIFTY_IT!$B$63:$K$1238,10,0)</f>
        <v>2.7352312568806214E-2</v>
      </c>
      <c r="X1076" s="8">
        <f>+VLOOKUP($B1076,NIFTY_PHARMA!$B$63:$K$1238,10,0)</f>
        <v>7.9130704408884478E-2</v>
      </c>
      <c r="Y1076" s="8">
        <f>+VLOOKUP($B1076,NIFTY_FMCG!$B$63:$K$1238,10,0)</f>
        <v>-1.1132314139038813E-2</v>
      </c>
      <c r="Z1076" s="8">
        <f>+VLOOKUP($B1076,NIFTY_METAL!$B$63:$K$1238,10,0)</f>
        <v>0.56497191711516193</v>
      </c>
      <c r="AA1076" s="8">
        <f>+VLOOKUP($B1076,NIFTY_ENERGY!$B$63:$K$1238,10,0)</f>
        <v>4.7680947377161331E-2</v>
      </c>
      <c r="AB1076" s="8">
        <f>+VLOOKUP($B1076,NIFTY_AUTO!$B$63:$K$1238,10,0)</f>
        <v>-9.6405664804777635E-2</v>
      </c>
      <c r="AC1076" s="8">
        <f>+VLOOKUP($B1076,EBBETF0430!$B$63:$K$1238,10,0)</f>
        <v>-0.18200395517468693</v>
      </c>
      <c r="AD1076" s="16">
        <f t="shared" si="589"/>
        <v>9.6166245896546682E-2</v>
      </c>
      <c r="AE1076" s="8">
        <f t="shared" si="590"/>
        <v>0.14034456986535346</v>
      </c>
      <c r="AF1076" s="8">
        <f t="shared" si="591"/>
        <v>0.10684742034750662</v>
      </c>
      <c r="AG1076" s="8">
        <f t="shared" si="592"/>
        <v>0.10104097328474011</v>
      </c>
      <c r="AH1076" s="8">
        <f t="shared" si="593"/>
        <v>7.5575457123240819E-2</v>
      </c>
      <c r="AI1076" s="8">
        <f t="shared" si="594"/>
        <v>0.17055689501090412</v>
      </c>
      <c r="AJ1076" s="8">
        <f t="shared" si="595"/>
        <v>0.11689693337536777</v>
      </c>
      <c r="AK1076" s="8">
        <f t="shared" si="596"/>
        <v>0.12673367659695661</v>
      </c>
      <c r="AL1076" s="8">
        <f t="shared" si="610"/>
        <v>1.6719534483217124E-2</v>
      </c>
      <c r="AM1076" s="17">
        <f t="shared" si="573"/>
        <v>10.398659016759121</v>
      </c>
      <c r="AN1076" s="13">
        <f t="shared" si="574"/>
        <v>7.1253202098193018</v>
      </c>
      <c r="AO1076" s="13">
        <f t="shared" si="575"/>
        <v>9.3591403212884021</v>
      </c>
      <c r="AP1076" s="13">
        <f t="shared" si="576"/>
        <v>9.8969751328694571</v>
      </c>
      <c r="AQ1076" s="13">
        <f t="shared" si="577"/>
        <v>13.231808818163032</v>
      </c>
      <c r="AR1076" s="13">
        <f t="shared" si="578"/>
        <v>5.8631461362852999</v>
      </c>
      <c r="AS1076" s="13">
        <f t="shared" si="579"/>
        <v>8.5545443419708853</v>
      </c>
      <c r="AT1076" s="13">
        <f t="shared" si="580"/>
        <v>7.8905625312223764</v>
      </c>
      <c r="AU1076" s="13">
        <f t="shared" si="609"/>
        <v>59.810277672729974</v>
      </c>
      <c r="AV1076" s="18">
        <f t="shared" si="597"/>
        <v>3</v>
      </c>
      <c r="AW1076" s="18">
        <f t="shared" si="598"/>
        <v>8</v>
      </c>
      <c r="AX1076" s="18">
        <f t="shared" si="599"/>
        <v>5</v>
      </c>
      <c r="AY1076" s="18">
        <f t="shared" si="600"/>
        <v>4</v>
      </c>
      <c r="AZ1076" s="18">
        <f t="shared" si="601"/>
        <v>2</v>
      </c>
      <c r="BA1076" s="18">
        <f t="shared" si="602"/>
        <v>9</v>
      </c>
      <c r="BB1076" s="18">
        <f t="shared" si="603"/>
        <v>6</v>
      </c>
      <c r="BC1076" s="18">
        <f t="shared" si="604"/>
        <v>7</v>
      </c>
      <c r="BD1076" s="18">
        <f t="shared" si="605"/>
        <v>1</v>
      </c>
      <c r="BE1076" s="8">
        <f t="shared" si="608"/>
        <v>2.9293170798719197E-3</v>
      </c>
    </row>
    <row r="1077" spans="1:57" x14ac:dyDescent="0.25">
      <c r="A1077" t="str">
        <f t="shared" si="607"/>
        <v/>
      </c>
      <c r="B1077" s="1">
        <v>44326</v>
      </c>
      <c r="C1077" s="9">
        <f t="shared" si="581"/>
        <v>0.33075098804448066</v>
      </c>
      <c r="D1077" s="9">
        <f t="shared" si="582"/>
        <v>0</v>
      </c>
      <c r="E1077" s="9">
        <f t="shared" si="583"/>
        <v>0</v>
      </c>
      <c r="F1077" s="9">
        <f t="shared" si="584"/>
        <v>0.33979331405053376</v>
      </c>
      <c r="G1077" s="9">
        <f t="shared" si="585"/>
        <v>0.32945569790498569</v>
      </c>
      <c r="H1077" s="9">
        <f t="shared" si="586"/>
        <v>0</v>
      </c>
      <c r="I1077" s="9">
        <f t="shared" si="587"/>
        <v>0</v>
      </c>
      <c r="J1077" s="9">
        <f t="shared" si="588"/>
        <v>0</v>
      </c>
      <c r="K1077" s="9">
        <v>0</v>
      </c>
      <c r="L1077" s="8">
        <f>+VLOOKUP($B1077,NIFTY_50!$B$3:$I$1238,8,0)</f>
        <v>8.0414756647542163E-3</v>
      </c>
      <c r="M1077" s="8">
        <f>+VLOOKUP($B1077,NIFTY_BANK!$B$3:$I$41238,8,0)</f>
        <v>7.2300141318057953E-3</v>
      </c>
      <c r="N1077" s="8">
        <f>+VLOOKUP($B1077,NIFTY_IT!$B$3:$I$1238,8,0)</f>
        <v>1.5226812894830744E-4</v>
      </c>
      <c r="O1077" s="8">
        <f>+VLOOKUP($B1077,NIFTY_PHARMA!$B$3:$I$1238,8,0)</f>
        <v>2.7987721046620839E-2</v>
      </c>
      <c r="P1077" s="8">
        <f>+VLOOKUP($B1077,NIFTY_FMCG!$B$3:$I$1238,8,0)</f>
        <v>2.3664043840754267E-3</v>
      </c>
      <c r="Q1077" s="8">
        <f>+VLOOKUP($B1077,NIFTY_METAL!$B$3:$I$1238,8,0)</f>
        <v>3.1391437165587455E-2</v>
      </c>
      <c r="R1077" s="8">
        <f>+VLOOKUP($B1077,NIFTY_ENERGY!$B$3:$I$1238,8,0)</f>
        <v>1.6094033538118557E-2</v>
      </c>
      <c r="S1077" s="8">
        <f>+VLOOKUP($B1077,NIFTY_AUTO!$B$3:$I$1238,8,0)</f>
        <v>1.5642423964682184E-2</v>
      </c>
      <c r="T1077" s="8">
        <f>+VLOOKUP($B1077,EBBETF0430!$B$3:$I$1238,8,0)</f>
        <v>-3.1158040505453455E-3</v>
      </c>
      <c r="U1077" s="8">
        <f>+VLOOKUP($B1077,NIFTY_50!$B$63:$K$1238,10,0)</f>
        <v>1.2127912625425896E-3</v>
      </c>
      <c r="V1077" s="8">
        <f>+VLOOKUP($B1077,NIFTY_BANK!$B$63:$K$1238,10,0)</f>
        <v>-7.0456744590444376E-2</v>
      </c>
      <c r="W1077" s="8">
        <f>+VLOOKUP($B1077,NIFTY_IT!$B$63:$K$1238,10,0)</f>
        <v>3.7180833425445092E-2</v>
      </c>
      <c r="X1077" s="8">
        <f>+VLOOKUP($B1077,NIFTY_PHARMA!$B$63:$K$1238,10,0)</f>
        <v>9.1207777215815522E-2</v>
      </c>
      <c r="Y1077" s="8">
        <f>+VLOOKUP($B1077,NIFTY_FMCG!$B$63:$K$1238,10,0)</f>
        <v>-1.2707644792102624E-2</v>
      </c>
      <c r="Z1077" s="8">
        <f>+VLOOKUP($B1077,NIFTY_METAL!$B$63:$K$1238,10,0)</f>
        <v>0.59834744347472535</v>
      </c>
      <c r="AA1077" s="8">
        <f>+VLOOKUP($B1077,NIFTY_ENERGY!$B$63:$K$1238,10,0)</f>
        <v>6.7442795211162476E-2</v>
      </c>
      <c r="AB1077" s="8">
        <f>+VLOOKUP($B1077,NIFTY_AUTO!$B$63:$K$1238,10,0)</f>
        <v>-7.0020841201236639E-2</v>
      </c>
      <c r="AC1077" s="8">
        <f>+VLOOKUP($B1077,EBBETF0430!$B$63:$K$1238,10,0)</f>
        <v>1.9842938262655552</v>
      </c>
      <c r="AD1077" s="16">
        <f t="shared" si="589"/>
        <v>9.6479825456302667E-2</v>
      </c>
      <c r="AE1077" s="8">
        <f t="shared" si="590"/>
        <v>0.14024607318348575</v>
      </c>
      <c r="AF1077" s="8">
        <f t="shared" si="591"/>
        <v>0.10638512069983373</v>
      </c>
      <c r="AG1077" s="8">
        <f t="shared" si="592"/>
        <v>0.10336461328294046</v>
      </c>
      <c r="AH1077" s="8">
        <f t="shared" si="593"/>
        <v>7.5505250829929982E-2</v>
      </c>
      <c r="AI1077" s="8">
        <f t="shared" si="594"/>
        <v>0.17217054407873703</v>
      </c>
      <c r="AJ1077" s="8">
        <f t="shared" si="595"/>
        <v>0.11780388264559423</v>
      </c>
      <c r="AK1077" s="8">
        <f t="shared" si="596"/>
        <v>0.12730693806650561</v>
      </c>
      <c r="AL1077" s="8">
        <f t="shared" si="610"/>
        <v>1.710358792391074E-2</v>
      </c>
      <c r="AM1077" s="17">
        <f t="shared" si="573"/>
        <v>10.364861205650882</v>
      </c>
      <c r="AN1077" s="13">
        <f t="shared" si="574"/>
        <v>7.1303244169388407</v>
      </c>
      <c r="AO1077" s="13">
        <f t="shared" si="575"/>
        <v>9.399810738773386</v>
      </c>
      <c r="AP1077" s="13">
        <f t="shared" si="576"/>
        <v>9.6744907975681684</v>
      </c>
      <c r="AQ1077" s="13">
        <f t="shared" si="577"/>
        <v>13.244112018810803</v>
      </c>
      <c r="AR1077" s="13">
        <f t="shared" si="578"/>
        <v>5.8081944582964207</v>
      </c>
      <c r="AS1077" s="13">
        <f t="shared" si="579"/>
        <v>8.4886845623623355</v>
      </c>
      <c r="AT1077" s="13">
        <f t="shared" si="580"/>
        <v>7.8550314318108594</v>
      </c>
      <c r="AU1077" s="13">
        <f t="shared" si="609"/>
        <v>58.467264555760515</v>
      </c>
      <c r="AV1077" s="18">
        <f t="shared" si="597"/>
        <v>3</v>
      </c>
      <c r="AW1077" s="18">
        <f t="shared" si="598"/>
        <v>8</v>
      </c>
      <c r="AX1077" s="18">
        <f t="shared" si="599"/>
        <v>5</v>
      </c>
      <c r="AY1077" s="18">
        <f t="shared" si="600"/>
        <v>4</v>
      </c>
      <c r="AZ1077" s="18">
        <f t="shared" si="601"/>
        <v>2</v>
      </c>
      <c r="BA1077" s="18">
        <f t="shared" si="602"/>
        <v>9</v>
      </c>
      <c r="BB1077" s="18">
        <f t="shared" si="603"/>
        <v>6</v>
      </c>
      <c r="BC1077" s="18">
        <f t="shared" si="604"/>
        <v>7</v>
      </c>
      <c r="BD1077" s="18">
        <f t="shared" si="605"/>
        <v>1</v>
      </c>
      <c r="BE1077" s="8">
        <f t="shared" si="608"/>
        <v>1.2829938185449717E-2</v>
      </c>
    </row>
    <row r="1078" spans="1:57" x14ac:dyDescent="0.25">
      <c r="A1078" t="str">
        <f t="shared" si="607"/>
        <v/>
      </c>
      <c r="B1078" s="1">
        <v>44327</v>
      </c>
      <c r="C1078" s="9">
        <f t="shared" si="581"/>
        <v>0.33014872727134564</v>
      </c>
      <c r="D1078" s="9">
        <f t="shared" si="582"/>
        <v>0</v>
      </c>
      <c r="E1078" s="9">
        <f t="shared" si="583"/>
        <v>0</v>
      </c>
      <c r="F1078" s="9">
        <f t="shared" si="584"/>
        <v>0.33969213113467822</v>
      </c>
      <c r="G1078" s="9">
        <f t="shared" si="585"/>
        <v>0.33015914159397614</v>
      </c>
      <c r="H1078" s="9">
        <f t="shared" si="586"/>
        <v>0</v>
      </c>
      <c r="I1078" s="9">
        <f t="shared" si="587"/>
        <v>0</v>
      </c>
      <c r="J1078" s="9">
        <f t="shared" si="588"/>
        <v>0</v>
      </c>
      <c r="K1078" s="9">
        <v>0</v>
      </c>
      <c r="L1078" s="8">
        <f>+VLOOKUP($B1078,NIFTY_50!$B$3:$I$1238,8,0)</f>
        <v>-6.1302271731019653E-3</v>
      </c>
      <c r="M1078" s="8">
        <f>+VLOOKUP($B1078,NIFTY_BANK!$B$3:$I$41238,8,0)</f>
        <v>-8.1526986579126826E-3</v>
      </c>
      <c r="N1078" s="8">
        <f>+VLOOKUP($B1078,NIFTY_IT!$B$3:$I$1238,8,0)</f>
        <v>-6.3467112236877954E-3</v>
      </c>
      <c r="O1078" s="8">
        <f>+VLOOKUP($B1078,NIFTY_PHARMA!$B$3:$I$1238,8,0)</f>
        <v>-4.6136917671784072E-3</v>
      </c>
      <c r="P1078" s="8">
        <f>+VLOOKUP($B1078,NIFTY_FMCG!$B$3:$I$1238,8,0)</f>
        <v>-2.191248163605275E-3</v>
      </c>
      <c r="Q1078" s="8">
        <f>+VLOOKUP($B1078,NIFTY_METAL!$B$3:$I$1238,8,0)</f>
        <v>-9.2125705252257273E-3</v>
      </c>
      <c r="R1078" s="8">
        <f>+VLOOKUP($B1078,NIFTY_ENERGY!$B$3:$I$1238,8,0)</f>
        <v>1.7630399057560364E-2</v>
      </c>
      <c r="S1078" s="8">
        <f>+VLOOKUP($B1078,NIFTY_AUTO!$B$3:$I$1238,8,0)</f>
        <v>2.2109585332472648E-3</v>
      </c>
      <c r="T1078" s="8">
        <f>+VLOOKUP($B1078,EBBETF0430!$B$3:$I$1238,8,0)</f>
        <v>3.9937489147434668E-4</v>
      </c>
      <c r="U1078" s="8">
        <f>+VLOOKUP($B1078,NIFTY_50!$B$63:$K$1238,10,0)</f>
        <v>-1.7534632636049596E-2</v>
      </c>
      <c r="V1078" s="8">
        <f>+VLOOKUP($B1078,NIFTY_BANK!$B$63:$K$1238,10,0)</f>
        <v>-8.6468437748811078E-2</v>
      </c>
      <c r="W1078" s="8">
        <f>+VLOOKUP($B1078,NIFTY_IT!$B$63:$K$1238,10,0)</f>
        <v>7.3739369337388894E-3</v>
      </c>
      <c r="X1078" s="8">
        <f>+VLOOKUP($B1078,NIFTY_PHARMA!$B$63:$K$1238,10,0)</f>
        <v>8.4469200524246446E-2</v>
      </c>
      <c r="Y1078" s="8">
        <f>+VLOOKUP($B1078,NIFTY_FMCG!$B$63:$K$1238,10,0)</f>
        <v>-9.373843508043711E-3</v>
      </c>
      <c r="Z1078" s="8">
        <f>+VLOOKUP($B1078,NIFTY_METAL!$B$63:$K$1238,10,0)</f>
        <v>0.53489845036524097</v>
      </c>
      <c r="AA1078" s="8">
        <f>+VLOOKUP($B1078,NIFTY_ENERGY!$B$63:$K$1238,10,0)</f>
        <v>7.0977493836351213E-2</v>
      </c>
      <c r="AB1078" s="8">
        <f>+VLOOKUP($B1078,NIFTY_AUTO!$B$63:$K$1238,10,0)</f>
        <v>-9.6377863061254843E-2</v>
      </c>
      <c r="AC1078" s="8">
        <f>+VLOOKUP($B1078,EBBETF0430!$B$63:$K$1238,10,0)</f>
        <v>-0.6229091080431608</v>
      </c>
      <c r="AD1078" s="16">
        <f t="shared" si="589"/>
        <v>9.5806959805733574E-2</v>
      </c>
      <c r="AE1078" s="8">
        <f t="shared" si="590"/>
        <v>0.14003307941480522</v>
      </c>
      <c r="AF1078" s="8">
        <f t="shared" si="591"/>
        <v>0.10417810937752699</v>
      </c>
      <c r="AG1078" s="8">
        <f t="shared" si="592"/>
        <v>0.10354334445704841</v>
      </c>
      <c r="AH1078" s="8">
        <f t="shared" si="593"/>
        <v>7.5338966960758327E-2</v>
      </c>
      <c r="AI1078" s="8">
        <f t="shared" si="594"/>
        <v>0.17130211626239972</v>
      </c>
      <c r="AJ1078" s="8">
        <f t="shared" si="595"/>
        <v>0.11822334358677788</v>
      </c>
      <c r="AK1078" s="8">
        <f t="shared" si="596"/>
        <v>0.1230751596055857</v>
      </c>
      <c r="AL1078" s="8">
        <f t="shared" si="610"/>
        <v>1.6921402157837547E-2</v>
      </c>
      <c r="AM1078" s="17">
        <f t="shared" si="573"/>
        <v>10.437655072530074</v>
      </c>
      <c r="AN1078" s="13">
        <f t="shared" si="574"/>
        <v>7.1411698162960873</v>
      </c>
      <c r="AO1078" s="13">
        <f t="shared" si="575"/>
        <v>9.5989455555978562</v>
      </c>
      <c r="AP1078" s="13">
        <f t="shared" si="576"/>
        <v>9.657791191154903</v>
      </c>
      <c r="AQ1078" s="13">
        <f t="shared" si="577"/>
        <v>13.273343667173831</v>
      </c>
      <c r="AR1078" s="13">
        <f t="shared" si="578"/>
        <v>5.8376394980912263</v>
      </c>
      <c r="AS1078" s="13">
        <f t="shared" si="579"/>
        <v>8.4585663851232855</v>
      </c>
      <c r="AT1078" s="13">
        <f t="shared" si="580"/>
        <v>8.1251164183305722</v>
      </c>
      <c r="AU1078" s="13">
        <f t="shared" si="609"/>
        <v>59.096757506991011</v>
      </c>
      <c r="AV1078" s="18">
        <f t="shared" si="597"/>
        <v>3</v>
      </c>
      <c r="AW1078" s="18">
        <f t="shared" si="598"/>
        <v>8</v>
      </c>
      <c r="AX1078" s="18">
        <f t="shared" si="599"/>
        <v>5</v>
      </c>
      <c r="AY1078" s="18">
        <f t="shared" si="600"/>
        <v>4</v>
      </c>
      <c r="AZ1078" s="18">
        <f t="shared" si="601"/>
        <v>2</v>
      </c>
      <c r="BA1078" s="18">
        <f t="shared" si="602"/>
        <v>9</v>
      </c>
      <c r="BB1078" s="18">
        <f t="shared" si="603"/>
        <v>6</v>
      </c>
      <c r="BC1078" s="18">
        <f t="shared" si="604"/>
        <v>7</v>
      </c>
      <c r="BD1078" s="18">
        <f t="shared" si="605"/>
        <v>1</v>
      </c>
      <c r="BE1078" s="8">
        <f t="shared" si="608"/>
        <v>-4.317199503041407E-3</v>
      </c>
    </row>
    <row r="1079" spans="1:57" x14ac:dyDescent="0.25">
      <c r="A1079" t="str">
        <f t="shared" si="607"/>
        <v/>
      </c>
      <c r="B1079" s="1">
        <v>44328</v>
      </c>
      <c r="C1079" s="9">
        <f t="shared" si="581"/>
        <v>0.32808550665403863</v>
      </c>
      <c r="D1079" s="9">
        <f t="shared" si="582"/>
        <v>0</v>
      </c>
      <c r="E1079" s="9">
        <f t="shared" si="583"/>
        <v>0</v>
      </c>
      <c r="F1079" s="9">
        <f t="shared" si="584"/>
        <v>0.34107349525952446</v>
      </c>
      <c r="G1079" s="9">
        <f t="shared" si="585"/>
        <v>0.33084099808643697</v>
      </c>
      <c r="H1079" s="9">
        <f t="shared" si="586"/>
        <v>0</v>
      </c>
      <c r="I1079" s="9">
        <f t="shared" si="587"/>
        <v>0</v>
      </c>
      <c r="J1079" s="9">
        <f t="shared" si="588"/>
        <v>0</v>
      </c>
      <c r="K1079" s="9">
        <v>0</v>
      </c>
      <c r="L1079" s="8">
        <f>+VLOOKUP($B1079,NIFTY_50!$B$3:$I$1238,8,0)</f>
        <v>-1.0386680807366599E-2</v>
      </c>
      <c r="M1079" s="8">
        <f>+VLOOKUP($B1079,NIFTY_BANK!$B$3:$I$41238,8,0)</f>
        <v>-1.2773711525240095E-2</v>
      </c>
      <c r="N1079" s="8">
        <f>+VLOOKUP($B1079,NIFTY_IT!$B$3:$I$1238,8,0)</f>
        <v>-9.6239662615343891E-3</v>
      </c>
      <c r="O1079" s="8">
        <f>+VLOOKUP($B1079,NIFTY_PHARMA!$B$3:$I$1238,8,0)</f>
        <v>-1.1374421059739959E-4</v>
      </c>
      <c r="P1079" s="8">
        <f>+VLOOKUP($B1079,NIFTY_FMCG!$B$3:$I$1238,8,0)</f>
        <v>-2.1066942480508777E-3</v>
      </c>
      <c r="Q1079" s="8">
        <f>+VLOOKUP($B1079,NIFTY_METAL!$B$3:$I$1238,8,0)</f>
        <v>-2.9747003750469903E-2</v>
      </c>
      <c r="R1079" s="8">
        <f>+VLOOKUP($B1079,NIFTY_ENERGY!$B$3:$I$1238,8,0)</f>
        <v>-1.0593197940563792E-2</v>
      </c>
      <c r="S1079" s="8">
        <f>+VLOOKUP($B1079,NIFTY_AUTO!$B$3:$I$1238,8,0)</f>
        <v>1.8559093956038719E-3</v>
      </c>
      <c r="T1079" s="8">
        <f>+VLOOKUP($B1079,EBBETF0430!$B$3:$I$1238,8,0)</f>
        <v>6.3353756964579233E-4</v>
      </c>
      <c r="U1079" s="8">
        <f>+VLOOKUP($B1079,NIFTY_50!$B$63:$K$1238,10,0)</f>
        <v>-2.7320921551627131E-2</v>
      </c>
      <c r="V1079" s="8">
        <f>+VLOOKUP($B1079,NIFTY_BANK!$B$63:$K$1238,10,0)</f>
        <v>-9.9959785336901863E-2</v>
      </c>
      <c r="W1079" s="8">
        <f>+VLOOKUP($B1079,NIFTY_IT!$B$63:$K$1238,10,0)</f>
        <v>2.9597562371139752E-3</v>
      </c>
      <c r="X1079" s="8">
        <f>+VLOOKUP($B1079,NIFTY_PHARMA!$B$63:$K$1238,10,0)</f>
        <v>9.7734296953047028E-2</v>
      </c>
      <c r="Y1079" s="8">
        <f>+VLOOKUP($B1079,NIFTY_FMCG!$B$63:$K$1238,10,0)</f>
        <v>-5.0801459482988642E-3</v>
      </c>
      <c r="Z1079" s="8">
        <f>+VLOOKUP($B1079,NIFTY_METAL!$B$63:$K$1238,10,0)</f>
        <v>0.50568497146841596</v>
      </c>
      <c r="AA1079" s="8">
        <f>+VLOOKUP($B1079,NIFTY_ENERGY!$B$63:$K$1238,10,0)</f>
        <v>5.8353217908557298E-2</v>
      </c>
      <c r="AB1079" s="8">
        <f>+VLOOKUP($B1079,NIFTY_AUTO!$B$63:$K$1238,10,0)</f>
        <v>-8.1956617404378651E-2</v>
      </c>
      <c r="AC1079" s="8">
        <f>+VLOOKUP($B1079,EBBETF0430!$B$63:$K$1238,10,0)</f>
        <v>-0.50394090888618659</v>
      </c>
      <c r="AD1079" s="16">
        <f t="shared" si="589"/>
        <v>9.6336805599787967E-2</v>
      </c>
      <c r="AE1079" s="8">
        <f t="shared" si="590"/>
        <v>0.14044812070707577</v>
      </c>
      <c r="AF1079" s="8">
        <f t="shared" si="591"/>
        <v>0.10449638107479897</v>
      </c>
      <c r="AG1079" s="8">
        <f t="shared" si="592"/>
        <v>0.10264420116306212</v>
      </c>
      <c r="AH1079" s="8">
        <f t="shared" si="593"/>
        <v>7.5099226030894681E-2</v>
      </c>
      <c r="AI1079" s="8">
        <f t="shared" si="594"/>
        <v>0.17429462740680896</v>
      </c>
      <c r="AJ1079" s="8">
        <f t="shared" si="595"/>
        <v>0.11880444147116563</v>
      </c>
      <c r="AK1079" s="8">
        <f t="shared" si="596"/>
        <v>0.12248466439111422</v>
      </c>
      <c r="AL1079" s="8">
        <f t="shared" si="610"/>
        <v>1.6902713222943611E-2</v>
      </c>
      <c r="AM1079" s="17">
        <f t="shared" si="573"/>
        <v>10.380248688692257</v>
      </c>
      <c r="AN1079" s="13">
        <f t="shared" si="574"/>
        <v>7.1200667902537482</v>
      </c>
      <c r="AO1079" s="13">
        <f t="shared" si="575"/>
        <v>9.5697093977273298</v>
      </c>
      <c r="AP1079" s="13">
        <f t="shared" si="576"/>
        <v>9.74239156882701</v>
      </c>
      <c r="AQ1079" s="13">
        <f t="shared" si="577"/>
        <v>13.315716457432133</v>
      </c>
      <c r="AR1079" s="13">
        <f t="shared" si="578"/>
        <v>5.7374115018816365</v>
      </c>
      <c r="AS1079" s="13">
        <f t="shared" si="579"/>
        <v>8.4171937312857494</v>
      </c>
      <c r="AT1079" s="13">
        <f t="shared" si="580"/>
        <v>8.1642873821887711</v>
      </c>
      <c r="AU1079" s="13">
        <f t="shared" si="609"/>
        <v>59.162099410324714</v>
      </c>
      <c r="AV1079" s="18">
        <f t="shared" si="597"/>
        <v>3</v>
      </c>
      <c r="AW1079" s="18">
        <f t="shared" si="598"/>
        <v>8</v>
      </c>
      <c r="AX1079" s="18">
        <f t="shared" si="599"/>
        <v>5</v>
      </c>
      <c r="AY1079" s="18">
        <f t="shared" si="600"/>
        <v>4</v>
      </c>
      <c r="AZ1079" s="18">
        <f t="shared" si="601"/>
        <v>2</v>
      </c>
      <c r="BA1079" s="18">
        <f t="shared" si="602"/>
        <v>9</v>
      </c>
      <c r="BB1079" s="18">
        <f t="shared" si="603"/>
        <v>6</v>
      </c>
      <c r="BC1079" s="18">
        <f t="shared" si="604"/>
        <v>7</v>
      </c>
      <c r="BD1079" s="18">
        <f t="shared" si="605"/>
        <v>1</v>
      </c>
      <c r="BE1079" s="8">
        <f t="shared" si="608"/>
        <v>-4.1633318269653028E-3</v>
      </c>
    </row>
    <row r="1080" spans="1:57" x14ac:dyDescent="0.25">
      <c r="A1080" t="str">
        <f t="shared" si="607"/>
        <v>Y</v>
      </c>
      <c r="B1080" s="1">
        <v>44330</v>
      </c>
      <c r="C1080" s="9">
        <f t="shared" si="581"/>
        <v>0.25</v>
      </c>
      <c r="D1080" s="9">
        <f t="shared" si="582"/>
        <v>0</v>
      </c>
      <c r="E1080" s="9">
        <f t="shared" si="583"/>
        <v>0</v>
      </c>
      <c r="F1080" s="9">
        <f t="shared" si="584"/>
        <v>0.25</v>
      </c>
      <c r="G1080" s="9">
        <f t="shared" si="585"/>
        <v>0.25</v>
      </c>
      <c r="H1080" s="9">
        <f t="shared" si="586"/>
        <v>0</v>
      </c>
      <c r="I1080" s="9">
        <f t="shared" si="587"/>
        <v>0</v>
      </c>
      <c r="J1080" s="9">
        <f t="shared" si="588"/>
        <v>0</v>
      </c>
      <c r="K1080" s="9">
        <v>0</v>
      </c>
      <c r="L1080" s="8">
        <f>+VLOOKUP($B1080,NIFTY_50!$B$3:$I$1238,8,0)</f>
        <v>-1.2724117987276129E-3</v>
      </c>
      <c r="M1080" s="8">
        <f>+VLOOKUP($B1080,NIFTY_BANK!$B$3:$I$41238,8,0)</f>
        <v>-8.7127876914733227E-3</v>
      </c>
      <c r="N1080" s="8">
        <f>+VLOOKUP($B1080,NIFTY_IT!$B$3:$I$1238,8,0)</f>
        <v>-1.0336312073469966E-2</v>
      </c>
      <c r="O1080" s="8">
        <f>+VLOOKUP($B1080,NIFTY_PHARMA!$B$3:$I$1238,8,0)</f>
        <v>-1.2765685155758377E-2</v>
      </c>
      <c r="P1080" s="8">
        <f>+VLOOKUP($B1080,NIFTY_FMCG!$B$3:$I$1238,8,0)</f>
        <v>2.1261164974425428E-2</v>
      </c>
      <c r="Q1080" s="8">
        <f>+VLOOKUP($B1080,NIFTY_METAL!$B$3:$I$1238,8,0)</f>
        <v>-3.7633849672523034E-2</v>
      </c>
      <c r="R1080" s="8">
        <f>+VLOOKUP($B1080,NIFTY_ENERGY!$B$3:$I$1238,8,0)</f>
        <v>-3.4433201192474172E-3</v>
      </c>
      <c r="S1080" s="8">
        <f>+VLOOKUP($B1080,NIFTY_AUTO!$B$3:$I$1238,8,0)</f>
        <v>-2.0292301009122493E-2</v>
      </c>
      <c r="T1080" s="8">
        <f>+VLOOKUP($B1080,EBBETF0430!$B$3:$I$1238,8,0)</f>
        <v>8.6731021084318627E-4</v>
      </c>
      <c r="U1080" s="8">
        <f>+VLOOKUP($B1080,NIFTY_50!$B$63:$K$1238,10,0)</f>
        <v>-2.8378512560818248E-2</v>
      </c>
      <c r="V1080" s="8">
        <f>+VLOOKUP($B1080,NIFTY_BANK!$B$63:$K$1238,10,0)</f>
        <v>-0.10098482244411466</v>
      </c>
      <c r="W1080" s="8">
        <f>+VLOOKUP($B1080,NIFTY_IT!$B$63:$K$1238,10,0)</f>
        <v>-1.1477556760014274E-2</v>
      </c>
      <c r="X1080" s="8">
        <f>+VLOOKUP($B1080,NIFTY_PHARMA!$B$63:$K$1238,10,0)</f>
        <v>7.5932447667863778E-2</v>
      </c>
      <c r="Y1080" s="8">
        <f>+VLOOKUP($B1080,NIFTY_FMCG!$B$63:$K$1238,10,0)</f>
        <v>1.7359892359892326E-2</v>
      </c>
      <c r="Z1080" s="8">
        <f>+VLOOKUP($B1080,NIFTY_METAL!$B$63:$K$1238,10,0)</f>
        <v>0.45017588333309622</v>
      </c>
      <c r="AA1080" s="8">
        <f>+VLOOKUP($B1080,NIFTY_ENERGY!$B$63:$K$1238,10,0)</f>
        <v>5.3458071657705553E-2</v>
      </c>
      <c r="AB1080" s="8">
        <f>+VLOOKUP($B1080,NIFTY_AUTO!$B$63:$K$1238,10,0)</f>
        <v>-0.10901973962046518</v>
      </c>
      <c r="AC1080" s="8">
        <f>+VLOOKUP($B1080,EBBETF0430!$B$63:$K$1238,10,0)</f>
        <v>3.153642283810389</v>
      </c>
      <c r="AD1080" s="16">
        <f t="shared" si="589"/>
        <v>9.634067013518588E-2</v>
      </c>
      <c r="AE1080" s="8">
        <f t="shared" si="590"/>
        <v>0.14050102885870189</v>
      </c>
      <c r="AF1080" s="8">
        <f t="shared" si="591"/>
        <v>0.1049283029227074</v>
      </c>
      <c r="AG1080" s="8">
        <f t="shared" si="592"/>
        <v>0.1034624479920896</v>
      </c>
      <c r="AH1080" s="8">
        <f t="shared" si="593"/>
        <v>7.7998024007394029E-2</v>
      </c>
      <c r="AI1080" s="8">
        <f t="shared" si="594"/>
        <v>0.17968386946836501</v>
      </c>
      <c r="AJ1080" s="8">
        <f t="shared" si="595"/>
        <v>0.11888768279077405</v>
      </c>
      <c r="AK1080" s="8">
        <f t="shared" si="596"/>
        <v>0.12342664000615496</v>
      </c>
      <c r="AL1080" s="8">
        <f t="shared" si="610"/>
        <v>1.6812197333957526E-2</v>
      </c>
      <c r="AM1080" s="17">
        <f t="shared" si="573"/>
        <v>10.379832303395785</v>
      </c>
      <c r="AN1080" s="13">
        <f t="shared" si="574"/>
        <v>7.1173856029600548</v>
      </c>
      <c r="AO1080" s="13">
        <f t="shared" si="575"/>
        <v>9.5303171036381187</v>
      </c>
      <c r="AP1080" s="13">
        <f t="shared" si="576"/>
        <v>9.6653425412518441</v>
      </c>
      <c r="AQ1080" s="13">
        <f t="shared" si="577"/>
        <v>12.820837613850351</v>
      </c>
      <c r="AR1080" s="13">
        <f t="shared" si="578"/>
        <v>5.5653298371118343</v>
      </c>
      <c r="AS1080" s="13">
        <f t="shared" si="579"/>
        <v>8.4113002838137767</v>
      </c>
      <c r="AT1080" s="13">
        <f t="shared" si="580"/>
        <v>8.101978632409768</v>
      </c>
      <c r="AU1080" s="13">
        <f t="shared" si="609"/>
        <v>59.480624699793715</v>
      </c>
      <c r="AV1080" s="18">
        <f t="shared" si="597"/>
        <v>3</v>
      </c>
      <c r="AW1080" s="18">
        <f t="shared" si="598"/>
        <v>8</v>
      </c>
      <c r="AX1080" s="18">
        <f t="shared" si="599"/>
        <v>5</v>
      </c>
      <c r="AY1080" s="18">
        <f t="shared" si="600"/>
        <v>4</v>
      </c>
      <c r="AZ1080" s="18">
        <f t="shared" si="601"/>
        <v>2</v>
      </c>
      <c r="BA1080" s="18">
        <f t="shared" si="602"/>
        <v>9</v>
      </c>
      <c r="BB1080" s="18">
        <f t="shared" si="603"/>
        <v>6</v>
      </c>
      <c r="BC1080" s="18">
        <f t="shared" si="604"/>
        <v>7</v>
      </c>
      <c r="BD1080" s="18">
        <f t="shared" si="605"/>
        <v>1</v>
      </c>
      <c r="BE1080" s="8">
        <f t="shared" si="608"/>
        <v>2.2625683155040417E-3</v>
      </c>
    </row>
  </sheetData>
  <autoFilter ref="A2:BE1080" xr:uid="{247D084E-7D47-4C44-BA25-B3D3F8B04091}"/>
  <mergeCells count="6">
    <mergeCell ref="C1:J1"/>
    <mergeCell ref="L1:S1"/>
    <mergeCell ref="AD1:AK1"/>
    <mergeCell ref="AM1:AT1"/>
    <mergeCell ref="AV1:BC1"/>
    <mergeCell ref="U1:AB1"/>
  </mergeCells>
  <conditionalFormatting sqref="C65:J1080 C64:K64">
    <cfRule type="cellIs" dxfId="0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3AF5D-6998-424C-AA10-B63EC248BBBD}">
  <dimension ref="A1:K1238"/>
  <sheetViews>
    <sheetView topLeftCell="A62" workbookViewId="0">
      <selection activeCell="K63" sqref="K63"/>
    </sheetView>
  </sheetViews>
  <sheetFormatPr defaultRowHeight="15" x14ac:dyDescent="0.25"/>
  <cols>
    <col min="2" max="2" width="10.7109375" bestFit="1" customWidth="1"/>
    <col min="3" max="3" width="18.5703125" bestFit="1" customWidth="1"/>
    <col min="11" max="11" width="10.140625" bestFit="1" customWidth="1"/>
  </cols>
  <sheetData>
    <row r="1" spans="1:11" x14ac:dyDescent="0.25">
      <c r="A1" t="s">
        <v>27</v>
      </c>
      <c r="B1" t="s">
        <v>7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26</v>
      </c>
      <c r="J1" t="s">
        <v>679</v>
      </c>
    </row>
    <row r="2" spans="1:11" x14ac:dyDescent="0.25">
      <c r="A2" t="str">
        <f>+MONTH(B2)&amp;YEAR(B2)</f>
        <v>12017</v>
      </c>
      <c r="B2" s="1">
        <v>42737</v>
      </c>
      <c r="C2" s="10">
        <v>42767.645833333336</v>
      </c>
      <c r="D2">
        <v>8210.1</v>
      </c>
      <c r="E2">
        <v>8212</v>
      </c>
      <c r="F2">
        <v>8133.8</v>
      </c>
      <c r="G2">
        <v>8179.5</v>
      </c>
      <c r="H2">
        <v>0</v>
      </c>
    </row>
    <row r="3" spans="1:11" x14ac:dyDescent="0.25">
      <c r="A3" t="str">
        <f t="shared" ref="A3:A66" si="0">+MONTH(B3)&amp;YEAR(B3)</f>
        <v>12017</v>
      </c>
      <c r="B3" s="1">
        <v>42738</v>
      </c>
      <c r="C3" s="10">
        <v>42795.645833333336</v>
      </c>
      <c r="D3">
        <v>8196.0499999999993</v>
      </c>
      <c r="E3">
        <v>8219.1</v>
      </c>
      <c r="F3">
        <v>8148.6</v>
      </c>
      <c r="G3">
        <v>8192.25</v>
      </c>
      <c r="H3">
        <v>0</v>
      </c>
      <c r="I3" s="8">
        <f>+G3/G2-1</f>
        <v>1.5587749862460143E-3</v>
      </c>
      <c r="J3" s="8">
        <f>+LN(1+I3)</f>
        <v>1.5575613575361691E-3</v>
      </c>
      <c r="K3" s="8"/>
    </row>
    <row r="4" spans="1:11" x14ac:dyDescent="0.25">
      <c r="A4" t="str">
        <f t="shared" si="0"/>
        <v>12017</v>
      </c>
      <c r="B4" s="1">
        <v>42739</v>
      </c>
      <c r="C4" s="10">
        <v>42826.645833333336</v>
      </c>
      <c r="D4">
        <v>8202.65</v>
      </c>
      <c r="E4">
        <v>8218.5</v>
      </c>
      <c r="F4">
        <v>8180.9</v>
      </c>
      <c r="G4">
        <v>8190.5</v>
      </c>
      <c r="H4">
        <v>0</v>
      </c>
      <c r="I4" s="8">
        <f t="shared" ref="I4:I67" si="1">+G4/G3-1</f>
        <v>-2.1361652781592966E-4</v>
      </c>
      <c r="J4" s="8">
        <f t="shared" ref="J4:J67" si="2">+LN(1+I4)</f>
        <v>-2.1363934707617968E-4</v>
      </c>
      <c r="K4" s="8"/>
    </row>
    <row r="5" spans="1:11" x14ac:dyDescent="0.25">
      <c r="A5" t="str">
        <f t="shared" si="0"/>
        <v>12017</v>
      </c>
      <c r="B5" s="1">
        <v>42740</v>
      </c>
      <c r="C5" s="10">
        <v>42856.645833333336</v>
      </c>
      <c r="D5">
        <v>8226.65</v>
      </c>
      <c r="E5">
        <v>8282.65</v>
      </c>
      <c r="F5">
        <v>8223.7000000000007</v>
      </c>
      <c r="G5">
        <v>8273.7999999999993</v>
      </c>
      <c r="H5">
        <v>0</v>
      </c>
      <c r="I5" s="8">
        <f t="shared" si="1"/>
        <v>1.0170319272327699E-2</v>
      </c>
      <c r="J5" s="8">
        <f t="shared" si="2"/>
        <v>1.0118949579130353E-2</v>
      </c>
      <c r="K5" s="8"/>
    </row>
    <row r="6" spans="1:11" x14ac:dyDescent="0.25">
      <c r="A6" t="str">
        <f t="shared" si="0"/>
        <v>12017</v>
      </c>
      <c r="B6" s="1">
        <v>42741</v>
      </c>
      <c r="C6" s="10">
        <v>42887.645833333336</v>
      </c>
      <c r="D6">
        <v>8281.85</v>
      </c>
      <c r="E6">
        <v>8306.85</v>
      </c>
      <c r="F6">
        <v>8233.25</v>
      </c>
      <c r="G6">
        <v>8243.7999999999993</v>
      </c>
      <c r="H6">
        <v>0</v>
      </c>
      <c r="I6" s="8">
        <f t="shared" si="1"/>
        <v>-3.6259034542773794E-3</v>
      </c>
      <c r="J6" s="8">
        <f t="shared" si="2"/>
        <v>-3.6324929756751554E-3</v>
      </c>
      <c r="K6" s="8"/>
    </row>
    <row r="7" spans="1:11" x14ac:dyDescent="0.25">
      <c r="A7" t="str">
        <f t="shared" si="0"/>
        <v>12017</v>
      </c>
      <c r="B7" s="1">
        <v>42744</v>
      </c>
      <c r="C7" s="10">
        <v>42979.645833333336</v>
      </c>
      <c r="D7">
        <v>8259.35</v>
      </c>
      <c r="E7">
        <v>8263</v>
      </c>
      <c r="F7">
        <v>8227.75</v>
      </c>
      <c r="G7">
        <v>8236.0499999999993</v>
      </c>
      <c r="H7">
        <v>0</v>
      </c>
      <c r="I7" s="8">
        <f t="shared" si="1"/>
        <v>-9.4010043911785246E-4</v>
      </c>
      <c r="J7" s="8">
        <f t="shared" si="2"/>
        <v>-9.4054261068117571E-4</v>
      </c>
      <c r="K7" s="8"/>
    </row>
    <row r="8" spans="1:11" x14ac:dyDescent="0.25">
      <c r="A8" t="str">
        <f t="shared" si="0"/>
        <v>12017</v>
      </c>
      <c r="B8" s="1">
        <v>42745</v>
      </c>
      <c r="C8" s="10">
        <v>43009.645833333336</v>
      </c>
      <c r="D8">
        <v>8262.7000000000007</v>
      </c>
      <c r="E8">
        <v>8293.7999999999993</v>
      </c>
      <c r="F8">
        <v>8261</v>
      </c>
      <c r="G8">
        <v>8288.6</v>
      </c>
      <c r="H8">
        <v>0</v>
      </c>
      <c r="I8" s="8">
        <f t="shared" si="1"/>
        <v>6.3804857911258228E-3</v>
      </c>
      <c r="J8" s="8">
        <f t="shared" si="2"/>
        <v>6.3602166638919953E-3</v>
      </c>
      <c r="K8" s="8"/>
    </row>
    <row r="9" spans="1:11" x14ac:dyDescent="0.25">
      <c r="A9" t="str">
        <f t="shared" si="0"/>
        <v>12017</v>
      </c>
      <c r="B9" s="1">
        <v>42746</v>
      </c>
      <c r="C9" s="10">
        <v>43040.645833333336</v>
      </c>
      <c r="D9">
        <v>8327.7999999999993</v>
      </c>
      <c r="E9">
        <v>8389</v>
      </c>
      <c r="F9">
        <v>8322.25</v>
      </c>
      <c r="G9">
        <v>8380.65</v>
      </c>
      <c r="H9">
        <v>0</v>
      </c>
      <c r="I9" s="8">
        <f t="shared" si="1"/>
        <v>1.110561494100315E-2</v>
      </c>
      <c r="J9" s="8">
        <f t="shared" si="2"/>
        <v>1.1044400399176861E-2</v>
      </c>
      <c r="K9" s="8"/>
    </row>
    <row r="10" spans="1:11" x14ac:dyDescent="0.25">
      <c r="A10" t="str">
        <f t="shared" si="0"/>
        <v>12017</v>
      </c>
      <c r="B10" s="1">
        <v>42747</v>
      </c>
      <c r="C10" s="10">
        <v>43070.645833333336</v>
      </c>
      <c r="D10">
        <v>8391.0499999999993</v>
      </c>
      <c r="E10">
        <v>8417.2000000000007</v>
      </c>
      <c r="F10">
        <v>8382.2999999999993</v>
      </c>
      <c r="G10">
        <v>8407.2000000000007</v>
      </c>
      <c r="H10">
        <v>0</v>
      </c>
      <c r="I10" s="8">
        <f t="shared" si="1"/>
        <v>3.1680120277068902E-3</v>
      </c>
      <c r="J10" s="8">
        <f t="shared" si="2"/>
        <v>3.1630044508581222E-3</v>
      </c>
      <c r="K10" s="8"/>
    </row>
    <row r="11" spans="1:11" x14ac:dyDescent="0.25">
      <c r="A11" t="str">
        <f t="shared" si="0"/>
        <v>12017</v>
      </c>
      <c r="B11" s="1">
        <v>42748</v>
      </c>
      <c r="C11" t="s">
        <v>28</v>
      </c>
      <c r="D11">
        <v>8457.65</v>
      </c>
      <c r="E11">
        <v>8461.0499999999993</v>
      </c>
      <c r="F11">
        <v>8373.15</v>
      </c>
      <c r="G11">
        <v>8400.35</v>
      </c>
      <c r="H11">
        <v>0</v>
      </c>
      <c r="I11" s="8">
        <f t="shared" si="1"/>
        <v>-8.1477780949668066E-4</v>
      </c>
      <c r="J11" s="8">
        <f t="shared" si="2"/>
        <v>-8.1510992134660248E-4</v>
      </c>
      <c r="K11" s="8"/>
    </row>
    <row r="12" spans="1:11" x14ac:dyDescent="0.25">
      <c r="A12" t="str">
        <f t="shared" si="0"/>
        <v>12017</v>
      </c>
      <c r="B12" s="1">
        <v>42751</v>
      </c>
      <c r="C12" t="s">
        <v>29</v>
      </c>
      <c r="D12">
        <v>8390.9500000000007</v>
      </c>
      <c r="E12">
        <v>8426.7000000000007</v>
      </c>
      <c r="F12">
        <v>8374.4</v>
      </c>
      <c r="G12">
        <v>8412.7999999999993</v>
      </c>
      <c r="H12">
        <v>0</v>
      </c>
      <c r="I12" s="8">
        <f t="shared" si="1"/>
        <v>1.4820811037634662E-3</v>
      </c>
      <c r="J12" s="8">
        <f t="shared" si="2"/>
        <v>1.4809839055218003E-3</v>
      </c>
      <c r="K12" s="8"/>
    </row>
    <row r="13" spans="1:11" x14ac:dyDescent="0.25">
      <c r="A13" t="str">
        <f t="shared" si="0"/>
        <v>12017</v>
      </c>
      <c r="B13" s="1">
        <v>42752</v>
      </c>
      <c r="C13" t="s">
        <v>30</v>
      </c>
      <c r="D13">
        <v>8415.0499999999993</v>
      </c>
      <c r="E13">
        <v>8440.9</v>
      </c>
      <c r="F13">
        <v>8378.2999999999993</v>
      </c>
      <c r="G13">
        <v>8398</v>
      </c>
      <c r="H13">
        <v>0</v>
      </c>
      <c r="I13" s="8">
        <f t="shared" si="1"/>
        <v>-1.7592240395586378E-3</v>
      </c>
      <c r="J13" s="8">
        <f t="shared" si="2"/>
        <v>-1.7607732914233583E-3</v>
      </c>
      <c r="K13" s="8"/>
    </row>
    <row r="14" spans="1:11" x14ac:dyDescent="0.25">
      <c r="A14" t="str">
        <f t="shared" si="0"/>
        <v>12017</v>
      </c>
      <c r="B14" s="1">
        <v>42753</v>
      </c>
      <c r="C14" t="s">
        <v>31</v>
      </c>
      <c r="D14">
        <v>8403.85</v>
      </c>
      <c r="E14">
        <v>8460.2999999999993</v>
      </c>
      <c r="F14">
        <v>8397.4</v>
      </c>
      <c r="G14">
        <v>8417</v>
      </c>
      <c r="H14">
        <v>0</v>
      </c>
      <c r="I14" s="8">
        <f t="shared" si="1"/>
        <v>2.2624434389140191E-3</v>
      </c>
      <c r="J14" s="8">
        <f t="shared" si="2"/>
        <v>2.2598879674375042E-3</v>
      </c>
      <c r="K14" s="8"/>
    </row>
    <row r="15" spans="1:11" x14ac:dyDescent="0.25">
      <c r="A15" t="str">
        <f t="shared" si="0"/>
        <v>12017</v>
      </c>
      <c r="B15" s="1">
        <v>42754</v>
      </c>
      <c r="C15" t="s">
        <v>32</v>
      </c>
      <c r="D15">
        <v>8418.4</v>
      </c>
      <c r="E15">
        <v>8445.15</v>
      </c>
      <c r="F15">
        <v>8404.0499999999993</v>
      </c>
      <c r="G15">
        <v>8435.1</v>
      </c>
      <c r="H15">
        <v>0</v>
      </c>
      <c r="I15" s="8">
        <f t="shared" si="1"/>
        <v>2.1504098847571207E-3</v>
      </c>
      <c r="J15" s="8">
        <f t="shared" si="2"/>
        <v>2.1481010627708392E-3</v>
      </c>
      <c r="K15" s="8"/>
    </row>
    <row r="16" spans="1:11" x14ac:dyDescent="0.25">
      <c r="A16" t="str">
        <f t="shared" si="0"/>
        <v>12017</v>
      </c>
      <c r="B16" s="1">
        <v>42755</v>
      </c>
      <c r="C16" t="s">
        <v>33</v>
      </c>
      <c r="D16">
        <v>8404.35</v>
      </c>
      <c r="E16">
        <v>8423.65</v>
      </c>
      <c r="F16">
        <v>8340.9500000000007</v>
      </c>
      <c r="G16">
        <v>8349.35</v>
      </c>
      <c r="H16">
        <v>0</v>
      </c>
      <c r="I16" s="8">
        <f t="shared" si="1"/>
        <v>-1.0165854583822354E-2</v>
      </c>
      <c r="J16" s="8">
        <f t="shared" si="2"/>
        <v>-1.0217879770848582E-2</v>
      </c>
      <c r="K16" s="8"/>
    </row>
    <row r="17" spans="1:11" x14ac:dyDescent="0.25">
      <c r="A17" t="str">
        <f t="shared" si="0"/>
        <v>12017</v>
      </c>
      <c r="B17" s="1">
        <v>42758</v>
      </c>
      <c r="C17" t="s">
        <v>34</v>
      </c>
      <c r="D17">
        <v>8329.6</v>
      </c>
      <c r="E17">
        <v>8404.15</v>
      </c>
      <c r="F17">
        <v>8327.2000000000007</v>
      </c>
      <c r="G17">
        <v>8391.5</v>
      </c>
      <c r="H17">
        <v>0</v>
      </c>
      <c r="I17" s="8">
        <f t="shared" si="1"/>
        <v>5.0482971728338377E-3</v>
      </c>
      <c r="J17" s="8">
        <f t="shared" si="2"/>
        <v>5.035597244735685E-3</v>
      </c>
      <c r="K17" s="8"/>
    </row>
    <row r="18" spans="1:11" x14ac:dyDescent="0.25">
      <c r="A18" t="str">
        <f t="shared" si="0"/>
        <v>12017</v>
      </c>
      <c r="B18" s="1">
        <v>42759</v>
      </c>
      <c r="C18" t="s">
        <v>35</v>
      </c>
      <c r="D18">
        <v>8407.0499999999993</v>
      </c>
      <c r="E18">
        <v>8480.9500000000007</v>
      </c>
      <c r="F18">
        <v>8398.15</v>
      </c>
      <c r="G18">
        <v>8475.7999999999993</v>
      </c>
      <c r="H18">
        <v>0</v>
      </c>
      <c r="I18" s="8">
        <f t="shared" si="1"/>
        <v>1.0045879759280174E-2</v>
      </c>
      <c r="J18" s="8">
        <f t="shared" si="2"/>
        <v>9.9957553256989056E-3</v>
      </c>
      <c r="K18" s="8"/>
    </row>
    <row r="19" spans="1:11" x14ac:dyDescent="0.25">
      <c r="A19" t="str">
        <f t="shared" si="0"/>
        <v>12017</v>
      </c>
      <c r="B19" s="1">
        <v>42760</v>
      </c>
      <c r="C19" t="s">
        <v>36</v>
      </c>
      <c r="D19">
        <v>8499.4500000000007</v>
      </c>
      <c r="E19">
        <v>8612.6</v>
      </c>
      <c r="F19">
        <v>8493.9500000000007</v>
      </c>
      <c r="G19">
        <v>8602.75</v>
      </c>
      <c r="H19">
        <v>0</v>
      </c>
      <c r="I19" s="8">
        <f t="shared" si="1"/>
        <v>1.4977937185870482E-2</v>
      </c>
      <c r="J19" s="8">
        <f t="shared" si="2"/>
        <v>1.4866875494814625E-2</v>
      </c>
      <c r="K19" s="8"/>
    </row>
    <row r="20" spans="1:11" x14ac:dyDescent="0.25">
      <c r="A20" t="str">
        <f t="shared" si="0"/>
        <v>12017</v>
      </c>
      <c r="B20" s="1">
        <v>42762</v>
      </c>
      <c r="C20" t="s">
        <v>37</v>
      </c>
      <c r="D20">
        <v>8610.5</v>
      </c>
      <c r="E20">
        <v>8672.7000000000007</v>
      </c>
      <c r="F20">
        <v>8606.9</v>
      </c>
      <c r="G20">
        <v>8641.25</v>
      </c>
      <c r="H20">
        <v>0</v>
      </c>
      <c r="I20" s="8">
        <f t="shared" si="1"/>
        <v>4.4753131266164203E-3</v>
      </c>
      <c r="J20" s="8">
        <f t="shared" si="2"/>
        <v>4.4653286907273063E-3</v>
      </c>
      <c r="K20" s="8"/>
    </row>
    <row r="21" spans="1:11" x14ac:dyDescent="0.25">
      <c r="A21" t="str">
        <f t="shared" si="0"/>
        <v>12017</v>
      </c>
      <c r="B21" s="1">
        <v>42765</v>
      </c>
      <c r="C21" t="s">
        <v>38</v>
      </c>
      <c r="D21">
        <v>8635.5499999999993</v>
      </c>
      <c r="E21">
        <v>8662.6</v>
      </c>
      <c r="F21">
        <v>8617.75</v>
      </c>
      <c r="G21">
        <v>8632.75</v>
      </c>
      <c r="H21">
        <v>0</v>
      </c>
      <c r="I21" s="8">
        <f t="shared" si="1"/>
        <v>-9.8365398524513648E-4</v>
      </c>
      <c r="J21" s="8">
        <f t="shared" si="2"/>
        <v>-9.8413809031377042E-4</v>
      </c>
      <c r="K21" s="8"/>
    </row>
    <row r="22" spans="1:11" x14ac:dyDescent="0.25">
      <c r="A22" t="str">
        <f t="shared" si="0"/>
        <v>12017</v>
      </c>
      <c r="B22" s="1">
        <v>42766</v>
      </c>
      <c r="C22" t="s">
        <v>39</v>
      </c>
      <c r="D22">
        <v>8629.4500000000007</v>
      </c>
      <c r="E22">
        <v>8631.75</v>
      </c>
      <c r="F22">
        <v>8552.4</v>
      </c>
      <c r="G22">
        <v>8561.2999999999993</v>
      </c>
      <c r="H22">
        <v>0</v>
      </c>
      <c r="I22" s="8">
        <f t="shared" si="1"/>
        <v>-8.2766210072110491E-3</v>
      </c>
      <c r="J22" s="8">
        <f t="shared" si="2"/>
        <v>-8.3110624054480442E-3</v>
      </c>
      <c r="K22" s="8"/>
    </row>
    <row r="23" spans="1:11" x14ac:dyDescent="0.25">
      <c r="A23" t="str">
        <f t="shared" si="0"/>
        <v>22017</v>
      </c>
      <c r="B23" s="1">
        <v>42767</v>
      </c>
      <c r="C23" s="10">
        <v>42737.645833333336</v>
      </c>
      <c r="D23">
        <v>8570.35</v>
      </c>
      <c r="E23">
        <v>8722.4</v>
      </c>
      <c r="F23">
        <v>8537.5</v>
      </c>
      <c r="G23">
        <v>8716.4</v>
      </c>
      <c r="H23">
        <v>0</v>
      </c>
      <c r="I23" s="8">
        <f t="shared" si="1"/>
        <v>1.8116407554927383E-2</v>
      </c>
      <c r="J23" s="8">
        <f t="shared" si="2"/>
        <v>1.7954260859053356E-2</v>
      </c>
      <c r="K23" s="8"/>
    </row>
    <row r="24" spans="1:11" x14ac:dyDescent="0.25">
      <c r="A24" t="str">
        <f t="shared" si="0"/>
        <v>22017</v>
      </c>
      <c r="B24" s="1">
        <v>42768</v>
      </c>
      <c r="C24" s="10">
        <v>42768.645833333336</v>
      </c>
      <c r="D24">
        <v>8724.75</v>
      </c>
      <c r="E24">
        <v>8757.6</v>
      </c>
      <c r="F24">
        <v>8685.7999999999993</v>
      </c>
      <c r="G24">
        <v>8734.25</v>
      </c>
      <c r="H24">
        <v>0</v>
      </c>
      <c r="I24" s="8">
        <f t="shared" si="1"/>
        <v>2.0478637969805202E-3</v>
      </c>
      <c r="J24" s="8">
        <f t="shared" si="2"/>
        <v>2.0457697822656349E-3</v>
      </c>
      <c r="K24" s="8"/>
    </row>
    <row r="25" spans="1:11" x14ac:dyDescent="0.25">
      <c r="A25" t="str">
        <f t="shared" si="0"/>
        <v>22017</v>
      </c>
      <c r="B25" s="1">
        <v>42769</v>
      </c>
      <c r="C25" s="10">
        <v>42796.645833333336</v>
      </c>
      <c r="D25">
        <v>8735.15</v>
      </c>
      <c r="E25">
        <v>8748.25</v>
      </c>
      <c r="F25">
        <v>8707.75</v>
      </c>
      <c r="G25">
        <v>8740.9500000000007</v>
      </c>
      <c r="H25">
        <v>0</v>
      </c>
      <c r="I25" s="8">
        <f t="shared" si="1"/>
        <v>7.6709505681660239E-4</v>
      </c>
      <c r="J25" s="8">
        <f t="shared" si="2"/>
        <v>7.6680098977881088E-4</v>
      </c>
      <c r="K25" s="8"/>
    </row>
    <row r="26" spans="1:11" x14ac:dyDescent="0.25">
      <c r="A26" t="str">
        <f t="shared" si="0"/>
        <v>22017</v>
      </c>
      <c r="B26" s="1">
        <v>42772</v>
      </c>
      <c r="C26" s="10">
        <v>42888.645833333336</v>
      </c>
      <c r="D26">
        <v>8785.4500000000007</v>
      </c>
      <c r="E26">
        <v>8814.1</v>
      </c>
      <c r="F26">
        <v>8770.2000000000007</v>
      </c>
      <c r="G26">
        <v>8801.0499999999993</v>
      </c>
      <c r="H26">
        <v>0</v>
      </c>
      <c r="I26" s="8">
        <f t="shared" si="1"/>
        <v>6.8756828491181032E-3</v>
      </c>
      <c r="J26" s="8">
        <f t="shared" si="2"/>
        <v>6.8521531354571339E-3</v>
      </c>
      <c r="K26" s="8"/>
    </row>
    <row r="27" spans="1:11" x14ac:dyDescent="0.25">
      <c r="A27" t="str">
        <f t="shared" si="0"/>
        <v>22017</v>
      </c>
      <c r="B27" s="1">
        <v>42773</v>
      </c>
      <c r="C27" s="10">
        <v>42918.645833333336</v>
      </c>
      <c r="D27">
        <v>8805.7000000000007</v>
      </c>
      <c r="E27">
        <v>8809.2999999999993</v>
      </c>
      <c r="F27">
        <v>8741.0499999999993</v>
      </c>
      <c r="G27">
        <v>8768.2999999999993</v>
      </c>
      <c r="H27">
        <v>0</v>
      </c>
      <c r="I27" s="8">
        <f t="shared" si="1"/>
        <v>-3.7211469086074755E-3</v>
      </c>
      <c r="J27" s="8">
        <f t="shared" si="2"/>
        <v>-3.7280875993350071E-3</v>
      </c>
      <c r="K27" s="8"/>
    </row>
    <row r="28" spans="1:11" x14ac:dyDescent="0.25">
      <c r="A28" t="str">
        <f t="shared" si="0"/>
        <v>22017</v>
      </c>
      <c r="B28" s="1">
        <v>42774</v>
      </c>
      <c r="C28" s="10">
        <v>42949.645833333336</v>
      </c>
      <c r="D28">
        <v>8774.5499999999993</v>
      </c>
      <c r="E28">
        <v>8791.25</v>
      </c>
      <c r="F28">
        <v>8715</v>
      </c>
      <c r="G28">
        <v>8769.0499999999993</v>
      </c>
      <c r="H28">
        <v>0</v>
      </c>
      <c r="I28" s="8">
        <f t="shared" si="1"/>
        <v>8.5535394546365495E-5</v>
      </c>
      <c r="J28" s="8">
        <f t="shared" si="2"/>
        <v>8.5531736603092993E-5</v>
      </c>
      <c r="K28" s="8"/>
    </row>
    <row r="29" spans="1:11" x14ac:dyDescent="0.25">
      <c r="A29" t="str">
        <f t="shared" si="0"/>
        <v>22017</v>
      </c>
      <c r="B29" s="1">
        <v>42775</v>
      </c>
      <c r="C29" s="10">
        <v>42980.645833333336</v>
      </c>
      <c r="D29">
        <v>8795.5499999999993</v>
      </c>
      <c r="E29">
        <v>8821.4</v>
      </c>
      <c r="F29">
        <v>8724.1</v>
      </c>
      <c r="G29">
        <v>8778.4</v>
      </c>
      <c r="H29">
        <v>0</v>
      </c>
      <c r="I29" s="8">
        <f t="shared" si="1"/>
        <v>1.0662500498914707E-3</v>
      </c>
      <c r="J29" s="8">
        <f t="shared" si="2"/>
        <v>1.0656820090535477E-3</v>
      </c>
      <c r="K29" s="8"/>
    </row>
    <row r="30" spans="1:11" x14ac:dyDescent="0.25">
      <c r="A30" t="str">
        <f t="shared" si="0"/>
        <v>22017</v>
      </c>
      <c r="B30" s="1">
        <v>42776</v>
      </c>
      <c r="C30" s="10">
        <v>43010.645833333336</v>
      </c>
      <c r="D30">
        <v>8812.35</v>
      </c>
      <c r="E30">
        <v>8822.1</v>
      </c>
      <c r="F30">
        <v>8771.2000000000007</v>
      </c>
      <c r="G30">
        <v>8793.5499999999993</v>
      </c>
      <c r="H30">
        <v>0</v>
      </c>
      <c r="I30" s="8">
        <f t="shared" si="1"/>
        <v>1.7258270299826961E-3</v>
      </c>
      <c r="J30" s="8">
        <f t="shared" si="2"/>
        <v>1.7243395017456963E-3</v>
      </c>
      <c r="K30" s="8"/>
    </row>
    <row r="31" spans="1:11" x14ac:dyDescent="0.25">
      <c r="A31" t="str">
        <f t="shared" si="0"/>
        <v>22017</v>
      </c>
      <c r="B31" s="1">
        <v>42779</v>
      </c>
      <c r="C31" t="s">
        <v>40</v>
      </c>
      <c r="D31">
        <v>8819.7999999999993</v>
      </c>
      <c r="E31">
        <v>8826.9</v>
      </c>
      <c r="F31">
        <v>8754.2000000000007</v>
      </c>
      <c r="G31">
        <v>8805.0499999999993</v>
      </c>
      <c r="H31">
        <v>0</v>
      </c>
      <c r="I31" s="8">
        <f t="shared" si="1"/>
        <v>1.307776722711429E-3</v>
      </c>
      <c r="J31" s="8">
        <f t="shared" si="2"/>
        <v>1.306922327557468E-3</v>
      </c>
      <c r="K31" s="8"/>
    </row>
    <row r="32" spans="1:11" x14ac:dyDescent="0.25">
      <c r="A32" t="str">
        <f t="shared" si="0"/>
        <v>22017</v>
      </c>
      <c r="B32" s="1">
        <v>42780</v>
      </c>
      <c r="C32" t="s">
        <v>41</v>
      </c>
      <c r="D32">
        <v>8819.9</v>
      </c>
      <c r="E32">
        <v>8820.4500000000007</v>
      </c>
      <c r="F32">
        <v>8772.5</v>
      </c>
      <c r="G32">
        <v>8792.2999999999993</v>
      </c>
      <c r="H32">
        <v>0</v>
      </c>
      <c r="I32" s="8">
        <f t="shared" si="1"/>
        <v>-1.4480326630740281E-3</v>
      </c>
      <c r="J32" s="8">
        <f t="shared" si="2"/>
        <v>-1.4490820755487257E-3</v>
      </c>
      <c r="K32" s="8"/>
    </row>
    <row r="33" spans="1:11" x14ac:dyDescent="0.25">
      <c r="A33" t="str">
        <f t="shared" si="0"/>
        <v>22017</v>
      </c>
      <c r="B33" s="1">
        <v>42781</v>
      </c>
      <c r="C33" t="s">
        <v>42</v>
      </c>
      <c r="D33">
        <v>8778.9500000000007</v>
      </c>
      <c r="E33">
        <v>8807.9</v>
      </c>
      <c r="F33">
        <v>8712.85</v>
      </c>
      <c r="G33">
        <v>8724.7000000000007</v>
      </c>
      <c r="H33">
        <v>0</v>
      </c>
      <c r="I33" s="8">
        <f t="shared" si="1"/>
        <v>-7.6885456592699075E-3</v>
      </c>
      <c r="J33" s="8">
        <f t="shared" si="2"/>
        <v>-7.7182549050122812E-3</v>
      </c>
      <c r="K33" s="8"/>
    </row>
    <row r="34" spans="1:11" x14ac:dyDescent="0.25">
      <c r="A34" t="str">
        <f t="shared" si="0"/>
        <v>22017</v>
      </c>
      <c r="B34" s="1">
        <v>42782</v>
      </c>
      <c r="C34" t="s">
        <v>43</v>
      </c>
      <c r="D34">
        <v>8739</v>
      </c>
      <c r="E34">
        <v>8783.9500000000007</v>
      </c>
      <c r="F34">
        <v>8719.6</v>
      </c>
      <c r="G34">
        <v>8778</v>
      </c>
      <c r="H34">
        <v>0</v>
      </c>
      <c r="I34" s="8">
        <f t="shared" si="1"/>
        <v>6.1090925762490311E-3</v>
      </c>
      <c r="J34" s="8">
        <f t="shared" si="2"/>
        <v>6.0905077228478183E-3</v>
      </c>
      <c r="K34" s="8"/>
    </row>
    <row r="35" spans="1:11" x14ac:dyDescent="0.25">
      <c r="A35" t="str">
        <f t="shared" si="0"/>
        <v>22017</v>
      </c>
      <c r="B35" s="1">
        <v>42783</v>
      </c>
      <c r="C35" t="s">
        <v>44</v>
      </c>
      <c r="D35">
        <v>8883.7000000000007</v>
      </c>
      <c r="E35">
        <v>8896.4500000000007</v>
      </c>
      <c r="F35">
        <v>8804.25</v>
      </c>
      <c r="G35">
        <v>8821.7000000000007</v>
      </c>
      <c r="H35">
        <v>0</v>
      </c>
      <c r="I35" s="8">
        <f t="shared" si="1"/>
        <v>4.9783549783550818E-3</v>
      </c>
      <c r="J35" s="8">
        <f t="shared" si="2"/>
        <v>4.9660039441372771E-3</v>
      </c>
      <c r="K35" s="8"/>
    </row>
    <row r="36" spans="1:11" x14ac:dyDescent="0.25">
      <c r="A36" t="str">
        <f t="shared" si="0"/>
        <v>22017</v>
      </c>
      <c r="B36" s="1">
        <v>42786</v>
      </c>
      <c r="C36" t="s">
        <v>45</v>
      </c>
      <c r="D36">
        <v>8818.5499999999993</v>
      </c>
      <c r="E36">
        <v>8886.25</v>
      </c>
      <c r="F36">
        <v>8809.7999999999993</v>
      </c>
      <c r="G36">
        <v>8879.2000000000007</v>
      </c>
      <c r="H36">
        <v>0</v>
      </c>
      <c r="I36" s="8">
        <f t="shared" si="1"/>
        <v>6.5180180690795897E-3</v>
      </c>
      <c r="J36" s="8">
        <f t="shared" si="2"/>
        <v>6.4968676454531952E-3</v>
      </c>
      <c r="K36" s="8"/>
    </row>
    <row r="37" spans="1:11" x14ac:dyDescent="0.25">
      <c r="A37" t="str">
        <f t="shared" si="0"/>
        <v>22017</v>
      </c>
      <c r="B37" s="1">
        <v>42787</v>
      </c>
      <c r="C37" t="s">
        <v>46</v>
      </c>
      <c r="D37">
        <v>8890.75</v>
      </c>
      <c r="E37">
        <v>8920.7999999999993</v>
      </c>
      <c r="F37">
        <v>8860.9500000000007</v>
      </c>
      <c r="G37">
        <v>8907.85</v>
      </c>
      <c r="H37">
        <v>0</v>
      </c>
      <c r="I37" s="8">
        <f t="shared" si="1"/>
        <v>3.2266420398232576E-3</v>
      </c>
      <c r="J37" s="8">
        <f t="shared" si="2"/>
        <v>3.2214476011268849E-3</v>
      </c>
      <c r="K37" s="8"/>
    </row>
    <row r="38" spans="1:11" x14ac:dyDescent="0.25">
      <c r="A38" t="str">
        <f t="shared" si="0"/>
        <v>22017</v>
      </c>
      <c r="B38" s="1">
        <v>42788</v>
      </c>
      <c r="C38" t="s">
        <v>47</v>
      </c>
      <c r="D38">
        <v>8931.6</v>
      </c>
      <c r="E38">
        <v>8960.75</v>
      </c>
      <c r="F38">
        <v>8905.25</v>
      </c>
      <c r="G38">
        <v>8926.9</v>
      </c>
      <c r="H38">
        <v>0</v>
      </c>
      <c r="I38" s="8">
        <f t="shared" si="1"/>
        <v>2.1385631774220037E-3</v>
      </c>
      <c r="J38" s="8">
        <f t="shared" si="2"/>
        <v>2.136279706175582E-3</v>
      </c>
      <c r="K38" s="8"/>
    </row>
    <row r="39" spans="1:11" x14ac:dyDescent="0.25">
      <c r="A39" t="str">
        <f t="shared" si="0"/>
        <v>22017</v>
      </c>
      <c r="B39" s="1">
        <v>42789</v>
      </c>
      <c r="C39" t="s">
        <v>48</v>
      </c>
      <c r="D39">
        <v>8956.4</v>
      </c>
      <c r="E39">
        <v>8982.15</v>
      </c>
      <c r="F39">
        <v>8927.5499999999993</v>
      </c>
      <c r="G39">
        <v>8939.5</v>
      </c>
      <c r="H39">
        <v>0</v>
      </c>
      <c r="I39" s="8">
        <f t="shared" si="1"/>
        <v>1.4114642261031651E-3</v>
      </c>
      <c r="J39" s="8">
        <f t="shared" si="2"/>
        <v>1.4104690468023052E-3</v>
      </c>
      <c r="K39" s="8"/>
    </row>
    <row r="40" spans="1:11" x14ac:dyDescent="0.25">
      <c r="A40" t="str">
        <f t="shared" si="0"/>
        <v>22017</v>
      </c>
      <c r="B40" s="1">
        <v>42793</v>
      </c>
      <c r="C40" t="s">
        <v>49</v>
      </c>
      <c r="D40">
        <v>8943.7000000000007</v>
      </c>
      <c r="E40">
        <v>8951.7999999999993</v>
      </c>
      <c r="F40">
        <v>8888.65</v>
      </c>
      <c r="G40">
        <v>8896.7000000000007</v>
      </c>
      <c r="H40">
        <v>0</v>
      </c>
      <c r="I40" s="8">
        <f t="shared" si="1"/>
        <v>-4.7877398064768428E-3</v>
      </c>
      <c r="J40" s="8">
        <f t="shared" si="2"/>
        <v>-4.7992377468149853E-3</v>
      </c>
      <c r="K40" s="8"/>
    </row>
    <row r="41" spans="1:11" x14ac:dyDescent="0.25">
      <c r="A41" t="str">
        <f t="shared" si="0"/>
        <v>22017</v>
      </c>
      <c r="B41" s="1">
        <v>42794</v>
      </c>
      <c r="C41" t="s">
        <v>50</v>
      </c>
      <c r="D41">
        <v>8898.9500000000007</v>
      </c>
      <c r="E41">
        <v>8914.75</v>
      </c>
      <c r="F41">
        <v>8867.6</v>
      </c>
      <c r="G41">
        <v>8879.6</v>
      </c>
      <c r="H41">
        <v>0</v>
      </c>
      <c r="I41" s="8">
        <f t="shared" si="1"/>
        <v>-1.9220609889060158E-3</v>
      </c>
      <c r="J41" s="8">
        <f t="shared" si="2"/>
        <v>-1.923910518447593E-3</v>
      </c>
      <c r="K41" s="8"/>
    </row>
    <row r="42" spans="1:11" x14ac:dyDescent="0.25">
      <c r="A42" t="str">
        <f t="shared" si="0"/>
        <v>32017</v>
      </c>
      <c r="B42" s="1">
        <v>42795</v>
      </c>
      <c r="C42" s="10">
        <v>42738.645833333336</v>
      </c>
      <c r="D42">
        <v>8904.4</v>
      </c>
      <c r="E42">
        <v>8960.7999999999993</v>
      </c>
      <c r="F42">
        <v>8898.6</v>
      </c>
      <c r="G42">
        <v>8945.7999999999993</v>
      </c>
      <c r="H42">
        <v>0</v>
      </c>
      <c r="I42" s="8">
        <f t="shared" si="1"/>
        <v>7.4552907788638656E-3</v>
      </c>
      <c r="J42" s="8">
        <f t="shared" si="2"/>
        <v>7.4276374558894988E-3</v>
      </c>
      <c r="K42" s="8"/>
    </row>
    <row r="43" spans="1:11" x14ac:dyDescent="0.25">
      <c r="A43" t="str">
        <f t="shared" si="0"/>
        <v>32017</v>
      </c>
      <c r="B43" s="1">
        <v>42796</v>
      </c>
      <c r="C43" s="10">
        <v>42769.645833333336</v>
      </c>
      <c r="D43">
        <v>8982.85</v>
      </c>
      <c r="E43">
        <v>8992.5</v>
      </c>
      <c r="F43">
        <v>8879.7999999999993</v>
      </c>
      <c r="G43">
        <v>8899.75</v>
      </c>
      <c r="H43">
        <v>0</v>
      </c>
      <c r="I43" s="8">
        <f t="shared" si="1"/>
        <v>-5.1476670616378284E-3</v>
      </c>
      <c r="J43" s="8">
        <f t="shared" si="2"/>
        <v>-5.1609619444392294E-3</v>
      </c>
      <c r="K43" s="8"/>
    </row>
    <row r="44" spans="1:11" x14ac:dyDescent="0.25">
      <c r="A44" t="str">
        <f t="shared" si="0"/>
        <v>32017</v>
      </c>
      <c r="B44" s="1">
        <v>42797</v>
      </c>
      <c r="C44" s="10">
        <v>42797.645833333336</v>
      </c>
      <c r="D44">
        <v>8883.5</v>
      </c>
      <c r="E44">
        <v>8907.1</v>
      </c>
      <c r="F44">
        <v>8860.1</v>
      </c>
      <c r="G44">
        <v>8897.5499999999993</v>
      </c>
      <c r="H44">
        <v>0</v>
      </c>
      <c r="I44" s="8">
        <f t="shared" si="1"/>
        <v>-2.4719795499883457E-4</v>
      </c>
      <c r="J44" s="8">
        <f t="shared" si="2"/>
        <v>-2.4722851344940712E-4</v>
      </c>
      <c r="K44" s="8"/>
    </row>
    <row r="45" spans="1:11" x14ac:dyDescent="0.25">
      <c r="A45" t="str">
        <f t="shared" si="0"/>
        <v>32017</v>
      </c>
      <c r="B45" s="1">
        <v>42800</v>
      </c>
      <c r="C45" s="10">
        <v>42889.645833333336</v>
      </c>
      <c r="D45">
        <v>8915.1</v>
      </c>
      <c r="E45">
        <v>8967.7999999999993</v>
      </c>
      <c r="F45">
        <v>8914</v>
      </c>
      <c r="G45">
        <v>8963.4500000000007</v>
      </c>
      <c r="H45">
        <v>0</v>
      </c>
      <c r="I45" s="8">
        <f t="shared" si="1"/>
        <v>7.4065332591557453E-3</v>
      </c>
      <c r="J45" s="8">
        <f t="shared" si="2"/>
        <v>7.3792395765551015E-3</v>
      </c>
      <c r="K45" s="8"/>
    </row>
    <row r="46" spans="1:11" x14ac:dyDescent="0.25">
      <c r="A46" t="str">
        <f t="shared" si="0"/>
        <v>32017</v>
      </c>
      <c r="B46" s="1">
        <v>42801</v>
      </c>
      <c r="C46" s="10">
        <v>42919.645833333336</v>
      </c>
      <c r="D46">
        <v>8977.75</v>
      </c>
      <c r="E46">
        <v>8977.85</v>
      </c>
      <c r="F46">
        <v>8932.7999999999993</v>
      </c>
      <c r="G46">
        <v>8946.9</v>
      </c>
      <c r="H46">
        <v>0</v>
      </c>
      <c r="I46" s="8">
        <f t="shared" si="1"/>
        <v>-1.8463872727577657E-3</v>
      </c>
      <c r="J46" s="8">
        <f t="shared" si="2"/>
        <v>-1.848093946849372E-3</v>
      </c>
      <c r="K46" s="8"/>
    </row>
    <row r="47" spans="1:11" x14ac:dyDescent="0.25">
      <c r="A47" t="str">
        <f t="shared" si="0"/>
        <v>32017</v>
      </c>
      <c r="B47" s="1">
        <v>42802</v>
      </c>
      <c r="C47" s="10">
        <v>42950.645833333336</v>
      </c>
      <c r="D47">
        <v>8950.7000000000007</v>
      </c>
      <c r="E47">
        <v>8957.0499999999993</v>
      </c>
      <c r="F47">
        <v>8891.9500000000007</v>
      </c>
      <c r="G47">
        <v>8924.2999999999993</v>
      </c>
      <c r="H47">
        <v>0</v>
      </c>
      <c r="I47" s="8">
        <f t="shared" si="1"/>
        <v>-2.5260145972347825E-3</v>
      </c>
      <c r="J47" s="8">
        <f t="shared" si="2"/>
        <v>-2.5292103549289409E-3</v>
      </c>
      <c r="K47" s="8"/>
    </row>
    <row r="48" spans="1:11" x14ac:dyDescent="0.25">
      <c r="A48" t="str">
        <f t="shared" si="0"/>
        <v>32017</v>
      </c>
      <c r="B48" s="1">
        <v>42803</v>
      </c>
      <c r="C48" s="10">
        <v>42981.645833333336</v>
      </c>
      <c r="D48">
        <v>8914.5</v>
      </c>
      <c r="E48">
        <v>8945.7999999999993</v>
      </c>
      <c r="F48">
        <v>8899.5</v>
      </c>
      <c r="G48">
        <v>8927</v>
      </c>
      <c r="H48">
        <v>0</v>
      </c>
      <c r="I48" s="8">
        <f t="shared" si="1"/>
        <v>3.0254473740254362E-4</v>
      </c>
      <c r="J48" s="8">
        <f t="shared" si="2"/>
        <v>3.0249897997235912E-4</v>
      </c>
      <c r="K48" s="8"/>
    </row>
    <row r="49" spans="1:11" x14ac:dyDescent="0.25">
      <c r="A49" t="str">
        <f t="shared" si="0"/>
        <v>32017</v>
      </c>
      <c r="B49" s="1">
        <v>42804</v>
      </c>
      <c r="C49" s="10">
        <v>43011.645833333336</v>
      </c>
      <c r="D49">
        <v>8953.7000000000007</v>
      </c>
      <c r="E49">
        <v>8975.7000000000007</v>
      </c>
      <c r="F49">
        <v>8903.9500000000007</v>
      </c>
      <c r="G49">
        <v>8934.5499999999993</v>
      </c>
      <c r="H49">
        <v>0</v>
      </c>
      <c r="I49" s="8">
        <f t="shared" si="1"/>
        <v>8.457488517978895E-4</v>
      </c>
      <c r="J49" s="8">
        <f t="shared" si="2"/>
        <v>8.4539140776212151E-4</v>
      </c>
      <c r="K49" s="8"/>
    </row>
    <row r="50" spans="1:11" x14ac:dyDescent="0.25">
      <c r="A50" t="str">
        <f t="shared" si="0"/>
        <v>32017</v>
      </c>
      <c r="B50" s="1">
        <v>42808</v>
      </c>
      <c r="C50" t="s">
        <v>51</v>
      </c>
      <c r="D50">
        <v>9091.65</v>
      </c>
      <c r="E50">
        <v>9122.75</v>
      </c>
      <c r="F50">
        <v>9060.5</v>
      </c>
      <c r="G50">
        <v>9087</v>
      </c>
      <c r="H50">
        <v>0</v>
      </c>
      <c r="I50" s="8">
        <f t="shared" si="1"/>
        <v>1.7062974632186423E-2</v>
      </c>
      <c r="J50" s="8">
        <f t="shared" si="2"/>
        <v>1.6919037108222915E-2</v>
      </c>
      <c r="K50" s="8"/>
    </row>
    <row r="51" spans="1:11" x14ac:dyDescent="0.25">
      <c r="A51" t="str">
        <f t="shared" si="0"/>
        <v>32017</v>
      </c>
      <c r="B51" s="1">
        <v>42809</v>
      </c>
      <c r="C51" t="s">
        <v>52</v>
      </c>
      <c r="D51">
        <v>9086.85</v>
      </c>
      <c r="E51">
        <v>9106.5499999999993</v>
      </c>
      <c r="F51">
        <v>9075.5</v>
      </c>
      <c r="G51">
        <v>9084.7999999999993</v>
      </c>
      <c r="H51">
        <v>0</v>
      </c>
      <c r="I51" s="8">
        <f t="shared" si="1"/>
        <v>-2.4210410476510624E-4</v>
      </c>
      <c r="J51" s="8">
        <f t="shared" si="2"/>
        <v>-2.4213341669499945E-4</v>
      </c>
      <c r="K51" s="8"/>
    </row>
    <row r="52" spans="1:11" x14ac:dyDescent="0.25">
      <c r="A52" t="str">
        <f t="shared" si="0"/>
        <v>32017</v>
      </c>
      <c r="B52" s="1">
        <v>42810</v>
      </c>
      <c r="C52" t="s">
        <v>53</v>
      </c>
      <c r="D52">
        <v>9129.65</v>
      </c>
      <c r="E52">
        <v>9158.4500000000007</v>
      </c>
      <c r="F52">
        <v>9128.5499999999993</v>
      </c>
      <c r="G52">
        <v>9153.7000000000007</v>
      </c>
      <c r="H52">
        <v>0</v>
      </c>
      <c r="I52" s="8">
        <f t="shared" si="1"/>
        <v>7.5840965128568527E-3</v>
      </c>
      <c r="J52" s="8">
        <f t="shared" si="2"/>
        <v>7.5554818394591335E-3</v>
      </c>
      <c r="K52" s="8"/>
    </row>
    <row r="53" spans="1:11" x14ac:dyDescent="0.25">
      <c r="A53" t="str">
        <f t="shared" si="0"/>
        <v>32017</v>
      </c>
      <c r="B53" s="1">
        <v>42811</v>
      </c>
      <c r="C53" t="s">
        <v>54</v>
      </c>
      <c r="D53">
        <v>9207.7999999999993</v>
      </c>
      <c r="E53">
        <v>9218.4</v>
      </c>
      <c r="F53">
        <v>9147.6</v>
      </c>
      <c r="G53">
        <v>9160.0499999999993</v>
      </c>
      <c r="H53">
        <v>0</v>
      </c>
      <c r="I53" s="8">
        <f t="shared" si="1"/>
        <v>6.9370855501027506E-4</v>
      </c>
      <c r="J53" s="8">
        <f t="shared" si="2"/>
        <v>6.9346805045091388E-4</v>
      </c>
      <c r="K53" s="8"/>
    </row>
    <row r="54" spans="1:11" x14ac:dyDescent="0.25">
      <c r="A54" t="str">
        <f t="shared" si="0"/>
        <v>32017</v>
      </c>
      <c r="B54" s="1">
        <v>42814</v>
      </c>
      <c r="C54" t="s">
        <v>55</v>
      </c>
      <c r="D54">
        <v>9166.9500000000007</v>
      </c>
      <c r="E54">
        <v>9167.6</v>
      </c>
      <c r="F54">
        <v>9116.2999999999993</v>
      </c>
      <c r="G54">
        <v>9126.85</v>
      </c>
      <c r="H54">
        <v>0</v>
      </c>
      <c r="I54" s="8">
        <f t="shared" si="1"/>
        <v>-3.6244343644411536E-3</v>
      </c>
      <c r="J54" s="8">
        <f t="shared" si="2"/>
        <v>-3.631018540763328E-3</v>
      </c>
      <c r="K54" s="8"/>
    </row>
    <row r="55" spans="1:11" x14ac:dyDescent="0.25">
      <c r="A55" t="str">
        <f t="shared" si="0"/>
        <v>32017</v>
      </c>
      <c r="B55" s="1">
        <v>42815</v>
      </c>
      <c r="C55" t="s">
        <v>56</v>
      </c>
      <c r="D55">
        <v>9133.9500000000007</v>
      </c>
      <c r="E55">
        <v>9147.75</v>
      </c>
      <c r="F55">
        <v>9087.2000000000007</v>
      </c>
      <c r="G55">
        <v>9121.5</v>
      </c>
      <c r="H55">
        <v>0</v>
      </c>
      <c r="I55" s="8">
        <f t="shared" si="1"/>
        <v>-5.861825273780763E-4</v>
      </c>
      <c r="J55" s="8">
        <f t="shared" si="2"/>
        <v>-5.8635439952469282E-4</v>
      </c>
      <c r="K55" s="8"/>
    </row>
    <row r="56" spans="1:11" x14ac:dyDescent="0.25">
      <c r="A56" t="str">
        <f t="shared" si="0"/>
        <v>32017</v>
      </c>
      <c r="B56" s="1">
        <v>42816</v>
      </c>
      <c r="C56" t="s">
        <v>57</v>
      </c>
      <c r="D56">
        <v>9047.2000000000007</v>
      </c>
      <c r="E56">
        <v>9072.9</v>
      </c>
      <c r="F56">
        <v>9019.2999999999993</v>
      </c>
      <c r="G56">
        <v>9030.4500000000007</v>
      </c>
      <c r="H56">
        <v>0</v>
      </c>
      <c r="I56" s="8">
        <f t="shared" si="1"/>
        <v>-9.9819108699226167E-3</v>
      </c>
      <c r="J56" s="8">
        <f t="shared" si="2"/>
        <v>-1.0032064171866618E-2</v>
      </c>
      <c r="K56" s="8"/>
    </row>
    <row r="57" spans="1:11" x14ac:dyDescent="0.25">
      <c r="A57" t="str">
        <f t="shared" si="0"/>
        <v>32017</v>
      </c>
      <c r="B57" s="1">
        <v>42817</v>
      </c>
      <c r="C57" t="s">
        <v>58</v>
      </c>
      <c r="D57">
        <v>9048.75</v>
      </c>
      <c r="E57">
        <v>9099.0499999999993</v>
      </c>
      <c r="F57">
        <v>9048.6</v>
      </c>
      <c r="G57">
        <v>9086.2999999999993</v>
      </c>
      <c r="H57">
        <v>0</v>
      </c>
      <c r="I57" s="8">
        <f t="shared" si="1"/>
        <v>6.1846308877187006E-3</v>
      </c>
      <c r="J57" s="8">
        <f t="shared" si="2"/>
        <v>6.1655845474926016E-3</v>
      </c>
      <c r="K57" s="8"/>
    </row>
    <row r="58" spans="1:11" x14ac:dyDescent="0.25">
      <c r="A58" t="str">
        <f t="shared" si="0"/>
        <v>32017</v>
      </c>
      <c r="B58" s="1">
        <v>42818</v>
      </c>
      <c r="C58" t="s">
        <v>59</v>
      </c>
      <c r="D58">
        <v>9104</v>
      </c>
      <c r="E58">
        <v>9133.5499999999993</v>
      </c>
      <c r="F58">
        <v>9089.4</v>
      </c>
      <c r="G58">
        <v>9108</v>
      </c>
      <c r="H58">
        <v>0</v>
      </c>
      <c r="I58" s="8">
        <f t="shared" si="1"/>
        <v>2.3882108228872045E-3</v>
      </c>
      <c r="J58" s="8">
        <f t="shared" si="2"/>
        <v>2.3853635797301672E-3</v>
      </c>
      <c r="K58" s="8"/>
    </row>
    <row r="59" spans="1:11" x14ac:dyDescent="0.25">
      <c r="A59" t="str">
        <f t="shared" si="0"/>
        <v>32017</v>
      </c>
      <c r="B59" s="1">
        <v>42821</v>
      </c>
      <c r="C59" t="s">
        <v>60</v>
      </c>
      <c r="D59">
        <v>9093.4500000000007</v>
      </c>
      <c r="E59">
        <v>9094.85</v>
      </c>
      <c r="F59">
        <v>9024.65</v>
      </c>
      <c r="G59">
        <v>9045.2000000000007</v>
      </c>
      <c r="H59">
        <v>0</v>
      </c>
      <c r="I59" s="8">
        <f t="shared" si="1"/>
        <v>-6.8950373298198864E-3</v>
      </c>
      <c r="J59" s="8">
        <f t="shared" si="2"/>
        <v>-6.9189179347912038E-3</v>
      </c>
      <c r="K59" s="8"/>
    </row>
    <row r="60" spans="1:11" x14ac:dyDescent="0.25">
      <c r="A60" t="str">
        <f t="shared" si="0"/>
        <v>32017</v>
      </c>
      <c r="B60" s="1">
        <v>42822</v>
      </c>
      <c r="C60" t="s">
        <v>61</v>
      </c>
      <c r="D60">
        <v>9081.5</v>
      </c>
      <c r="E60">
        <v>9110.4</v>
      </c>
      <c r="F60">
        <v>9079.7999999999993</v>
      </c>
      <c r="G60">
        <v>9100.7999999999993</v>
      </c>
      <c r="H60">
        <v>0</v>
      </c>
      <c r="I60" s="8">
        <f t="shared" si="1"/>
        <v>6.1469066466190991E-3</v>
      </c>
      <c r="J60" s="8">
        <f t="shared" si="2"/>
        <v>6.1280914799732768E-3</v>
      </c>
      <c r="K60" s="8"/>
    </row>
    <row r="61" spans="1:11" x14ac:dyDescent="0.25">
      <c r="A61" t="str">
        <f t="shared" si="0"/>
        <v>32017</v>
      </c>
      <c r="B61" s="1">
        <v>42823</v>
      </c>
      <c r="C61" t="s">
        <v>62</v>
      </c>
      <c r="D61">
        <v>9128.7000000000007</v>
      </c>
      <c r="E61">
        <v>9153.15</v>
      </c>
      <c r="F61">
        <v>9109.1</v>
      </c>
      <c r="G61">
        <v>9143.7999999999993</v>
      </c>
      <c r="H61">
        <v>0</v>
      </c>
      <c r="I61" s="8">
        <f t="shared" si="1"/>
        <v>4.7248593530238026E-3</v>
      </c>
      <c r="J61" s="8">
        <f t="shared" si="2"/>
        <v>4.7137322406658666E-3</v>
      </c>
      <c r="K61" s="8"/>
    </row>
    <row r="62" spans="1:11" x14ac:dyDescent="0.25">
      <c r="A62" t="str">
        <f t="shared" si="0"/>
        <v>32017</v>
      </c>
      <c r="B62" s="1">
        <v>42824</v>
      </c>
      <c r="C62" t="s">
        <v>63</v>
      </c>
      <c r="D62">
        <v>9142.6</v>
      </c>
      <c r="E62">
        <v>9183.15</v>
      </c>
      <c r="F62">
        <v>9136.35</v>
      </c>
      <c r="G62">
        <v>9173.75</v>
      </c>
      <c r="H62">
        <v>0</v>
      </c>
      <c r="I62" s="8">
        <f t="shared" si="1"/>
        <v>3.2754434698922807E-3</v>
      </c>
      <c r="J62" s="8">
        <f t="shared" si="2"/>
        <v>3.2700908897943361E-3</v>
      </c>
      <c r="K62" s="8"/>
    </row>
    <row r="63" spans="1:11" x14ac:dyDescent="0.25">
      <c r="A63" t="str">
        <f t="shared" si="0"/>
        <v>32017</v>
      </c>
      <c r="B63" s="1">
        <v>42825</v>
      </c>
      <c r="C63" t="s">
        <v>64</v>
      </c>
      <c r="D63">
        <v>9158.9</v>
      </c>
      <c r="E63">
        <v>9191.7000000000007</v>
      </c>
      <c r="F63">
        <v>9152.1</v>
      </c>
      <c r="G63">
        <v>9173.75</v>
      </c>
      <c r="H63">
        <v>0</v>
      </c>
      <c r="I63" s="8">
        <f t="shared" si="1"/>
        <v>0</v>
      </c>
      <c r="J63" s="8">
        <f t="shared" si="2"/>
        <v>0</v>
      </c>
      <c r="K63" s="8">
        <f>+G63/G2-1</f>
        <v>0.12155388471177941</v>
      </c>
    </row>
    <row r="64" spans="1:11" x14ac:dyDescent="0.25">
      <c r="A64" t="str">
        <f t="shared" si="0"/>
        <v>42017</v>
      </c>
      <c r="B64" s="1">
        <v>42828</v>
      </c>
      <c r="C64" s="10">
        <v>42798.645833333336</v>
      </c>
      <c r="D64">
        <v>9220.6</v>
      </c>
      <c r="E64">
        <v>9245.35</v>
      </c>
      <c r="F64">
        <v>9192.4</v>
      </c>
      <c r="G64">
        <v>9237.85</v>
      </c>
      <c r="H64">
        <v>0</v>
      </c>
      <c r="I64" s="8">
        <f t="shared" si="1"/>
        <v>6.9873279738383864E-3</v>
      </c>
      <c r="J64" s="8">
        <f t="shared" si="2"/>
        <v>6.9630297186553496E-3</v>
      </c>
      <c r="K64" s="8">
        <f t="shared" ref="K64:K127" si="3">+G64/G3-1</f>
        <v>0.12763282370533124</v>
      </c>
    </row>
    <row r="65" spans="1:11" x14ac:dyDescent="0.25">
      <c r="A65" t="str">
        <f t="shared" si="0"/>
        <v>42017</v>
      </c>
      <c r="B65" s="1">
        <v>42830</v>
      </c>
      <c r="C65" s="10">
        <v>42859.645833333336</v>
      </c>
      <c r="D65">
        <v>9264.4</v>
      </c>
      <c r="E65">
        <v>9273.9</v>
      </c>
      <c r="F65">
        <v>9215.4</v>
      </c>
      <c r="G65">
        <v>9265.15</v>
      </c>
      <c r="H65">
        <v>0</v>
      </c>
      <c r="I65" s="8">
        <f t="shared" si="1"/>
        <v>2.9552330899504931E-3</v>
      </c>
      <c r="J65" s="8">
        <f t="shared" si="2"/>
        <v>2.9508749726995459E-3</v>
      </c>
      <c r="K65" s="8">
        <f t="shared" si="3"/>
        <v>0.13120688602649411</v>
      </c>
    </row>
    <row r="66" spans="1:11" x14ac:dyDescent="0.25">
      <c r="A66" t="str">
        <f t="shared" si="0"/>
        <v>42017</v>
      </c>
      <c r="B66" s="1">
        <v>42831</v>
      </c>
      <c r="C66" s="10">
        <v>42890.645833333336</v>
      </c>
      <c r="D66">
        <v>9245.7999999999993</v>
      </c>
      <c r="E66">
        <v>9267.9500000000007</v>
      </c>
      <c r="F66">
        <v>9218.85</v>
      </c>
      <c r="G66">
        <v>9261.9500000000007</v>
      </c>
      <c r="H66">
        <v>0</v>
      </c>
      <c r="I66" s="8">
        <f t="shared" si="1"/>
        <v>-3.453802690727148E-4</v>
      </c>
      <c r="J66" s="8">
        <f t="shared" si="2"/>
        <v>-3.4543992657459197E-4</v>
      </c>
      <c r="K66" s="8">
        <f t="shared" si="3"/>
        <v>0.1194312166114726</v>
      </c>
    </row>
    <row r="67" spans="1:11" x14ac:dyDescent="0.25">
      <c r="A67" t="str">
        <f t="shared" ref="A67:A130" si="4">+MONTH(B67)&amp;YEAR(B67)</f>
        <v>42017</v>
      </c>
      <c r="B67" s="1">
        <v>42832</v>
      </c>
      <c r="C67" s="10">
        <v>42920.645833333336</v>
      </c>
      <c r="D67">
        <v>9223.7000000000007</v>
      </c>
      <c r="E67">
        <v>9250.5</v>
      </c>
      <c r="F67">
        <v>9188.1</v>
      </c>
      <c r="G67">
        <v>9198.2999999999993</v>
      </c>
      <c r="H67">
        <v>0</v>
      </c>
      <c r="I67" s="8">
        <f t="shared" si="1"/>
        <v>-6.8722029378264216E-3</v>
      </c>
      <c r="J67" s="8">
        <f t="shared" si="2"/>
        <v>-6.8959252700266293E-3</v>
      </c>
      <c r="K67" s="8">
        <f t="shared" si="3"/>
        <v>0.11578398311458304</v>
      </c>
    </row>
    <row r="68" spans="1:11" x14ac:dyDescent="0.25">
      <c r="A68" t="str">
        <f t="shared" si="4"/>
        <v>42017</v>
      </c>
      <c r="B68" s="1">
        <v>42835</v>
      </c>
      <c r="C68" s="10">
        <v>43012.645833333336</v>
      </c>
      <c r="D68">
        <v>9225.6</v>
      </c>
      <c r="E68">
        <v>9225.65</v>
      </c>
      <c r="F68">
        <v>9174.85</v>
      </c>
      <c r="G68">
        <v>9181.4500000000007</v>
      </c>
      <c r="H68">
        <v>0</v>
      </c>
      <c r="I68" s="8">
        <f t="shared" ref="I68:I131" si="5">+G68/G67-1</f>
        <v>-1.8318602350432256E-3</v>
      </c>
      <c r="J68" s="8">
        <f t="shared" ref="J68:J131" si="6">+LN(1+I68)</f>
        <v>-1.8335401428880005E-3</v>
      </c>
      <c r="K68" s="8">
        <f t="shared" si="3"/>
        <v>0.11478803552673944</v>
      </c>
    </row>
    <row r="69" spans="1:11" x14ac:dyDescent="0.25">
      <c r="A69" t="str">
        <f t="shared" si="4"/>
        <v>42017</v>
      </c>
      <c r="B69" s="1">
        <v>42836</v>
      </c>
      <c r="C69" s="10">
        <v>43043.645833333336</v>
      </c>
      <c r="D69">
        <v>9184.5499999999993</v>
      </c>
      <c r="E69">
        <v>9242.7000000000007</v>
      </c>
      <c r="F69">
        <v>9172.85</v>
      </c>
      <c r="G69">
        <v>9237</v>
      </c>
      <c r="H69">
        <v>0</v>
      </c>
      <c r="I69" s="8">
        <f t="shared" si="5"/>
        <v>6.0502426087380989E-3</v>
      </c>
      <c r="J69" s="8">
        <f t="shared" si="6"/>
        <v>6.0320133814717155E-3</v>
      </c>
      <c r="K69" s="8">
        <f t="shared" si="3"/>
        <v>0.11442221846874023</v>
      </c>
    </row>
    <row r="70" spans="1:11" x14ac:dyDescent="0.25">
      <c r="A70" t="str">
        <f t="shared" si="4"/>
        <v>42017</v>
      </c>
      <c r="B70" s="1">
        <v>42837</v>
      </c>
      <c r="C70" s="10">
        <v>43073.645833333336</v>
      </c>
      <c r="D70">
        <v>9242.5</v>
      </c>
      <c r="E70">
        <v>9246.4</v>
      </c>
      <c r="F70">
        <v>9161.7999999999993</v>
      </c>
      <c r="G70">
        <v>9203.4500000000007</v>
      </c>
      <c r="H70">
        <v>0</v>
      </c>
      <c r="I70" s="8">
        <f t="shared" si="5"/>
        <v>-3.6321316444731799E-3</v>
      </c>
      <c r="J70" s="8">
        <f t="shared" si="6"/>
        <v>-3.63874385040507E-3</v>
      </c>
      <c r="K70" s="8">
        <f t="shared" si="3"/>
        <v>9.817854223717748E-2</v>
      </c>
    </row>
    <row r="71" spans="1:11" x14ac:dyDescent="0.25">
      <c r="A71" t="str">
        <f t="shared" si="4"/>
        <v>42017</v>
      </c>
      <c r="B71" s="1">
        <v>42838</v>
      </c>
      <c r="C71" t="s">
        <v>65</v>
      </c>
      <c r="D71">
        <v>9202.5</v>
      </c>
      <c r="E71">
        <v>9202.65</v>
      </c>
      <c r="F71">
        <v>9144.9500000000007</v>
      </c>
      <c r="G71">
        <v>9150.7999999999993</v>
      </c>
      <c r="H71">
        <v>0</v>
      </c>
      <c r="I71" s="8">
        <f t="shared" si="5"/>
        <v>-5.7206808316447866E-3</v>
      </c>
      <c r="J71" s="8">
        <f t="shared" si="6"/>
        <v>-5.7371066005767095E-3</v>
      </c>
      <c r="K71" s="8">
        <f t="shared" si="3"/>
        <v>8.8447996954990726E-2</v>
      </c>
    </row>
    <row r="72" spans="1:11" x14ac:dyDescent="0.25">
      <c r="A72" t="str">
        <f t="shared" si="4"/>
        <v>42017</v>
      </c>
      <c r="B72" s="1">
        <v>42842</v>
      </c>
      <c r="C72" t="s">
        <v>66</v>
      </c>
      <c r="D72">
        <v>9144.75</v>
      </c>
      <c r="E72">
        <v>9160</v>
      </c>
      <c r="F72">
        <v>9120.25</v>
      </c>
      <c r="G72">
        <v>9139.2999999999993</v>
      </c>
      <c r="H72">
        <v>0</v>
      </c>
      <c r="I72" s="8">
        <f t="shared" si="5"/>
        <v>-1.2567207238711742E-3</v>
      </c>
      <c r="J72" s="8">
        <f t="shared" si="6"/>
        <v>-1.2575110595836488E-3</v>
      </c>
      <c r="K72" s="8">
        <f t="shared" si="3"/>
        <v>8.7966572821370326E-2</v>
      </c>
    </row>
    <row r="73" spans="1:11" x14ac:dyDescent="0.25">
      <c r="A73" t="str">
        <f t="shared" si="4"/>
        <v>42017</v>
      </c>
      <c r="B73" s="1">
        <v>42843</v>
      </c>
      <c r="C73" t="s">
        <v>67</v>
      </c>
      <c r="D73">
        <v>9163</v>
      </c>
      <c r="E73">
        <v>9217.9</v>
      </c>
      <c r="F73">
        <v>9095.4500000000007</v>
      </c>
      <c r="G73">
        <v>9105.15</v>
      </c>
      <c r="H73">
        <v>0</v>
      </c>
      <c r="I73" s="8">
        <f t="shared" si="5"/>
        <v>-3.7366100248377165E-3</v>
      </c>
      <c r="J73" s="8">
        <f t="shared" si="6"/>
        <v>-3.7436085914588713E-3</v>
      </c>
      <c r="K73" s="8">
        <f t="shared" si="3"/>
        <v>8.2297213769494171E-2</v>
      </c>
    </row>
    <row r="74" spans="1:11" x14ac:dyDescent="0.25">
      <c r="A74" t="str">
        <f t="shared" si="4"/>
        <v>42017</v>
      </c>
      <c r="B74" s="1">
        <v>42844</v>
      </c>
      <c r="C74" t="s">
        <v>68</v>
      </c>
      <c r="D74">
        <v>9112.2000000000007</v>
      </c>
      <c r="E74">
        <v>9120.5</v>
      </c>
      <c r="F74">
        <v>9075.15</v>
      </c>
      <c r="G74">
        <v>9103.5</v>
      </c>
      <c r="H74">
        <v>0</v>
      </c>
      <c r="I74" s="8">
        <f t="shared" si="5"/>
        <v>-1.812161249402644E-4</v>
      </c>
      <c r="J74" s="8">
        <f t="shared" si="6"/>
        <v>-1.8123254656617248E-4</v>
      </c>
      <c r="K74" s="8">
        <f t="shared" si="3"/>
        <v>8.4008097165992002E-2</v>
      </c>
    </row>
    <row r="75" spans="1:11" x14ac:dyDescent="0.25">
      <c r="A75" t="str">
        <f t="shared" si="4"/>
        <v>42017</v>
      </c>
      <c r="B75" s="1">
        <v>42845</v>
      </c>
      <c r="C75" t="s">
        <v>69</v>
      </c>
      <c r="D75">
        <v>9108.1</v>
      </c>
      <c r="E75">
        <v>9143.9</v>
      </c>
      <c r="F75">
        <v>9102.65</v>
      </c>
      <c r="G75">
        <v>9136.4</v>
      </c>
      <c r="H75">
        <v>0</v>
      </c>
      <c r="I75" s="8">
        <f t="shared" si="5"/>
        <v>3.6139946174547077E-3</v>
      </c>
      <c r="J75" s="8">
        <f t="shared" si="6"/>
        <v>3.6074798304592064E-3</v>
      </c>
      <c r="K75" s="8">
        <f t="shared" si="3"/>
        <v>8.5469882380895701E-2</v>
      </c>
    </row>
    <row r="76" spans="1:11" x14ac:dyDescent="0.25">
      <c r="A76" t="str">
        <f t="shared" si="4"/>
        <v>42017</v>
      </c>
      <c r="B76" s="1">
        <v>42846</v>
      </c>
      <c r="C76" t="s">
        <v>70</v>
      </c>
      <c r="D76">
        <v>9179.1</v>
      </c>
      <c r="E76">
        <v>9183.65</v>
      </c>
      <c r="F76">
        <v>9088.75</v>
      </c>
      <c r="G76">
        <v>9119.4</v>
      </c>
      <c r="H76">
        <v>0</v>
      </c>
      <c r="I76" s="8">
        <f t="shared" si="5"/>
        <v>-1.8606891116851321E-3</v>
      </c>
      <c r="J76" s="8">
        <f t="shared" si="6"/>
        <v>-1.8624223440083505E-3</v>
      </c>
      <c r="K76" s="8">
        <f t="shared" si="3"/>
        <v>8.1125297862502999E-2</v>
      </c>
    </row>
    <row r="77" spans="1:11" x14ac:dyDescent="0.25">
      <c r="A77" t="str">
        <f t="shared" si="4"/>
        <v>42017</v>
      </c>
      <c r="B77" s="1">
        <v>42849</v>
      </c>
      <c r="C77" t="s">
        <v>71</v>
      </c>
      <c r="D77">
        <v>9135.35</v>
      </c>
      <c r="E77">
        <v>9225.4</v>
      </c>
      <c r="F77">
        <v>9130.5499999999993</v>
      </c>
      <c r="G77">
        <v>9217.9500000000007</v>
      </c>
      <c r="H77">
        <v>0</v>
      </c>
      <c r="I77" s="8">
        <f t="shared" si="5"/>
        <v>1.0806632015264217E-2</v>
      </c>
      <c r="J77" s="8">
        <f t="shared" si="6"/>
        <v>1.0748657665170285E-2</v>
      </c>
      <c r="K77" s="8">
        <f t="shared" si="3"/>
        <v>0.10403205039913299</v>
      </c>
    </row>
    <row r="78" spans="1:11" x14ac:dyDescent="0.25">
      <c r="A78" t="str">
        <f t="shared" si="4"/>
        <v>42017</v>
      </c>
      <c r="B78" s="1">
        <v>42850</v>
      </c>
      <c r="C78" t="s">
        <v>72</v>
      </c>
      <c r="D78">
        <v>9273.0499999999993</v>
      </c>
      <c r="E78">
        <v>9309.2000000000007</v>
      </c>
      <c r="F78">
        <v>9250.35</v>
      </c>
      <c r="G78">
        <v>9306.6</v>
      </c>
      <c r="H78">
        <v>0</v>
      </c>
      <c r="I78" s="8">
        <f t="shared" si="5"/>
        <v>9.6171057556180273E-3</v>
      </c>
      <c r="J78" s="8">
        <f t="shared" si="6"/>
        <v>9.5711557631192896E-3</v>
      </c>
      <c r="K78" s="8">
        <f t="shared" si="3"/>
        <v>0.10905082523982612</v>
      </c>
    </row>
    <row r="79" spans="1:11" x14ac:dyDescent="0.25">
      <c r="A79" t="str">
        <f t="shared" si="4"/>
        <v>42017</v>
      </c>
      <c r="B79" s="1">
        <v>42851</v>
      </c>
      <c r="C79" t="s">
        <v>73</v>
      </c>
      <c r="D79">
        <v>9336.2000000000007</v>
      </c>
      <c r="E79">
        <v>9367</v>
      </c>
      <c r="F79">
        <v>9301.35</v>
      </c>
      <c r="G79">
        <v>9351.85</v>
      </c>
      <c r="H79">
        <v>0</v>
      </c>
      <c r="I79" s="8">
        <f t="shared" si="5"/>
        <v>4.8621408462812266E-3</v>
      </c>
      <c r="J79" s="8">
        <f t="shared" si="6"/>
        <v>4.8503588146408773E-3</v>
      </c>
      <c r="K79" s="8">
        <f t="shared" si="3"/>
        <v>0.10335897496401536</v>
      </c>
    </row>
    <row r="80" spans="1:11" x14ac:dyDescent="0.25">
      <c r="A80" t="str">
        <f t="shared" si="4"/>
        <v>42017</v>
      </c>
      <c r="B80" s="1">
        <v>42852</v>
      </c>
      <c r="C80" t="s">
        <v>74</v>
      </c>
      <c r="D80">
        <v>9359.15</v>
      </c>
      <c r="E80">
        <v>9367.15</v>
      </c>
      <c r="F80">
        <v>9322.65</v>
      </c>
      <c r="G80">
        <v>9342.15</v>
      </c>
      <c r="H80">
        <v>0</v>
      </c>
      <c r="I80" s="8">
        <f t="shared" si="5"/>
        <v>-1.0372279281640751E-3</v>
      </c>
      <c r="J80" s="8">
        <f t="shared" si="6"/>
        <v>-1.0377662213055345E-3</v>
      </c>
      <c r="K80" s="8">
        <f t="shared" si="3"/>
        <v>8.5949260410915107E-2</v>
      </c>
    </row>
    <row r="81" spans="1:11" x14ac:dyDescent="0.25">
      <c r="A81" t="str">
        <f t="shared" si="4"/>
        <v>42017</v>
      </c>
      <c r="B81" s="1">
        <v>42853</v>
      </c>
      <c r="C81" t="s">
        <v>75</v>
      </c>
      <c r="D81">
        <v>9340.9500000000007</v>
      </c>
      <c r="E81">
        <v>9342.65</v>
      </c>
      <c r="F81">
        <v>9282.25</v>
      </c>
      <c r="G81">
        <v>9304.0499999999993</v>
      </c>
      <c r="H81">
        <v>0</v>
      </c>
      <c r="I81" s="8">
        <f t="shared" si="5"/>
        <v>-4.0782903293139494E-3</v>
      </c>
      <c r="J81" s="8">
        <f t="shared" si="6"/>
        <v>-4.086629235361126E-3</v>
      </c>
      <c r="K81" s="8">
        <f t="shared" si="3"/>
        <v>7.6701866049471823E-2</v>
      </c>
    </row>
    <row r="82" spans="1:11" x14ac:dyDescent="0.25">
      <c r="A82" t="str">
        <f t="shared" si="4"/>
        <v>52017</v>
      </c>
      <c r="B82" s="1">
        <v>42857</v>
      </c>
      <c r="C82" s="10">
        <v>42771.645833333336</v>
      </c>
      <c r="D82">
        <v>9339.85</v>
      </c>
      <c r="E82">
        <v>9352.5499999999993</v>
      </c>
      <c r="F82">
        <v>9269.9</v>
      </c>
      <c r="G82">
        <v>9313.7999999999993</v>
      </c>
      <c r="H82">
        <v>0</v>
      </c>
      <c r="I82" s="8">
        <f t="shared" si="5"/>
        <v>1.0479307398389981E-3</v>
      </c>
      <c r="J82" s="8">
        <f t="shared" si="6"/>
        <v>1.0473820437181462E-3</v>
      </c>
      <c r="K82" s="8">
        <f t="shared" si="3"/>
        <v>7.8891430888187397E-2</v>
      </c>
    </row>
    <row r="83" spans="1:11" x14ac:dyDescent="0.25">
      <c r="A83" t="str">
        <f t="shared" si="4"/>
        <v>52017</v>
      </c>
      <c r="B83" s="1">
        <v>42858</v>
      </c>
      <c r="C83" s="10">
        <v>42799.645833333336</v>
      </c>
      <c r="D83">
        <v>9344.7000000000007</v>
      </c>
      <c r="E83">
        <v>9346.2999999999993</v>
      </c>
      <c r="F83">
        <v>9298.4</v>
      </c>
      <c r="G83">
        <v>9311.9500000000007</v>
      </c>
      <c r="H83">
        <v>0</v>
      </c>
      <c r="I83" s="8">
        <f t="shared" si="5"/>
        <v>-1.9862998990727299E-4</v>
      </c>
      <c r="J83" s="8">
        <f t="shared" si="6"/>
        <v>-1.9864971945634827E-4</v>
      </c>
      <c r="K83" s="8">
        <f t="shared" si="3"/>
        <v>8.7679441206359066E-2</v>
      </c>
    </row>
    <row r="84" spans="1:11" x14ac:dyDescent="0.25">
      <c r="A84" t="str">
        <f t="shared" si="4"/>
        <v>52017</v>
      </c>
      <c r="B84" s="1">
        <v>42859</v>
      </c>
      <c r="C84" s="10">
        <v>42830.645833333336</v>
      </c>
      <c r="D84">
        <v>9360.9500000000007</v>
      </c>
      <c r="E84">
        <v>9365.65</v>
      </c>
      <c r="F84">
        <v>9323.25</v>
      </c>
      <c r="G84">
        <v>9359.9</v>
      </c>
      <c r="H84">
        <v>0</v>
      </c>
      <c r="I84" s="8">
        <f t="shared" si="5"/>
        <v>5.1492974081690512E-3</v>
      </c>
      <c r="J84" s="8">
        <f t="shared" si="6"/>
        <v>5.136085112886035E-3</v>
      </c>
      <c r="K84" s="8">
        <f t="shared" si="3"/>
        <v>7.382635032811713E-2</v>
      </c>
    </row>
    <row r="85" spans="1:11" x14ac:dyDescent="0.25">
      <c r="A85" t="str">
        <f t="shared" si="4"/>
        <v>52017</v>
      </c>
      <c r="B85" s="1">
        <v>42860</v>
      </c>
      <c r="C85" s="10">
        <v>42860.645833333336</v>
      </c>
      <c r="D85">
        <v>9374.5499999999993</v>
      </c>
      <c r="E85">
        <v>9377.1</v>
      </c>
      <c r="F85">
        <v>9272</v>
      </c>
      <c r="G85">
        <v>9285.2999999999993</v>
      </c>
      <c r="H85">
        <v>0</v>
      </c>
      <c r="I85" s="8">
        <f t="shared" si="5"/>
        <v>-7.9701706214810875E-3</v>
      </c>
      <c r="J85" s="8">
        <f t="shared" si="6"/>
        <v>-8.0021022113326845E-3</v>
      </c>
      <c r="K85" s="8">
        <f t="shared" si="3"/>
        <v>6.3090706128173579E-2</v>
      </c>
    </row>
    <row r="86" spans="1:11" x14ac:dyDescent="0.25">
      <c r="A86" t="str">
        <f t="shared" si="4"/>
        <v>52017</v>
      </c>
      <c r="B86" s="1">
        <v>42863</v>
      </c>
      <c r="C86" s="10">
        <v>42952.645833333336</v>
      </c>
      <c r="D86">
        <v>9311.4500000000007</v>
      </c>
      <c r="E86">
        <v>9338.7000000000007</v>
      </c>
      <c r="F86">
        <v>9297.9500000000007</v>
      </c>
      <c r="G86">
        <v>9314.0499999999993</v>
      </c>
      <c r="H86">
        <v>0</v>
      </c>
      <c r="I86" s="8">
        <f t="shared" si="5"/>
        <v>3.0962919884118811E-3</v>
      </c>
      <c r="J86" s="8">
        <f t="shared" si="6"/>
        <v>3.0915083481940896E-3</v>
      </c>
      <c r="K86" s="8">
        <f t="shared" si="3"/>
        <v>6.5564955754237042E-2</v>
      </c>
    </row>
    <row r="87" spans="1:11" x14ac:dyDescent="0.25">
      <c r="A87" t="str">
        <f t="shared" si="4"/>
        <v>52017</v>
      </c>
      <c r="B87" s="1">
        <v>42864</v>
      </c>
      <c r="C87" s="10">
        <v>42983.645833333336</v>
      </c>
      <c r="D87">
        <v>9337.35</v>
      </c>
      <c r="E87">
        <v>9338.9500000000007</v>
      </c>
      <c r="F87">
        <v>9307.7000000000007</v>
      </c>
      <c r="G87">
        <v>9316.85</v>
      </c>
      <c r="H87">
        <v>0</v>
      </c>
      <c r="I87" s="8">
        <f t="shared" si="5"/>
        <v>3.0062110467521386E-4</v>
      </c>
      <c r="J87" s="8">
        <f t="shared" si="6"/>
        <v>3.0057592720489969E-4</v>
      </c>
      <c r="K87" s="8">
        <f t="shared" si="3"/>
        <v>5.8606643525488611E-2</v>
      </c>
    </row>
    <row r="88" spans="1:11" x14ac:dyDescent="0.25">
      <c r="A88" t="str">
        <f t="shared" si="4"/>
        <v>52017</v>
      </c>
      <c r="B88" s="1">
        <v>42865</v>
      </c>
      <c r="C88" s="10">
        <v>43013.645833333336</v>
      </c>
      <c r="D88">
        <v>9339.65</v>
      </c>
      <c r="E88">
        <v>9414.75</v>
      </c>
      <c r="F88">
        <v>9336</v>
      </c>
      <c r="G88">
        <v>9407.2999999999993</v>
      </c>
      <c r="H88">
        <v>0</v>
      </c>
      <c r="I88" s="8">
        <f t="shared" si="5"/>
        <v>9.708216832942318E-3</v>
      </c>
      <c r="J88" s="8">
        <f t="shared" si="6"/>
        <v>9.661394890383165E-3</v>
      </c>
      <c r="K88" s="8">
        <f t="shared" si="3"/>
        <v>7.287615615341636E-2</v>
      </c>
    </row>
    <row r="89" spans="1:11" x14ac:dyDescent="0.25">
      <c r="A89" t="str">
        <f t="shared" si="4"/>
        <v>52017</v>
      </c>
      <c r="B89" s="1">
        <v>42866</v>
      </c>
      <c r="C89" s="10">
        <v>43044.645833333336</v>
      </c>
      <c r="D89">
        <v>9448.6</v>
      </c>
      <c r="E89">
        <v>9450.65</v>
      </c>
      <c r="F89">
        <v>9411.2999999999993</v>
      </c>
      <c r="G89">
        <v>9422.4</v>
      </c>
      <c r="H89">
        <v>0</v>
      </c>
      <c r="I89" s="8">
        <f t="shared" si="5"/>
        <v>1.6051364365972098E-3</v>
      </c>
      <c r="J89" s="8">
        <f t="shared" si="6"/>
        <v>1.6038495819746207E-3</v>
      </c>
      <c r="K89" s="8">
        <f t="shared" si="3"/>
        <v>7.4506360438131969E-2</v>
      </c>
    </row>
    <row r="90" spans="1:11" x14ac:dyDescent="0.25">
      <c r="A90" t="str">
        <f t="shared" si="4"/>
        <v>52017</v>
      </c>
      <c r="B90" s="1">
        <v>42867</v>
      </c>
      <c r="C90" s="10">
        <v>43074.645833333336</v>
      </c>
      <c r="D90">
        <v>9436.65</v>
      </c>
      <c r="E90">
        <v>9437.75</v>
      </c>
      <c r="F90">
        <v>9372.5499999999993</v>
      </c>
      <c r="G90">
        <v>9400.9</v>
      </c>
      <c r="H90">
        <v>0</v>
      </c>
      <c r="I90" s="8">
        <f t="shared" si="5"/>
        <v>-2.2817965698760379E-3</v>
      </c>
      <c r="J90" s="8">
        <f t="shared" si="6"/>
        <v>-2.284403834589391E-3</v>
      </c>
      <c r="K90" s="8">
        <f t="shared" si="3"/>
        <v>7.0912694796318343E-2</v>
      </c>
    </row>
    <row r="91" spans="1:11" x14ac:dyDescent="0.25">
      <c r="A91" t="str">
        <f t="shared" si="4"/>
        <v>52017</v>
      </c>
      <c r="B91" s="1">
        <v>42870</v>
      </c>
      <c r="C91" t="s">
        <v>76</v>
      </c>
      <c r="D91">
        <v>9433.5499999999993</v>
      </c>
      <c r="E91">
        <v>9449.25</v>
      </c>
      <c r="F91">
        <v>9423.1</v>
      </c>
      <c r="G91">
        <v>9445.4</v>
      </c>
      <c r="H91">
        <v>0</v>
      </c>
      <c r="I91" s="8">
        <f t="shared" si="5"/>
        <v>4.7335893371911464E-3</v>
      </c>
      <c r="J91" s="8">
        <f t="shared" si="6"/>
        <v>4.7224211331115791E-3</v>
      </c>
      <c r="K91" s="8">
        <f t="shared" si="3"/>
        <v>7.4128196234740207E-2</v>
      </c>
    </row>
    <row r="92" spans="1:11" x14ac:dyDescent="0.25">
      <c r="A92" t="str">
        <f t="shared" si="4"/>
        <v>52017</v>
      </c>
      <c r="B92" s="1">
        <v>42871</v>
      </c>
      <c r="C92" t="s">
        <v>77</v>
      </c>
      <c r="D92">
        <v>9461</v>
      </c>
      <c r="E92">
        <v>9517.2000000000007</v>
      </c>
      <c r="F92">
        <v>9456.35</v>
      </c>
      <c r="G92">
        <v>9512.25</v>
      </c>
      <c r="H92">
        <v>0</v>
      </c>
      <c r="I92" s="8">
        <f t="shared" si="5"/>
        <v>7.0775192157028766E-3</v>
      </c>
      <c r="J92" s="8">
        <f t="shared" si="6"/>
        <v>7.0525911268201676E-3</v>
      </c>
      <c r="K92" s="8">
        <f t="shared" si="3"/>
        <v>8.0317545045172967E-2</v>
      </c>
    </row>
    <row r="93" spans="1:11" x14ac:dyDescent="0.25">
      <c r="A93" t="str">
        <f t="shared" si="4"/>
        <v>52017</v>
      </c>
      <c r="B93" s="1">
        <v>42872</v>
      </c>
      <c r="C93" t="s">
        <v>78</v>
      </c>
      <c r="D93">
        <v>9517.6</v>
      </c>
      <c r="E93">
        <v>9532.6</v>
      </c>
      <c r="F93">
        <v>9486.1</v>
      </c>
      <c r="G93">
        <v>9525.75</v>
      </c>
      <c r="H93">
        <v>0</v>
      </c>
      <c r="I93" s="8">
        <f t="shared" si="5"/>
        <v>1.4192225814082526E-3</v>
      </c>
      <c r="J93" s="8">
        <f t="shared" si="6"/>
        <v>1.4182164368899746E-3</v>
      </c>
      <c r="K93" s="8">
        <f t="shared" si="3"/>
        <v>8.3419583044254786E-2</v>
      </c>
    </row>
    <row r="94" spans="1:11" x14ac:dyDescent="0.25">
      <c r="A94" t="str">
        <f t="shared" si="4"/>
        <v>52017</v>
      </c>
      <c r="B94" s="1">
        <v>42873</v>
      </c>
      <c r="C94" t="s">
        <v>79</v>
      </c>
      <c r="D94">
        <v>9453.2000000000007</v>
      </c>
      <c r="E94">
        <v>9489.1</v>
      </c>
      <c r="F94">
        <v>9418.1</v>
      </c>
      <c r="G94">
        <v>9429.4500000000007</v>
      </c>
      <c r="H94">
        <v>0</v>
      </c>
      <c r="I94" s="8">
        <f t="shared" si="5"/>
        <v>-1.0109440201558906E-2</v>
      </c>
      <c r="J94" s="8">
        <f t="shared" si="6"/>
        <v>-1.0160887622263356E-2</v>
      </c>
      <c r="K94" s="8">
        <f t="shared" si="3"/>
        <v>8.0776416381078908E-2</v>
      </c>
    </row>
    <row r="95" spans="1:11" x14ac:dyDescent="0.25">
      <c r="A95" t="str">
        <f t="shared" si="4"/>
        <v>52017</v>
      </c>
      <c r="B95" s="1">
        <v>42874</v>
      </c>
      <c r="C95" t="s">
        <v>80</v>
      </c>
      <c r="D95">
        <v>9469.9</v>
      </c>
      <c r="E95">
        <v>9505.75</v>
      </c>
      <c r="F95">
        <v>9390.75</v>
      </c>
      <c r="G95">
        <v>9427.9</v>
      </c>
      <c r="H95">
        <v>0</v>
      </c>
      <c r="I95" s="8">
        <f t="shared" si="5"/>
        <v>-1.643786222951249E-4</v>
      </c>
      <c r="J95" s="8">
        <f t="shared" si="6"/>
        <v>-1.6439213394156289E-4</v>
      </c>
      <c r="K95" s="8">
        <f t="shared" si="3"/>
        <v>7.4037366142629235E-2</v>
      </c>
    </row>
    <row r="96" spans="1:11" x14ac:dyDescent="0.25">
      <c r="A96" t="str">
        <f t="shared" si="4"/>
        <v>52017</v>
      </c>
      <c r="B96" s="1">
        <v>42877</v>
      </c>
      <c r="C96" t="s">
        <v>81</v>
      </c>
      <c r="D96">
        <v>9480.25</v>
      </c>
      <c r="E96">
        <v>9498.65</v>
      </c>
      <c r="F96">
        <v>9427.9</v>
      </c>
      <c r="G96">
        <v>9438.25</v>
      </c>
      <c r="H96">
        <v>0</v>
      </c>
      <c r="I96" s="8">
        <f t="shared" si="5"/>
        <v>1.0978054497821077E-3</v>
      </c>
      <c r="J96" s="8">
        <f t="shared" si="6"/>
        <v>1.0972033020330829E-3</v>
      </c>
      <c r="K96" s="8">
        <f t="shared" si="3"/>
        <v>6.9890157225931393E-2</v>
      </c>
    </row>
    <row r="97" spans="1:11" x14ac:dyDescent="0.25">
      <c r="A97" t="str">
        <f t="shared" si="4"/>
        <v>52017</v>
      </c>
      <c r="B97" s="1">
        <v>42878</v>
      </c>
      <c r="C97" t="s">
        <v>82</v>
      </c>
      <c r="D97">
        <v>9445.0499999999993</v>
      </c>
      <c r="E97">
        <v>9448.0499999999993</v>
      </c>
      <c r="F97">
        <v>9370</v>
      </c>
      <c r="G97">
        <v>9386.15</v>
      </c>
      <c r="H97">
        <v>0</v>
      </c>
      <c r="I97" s="8">
        <f t="shared" si="5"/>
        <v>-5.5200911185866453E-3</v>
      </c>
      <c r="J97" s="8">
        <f t="shared" si="6"/>
        <v>-5.5353831230343315E-3</v>
      </c>
      <c r="K97" s="8">
        <f t="shared" si="3"/>
        <v>5.7094107577259079E-2</v>
      </c>
    </row>
    <row r="98" spans="1:11" x14ac:dyDescent="0.25">
      <c r="A98" t="str">
        <f t="shared" si="4"/>
        <v>52017</v>
      </c>
      <c r="B98" s="1">
        <v>42879</v>
      </c>
      <c r="C98" t="s">
        <v>83</v>
      </c>
      <c r="D98">
        <v>9410.9</v>
      </c>
      <c r="E98">
        <v>9431.9</v>
      </c>
      <c r="F98">
        <v>9341.65</v>
      </c>
      <c r="G98">
        <v>9360.5499999999993</v>
      </c>
      <c r="H98">
        <v>0</v>
      </c>
      <c r="I98" s="8">
        <f t="shared" si="5"/>
        <v>-2.7274228517549792E-3</v>
      </c>
      <c r="J98" s="8">
        <f t="shared" si="6"/>
        <v>-2.7311490462753369E-3</v>
      </c>
      <c r="K98" s="8">
        <f t="shared" si="3"/>
        <v>5.0820343854016237E-2</v>
      </c>
    </row>
    <row r="99" spans="1:11" x14ac:dyDescent="0.25">
      <c r="A99" t="str">
        <f t="shared" si="4"/>
        <v>52017</v>
      </c>
      <c r="B99" s="1">
        <v>42880</v>
      </c>
      <c r="C99" t="s">
        <v>84</v>
      </c>
      <c r="D99">
        <v>9384.0499999999993</v>
      </c>
      <c r="E99">
        <v>9523.2999999999993</v>
      </c>
      <c r="F99">
        <v>9379.2000000000007</v>
      </c>
      <c r="G99">
        <v>9509.75</v>
      </c>
      <c r="H99">
        <v>0</v>
      </c>
      <c r="I99" s="8">
        <f t="shared" si="5"/>
        <v>1.5939234339862551E-2</v>
      </c>
      <c r="J99" s="8">
        <f t="shared" si="6"/>
        <v>1.5813538647069577E-2</v>
      </c>
      <c r="K99" s="8">
        <f t="shared" si="3"/>
        <v>6.5291422554302203E-2</v>
      </c>
    </row>
    <row r="100" spans="1:11" x14ac:dyDescent="0.25">
      <c r="A100" t="str">
        <f t="shared" si="4"/>
        <v>52017</v>
      </c>
      <c r="B100" s="1">
        <v>42881</v>
      </c>
      <c r="C100" t="s">
        <v>85</v>
      </c>
      <c r="D100">
        <v>9507.75</v>
      </c>
      <c r="E100">
        <v>9604.9</v>
      </c>
      <c r="F100">
        <v>9495.4</v>
      </c>
      <c r="G100">
        <v>9595.1</v>
      </c>
      <c r="H100">
        <v>0</v>
      </c>
      <c r="I100" s="8">
        <f t="shared" si="5"/>
        <v>8.9749993427798991E-3</v>
      </c>
      <c r="J100" s="8">
        <f t="shared" si="6"/>
        <v>8.9349634062052159E-3</v>
      </c>
      <c r="K100" s="8">
        <f t="shared" si="3"/>
        <v>7.3337434979585003E-2</v>
      </c>
    </row>
    <row r="101" spans="1:11" x14ac:dyDescent="0.25">
      <c r="A101" t="str">
        <f t="shared" si="4"/>
        <v>52017</v>
      </c>
      <c r="B101" s="1">
        <v>42884</v>
      </c>
      <c r="C101" t="s">
        <v>86</v>
      </c>
      <c r="D101">
        <v>9560.0499999999993</v>
      </c>
      <c r="E101">
        <v>9637.75</v>
      </c>
      <c r="F101">
        <v>9547.7000000000007</v>
      </c>
      <c r="G101">
        <v>9604.9</v>
      </c>
      <c r="H101">
        <v>0</v>
      </c>
      <c r="I101" s="8">
        <f t="shared" si="5"/>
        <v>1.0213546497690462E-3</v>
      </c>
      <c r="J101" s="8">
        <f t="shared" si="6"/>
        <v>1.0208334219841677E-3</v>
      </c>
      <c r="K101" s="8">
        <f t="shared" si="3"/>
        <v>7.9602549259837785E-2</v>
      </c>
    </row>
    <row r="102" spans="1:11" x14ac:dyDescent="0.25">
      <c r="A102" t="str">
        <f t="shared" si="4"/>
        <v>52017</v>
      </c>
      <c r="B102" s="1">
        <v>42885</v>
      </c>
      <c r="C102" t="s">
        <v>87</v>
      </c>
      <c r="D102">
        <v>9590.65</v>
      </c>
      <c r="E102">
        <v>9635.2999999999993</v>
      </c>
      <c r="F102">
        <v>9581.2000000000007</v>
      </c>
      <c r="G102">
        <v>9624.5499999999993</v>
      </c>
      <c r="H102">
        <v>0</v>
      </c>
      <c r="I102" s="8">
        <f t="shared" si="5"/>
        <v>2.0458307738757675E-3</v>
      </c>
      <c r="J102" s="8">
        <f t="shared" si="6"/>
        <v>2.0437409119485822E-3</v>
      </c>
      <c r="K102" s="8">
        <f t="shared" si="3"/>
        <v>8.3894544799315129E-2</v>
      </c>
    </row>
    <row r="103" spans="1:11" x14ac:dyDescent="0.25">
      <c r="A103" t="str">
        <f t="shared" si="4"/>
        <v>52017</v>
      </c>
      <c r="B103" s="1">
        <v>42886</v>
      </c>
      <c r="C103" t="s">
        <v>88</v>
      </c>
      <c r="D103">
        <v>9636.5499999999993</v>
      </c>
      <c r="E103">
        <v>9649.6</v>
      </c>
      <c r="F103">
        <v>9609.25</v>
      </c>
      <c r="G103">
        <v>9621.25</v>
      </c>
      <c r="H103">
        <v>0</v>
      </c>
      <c r="I103" s="8">
        <f t="shared" si="5"/>
        <v>-3.428731732911805E-4</v>
      </c>
      <c r="J103" s="8">
        <f t="shared" si="6"/>
        <v>-3.4293196773740485E-4</v>
      </c>
      <c r="K103" s="8">
        <f t="shared" si="3"/>
        <v>7.5504706119072784E-2</v>
      </c>
    </row>
    <row r="104" spans="1:11" x14ac:dyDescent="0.25">
      <c r="A104" t="str">
        <f t="shared" si="4"/>
        <v>62017</v>
      </c>
      <c r="B104" s="1">
        <v>42887</v>
      </c>
      <c r="C104" s="10">
        <v>42741.645833333336</v>
      </c>
      <c r="D104">
        <v>9603.5499999999993</v>
      </c>
      <c r="E104">
        <v>9634.65</v>
      </c>
      <c r="F104">
        <v>9589.9</v>
      </c>
      <c r="G104">
        <v>9616.1</v>
      </c>
      <c r="H104">
        <v>0</v>
      </c>
      <c r="I104" s="8">
        <f t="shared" si="5"/>
        <v>-5.3527348317528034E-4</v>
      </c>
      <c r="J104" s="8">
        <f t="shared" si="6"/>
        <v>-5.3541679316848362E-4</v>
      </c>
      <c r="K104" s="8">
        <f t="shared" si="3"/>
        <v>8.0491025028792906E-2</v>
      </c>
    </row>
    <row r="105" spans="1:11" x14ac:dyDescent="0.25">
      <c r="A105" t="str">
        <f t="shared" si="4"/>
        <v>62017</v>
      </c>
      <c r="B105" s="1">
        <v>42888</v>
      </c>
      <c r="C105" s="10">
        <v>42772.645833333336</v>
      </c>
      <c r="D105">
        <v>9657.15</v>
      </c>
      <c r="E105">
        <v>9673.5</v>
      </c>
      <c r="F105">
        <v>9637.4500000000007</v>
      </c>
      <c r="G105">
        <v>9653.5</v>
      </c>
      <c r="H105">
        <v>0</v>
      </c>
      <c r="I105" s="8">
        <f t="shared" si="5"/>
        <v>3.8893106352886342E-3</v>
      </c>
      <c r="J105" s="8">
        <f t="shared" si="6"/>
        <v>3.8817668205125984E-3</v>
      </c>
      <c r="K105" s="8">
        <f t="shared" si="3"/>
        <v>8.4961590550207688E-2</v>
      </c>
    </row>
    <row r="106" spans="1:11" x14ac:dyDescent="0.25">
      <c r="A106" t="str">
        <f t="shared" si="4"/>
        <v>62017</v>
      </c>
      <c r="B106" s="1">
        <v>42891</v>
      </c>
      <c r="C106" s="10">
        <v>42861.645833333336</v>
      </c>
      <c r="D106">
        <v>9656.2999999999993</v>
      </c>
      <c r="E106">
        <v>9687.2000000000007</v>
      </c>
      <c r="F106">
        <v>9640.7000000000007</v>
      </c>
      <c r="G106">
        <v>9675.1</v>
      </c>
      <c r="H106">
        <v>0</v>
      </c>
      <c r="I106" s="8">
        <f t="shared" si="5"/>
        <v>2.2375304293780207E-3</v>
      </c>
      <c r="J106" s="8">
        <f t="shared" si="6"/>
        <v>2.2350308860086591E-3</v>
      </c>
      <c r="K106" s="8">
        <f t="shared" si="3"/>
        <v>7.9394652728580928E-2</v>
      </c>
    </row>
    <row r="107" spans="1:11" x14ac:dyDescent="0.25">
      <c r="A107" t="str">
        <f t="shared" si="4"/>
        <v>62017</v>
      </c>
      <c r="B107" s="1">
        <v>42892</v>
      </c>
      <c r="C107" s="10">
        <v>42892.645833333336</v>
      </c>
      <c r="D107">
        <v>9704.25</v>
      </c>
      <c r="E107">
        <v>9709.2999999999993</v>
      </c>
      <c r="F107">
        <v>9630.2000000000007</v>
      </c>
      <c r="G107">
        <v>9637.15</v>
      </c>
      <c r="H107">
        <v>0</v>
      </c>
      <c r="I107" s="8">
        <f t="shared" si="5"/>
        <v>-3.9224400781388002E-3</v>
      </c>
      <c r="J107" s="8">
        <f t="shared" si="6"/>
        <v>-3.9301530218683123E-3</v>
      </c>
      <c r="K107" s="8">
        <f t="shared" si="3"/>
        <v>7.7149627245191033E-2</v>
      </c>
    </row>
    <row r="108" spans="1:11" x14ac:dyDescent="0.25">
      <c r="A108" t="str">
        <f t="shared" si="4"/>
        <v>62017</v>
      </c>
      <c r="B108" s="1">
        <v>42893</v>
      </c>
      <c r="C108" s="10">
        <v>42922.645833333336</v>
      </c>
      <c r="D108">
        <v>9663.9500000000007</v>
      </c>
      <c r="E108">
        <v>9678.5499999999993</v>
      </c>
      <c r="F108">
        <v>9630.5499999999993</v>
      </c>
      <c r="G108">
        <v>9663.9</v>
      </c>
      <c r="H108">
        <v>0</v>
      </c>
      <c r="I108" s="8">
        <f t="shared" si="5"/>
        <v>2.7757168872539761E-3</v>
      </c>
      <c r="J108" s="8">
        <f t="shared" si="6"/>
        <v>2.7718716989275599E-3</v>
      </c>
      <c r="K108" s="8">
        <f t="shared" si="3"/>
        <v>8.2874847326961376E-2</v>
      </c>
    </row>
    <row r="109" spans="1:11" x14ac:dyDescent="0.25">
      <c r="A109" t="str">
        <f t="shared" si="4"/>
        <v>62017</v>
      </c>
      <c r="B109" s="1">
        <v>42894</v>
      </c>
      <c r="C109" s="10">
        <v>42953.645833333336</v>
      </c>
      <c r="D109">
        <v>9682.4</v>
      </c>
      <c r="E109">
        <v>9688.7000000000007</v>
      </c>
      <c r="F109">
        <v>9641.5</v>
      </c>
      <c r="G109">
        <v>9647.25</v>
      </c>
      <c r="H109">
        <v>0</v>
      </c>
      <c r="I109" s="8">
        <f t="shared" si="5"/>
        <v>-1.7229069009405684E-3</v>
      </c>
      <c r="J109" s="8">
        <f t="shared" si="6"/>
        <v>-1.7243928120047765E-3</v>
      </c>
      <c r="K109" s="8">
        <f t="shared" si="3"/>
        <v>8.0682200067211829E-2</v>
      </c>
    </row>
    <row r="110" spans="1:11" x14ac:dyDescent="0.25">
      <c r="A110" t="str">
        <f t="shared" si="4"/>
        <v>62017</v>
      </c>
      <c r="B110" s="1">
        <v>42895</v>
      </c>
      <c r="C110" s="10">
        <v>42984.645833333336</v>
      </c>
      <c r="D110">
        <v>9638.5499999999993</v>
      </c>
      <c r="E110">
        <v>9676.25</v>
      </c>
      <c r="F110">
        <v>9608.15</v>
      </c>
      <c r="G110">
        <v>9668.25</v>
      </c>
      <c r="H110">
        <v>0</v>
      </c>
      <c r="I110" s="8">
        <f t="shared" si="5"/>
        <v>2.1767861307626646E-3</v>
      </c>
      <c r="J110" s="8">
        <f t="shared" si="6"/>
        <v>2.1744203643893584E-3</v>
      </c>
      <c r="K110" s="8">
        <f t="shared" si="3"/>
        <v>8.2119412841161754E-2</v>
      </c>
    </row>
    <row r="111" spans="1:11" x14ac:dyDescent="0.25">
      <c r="A111" t="str">
        <f t="shared" si="4"/>
        <v>62017</v>
      </c>
      <c r="B111" s="1">
        <v>42898</v>
      </c>
      <c r="C111" s="10">
        <v>43075.645833333336</v>
      </c>
      <c r="D111">
        <v>9646.7000000000007</v>
      </c>
      <c r="E111">
        <v>9647.0499999999993</v>
      </c>
      <c r="F111">
        <v>9598.5</v>
      </c>
      <c r="G111">
        <v>9616.4</v>
      </c>
      <c r="H111">
        <v>0</v>
      </c>
      <c r="I111" s="8">
        <f t="shared" si="5"/>
        <v>-5.3629146950069373E-3</v>
      </c>
      <c r="J111" s="8">
        <f t="shared" si="6"/>
        <v>-5.3773467437100214E-3</v>
      </c>
      <c r="K111" s="8">
        <f t="shared" si="3"/>
        <v>5.8259051392098637E-2</v>
      </c>
    </row>
    <row r="112" spans="1:11" x14ac:dyDescent="0.25">
      <c r="A112" t="str">
        <f t="shared" si="4"/>
        <v>62017</v>
      </c>
      <c r="B112" s="1">
        <v>42899</v>
      </c>
      <c r="C112" t="s">
        <v>89</v>
      </c>
      <c r="D112">
        <v>9615.5499999999993</v>
      </c>
      <c r="E112">
        <v>9654.15</v>
      </c>
      <c r="F112">
        <v>9595.4</v>
      </c>
      <c r="G112">
        <v>9606.9</v>
      </c>
      <c r="H112">
        <v>0</v>
      </c>
      <c r="I112" s="8">
        <f t="shared" si="5"/>
        <v>-9.8789567821633284E-4</v>
      </c>
      <c r="J112" s="8">
        <f t="shared" si="6"/>
        <v>-9.8838396876508921E-4</v>
      </c>
      <c r="K112" s="8">
        <f t="shared" si="3"/>
        <v>5.7469619584360698E-2</v>
      </c>
    </row>
    <row r="113" spans="1:11" x14ac:dyDescent="0.25">
      <c r="A113" t="str">
        <f t="shared" si="4"/>
        <v>62017</v>
      </c>
      <c r="B113" s="1">
        <v>42900</v>
      </c>
      <c r="C113" t="s">
        <v>90</v>
      </c>
      <c r="D113">
        <v>9621.5499999999993</v>
      </c>
      <c r="E113">
        <v>9627.4</v>
      </c>
      <c r="F113">
        <v>9580.4500000000007</v>
      </c>
      <c r="G113">
        <v>9618.15</v>
      </c>
      <c r="H113">
        <v>0</v>
      </c>
      <c r="I113" s="8">
        <f t="shared" si="5"/>
        <v>1.1710333198013956E-3</v>
      </c>
      <c r="J113" s="8">
        <f t="shared" si="6"/>
        <v>1.1703481951004253E-3</v>
      </c>
      <c r="K113" s="8">
        <f t="shared" si="3"/>
        <v>5.0739045413330075E-2</v>
      </c>
    </row>
    <row r="114" spans="1:11" x14ac:dyDescent="0.25">
      <c r="A114" t="str">
        <f t="shared" si="4"/>
        <v>62017</v>
      </c>
      <c r="B114" s="1">
        <v>42901</v>
      </c>
      <c r="C114" t="s">
        <v>91</v>
      </c>
      <c r="D114">
        <v>9617.9</v>
      </c>
      <c r="E114">
        <v>9621.4</v>
      </c>
      <c r="F114">
        <v>9560.7999999999993</v>
      </c>
      <c r="G114">
        <v>9578.0499999999993</v>
      </c>
      <c r="H114">
        <v>0</v>
      </c>
      <c r="I114" s="8">
        <f t="shared" si="5"/>
        <v>-4.1692009378103689E-3</v>
      </c>
      <c r="J114" s="8">
        <f t="shared" si="6"/>
        <v>-4.1779162885074907E-3</v>
      </c>
      <c r="K114" s="8">
        <f t="shared" si="3"/>
        <v>4.5632938684832425E-2</v>
      </c>
    </row>
    <row r="115" spans="1:11" x14ac:dyDescent="0.25">
      <c r="A115" t="str">
        <f t="shared" si="4"/>
        <v>62017</v>
      </c>
      <c r="B115" s="1">
        <v>42902</v>
      </c>
      <c r="C115" t="s">
        <v>92</v>
      </c>
      <c r="D115">
        <v>9595.4500000000007</v>
      </c>
      <c r="E115">
        <v>9615.85</v>
      </c>
      <c r="F115">
        <v>9565.5</v>
      </c>
      <c r="G115">
        <v>9588.0499999999993</v>
      </c>
      <c r="H115">
        <v>0</v>
      </c>
      <c r="I115" s="8">
        <f t="shared" si="5"/>
        <v>1.0440538522977771E-3</v>
      </c>
      <c r="J115" s="8">
        <f t="shared" si="6"/>
        <v>1.0435092071341514E-3</v>
      </c>
      <c r="K115" s="8">
        <f t="shared" si="3"/>
        <v>5.0532220864810906E-2</v>
      </c>
    </row>
    <row r="116" spans="1:11" x14ac:dyDescent="0.25">
      <c r="A116" t="str">
        <f t="shared" si="4"/>
        <v>62017</v>
      </c>
      <c r="B116" s="1">
        <v>42905</v>
      </c>
      <c r="C116" t="s">
        <v>93</v>
      </c>
      <c r="D116">
        <v>9626.4</v>
      </c>
      <c r="E116">
        <v>9673.2999999999993</v>
      </c>
      <c r="F116">
        <v>9614.9</v>
      </c>
      <c r="G116">
        <v>9657.5499999999993</v>
      </c>
      <c r="H116">
        <v>0</v>
      </c>
      <c r="I116" s="8">
        <f t="shared" si="5"/>
        <v>7.2486063380978738E-3</v>
      </c>
      <c r="J116" s="8">
        <f t="shared" si="6"/>
        <v>7.2224614577819594E-3</v>
      </c>
      <c r="K116" s="8">
        <f t="shared" si="3"/>
        <v>5.8767746532916609E-2</v>
      </c>
    </row>
    <row r="117" spans="1:11" x14ac:dyDescent="0.25">
      <c r="A117" t="str">
        <f t="shared" si="4"/>
        <v>62017</v>
      </c>
      <c r="B117" s="1">
        <v>42906</v>
      </c>
      <c r="C117" t="s">
        <v>94</v>
      </c>
      <c r="D117">
        <v>9670.5</v>
      </c>
      <c r="E117">
        <v>9676.5</v>
      </c>
      <c r="F117">
        <v>9643.75</v>
      </c>
      <c r="G117">
        <v>9653.5</v>
      </c>
      <c r="H117">
        <v>0</v>
      </c>
      <c r="I117" s="8">
        <f t="shared" si="5"/>
        <v>-4.1936101806350212E-4</v>
      </c>
      <c r="J117" s="8">
        <f t="shared" si="6"/>
        <v>-4.1944897448642732E-4</v>
      </c>
      <c r="K117" s="8">
        <f t="shared" si="3"/>
        <v>6.8994346904085457E-2</v>
      </c>
    </row>
    <row r="118" spans="1:11" x14ac:dyDescent="0.25">
      <c r="A118" t="str">
        <f t="shared" si="4"/>
        <v>62017</v>
      </c>
      <c r="B118" s="1">
        <v>42907</v>
      </c>
      <c r="C118" t="s">
        <v>95</v>
      </c>
      <c r="D118">
        <v>9648.1</v>
      </c>
      <c r="E118">
        <v>9650.4500000000007</v>
      </c>
      <c r="F118">
        <v>9608.6</v>
      </c>
      <c r="G118">
        <v>9633.6</v>
      </c>
      <c r="H118">
        <v>0</v>
      </c>
      <c r="I118" s="8">
        <f t="shared" si="5"/>
        <v>-2.0614284974361796E-3</v>
      </c>
      <c r="J118" s="8">
        <f t="shared" si="6"/>
        <v>-2.0635561656880373E-3</v>
      </c>
      <c r="K118" s="8">
        <f t="shared" si="3"/>
        <v>6.0233538403970943E-2</v>
      </c>
    </row>
    <row r="119" spans="1:11" x14ac:dyDescent="0.25">
      <c r="A119" t="str">
        <f t="shared" si="4"/>
        <v>62017</v>
      </c>
      <c r="B119" s="1">
        <v>42908</v>
      </c>
      <c r="C119" t="s">
        <v>96</v>
      </c>
      <c r="D119">
        <v>9642.65</v>
      </c>
      <c r="E119">
        <v>9698.85</v>
      </c>
      <c r="F119">
        <v>9617.75</v>
      </c>
      <c r="G119">
        <v>9630</v>
      </c>
      <c r="H119">
        <v>0</v>
      </c>
      <c r="I119" s="8">
        <f t="shared" si="5"/>
        <v>-3.7369207772797175E-4</v>
      </c>
      <c r="J119" s="8">
        <f t="shared" si="6"/>
        <v>-3.7376191801216597E-4</v>
      </c>
      <c r="K119" s="8">
        <f t="shared" si="3"/>
        <v>5.7312252964426769E-2</v>
      </c>
    </row>
    <row r="120" spans="1:11" x14ac:dyDescent="0.25">
      <c r="A120" t="str">
        <f t="shared" si="4"/>
        <v>62017</v>
      </c>
      <c r="B120" s="1">
        <v>42909</v>
      </c>
      <c r="C120" t="s">
        <v>97</v>
      </c>
      <c r="D120">
        <v>9643.25</v>
      </c>
      <c r="E120">
        <v>9647.65</v>
      </c>
      <c r="F120">
        <v>9565.2999999999993</v>
      </c>
      <c r="G120">
        <v>9574.9500000000007</v>
      </c>
      <c r="H120">
        <v>0</v>
      </c>
      <c r="I120" s="8">
        <f t="shared" si="5"/>
        <v>-5.7165109034267303E-3</v>
      </c>
      <c r="J120" s="8">
        <f t="shared" si="6"/>
        <v>-5.7329126890736572E-3</v>
      </c>
      <c r="K120" s="8">
        <f t="shared" si="3"/>
        <v>5.856697474903827E-2</v>
      </c>
    </row>
    <row r="121" spans="1:11" x14ac:dyDescent="0.25">
      <c r="A121" t="str">
        <f t="shared" si="4"/>
        <v>62017</v>
      </c>
      <c r="B121" s="1">
        <v>42913</v>
      </c>
      <c r="C121" t="s">
        <v>98</v>
      </c>
      <c r="D121">
        <v>9594.0499999999993</v>
      </c>
      <c r="E121">
        <v>9615.4</v>
      </c>
      <c r="F121">
        <v>9473.4500000000007</v>
      </c>
      <c r="G121">
        <v>9511.4</v>
      </c>
      <c r="H121">
        <v>0</v>
      </c>
      <c r="I121" s="8">
        <f t="shared" si="5"/>
        <v>-6.6371103765555661E-3</v>
      </c>
      <c r="J121" s="8">
        <f t="shared" si="6"/>
        <v>-6.659233938983297E-3</v>
      </c>
      <c r="K121" s="8">
        <f t="shared" si="3"/>
        <v>4.5116912798874864E-2</v>
      </c>
    </row>
    <row r="122" spans="1:11" x14ac:dyDescent="0.25">
      <c r="A122" t="str">
        <f t="shared" si="4"/>
        <v>62017</v>
      </c>
      <c r="B122" s="1">
        <v>42914</v>
      </c>
      <c r="C122" t="s">
        <v>99</v>
      </c>
      <c r="D122">
        <v>9520.2000000000007</v>
      </c>
      <c r="E122">
        <v>9522.5</v>
      </c>
      <c r="F122">
        <v>9474.35</v>
      </c>
      <c r="G122">
        <v>9491.25</v>
      </c>
      <c r="H122">
        <v>0</v>
      </c>
      <c r="I122" s="8">
        <f t="shared" si="5"/>
        <v>-2.1185104190760695E-3</v>
      </c>
      <c r="J122" s="8">
        <f t="shared" si="6"/>
        <v>-2.1207576366708129E-3</v>
      </c>
      <c r="K122" s="8">
        <f t="shared" si="3"/>
        <v>3.7998425162405258E-2</v>
      </c>
    </row>
    <row r="123" spans="1:11" x14ac:dyDescent="0.25">
      <c r="A123" t="str">
        <f t="shared" si="4"/>
        <v>62017</v>
      </c>
      <c r="B123" s="1">
        <v>42915</v>
      </c>
      <c r="C123" t="s">
        <v>100</v>
      </c>
      <c r="D123">
        <v>9522.9500000000007</v>
      </c>
      <c r="E123">
        <v>9575.7999999999993</v>
      </c>
      <c r="F123">
        <v>9493.7999999999993</v>
      </c>
      <c r="G123">
        <v>9504.1</v>
      </c>
      <c r="H123">
        <v>0</v>
      </c>
      <c r="I123" s="8">
        <f t="shared" si="5"/>
        <v>1.3538785723692381E-3</v>
      </c>
      <c r="J123" s="8">
        <f t="shared" si="6"/>
        <v>1.3529629051498521E-3</v>
      </c>
      <c r="K123" s="8">
        <f t="shared" si="3"/>
        <v>3.6010355634282565E-2</v>
      </c>
    </row>
    <row r="124" spans="1:11" x14ac:dyDescent="0.25">
      <c r="A124" t="str">
        <f t="shared" si="4"/>
        <v>62017</v>
      </c>
      <c r="B124" s="1">
        <v>42916</v>
      </c>
      <c r="C124" t="s">
        <v>101</v>
      </c>
      <c r="D124">
        <v>9478.5</v>
      </c>
      <c r="E124">
        <v>9535.7999999999993</v>
      </c>
      <c r="F124">
        <v>9448.75</v>
      </c>
      <c r="G124">
        <v>9520.9</v>
      </c>
      <c r="H124">
        <v>0</v>
      </c>
      <c r="I124" s="8">
        <f t="shared" si="5"/>
        <v>1.767658168579711E-3</v>
      </c>
      <c r="J124" s="8">
        <f t="shared" si="6"/>
        <v>1.7660976995258579E-3</v>
      </c>
      <c r="K124" s="8">
        <f t="shared" si="3"/>
        <v>3.7841667802152923E-2</v>
      </c>
    </row>
    <row r="125" spans="1:11" x14ac:dyDescent="0.25">
      <c r="A125" t="str">
        <f t="shared" si="4"/>
        <v>72017</v>
      </c>
      <c r="B125" s="1">
        <v>42919</v>
      </c>
      <c r="C125" s="10">
        <v>42801.645833333336</v>
      </c>
      <c r="D125">
        <v>9587.9500000000007</v>
      </c>
      <c r="E125">
        <v>9624</v>
      </c>
      <c r="F125">
        <v>9543.5499999999993</v>
      </c>
      <c r="G125">
        <v>9615</v>
      </c>
      <c r="H125">
        <v>0</v>
      </c>
      <c r="I125" s="8">
        <f t="shared" si="5"/>
        <v>9.8835194151813965E-3</v>
      </c>
      <c r="J125" s="8">
        <f t="shared" si="6"/>
        <v>9.8349968907607398E-3</v>
      </c>
      <c r="K125" s="8">
        <f t="shared" si="3"/>
        <v>4.08265992628154E-2</v>
      </c>
    </row>
    <row r="126" spans="1:11" x14ac:dyDescent="0.25">
      <c r="A126" t="str">
        <f t="shared" si="4"/>
        <v>72017</v>
      </c>
      <c r="B126" s="1">
        <v>42920</v>
      </c>
      <c r="C126" s="10">
        <v>42832.645833333336</v>
      </c>
      <c r="D126">
        <v>9645.9</v>
      </c>
      <c r="E126">
        <v>9650.65</v>
      </c>
      <c r="F126">
        <v>9595.5</v>
      </c>
      <c r="G126">
        <v>9613.2999999999993</v>
      </c>
      <c r="H126">
        <v>0</v>
      </c>
      <c r="I126" s="8">
        <f t="shared" si="5"/>
        <v>-1.7680707228295844E-4</v>
      </c>
      <c r="J126" s="8">
        <f t="shared" si="6"/>
        <v>-1.7682270449598077E-4</v>
      </c>
      <c r="K126" s="8">
        <f t="shared" si="3"/>
        <v>3.7576293961781415E-2</v>
      </c>
    </row>
    <row r="127" spans="1:11" x14ac:dyDescent="0.25">
      <c r="A127" t="str">
        <f t="shared" si="4"/>
        <v>72017</v>
      </c>
      <c r="B127" s="1">
        <v>42921</v>
      </c>
      <c r="C127" s="10">
        <v>42862.645833333336</v>
      </c>
      <c r="D127">
        <v>9619.75</v>
      </c>
      <c r="E127">
        <v>9643.65</v>
      </c>
      <c r="F127">
        <v>9607.35</v>
      </c>
      <c r="G127">
        <v>9637.6</v>
      </c>
      <c r="H127">
        <v>0</v>
      </c>
      <c r="I127" s="8">
        <f t="shared" si="5"/>
        <v>2.5277480157699372E-3</v>
      </c>
      <c r="J127" s="8">
        <f t="shared" si="6"/>
        <v>2.5245586342588938E-3</v>
      </c>
      <c r="K127" s="8">
        <f t="shared" si="3"/>
        <v>4.0558413724971487E-2</v>
      </c>
    </row>
    <row r="128" spans="1:11" x14ac:dyDescent="0.25">
      <c r="A128" t="str">
        <f t="shared" si="4"/>
        <v>72017</v>
      </c>
      <c r="B128" s="1">
        <v>42922</v>
      </c>
      <c r="C128" s="10">
        <v>42893.645833333336</v>
      </c>
      <c r="D128">
        <v>9653.6</v>
      </c>
      <c r="E128">
        <v>9700.7000000000007</v>
      </c>
      <c r="F128">
        <v>9639.9500000000007</v>
      </c>
      <c r="G128">
        <v>9674.5499999999993</v>
      </c>
      <c r="H128">
        <v>0</v>
      </c>
      <c r="I128" s="8">
        <f t="shared" si="5"/>
        <v>3.833942060263773E-3</v>
      </c>
      <c r="J128" s="8">
        <f t="shared" si="6"/>
        <v>3.826611235733112E-3</v>
      </c>
      <c r="K128" s="8">
        <f t="shared" ref="K128:K191" si="7">+G128/G67-1</f>
        <v>5.1775871628453096E-2</v>
      </c>
    </row>
    <row r="129" spans="1:11" x14ac:dyDescent="0.25">
      <c r="A129" t="str">
        <f t="shared" si="4"/>
        <v>72017</v>
      </c>
      <c r="B129" s="1">
        <v>42923</v>
      </c>
      <c r="C129" s="10">
        <v>42923.645833333336</v>
      </c>
      <c r="D129">
        <v>9670.35</v>
      </c>
      <c r="E129">
        <v>9684.25</v>
      </c>
      <c r="F129">
        <v>9642.65</v>
      </c>
      <c r="G129">
        <v>9665.7999999999993</v>
      </c>
      <c r="H129">
        <v>0</v>
      </c>
      <c r="I129" s="8">
        <f t="shared" si="5"/>
        <v>-9.0443483159419191E-4</v>
      </c>
      <c r="J129" s="8">
        <f t="shared" si="6"/>
        <v>-9.0484407955383902E-4</v>
      </c>
      <c r="K129" s="8">
        <f t="shared" si="7"/>
        <v>5.2753105446307291E-2</v>
      </c>
    </row>
    <row r="130" spans="1:11" x14ac:dyDescent="0.25">
      <c r="A130" t="str">
        <f t="shared" si="4"/>
        <v>72017</v>
      </c>
      <c r="B130" s="1">
        <v>42926</v>
      </c>
      <c r="C130" s="10">
        <v>43015.645833333336</v>
      </c>
      <c r="D130">
        <v>9719.2999999999993</v>
      </c>
      <c r="E130">
        <v>9782.15</v>
      </c>
      <c r="F130">
        <v>9646.4500000000007</v>
      </c>
      <c r="G130">
        <v>9771.0499999999993</v>
      </c>
      <c r="H130">
        <v>0</v>
      </c>
      <c r="I130" s="8">
        <f t="shared" si="5"/>
        <v>1.0888907281342508E-2</v>
      </c>
      <c r="J130" s="8">
        <f t="shared" si="6"/>
        <v>1.0830050005930295E-2</v>
      </c>
      <c r="K130" s="8">
        <f t="shared" si="7"/>
        <v>5.7816390603009582E-2</v>
      </c>
    </row>
    <row r="131" spans="1:11" x14ac:dyDescent="0.25">
      <c r="A131" t="str">
        <f t="shared" ref="A131:A194" si="8">+MONTH(B131)&amp;YEAR(B131)</f>
        <v>72017</v>
      </c>
      <c r="B131" s="1">
        <v>42927</v>
      </c>
      <c r="C131" s="10">
        <v>43046.645833333336</v>
      </c>
      <c r="D131">
        <v>9797.4500000000007</v>
      </c>
      <c r="E131">
        <v>9830.0499999999993</v>
      </c>
      <c r="F131">
        <v>9778.85</v>
      </c>
      <c r="G131">
        <v>9786.0499999999993</v>
      </c>
      <c r="H131">
        <v>0</v>
      </c>
      <c r="I131" s="8">
        <f t="shared" si="5"/>
        <v>1.5351471950302287E-3</v>
      </c>
      <c r="J131" s="8">
        <f t="shared" si="6"/>
        <v>1.5339700611368952E-3</v>
      </c>
      <c r="K131" s="8">
        <f t="shared" si="7"/>
        <v>6.3302348575805745E-2</v>
      </c>
    </row>
    <row r="132" spans="1:11" x14ac:dyDescent="0.25">
      <c r="A132" t="str">
        <f t="shared" si="8"/>
        <v>72017</v>
      </c>
      <c r="B132" s="1">
        <v>42928</v>
      </c>
      <c r="C132" s="10">
        <v>43076.645833333336</v>
      </c>
      <c r="D132">
        <v>9807.2999999999993</v>
      </c>
      <c r="E132">
        <v>9824.9500000000007</v>
      </c>
      <c r="F132">
        <v>9787.7000000000007</v>
      </c>
      <c r="G132">
        <v>9816.1</v>
      </c>
      <c r="H132">
        <v>0</v>
      </c>
      <c r="I132" s="8">
        <f t="shared" ref="I132:I195" si="9">+G132/G131-1</f>
        <v>3.0706975746088716E-3</v>
      </c>
      <c r="J132" s="8">
        <f t="shared" ref="J132:J195" si="10">+LN(1+I132)</f>
        <v>3.065992612029003E-3</v>
      </c>
      <c r="K132" s="8">
        <f t="shared" si="7"/>
        <v>7.2704025877519118E-2</v>
      </c>
    </row>
    <row r="133" spans="1:11" x14ac:dyDescent="0.25">
      <c r="A133" t="str">
        <f t="shared" si="8"/>
        <v>72017</v>
      </c>
      <c r="B133" s="1">
        <v>42929</v>
      </c>
      <c r="C133" t="s">
        <v>102</v>
      </c>
      <c r="D133">
        <v>9855.7999999999993</v>
      </c>
      <c r="E133">
        <v>9897.25</v>
      </c>
      <c r="F133">
        <v>9853.4500000000007</v>
      </c>
      <c r="G133">
        <v>9891.7000000000007</v>
      </c>
      <c r="H133">
        <v>0</v>
      </c>
      <c r="I133" s="8">
        <f t="shared" si="9"/>
        <v>7.7016330314483294E-3</v>
      </c>
      <c r="J133" s="8">
        <f t="shared" si="10"/>
        <v>7.6721268560953817E-3</v>
      </c>
      <c r="K133" s="8">
        <f t="shared" si="7"/>
        <v>8.2325779873732241E-2</v>
      </c>
    </row>
    <row r="134" spans="1:11" x14ac:dyDescent="0.25">
      <c r="A134" t="str">
        <f t="shared" si="8"/>
        <v>72017</v>
      </c>
      <c r="B134" s="1">
        <v>42930</v>
      </c>
      <c r="C134" t="s">
        <v>103</v>
      </c>
      <c r="D134">
        <v>9913.2999999999993</v>
      </c>
      <c r="E134">
        <v>9913.2999999999993</v>
      </c>
      <c r="F134">
        <v>9845.4500000000007</v>
      </c>
      <c r="G134">
        <v>9886.35</v>
      </c>
      <c r="H134">
        <v>0</v>
      </c>
      <c r="I134" s="8">
        <f t="shared" si="9"/>
        <v>-5.4085748657972665E-4</v>
      </c>
      <c r="J134" s="8">
        <f t="shared" si="10"/>
        <v>-5.4100380274996391E-4</v>
      </c>
      <c r="K134" s="8">
        <f t="shared" si="7"/>
        <v>8.5797598062634872E-2</v>
      </c>
    </row>
    <row r="135" spans="1:11" x14ac:dyDescent="0.25">
      <c r="A135" t="str">
        <f t="shared" si="8"/>
        <v>72017</v>
      </c>
      <c r="B135" s="1">
        <v>42933</v>
      </c>
      <c r="C135" t="s">
        <v>104</v>
      </c>
      <c r="D135">
        <v>9908.15</v>
      </c>
      <c r="E135">
        <v>9928.2000000000007</v>
      </c>
      <c r="F135">
        <v>9894.7000000000007</v>
      </c>
      <c r="G135">
        <v>9915.9500000000007</v>
      </c>
      <c r="H135">
        <v>0</v>
      </c>
      <c r="I135" s="8">
        <f t="shared" si="9"/>
        <v>2.9940271181982947E-3</v>
      </c>
      <c r="J135" s="8">
        <f t="shared" si="10"/>
        <v>2.9895539453158454E-3</v>
      </c>
      <c r="K135" s="8">
        <f t="shared" si="7"/>
        <v>8.9245894436206008E-2</v>
      </c>
    </row>
    <row r="136" spans="1:11" x14ac:dyDescent="0.25">
      <c r="A136" t="str">
        <f t="shared" si="8"/>
        <v>72017</v>
      </c>
      <c r="B136" s="1">
        <v>42934</v>
      </c>
      <c r="C136" t="s">
        <v>105</v>
      </c>
      <c r="D136">
        <v>9832.7000000000007</v>
      </c>
      <c r="E136">
        <v>9885.35</v>
      </c>
      <c r="F136">
        <v>9792.0499999999993</v>
      </c>
      <c r="G136">
        <v>9827.15</v>
      </c>
      <c r="H136">
        <v>0</v>
      </c>
      <c r="I136" s="8">
        <f t="shared" si="9"/>
        <v>-8.9552690362497689E-3</v>
      </c>
      <c r="J136" s="8">
        <f t="shared" si="10"/>
        <v>-8.9956084722646913E-3</v>
      </c>
      <c r="K136" s="8">
        <f t="shared" si="7"/>
        <v>7.5604176699794134E-2</v>
      </c>
    </row>
    <row r="137" spans="1:11" x14ac:dyDescent="0.25">
      <c r="A137" t="str">
        <f t="shared" si="8"/>
        <v>72017</v>
      </c>
      <c r="B137" s="1">
        <v>42935</v>
      </c>
      <c r="C137" t="s">
        <v>106</v>
      </c>
      <c r="D137">
        <v>9855.9500000000007</v>
      </c>
      <c r="E137">
        <v>9905.0499999999993</v>
      </c>
      <c r="F137">
        <v>9851.65</v>
      </c>
      <c r="G137">
        <v>9899.6</v>
      </c>
      <c r="H137">
        <v>0</v>
      </c>
      <c r="I137" s="8">
        <f t="shared" si="9"/>
        <v>7.372432495688086E-3</v>
      </c>
      <c r="J137" s="8">
        <f t="shared" si="10"/>
        <v>7.3453889516969656E-3</v>
      </c>
      <c r="K137" s="8">
        <f t="shared" si="7"/>
        <v>8.5553874158387666E-2</v>
      </c>
    </row>
    <row r="138" spans="1:11" x14ac:dyDescent="0.25">
      <c r="A138" t="str">
        <f t="shared" si="8"/>
        <v>72017</v>
      </c>
      <c r="B138" s="1">
        <v>42936</v>
      </c>
      <c r="C138" t="s">
        <v>107</v>
      </c>
      <c r="D138">
        <v>9920.2000000000007</v>
      </c>
      <c r="E138">
        <v>9922.5499999999993</v>
      </c>
      <c r="F138">
        <v>9863.4500000000007</v>
      </c>
      <c r="G138">
        <v>9873.2999999999993</v>
      </c>
      <c r="H138">
        <v>0</v>
      </c>
      <c r="I138" s="8">
        <f t="shared" si="9"/>
        <v>-2.6566729968888758E-3</v>
      </c>
      <c r="J138" s="8">
        <f t="shared" si="10"/>
        <v>-2.6602082152626847E-3</v>
      </c>
      <c r="K138" s="8">
        <f t="shared" si="7"/>
        <v>7.1094983157860225E-2</v>
      </c>
    </row>
    <row r="139" spans="1:11" x14ac:dyDescent="0.25">
      <c r="A139" t="str">
        <f t="shared" si="8"/>
        <v>72017</v>
      </c>
      <c r="B139" s="1">
        <v>42937</v>
      </c>
      <c r="C139" t="s">
        <v>108</v>
      </c>
      <c r="D139">
        <v>9899.6</v>
      </c>
      <c r="E139">
        <v>9924.7000000000007</v>
      </c>
      <c r="F139">
        <v>9838</v>
      </c>
      <c r="G139">
        <v>9915.25</v>
      </c>
      <c r="H139">
        <v>0</v>
      </c>
      <c r="I139" s="8">
        <f t="shared" si="9"/>
        <v>4.2488327104412971E-3</v>
      </c>
      <c r="J139" s="8">
        <f t="shared" si="10"/>
        <v>4.2398319070059811E-3</v>
      </c>
      <c r="K139" s="8">
        <f t="shared" si="7"/>
        <v>6.5399823780972532E-2</v>
      </c>
    </row>
    <row r="140" spans="1:11" x14ac:dyDescent="0.25">
      <c r="A140" t="str">
        <f t="shared" si="8"/>
        <v>72017</v>
      </c>
      <c r="B140" s="1">
        <v>42940</v>
      </c>
      <c r="C140" t="s">
        <v>109</v>
      </c>
      <c r="D140">
        <v>9936.7999999999993</v>
      </c>
      <c r="E140">
        <v>9982.0499999999993</v>
      </c>
      <c r="F140">
        <v>9919.6</v>
      </c>
      <c r="G140">
        <v>9966.4</v>
      </c>
      <c r="H140">
        <v>0</v>
      </c>
      <c r="I140" s="8">
        <f t="shared" si="9"/>
        <v>5.1587201532992122E-3</v>
      </c>
      <c r="J140" s="8">
        <f t="shared" si="10"/>
        <v>5.1454595421256497E-3</v>
      </c>
      <c r="K140" s="8">
        <f t="shared" si="7"/>
        <v>6.5714270438469224E-2</v>
      </c>
    </row>
    <row r="141" spans="1:11" x14ac:dyDescent="0.25">
      <c r="A141" t="str">
        <f t="shared" si="8"/>
        <v>72017</v>
      </c>
      <c r="B141" s="1">
        <v>42941</v>
      </c>
      <c r="C141" t="s">
        <v>110</v>
      </c>
      <c r="D141">
        <v>10010.549999999999</v>
      </c>
      <c r="E141">
        <v>10011.299999999999</v>
      </c>
      <c r="F141">
        <v>9949.1</v>
      </c>
      <c r="G141">
        <v>9964.5499999999993</v>
      </c>
      <c r="H141">
        <v>0</v>
      </c>
      <c r="I141" s="8">
        <f t="shared" si="9"/>
        <v>-1.8562369561736514E-4</v>
      </c>
      <c r="J141" s="8">
        <f t="shared" si="10"/>
        <v>-1.8564092582780899E-4</v>
      </c>
      <c r="K141" s="8">
        <f t="shared" si="7"/>
        <v>6.6622779552886646E-2</v>
      </c>
    </row>
    <row r="142" spans="1:11" x14ac:dyDescent="0.25">
      <c r="A142" t="str">
        <f t="shared" si="8"/>
        <v>72017</v>
      </c>
      <c r="B142" s="1">
        <v>42942</v>
      </c>
      <c r="C142" t="s">
        <v>111</v>
      </c>
      <c r="D142">
        <v>9983.65</v>
      </c>
      <c r="E142">
        <v>10025.950000000001</v>
      </c>
      <c r="F142">
        <v>9965.9500000000007</v>
      </c>
      <c r="G142">
        <v>10020.65</v>
      </c>
      <c r="H142">
        <v>0</v>
      </c>
      <c r="I142" s="8">
        <f t="shared" si="9"/>
        <v>5.6299582018255467E-3</v>
      </c>
      <c r="J142" s="8">
        <f t="shared" si="10"/>
        <v>5.6141692202992515E-3</v>
      </c>
      <c r="K142" s="8">
        <f t="shared" si="7"/>
        <v>7.7020222376277037E-2</v>
      </c>
    </row>
    <row r="143" spans="1:11" x14ac:dyDescent="0.25">
      <c r="A143" t="str">
        <f t="shared" si="8"/>
        <v>72017</v>
      </c>
      <c r="B143" s="1">
        <v>42943</v>
      </c>
      <c r="C143" t="s">
        <v>112</v>
      </c>
      <c r="D143">
        <v>10063.25</v>
      </c>
      <c r="E143">
        <v>10114.85</v>
      </c>
      <c r="F143">
        <v>10005.5</v>
      </c>
      <c r="G143">
        <v>10020.549999999999</v>
      </c>
      <c r="H143">
        <v>0</v>
      </c>
      <c r="I143" s="8">
        <f t="shared" si="9"/>
        <v>-9.9793925544267026E-6</v>
      </c>
      <c r="J143" s="8">
        <f t="shared" si="10"/>
        <v>-9.9794423488958589E-6</v>
      </c>
      <c r="K143" s="8">
        <f t="shared" si="7"/>
        <v>7.5882024522751168E-2</v>
      </c>
    </row>
    <row r="144" spans="1:11" x14ac:dyDescent="0.25">
      <c r="A144" t="str">
        <f t="shared" si="8"/>
        <v>72017</v>
      </c>
      <c r="B144" s="1">
        <v>42944</v>
      </c>
      <c r="C144" t="s">
        <v>113</v>
      </c>
      <c r="D144">
        <v>9996.5499999999993</v>
      </c>
      <c r="E144">
        <v>10026.049999999999</v>
      </c>
      <c r="F144">
        <v>9944.5</v>
      </c>
      <c r="G144">
        <v>10014.5</v>
      </c>
      <c r="H144">
        <v>0</v>
      </c>
      <c r="I144" s="8">
        <f t="shared" si="9"/>
        <v>-6.0375927469047408E-4</v>
      </c>
      <c r="J144" s="8">
        <f t="shared" si="10"/>
        <v>-6.0394161071643303E-4</v>
      </c>
      <c r="K144" s="8">
        <f t="shared" si="7"/>
        <v>7.5446066613330087E-2</v>
      </c>
    </row>
    <row r="145" spans="1:11" x14ac:dyDescent="0.25">
      <c r="A145" t="str">
        <f t="shared" si="8"/>
        <v>72017</v>
      </c>
      <c r="B145" s="1">
        <v>42947</v>
      </c>
      <c r="C145" t="s">
        <v>114</v>
      </c>
      <c r="D145">
        <v>10034.700000000001</v>
      </c>
      <c r="E145">
        <v>10085.9</v>
      </c>
      <c r="F145">
        <v>10016.950000000001</v>
      </c>
      <c r="G145">
        <v>10077.1</v>
      </c>
      <c r="H145">
        <v>0</v>
      </c>
      <c r="I145" s="8">
        <f t="shared" si="9"/>
        <v>6.2509361425933108E-3</v>
      </c>
      <c r="J145" s="8">
        <f t="shared" si="10"/>
        <v>6.231480078246361E-3</v>
      </c>
      <c r="K145" s="8">
        <f t="shared" si="7"/>
        <v>7.6624750264425945E-2</v>
      </c>
    </row>
    <row r="146" spans="1:11" x14ac:dyDescent="0.25">
      <c r="A146" t="str">
        <f t="shared" si="8"/>
        <v>82017</v>
      </c>
      <c r="B146" s="1">
        <v>42948</v>
      </c>
      <c r="C146" s="10">
        <v>42743.645833333336</v>
      </c>
      <c r="D146">
        <v>10101.049999999999</v>
      </c>
      <c r="E146">
        <v>10128.6</v>
      </c>
      <c r="F146">
        <v>10065.75</v>
      </c>
      <c r="G146">
        <v>10114.65</v>
      </c>
      <c r="H146">
        <v>0</v>
      </c>
      <c r="I146" s="8">
        <f t="shared" si="9"/>
        <v>3.7262704547935677E-3</v>
      </c>
      <c r="J146" s="8">
        <f t="shared" si="10"/>
        <v>3.7193451075221385E-3</v>
      </c>
      <c r="K146" s="8">
        <f t="shared" si="7"/>
        <v>8.9318600368324175E-2</v>
      </c>
    </row>
    <row r="147" spans="1:11" x14ac:dyDescent="0.25">
      <c r="A147" t="str">
        <f t="shared" si="8"/>
        <v>82017</v>
      </c>
      <c r="B147" s="1">
        <v>42949</v>
      </c>
      <c r="C147" s="10">
        <v>42774.645833333336</v>
      </c>
      <c r="D147">
        <v>10136.299999999999</v>
      </c>
      <c r="E147">
        <v>10137.85</v>
      </c>
      <c r="F147">
        <v>10054.200000000001</v>
      </c>
      <c r="G147">
        <v>10081.5</v>
      </c>
      <c r="H147">
        <v>0</v>
      </c>
      <c r="I147" s="8">
        <f t="shared" si="9"/>
        <v>-3.2774243300558448E-3</v>
      </c>
      <c r="J147" s="8">
        <f t="shared" si="10"/>
        <v>-3.2828068489253134E-3</v>
      </c>
      <c r="K147" s="8">
        <f t="shared" si="7"/>
        <v>8.2397023851063844E-2</v>
      </c>
    </row>
    <row r="148" spans="1:11" x14ac:dyDescent="0.25">
      <c r="A148" t="str">
        <f t="shared" si="8"/>
        <v>82017</v>
      </c>
      <c r="B148" s="1">
        <v>42950</v>
      </c>
      <c r="C148" s="10">
        <v>42802.645833333336</v>
      </c>
      <c r="D148">
        <v>10081.15</v>
      </c>
      <c r="E148">
        <v>10081.15</v>
      </c>
      <c r="F148">
        <v>9998.25</v>
      </c>
      <c r="G148">
        <v>10013.65</v>
      </c>
      <c r="H148">
        <v>0</v>
      </c>
      <c r="I148" s="8">
        <f t="shared" si="9"/>
        <v>-6.7301492833408139E-3</v>
      </c>
      <c r="J148" s="8">
        <f t="shared" si="10"/>
        <v>-6.7528988675471342E-3</v>
      </c>
      <c r="K148" s="8">
        <f t="shared" si="7"/>
        <v>7.4789225972297313E-2</v>
      </c>
    </row>
    <row r="149" spans="1:11" x14ac:dyDescent="0.25">
      <c r="A149" t="str">
        <f t="shared" si="8"/>
        <v>82017</v>
      </c>
      <c r="B149" s="1">
        <v>42951</v>
      </c>
      <c r="C149" s="10">
        <v>42833.645833333336</v>
      </c>
      <c r="D149">
        <v>10008.6</v>
      </c>
      <c r="E149">
        <v>10075.25</v>
      </c>
      <c r="F149">
        <v>9988.35</v>
      </c>
      <c r="G149">
        <v>10066.4</v>
      </c>
      <c r="H149">
        <v>0</v>
      </c>
      <c r="I149" s="8">
        <f t="shared" si="9"/>
        <v>5.2678094401141795E-3</v>
      </c>
      <c r="J149" s="8">
        <f t="shared" si="10"/>
        <v>5.2539830671749282E-3</v>
      </c>
      <c r="K149" s="8">
        <f t="shared" si="7"/>
        <v>7.0062610951070026E-2</v>
      </c>
    </row>
    <row r="150" spans="1:11" x14ac:dyDescent="0.25">
      <c r="A150" t="str">
        <f t="shared" si="8"/>
        <v>82017</v>
      </c>
      <c r="B150" s="1">
        <v>42954</v>
      </c>
      <c r="C150" s="10">
        <v>42924.645833333336</v>
      </c>
      <c r="D150">
        <v>10074.799999999999</v>
      </c>
      <c r="E150">
        <v>10088.1</v>
      </c>
      <c r="F150">
        <v>10046.35</v>
      </c>
      <c r="G150">
        <v>10057.4</v>
      </c>
      <c r="H150">
        <v>0</v>
      </c>
      <c r="I150" s="8">
        <f t="shared" si="9"/>
        <v>-8.9406341889852747E-4</v>
      </c>
      <c r="J150" s="8">
        <f t="shared" si="10"/>
        <v>-8.944633319799062E-4</v>
      </c>
      <c r="K150" s="8">
        <f t="shared" si="7"/>
        <v>6.7392596366106394E-2</v>
      </c>
    </row>
    <row r="151" spans="1:11" x14ac:dyDescent="0.25">
      <c r="A151" t="str">
        <f t="shared" si="8"/>
        <v>82017</v>
      </c>
      <c r="B151" s="1">
        <v>42955</v>
      </c>
      <c r="C151" s="10">
        <v>42955.645833333336</v>
      </c>
      <c r="D151">
        <v>10068.35</v>
      </c>
      <c r="E151">
        <v>10083.799999999999</v>
      </c>
      <c r="F151">
        <v>9947</v>
      </c>
      <c r="G151">
        <v>9978.5499999999993</v>
      </c>
      <c r="H151">
        <v>0</v>
      </c>
      <c r="I151" s="8">
        <f t="shared" si="9"/>
        <v>-7.8399984091316322E-3</v>
      </c>
      <c r="J151" s="8">
        <f t="shared" si="10"/>
        <v>-7.8708927771298978E-3</v>
      </c>
      <c r="K151" s="8">
        <f t="shared" si="7"/>
        <v>6.1446244508504444E-2</v>
      </c>
    </row>
    <row r="152" spans="1:11" x14ac:dyDescent="0.25">
      <c r="A152" t="str">
        <f t="shared" si="8"/>
        <v>82017</v>
      </c>
      <c r="B152" s="1">
        <v>42956</v>
      </c>
      <c r="C152" s="10">
        <v>42986.645833333336</v>
      </c>
      <c r="D152">
        <v>9961.15</v>
      </c>
      <c r="E152">
        <v>9969.7999999999993</v>
      </c>
      <c r="F152">
        <v>9893.0499999999993</v>
      </c>
      <c r="G152">
        <v>9908.0499999999993</v>
      </c>
      <c r="H152">
        <v>0</v>
      </c>
      <c r="I152" s="8">
        <f t="shared" si="9"/>
        <v>-7.0651547569536843E-3</v>
      </c>
      <c r="J152" s="8">
        <f t="shared" si="10"/>
        <v>-7.0902311450018263E-3</v>
      </c>
      <c r="K152" s="8">
        <f t="shared" si="7"/>
        <v>4.8981514811442528E-2</v>
      </c>
    </row>
    <row r="153" spans="1:11" x14ac:dyDescent="0.25">
      <c r="A153" t="str">
        <f t="shared" si="8"/>
        <v>82017</v>
      </c>
      <c r="B153" s="1">
        <v>42957</v>
      </c>
      <c r="C153" s="10">
        <v>43016.645833333336</v>
      </c>
      <c r="D153">
        <v>9872.85</v>
      </c>
      <c r="E153">
        <v>9892.65</v>
      </c>
      <c r="F153">
        <v>9776.2000000000007</v>
      </c>
      <c r="G153">
        <v>9820.25</v>
      </c>
      <c r="H153">
        <v>0</v>
      </c>
      <c r="I153" s="8">
        <f t="shared" si="9"/>
        <v>-8.8614813207441578E-3</v>
      </c>
      <c r="J153" s="8">
        <f t="shared" si="10"/>
        <v>-8.9009777507181431E-3</v>
      </c>
      <c r="K153" s="8">
        <f t="shared" si="7"/>
        <v>3.2379300375831255E-2</v>
      </c>
    </row>
    <row r="154" spans="1:11" x14ac:dyDescent="0.25">
      <c r="A154" t="str">
        <f t="shared" si="8"/>
        <v>82017</v>
      </c>
      <c r="B154" s="1">
        <v>42958</v>
      </c>
      <c r="C154" s="10">
        <v>43047.645833333336</v>
      </c>
      <c r="D154">
        <v>9712.15</v>
      </c>
      <c r="E154">
        <v>9771.65</v>
      </c>
      <c r="F154">
        <v>9685.5499999999993</v>
      </c>
      <c r="G154">
        <v>9710.7999999999993</v>
      </c>
      <c r="H154">
        <v>0</v>
      </c>
      <c r="I154" s="8">
        <f t="shared" si="9"/>
        <v>-1.1145337440492953E-2</v>
      </c>
      <c r="J154" s="8">
        <f t="shared" si="10"/>
        <v>-1.1207912091976585E-2</v>
      </c>
      <c r="K154" s="8">
        <f t="shared" si="7"/>
        <v>1.9426291893026804E-2</v>
      </c>
    </row>
    <row r="155" spans="1:11" x14ac:dyDescent="0.25">
      <c r="A155" t="str">
        <f t="shared" si="8"/>
        <v>82017</v>
      </c>
      <c r="B155" s="1">
        <v>42961</v>
      </c>
      <c r="C155" t="s">
        <v>115</v>
      </c>
      <c r="D155">
        <v>9755.75</v>
      </c>
      <c r="E155">
        <v>9818.2999999999993</v>
      </c>
      <c r="F155">
        <v>9752.1</v>
      </c>
      <c r="G155">
        <v>9794.15</v>
      </c>
      <c r="H155">
        <v>0</v>
      </c>
      <c r="I155" s="8">
        <f t="shared" si="9"/>
        <v>8.5832269226016056E-3</v>
      </c>
      <c r="J155" s="8">
        <f t="shared" si="10"/>
        <v>8.5466004633149868E-3</v>
      </c>
      <c r="K155" s="8">
        <f t="shared" si="7"/>
        <v>3.8676699065162801E-2</v>
      </c>
    </row>
    <row r="156" spans="1:11" x14ac:dyDescent="0.25">
      <c r="A156" t="str">
        <f t="shared" si="8"/>
        <v>82017</v>
      </c>
      <c r="B156" s="1">
        <v>42963</v>
      </c>
      <c r="C156" t="s">
        <v>116</v>
      </c>
      <c r="D156">
        <v>9825.85</v>
      </c>
      <c r="E156">
        <v>9903.9500000000007</v>
      </c>
      <c r="F156">
        <v>9773.85</v>
      </c>
      <c r="G156">
        <v>9897.2999999999993</v>
      </c>
      <c r="H156">
        <v>0</v>
      </c>
      <c r="I156" s="8">
        <f t="shared" si="9"/>
        <v>1.0531797042111934E-2</v>
      </c>
      <c r="J156" s="8">
        <f t="shared" si="10"/>
        <v>1.0476724008841323E-2</v>
      </c>
      <c r="K156" s="8">
        <f t="shared" si="7"/>
        <v>4.9788394021998528E-2</v>
      </c>
    </row>
    <row r="157" spans="1:11" x14ac:dyDescent="0.25">
      <c r="A157" t="str">
        <f t="shared" si="8"/>
        <v>82017</v>
      </c>
      <c r="B157" s="1">
        <v>42964</v>
      </c>
      <c r="C157" t="s">
        <v>117</v>
      </c>
      <c r="D157">
        <v>9945.5499999999993</v>
      </c>
      <c r="E157">
        <v>9947.7999999999993</v>
      </c>
      <c r="F157">
        <v>9883.75</v>
      </c>
      <c r="G157">
        <v>9904.15</v>
      </c>
      <c r="H157">
        <v>0</v>
      </c>
      <c r="I157" s="8">
        <f t="shared" si="9"/>
        <v>6.9210794863239222E-4</v>
      </c>
      <c r="J157" s="8">
        <f t="shared" si="10"/>
        <v>6.9186855237844387E-4</v>
      </c>
      <c r="K157" s="8">
        <f t="shared" si="7"/>
        <v>4.9362964532619902E-2</v>
      </c>
    </row>
    <row r="158" spans="1:11" x14ac:dyDescent="0.25">
      <c r="A158" t="str">
        <f t="shared" si="8"/>
        <v>82017</v>
      </c>
      <c r="B158" s="1">
        <v>42965</v>
      </c>
      <c r="C158" t="s">
        <v>118</v>
      </c>
      <c r="D158">
        <v>9865.9500000000007</v>
      </c>
      <c r="E158">
        <v>9865.9500000000007</v>
      </c>
      <c r="F158">
        <v>9783.65</v>
      </c>
      <c r="G158">
        <v>9837.4</v>
      </c>
      <c r="H158">
        <v>0</v>
      </c>
      <c r="I158" s="8">
        <f t="shared" si="9"/>
        <v>-6.7395990569609765E-3</v>
      </c>
      <c r="J158" s="8">
        <f t="shared" si="10"/>
        <v>-6.7624127157378065E-3</v>
      </c>
      <c r="K158" s="8">
        <f t="shared" si="7"/>
        <v>4.8076154759938872E-2</v>
      </c>
    </row>
    <row r="159" spans="1:11" x14ac:dyDescent="0.25">
      <c r="A159" t="str">
        <f t="shared" si="8"/>
        <v>82017</v>
      </c>
      <c r="B159" s="1">
        <v>42968</v>
      </c>
      <c r="C159" t="s">
        <v>119</v>
      </c>
      <c r="D159">
        <v>9864.25</v>
      </c>
      <c r="E159">
        <v>9884.35</v>
      </c>
      <c r="F159">
        <v>9740.1</v>
      </c>
      <c r="G159">
        <v>9754.35</v>
      </c>
      <c r="H159">
        <v>0</v>
      </c>
      <c r="I159" s="8">
        <f t="shared" si="9"/>
        <v>-8.4422713318559328E-3</v>
      </c>
      <c r="J159" s="8">
        <f t="shared" si="10"/>
        <v>-8.4781091487364443E-3</v>
      </c>
      <c r="K159" s="8">
        <f t="shared" si="7"/>
        <v>4.207017750025388E-2</v>
      </c>
    </row>
    <row r="160" spans="1:11" x14ac:dyDescent="0.25">
      <c r="A160" t="str">
        <f t="shared" si="8"/>
        <v>82017</v>
      </c>
      <c r="B160" s="1">
        <v>42969</v>
      </c>
      <c r="C160" t="s">
        <v>120</v>
      </c>
      <c r="D160">
        <v>9815.75</v>
      </c>
      <c r="E160">
        <v>9828.4500000000007</v>
      </c>
      <c r="F160">
        <v>9752.6</v>
      </c>
      <c r="G160">
        <v>9765.5499999999993</v>
      </c>
      <c r="H160">
        <v>0</v>
      </c>
      <c r="I160" s="8">
        <f t="shared" si="9"/>
        <v>1.1482056723408629E-3</v>
      </c>
      <c r="J160" s="8">
        <f t="shared" si="10"/>
        <v>1.1475469883627705E-3</v>
      </c>
      <c r="K160" s="8">
        <f t="shared" si="7"/>
        <v>2.6898709219485228E-2</v>
      </c>
    </row>
    <row r="161" spans="1:11" x14ac:dyDescent="0.25">
      <c r="A161" t="str">
        <f t="shared" si="8"/>
        <v>82017</v>
      </c>
      <c r="B161" s="1">
        <v>42970</v>
      </c>
      <c r="C161" t="s">
        <v>121</v>
      </c>
      <c r="D161">
        <v>9803.0499999999993</v>
      </c>
      <c r="E161">
        <v>9857.9</v>
      </c>
      <c r="F161">
        <v>9786.75</v>
      </c>
      <c r="G161">
        <v>9852.5</v>
      </c>
      <c r="H161">
        <v>0</v>
      </c>
      <c r="I161" s="8">
        <f t="shared" si="9"/>
        <v>8.9037483807876683E-3</v>
      </c>
      <c r="J161" s="8">
        <f t="shared" si="10"/>
        <v>8.8643437397835124E-3</v>
      </c>
      <c r="K161" s="8">
        <f t="shared" si="7"/>
        <v>2.6826192535773341E-2</v>
      </c>
    </row>
    <row r="162" spans="1:11" x14ac:dyDescent="0.25">
      <c r="A162" t="str">
        <f t="shared" si="8"/>
        <v>82017</v>
      </c>
      <c r="B162" s="1">
        <v>42971</v>
      </c>
      <c r="C162" t="s">
        <v>122</v>
      </c>
      <c r="D162">
        <v>9881.2000000000007</v>
      </c>
      <c r="E162">
        <v>9881.5</v>
      </c>
      <c r="F162">
        <v>9848.85</v>
      </c>
      <c r="G162">
        <v>9857.0499999999993</v>
      </c>
      <c r="H162">
        <v>0</v>
      </c>
      <c r="I162" s="8">
        <f t="shared" si="9"/>
        <v>4.6181172291293038E-4</v>
      </c>
      <c r="J162" s="8">
        <f t="shared" si="10"/>
        <v>4.6170512069805943E-4</v>
      </c>
      <c r="K162" s="8">
        <f t="shared" si="7"/>
        <v>2.6252225426605102E-2</v>
      </c>
    </row>
    <row r="163" spans="1:11" x14ac:dyDescent="0.25">
      <c r="A163" t="str">
        <f t="shared" si="8"/>
        <v>82017</v>
      </c>
      <c r="B163" s="1">
        <v>42975</v>
      </c>
      <c r="C163" t="s">
        <v>123</v>
      </c>
      <c r="D163">
        <v>9907.15</v>
      </c>
      <c r="E163">
        <v>9925.75</v>
      </c>
      <c r="F163">
        <v>9882</v>
      </c>
      <c r="G163">
        <v>9912.7999999999993</v>
      </c>
      <c r="H163">
        <v>0</v>
      </c>
      <c r="I163" s="8">
        <f t="shared" si="9"/>
        <v>5.6558503811992011E-3</v>
      </c>
      <c r="J163" s="8">
        <f t="shared" si="10"/>
        <v>5.6399161124262602E-3</v>
      </c>
      <c r="K163" s="8">
        <f t="shared" si="7"/>
        <v>2.9949452182179925E-2</v>
      </c>
    </row>
    <row r="164" spans="1:11" x14ac:dyDescent="0.25">
      <c r="A164" t="str">
        <f t="shared" si="8"/>
        <v>82017</v>
      </c>
      <c r="B164" s="1">
        <v>42976</v>
      </c>
      <c r="C164" t="s">
        <v>124</v>
      </c>
      <c r="D164">
        <v>9886.4</v>
      </c>
      <c r="E164">
        <v>9887.35</v>
      </c>
      <c r="F164">
        <v>9783.75</v>
      </c>
      <c r="G164">
        <v>9796.0499999999993</v>
      </c>
      <c r="H164">
        <v>0</v>
      </c>
      <c r="I164" s="8">
        <f t="shared" si="9"/>
        <v>-1.1777701557582065E-2</v>
      </c>
      <c r="J164" s="8">
        <f t="shared" si="10"/>
        <v>-1.1847608119118438E-2</v>
      </c>
      <c r="K164" s="8">
        <f t="shared" si="7"/>
        <v>1.8168117448356336E-2</v>
      </c>
    </row>
    <row r="165" spans="1:11" x14ac:dyDescent="0.25">
      <c r="A165" t="str">
        <f t="shared" si="8"/>
        <v>82017</v>
      </c>
      <c r="B165" s="1">
        <v>42977</v>
      </c>
      <c r="C165" t="s">
        <v>125</v>
      </c>
      <c r="D165">
        <v>9859.5</v>
      </c>
      <c r="E165">
        <v>9909.4500000000007</v>
      </c>
      <c r="F165">
        <v>9850.7999999999993</v>
      </c>
      <c r="G165">
        <v>9884.4</v>
      </c>
      <c r="H165">
        <v>0</v>
      </c>
      <c r="I165" s="8">
        <f t="shared" si="9"/>
        <v>9.0189413079762026E-3</v>
      </c>
      <c r="J165" s="8">
        <f t="shared" si="10"/>
        <v>8.9785135520387346E-3</v>
      </c>
      <c r="K165" s="8">
        <f t="shared" si="7"/>
        <v>2.79011241563627E-2</v>
      </c>
    </row>
    <row r="166" spans="1:11" x14ac:dyDescent="0.25">
      <c r="A166" t="str">
        <f t="shared" si="8"/>
        <v>82017</v>
      </c>
      <c r="B166" s="1">
        <v>42978</v>
      </c>
      <c r="C166" t="s">
        <v>126</v>
      </c>
      <c r="D166">
        <v>9905.7000000000007</v>
      </c>
      <c r="E166">
        <v>9925.1</v>
      </c>
      <c r="F166">
        <v>9856.9500000000007</v>
      </c>
      <c r="G166">
        <v>9917.9</v>
      </c>
      <c r="H166">
        <v>0</v>
      </c>
      <c r="I166" s="8">
        <f t="shared" si="9"/>
        <v>3.3891789081785806E-3</v>
      </c>
      <c r="J166" s="8">
        <f t="shared" si="10"/>
        <v>3.3834485850860433E-3</v>
      </c>
      <c r="K166" s="8">
        <f t="shared" si="7"/>
        <v>2.7389029885533711E-2</v>
      </c>
    </row>
    <row r="167" spans="1:11" x14ac:dyDescent="0.25">
      <c r="A167" t="str">
        <f t="shared" si="8"/>
        <v>92017</v>
      </c>
      <c r="B167" s="1">
        <v>42979</v>
      </c>
      <c r="C167" s="10">
        <v>42744.645833333336</v>
      </c>
      <c r="D167">
        <v>9937.65</v>
      </c>
      <c r="E167">
        <v>9983.4500000000007</v>
      </c>
      <c r="F167">
        <v>9909.85</v>
      </c>
      <c r="G167">
        <v>9974.4</v>
      </c>
      <c r="H167">
        <v>0</v>
      </c>
      <c r="I167" s="8">
        <f t="shared" si="9"/>
        <v>5.6967704856873969E-3</v>
      </c>
      <c r="J167" s="8">
        <f t="shared" si="10"/>
        <v>5.6806052527284762E-3</v>
      </c>
      <c r="K167" s="8">
        <f t="shared" si="7"/>
        <v>3.0935080774358914E-2</v>
      </c>
    </row>
    <row r="168" spans="1:11" x14ac:dyDescent="0.25">
      <c r="A168" t="str">
        <f t="shared" si="8"/>
        <v>92017</v>
      </c>
      <c r="B168" s="1">
        <v>42982</v>
      </c>
      <c r="C168" s="10">
        <v>42834.645833333336</v>
      </c>
      <c r="D168">
        <v>9984.15</v>
      </c>
      <c r="E168">
        <v>9988.4</v>
      </c>
      <c r="F168">
        <v>9861</v>
      </c>
      <c r="G168">
        <v>9912.85</v>
      </c>
      <c r="H168">
        <v>0</v>
      </c>
      <c r="I168" s="8">
        <f t="shared" si="9"/>
        <v>-6.1707972409367207E-3</v>
      </c>
      <c r="J168" s="8">
        <f t="shared" si="10"/>
        <v>-6.1899152999191241E-3</v>
      </c>
      <c r="K168" s="8">
        <f t="shared" si="7"/>
        <v>2.8608042834240566E-2</v>
      </c>
    </row>
    <row r="169" spans="1:11" x14ac:dyDescent="0.25">
      <c r="A169" t="str">
        <f t="shared" si="8"/>
        <v>92017</v>
      </c>
      <c r="B169" s="1">
        <v>42983</v>
      </c>
      <c r="C169" s="10">
        <v>42864.645833333336</v>
      </c>
      <c r="D169">
        <v>9933.25</v>
      </c>
      <c r="E169">
        <v>9963.1</v>
      </c>
      <c r="F169">
        <v>9901.0499999999993</v>
      </c>
      <c r="G169">
        <v>9952.2000000000007</v>
      </c>
      <c r="H169">
        <v>0</v>
      </c>
      <c r="I169" s="8">
        <f t="shared" si="9"/>
        <v>3.9695950206046771E-3</v>
      </c>
      <c r="J169" s="8">
        <f t="shared" si="10"/>
        <v>3.9617369669533451E-3</v>
      </c>
      <c r="K169" s="8">
        <f t="shared" si="7"/>
        <v>2.9832676248719547E-2</v>
      </c>
    </row>
    <row r="170" spans="1:11" x14ac:dyDescent="0.25">
      <c r="A170" t="str">
        <f t="shared" si="8"/>
        <v>92017</v>
      </c>
      <c r="B170" s="1">
        <v>42984</v>
      </c>
      <c r="C170" s="10">
        <v>42895.645833333336</v>
      </c>
      <c r="D170">
        <v>9899.25</v>
      </c>
      <c r="E170">
        <v>9931.5499999999993</v>
      </c>
      <c r="F170">
        <v>9882.5499999999993</v>
      </c>
      <c r="G170">
        <v>9916.2000000000007</v>
      </c>
      <c r="H170">
        <v>0</v>
      </c>
      <c r="I170" s="8">
        <f t="shared" si="9"/>
        <v>-3.6172906493037171E-3</v>
      </c>
      <c r="J170" s="8">
        <f t="shared" si="10"/>
        <v>-3.6238488652164868E-3</v>
      </c>
      <c r="K170" s="8">
        <f t="shared" si="7"/>
        <v>2.7878410946124532E-2</v>
      </c>
    </row>
    <row r="171" spans="1:11" x14ac:dyDescent="0.25">
      <c r="A171" t="str">
        <f t="shared" si="8"/>
        <v>92017</v>
      </c>
      <c r="B171" s="1">
        <v>42985</v>
      </c>
      <c r="C171" s="10">
        <v>42925.645833333336</v>
      </c>
      <c r="D171">
        <v>9945.85</v>
      </c>
      <c r="E171">
        <v>9964.85</v>
      </c>
      <c r="F171">
        <v>9917.2000000000007</v>
      </c>
      <c r="G171">
        <v>9929.9</v>
      </c>
      <c r="H171">
        <v>0</v>
      </c>
      <c r="I171" s="8">
        <f t="shared" si="9"/>
        <v>1.3815776204593178E-3</v>
      </c>
      <c r="J171" s="8">
        <f t="shared" si="10"/>
        <v>1.3806241202206646E-3</v>
      </c>
      <c r="K171" s="8">
        <f t="shared" si="7"/>
        <v>2.7062808677889016E-2</v>
      </c>
    </row>
    <row r="172" spans="1:11" x14ac:dyDescent="0.25">
      <c r="A172" t="str">
        <f t="shared" si="8"/>
        <v>92017</v>
      </c>
      <c r="B172" s="1">
        <v>42986</v>
      </c>
      <c r="C172" s="10">
        <v>42956.645833333336</v>
      </c>
      <c r="D172">
        <v>9958.65</v>
      </c>
      <c r="E172">
        <v>9963.6</v>
      </c>
      <c r="F172">
        <v>9913.2999999999993</v>
      </c>
      <c r="G172">
        <v>9934.7999999999993</v>
      </c>
      <c r="H172">
        <v>0</v>
      </c>
      <c r="I172" s="8">
        <f t="shared" si="9"/>
        <v>4.9345914863185847E-4</v>
      </c>
      <c r="J172" s="8">
        <f t="shared" si="10"/>
        <v>4.9333743770410869E-4</v>
      </c>
      <c r="K172" s="8">
        <f t="shared" si="7"/>
        <v>3.3110103573062544E-2</v>
      </c>
    </row>
    <row r="173" spans="1:11" x14ac:dyDescent="0.25">
      <c r="A173" t="str">
        <f t="shared" si="8"/>
        <v>92017</v>
      </c>
      <c r="B173" s="1">
        <v>42989</v>
      </c>
      <c r="C173" s="10">
        <v>43048.645833333336</v>
      </c>
      <c r="D173">
        <v>9971.75</v>
      </c>
      <c r="E173">
        <v>10028.65</v>
      </c>
      <c r="F173">
        <v>9968.7999999999993</v>
      </c>
      <c r="G173">
        <v>10006.049999999999</v>
      </c>
      <c r="H173">
        <v>0</v>
      </c>
      <c r="I173" s="8">
        <f t="shared" si="9"/>
        <v>7.1717598743810118E-3</v>
      </c>
      <c r="J173" s="8">
        <f t="shared" si="10"/>
        <v>7.146165104703851E-3</v>
      </c>
      <c r="K173" s="8">
        <f t="shared" si="7"/>
        <v>4.1548262186553275E-2</v>
      </c>
    </row>
    <row r="174" spans="1:11" x14ac:dyDescent="0.25">
      <c r="A174" t="str">
        <f t="shared" si="8"/>
        <v>92017</v>
      </c>
      <c r="B174" s="1">
        <v>42990</v>
      </c>
      <c r="C174" s="10">
        <v>43078.645833333336</v>
      </c>
      <c r="D174">
        <v>10056.85</v>
      </c>
      <c r="E174">
        <v>10097.549999999999</v>
      </c>
      <c r="F174">
        <v>10028.049999999999</v>
      </c>
      <c r="G174">
        <v>10093.049999999999</v>
      </c>
      <c r="H174">
        <v>0</v>
      </c>
      <c r="I174" s="8">
        <f t="shared" si="9"/>
        <v>8.6947396824921253E-3</v>
      </c>
      <c r="J174" s="8">
        <f t="shared" si="10"/>
        <v>8.6571581175898422E-3</v>
      </c>
      <c r="K174" s="8">
        <f t="shared" si="7"/>
        <v>4.9375399635064987E-2</v>
      </c>
    </row>
    <row r="175" spans="1:11" x14ac:dyDescent="0.25">
      <c r="A175" t="str">
        <f t="shared" si="8"/>
        <v>92017</v>
      </c>
      <c r="B175" s="1">
        <v>42991</v>
      </c>
      <c r="C175" t="s">
        <v>127</v>
      </c>
      <c r="D175">
        <v>10099.25</v>
      </c>
      <c r="E175">
        <v>10131.950000000001</v>
      </c>
      <c r="F175">
        <v>10063.15</v>
      </c>
      <c r="G175">
        <v>10079.299999999999</v>
      </c>
      <c r="H175">
        <v>0</v>
      </c>
      <c r="I175" s="8">
        <f t="shared" si="9"/>
        <v>-1.3623235790964916E-3</v>
      </c>
      <c r="J175" s="8">
        <f t="shared" si="10"/>
        <v>-1.3632523855159992E-3</v>
      </c>
      <c r="K175" s="8">
        <f t="shared" si="7"/>
        <v>5.2333199346422221E-2</v>
      </c>
    </row>
    <row r="176" spans="1:11" x14ac:dyDescent="0.25">
      <c r="A176" t="str">
        <f t="shared" si="8"/>
        <v>92017</v>
      </c>
      <c r="B176" s="1">
        <v>42992</v>
      </c>
      <c r="C176" t="s">
        <v>128</v>
      </c>
      <c r="D176">
        <v>10107.4</v>
      </c>
      <c r="E176">
        <v>10126.5</v>
      </c>
      <c r="F176">
        <v>10070.35</v>
      </c>
      <c r="G176">
        <v>10086.6</v>
      </c>
      <c r="H176">
        <v>0</v>
      </c>
      <c r="I176" s="8">
        <f t="shared" si="9"/>
        <v>7.2425664480668672E-4</v>
      </c>
      <c r="J176" s="8">
        <f t="shared" si="10"/>
        <v>7.2399449752988171E-4</v>
      </c>
      <c r="K176" s="8">
        <f t="shared" si="7"/>
        <v>5.1997017120269717E-2</v>
      </c>
    </row>
    <row r="177" spans="1:11" x14ac:dyDescent="0.25">
      <c r="A177" t="str">
        <f t="shared" si="8"/>
        <v>92017</v>
      </c>
      <c r="B177" s="1">
        <v>42993</v>
      </c>
      <c r="C177" t="s">
        <v>129</v>
      </c>
      <c r="D177">
        <v>10062.35</v>
      </c>
      <c r="E177">
        <v>10115.15</v>
      </c>
      <c r="F177">
        <v>10043.65</v>
      </c>
      <c r="G177">
        <v>10085.4</v>
      </c>
      <c r="H177">
        <v>0</v>
      </c>
      <c r="I177" s="8">
        <f t="shared" si="9"/>
        <v>-1.1896972220581947E-4</v>
      </c>
      <c r="J177" s="8">
        <f t="shared" si="10"/>
        <v>-1.1897679966456144E-4</v>
      </c>
      <c r="K177" s="8">
        <f t="shared" si="7"/>
        <v>4.4302126315680423E-2</v>
      </c>
    </row>
    <row r="178" spans="1:11" x14ac:dyDescent="0.25">
      <c r="A178" t="str">
        <f t="shared" si="8"/>
        <v>92017</v>
      </c>
      <c r="B178" s="1">
        <v>42996</v>
      </c>
      <c r="C178" t="s">
        <v>130</v>
      </c>
      <c r="D178">
        <v>10133.1</v>
      </c>
      <c r="E178">
        <v>10171.700000000001</v>
      </c>
      <c r="F178">
        <v>10131.299999999999</v>
      </c>
      <c r="G178">
        <v>10153.1</v>
      </c>
      <c r="H178">
        <v>0</v>
      </c>
      <c r="I178" s="8">
        <f t="shared" si="9"/>
        <v>6.7126737660381242E-3</v>
      </c>
      <c r="J178" s="8">
        <f t="shared" si="10"/>
        <v>6.6902440909391188E-3</v>
      </c>
      <c r="K178" s="8">
        <f t="shared" si="7"/>
        <v>5.1753250116538085E-2</v>
      </c>
    </row>
    <row r="179" spans="1:11" x14ac:dyDescent="0.25">
      <c r="A179" t="str">
        <f t="shared" si="8"/>
        <v>92017</v>
      </c>
      <c r="B179" s="1">
        <v>42997</v>
      </c>
      <c r="C179" t="s">
        <v>131</v>
      </c>
      <c r="D179">
        <v>10175.6</v>
      </c>
      <c r="E179">
        <v>10178.950000000001</v>
      </c>
      <c r="F179">
        <v>10129.950000000001</v>
      </c>
      <c r="G179">
        <v>10147.549999999999</v>
      </c>
      <c r="H179">
        <v>0</v>
      </c>
      <c r="I179" s="8">
        <f t="shared" si="9"/>
        <v>-5.4663107819297174E-4</v>
      </c>
      <c r="J179" s="8">
        <f t="shared" si="10"/>
        <v>-5.4678053542858999E-4</v>
      </c>
      <c r="K179" s="8">
        <f t="shared" si="7"/>
        <v>5.3349734263411275E-2</v>
      </c>
    </row>
    <row r="180" spans="1:11" x14ac:dyDescent="0.25">
      <c r="A180" t="str">
        <f t="shared" si="8"/>
        <v>92017</v>
      </c>
      <c r="B180" s="1">
        <v>42998</v>
      </c>
      <c r="C180" t="s">
        <v>132</v>
      </c>
      <c r="D180">
        <v>10160.950000000001</v>
      </c>
      <c r="E180">
        <v>10171.049999999999</v>
      </c>
      <c r="F180">
        <v>10134.200000000001</v>
      </c>
      <c r="G180">
        <v>10141.15</v>
      </c>
      <c r="H180">
        <v>0</v>
      </c>
      <c r="I180" s="8">
        <f t="shared" si="9"/>
        <v>-6.3069410843008544E-4</v>
      </c>
      <c r="J180" s="8">
        <f t="shared" si="10"/>
        <v>-6.3089307962366117E-4</v>
      </c>
      <c r="K180" s="8">
        <f t="shared" si="7"/>
        <v>5.3078920041536914E-2</v>
      </c>
    </row>
    <row r="181" spans="1:11" x14ac:dyDescent="0.25">
      <c r="A181" t="str">
        <f t="shared" si="8"/>
        <v>92017</v>
      </c>
      <c r="B181" s="1">
        <v>42999</v>
      </c>
      <c r="C181" t="s">
        <v>133</v>
      </c>
      <c r="D181">
        <v>10139.6</v>
      </c>
      <c r="E181">
        <v>10158.9</v>
      </c>
      <c r="F181">
        <v>10058.6</v>
      </c>
      <c r="G181">
        <v>10121.9</v>
      </c>
      <c r="H181">
        <v>0</v>
      </c>
      <c r="I181" s="8">
        <f t="shared" si="9"/>
        <v>-1.8982068108646111E-3</v>
      </c>
      <c r="J181" s="8">
        <f t="shared" si="10"/>
        <v>-1.9000106885297251E-3</v>
      </c>
      <c r="K181" s="8">
        <f t="shared" si="7"/>
        <v>5.712301369719941E-2</v>
      </c>
    </row>
    <row r="182" spans="1:11" x14ac:dyDescent="0.25">
      <c r="A182" t="str">
        <f t="shared" si="8"/>
        <v>92017</v>
      </c>
      <c r="B182" s="1">
        <v>43000</v>
      </c>
      <c r="C182" t="s">
        <v>134</v>
      </c>
      <c r="D182">
        <v>10094.35</v>
      </c>
      <c r="E182">
        <v>10095.049999999999</v>
      </c>
      <c r="F182">
        <v>9952.7999999999993</v>
      </c>
      <c r="G182">
        <v>9964.4</v>
      </c>
      <c r="H182">
        <v>0</v>
      </c>
      <c r="I182" s="8">
        <f t="shared" si="9"/>
        <v>-1.5560319702822567E-2</v>
      </c>
      <c r="J182" s="8">
        <f t="shared" si="10"/>
        <v>-1.5682652158186268E-2</v>
      </c>
      <c r="K182" s="8">
        <f t="shared" si="7"/>
        <v>4.7627058056647797E-2</v>
      </c>
    </row>
    <row r="183" spans="1:11" x14ac:dyDescent="0.25">
      <c r="A183" t="str">
        <f t="shared" si="8"/>
        <v>92017</v>
      </c>
      <c r="B183" s="1">
        <v>43003</v>
      </c>
      <c r="C183" t="s">
        <v>135</v>
      </c>
      <c r="D183">
        <v>9960.1</v>
      </c>
      <c r="E183">
        <v>9960.5</v>
      </c>
      <c r="F183">
        <v>9816.0499999999993</v>
      </c>
      <c r="G183">
        <v>9872.6</v>
      </c>
      <c r="H183">
        <v>0</v>
      </c>
      <c r="I183" s="8">
        <f t="shared" si="9"/>
        <v>-9.2127975593110367E-3</v>
      </c>
      <c r="J183" s="8">
        <f t="shared" si="10"/>
        <v>-9.2554978404498014E-3</v>
      </c>
      <c r="K183" s="8">
        <f t="shared" si="7"/>
        <v>4.0179112340313461E-2</v>
      </c>
    </row>
    <row r="184" spans="1:11" x14ac:dyDescent="0.25">
      <c r="A184" t="str">
        <f t="shared" si="8"/>
        <v>92017</v>
      </c>
      <c r="B184" s="1">
        <v>43004</v>
      </c>
      <c r="C184" t="s">
        <v>136</v>
      </c>
      <c r="D184">
        <v>9875.25</v>
      </c>
      <c r="E184">
        <v>9891.35</v>
      </c>
      <c r="F184">
        <v>9813</v>
      </c>
      <c r="G184">
        <v>9871.5</v>
      </c>
      <c r="H184">
        <v>0</v>
      </c>
      <c r="I184" s="8">
        <f t="shared" si="9"/>
        <v>-1.1141948422910275E-4</v>
      </c>
      <c r="J184" s="8">
        <f t="shared" si="10"/>
        <v>-1.1142569184093924E-4</v>
      </c>
      <c r="K184" s="8">
        <f t="shared" si="7"/>
        <v>3.8657000662871699E-2</v>
      </c>
    </row>
    <row r="185" spans="1:11" x14ac:dyDescent="0.25">
      <c r="A185" t="str">
        <f t="shared" si="8"/>
        <v>92017</v>
      </c>
      <c r="B185" s="1">
        <v>43005</v>
      </c>
      <c r="C185" t="s">
        <v>137</v>
      </c>
      <c r="D185">
        <v>9920.6</v>
      </c>
      <c r="E185">
        <v>9921.0499999999993</v>
      </c>
      <c r="F185">
        <v>9714.4</v>
      </c>
      <c r="G185">
        <v>9735.75</v>
      </c>
      <c r="H185">
        <v>0</v>
      </c>
      <c r="I185" s="8">
        <f t="shared" si="9"/>
        <v>-1.3751709466646389E-2</v>
      </c>
      <c r="J185" s="8">
        <f t="shared" si="10"/>
        <v>-1.3847140123069935E-2</v>
      </c>
      <c r="K185" s="8">
        <f t="shared" si="7"/>
        <v>2.2566143956978868E-2</v>
      </c>
    </row>
    <row r="186" spans="1:11" x14ac:dyDescent="0.25">
      <c r="A186" t="str">
        <f t="shared" si="8"/>
        <v>92017</v>
      </c>
      <c r="B186" s="1">
        <v>43006</v>
      </c>
      <c r="C186" t="s">
        <v>138</v>
      </c>
      <c r="D186">
        <v>9736.4</v>
      </c>
      <c r="E186">
        <v>9789.2000000000007</v>
      </c>
      <c r="F186">
        <v>9687.5499999999993</v>
      </c>
      <c r="G186">
        <v>9768.9500000000007</v>
      </c>
      <c r="H186">
        <v>0</v>
      </c>
      <c r="I186" s="8">
        <f t="shared" si="9"/>
        <v>3.4101122152891961E-3</v>
      </c>
      <c r="J186" s="8">
        <f t="shared" si="10"/>
        <v>3.4043109674916656E-3</v>
      </c>
      <c r="K186" s="8">
        <f t="shared" si="7"/>
        <v>1.6011440457618376E-2</v>
      </c>
    </row>
    <row r="187" spans="1:11" x14ac:dyDescent="0.25">
      <c r="A187" t="str">
        <f t="shared" si="8"/>
        <v>92017</v>
      </c>
      <c r="B187" s="1">
        <v>43007</v>
      </c>
      <c r="C187" t="s">
        <v>139</v>
      </c>
      <c r="D187">
        <v>9814.2999999999993</v>
      </c>
      <c r="E187">
        <v>9854</v>
      </c>
      <c r="F187">
        <v>9775.35</v>
      </c>
      <c r="G187">
        <v>9788.6</v>
      </c>
      <c r="H187">
        <v>0</v>
      </c>
      <c r="I187" s="8">
        <f t="shared" si="9"/>
        <v>2.0114751329467495E-3</v>
      </c>
      <c r="J187" s="8">
        <f t="shared" si="10"/>
        <v>2.0094548255865578E-3</v>
      </c>
      <c r="K187" s="8">
        <f t="shared" si="7"/>
        <v>1.8235153381253255E-2</v>
      </c>
    </row>
    <row r="188" spans="1:11" x14ac:dyDescent="0.25">
      <c r="A188" t="str">
        <f t="shared" si="8"/>
        <v>102017</v>
      </c>
      <c r="B188" s="1">
        <v>43011</v>
      </c>
      <c r="C188" s="10">
        <v>42804.645833333336</v>
      </c>
      <c r="D188">
        <v>9893.2999999999993</v>
      </c>
      <c r="E188">
        <v>9895.4</v>
      </c>
      <c r="F188">
        <v>9831.0499999999993</v>
      </c>
      <c r="G188">
        <v>9859.5</v>
      </c>
      <c r="H188">
        <v>0</v>
      </c>
      <c r="I188" s="8">
        <f t="shared" si="9"/>
        <v>7.2431195472284493E-3</v>
      </c>
      <c r="J188" s="8">
        <f t="shared" si="10"/>
        <v>7.2170141374490581E-3</v>
      </c>
      <c r="K188" s="8">
        <f t="shared" si="7"/>
        <v>2.3024404416037259E-2</v>
      </c>
    </row>
    <row r="189" spans="1:11" x14ac:dyDescent="0.25">
      <c r="A189" t="str">
        <f t="shared" si="8"/>
        <v>102017</v>
      </c>
      <c r="B189" s="1">
        <v>43012</v>
      </c>
      <c r="C189" s="10">
        <v>42835.645833333336</v>
      </c>
      <c r="D189">
        <v>9884.35</v>
      </c>
      <c r="E189">
        <v>9938.2999999999993</v>
      </c>
      <c r="F189">
        <v>9850.65</v>
      </c>
      <c r="G189">
        <v>9914.9</v>
      </c>
      <c r="H189">
        <v>0</v>
      </c>
      <c r="I189" s="8">
        <f t="shared" si="9"/>
        <v>5.61894619402592E-3</v>
      </c>
      <c r="J189" s="8">
        <f t="shared" si="10"/>
        <v>5.6032188026004098E-3</v>
      </c>
      <c r="K189" s="8">
        <f t="shared" si="7"/>
        <v>2.4843532774134314E-2</v>
      </c>
    </row>
    <row r="190" spans="1:11" x14ac:dyDescent="0.25">
      <c r="A190" t="str">
        <f t="shared" si="8"/>
        <v>102017</v>
      </c>
      <c r="B190" s="1">
        <v>43013</v>
      </c>
      <c r="C190" s="10">
        <v>42865.645833333336</v>
      </c>
      <c r="D190">
        <v>9927</v>
      </c>
      <c r="E190">
        <v>9945.9500000000007</v>
      </c>
      <c r="F190">
        <v>9881.85</v>
      </c>
      <c r="G190">
        <v>9888.7000000000007</v>
      </c>
      <c r="H190">
        <v>0</v>
      </c>
      <c r="I190" s="8">
        <f t="shared" si="9"/>
        <v>-2.6424875692139249E-3</v>
      </c>
      <c r="J190" s="8">
        <f t="shared" si="10"/>
        <v>-2.6459851023078458E-3</v>
      </c>
      <c r="K190" s="8">
        <f t="shared" si="7"/>
        <v>2.3060688199631807E-2</v>
      </c>
    </row>
    <row r="191" spans="1:11" x14ac:dyDescent="0.25">
      <c r="A191" t="str">
        <f t="shared" si="8"/>
        <v>102017</v>
      </c>
      <c r="B191" s="1">
        <v>43014</v>
      </c>
      <c r="C191" s="10">
        <v>42896.645833333336</v>
      </c>
      <c r="D191">
        <v>9908.15</v>
      </c>
      <c r="E191">
        <v>9989.35</v>
      </c>
      <c r="F191">
        <v>9906.6</v>
      </c>
      <c r="G191">
        <v>9979.7000000000007</v>
      </c>
      <c r="H191">
        <v>0</v>
      </c>
      <c r="I191" s="8">
        <f t="shared" si="9"/>
        <v>9.202422967629742E-3</v>
      </c>
      <c r="J191" s="8">
        <f t="shared" si="10"/>
        <v>9.1603386614215136E-3</v>
      </c>
      <c r="K191" s="8">
        <f t="shared" si="7"/>
        <v>2.1353897482870421E-2</v>
      </c>
    </row>
    <row r="192" spans="1:11" x14ac:dyDescent="0.25">
      <c r="A192" t="str">
        <f t="shared" si="8"/>
        <v>102017</v>
      </c>
      <c r="B192" s="1">
        <v>43017</v>
      </c>
      <c r="C192" s="10">
        <v>42988.645833333336</v>
      </c>
      <c r="D192">
        <v>9988.2000000000007</v>
      </c>
      <c r="E192">
        <v>10015.75</v>
      </c>
      <c r="F192">
        <v>9959.4500000000007</v>
      </c>
      <c r="G192">
        <v>9988.75</v>
      </c>
      <c r="H192">
        <v>0</v>
      </c>
      <c r="I192" s="8">
        <f t="shared" si="9"/>
        <v>9.0684088700054843E-4</v>
      </c>
      <c r="J192" s="8">
        <f t="shared" si="10"/>
        <v>9.0642995521777699E-4</v>
      </c>
      <c r="K192" s="8">
        <f t="shared" ref="K192:K255" si="11">+G192/G131-1</f>
        <v>2.0713158015746913E-2</v>
      </c>
    </row>
    <row r="193" spans="1:11" x14ac:dyDescent="0.25">
      <c r="A193" t="str">
        <f t="shared" si="8"/>
        <v>102017</v>
      </c>
      <c r="B193" s="1">
        <v>43018</v>
      </c>
      <c r="C193" s="10">
        <v>43018.645833333336</v>
      </c>
      <c r="D193">
        <v>10013.700000000001</v>
      </c>
      <c r="E193">
        <v>10034</v>
      </c>
      <c r="F193">
        <v>10002.299999999999</v>
      </c>
      <c r="G193">
        <v>10016.950000000001</v>
      </c>
      <c r="H193">
        <v>0</v>
      </c>
      <c r="I193" s="8">
        <f t="shared" si="9"/>
        <v>2.8231760730823563E-3</v>
      </c>
      <c r="J193" s="8">
        <f t="shared" si="10"/>
        <v>2.8191983962086767E-3</v>
      </c>
      <c r="K193" s="8">
        <f t="shared" si="11"/>
        <v>2.0461282994264529E-2</v>
      </c>
    </row>
    <row r="194" spans="1:11" x14ac:dyDescent="0.25">
      <c r="A194" t="str">
        <f t="shared" si="8"/>
        <v>102017</v>
      </c>
      <c r="B194" s="1">
        <v>43019</v>
      </c>
      <c r="C194" s="10">
        <v>43049.645833333336</v>
      </c>
      <c r="D194">
        <v>10042.6</v>
      </c>
      <c r="E194">
        <v>10067.25</v>
      </c>
      <c r="F194">
        <v>9955.7999999999993</v>
      </c>
      <c r="G194">
        <v>9984.7999999999993</v>
      </c>
      <c r="H194">
        <v>0</v>
      </c>
      <c r="I194" s="8">
        <f t="shared" si="9"/>
        <v>-3.2095597961456779E-3</v>
      </c>
      <c r="J194" s="8">
        <f t="shared" si="10"/>
        <v>-3.2147214806372746E-3</v>
      </c>
      <c r="K194" s="8">
        <f t="shared" si="11"/>
        <v>9.4119312150588996E-3</v>
      </c>
    </row>
    <row r="195" spans="1:11" x14ac:dyDescent="0.25">
      <c r="A195" t="str">
        <f t="shared" ref="A195:A258" si="12">+MONTH(B195)&amp;YEAR(B195)</f>
        <v>102017</v>
      </c>
      <c r="B195" s="1">
        <v>43020</v>
      </c>
      <c r="C195" s="10">
        <v>43079.645833333336</v>
      </c>
      <c r="D195">
        <v>10011.200000000001</v>
      </c>
      <c r="E195">
        <v>10104.450000000001</v>
      </c>
      <c r="F195">
        <v>9977.1</v>
      </c>
      <c r="G195">
        <v>10096.4</v>
      </c>
      <c r="H195">
        <v>0</v>
      </c>
      <c r="I195" s="8">
        <f t="shared" si="9"/>
        <v>1.1176989023315542E-2</v>
      </c>
      <c r="J195" s="8">
        <f t="shared" si="10"/>
        <v>1.111498804325995E-2</v>
      </c>
      <c r="K195" s="8">
        <f t="shared" si="11"/>
        <v>2.1246466087079696E-2</v>
      </c>
    </row>
    <row r="196" spans="1:11" x14ac:dyDescent="0.25">
      <c r="A196" t="str">
        <f t="shared" si="12"/>
        <v>102017</v>
      </c>
      <c r="B196" s="1">
        <v>43021</v>
      </c>
      <c r="C196" t="s">
        <v>140</v>
      </c>
      <c r="D196">
        <v>10123.700000000001</v>
      </c>
      <c r="E196">
        <v>10191.9</v>
      </c>
      <c r="F196">
        <v>10120.1</v>
      </c>
      <c r="G196">
        <v>10167.450000000001</v>
      </c>
      <c r="H196">
        <v>0</v>
      </c>
      <c r="I196" s="8">
        <f t="shared" ref="I196:I259" si="13">+G196/G195-1</f>
        <v>7.0371617606277415E-3</v>
      </c>
      <c r="J196" s="8">
        <f t="shared" ref="J196:J259" si="14">+LN(1+I196)</f>
        <v>7.0125164920819176E-3</v>
      </c>
      <c r="K196" s="8">
        <f t="shared" si="11"/>
        <v>2.5363177506945833E-2</v>
      </c>
    </row>
    <row r="197" spans="1:11" x14ac:dyDescent="0.25">
      <c r="A197" t="str">
        <f t="shared" si="12"/>
        <v>102017</v>
      </c>
      <c r="B197" s="1">
        <v>43024</v>
      </c>
      <c r="C197" t="s">
        <v>141</v>
      </c>
      <c r="D197">
        <v>10207.4</v>
      </c>
      <c r="E197">
        <v>10242.950000000001</v>
      </c>
      <c r="F197">
        <v>10175.1</v>
      </c>
      <c r="G197">
        <v>10230.85</v>
      </c>
      <c r="H197">
        <v>0</v>
      </c>
      <c r="I197" s="8">
        <f t="shared" si="13"/>
        <v>6.2355851270474716E-3</v>
      </c>
      <c r="J197" s="8">
        <f t="shared" si="14"/>
        <v>6.2162243084472645E-3</v>
      </c>
      <c r="K197" s="8">
        <f t="shared" si="11"/>
        <v>4.1080068992536134E-2</v>
      </c>
    </row>
    <row r="198" spans="1:11" x14ac:dyDescent="0.25">
      <c r="A198" t="str">
        <f t="shared" si="12"/>
        <v>102017</v>
      </c>
      <c r="B198" s="1">
        <v>43025</v>
      </c>
      <c r="C198" t="s">
        <v>142</v>
      </c>
      <c r="D198">
        <v>10227.65</v>
      </c>
      <c r="E198">
        <v>10251.85</v>
      </c>
      <c r="F198">
        <v>10212.6</v>
      </c>
      <c r="G198">
        <v>10234.450000000001</v>
      </c>
      <c r="H198">
        <v>0</v>
      </c>
      <c r="I198" s="8">
        <f t="shared" si="13"/>
        <v>3.5187692127247594E-4</v>
      </c>
      <c r="J198" s="8">
        <f t="shared" si="14"/>
        <v>3.5181502710760696E-4</v>
      </c>
      <c r="K198" s="8">
        <f t="shared" si="11"/>
        <v>3.3824598973696052E-2</v>
      </c>
    </row>
    <row r="199" spans="1:11" x14ac:dyDescent="0.25">
      <c r="A199" t="str">
        <f t="shared" si="12"/>
        <v>102017</v>
      </c>
      <c r="B199" s="1">
        <v>43026</v>
      </c>
      <c r="C199" t="s">
        <v>143</v>
      </c>
      <c r="D199">
        <v>10209.4</v>
      </c>
      <c r="E199">
        <v>10236.450000000001</v>
      </c>
      <c r="F199">
        <v>10175.75</v>
      </c>
      <c r="G199">
        <v>10210.85</v>
      </c>
      <c r="H199">
        <v>0</v>
      </c>
      <c r="I199" s="8">
        <f t="shared" si="13"/>
        <v>-2.3059373000015038E-3</v>
      </c>
      <c r="J199" s="8">
        <f t="shared" si="14"/>
        <v>-2.308600067655014E-3</v>
      </c>
      <c r="K199" s="8">
        <f t="shared" si="11"/>
        <v>3.4188164038366109E-2</v>
      </c>
    </row>
    <row r="200" spans="1:11" x14ac:dyDescent="0.25">
      <c r="A200" t="str">
        <f t="shared" si="12"/>
        <v>102017</v>
      </c>
      <c r="B200" s="1">
        <v>43027</v>
      </c>
      <c r="C200" t="s">
        <v>144</v>
      </c>
      <c r="D200">
        <v>10210.35</v>
      </c>
      <c r="E200">
        <v>10211.950000000001</v>
      </c>
      <c r="F200">
        <v>10123.35</v>
      </c>
      <c r="G200">
        <v>10146.549999999999</v>
      </c>
      <c r="H200">
        <v>0</v>
      </c>
      <c r="I200" s="8">
        <f t="shared" si="13"/>
        <v>-6.2972230519497963E-3</v>
      </c>
      <c r="J200" s="8">
        <f t="shared" si="14"/>
        <v>-6.3171341949853754E-3</v>
      </c>
      <c r="K200" s="8">
        <f t="shared" si="11"/>
        <v>2.3327702276795703E-2</v>
      </c>
    </row>
    <row r="201" spans="1:11" x14ac:dyDescent="0.25">
      <c r="A201" t="str">
        <f t="shared" si="12"/>
        <v>102017</v>
      </c>
      <c r="B201" s="1">
        <v>43031</v>
      </c>
      <c r="C201" t="s">
        <v>145</v>
      </c>
      <c r="D201">
        <v>10176.65</v>
      </c>
      <c r="E201">
        <v>10224.15</v>
      </c>
      <c r="F201">
        <v>10124.5</v>
      </c>
      <c r="G201">
        <v>10184.85</v>
      </c>
      <c r="H201">
        <v>0</v>
      </c>
      <c r="I201" s="8">
        <f t="shared" si="13"/>
        <v>3.7746820347803745E-3</v>
      </c>
      <c r="J201" s="8">
        <f t="shared" si="14"/>
        <v>3.76757579945397E-3</v>
      </c>
      <c r="K201" s="8">
        <f t="shared" si="11"/>
        <v>2.1918646652753226E-2</v>
      </c>
    </row>
    <row r="202" spans="1:11" x14ac:dyDescent="0.25">
      <c r="A202" t="str">
        <f t="shared" si="12"/>
        <v>102017</v>
      </c>
      <c r="B202" s="1">
        <v>43032</v>
      </c>
      <c r="C202" t="s">
        <v>146</v>
      </c>
      <c r="D202">
        <v>10218.549999999999</v>
      </c>
      <c r="E202">
        <v>10237.75</v>
      </c>
      <c r="F202">
        <v>10182.4</v>
      </c>
      <c r="G202">
        <v>10207.700000000001</v>
      </c>
      <c r="H202">
        <v>0</v>
      </c>
      <c r="I202" s="8">
        <f t="shared" si="13"/>
        <v>2.2435283779338455E-3</v>
      </c>
      <c r="J202" s="8">
        <f t="shared" si="14"/>
        <v>2.241015426026624E-3</v>
      </c>
      <c r="K202" s="8">
        <f t="shared" si="11"/>
        <v>2.4401503329302576E-2</v>
      </c>
    </row>
    <row r="203" spans="1:11" x14ac:dyDescent="0.25">
      <c r="A203" t="str">
        <f t="shared" si="12"/>
        <v>102017</v>
      </c>
      <c r="B203" s="1">
        <v>43033</v>
      </c>
      <c r="C203" t="s">
        <v>147</v>
      </c>
      <c r="D203">
        <v>10321.15</v>
      </c>
      <c r="E203">
        <v>10340.549999999999</v>
      </c>
      <c r="F203">
        <v>10240.9</v>
      </c>
      <c r="G203">
        <v>10295.35</v>
      </c>
      <c r="H203">
        <v>0</v>
      </c>
      <c r="I203" s="8">
        <f t="shared" si="13"/>
        <v>8.5866551720759077E-3</v>
      </c>
      <c r="J203" s="8">
        <f t="shared" si="14"/>
        <v>8.5499995319851425E-3</v>
      </c>
      <c r="K203" s="8">
        <f t="shared" si="11"/>
        <v>2.7413391346868821E-2</v>
      </c>
    </row>
    <row r="204" spans="1:11" x14ac:dyDescent="0.25">
      <c r="A204" t="str">
        <f t="shared" si="12"/>
        <v>102017</v>
      </c>
      <c r="B204" s="1">
        <v>43034</v>
      </c>
      <c r="C204" t="s">
        <v>148</v>
      </c>
      <c r="D204">
        <v>10291.799999999999</v>
      </c>
      <c r="E204">
        <v>10355.65</v>
      </c>
      <c r="F204">
        <v>10271.85</v>
      </c>
      <c r="G204">
        <v>10343.799999999999</v>
      </c>
      <c r="H204">
        <v>0</v>
      </c>
      <c r="I204" s="8">
        <f t="shared" si="13"/>
        <v>4.7060080521788006E-3</v>
      </c>
      <c r="J204" s="8">
        <f t="shared" si="14"/>
        <v>4.6949694146823104E-3</v>
      </c>
      <c r="K204" s="8">
        <f t="shared" si="11"/>
        <v>3.2258708354331755E-2</v>
      </c>
    </row>
    <row r="205" spans="1:11" x14ac:dyDescent="0.25">
      <c r="A205" t="str">
        <f t="shared" si="12"/>
        <v>102017</v>
      </c>
      <c r="B205" s="1">
        <v>43035</v>
      </c>
      <c r="C205" t="s">
        <v>149</v>
      </c>
      <c r="D205">
        <v>10362.299999999999</v>
      </c>
      <c r="E205">
        <v>10366.15</v>
      </c>
      <c r="F205">
        <v>10311.299999999999</v>
      </c>
      <c r="G205">
        <v>10323.049999999999</v>
      </c>
      <c r="H205">
        <v>0</v>
      </c>
      <c r="I205" s="8">
        <f t="shared" si="13"/>
        <v>-2.00603259923815E-3</v>
      </c>
      <c r="J205" s="8">
        <f t="shared" si="14"/>
        <v>-2.008047377557662E-3</v>
      </c>
      <c r="K205" s="8">
        <f t="shared" si="11"/>
        <v>3.0810325028708396E-2</v>
      </c>
    </row>
    <row r="206" spans="1:11" x14ac:dyDescent="0.25">
      <c r="A206" t="str">
        <f t="shared" si="12"/>
        <v>102017</v>
      </c>
      <c r="B206" s="1">
        <v>43038</v>
      </c>
      <c r="C206" t="s">
        <v>150</v>
      </c>
      <c r="D206">
        <v>10353.85</v>
      </c>
      <c r="E206">
        <v>10384.5</v>
      </c>
      <c r="F206">
        <v>10344.299999999999</v>
      </c>
      <c r="G206">
        <v>10363.65</v>
      </c>
      <c r="H206">
        <v>0</v>
      </c>
      <c r="I206" s="8">
        <f t="shared" si="13"/>
        <v>3.9329461738537574E-3</v>
      </c>
      <c r="J206" s="8">
        <f t="shared" si="14"/>
        <v>3.9252323597793451E-3</v>
      </c>
      <c r="K206" s="8">
        <f t="shared" si="11"/>
        <v>2.843576028817818E-2</v>
      </c>
    </row>
    <row r="207" spans="1:11" x14ac:dyDescent="0.25">
      <c r="A207" t="str">
        <f t="shared" si="12"/>
        <v>102017</v>
      </c>
      <c r="B207" s="1">
        <v>43039</v>
      </c>
      <c r="C207" t="s">
        <v>151</v>
      </c>
      <c r="D207">
        <v>10364.9</v>
      </c>
      <c r="E207">
        <v>10367.700000000001</v>
      </c>
      <c r="F207">
        <v>10323.950000000001</v>
      </c>
      <c r="G207">
        <v>10335.299999999999</v>
      </c>
      <c r="H207">
        <v>0</v>
      </c>
      <c r="I207" s="8">
        <f t="shared" si="13"/>
        <v>-2.7355227164175266E-3</v>
      </c>
      <c r="J207" s="8">
        <f t="shared" si="14"/>
        <v>-2.7392710960959647E-3</v>
      </c>
      <c r="K207" s="8">
        <f t="shared" si="11"/>
        <v>2.1814892260236363E-2</v>
      </c>
    </row>
    <row r="208" spans="1:11" x14ac:dyDescent="0.25">
      <c r="A208" t="str">
        <f t="shared" si="12"/>
        <v>112017</v>
      </c>
      <c r="B208" s="1">
        <v>43040</v>
      </c>
      <c r="C208" s="10">
        <v>42746.645833333336</v>
      </c>
      <c r="D208">
        <v>10390.35</v>
      </c>
      <c r="E208">
        <v>10451.65</v>
      </c>
      <c r="F208">
        <v>10383.049999999999</v>
      </c>
      <c r="G208">
        <v>10440.5</v>
      </c>
      <c r="H208">
        <v>0</v>
      </c>
      <c r="I208" s="8">
        <f t="shared" si="13"/>
        <v>1.0178707923330865E-2</v>
      </c>
      <c r="J208" s="8">
        <f t="shared" si="14"/>
        <v>1.0127253739342569E-2</v>
      </c>
      <c r="K208" s="8">
        <f t="shared" si="11"/>
        <v>3.5609780290631443E-2</v>
      </c>
    </row>
    <row r="209" spans="1:11" x14ac:dyDescent="0.25">
      <c r="A209" t="str">
        <f t="shared" si="12"/>
        <v>112017</v>
      </c>
      <c r="B209" s="1">
        <v>43041</v>
      </c>
      <c r="C209" s="10">
        <v>42777.645833333336</v>
      </c>
      <c r="D209">
        <v>10440.5</v>
      </c>
      <c r="E209">
        <v>10453</v>
      </c>
      <c r="F209">
        <v>10412.549999999999</v>
      </c>
      <c r="G209">
        <v>10423.799999999999</v>
      </c>
      <c r="H209">
        <v>0</v>
      </c>
      <c r="I209" s="8">
        <f t="shared" si="13"/>
        <v>-1.599540251903675E-3</v>
      </c>
      <c r="J209" s="8">
        <f t="shared" si="14"/>
        <v>-1.6008208822077361E-3</v>
      </c>
      <c r="K209" s="8">
        <f t="shared" si="11"/>
        <v>4.0959090841002022E-2</v>
      </c>
    </row>
    <row r="210" spans="1:11" x14ac:dyDescent="0.25">
      <c r="A210" t="str">
        <f t="shared" si="12"/>
        <v>112017</v>
      </c>
      <c r="B210" s="1">
        <v>43042</v>
      </c>
      <c r="C210" s="10">
        <v>42805.645833333336</v>
      </c>
      <c r="D210">
        <v>10461.549999999999</v>
      </c>
      <c r="E210">
        <v>10461.700000000001</v>
      </c>
      <c r="F210">
        <v>10403.6</v>
      </c>
      <c r="G210">
        <v>10452.5</v>
      </c>
      <c r="H210">
        <v>0</v>
      </c>
      <c r="I210" s="8">
        <f t="shared" si="13"/>
        <v>2.7533145302098827E-3</v>
      </c>
      <c r="J210" s="8">
        <f t="shared" si="14"/>
        <v>2.7495311028114403E-3</v>
      </c>
      <c r="K210" s="8">
        <f t="shared" si="11"/>
        <v>3.8355320670746318E-2</v>
      </c>
    </row>
    <row r="211" spans="1:11" x14ac:dyDescent="0.25">
      <c r="A211" t="str">
        <f t="shared" si="12"/>
        <v>112017</v>
      </c>
      <c r="B211" s="1">
        <v>43045</v>
      </c>
      <c r="C211" s="10">
        <v>42897.645833333336</v>
      </c>
      <c r="D211">
        <v>10431.75</v>
      </c>
      <c r="E211">
        <v>10490.45</v>
      </c>
      <c r="F211">
        <v>10413.75</v>
      </c>
      <c r="G211">
        <v>10451.799999999999</v>
      </c>
      <c r="H211">
        <v>0</v>
      </c>
      <c r="I211" s="8">
        <f t="shared" si="13"/>
        <v>-6.6969624491819424E-5</v>
      </c>
      <c r="J211" s="8">
        <f t="shared" si="14"/>
        <v>-6.6971867057244775E-5</v>
      </c>
      <c r="K211" s="8">
        <f t="shared" si="11"/>
        <v>3.9214906437051278E-2</v>
      </c>
    </row>
    <row r="212" spans="1:11" x14ac:dyDescent="0.25">
      <c r="A212" t="str">
        <f t="shared" si="12"/>
        <v>112017</v>
      </c>
      <c r="B212" s="1">
        <v>43046</v>
      </c>
      <c r="C212" s="10">
        <v>42927.645833333336</v>
      </c>
      <c r="D212">
        <v>10477.15</v>
      </c>
      <c r="E212">
        <v>10485.75</v>
      </c>
      <c r="F212">
        <v>10340.799999999999</v>
      </c>
      <c r="G212">
        <v>10350.15</v>
      </c>
      <c r="H212">
        <v>0</v>
      </c>
      <c r="I212" s="8">
        <f t="shared" si="13"/>
        <v>-9.7255975047360055E-3</v>
      </c>
      <c r="J212" s="8">
        <f t="shared" si="14"/>
        <v>-9.7732000215435023E-3</v>
      </c>
      <c r="K212" s="8">
        <f t="shared" si="11"/>
        <v>3.7239879541616894E-2</v>
      </c>
    </row>
    <row r="213" spans="1:11" x14ac:dyDescent="0.25">
      <c r="A213" t="str">
        <f t="shared" si="12"/>
        <v>112017</v>
      </c>
      <c r="B213" s="1">
        <v>43047</v>
      </c>
      <c r="C213" s="10">
        <v>42958.645833333336</v>
      </c>
      <c r="D213">
        <v>10361.950000000001</v>
      </c>
      <c r="E213">
        <v>10384.25</v>
      </c>
      <c r="F213">
        <v>10285.5</v>
      </c>
      <c r="G213">
        <v>10303.15</v>
      </c>
      <c r="H213">
        <v>0</v>
      </c>
      <c r="I213" s="8">
        <f t="shared" si="13"/>
        <v>-4.5409969903817959E-3</v>
      </c>
      <c r="J213" s="8">
        <f t="shared" si="14"/>
        <v>-4.5513386366810207E-3</v>
      </c>
      <c r="K213" s="8">
        <f t="shared" si="11"/>
        <v>3.9876665943349154E-2</v>
      </c>
    </row>
    <row r="214" spans="1:11" x14ac:dyDescent="0.25">
      <c r="A214" t="str">
        <f t="shared" si="12"/>
        <v>112017</v>
      </c>
      <c r="B214" s="1">
        <v>43048</v>
      </c>
      <c r="C214" s="10">
        <v>42989.645833333336</v>
      </c>
      <c r="D214">
        <v>10358.65</v>
      </c>
      <c r="E214">
        <v>10368.450000000001</v>
      </c>
      <c r="F214">
        <v>10266.950000000001</v>
      </c>
      <c r="G214">
        <v>10308.950000000001</v>
      </c>
      <c r="H214">
        <v>0</v>
      </c>
      <c r="I214" s="8">
        <f t="shared" si="13"/>
        <v>5.6293463649481623E-4</v>
      </c>
      <c r="J214" s="8">
        <f t="shared" si="14"/>
        <v>5.6277624823103899E-4</v>
      </c>
      <c r="K214" s="8">
        <f t="shared" si="11"/>
        <v>4.9764517196609015E-2</v>
      </c>
    </row>
    <row r="215" spans="1:11" x14ac:dyDescent="0.25">
      <c r="A215" t="str">
        <f t="shared" si="12"/>
        <v>112017</v>
      </c>
      <c r="B215" s="1">
        <v>43049</v>
      </c>
      <c r="C215" s="10">
        <v>43019.645833333336</v>
      </c>
      <c r="D215">
        <v>10304.35</v>
      </c>
      <c r="E215">
        <v>10344.950000000001</v>
      </c>
      <c r="F215">
        <v>10254.1</v>
      </c>
      <c r="G215">
        <v>10321.75</v>
      </c>
      <c r="H215">
        <v>0</v>
      </c>
      <c r="I215" s="8">
        <f t="shared" si="13"/>
        <v>1.2416395462195862E-3</v>
      </c>
      <c r="J215" s="8">
        <f t="shared" si="14"/>
        <v>1.2408693493102562E-3</v>
      </c>
      <c r="K215" s="8">
        <f t="shared" si="11"/>
        <v>6.2914486962969196E-2</v>
      </c>
    </row>
    <row r="216" spans="1:11" x14ac:dyDescent="0.25">
      <c r="A216" t="str">
        <f t="shared" si="12"/>
        <v>112017</v>
      </c>
      <c r="B216" s="1">
        <v>43052</v>
      </c>
      <c r="C216" t="s">
        <v>152</v>
      </c>
      <c r="D216">
        <v>10322</v>
      </c>
      <c r="E216">
        <v>10334.15</v>
      </c>
      <c r="F216">
        <v>10216.25</v>
      </c>
      <c r="G216">
        <v>10224.950000000001</v>
      </c>
      <c r="H216">
        <v>0</v>
      </c>
      <c r="I216" s="8">
        <f t="shared" si="13"/>
        <v>-9.3782546564292746E-3</v>
      </c>
      <c r="J216" s="8">
        <f t="shared" si="14"/>
        <v>-9.4225073794829643E-3</v>
      </c>
      <c r="K216" s="8">
        <f t="shared" si="11"/>
        <v>4.3985440288335509E-2</v>
      </c>
    </row>
    <row r="217" spans="1:11" x14ac:dyDescent="0.25">
      <c r="A217" t="str">
        <f t="shared" si="12"/>
        <v>112017</v>
      </c>
      <c r="B217" s="1">
        <v>43053</v>
      </c>
      <c r="C217" t="s">
        <v>153</v>
      </c>
      <c r="D217">
        <v>10223.4</v>
      </c>
      <c r="E217">
        <v>10248</v>
      </c>
      <c r="F217">
        <v>10175.549999999999</v>
      </c>
      <c r="G217">
        <v>10186.6</v>
      </c>
      <c r="H217">
        <v>0</v>
      </c>
      <c r="I217" s="8">
        <f t="shared" si="13"/>
        <v>-3.750629587430776E-3</v>
      </c>
      <c r="J217" s="8">
        <f t="shared" si="14"/>
        <v>-3.7576808351824824E-3</v>
      </c>
      <c r="K217" s="8">
        <f t="shared" si="11"/>
        <v>2.9230194093338602E-2</v>
      </c>
    </row>
    <row r="218" spans="1:11" x14ac:dyDescent="0.25">
      <c r="A218" t="str">
        <f t="shared" si="12"/>
        <v>112017</v>
      </c>
      <c r="B218" s="1">
        <v>43054</v>
      </c>
      <c r="C218" t="s">
        <v>154</v>
      </c>
      <c r="D218">
        <v>10171.950000000001</v>
      </c>
      <c r="E218">
        <v>10175.450000000001</v>
      </c>
      <c r="F218">
        <v>10094</v>
      </c>
      <c r="G218">
        <v>10118.049999999999</v>
      </c>
      <c r="H218">
        <v>0</v>
      </c>
      <c r="I218" s="8">
        <f t="shared" si="13"/>
        <v>-6.7294288575188155E-3</v>
      </c>
      <c r="J218" s="8">
        <f t="shared" si="14"/>
        <v>-6.7521735605621152E-3</v>
      </c>
      <c r="K218" s="8">
        <f t="shared" si="11"/>
        <v>2.1597007315115269E-2</v>
      </c>
    </row>
    <row r="219" spans="1:11" x14ac:dyDescent="0.25">
      <c r="A219" t="str">
        <f t="shared" si="12"/>
        <v>112017</v>
      </c>
      <c r="B219" s="1">
        <v>43055</v>
      </c>
      <c r="C219" t="s">
        <v>155</v>
      </c>
      <c r="D219">
        <v>10152.9</v>
      </c>
      <c r="E219">
        <v>10232.25</v>
      </c>
      <c r="F219">
        <v>10139.200000000001</v>
      </c>
      <c r="G219">
        <v>10214.75</v>
      </c>
      <c r="H219">
        <v>0</v>
      </c>
      <c r="I219" s="8">
        <f t="shared" si="13"/>
        <v>9.557177519383675E-3</v>
      </c>
      <c r="J219" s="8">
        <f t="shared" si="14"/>
        <v>9.5117966114617643E-3</v>
      </c>
      <c r="K219" s="8">
        <f t="shared" si="11"/>
        <v>3.8358712667981409E-2</v>
      </c>
    </row>
    <row r="220" spans="1:11" x14ac:dyDescent="0.25">
      <c r="A220" t="str">
        <f t="shared" si="12"/>
        <v>112017</v>
      </c>
      <c r="B220" s="1">
        <v>43056</v>
      </c>
      <c r="C220" t="s">
        <v>156</v>
      </c>
      <c r="D220">
        <v>10324.549999999999</v>
      </c>
      <c r="E220">
        <v>10343.6</v>
      </c>
      <c r="F220">
        <v>10268.049999999999</v>
      </c>
      <c r="G220">
        <v>10283.6</v>
      </c>
      <c r="H220">
        <v>0</v>
      </c>
      <c r="I220" s="8">
        <f t="shared" si="13"/>
        <v>6.7402530654201431E-3</v>
      </c>
      <c r="J220" s="8">
        <f t="shared" si="14"/>
        <v>6.7176391186710514E-3</v>
      </c>
      <c r="K220" s="8">
        <f t="shared" si="11"/>
        <v>5.4257843936295069E-2</v>
      </c>
    </row>
    <row r="221" spans="1:11" x14ac:dyDescent="0.25">
      <c r="A221" t="str">
        <f t="shared" si="12"/>
        <v>112017</v>
      </c>
      <c r="B221" s="1">
        <v>43059</v>
      </c>
      <c r="C221" t="s">
        <v>157</v>
      </c>
      <c r="D221">
        <v>10287.200000000001</v>
      </c>
      <c r="E221">
        <v>10309.85</v>
      </c>
      <c r="F221">
        <v>10261.5</v>
      </c>
      <c r="G221">
        <v>10298.75</v>
      </c>
      <c r="H221">
        <v>0</v>
      </c>
      <c r="I221" s="8">
        <f t="shared" si="13"/>
        <v>1.4732194951183608E-3</v>
      </c>
      <c r="J221" s="8">
        <f t="shared" si="14"/>
        <v>1.4721353719149709E-3</v>
      </c>
      <c r="K221" s="8">
        <f t="shared" si="11"/>
        <v>5.4600099328762974E-2</v>
      </c>
    </row>
    <row r="222" spans="1:11" x14ac:dyDescent="0.25">
      <c r="A222" t="str">
        <f t="shared" si="12"/>
        <v>112017</v>
      </c>
      <c r="B222" s="1">
        <v>43060</v>
      </c>
      <c r="C222" t="s">
        <v>158</v>
      </c>
      <c r="D222">
        <v>10329.25</v>
      </c>
      <c r="E222">
        <v>10358.700000000001</v>
      </c>
      <c r="F222">
        <v>10315.049999999999</v>
      </c>
      <c r="G222">
        <v>10326.9</v>
      </c>
      <c r="H222">
        <v>0</v>
      </c>
      <c r="I222" s="8">
        <f t="shared" si="13"/>
        <v>2.7333414249302024E-3</v>
      </c>
      <c r="J222" s="8">
        <f t="shared" si="14"/>
        <v>2.7296126404062859E-3</v>
      </c>
      <c r="K222" s="8">
        <f t="shared" si="11"/>
        <v>4.815021568129918E-2</v>
      </c>
    </row>
    <row r="223" spans="1:11" x14ac:dyDescent="0.25">
      <c r="A223" t="str">
        <f t="shared" si="12"/>
        <v>112017</v>
      </c>
      <c r="B223" s="1">
        <v>43061</v>
      </c>
      <c r="C223" t="s">
        <v>159</v>
      </c>
      <c r="D223">
        <v>10350.799999999999</v>
      </c>
      <c r="E223">
        <v>10368.700000000001</v>
      </c>
      <c r="F223">
        <v>10309.549999999999</v>
      </c>
      <c r="G223">
        <v>10342.299999999999</v>
      </c>
      <c r="H223">
        <v>0</v>
      </c>
      <c r="I223" s="8">
        <f t="shared" si="13"/>
        <v>1.4912510046576344E-3</v>
      </c>
      <c r="J223" s="8">
        <f t="shared" si="14"/>
        <v>1.4901401940726614E-3</v>
      </c>
      <c r="K223" s="8">
        <f t="shared" si="11"/>
        <v>4.9228724618420427E-2</v>
      </c>
    </row>
    <row r="224" spans="1:11" x14ac:dyDescent="0.25">
      <c r="A224" t="str">
        <f t="shared" si="12"/>
        <v>112017</v>
      </c>
      <c r="B224" s="1">
        <v>43062</v>
      </c>
      <c r="C224" t="s">
        <v>160</v>
      </c>
      <c r="D224">
        <v>10358.450000000001</v>
      </c>
      <c r="E224">
        <v>10374.299999999999</v>
      </c>
      <c r="F224">
        <v>10307.299999999999</v>
      </c>
      <c r="G224">
        <v>10348.75</v>
      </c>
      <c r="H224">
        <v>0</v>
      </c>
      <c r="I224" s="8">
        <f t="shared" si="13"/>
        <v>6.2365237906458759E-4</v>
      </c>
      <c r="J224" s="8">
        <f t="shared" si="14"/>
        <v>6.2345798873675914E-4</v>
      </c>
      <c r="K224" s="8">
        <f t="shared" si="11"/>
        <v>4.3978492454200602E-2</v>
      </c>
    </row>
    <row r="225" spans="1:11" x14ac:dyDescent="0.25">
      <c r="A225" t="str">
        <f t="shared" si="12"/>
        <v>112017</v>
      </c>
      <c r="B225" s="1">
        <v>43063</v>
      </c>
      <c r="C225" t="s">
        <v>161</v>
      </c>
      <c r="D225">
        <v>10366.799999999999</v>
      </c>
      <c r="E225">
        <v>10404.5</v>
      </c>
      <c r="F225">
        <v>10362.25</v>
      </c>
      <c r="G225">
        <v>10389.700000000001</v>
      </c>
      <c r="H225">
        <v>0</v>
      </c>
      <c r="I225" s="8">
        <f t="shared" si="13"/>
        <v>3.9569996376374039E-3</v>
      </c>
      <c r="J225" s="8">
        <f t="shared" si="14"/>
        <v>3.9491913061697817E-3</v>
      </c>
      <c r="K225" s="8">
        <f t="shared" si="11"/>
        <v>6.0600956507980364E-2</v>
      </c>
    </row>
    <row r="226" spans="1:11" x14ac:dyDescent="0.25">
      <c r="A226" t="str">
        <f t="shared" si="12"/>
        <v>112017</v>
      </c>
      <c r="B226" s="1">
        <v>43066</v>
      </c>
      <c r="C226" t="s">
        <v>162</v>
      </c>
      <c r="D226">
        <v>10361.049999999999</v>
      </c>
      <c r="E226">
        <v>10407.15</v>
      </c>
      <c r="F226">
        <v>10340.200000000001</v>
      </c>
      <c r="G226">
        <v>10399.549999999999</v>
      </c>
      <c r="H226">
        <v>0</v>
      </c>
      <c r="I226" s="8">
        <f t="shared" si="13"/>
        <v>9.4805432303135539E-4</v>
      </c>
      <c r="J226" s="8">
        <f t="shared" si="14"/>
        <v>9.4760520336912288E-4</v>
      </c>
      <c r="K226" s="8">
        <f t="shared" si="11"/>
        <v>5.2117478046214138E-2</v>
      </c>
    </row>
    <row r="227" spans="1:11" x14ac:dyDescent="0.25">
      <c r="A227" t="str">
        <f t="shared" si="12"/>
        <v>112017</v>
      </c>
      <c r="B227" s="1">
        <v>43067</v>
      </c>
      <c r="C227" t="s">
        <v>163</v>
      </c>
      <c r="D227">
        <v>10387.9</v>
      </c>
      <c r="E227">
        <v>10409.549999999999</v>
      </c>
      <c r="F227">
        <v>10355.200000000001</v>
      </c>
      <c r="G227">
        <v>10370.25</v>
      </c>
      <c r="H227">
        <v>0</v>
      </c>
      <c r="I227" s="8">
        <f t="shared" si="13"/>
        <v>-2.8174296003191657E-3</v>
      </c>
      <c r="J227" s="8">
        <f t="shared" si="14"/>
        <v>-2.8214060257175134E-3</v>
      </c>
      <c r="K227" s="8">
        <f t="shared" si="11"/>
        <v>4.5609453614172457E-2</v>
      </c>
    </row>
    <row r="228" spans="1:11" x14ac:dyDescent="0.25">
      <c r="A228" t="str">
        <f t="shared" si="12"/>
        <v>112017</v>
      </c>
      <c r="B228" s="1">
        <v>43068</v>
      </c>
      <c r="C228" t="s">
        <v>164</v>
      </c>
      <c r="D228">
        <v>10376.65</v>
      </c>
      <c r="E228">
        <v>10392.950000000001</v>
      </c>
      <c r="F228">
        <v>10345.9</v>
      </c>
      <c r="G228">
        <v>10361.299999999999</v>
      </c>
      <c r="H228">
        <v>0</v>
      </c>
      <c r="I228" s="8">
        <f t="shared" si="13"/>
        <v>-8.6304573178086486E-4</v>
      </c>
      <c r="J228" s="8">
        <f t="shared" si="14"/>
        <v>-8.6341837016650999E-4</v>
      </c>
      <c r="K228" s="8">
        <f t="shared" si="11"/>
        <v>3.878930060956054E-2</v>
      </c>
    </row>
    <row r="229" spans="1:11" x14ac:dyDescent="0.25">
      <c r="A229" t="str">
        <f t="shared" si="12"/>
        <v>112017</v>
      </c>
      <c r="B229" s="1">
        <v>43069</v>
      </c>
      <c r="C229" t="s">
        <v>165</v>
      </c>
      <c r="D229">
        <v>10332.700000000001</v>
      </c>
      <c r="E229">
        <v>10332.700000000001</v>
      </c>
      <c r="F229">
        <v>10211.25</v>
      </c>
      <c r="G229">
        <v>10226.549999999999</v>
      </c>
      <c r="H229">
        <v>0</v>
      </c>
      <c r="I229" s="8">
        <f t="shared" si="13"/>
        <v>-1.3005124839547189E-2</v>
      </c>
      <c r="J229" s="8">
        <f t="shared" si="14"/>
        <v>-1.3090431902102469E-2</v>
      </c>
      <c r="K229" s="8">
        <f t="shared" si="11"/>
        <v>3.1645793086750862E-2</v>
      </c>
    </row>
    <row r="230" spans="1:11" x14ac:dyDescent="0.25">
      <c r="A230" t="str">
        <f t="shared" si="12"/>
        <v>122017</v>
      </c>
      <c r="B230" s="1">
        <v>43070</v>
      </c>
      <c r="C230" s="10">
        <v>42747.645833333336</v>
      </c>
      <c r="D230">
        <v>10263.700000000001</v>
      </c>
      <c r="E230">
        <v>10272.700000000001</v>
      </c>
      <c r="F230">
        <v>10108.549999999999</v>
      </c>
      <c r="G230">
        <v>10121.799999999999</v>
      </c>
      <c r="H230">
        <v>0</v>
      </c>
      <c r="I230" s="8">
        <f t="shared" si="13"/>
        <v>-1.0242946057076874E-2</v>
      </c>
      <c r="J230" s="8">
        <f t="shared" si="14"/>
        <v>-1.0295766026675998E-2</v>
      </c>
      <c r="K230" s="8">
        <f t="shared" si="11"/>
        <v>1.7041458170052648E-2</v>
      </c>
    </row>
    <row r="231" spans="1:11" x14ac:dyDescent="0.25">
      <c r="A231" t="str">
        <f t="shared" si="12"/>
        <v>122017</v>
      </c>
      <c r="B231" s="1">
        <v>43073</v>
      </c>
      <c r="C231" s="10">
        <v>42837.645833333336</v>
      </c>
      <c r="D231">
        <v>10175.049999999999</v>
      </c>
      <c r="E231">
        <v>10179.200000000001</v>
      </c>
      <c r="F231">
        <v>10095.700000000001</v>
      </c>
      <c r="G231">
        <v>10127.75</v>
      </c>
      <c r="H231">
        <v>0</v>
      </c>
      <c r="I231" s="8">
        <f t="shared" si="13"/>
        <v>5.8784010749080018E-4</v>
      </c>
      <c r="J231" s="8">
        <f t="shared" si="14"/>
        <v>5.8766739717553177E-4</v>
      </c>
      <c r="K231" s="8">
        <f t="shared" si="11"/>
        <v>2.1333777051693037E-2</v>
      </c>
    </row>
    <row r="232" spans="1:11" x14ac:dyDescent="0.25">
      <c r="A232" t="str">
        <f t="shared" si="12"/>
        <v>122017</v>
      </c>
      <c r="B232" s="1">
        <v>43074</v>
      </c>
      <c r="C232" s="10">
        <v>42867.645833333336</v>
      </c>
      <c r="D232">
        <v>10118.25</v>
      </c>
      <c r="E232">
        <v>10147.950000000001</v>
      </c>
      <c r="F232">
        <v>10069.1</v>
      </c>
      <c r="G232">
        <v>10118.25</v>
      </c>
      <c r="H232">
        <v>0</v>
      </c>
      <c r="I232" s="8">
        <f t="shared" si="13"/>
        <v>-9.3801683493377475E-4</v>
      </c>
      <c r="J232" s="8">
        <f t="shared" si="14"/>
        <v>-9.3845704803147796E-4</v>
      </c>
      <c r="K232" s="8">
        <f t="shared" si="11"/>
        <v>1.8967965437718393E-2</v>
      </c>
    </row>
    <row r="233" spans="1:11" x14ac:dyDescent="0.25">
      <c r="A233" t="str">
        <f t="shared" si="12"/>
        <v>122017</v>
      </c>
      <c r="B233" s="1">
        <v>43075</v>
      </c>
      <c r="C233" s="10">
        <v>42898.645833333336</v>
      </c>
      <c r="D233">
        <v>10088.799999999999</v>
      </c>
      <c r="E233">
        <v>10104.200000000001</v>
      </c>
      <c r="F233">
        <v>10033.35</v>
      </c>
      <c r="G233">
        <v>10044.1</v>
      </c>
      <c r="H233">
        <v>0</v>
      </c>
      <c r="I233" s="8">
        <f t="shared" si="13"/>
        <v>-7.3283423516912194E-3</v>
      </c>
      <c r="J233" s="8">
        <f t="shared" si="14"/>
        <v>-7.3553265663711632E-3</v>
      </c>
      <c r="K233" s="8">
        <f t="shared" si="11"/>
        <v>1.1001731287997751E-2</v>
      </c>
    </row>
    <row r="234" spans="1:11" x14ac:dyDescent="0.25">
      <c r="A234" t="str">
        <f t="shared" si="12"/>
        <v>122017</v>
      </c>
      <c r="B234" s="1">
        <v>43076</v>
      </c>
      <c r="C234" s="10">
        <v>42928.645833333336</v>
      </c>
      <c r="D234">
        <v>10063.450000000001</v>
      </c>
      <c r="E234">
        <v>10182.65</v>
      </c>
      <c r="F234">
        <v>10061.9</v>
      </c>
      <c r="G234">
        <v>10166.700000000001</v>
      </c>
      <c r="H234">
        <v>0</v>
      </c>
      <c r="I234" s="8">
        <f t="shared" si="13"/>
        <v>1.2206170786830173E-2</v>
      </c>
      <c r="J234" s="8">
        <f t="shared" si="14"/>
        <v>1.2132276189878131E-2</v>
      </c>
      <c r="K234" s="8">
        <f t="shared" si="11"/>
        <v>1.605528655163635E-2</v>
      </c>
    </row>
    <row r="235" spans="1:11" x14ac:dyDescent="0.25">
      <c r="A235" t="str">
        <f t="shared" si="12"/>
        <v>122017</v>
      </c>
      <c r="B235" s="1">
        <v>43077</v>
      </c>
      <c r="C235" s="10">
        <v>42959.645833333336</v>
      </c>
      <c r="D235">
        <v>10198.450000000001</v>
      </c>
      <c r="E235">
        <v>10270.85</v>
      </c>
      <c r="F235">
        <v>10195.25</v>
      </c>
      <c r="G235">
        <v>10265.65</v>
      </c>
      <c r="H235">
        <v>0</v>
      </c>
      <c r="I235" s="8">
        <f t="shared" si="13"/>
        <v>9.7327549745738207E-3</v>
      </c>
      <c r="J235" s="8">
        <f t="shared" si="14"/>
        <v>9.6856968055916582E-3</v>
      </c>
      <c r="K235" s="8">
        <f t="shared" si="11"/>
        <v>1.7100876345604199E-2</v>
      </c>
    </row>
    <row r="236" spans="1:11" x14ac:dyDescent="0.25">
      <c r="A236" t="str">
        <f t="shared" si="12"/>
        <v>122017</v>
      </c>
      <c r="B236" s="1">
        <v>43080</v>
      </c>
      <c r="C236" s="10">
        <v>43051.645833333336</v>
      </c>
      <c r="D236">
        <v>10310.5</v>
      </c>
      <c r="E236">
        <v>10329.200000000001</v>
      </c>
      <c r="F236">
        <v>10282.049999999999</v>
      </c>
      <c r="G236">
        <v>10322.25</v>
      </c>
      <c r="H236">
        <v>0</v>
      </c>
      <c r="I236" s="8">
        <f t="shared" si="13"/>
        <v>5.5135329959623558E-3</v>
      </c>
      <c r="J236" s="8">
        <f t="shared" si="14"/>
        <v>5.4983891116169937E-3</v>
      </c>
      <c r="K236" s="8">
        <f t="shared" si="11"/>
        <v>2.4103856418600467E-2</v>
      </c>
    </row>
    <row r="237" spans="1:11" x14ac:dyDescent="0.25">
      <c r="A237" t="str">
        <f t="shared" si="12"/>
        <v>122017</v>
      </c>
      <c r="B237" s="1">
        <v>43081</v>
      </c>
      <c r="C237" s="10">
        <v>43081.645833333336</v>
      </c>
      <c r="D237">
        <v>10324.9</v>
      </c>
      <c r="E237">
        <v>10326.1</v>
      </c>
      <c r="F237">
        <v>10230.200000000001</v>
      </c>
      <c r="G237">
        <v>10240.15</v>
      </c>
      <c r="H237">
        <v>0</v>
      </c>
      <c r="I237" s="8">
        <f t="shared" si="13"/>
        <v>-7.9536922667055032E-3</v>
      </c>
      <c r="J237" s="8">
        <f t="shared" si="14"/>
        <v>-7.9854916040402145E-3</v>
      </c>
      <c r="K237" s="8">
        <f t="shared" si="11"/>
        <v>1.5223167370570723E-2</v>
      </c>
    </row>
    <row r="238" spans="1:11" x14ac:dyDescent="0.25">
      <c r="A238" t="str">
        <f t="shared" si="12"/>
        <v>122017</v>
      </c>
      <c r="B238" s="1">
        <v>43082</v>
      </c>
      <c r="C238" t="s">
        <v>166</v>
      </c>
      <c r="D238">
        <v>10236.6</v>
      </c>
      <c r="E238">
        <v>10296.549999999999</v>
      </c>
      <c r="F238">
        <v>10169.85</v>
      </c>
      <c r="G238">
        <v>10192.950000000001</v>
      </c>
      <c r="H238">
        <v>0</v>
      </c>
      <c r="I238" s="8">
        <f t="shared" si="13"/>
        <v>-4.6093074808473133E-3</v>
      </c>
      <c r="J238" s="8">
        <f t="shared" si="14"/>
        <v>-4.6199630945150229E-3</v>
      </c>
      <c r="K238" s="8">
        <f t="shared" si="11"/>
        <v>1.0663930037480007E-2</v>
      </c>
    </row>
    <row r="239" spans="1:11" x14ac:dyDescent="0.25">
      <c r="A239" t="str">
        <f t="shared" si="12"/>
        <v>122017</v>
      </c>
      <c r="B239" s="1">
        <v>43083</v>
      </c>
      <c r="C239" t="s">
        <v>167</v>
      </c>
      <c r="D239">
        <v>10229.299999999999</v>
      </c>
      <c r="E239">
        <v>10276.1</v>
      </c>
      <c r="F239">
        <v>10141.549999999999</v>
      </c>
      <c r="G239">
        <v>10252.1</v>
      </c>
      <c r="H239">
        <v>0</v>
      </c>
      <c r="I239" s="8">
        <f t="shared" si="13"/>
        <v>5.8030305260008408E-3</v>
      </c>
      <c r="J239" s="8">
        <f t="shared" si="14"/>
        <v>5.7862578014971546E-3</v>
      </c>
      <c r="K239" s="8">
        <f t="shared" si="11"/>
        <v>9.7507165299268728E-3</v>
      </c>
    </row>
    <row r="240" spans="1:11" x14ac:dyDescent="0.25">
      <c r="A240" t="str">
        <f t="shared" si="12"/>
        <v>122017</v>
      </c>
      <c r="B240" s="1">
        <v>43084</v>
      </c>
      <c r="C240" t="s">
        <v>168</v>
      </c>
      <c r="D240">
        <v>10345.65</v>
      </c>
      <c r="E240">
        <v>10373.1</v>
      </c>
      <c r="F240">
        <v>10319.65</v>
      </c>
      <c r="G240">
        <v>10333.25</v>
      </c>
      <c r="H240">
        <v>0</v>
      </c>
      <c r="I240" s="8">
        <f t="shared" si="13"/>
        <v>7.9154514684796062E-3</v>
      </c>
      <c r="J240" s="8">
        <f t="shared" si="14"/>
        <v>7.8842886198327317E-3</v>
      </c>
      <c r="K240" s="8">
        <f t="shared" si="11"/>
        <v>1.8299983739917591E-2</v>
      </c>
    </row>
    <row r="241" spans="1:11" x14ac:dyDescent="0.25">
      <c r="A241" t="str">
        <f t="shared" si="12"/>
        <v>122017</v>
      </c>
      <c r="B241" s="1">
        <v>43087</v>
      </c>
      <c r="C241" t="s">
        <v>169</v>
      </c>
      <c r="D241">
        <v>10263.1</v>
      </c>
      <c r="E241">
        <v>10443.549999999999</v>
      </c>
      <c r="F241">
        <v>10074.799999999999</v>
      </c>
      <c r="G241">
        <v>10388.75</v>
      </c>
      <c r="H241">
        <v>0</v>
      </c>
      <c r="I241" s="8">
        <f t="shared" si="13"/>
        <v>5.3710110565408087E-3</v>
      </c>
      <c r="J241" s="8">
        <f t="shared" si="14"/>
        <v>5.356638616709943E-3</v>
      </c>
      <c r="K241" s="8">
        <f t="shared" si="11"/>
        <v>2.4415376954290302E-2</v>
      </c>
    </row>
    <row r="242" spans="1:11" x14ac:dyDescent="0.25">
      <c r="A242" t="str">
        <f t="shared" si="12"/>
        <v>122017</v>
      </c>
      <c r="B242" s="1">
        <v>43088</v>
      </c>
      <c r="C242" t="s">
        <v>170</v>
      </c>
      <c r="D242">
        <v>10414.799999999999</v>
      </c>
      <c r="E242">
        <v>10472.200000000001</v>
      </c>
      <c r="F242">
        <v>10406</v>
      </c>
      <c r="G242">
        <v>10463.200000000001</v>
      </c>
      <c r="H242">
        <v>0</v>
      </c>
      <c r="I242" s="8">
        <f t="shared" si="13"/>
        <v>7.1664059679943382E-3</v>
      </c>
      <c r="J242" s="8">
        <f t="shared" si="14"/>
        <v>7.1408493077066296E-3</v>
      </c>
      <c r="K242" s="8">
        <f t="shared" si="11"/>
        <v>3.3718965806815104E-2</v>
      </c>
    </row>
    <row r="243" spans="1:11" x14ac:dyDescent="0.25">
      <c r="A243" t="str">
        <f t="shared" si="12"/>
        <v>122017</v>
      </c>
      <c r="B243" s="1">
        <v>43089</v>
      </c>
      <c r="C243" t="s">
        <v>171</v>
      </c>
      <c r="D243">
        <v>10494.4</v>
      </c>
      <c r="E243">
        <v>10494.45</v>
      </c>
      <c r="F243">
        <v>10437.15</v>
      </c>
      <c r="G243">
        <v>10444.200000000001</v>
      </c>
      <c r="H243">
        <v>0</v>
      </c>
      <c r="I243" s="8">
        <f t="shared" si="13"/>
        <v>-1.8158880648367903E-3</v>
      </c>
      <c r="J243" s="8">
        <f t="shared" si="14"/>
        <v>-1.8175387882240889E-3</v>
      </c>
      <c r="K243" s="8">
        <f t="shared" si="11"/>
        <v>4.8151419051824629E-2</v>
      </c>
    </row>
    <row r="244" spans="1:11" x14ac:dyDescent="0.25">
      <c r="A244" t="str">
        <f t="shared" si="12"/>
        <v>122017</v>
      </c>
      <c r="B244" s="1">
        <v>43090</v>
      </c>
      <c r="C244" t="s">
        <v>172</v>
      </c>
      <c r="D244">
        <v>10473.950000000001</v>
      </c>
      <c r="E244">
        <v>10473.950000000001</v>
      </c>
      <c r="F244">
        <v>10426.9</v>
      </c>
      <c r="G244">
        <v>10440.299999999999</v>
      </c>
      <c r="H244">
        <v>0</v>
      </c>
      <c r="I244" s="8">
        <f t="shared" si="13"/>
        <v>-3.7341299477233747E-4</v>
      </c>
      <c r="J244" s="8">
        <f t="shared" si="14"/>
        <v>-3.7348273076542757E-4</v>
      </c>
      <c r="K244" s="8">
        <f t="shared" si="11"/>
        <v>5.750258290622523E-2</v>
      </c>
    </row>
    <row r="245" spans="1:11" x14ac:dyDescent="0.25">
      <c r="A245" t="str">
        <f t="shared" si="12"/>
        <v>122017</v>
      </c>
      <c r="B245" s="1">
        <v>43091</v>
      </c>
      <c r="C245" t="s">
        <v>173</v>
      </c>
      <c r="D245">
        <v>10457.299999999999</v>
      </c>
      <c r="E245">
        <v>10501.1</v>
      </c>
      <c r="F245">
        <v>10448.25</v>
      </c>
      <c r="G245">
        <v>10493</v>
      </c>
      <c r="H245">
        <v>0</v>
      </c>
      <c r="I245" s="8">
        <f t="shared" si="13"/>
        <v>5.047747670086089E-3</v>
      </c>
      <c r="J245" s="8">
        <f t="shared" si="14"/>
        <v>5.0350505019577376E-3</v>
      </c>
      <c r="K245" s="8">
        <f t="shared" si="11"/>
        <v>6.2959023451349738E-2</v>
      </c>
    </row>
    <row r="246" spans="1:11" x14ac:dyDescent="0.25">
      <c r="A246" t="str">
        <f t="shared" si="12"/>
        <v>122017</v>
      </c>
      <c r="B246" s="1">
        <v>43095</v>
      </c>
      <c r="C246" t="s">
        <v>174</v>
      </c>
      <c r="D246">
        <v>10512.3</v>
      </c>
      <c r="E246">
        <v>10545.45</v>
      </c>
      <c r="F246">
        <v>10477.950000000001</v>
      </c>
      <c r="G246">
        <v>10531.5</v>
      </c>
      <c r="H246">
        <v>0</v>
      </c>
      <c r="I246" s="8">
        <f t="shared" si="13"/>
        <v>3.6691127418277958E-3</v>
      </c>
      <c r="J246" s="8">
        <f t="shared" si="14"/>
        <v>3.6623979675021196E-3</v>
      </c>
      <c r="K246" s="8">
        <f t="shared" si="11"/>
        <v>8.1734843232416532E-2</v>
      </c>
    </row>
    <row r="247" spans="1:11" x14ac:dyDescent="0.25">
      <c r="A247" t="str">
        <f t="shared" si="12"/>
        <v>122017</v>
      </c>
      <c r="B247" s="1">
        <v>43096</v>
      </c>
      <c r="C247" t="s">
        <v>175</v>
      </c>
      <c r="D247">
        <v>10531.05</v>
      </c>
      <c r="E247">
        <v>10552.4</v>
      </c>
      <c r="F247">
        <v>10469.25</v>
      </c>
      <c r="G247">
        <v>10490.75</v>
      </c>
      <c r="H247">
        <v>0</v>
      </c>
      <c r="I247" s="8">
        <f t="shared" si="13"/>
        <v>-3.8693443479086431E-3</v>
      </c>
      <c r="J247" s="8">
        <f t="shared" si="14"/>
        <v>-3.8768496273459364E-3</v>
      </c>
      <c r="K247" s="8">
        <f t="shared" si="11"/>
        <v>7.388716289877606E-2</v>
      </c>
    </row>
    <row r="248" spans="1:11" x14ac:dyDescent="0.25">
      <c r="A248" t="str">
        <f t="shared" si="12"/>
        <v>122017</v>
      </c>
      <c r="B248" s="1">
        <v>43097</v>
      </c>
      <c r="C248" t="s">
        <v>176</v>
      </c>
      <c r="D248">
        <v>10498.2</v>
      </c>
      <c r="E248">
        <v>10534.55</v>
      </c>
      <c r="F248">
        <v>10460.450000000001</v>
      </c>
      <c r="G248">
        <v>10477.9</v>
      </c>
      <c r="H248">
        <v>0</v>
      </c>
      <c r="I248" s="8">
        <f t="shared" si="13"/>
        <v>-1.2248885923313857E-3</v>
      </c>
      <c r="J248" s="8">
        <f t="shared" si="14"/>
        <v>-1.225639381514556E-3</v>
      </c>
      <c r="K248" s="8">
        <f t="shared" si="11"/>
        <v>7.0418650266636629E-2</v>
      </c>
    </row>
    <row r="249" spans="1:11" x14ac:dyDescent="0.25">
      <c r="A249" t="str">
        <f t="shared" si="12"/>
        <v>122017</v>
      </c>
      <c r="B249" s="1">
        <v>43098</v>
      </c>
      <c r="C249" t="s">
        <v>177</v>
      </c>
      <c r="D249">
        <v>10492.35</v>
      </c>
      <c r="E249">
        <v>10538.7</v>
      </c>
      <c r="F249">
        <v>10488.65</v>
      </c>
      <c r="G249">
        <v>10530.7</v>
      </c>
      <c r="H249">
        <v>0</v>
      </c>
      <c r="I249" s="8">
        <f t="shared" si="13"/>
        <v>5.03917769782114E-3</v>
      </c>
      <c r="J249" s="8">
        <f t="shared" si="14"/>
        <v>5.0265235351317312E-3</v>
      </c>
      <c r="K249" s="8">
        <f t="shared" si="11"/>
        <v>6.807647446625098E-2</v>
      </c>
    </row>
    <row r="250" spans="1:11" x14ac:dyDescent="0.25">
      <c r="A250" t="str">
        <f t="shared" si="12"/>
        <v>12018</v>
      </c>
      <c r="B250" s="1">
        <v>43101</v>
      </c>
      <c r="C250" s="10">
        <v>43101.645833333336</v>
      </c>
      <c r="D250">
        <v>10531.7</v>
      </c>
      <c r="E250">
        <v>10537.85</v>
      </c>
      <c r="F250">
        <v>10423.1</v>
      </c>
      <c r="G250">
        <v>10435.549999999999</v>
      </c>
      <c r="H250">
        <v>0</v>
      </c>
      <c r="I250" s="8">
        <f t="shared" si="13"/>
        <v>-9.0354867197813826E-3</v>
      </c>
      <c r="J250" s="8">
        <f t="shared" si="14"/>
        <v>-9.0765542940951169E-3</v>
      </c>
      <c r="K250" s="8">
        <f t="shared" si="11"/>
        <v>5.2511876065315821E-2</v>
      </c>
    </row>
    <row r="251" spans="1:11" x14ac:dyDescent="0.25">
      <c r="A251" t="str">
        <f t="shared" si="12"/>
        <v>12018</v>
      </c>
      <c r="B251" s="1">
        <v>43102</v>
      </c>
      <c r="C251" s="10">
        <v>43132.645833333336</v>
      </c>
      <c r="D251">
        <v>10477.549999999999</v>
      </c>
      <c r="E251">
        <v>10495.2</v>
      </c>
      <c r="F251">
        <v>10404.65</v>
      </c>
      <c r="G251">
        <v>10442.200000000001</v>
      </c>
      <c r="H251">
        <v>0</v>
      </c>
      <c r="I251" s="8">
        <f t="shared" si="13"/>
        <v>6.3724480262195016E-4</v>
      </c>
      <c r="J251" s="8">
        <f t="shared" si="14"/>
        <v>6.3704184836916721E-4</v>
      </c>
      <c r="K251" s="8">
        <f t="shared" si="11"/>
        <v>5.5972979259154343E-2</v>
      </c>
    </row>
    <row r="252" spans="1:11" x14ac:dyDescent="0.25">
      <c r="A252" t="str">
        <f t="shared" si="12"/>
        <v>12018</v>
      </c>
      <c r="B252" s="1">
        <v>43103</v>
      </c>
      <c r="C252" s="10">
        <v>43160.645833333336</v>
      </c>
      <c r="D252">
        <v>10482.65</v>
      </c>
      <c r="E252">
        <v>10503.6</v>
      </c>
      <c r="F252">
        <v>10429.549999999999</v>
      </c>
      <c r="G252">
        <v>10443.200000000001</v>
      </c>
      <c r="H252">
        <v>0</v>
      </c>
      <c r="I252" s="8">
        <f t="shared" si="13"/>
        <v>9.5765260194280444E-5</v>
      </c>
      <c r="J252" s="8">
        <f t="shared" si="14"/>
        <v>9.5760674994483299E-5</v>
      </c>
      <c r="K252" s="8">
        <f t="shared" si="11"/>
        <v>4.6444281892241257E-2</v>
      </c>
    </row>
    <row r="253" spans="1:11" x14ac:dyDescent="0.25">
      <c r="A253" t="str">
        <f t="shared" si="12"/>
        <v>12018</v>
      </c>
      <c r="B253" s="1">
        <v>43104</v>
      </c>
      <c r="C253" s="10">
        <v>43191.645833333336</v>
      </c>
      <c r="D253">
        <v>10469.4</v>
      </c>
      <c r="E253">
        <v>10513</v>
      </c>
      <c r="F253">
        <v>10441.450000000001</v>
      </c>
      <c r="G253">
        <v>10504.8</v>
      </c>
      <c r="H253">
        <v>0</v>
      </c>
      <c r="I253" s="8">
        <f t="shared" si="13"/>
        <v>5.8985751493794147E-3</v>
      </c>
      <c r="J253" s="8">
        <f t="shared" si="14"/>
        <v>5.8812466638422118E-3</v>
      </c>
      <c r="K253" s="8">
        <f t="shared" si="11"/>
        <v>5.1663121011137347E-2</v>
      </c>
    </row>
    <row r="254" spans="1:11" x14ac:dyDescent="0.25">
      <c r="A254" t="str">
        <f t="shared" si="12"/>
        <v>12018</v>
      </c>
      <c r="B254" s="1">
        <v>43105</v>
      </c>
      <c r="C254" s="10">
        <v>43221.645833333336</v>
      </c>
      <c r="D254">
        <v>10534.25</v>
      </c>
      <c r="E254">
        <v>10566.1</v>
      </c>
      <c r="F254">
        <v>10520.1</v>
      </c>
      <c r="G254">
        <v>10558.85</v>
      </c>
      <c r="H254">
        <v>0</v>
      </c>
      <c r="I254" s="8">
        <f t="shared" si="13"/>
        <v>5.1452669255960259E-3</v>
      </c>
      <c r="J254" s="8">
        <f t="shared" si="14"/>
        <v>5.1320752701052418E-3</v>
      </c>
      <c r="K254" s="8">
        <f t="shared" si="11"/>
        <v>5.4098303375778034E-2</v>
      </c>
    </row>
    <row r="255" spans="1:11" x14ac:dyDescent="0.25">
      <c r="A255" t="str">
        <f t="shared" si="12"/>
        <v>12018</v>
      </c>
      <c r="B255" s="1">
        <v>43108</v>
      </c>
      <c r="C255" s="10">
        <v>43313.645833333336</v>
      </c>
      <c r="D255">
        <v>10591.7</v>
      </c>
      <c r="E255">
        <v>10631.2</v>
      </c>
      <c r="F255">
        <v>10588.55</v>
      </c>
      <c r="G255">
        <v>10623.6</v>
      </c>
      <c r="H255">
        <v>0</v>
      </c>
      <c r="I255" s="8">
        <f t="shared" si="13"/>
        <v>6.132296604270282E-3</v>
      </c>
      <c r="J255" s="8">
        <f t="shared" si="14"/>
        <v>6.1135705901032523E-3</v>
      </c>
      <c r="K255" s="8">
        <f t="shared" si="11"/>
        <v>6.397724541302785E-2</v>
      </c>
    </row>
    <row r="256" spans="1:11" x14ac:dyDescent="0.25">
      <c r="A256" t="str">
        <f t="shared" si="12"/>
        <v>12018</v>
      </c>
      <c r="B256" s="1">
        <v>43109</v>
      </c>
      <c r="C256" s="10">
        <v>43344.645833333336</v>
      </c>
      <c r="D256">
        <v>10645.1</v>
      </c>
      <c r="E256">
        <v>10659.15</v>
      </c>
      <c r="F256">
        <v>10603.6</v>
      </c>
      <c r="G256">
        <v>10637</v>
      </c>
      <c r="H256">
        <v>0</v>
      </c>
      <c r="I256" s="8">
        <f t="shared" si="13"/>
        <v>1.2613426710341713E-3</v>
      </c>
      <c r="J256" s="8">
        <f t="shared" si="14"/>
        <v>1.2605478466610116E-3</v>
      </c>
      <c r="K256" s="8">
        <f t="shared" ref="K256:K319" si="15">+G256/G195-1</f>
        <v>5.354383740739288E-2</v>
      </c>
    </row>
    <row r="257" spans="1:11" x14ac:dyDescent="0.25">
      <c r="A257" t="str">
        <f t="shared" si="12"/>
        <v>12018</v>
      </c>
      <c r="B257" s="1">
        <v>43110</v>
      </c>
      <c r="C257" s="10">
        <v>43374.645833333336</v>
      </c>
      <c r="D257">
        <v>10652.05</v>
      </c>
      <c r="E257">
        <v>10655.5</v>
      </c>
      <c r="F257">
        <v>10592.7</v>
      </c>
      <c r="G257">
        <v>10632.2</v>
      </c>
      <c r="H257">
        <v>0</v>
      </c>
      <c r="I257" s="8">
        <f t="shared" si="13"/>
        <v>-4.5125505311638392E-4</v>
      </c>
      <c r="J257" s="8">
        <f t="shared" si="14"/>
        <v>-4.5135689931809334E-4</v>
      </c>
      <c r="K257" s="8">
        <f t="shared" si="15"/>
        <v>4.5709592867434701E-2</v>
      </c>
    </row>
    <row r="258" spans="1:11" x14ac:dyDescent="0.25">
      <c r="A258" t="str">
        <f t="shared" si="12"/>
        <v>12018</v>
      </c>
      <c r="B258" s="1">
        <v>43111</v>
      </c>
      <c r="C258" s="10">
        <v>43405.645833333336</v>
      </c>
      <c r="D258">
        <v>10637.05</v>
      </c>
      <c r="E258">
        <v>10664.6</v>
      </c>
      <c r="F258">
        <v>10612.35</v>
      </c>
      <c r="G258">
        <v>10651.2</v>
      </c>
      <c r="H258">
        <v>0</v>
      </c>
      <c r="I258" s="8">
        <f t="shared" si="13"/>
        <v>1.7870243223414572E-3</v>
      </c>
      <c r="J258" s="8">
        <f t="shared" si="14"/>
        <v>1.7854294940923756E-3</v>
      </c>
      <c r="K258" s="8">
        <f t="shared" si="15"/>
        <v>4.1086517738017969E-2</v>
      </c>
    </row>
    <row r="259" spans="1:11" x14ac:dyDescent="0.25">
      <c r="A259" t="str">
        <f t="shared" ref="A259:A322" si="16">+MONTH(B259)&amp;YEAR(B259)</f>
        <v>12018</v>
      </c>
      <c r="B259" s="1">
        <v>43112</v>
      </c>
      <c r="C259" s="10">
        <v>43435.645833333336</v>
      </c>
      <c r="D259">
        <v>10682.55</v>
      </c>
      <c r="E259">
        <v>10690.4</v>
      </c>
      <c r="F259">
        <v>10597.1</v>
      </c>
      <c r="G259">
        <v>10681.25</v>
      </c>
      <c r="H259">
        <v>0</v>
      </c>
      <c r="I259" s="8">
        <f t="shared" si="13"/>
        <v>2.8212783536125663E-3</v>
      </c>
      <c r="J259" s="8">
        <f t="shared" si="14"/>
        <v>2.8173060174616839E-3</v>
      </c>
      <c r="K259" s="8">
        <f t="shared" si="15"/>
        <v>4.3656473967824239E-2</v>
      </c>
    </row>
    <row r="260" spans="1:11" x14ac:dyDescent="0.25">
      <c r="A260" t="str">
        <f t="shared" si="16"/>
        <v>12018</v>
      </c>
      <c r="B260" s="1">
        <v>43115</v>
      </c>
      <c r="C260" t="s">
        <v>178</v>
      </c>
      <c r="D260">
        <v>10718.5</v>
      </c>
      <c r="E260">
        <v>10782.65</v>
      </c>
      <c r="F260">
        <v>10713.8</v>
      </c>
      <c r="G260">
        <v>10741.55</v>
      </c>
      <c r="H260">
        <v>0</v>
      </c>
      <c r="I260" s="8">
        <f t="shared" ref="I260:I323" si="17">+G260/G259-1</f>
        <v>5.6454066705675654E-3</v>
      </c>
      <c r="J260" s="8">
        <f t="shared" ref="J260:J323" si="18">+LN(1+I260)</f>
        <v>5.6295310837339019E-3</v>
      </c>
      <c r="K260" s="8">
        <f t="shared" si="15"/>
        <v>5.1974125562514351E-2</v>
      </c>
    </row>
    <row r="261" spans="1:11" x14ac:dyDescent="0.25">
      <c r="A261" t="str">
        <f t="shared" si="16"/>
        <v>12018</v>
      </c>
      <c r="B261" s="1">
        <v>43116</v>
      </c>
      <c r="C261" t="s">
        <v>179</v>
      </c>
      <c r="D261">
        <v>10761.5</v>
      </c>
      <c r="E261">
        <v>10762.35</v>
      </c>
      <c r="F261">
        <v>10687.85</v>
      </c>
      <c r="G261">
        <v>10700.45</v>
      </c>
      <c r="H261">
        <v>0</v>
      </c>
      <c r="I261" s="8">
        <f t="shared" si="17"/>
        <v>-3.8262634349789382E-3</v>
      </c>
      <c r="J261" s="8">
        <f t="shared" si="18"/>
        <v>-3.8336023072027756E-3</v>
      </c>
      <c r="K261" s="8">
        <f t="shared" si="15"/>
        <v>5.4589983787592944E-2</v>
      </c>
    </row>
    <row r="262" spans="1:11" x14ac:dyDescent="0.25">
      <c r="A262" t="str">
        <f t="shared" si="16"/>
        <v>12018</v>
      </c>
      <c r="B262" s="1">
        <v>43117</v>
      </c>
      <c r="C262" t="s">
        <v>180</v>
      </c>
      <c r="D262">
        <v>10702.45</v>
      </c>
      <c r="E262">
        <v>10803</v>
      </c>
      <c r="F262">
        <v>10666.75</v>
      </c>
      <c r="G262">
        <v>10788.55</v>
      </c>
      <c r="H262">
        <v>0</v>
      </c>
      <c r="I262" s="8">
        <f t="shared" si="17"/>
        <v>8.2332985995914321E-3</v>
      </c>
      <c r="J262" s="8">
        <f t="shared" si="18"/>
        <v>8.199589892850731E-3</v>
      </c>
      <c r="K262" s="8">
        <f t="shared" si="15"/>
        <v>5.9274314300161501E-2</v>
      </c>
    </row>
    <row r="263" spans="1:11" x14ac:dyDescent="0.25">
      <c r="A263" t="str">
        <f t="shared" si="16"/>
        <v>12018</v>
      </c>
      <c r="B263" s="1">
        <v>43118</v>
      </c>
      <c r="C263" t="s">
        <v>181</v>
      </c>
      <c r="D263">
        <v>10873.4</v>
      </c>
      <c r="E263">
        <v>10887.5</v>
      </c>
      <c r="F263">
        <v>10782.4</v>
      </c>
      <c r="G263">
        <v>10817</v>
      </c>
      <c r="H263">
        <v>0</v>
      </c>
      <c r="I263" s="8">
        <f t="shared" si="17"/>
        <v>2.6370550259302572E-3</v>
      </c>
      <c r="J263" s="8">
        <f t="shared" si="18"/>
        <v>2.6335840970066761E-3</v>
      </c>
      <c r="K263" s="8">
        <f t="shared" si="15"/>
        <v>5.9690233843079143E-2</v>
      </c>
    </row>
    <row r="264" spans="1:11" x14ac:dyDescent="0.25">
      <c r="A264" t="str">
        <f t="shared" si="16"/>
        <v>12018</v>
      </c>
      <c r="B264" s="1">
        <v>43119</v>
      </c>
      <c r="C264" t="s">
        <v>182</v>
      </c>
      <c r="D264">
        <v>10829.2</v>
      </c>
      <c r="E264">
        <v>10906.85</v>
      </c>
      <c r="F264">
        <v>10793.9</v>
      </c>
      <c r="G264">
        <v>10894.7</v>
      </c>
      <c r="H264">
        <v>0</v>
      </c>
      <c r="I264" s="8">
        <f t="shared" si="17"/>
        <v>7.1831376536932723E-3</v>
      </c>
      <c r="J264" s="8">
        <f t="shared" si="18"/>
        <v>7.1574618025462651E-3</v>
      </c>
      <c r="K264" s="8">
        <f t="shared" si="15"/>
        <v>5.8215602189337856E-2</v>
      </c>
    </row>
    <row r="265" spans="1:11" x14ac:dyDescent="0.25">
      <c r="A265" t="str">
        <f t="shared" si="16"/>
        <v>12018</v>
      </c>
      <c r="B265" s="1">
        <v>43122</v>
      </c>
      <c r="C265" t="s">
        <v>183</v>
      </c>
      <c r="D265">
        <v>10883.2</v>
      </c>
      <c r="E265">
        <v>10975.1</v>
      </c>
      <c r="F265">
        <v>10881.4</v>
      </c>
      <c r="G265">
        <v>10966.2</v>
      </c>
      <c r="H265">
        <v>0</v>
      </c>
      <c r="I265" s="8">
        <f t="shared" si="17"/>
        <v>6.5628241254922504E-3</v>
      </c>
      <c r="J265" s="8">
        <f t="shared" si="18"/>
        <v>6.5413825556156846E-3</v>
      </c>
      <c r="K265" s="8">
        <f t="shared" si="15"/>
        <v>6.0171310350161544E-2</v>
      </c>
    </row>
    <row r="266" spans="1:11" x14ac:dyDescent="0.25">
      <c r="A266" t="str">
        <f t="shared" si="16"/>
        <v>12018</v>
      </c>
      <c r="B266" s="1">
        <v>43123</v>
      </c>
      <c r="C266" t="s">
        <v>184</v>
      </c>
      <c r="D266">
        <v>10997.4</v>
      </c>
      <c r="E266">
        <v>11092.9</v>
      </c>
      <c r="F266">
        <v>10994.55</v>
      </c>
      <c r="G266">
        <v>11083.7</v>
      </c>
      <c r="H266">
        <v>0</v>
      </c>
      <c r="I266" s="8">
        <f t="shared" si="17"/>
        <v>1.071474166073938E-2</v>
      </c>
      <c r="J266" s="8">
        <f t="shared" si="18"/>
        <v>1.0657745586985299E-2</v>
      </c>
      <c r="K266" s="8">
        <f t="shared" si="15"/>
        <v>7.3684618402507063E-2</v>
      </c>
    </row>
    <row r="267" spans="1:11" x14ac:dyDescent="0.25">
      <c r="A267" t="str">
        <f t="shared" si="16"/>
        <v>12018</v>
      </c>
      <c r="B267" s="1">
        <v>43124</v>
      </c>
      <c r="C267" t="s">
        <v>185</v>
      </c>
      <c r="D267">
        <v>11069.35</v>
      </c>
      <c r="E267">
        <v>11110.1</v>
      </c>
      <c r="F267">
        <v>11046.15</v>
      </c>
      <c r="G267">
        <v>11086</v>
      </c>
      <c r="H267">
        <v>0</v>
      </c>
      <c r="I267" s="8">
        <f t="shared" si="17"/>
        <v>2.0751193193602191E-4</v>
      </c>
      <c r="J267" s="8">
        <f t="shared" si="18"/>
        <v>2.0749040431318157E-4</v>
      </c>
      <c r="K267" s="8">
        <f t="shared" si="15"/>
        <v>6.9700346885508413E-2</v>
      </c>
    </row>
    <row r="268" spans="1:11" x14ac:dyDescent="0.25">
      <c r="A268" t="str">
        <f t="shared" si="16"/>
        <v>12018</v>
      </c>
      <c r="B268" s="1">
        <v>43125</v>
      </c>
      <c r="C268" t="s">
        <v>186</v>
      </c>
      <c r="D268">
        <v>11095.6</v>
      </c>
      <c r="E268">
        <v>11095.6</v>
      </c>
      <c r="F268">
        <v>11009.2</v>
      </c>
      <c r="G268">
        <v>11069.65</v>
      </c>
      <c r="H268">
        <v>0</v>
      </c>
      <c r="I268" s="8">
        <f t="shared" si="17"/>
        <v>-1.4748331228576772E-3</v>
      </c>
      <c r="J268" s="8">
        <f t="shared" si="18"/>
        <v>-1.4759217597312849E-3</v>
      </c>
      <c r="K268" s="8">
        <f t="shared" si="15"/>
        <v>7.1052606116900341E-2</v>
      </c>
    </row>
    <row r="269" spans="1:11" x14ac:dyDescent="0.25">
      <c r="A269" t="str">
        <f t="shared" si="16"/>
        <v>12018</v>
      </c>
      <c r="B269" s="1">
        <v>43129</v>
      </c>
      <c r="C269" t="s">
        <v>187</v>
      </c>
      <c r="D269">
        <v>11079.35</v>
      </c>
      <c r="E269">
        <v>11171.55</v>
      </c>
      <c r="F269">
        <v>11075.95</v>
      </c>
      <c r="G269">
        <v>11130.4</v>
      </c>
      <c r="H269">
        <v>0</v>
      </c>
      <c r="I269" s="8">
        <f t="shared" si="17"/>
        <v>5.4879783913674984E-3</v>
      </c>
      <c r="J269" s="8">
        <f t="shared" si="18"/>
        <v>5.4729743076483948E-3</v>
      </c>
      <c r="K269" s="8">
        <f t="shared" si="15"/>
        <v>6.6079210765767948E-2</v>
      </c>
    </row>
    <row r="270" spans="1:11" x14ac:dyDescent="0.25">
      <c r="A270" t="str">
        <f t="shared" si="16"/>
        <v>12018</v>
      </c>
      <c r="B270" s="1">
        <v>43130</v>
      </c>
      <c r="C270" t="s">
        <v>188</v>
      </c>
      <c r="D270">
        <v>11120.85</v>
      </c>
      <c r="E270">
        <v>11121.1</v>
      </c>
      <c r="F270">
        <v>11033.9</v>
      </c>
      <c r="G270">
        <v>11049.65</v>
      </c>
      <c r="H270">
        <v>0</v>
      </c>
      <c r="I270" s="8">
        <f t="shared" si="17"/>
        <v>-7.2549054840795879E-3</v>
      </c>
      <c r="J270" s="8">
        <f t="shared" si="18"/>
        <v>-7.2813502915512083E-3</v>
      </c>
      <c r="K270" s="8">
        <f t="shared" si="15"/>
        <v>6.0040484276367545E-2</v>
      </c>
    </row>
    <row r="271" spans="1:11" x14ac:dyDescent="0.25">
      <c r="A271" t="str">
        <f t="shared" si="16"/>
        <v>12018</v>
      </c>
      <c r="B271" s="1">
        <v>43131</v>
      </c>
      <c r="C271" t="s">
        <v>189</v>
      </c>
      <c r="D271">
        <v>11018.8</v>
      </c>
      <c r="E271">
        <v>11058.5</v>
      </c>
      <c r="F271">
        <v>10979.3</v>
      </c>
      <c r="G271">
        <v>11027.7</v>
      </c>
      <c r="H271">
        <v>0</v>
      </c>
      <c r="I271" s="8">
        <f t="shared" si="17"/>
        <v>-1.9864882598090716E-3</v>
      </c>
      <c r="J271" s="8">
        <f t="shared" si="18"/>
        <v>-1.9884639444954625E-3</v>
      </c>
      <c r="K271" s="8">
        <f t="shared" si="15"/>
        <v>5.502989715379103E-2</v>
      </c>
    </row>
    <row r="272" spans="1:11" x14ac:dyDescent="0.25">
      <c r="A272" t="str">
        <f t="shared" si="16"/>
        <v>22018</v>
      </c>
      <c r="B272" s="1">
        <v>43132</v>
      </c>
      <c r="C272" s="10">
        <v>43102.645833333336</v>
      </c>
      <c r="D272">
        <v>11044.55</v>
      </c>
      <c r="E272">
        <v>11117.35</v>
      </c>
      <c r="F272">
        <v>10878.8</v>
      </c>
      <c r="G272">
        <v>11016.9</v>
      </c>
      <c r="H272">
        <v>0</v>
      </c>
      <c r="I272" s="8">
        <f t="shared" si="17"/>
        <v>-9.7935199542975582E-4</v>
      </c>
      <c r="J272" s="8">
        <f t="shared" si="18"/>
        <v>-9.7983187393412951E-4</v>
      </c>
      <c r="K272" s="8">
        <f t="shared" si="15"/>
        <v>5.4067242006161642E-2</v>
      </c>
    </row>
    <row r="273" spans="1:11" x14ac:dyDescent="0.25">
      <c r="A273" t="str">
        <f t="shared" si="16"/>
        <v>22018</v>
      </c>
      <c r="B273" s="1">
        <v>43133</v>
      </c>
      <c r="C273" s="10">
        <v>43133.645833333336</v>
      </c>
      <c r="D273">
        <v>10938.2</v>
      </c>
      <c r="E273">
        <v>10954.95</v>
      </c>
      <c r="F273">
        <v>10736.1</v>
      </c>
      <c r="G273">
        <v>10760.6</v>
      </c>
      <c r="H273">
        <v>0</v>
      </c>
      <c r="I273" s="8">
        <f t="shared" si="17"/>
        <v>-2.326425764053397E-2</v>
      </c>
      <c r="J273" s="8">
        <f t="shared" si="18"/>
        <v>-2.3539142174773337E-2</v>
      </c>
      <c r="K273" s="8">
        <f t="shared" si="15"/>
        <v>3.9656430100046824E-2</v>
      </c>
    </row>
    <row r="274" spans="1:11" x14ac:dyDescent="0.25">
      <c r="A274" t="str">
        <f t="shared" si="16"/>
        <v>22018</v>
      </c>
      <c r="B274" s="1">
        <v>43136</v>
      </c>
      <c r="C274" s="10">
        <v>43222.645833333336</v>
      </c>
      <c r="D274">
        <v>10604.3</v>
      </c>
      <c r="E274">
        <v>10702.75</v>
      </c>
      <c r="F274">
        <v>10586.8</v>
      </c>
      <c r="G274">
        <v>10666.55</v>
      </c>
      <c r="H274">
        <v>0</v>
      </c>
      <c r="I274" s="8">
        <f t="shared" si="17"/>
        <v>-8.7402189468990255E-3</v>
      </c>
      <c r="J274" s="8">
        <f t="shared" si="18"/>
        <v>-8.7786386889738433E-3</v>
      </c>
      <c r="K274" s="8">
        <f t="shared" si="15"/>
        <v>3.5270766707269141E-2</v>
      </c>
    </row>
    <row r="275" spans="1:11" x14ac:dyDescent="0.25">
      <c r="A275" t="str">
        <f t="shared" si="16"/>
        <v>22018</v>
      </c>
      <c r="B275" s="1">
        <v>43137</v>
      </c>
      <c r="C275" s="10">
        <v>43253.645833333336</v>
      </c>
      <c r="D275">
        <v>10295.15</v>
      </c>
      <c r="E275">
        <v>10594.15</v>
      </c>
      <c r="F275">
        <v>10276.299999999999</v>
      </c>
      <c r="G275">
        <v>10498.25</v>
      </c>
      <c r="H275">
        <v>0</v>
      </c>
      <c r="I275" s="8">
        <f t="shared" si="17"/>
        <v>-1.5778297575129607E-2</v>
      </c>
      <c r="J275" s="8">
        <f t="shared" si="18"/>
        <v>-1.5904099965423114E-2</v>
      </c>
      <c r="K275" s="8">
        <f t="shared" si="15"/>
        <v>1.8362684851512379E-2</v>
      </c>
    </row>
    <row r="276" spans="1:11" x14ac:dyDescent="0.25">
      <c r="A276" t="str">
        <f t="shared" si="16"/>
        <v>22018</v>
      </c>
      <c r="B276" s="1">
        <v>43138</v>
      </c>
      <c r="C276" s="10">
        <v>43283.645833333336</v>
      </c>
      <c r="D276">
        <v>10607.2</v>
      </c>
      <c r="E276">
        <v>10614</v>
      </c>
      <c r="F276">
        <v>10446.4</v>
      </c>
      <c r="G276">
        <v>10476.700000000001</v>
      </c>
      <c r="H276">
        <v>0</v>
      </c>
      <c r="I276" s="8">
        <f t="shared" si="17"/>
        <v>-2.052723072893059E-3</v>
      </c>
      <c r="J276" s="8">
        <f t="shared" si="18"/>
        <v>-2.0548327965133673E-3</v>
      </c>
      <c r="K276" s="8">
        <f t="shared" si="15"/>
        <v>1.501198924600966E-2</v>
      </c>
    </row>
    <row r="277" spans="1:11" x14ac:dyDescent="0.25">
      <c r="A277" t="str">
        <f t="shared" si="16"/>
        <v>22018</v>
      </c>
      <c r="B277" s="1">
        <v>43139</v>
      </c>
      <c r="C277" s="10">
        <v>43314.645833333336</v>
      </c>
      <c r="D277">
        <v>10518.5</v>
      </c>
      <c r="E277">
        <v>10637.8</v>
      </c>
      <c r="F277">
        <v>10479.549999999999</v>
      </c>
      <c r="G277">
        <v>10576.85</v>
      </c>
      <c r="H277">
        <v>0</v>
      </c>
      <c r="I277" s="8">
        <f t="shared" si="17"/>
        <v>9.5593077973026297E-3</v>
      </c>
      <c r="J277" s="8">
        <f t="shared" si="18"/>
        <v>9.5139067204470032E-3</v>
      </c>
      <c r="K277" s="8">
        <f t="shared" si="15"/>
        <v>3.4415816214260264E-2</v>
      </c>
    </row>
    <row r="278" spans="1:11" x14ac:dyDescent="0.25">
      <c r="A278" t="str">
        <f t="shared" si="16"/>
        <v>22018</v>
      </c>
      <c r="B278" s="1">
        <v>43140</v>
      </c>
      <c r="C278" s="10">
        <v>43345.645833333336</v>
      </c>
      <c r="D278">
        <v>10416.5</v>
      </c>
      <c r="E278">
        <v>10480.200000000001</v>
      </c>
      <c r="F278">
        <v>10398.200000000001</v>
      </c>
      <c r="G278">
        <v>10454.950000000001</v>
      </c>
      <c r="H278">
        <v>0</v>
      </c>
      <c r="I278" s="8">
        <f t="shared" si="17"/>
        <v>-1.1525170537541873E-2</v>
      </c>
      <c r="J278" s="8">
        <f t="shared" si="18"/>
        <v>-1.1592100061916256E-2</v>
      </c>
      <c r="K278" s="8">
        <f t="shared" si="15"/>
        <v>2.6343431566960618E-2</v>
      </c>
    </row>
    <row r="279" spans="1:11" x14ac:dyDescent="0.25">
      <c r="A279" t="str">
        <f t="shared" si="16"/>
        <v>22018</v>
      </c>
      <c r="B279" s="1">
        <v>43143</v>
      </c>
      <c r="C279" s="10">
        <v>43436.645833333336</v>
      </c>
      <c r="D279">
        <v>10518.2</v>
      </c>
      <c r="E279">
        <v>10555.5</v>
      </c>
      <c r="F279">
        <v>10485.4</v>
      </c>
      <c r="G279">
        <v>10539.75</v>
      </c>
      <c r="H279">
        <v>0</v>
      </c>
      <c r="I279" s="8">
        <f t="shared" si="17"/>
        <v>8.1109904877592065E-3</v>
      </c>
      <c r="J279" s="8">
        <f t="shared" si="18"/>
        <v>8.0782731984308572E-3</v>
      </c>
      <c r="K279" s="8">
        <f t="shared" si="15"/>
        <v>4.167799131255534E-2</v>
      </c>
    </row>
    <row r="280" spans="1:11" x14ac:dyDescent="0.25">
      <c r="A280" t="str">
        <f t="shared" si="16"/>
        <v>22018</v>
      </c>
      <c r="B280" s="1">
        <v>43145</v>
      </c>
      <c r="C280" t="s">
        <v>190</v>
      </c>
      <c r="D280">
        <v>10585.75</v>
      </c>
      <c r="E280">
        <v>10590.55</v>
      </c>
      <c r="F280">
        <v>10456.65</v>
      </c>
      <c r="G280">
        <v>10500.9</v>
      </c>
      <c r="H280">
        <v>0</v>
      </c>
      <c r="I280" s="8">
        <f t="shared" si="17"/>
        <v>-3.6860456841956157E-3</v>
      </c>
      <c r="J280" s="8">
        <f t="shared" si="18"/>
        <v>-3.6928558908946208E-3</v>
      </c>
      <c r="K280" s="8">
        <f t="shared" si="15"/>
        <v>2.8013411977777292E-2</v>
      </c>
    </row>
    <row r="281" spans="1:11" x14ac:dyDescent="0.25">
      <c r="A281" t="str">
        <f t="shared" si="16"/>
        <v>22018</v>
      </c>
      <c r="B281" s="1">
        <v>43146</v>
      </c>
      <c r="C281" t="s">
        <v>191</v>
      </c>
      <c r="D281">
        <v>10537.9</v>
      </c>
      <c r="E281">
        <v>10618.1</v>
      </c>
      <c r="F281">
        <v>10511.05</v>
      </c>
      <c r="G281">
        <v>10545.5</v>
      </c>
      <c r="H281">
        <v>0</v>
      </c>
      <c r="I281" s="8">
        <f t="shared" si="17"/>
        <v>4.247254997190808E-3</v>
      </c>
      <c r="J281" s="8">
        <f t="shared" si="18"/>
        <v>4.2382608675997852E-3</v>
      </c>
      <c r="K281" s="8">
        <f t="shared" si="15"/>
        <v>2.5467735034423677E-2</v>
      </c>
    </row>
    <row r="282" spans="1:11" x14ac:dyDescent="0.25">
      <c r="A282" t="str">
        <f t="shared" si="16"/>
        <v>22018</v>
      </c>
      <c r="B282" s="1">
        <v>43147</v>
      </c>
      <c r="C282" t="s">
        <v>192</v>
      </c>
      <c r="D282">
        <v>10596.2</v>
      </c>
      <c r="E282">
        <v>10612.9</v>
      </c>
      <c r="F282">
        <v>10434.049999999999</v>
      </c>
      <c r="G282">
        <v>10452.299999999999</v>
      </c>
      <c r="H282">
        <v>0</v>
      </c>
      <c r="I282" s="8">
        <f t="shared" si="17"/>
        <v>-8.8378929401167206E-3</v>
      </c>
      <c r="J282" s="8">
        <f t="shared" si="18"/>
        <v>-8.877178756436177E-3</v>
      </c>
      <c r="K282" s="8">
        <f t="shared" si="15"/>
        <v>1.4909576404903424E-2</v>
      </c>
    </row>
    <row r="283" spans="1:11" x14ac:dyDescent="0.25">
      <c r="A283" t="str">
        <f t="shared" si="16"/>
        <v>22018</v>
      </c>
      <c r="B283" s="1">
        <v>43150</v>
      </c>
      <c r="C283" t="s">
        <v>193</v>
      </c>
      <c r="D283">
        <v>10488.9</v>
      </c>
      <c r="E283">
        <v>10489.35</v>
      </c>
      <c r="F283">
        <v>10302.75</v>
      </c>
      <c r="G283">
        <v>10378.4</v>
      </c>
      <c r="H283">
        <v>0</v>
      </c>
      <c r="I283" s="8">
        <f t="shared" si="17"/>
        <v>-7.0702142112262223E-3</v>
      </c>
      <c r="J283" s="8">
        <f t="shared" si="18"/>
        <v>-7.0953266124304595E-3</v>
      </c>
      <c r="K283" s="8">
        <f t="shared" si="15"/>
        <v>4.9869757623295374E-3</v>
      </c>
    </row>
    <row r="284" spans="1:11" x14ac:dyDescent="0.25">
      <c r="A284" t="str">
        <f t="shared" si="16"/>
        <v>22018</v>
      </c>
      <c r="B284" s="1">
        <v>43151</v>
      </c>
      <c r="C284" t="s">
        <v>194</v>
      </c>
      <c r="D284">
        <v>10391</v>
      </c>
      <c r="E284">
        <v>10429.35</v>
      </c>
      <c r="F284">
        <v>10347.65</v>
      </c>
      <c r="G284">
        <v>10360.4</v>
      </c>
      <c r="H284">
        <v>0</v>
      </c>
      <c r="I284" s="8">
        <f t="shared" si="17"/>
        <v>-1.7343713867262744E-3</v>
      </c>
      <c r="J284" s="8">
        <f t="shared" si="18"/>
        <v>-1.7358771500669238E-3</v>
      </c>
      <c r="K284" s="8">
        <f t="shared" si="15"/>
        <v>1.7500942730341862E-3</v>
      </c>
    </row>
    <row r="285" spans="1:11" x14ac:dyDescent="0.25">
      <c r="A285" t="str">
        <f t="shared" si="16"/>
        <v>22018</v>
      </c>
      <c r="B285" s="1">
        <v>43152</v>
      </c>
      <c r="C285" t="s">
        <v>195</v>
      </c>
      <c r="D285">
        <v>10426</v>
      </c>
      <c r="E285">
        <v>10426.1</v>
      </c>
      <c r="F285">
        <v>10349.6</v>
      </c>
      <c r="G285">
        <v>10397.450000000001</v>
      </c>
      <c r="H285">
        <v>0</v>
      </c>
      <c r="I285" s="8">
        <f t="shared" si="17"/>
        <v>3.5761167522490034E-3</v>
      </c>
      <c r="J285" s="8">
        <f t="shared" si="18"/>
        <v>3.569737650487671E-3</v>
      </c>
      <c r="K285" s="8">
        <f t="shared" si="15"/>
        <v>4.7058823529413374E-3</v>
      </c>
    </row>
    <row r="286" spans="1:11" x14ac:dyDescent="0.25">
      <c r="A286" t="str">
        <f t="shared" si="16"/>
        <v>22018</v>
      </c>
      <c r="B286" s="1">
        <v>43153</v>
      </c>
      <c r="C286" t="s">
        <v>196</v>
      </c>
      <c r="D286">
        <v>10354.35</v>
      </c>
      <c r="E286">
        <v>10397.549999999999</v>
      </c>
      <c r="F286">
        <v>10340.65</v>
      </c>
      <c r="G286">
        <v>10382.700000000001</v>
      </c>
      <c r="H286">
        <v>0</v>
      </c>
      <c r="I286" s="8">
        <f t="shared" si="17"/>
        <v>-1.4186170647610963E-3</v>
      </c>
      <c r="J286" s="8">
        <f t="shared" si="18"/>
        <v>-1.4196242546064732E-3</v>
      </c>
      <c r="K286" s="8">
        <f t="shared" si="15"/>
        <v>-6.7374418895638222E-4</v>
      </c>
    </row>
    <row r="287" spans="1:11" x14ac:dyDescent="0.25">
      <c r="A287" t="str">
        <f t="shared" si="16"/>
        <v>22018</v>
      </c>
      <c r="B287" s="1">
        <v>43154</v>
      </c>
      <c r="C287" t="s">
        <v>197</v>
      </c>
      <c r="D287">
        <v>10408.1</v>
      </c>
      <c r="E287">
        <v>10499.1</v>
      </c>
      <c r="F287">
        <v>10396.65</v>
      </c>
      <c r="G287">
        <v>10491.05</v>
      </c>
      <c r="H287">
        <v>0</v>
      </c>
      <c r="I287" s="8">
        <f t="shared" si="17"/>
        <v>1.0435628497404092E-2</v>
      </c>
      <c r="J287" s="8">
        <f t="shared" si="18"/>
        <v>1.0381553207407197E-2</v>
      </c>
      <c r="K287" s="8">
        <f t="shared" si="15"/>
        <v>8.7984576255704106E-3</v>
      </c>
    </row>
    <row r="288" spans="1:11" x14ac:dyDescent="0.25">
      <c r="A288" t="str">
        <f t="shared" si="16"/>
        <v>22018</v>
      </c>
      <c r="B288" s="1">
        <v>43157</v>
      </c>
      <c r="C288" t="s">
        <v>198</v>
      </c>
      <c r="D288">
        <v>10526.55</v>
      </c>
      <c r="E288">
        <v>10592.95</v>
      </c>
      <c r="F288">
        <v>10520.2</v>
      </c>
      <c r="G288">
        <v>10582.6</v>
      </c>
      <c r="H288">
        <v>0</v>
      </c>
      <c r="I288" s="8">
        <f t="shared" si="17"/>
        <v>8.7264859094180469E-3</v>
      </c>
      <c r="J288" s="8">
        <f t="shared" si="18"/>
        <v>8.6886302033653117E-3</v>
      </c>
      <c r="K288" s="8">
        <f t="shared" si="15"/>
        <v>2.0476844820520368E-2</v>
      </c>
    </row>
    <row r="289" spans="1:11" x14ac:dyDescent="0.25">
      <c r="A289" t="str">
        <f t="shared" si="16"/>
        <v>22018</v>
      </c>
      <c r="B289" s="1">
        <v>43158</v>
      </c>
      <c r="C289" t="s">
        <v>199</v>
      </c>
      <c r="D289">
        <v>10615.2</v>
      </c>
      <c r="E289">
        <v>10631.65</v>
      </c>
      <c r="F289">
        <v>10537.25</v>
      </c>
      <c r="G289">
        <v>10554.3</v>
      </c>
      <c r="H289">
        <v>0</v>
      </c>
      <c r="I289" s="8">
        <f t="shared" si="17"/>
        <v>-2.6742010470017785E-3</v>
      </c>
      <c r="J289" s="8">
        <f t="shared" si="18"/>
        <v>-2.677783110151532E-3</v>
      </c>
      <c r="K289" s="8">
        <f t="shared" si="15"/>
        <v>1.8627006263692847E-2</v>
      </c>
    </row>
    <row r="290" spans="1:11" x14ac:dyDescent="0.25">
      <c r="A290" t="str">
        <f t="shared" si="16"/>
        <v>22018</v>
      </c>
      <c r="B290" s="1">
        <v>43159</v>
      </c>
      <c r="C290" t="s">
        <v>200</v>
      </c>
      <c r="D290">
        <v>10488.95</v>
      </c>
      <c r="E290">
        <v>10535.5</v>
      </c>
      <c r="F290">
        <v>10461.549999999999</v>
      </c>
      <c r="G290">
        <v>10492.85</v>
      </c>
      <c r="H290">
        <v>0</v>
      </c>
      <c r="I290" s="8">
        <f t="shared" si="17"/>
        <v>-5.8222714912404827E-3</v>
      </c>
      <c r="J290" s="8">
        <f t="shared" si="18"/>
        <v>-5.8392869919537968E-3</v>
      </c>
      <c r="K290" s="8">
        <f t="shared" si="15"/>
        <v>2.6040062386631035E-2</v>
      </c>
    </row>
    <row r="291" spans="1:11" x14ac:dyDescent="0.25">
      <c r="A291" t="str">
        <f t="shared" si="16"/>
        <v>32018</v>
      </c>
      <c r="B291" s="1">
        <v>43160</v>
      </c>
      <c r="C291" s="10">
        <v>43103.645833333336</v>
      </c>
      <c r="D291">
        <v>10479.950000000001</v>
      </c>
      <c r="E291">
        <v>10525.5</v>
      </c>
      <c r="F291">
        <v>10447.15</v>
      </c>
      <c r="G291">
        <v>10458.35</v>
      </c>
      <c r="H291">
        <v>0</v>
      </c>
      <c r="I291" s="8">
        <f t="shared" si="17"/>
        <v>-3.2879532252915178E-3</v>
      </c>
      <c r="J291" s="8">
        <f t="shared" si="18"/>
        <v>-3.2933704210808511E-3</v>
      </c>
      <c r="K291" s="8">
        <f t="shared" si="15"/>
        <v>3.3250014819498519E-2</v>
      </c>
    </row>
    <row r="292" spans="1:11" x14ac:dyDescent="0.25">
      <c r="A292" t="str">
        <f t="shared" si="16"/>
        <v>32018</v>
      </c>
      <c r="B292" s="1">
        <v>43164</v>
      </c>
      <c r="C292" s="10">
        <v>43223.645833333336</v>
      </c>
      <c r="D292">
        <v>10428.299999999999</v>
      </c>
      <c r="E292">
        <v>10428.700000000001</v>
      </c>
      <c r="F292">
        <v>10323.9</v>
      </c>
      <c r="G292">
        <v>10358.85</v>
      </c>
      <c r="H292">
        <v>0</v>
      </c>
      <c r="I292" s="8">
        <f t="shared" si="17"/>
        <v>-9.5139290614676408E-3</v>
      </c>
      <c r="J292" s="8">
        <f t="shared" si="18"/>
        <v>-9.559475599117866E-3</v>
      </c>
      <c r="K292" s="8">
        <f t="shared" si="15"/>
        <v>2.2818493742440271E-2</v>
      </c>
    </row>
    <row r="293" spans="1:11" x14ac:dyDescent="0.25">
      <c r="A293" t="str">
        <f t="shared" si="16"/>
        <v>32018</v>
      </c>
      <c r="B293" s="1">
        <v>43165</v>
      </c>
      <c r="C293" s="10">
        <v>43254.645833333336</v>
      </c>
      <c r="D293">
        <v>10420.5</v>
      </c>
      <c r="E293">
        <v>10441.35</v>
      </c>
      <c r="F293">
        <v>10215.9</v>
      </c>
      <c r="G293">
        <v>10249.25</v>
      </c>
      <c r="H293">
        <v>0</v>
      </c>
      <c r="I293" s="8">
        <f t="shared" si="17"/>
        <v>-1.0580325036080307E-2</v>
      </c>
      <c r="J293" s="8">
        <f t="shared" si="18"/>
        <v>-1.0636694633347358E-2</v>
      </c>
      <c r="K293" s="8">
        <f t="shared" si="15"/>
        <v>1.2946902873520516E-2</v>
      </c>
    </row>
    <row r="294" spans="1:11" x14ac:dyDescent="0.25">
      <c r="A294" t="str">
        <f t="shared" si="16"/>
        <v>32018</v>
      </c>
      <c r="B294" s="1">
        <v>43166</v>
      </c>
      <c r="C294" s="10">
        <v>43284.645833333336</v>
      </c>
      <c r="D294">
        <v>10232.950000000001</v>
      </c>
      <c r="E294">
        <v>10243.35</v>
      </c>
      <c r="F294">
        <v>10141.549999999999</v>
      </c>
      <c r="G294">
        <v>10154.200000000001</v>
      </c>
      <c r="H294">
        <v>0</v>
      </c>
      <c r="I294" s="8">
        <f t="shared" si="17"/>
        <v>-9.2738493060466887E-3</v>
      </c>
      <c r="J294" s="8">
        <f t="shared" si="18"/>
        <v>-9.3171191731129289E-3</v>
      </c>
      <c r="K294" s="8">
        <f t="shared" si="15"/>
        <v>1.0961659083442044E-2</v>
      </c>
    </row>
    <row r="295" spans="1:11" x14ac:dyDescent="0.25">
      <c r="A295" t="str">
        <f t="shared" si="16"/>
        <v>32018</v>
      </c>
      <c r="B295" s="1">
        <v>43167</v>
      </c>
      <c r="C295" s="10">
        <v>43315.645833333336</v>
      </c>
      <c r="D295">
        <v>10216.25</v>
      </c>
      <c r="E295">
        <v>10270.35</v>
      </c>
      <c r="F295">
        <v>10146.4</v>
      </c>
      <c r="G295">
        <v>10242.65</v>
      </c>
      <c r="H295">
        <v>0</v>
      </c>
      <c r="I295" s="8">
        <f t="shared" si="17"/>
        <v>8.7106812944395262E-3</v>
      </c>
      <c r="J295" s="8">
        <f t="shared" si="18"/>
        <v>8.6729621912598857E-3</v>
      </c>
      <c r="K295" s="8">
        <f t="shared" si="15"/>
        <v>7.4704673099430519E-3</v>
      </c>
    </row>
    <row r="296" spans="1:11" x14ac:dyDescent="0.25">
      <c r="A296" t="str">
        <f t="shared" si="16"/>
        <v>32018</v>
      </c>
      <c r="B296" s="1">
        <v>43168</v>
      </c>
      <c r="C296" s="10">
        <v>43346.645833333336</v>
      </c>
      <c r="D296">
        <v>10271.299999999999</v>
      </c>
      <c r="E296">
        <v>10296.700000000001</v>
      </c>
      <c r="F296">
        <v>10211.9</v>
      </c>
      <c r="G296">
        <v>10226.85</v>
      </c>
      <c r="H296">
        <v>0</v>
      </c>
      <c r="I296" s="8">
        <f t="shared" si="17"/>
        <v>-1.542569549872308E-3</v>
      </c>
      <c r="J296" s="8">
        <f t="shared" si="18"/>
        <v>-1.5437605352231351E-3</v>
      </c>
      <c r="K296" s="8">
        <f t="shared" si="15"/>
        <v>-3.7795950573026316E-3</v>
      </c>
    </row>
    <row r="297" spans="1:11" x14ac:dyDescent="0.25">
      <c r="A297" t="str">
        <f t="shared" si="16"/>
        <v>32018</v>
      </c>
      <c r="B297" s="1">
        <v>43171</v>
      </c>
      <c r="C297" s="10">
        <v>43437.645833333336</v>
      </c>
      <c r="D297">
        <v>10301.6</v>
      </c>
      <c r="E297">
        <v>10433.65</v>
      </c>
      <c r="F297">
        <v>10295.450000000001</v>
      </c>
      <c r="G297">
        <v>10421.4</v>
      </c>
      <c r="H297">
        <v>0</v>
      </c>
      <c r="I297" s="8">
        <f t="shared" si="17"/>
        <v>1.9023452969389343E-2</v>
      </c>
      <c r="J297" s="8">
        <f t="shared" si="18"/>
        <v>1.884476964735966E-2</v>
      </c>
      <c r="K297" s="8">
        <f t="shared" si="15"/>
        <v>9.6054639250162666E-3</v>
      </c>
    </row>
    <row r="298" spans="1:11" x14ac:dyDescent="0.25">
      <c r="A298" t="str">
        <f t="shared" si="16"/>
        <v>32018</v>
      </c>
      <c r="B298" s="1">
        <v>43172</v>
      </c>
      <c r="C298" t="s">
        <v>201</v>
      </c>
      <c r="D298">
        <v>10389.5</v>
      </c>
      <c r="E298">
        <v>10478.6</v>
      </c>
      <c r="F298">
        <v>10377.85</v>
      </c>
      <c r="G298">
        <v>10426.85</v>
      </c>
      <c r="H298">
        <v>0</v>
      </c>
      <c r="I298" s="8">
        <f t="shared" si="17"/>
        <v>5.229623659011029E-4</v>
      </c>
      <c r="J298" s="8">
        <f t="shared" si="18"/>
        <v>5.228256687392662E-4</v>
      </c>
      <c r="K298" s="8">
        <f t="shared" si="15"/>
        <v>1.823215480242002E-2</v>
      </c>
    </row>
    <row r="299" spans="1:11" x14ac:dyDescent="0.25">
      <c r="A299" t="str">
        <f t="shared" si="16"/>
        <v>32018</v>
      </c>
      <c r="B299" s="1">
        <v>43173</v>
      </c>
      <c r="C299" t="s">
        <v>202</v>
      </c>
      <c r="D299">
        <v>10393.049999999999</v>
      </c>
      <c r="E299">
        <v>10420.35</v>
      </c>
      <c r="F299">
        <v>10336.299999999999</v>
      </c>
      <c r="G299">
        <v>10410.9</v>
      </c>
      <c r="H299">
        <v>0</v>
      </c>
      <c r="I299" s="8">
        <f t="shared" si="17"/>
        <v>-1.5297045608214654E-3</v>
      </c>
      <c r="J299" s="8">
        <f t="shared" si="18"/>
        <v>-1.5308757533812772E-3</v>
      </c>
      <c r="K299" s="8">
        <f t="shared" si="15"/>
        <v>2.1382426088619955E-2</v>
      </c>
    </row>
    <row r="300" spans="1:11" x14ac:dyDescent="0.25">
      <c r="A300" t="str">
        <f t="shared" si="16"/>
        <v>32018</v>
      </c>
      <c r="B300" s="1">
        <v>43174</v>
      </c>
      <c r="C300" t="s">
        <v>203</v>
      </c>
      <c r="D300">
        <v>10405.450000000001</v>
      </c>
      <c r="E300">
        <v>10420</v>
      </c>
      <c r="F300">
        <v>10346.200000000001</v>
      </c>
      <c r="G300">
        <v>10360.15</v>
      </c>
      <c r="H300">
        <v>0</v>
      </c>
      <c r="I300" s="8">
        <f t="shared" si="17"/>
        <v>-4.8746986331633657E-3</v>
      </c>
      <c r="J300" s="8">
        <f t="shared" si="18"/>
        <v>-4.8866187302434253E-3</v>
      </c>
      <c r="K300" s="8">
        <f t="shared" si="15"/>
        <v>1.0539304142565875E-2</v>
      </c>
    </row>
    <row r="301" spans="1:11" x14ac:dyDescent="0.25">
      <c r="A301" t="str">
        <f t="shared" si="16"/>
        <v>32018</v>
      </c>
      <c r="B301" s="1">
        <v>43175</v>
      </c>
      <c r="C301" t="s">
        <v>204</v>
      </c>
      <c r="D301">
        <v>10345.15</v>
      </c>
      <c r="E301">
        <v>10346.299999999999</v>
      </c>
      <c r="F301">
        <v>10180.25</v>
      </c>
      <c r="G301">
        <v>10195.15</v>
      </c>
      <c r="H301">
        <v>0</v>
      </c>
      <c r="I301" s="8">
        <f t="shared" si="17"/>
        <v>-1.592641033189679E-2</v>
      </c>
      <c r="J301" s="8">
        <f t="shared" si="18"/>
        <v>-1.6054598478163293E-2</v>
      </c>
      <c r="K301" s="8">
        <f t="shared" si="15"/>
        <v>-1.3364623908257323E-2</v>
      </c>
    </row>
    <row r="302" spans="1:11" x14ac:dyDescent="0.25">
      <c r="A302" t="str">
        <f t="shared" si="16"/>
        <v>32018</v>
      </c>
      <c r="B302" s="1">
        <v>43178</v>
      </c>
      <c r="C302" t="s">
        <v>205</v>
      </c>
      <c r="D302">
        <v>10215.35</v>
      </c>
      <c r="E302">
        <v>10224.549999999999</v>
      </c>
      <c r="F302">
        <v>10075.299999999999</v>
      </c>
      <c r="G302">
        <v>10094.25</v>
      </c>
      <c r="H302">
        <v>0</v>
      </c>
      <c r="I302" s="8">
        <f t="shared" si="17"/>
        <v>-9.8968627239421902E-3</v>
      </c>
      <c r="J302" s="8">
        <f t="shared" si="18"/>
        <v>-9.9461622130384876E-3</v>
      </c>
      <c r="K302" s="8">
        <f t="shared" si="15"/>
        <v>-2.8347972566478141E-2</v>
      </c>
    </row>
    <row r="303" spans="1:11" x14ac:dyDescent="0.25">
      <c r="A303" t="str">
        <f t="shared" si="16"/>
        <v>32018</v>
      </c>
      <c r="B303" s="1">
        <v>43179</v>
      </c>
      <c r="C303" t="s">
        <v>206</v>
      </c>
      <c r="D303">
        <v>10051.549999999999</v>
      </c>
      <c r="E303">
        <v>10155.65</v>
      </c>
      <c r="F303">
        <v>10049.1</v>
      </c>
      <c r="G303">
        <v>10124.35</v>
      </c>
      <c r="H303">
        <v>0</v>
      </c>
      <c r="I303" s="8">
        <f t="shared" si="17"/>
        <v>2.9818956336529201E-3</v>
      </c>
      <c r="J303" s="8">
        <f t="shared" si="18"/>
        <v>2.9774586011913949E-3</v>
      </c>
      <c r="K303" s="8">
        <f t="shared" si="15"/>
        <v>-3.2384930040523008E-2</v>
      </c>
    </row>
    <row r="304" spans="1:11" x14ac:dyDescent="0.25">
      <c r="A304" t="str">
        <f t="shared" si="16"/>
        <v>32018</v>
      </c>
      <c r="B304" s="1">
        <v>43180</v>
      </c>
      <c r="C304" t="s">
        <v>207</v>
      </c>
      <c r="D304">
        <v>10181.950000000001</v>
      </c>
      <c r="E304">
        <v>10227.299999999999</v>
      </c>
      <c r="F304">
        <v>10132.950000000001</v>
      </c>
      <c r="G304">
        <v>10155.25</v>
      </c>
      <c r="H304">
        <v>0</v>
      </c>
      <c r="I304" s="8">
        <f t="shared" si="17"/>
        <v>3.0520477857838291E-3</v>
      </c>
      <c r="J304" s="8">
        <f t="shared" si="18"/>
        <v>3.0473997429050059E-3</v>
      </c>
      <c r="K304" s="8">
        <f t="shared" si="15"/>
        <v>-2.766607303575197E-2</v>
      </c>
    </row>
    <row r="305" spans="1:11" x14ac:dyDescent="0.25">
      <c r="A305" t="str">
        <f t="shared" si="16"/>
        <v>32018</v>
      </c>
      <c r="B305" s="1">
        <v>43181</v>
      </c>
      <c r="C305" t="s">
        <v>208</v>
      </c>
      <c r="D305">
        <v>10167.5</v>
      </c>
      <c r="E305">
        <v>10207.85</v>
      </c>
      <c r="F305">
        <v>10105.4</v>
      </c>
      <c r="G305">
        <v>10114.75</v>
      </c>
      <c r="H305">
        <v>0</v>
      </c>
      <c r="I305" s="8">
        <f t="shared" si="17"/>
        <v>-3.988084980675044E-3</v>
      </c>
      <c r="J305" s="8">
        <f t="shared" si="18"/>
        <v>-3.9960585982851977E-3</v>
      </c>
      <c r="K305" s="8">
        <f t="shared" si="15"/>
        <v>-3.118205415553188E-2</v>
      </c>
    </row>
    <row r="306" spans="1:11" x14ac:dyDescent="0.25">
      <c r="A306" t="str">
        <f t="shared" si="16"/>
        <v>32018</v>
      </c>
      <c r="B306" s="1">
        <v>43182</v>
      </c>
      <c r="C306" t="s">
        <v>209</v>
      </c>
      <c r="D306">
        <v>9968.7999999999993</v>
      </c>
      <c r="E306">
        <v>10027.700000000001</v>
      </c>
      <c r="F306">
        <v>9951.9</v>
      </c>
      <c r="G306">
        <v>9998.0499999999993</v>
      </c>
      <c r="H306">
        <v>0</v>
      </c>
      <c r="I306" s="8">
        <f t="shared" si="17"/>
        <v>-1.1537605971477349E-2</v>
      </c>
      <c r="J306" s="8">
        <f t="shared" si="18"/>
        <v>-1.1604680566535094E-2</v>
      </c>
      <c r="K306" s="8">
        <f t="shared" si="15"/>
        <v>-4.7169541599161424E-2</v>
      </c>
    </row>
    <row r="307" spans="1:11" x14ac:dyDescent="0.25">
      <c r="A307" t="str">
        <f t="shared" si="16"/>
        <v>32018</v>
      </c>
      <c r="B307" s="1">
        <v>43185</v>
      </c>
      <c r="C307" t="s">
        <v>210</v>
      </c>
      <c r="D307">
        <v>9989.15</v>
      </c>
      <c r="E307">
        <v>10143.5</v>
      </c>
      <c r="F307">
        <v>9958.5499999999993</v>
      </c>
      <c r="G307">
        <v>10130.65</v>
      </c>
      <c r="H307">
        <v>0</v>
      </c>
      <c r="I307" s="8">
        <f t="shared" si="17"/>
        <v>1.3262586204309867E-2</v>
      </c>
      <c r="J307" s="8">
        <f t="shared" si="18"/>
        <v>1.317540806700627E-2</v>
      </c>
      <c r="K307" s="8">
        <f t="shared" si="15"/>
        <v>-3.8062004462802057E-2</v>
      </c>
    </row>
    <row r="308" spans="1:11" x14ac:dyDescent="0.25">
      <c r="A308" t="str">
        <f t="shared" si="16"/>
        <v>32018</v>
      </c>
      <c r="B308" s="1">
        <v>43186</v>
      </c>
      <c r="C308" t="s">
        <v>211</v>
      </c>
      <c r="D308">
        <v>10188</v>
      </c>
      <c r="E308">
        <v>10207.9</v>
      </c>
      <c r="F308">
        <v>10139.65</v>
      </c>
      <c r="G308">
        <v>10184.15</v>
      </c>
      <c r="H308">
        <v>0</v>
      </c>
      <c r="I308" s="8">
        <f t="shared" si="17"/>
        <v>5.2810036868315979E-3</v>
      </c>
      <c r="J308" s="8">
        <f t="shared" si="18"/>
        <v>5.2671080872007661E-3</v>
      </c>
      <c r="K308" s="8">
        <f t="shared" si="15"/>
        <v>-2.9225746490956328E-2</v>
      </c>
    </row>
    <row r="309" spans="1:11" x14ac:dyDescent="0.25">
      <c r="A309" t="str">
        <f t="shared" si="16"/>
        <v>32018</v>
      </c>
      <c r="B309" s="1">
        <v>43187</v>
      </c>
      <c r="C309" t="s">
        <v>212</v>
      </c>
      <c r="D309">
        <v>10143.6</v>
      </c>
      <c r="E309">
        <v>10158.35</v>
      </c>
      <c r="F309">
        <v>10096.9</v>
      </c>
      <c r="G309">
        <v>10113.700000000001</v>
      </c>
      <c r="H309">
        <v>0</v>
      </c>
      <c r="I309" s="8">
        <f t="shared" si="17"/>
        <v>-6.9176121718551586E-3</v>
      </c>
      <c r="J309" s="8">
        <f t="shared" si="18"/>
        <v>-6.9416497702654151E-3</v>
      </c>
      <c r="K309" s="8">
        <f t="shared" si="15"/>
        <v>-3.4758873438379689E-2</v>
      </c>
    </row>
    <row r="310" spans="1:11" x14ac:dyDescent="0.25">
      <c r="A310" t="str">
        <f t="shared" si="16"/>
        <v>42018</v>
      </c>
      <c r="B310" s="1">
        <v>43192</v>
      </c>
      <c r="C310" s="10">
        <v>43135.645833333336</v>
      </c>
      <c r="D310">
        <v>10151.65</v>
      </c>
      <c r="E310">
        <v>10220.1</v>
      </c>
      <c r="F310">
        <v>10127.75</v>
      </c>
      <c r="G310">
        <v>10211.799999999999</v>
      </c>
      <c r="H310">
        <v>0</v>
      </c>
      <c r="I310" s="8">
        <f t="shared" si="17"/>
        <v>9.6997142489887445E-3</v>
      </c>
      <c r="J310" s="8">
        <f t="shared" si="18"/>
        <v>9.6529740222437918E-3</v>
      </c>
      <c r="K310" s="8">
        <f t="shared" si="15"/>
        <v>-3.0282887177490725E-2</v>
      </c>
    </row>
    <row r="311" spans="1:11" x14ac:dyDescent="0.25">
      <c r="A311" t="str">
        <f t="shared" si="16"/>
        <v>42018</v>
      </c>
      <c r="B311" s="1">
        <v>43193</v>
      </c>
      <c r="C311" s="10">
        <v>43163.645833333336</v>
      </c>
      <c r="D311">
        <v>10186.85</v>
      </c>
      <c r="E311">
        <v>10255.35</v>
      </c>
      <c r="F311">
        <v>10171.049999999999</v>
      </c>
      <c r="G311">
        <v>10245</v>
      </c>
      <c r="H311">
        <v>0</v>
      </c>
      <c r="I311" s="8">
        <f t="shared" si="17"/>
        <v>3.2511408370710093E-3</v>
      </c>
      <c r="J311" s="8">
        <f t="shared" si="18"/>
        <v>3.2458673056040936E-3</v>
      </c>
      <c r="K311" s="8">
        <f t="shared" si="15"/>
        <v>-1.8259698817982728E-2</v>
      </c>
    </row>
    <row r="312" spans="1:11" x14ac:dyDescent="0.25">
      <c r="A312" t="str">
        <f t="shared" si="16"/>
        <v>42018</v>
      </c>
      <c r="B312" s="1">
        <v>43194</v>
      </c>
      <c r="C312" s="10">
        <v>43194.645833333336</v>
      </c>
      <c r="D312">
        <v>10274.6</v>
      </c>
      <c r="E312">
        <v>10279.85</v>
      </c>
      <c r="F312">
        <v>10111.299999999999</v>
      </c>
      <c r="G312">
        <v>10128.4</v>
      </c>
      <c r="H312">
        <v>0</v>
      </c>
      <c r="I312" s="8">
        <f t="shared" si="17"/>
        <v>-1.1381161542215801E-2</v>
      </c>
      <c r="J312" s="8">
        <f t="shared" si="18"/>
        <v>-1.1446422598154777E-2</v>
      </c>
      <c r="K312" s="8">
        <f t="shared" si="15"/>
        <v>-3.005113864894382E-2</v>
      </c>
    </row>
    <row r="313" spans="1:11" x14ac:dyDescent="0.25">
      <c r="A313" t="str">
        <f t="shared" si="16"/>
        <v>42018</v>
      </c>
      <c r="B313" s="1">
        <v>43195</v>
      </c>
      <c r="C313" s="10">
        <v>43224.645833333336</v>
      </c>
      <c r="D313">
        <v>10228.450000000001</v>
      </c>
      <c r="E313">
        <v>10331.799999999999</v>
      </c>
      <c r="F313">
        <v>10227.450000000001</v>
      </c>
      <c r="G313">
        <v>10325.15</v>
      </c>
      <c r="H313">
        <v>0</v>
      </c>
      <c r="I313" s="8">
        <f t="shared" si="17"/>
        <v>1.9425575609178125E-2</v>
      </c>
      <c r="J313" s="8">
        <f t="shared" si="18"/>
        <v>1.9239307493896241E-2</v>
      </c>
      <c r="K313" s="8">
        <f t="shared" si="15"/>
        <v>-1.1304006434809333E-2</v>
      </c>
    </row>
    <row r="314" spans="1:11" x14ac:dyDescent="0.25">
      <c r="A314" t="str">
        <f t="shared" si="16"/>
        <v>42018</v>
      </c>
      <c r="B314" s="1">
        <v>43196</v>
      </c>
      <c r="C314" s="10">
        <v>43255.645833333336</v>
      </c>
      <c r="D314">
        <v>10322.75</v>
      </c>
      <c r="E314">
        <v>10350.450000000001</v>
      </c>
      <c r="F314">
        <v>10290.85</v>
      </c>
      <c r="G314">
        <v>10331.6</v>
      </c>
      <c r="H314">
        <v>0</v>
      </c>
      <c r="I314" s="8">
        <f t="shared" si="17"/>
        <v>6.2468826118755594E-4</v>
      </c>
      <c r="J314" s="8">
        <f t="shared" si="18"/>
        <v>6.2449322469616732E-4</v>
      </c>
      <c r="K314" s="8">
        <f t="shared" si="15"/>
        <v>-1.648770086055884E-2</v>
      </c>
    </row>
    <row r="315" spans="1:11" x14ac:dyDescent="0.25">
      <c r="A315" t="str">
        <f t="shared" si="16"/>
        <v>42018</v>
      </c>
      <c r="B315" s="1">
        <v>43199</v>
      </c>
      <c r="C315" s="10">
        <v>43347.645833333336</v>
      </c>
      <c r="D315">
        <v>10333.700000000001</v>
      </c>
      <c r="E315">
        <v>10397.700000000001</v>
      </c>
      <c r="F315">
        <v>10328.5</v>
      </c>
      <c r="G315">
        <v>10379.35</v>
      </c>
      <c r="H315">
        <v>0</v>
      </c>
      <c r="I315" s="8">
        <f t="shared" si="17"/>
        <v>4.6217430020518702E-3</v>
      </c>
      <c r="J315" s="8">
        <f t="shared" si="18"/>
        <v>4.6110955418090394E-3</v>
      </c>
      <c r="K315" s="8">
        <f t="shared" si="15"/>
        <v>-1.6999957381722441E-2</v>
      </c>
    </row>
    <row r="316" spans="1:11" x14ac:dyDescent="0.25">
      <c r="A316" t="str">
        <f t="shared" si="16"/>
        <v>42018</v>
      </c>
      <c r="B316" s="1">
        <v>43200</v>
      </c>
      <c r="C316" s="10">
        <v>43377.645833333336</v>
      </c>
      <c r="D316">
        <v>10412.9</v>
      </c>
      <c r="E316">
        <v>10424.85</v>
      </c>
      <c r="F316">
        <v>10381.5</v>
      </c>
      <c r="G316">
        <v>10402.25</v>
      </c>
      <c r="H316">
        <v>0</v>
      </c>
      <c r="I316" s="8">
        <f t="shared" si="17"/>
        <v>2.206303862958725E-3</v>
      </c>
      <c r="J316" s="8">
        <f t="shared" si="18"/>
        <v>2.2038735486090344E-3</v>
      </c>
      <c r="K316" s="8">
        <f t="shared" si="15"/>
        <v>-2.0835686584585345E-2</v>
      </c>
    </row>
    <row r="317" spans="1:11" x14ac:dyDescent="0.25">
      <c r="A317" t="str">
        <f t="shared" si="16"/>
        <v>42018</v>
      </c>
      <c r="B317" s="1">
        <v>43201</v>
      </c>
      <c r="C317" s="10">
        <v>43408.645833333336</v>
      </c>
      <c r="D317">
        <v>10428.15</v>
      </c>
      <c r="E317">
        <v>10428.15</v>
      </c>
      <c r="F317">
        <v>10355.6</v>
      </c>
      <c r="G317">
        <v>10417.15</v>
      </c>
      <c r="H317">
        <v>0</v>
      </c>
      <c r="I317" s="8">
        <f t="shared" si="17"/>
        <v>1.4323824172655097E-3</v>
      </c>
      <c r="J317" s="8">
        <f t="shared" si="18"/>
        <v>1.4313575361352732E-3</v>
      </c>
      <c r="K317" s="8">
        <f t="shared" si="15"/>
        <v>-2.0668421547428872E-2</v>
      </c>
    </row>
    <row r="318" spans="1:11" x14ac:dyDescent="0.25">
      <c r="A318" t="str">
        <f t="shared" si="16"/>
        <v>42018</v>
      </c>
      <c r="B318" s="1">
        <v>43202</v>
      </c>
      <c r="C318" s="10">
        <v>43438.645833333336</v>
      </c>
      <c r="D318">
        <v>10410.65</v>
      </c>
      <c r="E318">
        <v>10469.9</v>
      </c>
      <c r="F318">
        <v>10395.25</v>
      </c>
      <c r="G318">
        <v>10458.65</v>
      </c>
      <c r="H318">
        <v>0</v>
      </c>
      <c r="I318" s="8">
        <f t="shared" si="17"/>
        <v>3.9838151509770103E-3</v>
      </c>
      <c r="J318" s="8">
        <f t="shared" si="18"/>
        <v>3.9759007720501531E-3</v>
      </c>
      <c r="K318" s="8">
        <f t="shared" si="15"/>
        <v>-1.6323056375914802E-2</v>
      </c>
    </row>
    <row r="319" spans="1:11" x14ac:dyDescent="0.25">
      <c r="A319" t="str">
        <f t="shared" si="16"/>
        <v>42018</v>
      </c>
      <c r="B319" s="1">
        <v>43203</v>
      </c>
      <c r="C319" t="s">
        <v>213</v>
      </c>
      <c r="D319">
        <v>10495.3</v>
      </c>
      <c r="E319">
        <v>10519.9</v>
      </c>
      <c r="F319">
        <v>10451.450000000001</v>
      </c>
      <c r="G319">
        <v>10480.6</v>
      </c>
      <c r="H319">
        <v>0</v>
      </c>
      <c r="I319" s="8">
        <f t="shared" si="17"/>
        <v>2.0987412333333122E-3</v>
      </c>
      <c r="J319" s="8">
        <f t="shared" si="18"/>
        <v>2.0965419525609827E-3</v>
      </c>
      <c r="K319" s="8">
        <f t="shared" si="15"/>
        <v>-1.6016974613189183E-2</v>
      </c>
    </row>
    <row r="320" spans="1:11" x14ac:dyDescent="0.25">
      <c r="A320" t="str">
        <f t="shared" si="16"/>
        <v>42018</v>
      </c>
      <c r="B320" s="1">
        <v>43206</v>
      </c>
      <c r="C320" t="s">
        <v>214</v>
      </c>
      <c r="D320">
        <v>10398.299999999999</v>
      </c>
      <c r="E320">
        <v>10540.15</v>
      </c>
      <c r="F320">
        <v>10396.35</v>
      </c>
      <c r="G320">
        <v>10528.35</v>
      </c>
      <c r="H320">
        <v>0</v>
      </c>
      <c r="I320" s="8">
        <f t="shared" si="17"/>
        <v>4.5560368681183405E-3</v>
      </c>
      <c r="J320" s="8">
        <f t="shared" si="18"/>
        <v>4.5456895487553045E-3</v>
      </c>
      <c r="K320" s="8">
        <f t="shared" ref="K320:K383" si="19">+G320/G259-1</f>
        <v>-1.4314803978935031E-2</v>
      </c>
    </row>
    <row r="321" spans="1:11" x14ac:dyDescent="0.25">
      <c r="A321" t="str">
        <f t="shared" si="16"/>
        <v>42018</v>
      </c>
      <c r="B321" s="1">
        <v>43207</v>
      </c>
      <c r="C321" t="s">
        <v>215</v>
      </c>
      <c r="D321">
        <v>10557.3</v>
      </c>
      <c r="E321">
        <v>10560.45</v>
      </c>
      <c r="F321">
        <v>10495.65</v>
      </c>
      <c r="G321">
        <v>10548.7</v>
      </c>
      <c r="H321">
        <v>0</v>
      </c>
      <c r="I321" s="8">
        <f t="shared" si="17"/>
        <v>1.9328764716219915E-3</v>
      </c>
      <c r="J321" s="8">
        <f t="shared" si="18"/>
        <v>1.9310108694935376E-3</v>
      </c>
      <c r="K321" s="8">
        <f t="shared" si="19"/>
        <v>-1.7953647285540608E-2</v>
      </c>
    </row>
    <row r="322" spans="1:11" x14ac:dyDescent="0.25">
      <c r="A322" t="str">
        <f t="shared" si="16"/>
        <v>42018</v>
      </c>
      <c r="B322" s="1">
        <v>43208</v>
      </c>
      <c r="C322" t="s">
        <v>216</v>
      </c>
      <c r="D322">
        <v>10578.9</v>
      </c>
      <c r="E322">
        <v>10594.2</v>
      </c>
      <c r="F322">
        <v>10509.7</v>
      </c>
      <c r="G322">
        <v>10526.2</v>
      </c>
      <c r="H322">
        <v>0</v>
      </c>
      <c r="I322" s="8">
        <f t="shared" si="17"/>
        <v>-2.1329642515190983E-3</v>
      </c>
      <c r="J322" s="8">
        <f t="shared" si="18"/>
        <v>-2.1352422596178809E-3</v>
      </c>
      <c r="K322" s="8">
        <f t="shared" si="19"/>
        <v>-1.6284361872631492E-2</v>
      </c>
    </row>
    <row r="323" spans="1:11" x14ac:dyDescent="0.25">
      <c r="A323" t="str">
        <f t="shared" ref="A323:A386" si="20">+MONTH(B323)&amp;YEAR(B323)</f>
        <v>42018</v>
      </c>
      <c r="B323" s="1">
        <v>43209</v>
      </c>
      <c r="C323" t="s">
        <v>217</v>
      </c>
      <c r="D323">
        <v>10563.65</v>
      </c>
      <c r="E323">
        <v>10572.2</v>
      </c>
      <c r="F323">
        <v>10546.2</v>
      </c>
      <c r="G323">
        <v>10565.3</v>
      </c>
      <c r="H323">
        <v>0</v>
      </c>
      <c r="I323" s="8">
        <f t="shared" si="17"/>
        <v>3.7145408599492669E-3</v>
      </c>
      <c r="J323" s="8">
        <f t="shared" si="18"/>
        <v>3.7076589897762787E-3</v>
      </c>
      <c r="K323" s="8">
        <f t="shared" si="19"/>
        <v>-2.0693234957431694E-2</v>
      </c>
    </row>
    <row r="324" spans="1:11" x14ac:dyDescent="0.25">
      <c r="A324" t="str">
        <f t="shared" si="20"/>
        <v>42018</v>
      </c>
      <c r="B324" s="1">
        <v>43210</v>
      </c>
      <c r="C324" t="s">
        <v>218</v>
      </c>
      <c r="D324">
        <v>10560.35</v>
      </c>
      <c r="E324">
        <v>10582.35</v>
      </c>
      <c r="F324">
        <v>10527.45</v>
      </c>
      <c r="G324">
        <v>10564.05</v>
      </c>
      <c r="H324">
        <v>0</v>
      </c>
      <c r="I324" s="8">
        <f t="shared" ref="I324:I387" si="21">+G324/G323-1</f>
        <v>-1.1831183212973606E-4</v>
      </c>
      <c r="J324" s="8">
        <f t="shared" ref="J324:J387" si="22">+LN(1+I324)</f>
        <v>-1.1831883152662677E-4</v>
      </c>
      <c r="K324" s="8">
        <f t="shared" si="19"/>
        <v>-2.3384487380974428E-2</v>
      </c>
    </row>
    <row r="325" spans="1:11" x14ac:dyDescent="0.25">
      <c r="A325" t="str">
        <f t="shared" si="20"/>
        <v>42018</v>
      </c>
      <c r="B325" s="1">
        <v>43213</v>
      </c>
      <c r="C325" t="s">
        <v>219</v>
      </c>
      <c r="D325">
        <v>10592.8</v>
      </c>
      <c r="E325">
        <v>10638.35</v>
      </c>
      <c r="F325">
        <v>10514.95</v>
      </c>
      <c r="G325">
        <v>10584.7</v>
      </c>
      <c r="H325">
        <v>0</v>
      </c>
      <c r="I325" s="8">
        <f t="shared" si="21"/>
        <v>1.9547427359773994E-3</v>
      </c>
      <c r="J325" s="8">
        <f t="shared" si="22"/>
        <v>1.9528347124542745E-3</v>
      </c>
      <c r="K325" s="8">
        <f t="shared" si="19"/>
        <v>-2.8454202502134041E-2</v>
      </c>
    </row>
    <row r="326" spans="1:11" x14ac:dyDescent="0.25">
      <c r="A326" t="str">
        <f t="shared" si="20"/>
        <v>42018</v>
      </c>
      <c r="B326" s="1">
        <v>43214</v>
      </c>
      <c r="C326" t="s">
        <v>220</v>
      </c>
      <c r="D326">
        <v>10578.1</v>
      </c>
      <c r="E326">
        <v>10636.8</v>
      </c>
      <c r="F326">
        <v>10569</v>
      </c>
      <c r="G326">
        <v>10614.35</v>
      </c>
      <c r="H326">
        <v>0</v>
      </c>
      <c r="I326" s="8">
        <f t="shared" si="21"/>
        <v>2.8012130716978945E-3</v>
      </c>
      <c r="J326" s="8">
        <f t="shared" si="22"/>
        <v>2.7972969858506736E-3</v>
      </c>
      <c r="K326" s="8">
        <f t="shared" si="19"/>
        <v>-3.2084951943243789E-2</v>
      </c>
    </row>
    <row r="327" spans="1:11" x14ac:dyDescent="0.25">
      <c r="A327" t="str">
        <f t="shared" si="20"/>
        <v>42018</v>
      </c>
      <c r="B327" s="1">
        <v>43215</v>
      </c>
      <c r="C327" t="s">
        <v>221</v>
      </c>
      <c r="D327">
        <v>10612.4</v>
      </c>
      <c r="E327">
        <v>10612.6</v>
      </c>
      <c r="F327">
        <v>10536.45</v>
      </c>
      <c r="G327">
        <v>10570.55</v>
      </c>
      <c r="H327">
        <v>0</v>
      </c>
      <c r="I327" s="8">
        <f t="shared" si="21"/>
        <v>-4.1264891397024828E-3</v>
      </c>
      <c r="J327" s="8">
        <f t="shared" si="22"/>
        <v>-4.1350265905722629E-3</v>
      </c>
      <c r="K327" s="8">
        <f t="shared" si="19"/>
        <v>-4.6297716466523031E-2</v>
      </c>
    </row>
    <row r="328" spans="1:11" x14ac:dyDescent="0.25">
      <c r="A328" t="str">
        <f t="shared" si="20"/>
        <v>42018</v>
      </c>
      <c r="B328" s="1">
        <v>43216</v>
      </c>
      <c r="C328" t="s">
        <v>222</v>
      </c>
      <c r="D328">
        <v>10586.5</v>
      </c>
      <c r="E328">
        <v>10628.4</v>
      </c>
      <c r="F328">
        <v>10559.65</v>
      </c>
      <c r="G328">
        <v>10617.8</v>
      </c>
      <c r="H328">
        <v>0</v>
      </c>
      <c r="I328" s="8">
        <f t="shared" si="21"/>
        <v>4.4699660850191503E-3</v>
      </c>
      <c r="J328" s="8">
        <f t="shared" si="22"/>
        <v>4.4600054580314101E-3</v>
      </c>
      <c r="K328" s="8">
        <f t="shared" si="19"/>
        <v>-4.2233447591557005E-2</v>
      </c>
    </row>
    <row r="329" spans="1:11" x14ac:dyDescent="0.25">
      <c r="A329" t="str">
        <f t="shared" si="20"/>
        <v>42018</v>
      </c>
      <c r="B329" s="1">
        <v>43217</v>
      </c>
      <c r="C329" t="s">
        <v>223</v>
      </c>
      <c r="D329">
        <v>10651.65</v>
      </c>
      <c r="E329">
        <v>10719.8</v>
      </c>
      <c r="F329">
        <v>10647.55</v>
      </c>
      <c r="G329">
        <v>10692.3</v>
      </c>
      <c r="H329">
        <v>0</v>
      </c>
      <c r="I329" s="8">
        <f t="shared" si="21"/>
        <v>7.0165194296369915E-3</v>
      </c>
      <c r="J329" s="8">
        <f t="shared" si="22"/>
        <v>6.9920181993261129E-3</v>
      </c>
      <c r="K329" s="8">
        <f t="shared" si="19"/>
        <v>-3.4088701991481285E-2</v>
      </c>
    </row>
    <row r="330" spans="1:11" x14ac:dyDescent="0.25">
      <c r="A330" t="str">
        <f t="shared" si="20"/>
        <v>42018</v>
      </c>
      <c r="B330" s="1">
        <v>43220</v>
      </c>
      <c r="C330" t="s">
        <v>224</v>
      </c>
      <c r="D330">
        <v>10705.75</v>
      </c>
      <c r="E330">
        <v>10759</v>
      </c>
      <c r="F330">
        <v>10704.6</v>
      </c>
      <c r="G330">
        <v>10739.35</v>
      </c>
      <c r="H330">
        <v>0</v>
      </c>
      <c r="I330" s="8">
        <f t="shared" si="21"/>
        <v>4.4003628779589743E-3</v>
      </c>
      <c r="J330" s="8">
        <f t="shared" si="22"/>
        <v>4.3907095895181257E-3</v>
      </c>
      <c r="K330" s="8">
        <f t="shared" si="19"/>
        <v>-3.5133508229713173E-2</v>
      </c>
    </row>
    <row r="331" spans="1:11" x14ac:dyDescent="0.25">
      <c r="A331" t="str">
        <f t="shared" si="20"/>
        <v>52018</v>
      </c>
      <c r="B331" s="1">
        <v>43222</v>
      </c>
      <c r="C331" s="10">
        <v>43136.645833333336</v>
      </c>
      <c r="D331">
        <v>10783.85</v>
      </c>
      <c r="E331">
        <v>10784.65</v>
      </c>
      <c r="F331">
        <v>10689.8</v>
      </c>
      <c r="G331">
        <v>10718.05</v>
      </c>
      <c r="H331">
        <v>0</v>
      </c>
      <c r="I331" s="8">
        <f t="shared" si="21"/>
        <v>-1.9833602592336241E-3</v>
      </c>
      <c r="J331" s="8">
        <f t="shared" si="22"/>
        <v>-1.9853297227271902E-3</v>
      </c>
      <c r="K331" s="8">
        <f t="shared" si="19"/>
        <v>-3.0010000316752161E-2</v>
      </c>
    </row>
    <row r="332" spans="1:11" x14ac:dyDescent="0.25">
      <c r="A332" t="str">
        <f t="shared" si="20"/>
        <v>52018</v>
      </c>
      <c r="B332" s="1">
        <v>43223</v>
      </c>
      <c r="C332" s="10">
        <v>43164.645833333336</v>
      </c>
      <c r="D332">
        <v>10720.15</v>
      </c>
      <c r="E332">
        <v>10720.6</v>
      </c>
      <c r="F332">
        <v>10647.45</v>
      </c>
      <c r="G332">
        <v>10679.65</v>
      </c>
      <c r="H332">
        <v>0</v>
      </c>
      <c r="I332" s="8">
        <f t="shared" si="21"/>
        <v>-3.5827412635693889E-3</v>
      </c>
      <c r="J332" s="8">
        <f t="shared" si="22"/>
        <v>-3.5891746517569662E-3</v>
      </c>
      <c r="K332" s="8">
        <f t="shared" si="19"/>
        <v>-3.1561431667528228E-2</v>
      </c>
    </row>
    <row r="333" spans="1:11" x14ac:dyDescent="0.25">
      <c r="A333" t="str">
        <f t="shared" si="20"/>
        <v>52018</v>
      </c>
      <c r="B333" s="1">
        <v>43224</v>
      </c>
      <c r="C333" s="10">
        <v>43195.645833333336</v>
      </c>
      <c r="D333">
        <v>10700.45</v>
      </c>
      <c r="E333">
        <v>10700.45</v>
      </c>
      <c r="F333">
        <v>10601.6</v>
      </c>
      <c r="G333">
        <v>10618.25</v>
      </c>
      <c r="H333">
        <v>0</v>
      </c>
      <c r="I333" s="8">
        <f t="shared" si="21"/>
        <v>-5.7492520822310933E-3</v>
      </c>
      <c r="J333" s="8">
        <f t="shared" si="22"/>
        <v>-5.7658426514528623E-3</v>
      </c>
      <c r="K333" s="8">
        <f t="shared" si="19"/>
        <v>-3.6185315288329689E-2</v>
      </c>
    </row>
    <row r="334" spans="1:11" x14ac:dyDescent="0.25">
      <c r="A334" t="str">
        <f t="shared" si="20"/>
        <v>52018</v>
      </c>
      <c r="B334" s="1">
        <v>43227</v>
      </c>
      <c r="C334" s="10">
        <v>43286.645833333336</v>
      </c>
      <c r="D334">
        <v>10653.15</v>
      </c>
      <c r="E334">
        <v>10725.65</v>
      </c>
      <c r="F334">
        <v>10635.65</v>
      </c>
      <c r="G334">
        <v>10715.5</v>
      </c>
      <c r="H334">
        <v>0</v>
      </c>
      <c r="I334" s="8">
        <f t="shared" si="21"/>
        <v>9.1587596826219198E-3</v>
      </c>
      <c r="J334" s="8">
        <f t="shared" si="22"/>
        <v>9.1170725845766357E-3</v>
      </c>
      <c r="K334" s="8">
        <f t="shared" si="19"/>
        <v>-4.1912161031912865E-3</v>
      </c>
    </row>
    <row r="335" spans="1:11" x14ac:dyDescent="0.25">
      <c r="A335" t="str">
        <f t="shared" si="20"/>
        <v>52018</v>
      </c>
      <c r="B335" s="1">
        <v>43228</v>
      </c>
      <c r="C335" s="10">
        <v>43317.645833333336</v>
      </c>
      <c r="D335">
        <v>10757.9</v>
      </c>
      <c r="E335">
        <v>10758.55</v>
      </c>
      <c r="F335">
        <v>10689.4</v>
      </c>
      <c r="G335">
        <v>10717.8</v>
      </c>
      <c r="H335">
        <v>0</v>
      </c>
      <c r="I335" s="8">
        <f t="shared" si="21"/>
        <v>2.1464234053469866E-4</v>
      </c>
      <c r="J335" s="8">
        <f t="shared" si="22"/>
        <v>2.1461930816327936E-4</v>
      </c>
      <c r="K335" s="8">
        <f t="shared" si="19"/>
        <v>4.8047400518442807E-3</v>
      </c>
    </row>
    <row r="336" spans="1:11" x14ac:dyDescent="0.25">
      <c r="A336" t="str">
        <f t="shared" si="20"/>
        <v>52018</v>
      </c>
      <c r="B336" s="1">
        <v>43229</v>
      </c>
      <c r="C336" s="10">
        <v>43348.645833333336</v>
      </c>
      <c r="D336">
        <v>10693.35</v>
      </c>
      <c r="E336">
        <v>10766.25</v>
      </c>
      <c r="F336">
        <v>10689.85</v>
      </c>
      <c r="G336">
        <v>10741.7</v>
      </c>
      <c r="H336">
        <v>0</v>
      </c>
      <c r="I336" s="8">
        <f t="shared" si="21"/>
        <v>2.2299352479053791E-3</v>
      </c>
      <c r="J336" s="8">
        <f t="shared" si="22"/>
        <v>2.2274526323300824E-3</v>
      </c>
      <c r="K336" s="8">
        <f t="shared" si="19"/>
        <v>2.3189579215583622E-2</v>
      </c>
    </row>
    <row r="337" spans="1:11" x14ac:dyDescent="0.25">
      <c r="A337" t="str">
        <f t="shared" si="20"/>
        <v>52018</v>
      </c>
      <c r="B337" s="1">
        <v>43230</v>
      </c>
      <c r="C337" s="10">
        <v>43378.645833333336</v>
      </c>
      <c r="D337">
        <v>10779.65</v>
      </c>
      <c r="E337">
        <v>10785.55</v>
      </c>
      <c r="F337">
        <v>10705</v>
      </c>
      <c r="G337">
        <v>10716.55</v>
      </c>
      <c r="H337">
        <v>0</v>
      </c>
      <c r="I337" s="8">
        <f t="shared" si="21"/>
        <v>-2.3413426180214358E-3</v>
      </c>
      <c r="J337" s="8">
        <f t="shared" si="22"/>
        <v>-2.3440878464996416E-3</v>
      </c>
      <c r="K337" s="8">
        <f t="shared" si="19"/>
        <v>2.2893659262935628E-2</v>
      </c>
    </row>
    <row r="338" spans="1:11" x14ac:dyDescent="0.25">
      <c r="A338" t="str">
        <f t="shared" si="20"/>
        <v>52018</v>
      </c>
      <c r="B338" s="1">
        <v>43231</v>
      </c>
      <c r="C338" s="10">
        <v>43409.645833333336</v>
      </c>
      <c r="D338">
        <v>10741.95</v>
      </c>
      <c r="E338">
        <v>10812.05</v>
      </c>
      <c r="F338">
        <v>10724.45</v>
      </c>
      <c r="G338">
        <v>10806.5</v>
      </c>
      <c r="H338">
        <v>0</v>
      </c>
      <c r="I338" s="8">
        <f t="shared" si="21"/>
        <v>8.3935594944268832E-3</v>
      </c>
      <c r="J338" s="8">
        <f t="shared" si="22"/>
        <v>8.3585294552487952E-3</v>
      </c>
      <c r="K338" s="8">
        <f t="shared" si="19"/>
        <v>2.171251365009419E-2</v>
      </c>
    </row>
    <row r="339" spans="1:11" x14ac:dyDescent="0.25">
      <c r="A339" t="str">
        <f t="shared" si="20"/>
        <v>52018</v>
      </c>
      <c r="B339" s="1">
        <v>43234</v>
      </c>
      <c r="C339" t="s">
        <v>225</v>
      </c>
      <c r="D339">
        <v>10815.15</v>
      </c>
      <c r="E339">
        <v>10834.85</v>
      </c>
      <c r="F339">
        <v>10774.75</v>
      </c>
      <c r="G339">
        <v>10806.6</v>
      </c>
      <c r="H339">
        <v>0</v>
      </c>
      <c r="I339" s="8">
        <f t="shared" si="21"/>
        <v>9.2536899087836133E-6</v>
      </c>
      <c r="J339" s="8">
        <f t="shared" si="22"/>
        <v>9.2536470936592816E-6</v>
      </c>
      <c r="K339" s="8">
        <f t="shared" si="19"/>
        <v>3.3634785436563508E-2</v>
      </c>
    </row>
    <row r="340" spans="1:11" x14ac:dyDescent="0.25">
      <c r="A340" t="str">
        <f t="shared" si="20"/>
        <v>52018</v>
      </c>
      <c r="B340" s="1">
        <v>43235</v>
      </c>
      <c r="C340" t="s">
        <v>226</v>
      </c>
      <c r="D340">
        <v>10812.6</v>
      </c>
      <c r="E340">
        <v>10929.2</v>
      </c>
      <c r="F340">
        <v>10781.4</v>
      </c>
      <c r="G340">
        <v>10801.85</v>
      </c>
      <c r="H340">
        <v>0</v>
      </c>
      <c r="I340" s="8">
        <f t="shared" si="21"/>
        <v>-4.3954620324615501E-4</v>
      </c>
      <c r="J340" s="8">
        <f t="shared" si="22"/>
        <v>-4.3964283199478618E-4</v>
      </c>
      <c r="K340" s="8">
        <f t="shared" si="19"/>
        <v>2.4867762518086423E-2</v>
      </c>
    </row>
    <row r="341" spans="1:11" x14ac:dyDescent="0.25">
      <c r="A341" t="str">
        <f t="shared" si="20"/>
        <v>52018</v>
      </c>
      <c r="B341" s="1">
        <v>43236</v>
      </c>
      <c r="C341" t="s">
        <v>227</v>
      </c>
      <c r="D341">
        <v>10751.95</v>
      </c>
      <c r="E341">
        <v>10790.45</v>
      </c>
      <c r="F341">
        <v>10699.7</v>
      </c>
      <c r="G341">
        <v>10741.1</v>
      </c>
      <c r="H341">
        <v>0</v>
      </c>
      <c r="I341" s="8">
        <f t="shared" si="21"/>
        <v>-5.6240366233561989E-3</v>
      </c>
      <c r="J341" s="8">
        <f t="shared" si="22"/>
        <v>-5.6399110642633577E-3</v>
      </c>
      <c r="K341" s="8">
        <f t="shared" si="19"/>
        <v>2.2874229827919645E-2</v>
      </c>
    </row>
    <row r="342" spans="1:11" x14ac:dyDescent="0.25">
      <c r="A342" t="str">
        <f t="shared" si="20"/>
        <v>52018</v>
      </c>
      <c r="B342" s="1">
        <v>43237</v>
      </c>
      <c r="C342" t="s">
        <v>228</v>
      </c>
      <c r="D342">
        <v>10775.6</v>
      </c>
      <c r="E342">
        <v>10777.25</v>
      </c>
      <c r="F342">
        <v>10664.5</v>
      </c>
      <c r="G342">
        <v>10682.7</v>
      </c>
      <c r="H342">
        <v>0</v>
      </c>
      <c r="I342" s="8">
        <f t="shared" si="21"/>
        <v>-5.4370595190436077E-3</v>
      </c>
      <c r="J342" s="8">
        <f t="shared" si="22"/>
        <v>-5.4518941226662544E-3</v>
      </c>
      <c r="K342" s="8">
        <f t="shared" si="19"/>
        <v>1.3010288748755539E-2</v>
      </c>
    </row>
    <row r="343" spans="1:11" x14ac:dyDescent="0.25">
      <c r="A343" t="str">
        <f t="shared" si="20"/>
        <v>52018</v>
      </c>
      <c r="B343" s="1">
        <v>43238</v>
      </c>
      <c r="C343" t="s">
        <v>229</v>
      </c>
      <c r="D343">
        <v>10671.85</v>
      </c>
      <c r="E343">
        <v>10674.95</v>
      </c>
      <c r="F343">
        <v>10589.1</v>
      </c>
      <c r="G343">
        <v>10596.4</v>
      </c>
      <c r="H343">
        <v>0</v>
      </c>
      <c r="I343" s="8">
        <f t="shared" si="21"/>
        <v>-8.0784820316962547E-3</v>
      </c>
      <c r="J343" s="8">
        <f t="shared" si="22"/>
        <v>-8.1112897783238019E-3</v>
      </c>
      <c r="K343" s="8">
        <f t="shared" si="19"/>
        <v>1.3786439348277391E-2</v>
      </c>
    </row>
    <row r="344" spans="1:11" x14ac:dyDescent="0.25">
      <c r="A344" t="str">
        <f t="shared" si="20"/>
        <v>52018</v>
      </c>
      <c r="B344" s="1">
        <v>43241</v>
      </c>
      <c r="C344" t="s">
        <v>230</v>
      </c>
      <c r="D344">
        <v>10616.7</v>
      </c>
      <c r="E344">
        <v>10621.7</v>
      </c>
      <c r="F344">
        <v>10505.8</v>
      </c>
      <c r="G344">
        <v>10516.7</v>
      </c>
      <c r="H344">
        <v>0</v>
      </c>
      <c r="I344" s="8">
        <f t="shared" si="21"/>
        <v>-7.5214223698613081E-3</v>
      </c>
      <c r="J344" s="8">
        <f t="shared" si="22"/>
        <v>-7.5498509054843163E-3</v>
      </c>
      <c r="K344" s="8">
        <f t="shared" si="19"/>
        <v>1.332575348801357E-2</v>
      </c>
    </row>
    <row r="345" spans="1:11" x14ac:dyDescent="0.25">
      <c r="A345" t="str">
        <f t="shared" si="20"/>
        <v>52018</v>
      </c>
      <c r="B345" s="1">
        <v>43242</v>
      </c>
      <c r="C345" t="s">
        <v>231</v>
      </c>
      <c r="D345">
        <v>10518.45</v>
      </c>
      <c r="E345">
        <v>10558.6</v>
      </c>
      <c r="F345">
        <v>10490.55</v>
      </c>
      <c r="G345">
        <v>10536.7</v>
      </c>
      <c r="H345">
        <v>0</v>
      </c>
      <c r="I345" s="8">
        <f t="shared" si="21"/>
        <v>1.9017372369660723E-3</v>
      </c>
      <c r="J345" s="8">
        <f t="shared" si="22"/>
        <v>1.8999312240523454E-3</v>
      </c>
      <c r="K345" s="8">
        <f t="shared" si="19"/>
        <v>1.7016717501254774E-2</v>
      </c>
    </row>
    <row r="346" spans="1:11" x14ac:dyDescent="0.25">
      <c r="A346" t="str">
        <f t="shared" si="20"/>
        <v>52018</v>
      </c>
      <c r="B346" s="1">
        <v>43243</v>
      </c>
      <c r="C346" t="s">
        <v>232</v>
      </c>
      <c r="D346">
        <v>10521.1</v>
      </c>
      <c r="E346">
        <v>10533.55</v>
      </c>
      <c r="F346">
        <v>10417.799999999999</v>
      </c>
      <c r="G346">
        <v>10430.35</v>
      </c>
      <c r="H346">
        <v>0</v>
      </c>
      <c r="I346" s="8">
        <f t="shared" si="21"/>
        <v>-1.0093292966488643E-2</v>
      </c>
      <c r="J346" s="8">
        <f t="shared" si="22"/>
        <v>-1.0144575613613642E-2</v>
      </c>
      <c r="K346" s="8">
        <f t="shared" si="19"/>
        <v>3.1642373851279437E-3</v>
      </c>
    </row>
    <row r="347" spans="1:11" x14ac:dyDescent="0.25">
      <c r="A347" t="str">
        <f t="shared" si="20"/>
        <v>52018</v>
      </c>
      <c r="B347" s="1">
        <v>43244</v>
      </c>
      <c r="C347" t="s">
        <v>233</v>
      </c>
      <c r="D347">
        <v>10464.85</v>
      </c>
      <c r="E347">
        <v>10535.15</v>
      </c>
      <c r="F347">
        <v>10419.799999999999</v>
      </c>
      <c r="G347">
        <v>10513.85</v>
      </c>
      <c r="H347">
        <v>0</v>
      </c>
      <c r="I347" s="8">
        <f t="shared" si="21"/>
        <v>8.0054839962224733E-3</v>
      </c>
      <c r="J347" s="8">
        <f t="shared" si="22"/>
        <v>7.9736101068204873E-3</v>
      </c>
      <c r="K347" s="8">
        <f t="shared" si="19"/>
        <v>1.2631589085690509E-2</v>
      </c>
    </row>
    <row r="348" spans="1:11" x14ac:dyDescent="0.25">
      <c r="A348" t="str">
        <f t="shared" si="20"/>
        <v>52018</v>
      </c>
      <c r="B348" s="1">
        <v>43245</v>
      </c>
      <c r="C348" t="s">
        <v>234</v>
      </c>
      <c r="D348">
        <v>10533.05</v>
      </c>
      <c r="E348">
        <v>10628.05</v>
      </c>
      <c r="F348">
        <v>10524</v>
      </c>
      <c r="G348">
        <v>10605.15</v>
      </c>
      <c r="H348">
        <v>0</v>
      </c>
      <c r="I348" s="8">
        <f t="shared" si="21"/>
        <v>8.6837837709305976E-3</v>
      </c>
      <c r="J348" s="8">
        <f t="shared" si="22"/>
        <v>8.6462965847299792E-3</v>
      </c>
      <c r="K348" s="8">
        <f t="shared" si="19"/>
        <v>1.0875937108297151E-2</v>
      </c>
    </row>
    <row r="349" spans="1:11" x14ac:dyDescent="0.25">
      <c r="A349" t="str">
        <f t="shared" si="20"/>
        <v>52018</v>
      </c>
      <c r="B349" s="1">
        <v>43248</v>
      </c>
      <c r="C349" t="s">
        <v>235</v>
      </c>
      <c r="D349">
        <v>10648.35</v>
      </c>
      <c r="E349">
        <v>10709.8</v>
      </c>
      <c r="F349">
        <v>10640.55</v>
      </c>
      <c r="G349">
        <v>10688.65</v>
      </c>
      <c r="H349">
        <v>0</v>
      </c>
      <c r="I349" s="8">
        <f t="shared" si="21"/>
        <v>7.8735331419168553E-3</v>
      </c>
      <c r="J349" s="8">
        <f t="shared" si="22"/>
        <v>7.8426986251568815E-3</v>
      </c>
      <c r="K349" s="8">
        <f t="shared" si="19"/>
        <v>1.0021166821007954E-2</v>
      </c>
    </row>
    <row r="350" spans="1:11" x14ac:dyDescent="0.25">
      <c r="A350" t="str">
        <f t="shared" si="20"/>
        <v>52018</v>
      </c>
      <c r="B350" s="1">
        <v>43249</v>
      </c>
      <c r="C350" t="s">
        <v>236</v>
      </c>
      <c r="D350">
        <v>10689.4</v>
      </c>
      <c r="E350">
        <v>10717.25</v>
      </c>
      <c r="F350">
        <v>10616.1</v>
      </c>
      <c r="G350">
        <v>10633.3</v>
      </c>
      <c r="H350">
        <v>0</v>
      </c>
      <c r="I350" s="8">
        <f t="shared" si="21"/>
        <v>-5.1783901615265471E-3</v>
      </c>
      <c r="J350" s="8">
        <f t="shared" si="22"/>
        <v>-5.1918444918060431E-3</v>
      </c>
      <c r="K350" s="8">
        <f t="shared" si="19"/>
        <v>7.4851008593652679E-3</v>
      </c>
    </row>
    <row r="351" spans="1:11" x14ac:dyDescent="0.25">
      <c r="A351" t="str">
        <f t="shared" si="20"/>
        <v>52018</v>
      </c>
      <c r="B351" s="1">
        <v>43250</v>
      </c>
      <c r="C351" t="s">
        <v>237</v>
      </c>
      <c r="D351">
        <v>10579</v>
      </c>
      <c r="E351">
        <v>10648.7</v>
      </c>
      <c r="F351">
        <v>10558.45</v>
      </c>
      <c r="G351">
        <v>10614.35</v>
      </c>
      <c r="H351">
        <v>0</v>
      </c>
      <c r="I351" s="8">
        <f t="shared" si="21"/>
        <v>-1.7821372480790743E-3</v>
      </c>
      <c r="J351" s="8">
        <f t="shared" si="22"/>
        <v>-1.7837271438870593E-3</v>
      </c>
      <c r="K351" s="8">
        <f t="shared" si="19"/>
        <v>1.1579313532548374E-2</v>
      </c>
    </row>
    <row r="352" spans="1:11" x14ac:dyDescent="0.25">
      <c r="A352" t="str">
        <f t="shared" si="20"/>
        <v>52018</v>
      </c>
      <c r="B352" s="1">
        <v>43251</v>
      </c>
      <c r="C352" t="s">
        <v>238</v>
      </c>
      <c r="D352">
        <v>10670.1</v>
      </c>
      <c r="E352">
        <v>10763.8</v>
      </c>
      <c r="F352">
        <v>10620.4</v>
      </c>
      <c r="G352">
        <v>10736.15</v>
      </c>
      <c r="H352">
        <v>0</v>
      </c>
      <c r="I352" s="8">
        <f t="shared" si="21"/>
        <v>1.147503144328188E-2</v>
      </c>
      <c r="J352" s="8">
        <f t="shared" si="22"/>
        <v>1.1409692638126136E-2</v>
      </c>
      <c r="K352" s="8">
        <f t="shared" si="19"/>
        <v>2.6562507470107466E-2</v>
      </c>
    </row>
    <row r="353" spans="1:11" x14ac:dyDescent="0.25">
      <c r="A353" t="str">
        <f t="shared" si="20"/>
        <v>62018</v>
      </c>
      <c r="B353" s="1">
        <v>43252</v>
      </c>
      <c r="C353" s="10">
        <v>43106.645833333336</v>
      </c>
      <c r="D353">
        <v>10738.45</v>
      </c>
      <c r="E353">
        <v>10764.75</v>
      </c>
      <c r="F353">
        <v>10681.5</v>
      </c>
      <c r="G353">
        <v>10696.2</v>
      </c>
      <c r="H353">
        <v>0</v>
      </c>
      <c r="I353" s="8">
        <f t="shared" si="21"/>
        <v>-3.7210731966299537E-3</v>
      </c>
      <c r="J353" s="8">
        <f t="shared" si="22"/>
        <v>-3.7280136120426276E-3</v>
      </c>
      <c r="K353" s="8">
        <f t="shared" si="19"/>
        <v>3.2566356304029931E-2</v>
      </c>
    </row>
    <row r="354" spans="1:11" x14ac:dyDescent="0.25">
      <c r="A354" t="str">
        <f t="shared" si="20"/>
        <v>62018</v>
      </c>
      <c r="B354" s="1">
        <v>43255</v>
      </c>
      <c r="C354" s="10">
        <v>43196.645833333336</v>
      </c>
      <c r="D354">
        <v>10765.95</v>
      </c>
      <c r="E354">
        <v>10770.3</v>
      </c>
      <c r="F354">
        <v>10618.35</v>
      </c>
      <c r="G354">
        <v>10628.5</v>
      </c>
      <c r="H354">
        <v>0</v>
      </c>
      <c r="I354" s="8">
        <f t="shared" si="21"/>
        <v>-6.3293506104972197E-3</v>
      </c>
      <c r="J354" s="8">
        <f t="shared" si="22"/>
        <v>-6.3494658726906857E-3</v>
      </c>
      <c r="K354" s="8">
        <f t="shared" si="19"/>
        <v>3.7002707515183975E-2</v>
      </c>
    </row>
    <row r="355" spans="1:11" x14ac:dyDescent="0.25">
      <c r="A355" t="str">
        <f t="shared" si="20"/>
        <v>62018</v>
      </c>
      <c r="B355" s="1">
        <v>43256</v>
      </c>
      <c r="C355" s="10">
        <v>43226.645833333336</v>
      </c>
      <c r="D355">
        <v>10630.7</v>
      </c>
      <c r="E355">
        <v>10633.15</v>
      </c>
      <c r="F355">
        <v>10550.9</v>
      </c>
      <c r="G355">
        <v>10593.15</v>
      </c>
      <c r="H355">
        <v>0</v>
      </c>
      <c r="I355" s="8">
        <f t="shared" si="21"/>
        <v>-3.3259632121184213E-3</v>
      </c>
      <c r="J355" s="8">
        <f t="shared" si="22"/>
        <v>-3.3315065224060682E-3</v>
      </c>
      <c r="K355" s="8">
        <f t="shared" si="19"/>
        <v>4.322841779756148E-2</v>
      </c>
    </row>
    <row r="356" spans="1:11" x14ac:dyDescent="0.25">
      <c r="A356" t="str">
        <f t="shared" si="20"/>
        <v>62018</v>
      </c>
      <c r="B356" s="1">
        <v>43257</v>
      </c>
      <c r="C356" s="10">
        <v>43257.645833333336</v>
      </c>
      <c r="D356">
        <v>10603.45</v>
      </c>
      <c r="E356">
        <v>10698.35</v>
      </c>
      <c r="F356">
        <v>10587.5</v>
      </c>
      <c r="G356">
        <v>10684.65</v>
      </c>
      <c r="H356">
        <v>0</v>
      </c>
      <c r="I356" s="8">
        <f t="shared" si="21"/>
        <v>8.6376573540447588E-3</v>
      </c>
      <c r="J356" s="8">
        <f t="shared" si="22"/>
        <v>8.6005662256969095E-3</v>
      </c>
      <c r="K356" s="8">
        <f t="shared" si="19"/>
        <v>4.3152895002757985E-2</v>
      </c>
    </row>
    <row r="357" spans="1:11" x14ac:dyDescent="0.25">
      <c r="A357" t="str">
        <f t="shared" si="20"/>
        <v>62018</v>
      </c>
      <c r="B357" s="1">
        <v>43258</v>
      </c>
      <c r="C357" s="10">
        <v>43287.645833333336</v>
      </c>
      <c r="D357">
        <v>10722.6</v>
      </c>
      <c r="E357">
        <v>10818</v>
      </c>
      <c r="F357">
        <v>10722.6</v>
      </c>
      <c r="G357">
        <v>10768.35</v>
      </c>
      <c r="H357">
        <v>0</v>
      </c>
      <c r="I357" s="8">
        <f t="shared" si="21"/>
        <v>7.833667925482013E-3</v>
      </c>
      <c r="J357" s="8">
        <f t="shared" si="22"/>
        <v>7.8031440545139521E-3</v>
      </c>
      <c r="K357" s="8">
        <f t="shared" si="19"/>
        <v>5.2948855219349111E-2</v>
      </c>
    </row>
    <row r="358" spans="1:11" x14ac:dyDescent="0.25">
      <c r="A358" t="str">
        <f t="shared" si="20"/>
        <v>62018</v>
      </c>
      <c r="B358" s="1">
        <v>43259</v>
      </c>
      <c r="C358" s="10">
        <v>43318.645833333336</v>
      </c>
      <c r="D358">
        <v>10736.4</v>
      </c>
      <c r="E358">
        <v>10779.45</v>
      </c>
      <c r="F358">
        <v>10709.05</v>
      </c>
      <c r="G358">
        <v>10767.65</v>
      </c>
      <c r="H358">
        <v>0</v>
      </c>
      <c r="I358" s="8">
        <f t="shared" si="21"/>
        <v>-6.5005316506328015E-5</v>
      </c>
      <c r="J358" s="8">
        <f t="shared" si="22"/>
        <v>-6.5007429443483659E-5</v>
      </c>
      <c r="K358" s="8">
        <f t="shared" si="19"/>
        <v>3.322490260425659E-2</v>
      </c>
    </row>
    <row r="359" spans="1:11" x14ac:dyDescent="0.25">
      <c r="A359" t="str">
        <f t="shared" si="20"/>
        <v>62018</v>
      </c>
      <c r="B359" s="1">
        <v>43262</v>
      </c>
      <c r="C359" s="10">
        <v>43410.645833333336</v>
      </c>
      <c r="D359">
        <v>10781.85</v>
      </c>
      <c r="E359">
        <v>10850.55</v>
      </c>
      <c r="F359">
        <v>10777.05</v>
      </c>
      <c r="G359">
        <v>10786.95</v>
      </c>
      <c r="H359">
        <v>0</v>
      </c>
      <c r="I359" s="8">
        <f t="shared" si="21"/>
        <v>1.7924059567315798E-3</v>
      </c>
      <c r="J359" s="8">
        <f t="shared" si="22"/>
        <v>1.7908015140969788E-3</v>
      </c>
      <c r="K359" s="8">
        <f t="shared" si="19"/>
        <v>3.453583776500091E-2</v>
      </c>
    </row>
    <row r="360" spans="1:11" x14ac:dyDescent="0.25">
      <c r="A360" t="str">
        <f t="shared" si="20"/>
        <v>62018</v>
      </c>
      <c r="B360" s="1">
        <v>43263</v>
      </c>
      <c r="C360" s="10">
        <v>43440.645833333336</v>
      </c>
      <c r="D360">
        <v>10816.15</v>
      </c>
      <c r="E360">
        <v>10856.55</v>
      </c>
      <c r="F360">
        <v>10789.4</v>
      </c>
      <c r="G360">
        <v>10842.85</v>
      </c>
      <c r="H360">
        <v>0</v>
      </c>
      <c r="I360" s="8">
        <f t="shared" si="21"/>
        <v>5.1821877361071245E-3</v>
      </c>
      <c r="J360" s="8">
        <f t="shared" si="22"/>
        <v>5.1688064110242352E-3</v>
      </c>
      <c r="K360" s="8">
        <f t="shared" si="19"/>
        <v>4.1490168957534879E-2</v>
      </c>
    </row>
    <row r="361" spans="1:11" x14ac:dyDescent="0.25">
      <c r="A361" t="str">
        <f t="shared" si="20"/>
        <v>62018</v>
      </c>
      <c r="B361" s="1">
        <v>43264</v>
      </c>
      <c r="C361" t="s">
        <v>239</v>
      </c>
      <c r="D361">
        <v>10887.5</v>
      </c>
      <c r="E361">
        <v>10893.25</v>
      </c>
      <c r="F361">
        <v>10842.65</v>
      </c>
      <c r="G361">
        <v>10856.7</v>
      </c>
      <c r="H361">
        <v>0</v>
      </c>
      <c r="I361" s="8">
        <f t="shared" si="21"/>
        <v>1.2773394448877262E-3</v>
      </c>
      <c r="J361" s="8">
        <f t="shared" si="22"/>
        <v>1.2765243408948135E-3</v>
      </c>
      <c r="K361" s="8">
        <f t="shared" si="19"/>
        <v>4.7928842729111132E-2</v>
      </c>
    </row>
    <row r="362" spans="1:11" x14ac:dyDescent="0.25">
      <c r="A362" t="str">
        <f t="shared" si="20"/>
        <v>62018</v>
      </c>
      <c r="B362" s="1">
        <v>43265</v>
      </c>
      <c r="C362" t="s">
        <v>240</v>
      </c>
      <c r="D362">
        <v>10832.9</v>
      </c>
      <c r="E362">
        <v>10833.7</v>
      </c>
      <c r="F362">
        <v>10773.55</v>
      </c>
      <c r="G362">
        <v>10808.05</v>
      </c>
      <c r="H362">
        <v>0</v>
      </c>
      <c r="I362" s="8">
        <f t="shared" si="21"/>
        <v>-4.4811038344986232E-3</v>
      </c>
      <c r="J362" s="8">
        <f t="shared" si="22"/>
        <v>-4.4911740754108491E-3</v>
      </c>
      <c r="K362" s="8">
        <f t="shared" si="19"/>
        <v>6.0116820252767322E-2</v>
      </c>
    </row>
    <row r="363" spans="1:11" x14ac:dyDescent="0.25">
      <c r="A363" t="str">
        <f t="shared" si="20"/>
        <v>62018</v>
      </c>
      <c r="B363" s="1">
        <v>43266</v>
      </c>
      <c r="C363" t="s">
        <v>241</v>
      </c>
      <c r="D363">
        <v>10808.65</v>
      </c>
      <c r="E363">
        <v>10834</v>
      </c>
      <c r="F363">
        <v>10755.4</v>
      </c>
      <c r="G363">
        <v>10817.7</v>
      </c>
      <c r="H363">
        <v>0</v>
      </c>
      <c r="I363" s="8">
        <f t="shared" si="21"/>
        <v>8.9285301233821279E-4</v>
      </c>
      <c r="J363" s="8">
        <f t="shared" si="22"/>
        <v>8.9245465618541871E-4</v>
      </c>
      <c r="K363" s="8">
        <f t="shared" si="19"/>
        <v>7.1669514822795266E-2</v>
      </c>
    </row>
    <row r="364" spans="1:11" x14ac:dyDescent="0.25">
      <c r="A364" t="str">
        <f t="shared" si="20"/>
        <v>62018</v>
      </c>
      <c r="B364" s="1">
        <v>43269</v>
      </c>
      <c r="C364" t="s">
        <v>242</v>
      </c>
      <c r="D364">
        <v>10830.2</v>
      </c>
      <c r="E364">
        <v>10830.2</v>
      </c>
      <c r="F364">
        <v>10787.35</v>
      </c>
      <c r="G364">
        <v>10799.85</v>
      </c>
      <c r="H364">
        <v>0</v>
      </c>
      <c r="I364" s="8">
        <f t="shared" si="21"/>
        <v>-1.6500734906681469E-3</v>
      </c>
      <c r="J364" s="8">
        <f t="shared" si="22"/>
        <v>-1.6514363613613185E-3</v>
      </c>
      <c r="K364" s="8">
        <f t="shared" si="19"/>
        <v>6.6720332663331439E-2</v>
      </c>
    </row>
    <row r="365" spans="1:11" x14ac:dyDescent="0.25">
      <c r="A365" t="str">
        <f t="shared" si="20"/>
        <v>62018</v>
      </c>
      <c r="B365" s="1">
        <v>43270</v>
      </c>
      <c r="C365" t="s">
        <v>243</v>
      </c>
      <c r="D365">
        <v>10789.45</v>
      </c>
      <c r="E365">
        <v>10789.45</v>
      </c>
      <c r="F365">
        <v>10701.2</v>
      </c>
      <c r="G365">
        <v>10710.45</v>
      </c>
      <c r="H365">
        <v>0</v>
      </c>
      <c r="I365" s="8">
        <f t="shared" si="21"/>
        <v>-8.2778927485103182E-3</v>
      </c>
      <c r="J365" s="8">
        <f t="shared" si="22"/>
        <v>-8.3123447611347413E-3</v>
      </c>
      <c r="K365" s="8">
        <f t="shared" si="19"/>
        <v>5.4671229167179591E-2</v>
      </c>
    </row>
    <row r="366" spans="1:11" x14ac:dyDescent="0.25">
      <c r="A366" t="str">
        <f t="shared" si="20"/>
        <v>62018</v>
      </c>
      <c r="B366" s="1">
        <v>43271</v>
      </c>
      <c r="C366" t="s">
        <v>244</v>
      </c>
      <c r="D366">
        <v>10734.65</v>
      </c>
      <c r="E366">
        <v>10781.8</v>
      </c>
      <c r="F366">
        <v>10724.05</v>
      </c>
      <c r="G366">
        <v>10772.05</v>
      </c>
      <c r="H366">
        <v>0</v>
      </c>
      <c r="I366" s="8">
        <f t="shared" si="21"/>
        <v>5.7513923317880078E-3</v>
      </c>
      <c r="J366" s="8">
        <f t="shared" si="22"/>
        <v>5.7349162184533176E-3</v>
      </c>
      <c r="K366" s="8">
        <f t="shared" si="19"/>
        <v>6.4984305098989115E-2</v>
      </c>
    </row>
    <row r="367" spans="1:11" x14ac:dyDescent="0.25">
      <c r="A367" t="str">
        <f t="shared" si="20"/>
        <v>62018</v>
      </c>
      <c r="B367" s="1">
        <v>43272</v>
      </c>
      <c r="C367" t="s">
        <v>245</v>
      </c>
      <c r="D367">
        <v>10808.45</v>
      </c>
      <c r="E367">
        <v>10809.6</v>
      </c>
      <c r="F367">
        <v>10725.9</v>
      </c>
      <c r="G367">
        <v>10741.1</v>
      </c>
      <c r="H367">
        <v>0</v>
      </c>
      <c r="I367" s="8">
        <f t="shared" si="21"/>
        <v>-2.8731764148883787E-3</v>
      </c>
      <c r="J367" s="8">
        <f t="shared" si="22"/>
        <v>-2.8773119094804597E-3</v>
      </c>
      <c r="K367" s="8">
        <f t="shared" si="19"/>
        <v>7.4319492300998879E-2</v>
      </c>
    </row>
    <row r="368" spans="1:11" x14ac:dyDescent="0.25">
      <c r="A368" t="str">
        <f t="shared" si="20"/>
        <v>62018</v>
      </c>
      <c r="B368" s="1">
        <v>43273</v>
      </c>
      <c r="C368" t="s">
        <v>246</v>
      </c>
      <c r="D368">
        <v>10742.7</v>
      </c>
      <c r="E368">
        <v>10837</v>
      </c>
      <c r="F368">
        <v>10710.45</v>
      </c>
      <c r="G368">
        <v>10821.85</v>
      </c>
      <c r="H368">
        <v>0</v>
      </c>
      <c r="I368" s="8">
        <f t="shared" si="21"/>
        <v>7.5178519890886086E-3</v>
      </c>
      <c r="J368" s="8">
        <f t="shared" si="22"/>
        <v>7.489733777589257E-3</v>
      </c>
      <c r="K368" s="8">
        <f t="shared" si="19"/>
        <v>6.8228593426877815E-2</v>
      </c>
    </row>
    <row r="369" spans="1:11" x14ac:dyDescent="0.25">
      <c r="A369" t="str">
        <f t="shared" si="20"/>
        <v>62018</v>
      </c>
      <c r="B369" s="1">
        <v>43276</v>
      </c>
      <c r="C369" t="s">
        <v>247</v>
      </c>
      <c r="D369">
        <v>10822.9</v>
      </c>
      <c r="E369">
        <v>10831.05</v>
      </c>
      <c r="F369">
        <v>10753.05</v>
      </c>
      <c r="G369">
        <v>10762.45</v>
      </c>
      <c r="H369">
        <v>0</v>
      </c>
      <c r="I369" s="8">
        <f t="shared" si="21"/>
        <v>-5.4888951519379559E-3</v>
      </c>
      <c r="J369" s="8">
        <f t="shared" si="22"/>
        <v>-5.5040144879465814E-3</v>
      </c>
      <c r="K369" s="8">
        <f t="shared" si="19"/>
        <v>5.6784316806017365E-2</v>
      </c>
    </row>
    <row r="370" spans="1:11" x14ac:dyDescent="0.25">
      <c r="A370" t="str">
        <f t="shared" si="20"/>
        <v>62018</v>
      </c>
      <c r="B370" s="1">
        <v>43277</v>
      </c>
      <c r="C370" t="s">
        <v>248</v>
      </c>
      <c r="D370">
        <v>10742.7</v>
      </c>
      <c r="E370">
        <v>10805.25</v>
      </c>
      <c r="F370">
        <v>10732.55</v>
      </c>
      <c r="G370">
        <v>10769.15</v>
      </c>
      <c r="H370">
        <v>0</v>
      </c>
      <c r="I370" s="8">
        <f t="shared" si="21"/>
        <v>6.2253483175278568E-4</v>
      </c>
      <c r="J370" s="8">
        <f t="shared" si="22"/>
        <v>6.2234113732792811E-4</v>
      </c>
      <c r="K370" s="8">
        <f t="shared" si="19"/>
        <v>6.480813154434073E-2</v>
      </c>
    </row>
    <row r="371" spans="1:11" x14ac:dyDescent="0.25">
      <c r="A371" t="str">
        <f t="shared" si="20"/>
        <v>62018</v>
      </c>
      <c r="B371" s="1">
        <v>43278</v>
      </c>
      <c r="C371" t="s">
        <v>249</v>
      </c>
      <c r="D371">
        <v>10785.5</v>
      </c>
      <c r="E371">
        <v>10785.5</v>
      </c>
      <c r="F371">
        <v>10652.4</v>
      </c>
      <c r="G371">
        <v>10671.4</v>
      </c>
      <c r="H371">
        <v>0</v>
      </c>
      <c r="I371" s="8">
        <f t="shared" si="21"/>
        <v>-9.0768537906891211E-3</v>
      </c>
      <c r="J371" s="8">
        <f t="shared" si="22"/>
        <v>-9.1182994159396107E-3</v>
      </c>
      <c r="K371" s="8">
        <f t="shared" si="19"/>
        <v>4.5006756889089061E-2</v>
      </c>
    </row>
    <row r="372" spans="1:11" x14ac:dyDescent="0.25">
      <c r="A372" t="str">
        <f t="shared" si="20"/>
        <v>62018</v>
      </c>
      <c r="B372" s="1">
        <v>43279</v>
      </c>
      <c r="C372" t="s">
        <v>250</v>
      </c>
      <c r="D372">
        <v>10660.8</v>
      </c>
      <c r="E372">
        <v>10674.2</v>
      </c>
      <c r="F372">
        <v>10557.7</v>
      </c>
      <c r="G372">
        <v>10589.1</v>
      </c>
      <c r="H372">
        <v>0</v>
      </c>
      <c r="I372" s="8">
        <f t="shared" si="21"/>
        <v>-7.7122027100473556E-3</v>
      </c>
      <c r="J372" s="8">
        <f t="shared" si="22"/>
        <v>-7.7420955375824396E-3</v>
      </c>
      <c r="K372" s="8">
        <f t="shared" si="19"/>
        <v>3.3587115666178669E-2</v>
      </c>
    </row>
    <row r="373" spans="1:11" x14ac:dyDescent="0.25">
      <c r="A373" t="str">
        <f t="shared" si="20"/>
        <v>62018</v>
      </c>
      <c r="B373" s="1">
        <v>43280</v>
      </c>
      <c r="C373" t="s">
        <v>251</v>
      </c>
      <c r="D373">
        <v>10612.85</v>
      </c>
      <c r="E373">
        <v>10723.05</v>
      </c>
      <c r="F373">
        <v>10612.35</v>
      </c>
      <c r="G373">
        <v>10714.3</v>
      </c>
      <c r="H373">
        <v>0</v>
      </c>
      <c r="I373" s="8">
        <f t="shared" si="21"/>
        <v>1.1823478860337522E-2</v>
      </c>
      <c r="J373" s="8">
        <f t="shared" si="22"/>
        <v>1.1754127647321299E-2</v>
      </c>
      <c r="K373" s="8">
        <f t="shared" si="19"/>
        <v>5.7847241420164952E-2</v>
      </c>
    </row>
    <row r="374" spans="1:11" x14ac:dyDescent="0.25">
      <c r="A374" t="str">
        <f t="shared" si="20"/>
        <v>72018</v>
      </c>
      <c r="B374" s="1">
        <v>43283</v>
      </c>
      <c r="C374" s="10">
        <v>43138.645833333336</v>
      </c>
      <c r="D374">
        <v>10732.35</v>
      </c>
      <c r="E374">
        <v>10736.15</v>
      </c>
      <c r="F374">
        <v>10604.65</v>
      </c>
      <c r="G374">
        <v>10657.3</v>
      </c>
      <c r="H374">
        <v>0</v>
      </c>
      <c r="I374" s="8">
        <f t="shared" si="21"/>
        <v>-5.3199929066761742E-3</v>
      </c>
      <c r="J374" s="8">
        <f t="shared" si="22"/>
        <v>-5.334194459439767E-3</v>
      </c>
      <c r="K374" s="8">
        <f t="shared" si="19"/>
        <v>3.21690241788255E-2</v>
      </c>
    </row>
    <row r="375" spans="1:11" x14ac:dyDescent="0.25">
      <c r="A375" t="str">
        <f t="shared" si="20"/>
        <v>72018</v>
      </c>
      <c r="B375" s="1">
        <v>43284</v>
      </c>
      <c r="C375" s="10">
        <v>43166.645833333336</v>
      </c>
      <c r="D375">
        <v>10668.6</v>
      </c>
      <c r="E375">
        <v>10713.3</v>
      </c>
      <c r="F375">
        <v>10630.25</v>
      </c>
      <c r="G375">
        <v>10699.9</v>
      </c>
      <c r="H375">
        <v>0</v>
      </c>
      <c r="I375" s="8">
        <f t="shared" si="21"/>
        <v>3.9972600940201275E-3</v>
      </c>
      <c r="J375" s="8">
        <f t="shared" si="22"/>
        <v>3.9892922757939599E-3</v>
      </c>
      <c r="K375" s="8">
        <f t="shared" si="19"/>
        <v>3.5647915134151553E-2</v>
      </c>
    </row>
    <row r="376" spans="1:11" x14ac:dyDescent="0.25">
      <c r="A376" t="str">
        <f t="shared" si="20"/>
        <v>72018</v>
      </c>
      <c r="B376" s="1">
        <v>43285</v>
      </c>
      <c r="C376" s="10">
        <v>43197.645833333336</v>
      </c>
      <c r="D376">
        <v>10715</v>
      </c>
      <c r="E376">
        <v>10777.15</v>
      </c>
      <c r="F376">
        <v>10677.75</v>
      </c>
      <c r="G376">
        <v>10769.9</v>
      </c>
      <c r="H376">
        <v>0</v>
      </c>
      <c r="I376" s="8">
        <f t="shared" si="21"/>
        <v>6.5421172160486929E-3</v>
      </c>
      <c r="J376" s="8">
        <f t="shared" si="22"/>
        <v>6.5208104443272496E-3</v>
      </c>
      <c r="K376" s="8">
        <f t="shared" si="19"/>
        <v>3.7627597103864874E-2</v>
      </c>
    </row>
    <row r="377" spans="1:11" x14ac:dyDescent="0.25">
      <c r="A377" t="str">
        <f t="shared" si="20"/>
        <v>72018</v>
      </c>
      <c r="B377" s="1">
        <v>43286</v>
      </c>
      <c r="C377" s="10">
        <v>43227.645833333336</v>
      </c>
      <c r="D377">
        <v>10786.05</v>
      </c>
      <c r="E377">
        <v>10786.05</v>
      </c>
      <c r="F377">
        <v>10726.25</v>
      </c>
      <c r="G377">
        <v>10749.75</v>
      </c>
      <c r="H377">
        <v>0</v>
      </c>
      <c r="I377" s="8">
        <f t="shared" si="21"/>
        <v>-1.8709551620720299E-3</v>
      </c>
      <c r="J377" s="8">
        <f t="shared" si="22"/>
        <v>-1.8727075848253383E-3</v>
      </c>
      <c r="K377" s="8">
        <f t="shared" si="19"/>
        <v>3.3406234228171794E-2</v>
      </c>
    </row>
    <row r="378" spans="1:11" x14ac:dyDescent="0.25">
      <c r="A378" t="str">
        <f t="shared" si="20"/>
        <v>72018</v>
      </c>
      <c r="B378" s="1">
        <v>43287</v>
      </c>
      <c r="C378" s="10">
        <v>43258.645833333336</v>
      </c>
      <c r="D378">
        <v>10744.15</v>
      </c>
      <c r="E378">
        <v>10816.35</v>
      </c>
      <c r="F378">
        <v>10735.05</v>
      </c>
      <c r="G378">
        <v>10772.65</v>
      </c>
      <c r="H378">
        <v>0</v>
      </c>
      <c r="I378" s="8">
        <f t="shared" si="21"/>
        <v>2.130282099583658E-3</v>
      </c>
      <c r="J378" s="8">
        <f t="shared" si="22"/>
        <v>2.1280162660109484E-3</v>
      </c>
      <c r="K378" s="8">
        <f t="shared" si="19"/>
        <v>3.412641653427273E-2</v>
      </c>
    </row>
    <row r="379" spans="1:11" x14ac:dyDescent="0.25">
      <c r="A379" t="str">
        <f t="shared" si="20"/>
        <v>72018</v>
      </c>
      <c r="B379" s="1">
        <v>43290</v>
      </c>
      <c r="C379" s="10">
        <v>43350.645833333336</v>
      </c>
      <c r="D379">
        <v>10838.3</v>
      </c>
      <c r="E379">
        <v>10860.35</v>
      </c>
      <c r="F379">
        <v>10807.15</v>
      </c>
      <c r="G379">
        <v>10852.9</v>
      </c>
      <c r="H379">
        <v>0</v>
      </c>
      <c r="I379" s="8">
        <f t="shared" si="21"/>
        <v>7.4494205232695787E-3</v>
      </c>
      <c r="J379" s="8">
        <f t="shared" si="22"/>
        <v>7.4218106239193555E-3</v>
      </c>
      <c r="K379" s="8">
        <f t="shared" si="19"/>
        <v>3.76960697604376E-2</v>
      </c>
    </row>
    <row r="380" spans="1:11" x14ac:dyDescent="0.25">
      <c r="A380" t="str">
        <f t="shared" si="20"/>
        <v>72018</v>
      </c>
      <c r="B380" s="1">
        <v>43291</v>
      </c>
      <c r="C380" s="10">
        <v>43380.645833333336</v>
      </c>
      <c r="D380">
        <v>10902.75</v>
      </c>
      <c r="E380">
        <v>10956.9</v>
      </c>
      <c r="F380">
        <v>10876.65</v>
      </c>
      <c r="G380">
        <v>10947.25</v>
      </c>
      <c r="H380">
        <v>0</v>
      </c>
      <c r="I380" s="8">
        <f t="shared" si="21"/>
        <v>8.6935289185379183E-3</v>
      </c>
      <c r="J380" s="8">
        <f t="shared" si="22"/>
        <v>8.6559577894496902E-3</v>
      </c>
      <c r="K380" s="8">
        <f t="shared" si="19"/>
        <v>4.4525122607484313E-2</v>
      </c>
    </row>
    <row r="381" spans="1:11" x14ac:dyDescent="0.25">
      <c r="A381" t="str">
        <f t="shared" si="20"/>
        <v>72018</v>
      </c>
      <c r="B381" s="1">
        <v>43292</v>
      </c>
      <c r="C381" s="10">
        <v>43411.645833333336</v>
      </c>
      <c r="D381">
        <v>10956.4</v>
      </c>
      <c r="E381">
        <v>10976.65</v>
      </c>
      <c r="F381">
        <v>10923</v>
      </c>
      <c r="G381">
        <v>10948.3</v>
      </c>
      <c r="H381">
        <v>0</v>
      </c>
      <c r="I381" s="8">
        <f t="shared" si="21"/>
        <v>9.591449907508931E-5</v>
      </c>
      <c r="J381" s="8">
        <f t="shared" si="22"/>
        <v>9.5909899573626465E-5</v>
      </c>
      <c r="K381" s="8">
        <f t="shared" si="19"/>
        <v>3.988754173256015E-2</v>
      </c>
    </row>
    <row r="382" spans="1:11" x14ac:dyDescent="0.25">
      <c r="A382" t="str">
        <f t="shared" si="20"/>
        <v>72018</v>
      </c>
      <c r="B382" s="1">
        <v>43293</v>
      </c>
      <c r="C382" s="10">
        <v>43441.645833333336</v>
      </c>
      <c r="D382">
        <v>11006.95</v>
      </c>
      <c r="E382">
        <v>11078.3</v>
      </c>
      <c r="F382">
        <v>10999.65</v>
      </c>
      <c r="G382">
        <v>11023.2</v>
      </c>
      <c r="H382">
        <v>0</v>
      </c>
      <c r="I382" s="8">
        <f t="shared" si="21"/>
        <v>6.8412447594605741E-3</v>
      </c>
      <c r="J382" s="8">
        <f t="shared" si="22"/>
        <v>6.8179496293051707E-3</v>
      </c>
      <c r="K382" s="8">
        <f t="shared" si="19"/>
        <v>4.498184610425926E-2</v>
      </c>
    </row>
    <row r="383" spans="1:11" x14ac:dyDescent="0.25">
      <c r="A383" t="str">
        <f t="shared" si="20"/>
        <v>72018</v>
      </c>
      <c r="B383" s="1">
        <v>43294</v>
      </c>
      <c r="C383" t="s">
        <v>252</v>
      </c>
      <c r="D383">
        <v>11056.9</v>
      </c>
      <c r="E383">
        <v>11071.35</v>
      </c>
      <c r="F383">
        <v>10999.75</v>
      </c>
      <c r="G383">
        <v>11018.9</v>
      </c>
      <c r="H383">
        <v>0</v>
      </c>
      <c r="I383" s="8">
        <f t="shared" si="21"/>
        <v>-3.9008636330661872E-4</v>
      </c>
      <c r="J383" s="8">
        <f t="shared" si="22"/>
        <v>-3.9016246678396689E-4</v>
      </c>
      <c r="K383" s="8">
        <f t="shared" si="19"/>
        <v>4.6807014877163544E-2</v>
      </c>
    </row>
    <row r="384" spans="1:11" x14ac:dyDescent="0.25">
      <c r="A384" t="str">
        <f t="shared" si="20"/>
        <v>72018</v>
      </c>
      <c r="B384" s="1">
        <v>43297</v>
      </c>
      <c r="C384" t="s">
        <v>253</v>
      </c>
      <c r="D384">
        <v>11018.95</v>
      </c>
      <c r="E384">
        <v>11019.5</v>
      </c>
      <c r="F384">
        <v>10926.25</v>
      </c>
      <c r="G384">
        <v>10936.85</v>
      </c>
      <c r="H384">
        <v>0</v>
      </c>
      <c r="I384" s="8">
        <f t="shared" si="21"/>
        <v>-7.4462968172865907E-3</v>
      </c>
      <c r="J384" s="8">
        <f t="shared" si="22"/>
        <v>-7.4741588844156994E-3</v>
      </c>
      <c r="K384" s="8">
        <f t="shared" ref="K384:K447" si="23">+G384/G323-1</f>
        <v>3.516700898223446E-2</v>
      </c>
    </row>
    <row r="385" spans="1:11" x14ac:dyDescent="0.25">
      <c r="A385" t="str">
        <f t="shared" si="20"/>
        <v>72018</v>
      </c>
      <c r="B385" s="1">
        <v>43298</v>
      </c>
      <c r="C385" t="s">
        <v>254</v>
      </c>
      <c r="D385">
        <v>10939.65</v>
      </c>
      <c r="E385">
        <v>11018.5</v>
      </c>
      <c r="F385">
        <v>10925.6</v>
      </c>
      <c r="G385">
        <v>11008.05</v>
      </c>
      <c r="H385">
        <v>0</v>
      </c>
      <c r="I385" s="8">
        <f t="shared" si="21"/>
        <v>6.5101011717265678E-3</v>
      </c>
      <c r="J385" s="8">
        <f t="shared" si="22"/>
        <v>6.4890019854781638E-3</v>
      </c>
      <c r="K385" s="8">
        <f t="shared" si="23"/>
        <v>4.2029335340139529E-2</v>
      </c>
    </row>
    <row r="386" spans="1:11" x14ac:dyDescent="0.25">
      <c r="A386" t="str">
        <f t="shared" si="20"/>
        <v>72018</v>
      </c>
      <c r="B386" s="1">
        <v>43299</v>
      </c>
      <c r="C386" t="s">
        <v>255</v>
      </c>
      <c r="D386">
        <v>11060.2</v>
      </c>
      <c r="E386">
        <v>11076.2</v>
      </c>
      <c r="F386">
        <v>10956.3</v>
      </c>
      <c r="G386">
        <v>10980.45</v>
      </c>
      <c r="H386">
        <v>0</v>
      </c>
      <c r="I386" s="8">
        <f t="shared" si="21"/>
        <v>-2.5072560535243094E-3</v>
      </c>
      <c r="J386" s="8">
        <f t="shared" si="22"/>
        <v>-2.5104044836980507E-3</v>
      </c>
      <c r="K386" s="8">
        <f t="shared" si="23"/>
        <v>3.7388872618024038E-2</v>
      </c>
    </row>
    <row r="387" spans="1:11" x14ac:dyDescent="0.25">
      <c r="A387" t="str">
        <f t="shared" ref="A387:A450" si="24">+MONTH(B387)&amp;YEAR(B387)</f>
        <v>72018</v>
      </c>
      <c r="B387" s="1">
        <v>43300</v>
      </c>
      <c r="C387" t="s">
        <v>256</v>
      </c>
      <c r="D387">
        <v>10999.5</v>
      </c>
      <c r="E387">
        <v>11006.5</v>
      </c>
      <c r="F387">
        <v>10935.45</v>
      </c>
      <c r="G387">
        <v>10957.1</v>
      </c>
      <c r="H387">
        <v>0</v>
      </c>
      <c r="I387" s="8">
        <f t="shared" si="21"/>
        <v>-2.1265066550095746E-3</v>
      </c>
      <c r="J387" s="8">
        <f t="shared" si="22"/>
        <v>-2.1287708807833992E-3</v>
      </c>
      <c r="K387" s="8">
        <f t="shared" si="23"/>
        <v>3.2291190699383465E-2</v>
      </c>
    </row>
    <row r="388" spans="1:11" x14ac:dyDescent="0.25">
      <c r="A388" t="str">
        <f t="shared" si="24"/>
        <v>72018</v>
      </c>
      <c r="B388" s="1">
        <v>43301</v>
      </c>
      <c r="C388" t="s">
        <v>257</v>
      </c>
      <c r="D388">
        <v>10963.5</v>
      </c>
      <c r="E388">
        <v>11030.25</v>
      </c>
      <c r="F388">
        <v>10946.2</v>
      </c>
      <c r="G388">
        <v>11010.2</v>
      </c>
      <c r="H388">
        <v>0</v>
      </c>
      <c r="I388" s="8">
        <f t="shared" ref="I388:I451" si="25">+G388/G387-1</f>
        <v>4.8461728011974792E-3</v>
      </c>
      <c r="J388" s="8">
        <f t="shared" ref="J388:J451" si="26">+LN(1+I388)</f>
        <v>4.8344679065168992E-3</v>
      </c>
      <c r="K388" s="8">
        <f t="shared" si="23"/>
        <v>4.1591970143464829E-2</v>
      </c>
    </row>
    <row r="389" spans="1:11" x14ac:dyDescent="0.25">
      <c r="A389" t="str">
        <f t="shared" si="24"/>
        <v>72018</v>
      </c>
      <c r="B389" s="1">
        <v>43304</v>
      </c>
      <c r="C389" t="s">
        <v>258</v>
      </c>
      <c r="D389">
        <v>11019.85</v>
      </c>
      <c r="E389">
        <v>11093.4</v>
      </c>
      <c r="F389">
        <v>11010.95</v>
      </c>
      <c r="G389">
        <v>11084.75</v>
      </c>
      <c r="H389">
        <v>0</v>
      </c>
      <c r="I389" s="8">
        <f t="shared" si="25"/>
        <v>6.770994169043254E-3</v>
      </c>
      <c r="J389" s="8">
        <f t="shared" si="26"/>
        <v>6.7481739405328336E-3</v>
      </c>
      <c r="K389" s="8">
        <f t="shared" si="23"/>
        <v>4.3978036881463289E-2</v>
      </c>
    </row>
    <row r="390" spans="1:11" x14ac:dyDescent="0.25">
      <c r="A390" t="str">
        <f t="shared" si="24"/>
        <v>72018</v>
      </c>
      <c r="B390" s="1">
        <v>43305</v>
      </c>
      <c r="C390" t="s">
        <v>259</v>
      </c>
      <c r="D390">
        <v>11109</v>
      </c>
      <c r="E390">
        <v>11143.4</v>
      </c>
      <c r="F390">
        <v>11092.5</v>
      </c>
      <c r="G390">
        <v>11134.3</v>
      </c>
      <c r="H390">
        <v>0</v>
      </c>
      <c r="I390" s="8">
        <f t="shared" si="25"/>
        <v>4.4701053248832334E-3</v>
      </c>
      <c r="J390" s="8">
        <f t="shared" si="26"/>
        <v>4.4601440782581301E-3</v>
      </c>
      <c r="K390" s="8">
        <f t="shared" si="23"/>
        <v>4.1338159236085747E-2</v>
      </c>
    </row>
    <row r="391" spans="1:11" x14ac:dyDescent="0.25">
      <c r="A391" t="str">
        <f t="shared" si="24"/>
        <v>72018</v>
      </c>
      <c r="B391" s="1">
        <v>43306</v>
      </c>
      <c r="C391" t="s">
        <v>260</v>
      </c>
      <c r="D391">
        <v>11148.4</v>
      </c>
      <c r="E391">
        <v>11157.15</v>
      </c>
      <c r="F391">
        <v>11113.25</v>
      </c>
      <c r="G391">
        <v>11132</v>
      </c>
      <c r="H391">
        <v>0</v>
      </c>
      <c r="I391" s="8">
        <f t="shared" si="25"/>
        <v>-2.0656889072501183E-4</v>
      </c>
      <c r="J391" s="8">
        <f t="shared" si="26"/>
        <v>-2.0659022901692162E-4</v>
      </c>
      <c r="K391" s="8">
        <f t="shared" si="23"/>
        <v>3.6561803088641209E-2</v>
      </c>
    </row>
    <row r="392" spans="1:11" x14ac:dyDescent="0.25">
      <c r="A392" t="str">
        <f t="shared" si="24"/>
        <v>72018</v>
      </c>
      <c r="B392" s="1">
        <v>43307</v>
      </c>
      <c r="C392" t="s">
        <v>261</v>
      </c>
      <c r="D392">
        <v>11132.95</v>
      </c>
      <c r="E392">
        <v>11185.85</v>
      </c>
      <c r="F392">
        <v>11125.7</v>
      </c>
      <c r="G392">
        <v>11167.3</v>
      </c>
      <c r="H392">
        <v>0</v>
      </c>
      <c r="I392" s="8">
        <f t="shared" si="25"/>
        <v>3.1710384477181552E-3</v>
      </c>
      <c r="J392" s="8">
        <f t="shared" si="26"/>
        <v>3.1660213088618083E-3</v>
      </c>
      <c r="K392" s="8">
        <f t="shared" si="23"/>
        <v>4.1915273767149763E-2</v>
      </c>
    </row>
    <row r="393" spans="1:11" x14ac:dyDescent="0.25">
      <c r="A393" t="str">
        <f t="shared" si="24"/>
        <v>72018</v>
      </c>
      <c r="B393" s="1">
        <v>43308</v>
      </c>
      <c r="C393" t="s">
        <v>262</v>
      </c>
      <c r="D393">
        <v>11232.75</v>
      </c>
      <c r="E393">
        <v>11283.4</v>
      </c>
      <c r="F393">
        <v>11210.25</v>
      </c>
      <c r="G393">
        <v>11278.35</v>
      </c>
      <c r="H393">
        <v>0</v>
      </c>
      <c r="I393" s="8">
        <f t="shared" si="25"/>
        <v>9.9442121193127342E-3</v>
      </c>
      <c r="J393" s="8">
        <f t="shared" si="26"/>
        <v>9.8950938021973352E-3</v>
      </c>
      <c r="K393" s="8">
        <f t="shared" si="23"/>
        <v>5.6059889603123692E-2</v>
      </c>
    </row>
    <row r="394" spans="1:11" x14ac:dyDescent="0.25">
      <c r="A394" t="str">
        <f t="shared" si="24"/>
        <v>72018</v>
      </c>
      <c r="B394" s="1">
        <v>43311</v>
      </c>
      <c r="C394" t="s">
        <v>263</v>
      </c>
      <c r="D394">
        <v>11296.65</v>
      </c>
      <c r="E394">
        <v>11328.1</v>
      </c>
      <c r="F394">
        <v>11261.45</v>
      </c>
      <c r="G394">
        <v>11319.55</v>
      </c>
      <c r="H394">
        <v>0</v>
      </c>
      <c r="I394" s="8">
        <f t="shared" si="25"/>
        <v>3.6530166203387893E-3</v>
      </c>
      <c r="J394" s="8">
        <f t="shared" si="26"/>
        <v>3.6463605599989543E-3</v>
      </c>
      <c r="K394" s="8">
        <f t="shared" si="23"/>
        <v>6.6046664940079491E-2</v>
      </c>
    </row>
    <row r="395" spans="1:11" x14ac:dyDescent="0.25">
      <c r="A395" t="str">
        <f t="shared" si="24"/>
        <v>72018</v>
      </c>
      <c r="B395" s="1">
        <v>43312</v>
      </c>
      <c r="C395" t="s">
        <v>264</v>
      </c>
      <c r="D395">
        <v>11311.05</v>
      </c>
      <c r="E395">
        <v>11366</v>
      </c>
      <c r="F395">
        <v>11267.75</v>
      </c>
      <c r="G395">
        <v>11356.5</v>
      </c>
      <c r="H395">
        <v>0</v>
      </c>
      <c r="I395" s="8">
        <f t="shared" si="25"/>
        <v>3.2642640387647859E-3</v>
      </c>
      <c r="J395" s="8">
        <f t="shared" si="26"/>
        <v>3.2589478946312938E-3</v>
      </c>
      <c r="K395" s="8">
        <f t="shared" si="23"/>
        <v>5.9819887079464396E-2</v>
      </c>
    </row>
    <row r="396" spans="1:11" x14ac:dyDescent="0.25">
      <c r="A396" t="str">
        <f t="shared" si="24"/>
        <v>82018</v>
      </c>
      <c r="B396" s="1">
        <v>43313</v>
      </c>
      <c r="C396" s="10">
        <v>43108.645833333336</v>
      </c>
      <c r="D396">
        <v>11359.8</v>
      </c>
      <c r="E396">
        <v>11390.55</v>
      </c>
      <c r="F396">
        <v>11313.55</v>
      </c>
      <c r="G396">
        <v>11346.2</v>
      </c>
      <c r="H396">
        <v>0</v>
      </c>
      <c r="I396" s="8">
        <f t="shared" si="25"/>
        <v>-9.0696957689417879E-4</v>
      </c>
      <c r="J396" s="8">
        <f t="shared" si="26"/>
        <v>-9.0738112265936017E-4</v>
      </c>
      <c r="K396" s="8">
        <f t="shared" si="23"/>
        <v>5.8631435555804412E-2</v>
      </c>
    </row>
    <row r="397" spans="1:11" x14ac:dyDescent="0.25">
      <c r="A397" t="str">
        <f t="shared" si="24"/>
        <v>82018</v>
      </c>
      <c r="B397" s="1">
        <v>43314</v>
      </c>
      <c r="C397" s="10">
        <v>43139.645833333336</v>
      </c>
      <c r="D397">
        <v>11328.9</v>
      </c>
      <c r="E397">
        <v>11328.9</v>
      </c>
      <c r="F397">
        <v>11234.95</v>
      </c>
      <c r="G397">
        <v>11244.7</v>
      </c>
      <c r="H397">
        <v>0</v>
      </c>
      <c r="I397" s="8">
        <f t="shared" si="25"/>
        <v>-8.9457263224691497E-3</v>
      </c>
      <c r="J397" s="8">
        <f t="shared" si="26"/>
        <v>-8.9859795750619302E-3</v>
      </c>
      <c r="K397" s="8">
        <f t="shared" si="23"/>
        <v>4.6826852360427162E-2</v>
      </c>
    </row>
    <row r="398" spans="1:11" x14ac:dyDescent="0.25">
      <c r="A398" t="str">
        <f t="shared" si="24"/>
        <v>82018</v>
      </c>
      <c r="B398" s="1">
        <v>43315</v>
      </c>
      <c r="C398" s="10">
        <v>43167.645833333336</v>
      </c>
      <c r="D398">
        <v>11297.8</v>
      </c>
      <c r="E398">
        <v>11368</v>
      </c>
      <c r="F398">
        <v>11294.55</v>
      </c>
      <c r="G398">
        <v>11360.8</v>
      </c>
      <c r="H398">
        <v>0</v>
      </c>
      <c r="I398" s="8">
        <f t="shared" si="25"/>
        <v>1.0324864158225422E-2</v>
      </c>
      <c r="J398" s="8">
        <f t="shared" si="26"/>
        <v>1.0271926817053497E-2</v>
      </c>
      <c r="K398" s="8">
        <f t="shared" si="23"/>
        <v>6.0117295211612021E-2</v>
      </c>
    </row>
    <row r="399" spans="1:11" x14ac:dyDescent="0.25">
      <c r="A399" t="str">
        <f t="shared" si="24"/>
        <v>82018</v>
      </c>
      <c r="B399" s="1">
        <v>43318</v>
      </c>
      <c r="C399" s="10">
        <v>43259.645833333336</v>
      </c>
      <c r="D399">
        <v>11401.5</v>
      </c>
      <c r="E399">
        <v>11427.65</v>
      </c>
      <c r="F399">
        <v>11370.6</v>
      </c>
      <c r="G399">
        <v>11387.1</v>
      </c>
      <c r="H399">
        <v>0</v>
      </c>
      <c r="I399" s="8">
        <f t="shared" si="25"/>
        <v>2.3149778184636816E-3</v>
      </c>
      <c r="J399" s="8">
        <f t="shared" si="26"/>
        <v>2.312302385563333E-3</v>
      </c>
      <c r="K399" s="8">
        <f t="shared" si="23"/>
        <v>5.372692361078979E-2</v>
      </c>
    </row>
    <row r="400" spans="1:11" x14ac:dyDescent="0.25">
      <c r="A400" t="str">
        <f t="shared" si="24"/>
        <v>82018</v>
      </c>
      <c r="B400" s="1">
        <v>43319</v>
      </c>
      <c r="C400" s="10">
        <v>43289.645833333336</v>
      </c>
      <c r="D400">
        <v>11423.15</v>
      </c>
      <c r="E400">
        <v>11428.95</v>
      </c>
      <c r="F400">
        <v>11359.7</v>
      </c>
      <c r="G400">
        <v>11389.45</v>
      </c>
      <c r="H400">
        <v>0</v>
      </c>
      <c r="I400" s="8">
        <f t="shared" si="25"/>
        <v>2.0637387921418338E-4</v>
      </c>
      <c r="J400" s="8">
        <f t="shared" si="26"/>
        <v>2.0635258705455244E-4</v>
      </c>
      <c r="K400" s="8">
        <f t="shared" si="23"/>
        <v>5.3934632539374139E-2</v>
      </c>
    </row>
    <row r="401" spans="1:11" x14ac:dyDescent="0.25">
      <c r="A401" t="str">
        <f t="shared" si="24"/>
        <v>82018</v>
      </c>
      <c r="B401" s="1">
        <v>43320</v>
      </c>
      <c r="C401" s="10">
        <v>43320.645833333336</v>
      </c>
      <c r="D401">
        <v>11412.5</v>
      </c>
      <c r="E401">
        <v>11459.95</v>
      </c>
      <c r="F401">
        <v>11379.3</v>
      </c>
      <c r="G401">
        <v>11450</v>
      </c>
      <c r="H401">
        <v>0</v>
      </c>
      <c r="I401" s="8">
        <f t="shared" si="25"/>
        <v>5.3163234396744752E-3</v>
      </c>
      <c r="J401" s="8">
        <f t="shared" si="26"/>
        <v>5.3022416789647508E-3</v>
      </c>
      <c r="K401" s="8">
        <f t="shared" si="23"/>
        <v>6.000361049264713E-2</v>
      </c>
    </row>
    <row r="402" spans="1:11" x14ac:dyDescent="0.25">
      <c r="A402" t="str">
        <f t="shared" si="24"/>
        <v>82018</v>
      </c>
      <c r="B402" s="1">
        <v>43321</v>
      </c>
      <c r="C402" s="10">
        <v>43351.645833333336</v>
      </c>
      <c r="D402">
        <v>11493.25</v>
      </c>
      <c r="E402">
        <v>11495.2</v>
      </c>
      <c r="F402">
        <v>11454.1</v>
      </c>
      <c r="G402">
        <v>11470.7</v>
      </c>
      <c r="H402">
        <v>0</v>
      </c>
      <c r="I402" s="8">
        <f t="shared" si="25"/>
        <v>1.8078602620088535E-3</v>
      </c>
      <c r="J402" s="8">
        <f t="shared" si="26"/>
        <v>1.806228049557314E-3</v>
      </c>
      <c r="K402" s="8">
        <f t="shared" si="23"/>
        <v>6.7926003854353878E-2</v>
      </c>
    </row>
    <row r="403" spans="1:11" x14ac:dyDescent="0.25">
      <c r="A403" t="str">
        <f t="shared" si="24"/>
        <v>82018</v>
      </c>
      <c r="B403" s="1">
        <v>43322</v>
      </c>
      <c r="C403" s="10">
        <v>43381.645833333336</v>
      </c>
      <c r="D403">
        <v>11474.95</v>
      </c>
      <c r="E403">
        <v>11478.75</v>
      </c>
      <c r="F403">
        <v>11419.65</v>
      </c>
      <c r="G403">
        <v>11429.5</v>
      </c>
      <c r="H403">
        <v>0</v>
      </c>
      <c r="I403" s="8">
        <f t="shared" si="25"/>
        <v>-3.5917598751602497E-3</v>
      </c>
      <c r="J403" s="8">
        <f t="shared" si="26"/>
        <v>-3.5982257318400699E-3</v>
      </c>
      <c r="K403" s="8">
        <f t="shared" si="23"/>
        <v>6.9907420408698018E-2</v>
      </c>
    </row>
    <row r="404" spans="1:11" x14ac:dyDescent="0.25">
      <c r="A404" t="str">
        <f t="shared" si="24"/>
        <v>82018</v>
      </c>
      <c r="B404" s="1">
        <v>43325</v>
      </c>
      <c r="C404" t="s">
        <v>265</v>
      </c>
      <c r="D404">
        <v>11369.6</v>
      </c>
      <c r="E404">
        <v>11406.3</v>
      </c>
      <c r="F404">
        <v>11340.3</v>
      </c>
      <c r="G404">
        <v>11355.75</v>
      </c>
      <c r="H404">
        <v>0</v>
      </c>
      <c r="I404" s="8">
        <f t="shared" si="25"/>
        <v>-6.4526007261910268E-3</v>
      </c>
      <c r="J404" s="8">
        <f t="shared" si="26"/>
        <v>-6.4735087435117758E-3</v>
      </c>
      <c r="K404" s="8">
        <f t="shared" si="23"/>
        <v>7.1661130195160627E-2</v>
      </c>
    </row>
    <row r="405" spans="1:11" x14ac:dyDescent="0.25">
      <c r="A405" t="str">
        <f t="shared" si="24"/>
        <v>82018</v>
      </c>
      <c r="B405" s="1">
        <v>43326</v>
      </c>
      <c r="C405" t="s">
        <v>266</v>
      </c>
      <c r="D405">
        <v>11381.7</v>
      </c>
      <c r="E405">
        <v>11452.45</v>
      </c>
      <c r="F405">
        <v>11370.8</v>
      </c>
      <c r="G405">
        <v>11435.1</v>
      </c>
      <c r="H405">
        <v>0</v>
      </c>
      <c r="I405" s="8">
        <f t="shared" si="25"/>
        <v>6.9876494287035573E-3</v>
      </c>
      <c r="J405" s="8">
        <f t="shared" si="26"/>
        <v>6.9633489429444069E-3</v>
      </c>
      <c r="K405" s="8">
        <f t="shared" si="23"/>
        <v>8.7327773921477281E-2</v>
      </c>
    </row>
    <row r="406" spans="1:11" x14ac:dyDescent="0.25">
      <c r="A406" t="str">
        <f t="shared" si="24"/>
        <v>82018</v>
      </c>
      <c r="B406" s="1">
        <v>43328</v>
      </c>
      <c r="C406" t="s">
        <v>267</v>
      </c>
      <c r="D406">
        <v>11397.15</v>
      </c>
      <c r="E406">
        <v>11449.85</v>
      </c>
      <c r="F406">
        <v>11366.25</v>
      </c>
      <c r="G406">
        <v>11385.05</v>
      </c>
      <c r="H406">
        <v>0</v>
      </c>
      <c r="I406" s="8">
        <f t="shared" si="25"/>
        <v>-4.3768747103217764E-3</v>
      </c>
      <c r="J406" s="8">
        <f t="shared" si="26"/>
        <v>-4.38648126781707E-3</v>
      </c>
      <c r="K406" s="8">
        <f t="shared" si="23"/>
        <v>8.0513823113498306E-2</v>
      </c>
    </row>
    <row r="407" spans="1:11" x14ac:dyDescent="0.25">
      <c r="A407" t="str">
        <f t="shared" si="24"/>
        <v>82018</v>
      </c>
      <c r="B407" s="1">
        <v>43329</v>
      </c>
      <c r="C407" t="s">
        <v>268</v>
      </c>
      <c r="D407">
        <v>11437.15</v>
      </c>
      <c r="E407">
        <v>11486.45</v>
      </c>
      <c r="F407">
        <v>11431.8</v>
      </c>
      <c r="G407">
        <v>11470.75</v>
      </c>
      <c r="H407">
        <v>0</v>
      </c>
      <c r="I407" s="8">
        <f t="shared" si="25"/>
        <v>7.5274153385360698E-3</v>
      </c>
      <c r="J407" s="8">
        <f t="shared" si="26"/>
        <v>7.4992257226116294E-3</v>
      </c>
      <c r="K407" s="8">
        <f t="shared" si="23"/>
        <v>9.9747371852334732E-2</v>
      </c>
    </row>
    <row r="408" spans="1:11" x14ac:dyDescent="0.25">
      <c r="A408" t="str">
        <f t="shared" si="24"/>
        <v>82018</v>
      </c>
      <c r="B408" s="1">
        <v>43332</v>
      </c>
      <c r="C408" t="s">
        <v>269</v>
      </c>
      <c r="D408">
        <v>11502.1</v>
      </c>
      <c r="E408">
        <v>11565.3</v>
      </c>
      <c r="F408">
        <v>11499.65</v>
      </c>
      <c r="G408">
        <v>11551.75</v>
      </c>
      <c r="H408">
        <v>0</v>
      </c>
      <c r="I408" s="8">
        <f t="shared" si="25"/>
        <v>7.061438877143944E-3</v>
      </c>
      <c r="J408" s="8">
        <f t="shared" si="26"/>
        <v>7.0366236698632748E-3</v>
      </c>
      <c r="K408" s="8">
        <f t="shared" si="23"/>
        <v>9.8717406088159931E-2</v>
      </c>
    </row>
    <row r="409" spans="1:11" x14ac:dyDescent="0.25">
      <c r="A409" t="str">
        <f t="shared" si="24"/>
        <v>82018</v>
      </c>
      <c r="B409" s="1">
        <v>43333</v>
      </c>
      <c r="C409" t="s">
        <v>270</v>
      </c>
      <c r="D409">
        <v>11576.2</v>
      </c>
      <c r="E409">
        <v>11581.75</v>
      </c>
      <c r="F409">
        <v>11539.6</v>
      </c>
      <c r="G409">
        <v>11570.9</v>
      </c>
      <c r="H409">
        <v>0</v>
      </c>
      <c r="I409" s="8">
        <f t="shared" si="25"/>
        <v>1.657757482632416E-3</v>
      </c>
      <c r="J409" s="8">
        <f t="shared" si="26"/>
        <v>1.6563849194054057E-3</v>
      </c>
      <c r="K409" s="8">
        <f t="shared" si="23"/>
        <v>9.106424708750005E-2</v>
      </c>
    </row>
    <row r="410" spans="1:11" x14ac:dyDescent="0.25">
      <c r="A410" t="str">
        <f t="shared" si="24"/>
        <v>82018</v>
      </c>
      <c r="B410" s="1">
        <v>43335</v>
      </c>
      <c r="C410" t="s">
        <v>271</v>
      </c>
      <c r="D410">
        <v>11620.7</v>
      </c>
      <c r="E410">
        <v>11620.7</v>
      </c>
      <c r="F410">
        <v>11546.7</v>
      </c>
      <c r="G410">
        <v>11582.75</v>
      </c>
      <c r="H410">
        <v>0</v>
      </c>
      <c r="I410" s="8">
        <f t="shared" si="25"/>
        <v>1.024120854903332E-3</v>
      </c>
      <c r="J410" s="8">
        <f t="shared" si="26"/>
        <v>1.0235968009065074E-3</v>
      </c>
      <c r="K410" s="8">
        <f t="shared" si="23"/>
        <v>8.3649478652589426E-2</v>
      </c>
    </row>
    <row r="411" spans="1:11" x14ac:dyDescent="0.25">
      <c r="A411" t="str">
        <f t="shared" si="24"/>
        <v>82018</v>
      </c>
      <c r="B411" s="1">
        <v>43336</v>
      </c>
      <c r="C411" t="s">
        <v>272</v>
      </c>
      <c r="D411">
        <v>11566.6</v>
      </c>
      <c r="E411">
        <v>11604.6</v>
      </c>
      <c r="F411">
        <v>11532</v>
      </c>
      <c r="G411">
        <v>11557.1</v>
      </c>
      <c r="H411">
        <v>0</v>
      </c>
      <c r="I411" s="8">
        <f t="shared" si="25"/>
        <v>-2.214500010791931E-3</v>
      </c>
      <c r="J411" s="8">
        <f t="shared" si="26"/>
        <v>-2.2169556419407827E-3</v>
      </c>
      <c r="K411" s="8">
        <f t="shared" si="23"/>
        <v>8.687801529158401E-2</v>
      </c>
    </row>
    <row r="412" spans="1:11" x14ac:dyDescent="0.25">
      <c r="A412" t="str">
        <f t="shared" si="24"/>
        <v>82018</v>
      </c>
      <c r="B412" s="1">
        <v>43339</v>
      </c>
      <c r="C412" t="s">
        <v>273</v>
      </c>
      <c r="D412">
        <v>11605.85</v>
      </c>
      <c r="E412">
        <v>11700.95</v>
      </c>
      <c r="F412">
        <v>11595.6</v>
      </c>
      <c r="G412">
        <v>11691.95</v>
      </c>
      <c r="H412">
        <v>0</v>
      </c>
      <c r="I412" s="8">
        <f t="shared" si="25"/>
        <v>1.1668152045063218E-2</v>
      </c>
      <c r="J412" s="8">
        <f t="shared" si="26"/>
        <v>1.1600604091100921E-2</v>
      </c>
      <c r="K412" s="8">
        <f t="shared" si="23"/>
        <v>0.10152293828637649</v>
      </c>
    </row>
    <row r="413" spans="1:11" x14ac:dyDescent="0.25">
      <c r="A413" t="str">
        <f t="shared" si="24"/>
        <v>82018</v>
      </c>
      <c r="B413" s="1">
        <v>43340</v>
      </c>
      <c r="C413" t="s">
        <v>274</v>
      </c>
      <c r="D413">
        <v>11731.95</v>
      </c>
      <c r="E413">
        <v>11760.2</v>
      </c>
      <c r="F413">
        <v>11710.5</v>
      </c>
      <c r="G413">
        <v>11738.5</v>
      </c>
      <c r="H413">
        <v>0</v>
      </c>
      <c r="I413" s="8">
        <f t="shared" si="25"/>
        <v>3.9813717985450747E-3</v>
      </c>
      <c r="J413" s="8">
        <f t="shared" si="26"/>
        <v>3.973467111897261E-3</v>
      </c>
      <c r="K413" s="8">
        <f t="shared" si="23"/>
        <v>9.3362145648114181E-2</v>
      </c>
    </row>
    <row r="414" spans="1:11" x14ac:dyDescent="0.25">
      <c r="A414" t="str">
        <f t="shared" si="24"/>
        <v>82018</v>
      </c>
      <c r="B414" s="1">
        <v>43341</v>
      </c>
      <c r="C414" t="s">
        <v>275</v>
      </c>
      <c r="D414">
        <v>11744.95</v>
      </c>
      <c r="E414">
        <v>11753.2</v>
      </c>
      <c r="F414">
        <v>11678.85</v>
      </c>
      <c r="G414">
        <v>11691.9</v>
      </c>
      <c r="H414">
        <v>0</v>
      </c>
      <c r="I414" s="8">
        <f t="shared" si="25"/>
        <v>-3.9698428248924333E-3</v>
      </c>
      <c r="J414" s="8">
        <f t="shared" si="26"/>
        <v>-3.9777435676563271E-3</v>
      </c>
      <c r="K414" s="8">
        <f t="shared" si="23"/>
        <v>9.3089134458966605E-2</v>
      </c>
    </row>
    <row r="415" spans="1:11" x14ac:dyDescent="0.25">
      <c r="A415" t="str">
        <f t="shared" si="24"/>
        <v>82018</v>
      </c>
      <c r="B415" s="1">
        <v>43342</v>
      </c>
      <c r="C415" t="s">
        <v>276</v>
      </c>
      <c r="D415">
        <v>11694.75</v>
      </c>
      <c r="E415">
        <v>11698.8</v>
      </c>
      <c r="F415">
        <v>11639.7</v>
      </c>
      <c r="G415">
        <v>11676.8</v>
      </c>
      <c r="H415">
        <v>0</v>
      </c>
      <c r="I415" s="8">
        <f t="shared" si="25"/>
        <v>-1.2914924007219053E-3</v>
      </c>
      <c r="J415" s="8">
        <f t="shared" si="26"/>
        <v>-1.2923270957780808E-3</v>
      </c>
      <c r="K415" s="8">
        <f t="shared" si="23"/>
        <v>9.8631039187091263E-2</v>
      </c>
    </row>
    <row r="416" spans="1:11" x14ac:dyDescent="0.25">
      <c r="A416" t="str">
        <f t="shared" si="24"/>
        <v>82018</v>
      </c>
      <c r="B416" s="1">
        <v>43343</v>
      </c>
      <c r="C416" t="s">
        <v>277</v>
      </c>
      <c r="D416">
        <v>11675.85</v>
      </c>
      <c r="E416">
        <v>11727.65</v>
      </c>
      <c r="F416">
        <v>11640.1</v>
      </c>
      <c r="G416">
        <v>11680.5</v>
      </c>
      <c r="H416">
        <v>0</v>
      </c>
      <c r="I416" s="8">
        <f t="shared" si="25"/>
        <v>3.1686763496852066E-4</v>
      </c>
      <c r="J416" s="8">
        <f t="shared" si="26"/>
        <v>3.1681744302199772E-4</v>
      </c>
      <c r="K416" s="8">
        <f t="shared" si="23"/>
        <v>0.10264652157290333</v>
      </c>
    </row>
    <row r="417" spans="1:11" x14ac:dyDescent="0.25">
      <c r="A417" t="str">
        <f t="shared" si="24"/>
        <v>92018</v>
      </c>
      <c r="B417" s="1">
        <v>43346</v>
      </c>
      <c r="C417" s="10">
        <v>43168.645833333336</v>
      </c>
      <c r="D417">
        <v>11751.8</v>
      </c>
      <c r="E417">
        <v>11751.8</v>
      </c>
      <c r="F417">
        <v>11567.4</v>
      </c>
      <c r="G417">
        <v>11582.35</v>
      </c>
      <c r="H417">
        <v>0</v>
      </c>
      <c r="I417" s="8">
        <f t="shared" si="25"/>
        <v>-8.4028937117417435E-3</v>
      </c>
      <c r="J417" s="8">
        <f t="shared" si="26"/>
        <v>-8.4383970501899584E-3</v>
      </c>
      <c r="K417" s="8">
        <f t="shared" si="23"/>
        <v>8.4017726364457479E-2</v>
      </c>
    </row>
    <row r="418" spans="1:11" x14ac:dyDescent="0.25">
      <c r="A418" t="str">
        <f t="shared" si="24"/>
        <v>92018</v>
      </c>
      <c r="B418" s="1">
        <v>43347</v>
      </c>
      <c r="C418" s="10">
        <v>43199.645833333336</v>
      </c>
      <c r="D418">
        <v>11598.75</v>
      </c>
      <c r="E418">
        <v>11602.55</v>
      </c>
      <c r="F418">
        <v>11496.85</v>
      </c>
      <c r="G418">
        <v>11520.3</v>
      </c>
      <c r="H418">
        <v>0</v>
      </c>
      <c r="I418" s="8">
        <f t="shared" si="25"/>
        <v>-5.3572893238419406E-3</v>
      </c>
      <c r="J418" s="8">
        <f t="shared" si="26"/>
        <v>-5.371691057489936E-3</v>
      </c>
      <c r="K418" s="8">
        <f t="shared" si="23"/>
        <v>6.9829639638384622E-2</v>
      </c>
    </row>
    <row r="419" spans="1:11" x14ac:dyDescent="0.25">
      <c r="A419" t="str">
        <f t="shared" si="24"/>
        <v>92018</v>
      </c>
      <c r="B419" s="1">
        <v>43348</v>
      </c>
      <c r="C419" s="10">
        <v>43229.645833333336</v>
      </c>
      <c r="D419">
        <v>11514.85</v>
      </c>
      <c r="E419">
        <v>11542.65</v>
      </c>
      <c r="F419">
        <v>11393.85</v>
      </c>
      <c r="G419">
        <v>11476.95</v>
      </c>
      <c r="H419">
        <v>0</v>
      </c>
      <c r="I419" s="8">
        <f t="shared" si="25"/>
        <v>-3.7629228405509085E-3</v>
      </c>
      <c r="J419" s="8">
        <f t="shared" si="26"/>
        <v>-3.770020445457141E-3</v>
      </c>
      <c r="K419" s="8">
        <f t="shared" si="23"/>
        <v>6.5873240679257039E-2</v>
      </c>
    </row>
    <row r="420" spans="1:11" x14ac:dyDescent="0.25">
      <c r="A420" t="str">
        <f t="shared" si="24"/>
        <v>92018</v>
      </c>
      <c r="B420" s="1">
        <v>43349</v>
      </c>
      <c r="C420" s="10">
        <v>43260.645833333336</v>
      </c>
      <c r="D420">
        <v>11514.15</v>
      </c>
      <c r="E420">
        <v>11562.25</v>
      </c>
      <c r="F420">
        <v>11436.05</v>
      </c>
      <c r="G420">
        <v>11536.9</v>
      </c>
      <c r="H420">
        <v>0</v>
      </c>
      <c r="I420" s="8">
        <f t="shared" si="25"/>
        <v>5.2235132156190911E-3</v>
      </c>
      <c r="J420" s="8">
        <f t="shared" si="26"/>
        <v>5.2099179931275122E-3</v>
      </c>
      <c r="K420" s="8">
        <f t="shared" si="23"/>
        <v>6.9523822767325161E-2</v>
      </c>
    </row>
    <row r="421" spans="1:11" x14ac:dyDescent="0.25">
      <c r="A421" t="str">
        <f t="shared" si="24"/>
        <v>92018</v>
      </c>
      <c r="B421" s="1">
        <v>43350</v>
      </c>
      <c r="C421" s="10">
        <v>43290.645833333336</v>
      </c>
      <c r="D421">
        <v>11558.25</v>
      </c>
      <c r="E421">
        <v>11603</v>
      </c>
      <c r="F421">
        <v>11484.4</v>
      </c>
      <c r="G421">
        <v>11589.1</v>
      </c>
      <c r="H421">
        <v>0</v>
      </c>
      <c r="I421" s="8">
        <f t="shared" si="25"/>
        <v>4.5246123308688713E-3</v>
      </c>
      <c r="J421" s="8">
        <f t="shared" si="26"/>
        <v>4.5144070442281106E-3</v>
      </c>
      <c r="K421" s="8">
        <f t="shared" si="23"/>
        <v>6.8824156010642845E-2</v>
      </c>
    </row>
    <row r="422" spans="1:11" x14ac:dyDescent="0.25">
      <c r="A422" t="str">
        <f t="shared" si="24"/>
        <v>92018</v>
      </c>
      <c r="B422" s="1">
        <v>43353</v>
      </c>
      <c r="C422" s="10">
        <v>43382.645833333336</v>
      </c>
      <c r="D422">
        <v>11570.25</v>
      </c>
      <c r="E422">
        <v>11573</v>
      </c>
      <c r="F422">
        <v>11427.3</v>
      </c>
      <c r="G422">
        <v>11438.1</v>
      </c>
      <c r="H422">
        <v>0</v>
      </c>
      <c r="I422" s="8">
        <f t="shared" si="25"/>
        <v>-1.3029484601910446E-2</v>
      </c>
      <c r="J422" s="8">
        <f t="shared" si="26"/>
        <v>-1.311511294512481E-2</v>
      </c>
      <c r="K422" s="8">
        <f t="shared" si="23"/>
        <v>5.3552184365414979E-2</v>
      </c>
    </row>
    <row r="423" spans="1:11" x14ac:dyDescent="0.25">
      <c r="A423" t="str">
        <f t="shared" si="24"/>
        <v>92018</v>
      </c>
      <c r="B423" s="1">
        <v>43354</v>
      </c>
      <c r="C423" s="10">
        <v>43413.645833333336</v>
      </c>
      <c r="D423">
        <v>11476.85</v>
      </c>
      <c r="E423">
        <v>11479.4</v>
      </c>
      <c r="F423">
        <v>11274</v>
      </c>
      <c r="G423">
        <v>11287.5</v>
      </c>
      <c r="H423">
        <v>0</v>
      </c>
      <c r="I423" s="8">
        <f t="shared" si="25"/>
        <v>-1.3166522411939052E-2</v>
      </c>
      <c r="J423" s="8">
        <f t="shared" si="26"/>
        <v>-1.3253969499003263E-2</v>
      </c>
      <c r="K423" s="8">
        <f t="shared" si="23"/>
        <v>4.4360453550825518E-2</v>
      </c>
    </row>
    <row r="424" spans="1:11" x14ac:dyDescent="0.25">
      <c r="A424" t="str">
        <f t="shared" si="24"/>
        <v>92018</v>
      </c>
      <c r="B424" s="1">
        <v>43355</v>
      </c>
      <c r="C424" s="10">
        <v>43443.645833333336</v>
      </c>
      <c r="D424">
        <v>11340.1</v>
      </c>
      <c r="E424">
        <v>11380.75</v>
      </c>
      <c r="F424">
        <v>11250.2</v>
      </c>
      <c r="G424">
        <v>11369.9</v>
      </c>
      <c r="H424">
        <v>0</v>
      </c>
      <c r="I424" s="8">
        <f t="shared" si="25"/>
        <v>7.300110741971233E-3</v>
      </c>
      <c r="J424" s="8">
        <f t="shared" si="26"/>
        <v>7.2735939059058573E-3</v>
      </c>
      <c r="K424" s="8">
        <f t="shared" si="23"/>
        <v>5.1045970955008846E-2</v>
      </c>
    </row>
    <row r="425" spans="1:11" x14ac:dyDescent="0.25">
      <c r="A425" t="str">
        <f t="shared" si="24"/>
        <v>92018</v>
      </c>
      <c r="B425" s="1">
        <v>43357</v>
      </c>
      <c r="C425" t="s">
        <v>278</v>
      </c>
      <c r="D425">
        <v>11443.5</v>
      </c>
      <c r="E425">
        <v>11523.25</v>
      </c>
      <c r="F425">
        <v>11430.55</v>
      </c>
      <c r="G425">
        <v>11515.2</v>
      </c>
      <c r="H425">
        <v>0</v>
      </c>
      <c r="I425" s="8">
        <f t="shared" si="25"/>
        <v>1.2779356018962407E-2</v>
      </c>
      <c r="J425" s="8">
        <f t="shared" si="26"/>
        <v>1.2698389122393185E-2</v>
      </c>
      <c r="K425" s="8">
        <f t="shared" si="23"/>
        <v>6.6237031069876107E-2</v>
      </c>
    </row>
    <row r="426" spans="1:11" x14ac:dyDescent="0.25">
      <c r="A426" t="str">
        <f t="shared" si="24"/>
        <v>92018</v>
      </c>
      <c r="B426" s="1">
        <v>43360</v>
      </c>
      <c r="C426" t="s">
        <v>279</v>
      </c>
      <c r="D426">
        <v>11464.95</v>
      </c>
      <c r="E426">
        <v>11464.95</v>
      </c>
      <c r="F426">
        <v>11366.9</v>
      </c>
      <c r="G426">
        <v>11377.75</v>
      </c>
      <c r="H426">
        <v>0</v>
      </c>
      <c r="I426" s="8">
        <f t="shared" si="25"/>
        <v>-1.1936397109907015E-2</v>
      </c>
      <c r="J426" s="8">
        <f t="shared" si="26"/>
        <v>-1.2008207911445088E-2</v>
      </c>
      <c r="K426" s="8">
        <f t="shared" si="23"/>
        <v>6.2303638035750009E-2</v>
      </c>
    </row>
    <row r="427" spans="1:11" x14ac:dyDescent="0.25">
      <c r="A427" t="str">
        <f t="shared" si="24"/>
        <v>92018</v>
      </c>
      <c r="B427" s="1">
        <v>43361</v>
      </c>
      <c r="C427" t="s">
        <v>280</v>
      </c>
      <c r="D427">
        <v>11381.55</v>
      </c>
      <c r="E427">
        <v>11411.45</v>
      </c>
      <c r="F427">
        <v>11268.95</v>
      </c>
      <c r="G427">
        <v>11278.9</v>
      </c>
      <c r="H427">
        <v>0</v>
      </c>
      <c r="I427" s="8">
        <f t="shared" si="25"/>
        <v>-8.6880094922107132E-3</v>
      </c>
      <c r="J427" s="8">
        <f t="shared" si="26"/>
        <v>-8.7259702757044692E-3</v>
      </c>
      <c r="K427" s="8">
        <f t="shared" si="23"/>
        <v>4.7052325230573677E-2</v>
      </c>
    </row>
    <row r="428" spans="1:11" x14ac:dyDescent="0.25">
      <c r="A428" t="str">
        <f t="shared" si="24"/>
        <v>92018</v>
      </c>
      <c r="B428" s="1">
        <v>43362</v>
      </c>
      <c r="C428" t="s">
        <v>281</v>
      </c>
      <c r="D428">
        <v>11326.65</v>
      </c>
      <c r="E428">
        <v>11332.05</v>
      </c>
      <c r="F428">
        <v>11210.9</v>
      </c>
      <c r="G428">
        <v>11234.35</v>
      </c>
      <c r="H428">
        <v>0</v>
      </c>
      <c r="I428" s="8">
        <f t="shared" si="25"/>
        <v>-3.9498532658326369E-3</v>
      </c>
      <c r="J428" s="8">
        <f t="shared" si="26"/>
        <v>-3.9576745382891472E-3</v>
      </c>
      <c r="K428" s="8">
        <f t="shared" si="23"/>
        <v>4.5921739859046129E-2</v>
      </c>
    </row>
    <row r="429" spans="1:11" x14ac:dyDescent="0.25">
      <c r="A429" t="str">
        <f t="shared" si="24"/>
        <v>92018</v>
      </c>
      <c r="B429" s="1">
        <v>43364</v>
      </c>
      <c r="C429" t="s">
        <v>282</v>
      </c>
      <c r="D429">
        <v>11271.3</v>
      </c>
      <c r="E429">
        <v>11346.8</v>
      </c>
      <c r="F429">
        <v>10866.45</v>
      </c>
      <c r="G429">
        <v>11143.1</v>
      </c>
      <c r="H429">
        <v>0</v>
      </c>
      <c r="I429" s="8">
        <f t="shared" si="25"/>
        <v>-8.1224102863094449E-3</v>
      </c>
      <c r="J429" s="8">
        <f t="shared" si="26"/>
        <v>-8.1555767773956976E-3</v>
      </c>
      <c r="K429" s="8">
        <f t="shared" si="23"/>
        <v>2.9685312585186363E-2</v>
      </c>
    </row>
    <row r="430" spans="1:11" x14ac:dyDescent="0.25">
      <c r="A430" t="str">
        <f t="shared" si="24"/>
        <v>92018</v>
      </c>
      <c r="B430" s="1">
        <v>43367</v>
      </c>
      <c r="C430" t="s">
        <v>283</v>
      </c>
      <c r="D430">
        <v>11164.4</v>
      </c>
      <c r="E430">
        <v>11170.15</v>
      </c>
      <c r="F430">
        <v>10943.6</v>
      </c>
      <c r="G430">
        <v>10967.4</v>
      </c>
      <c r="H430">
        <v>0</v>
      </c>
      <c r="I430" s="8">
        <f t="shared" si="25"/>
        <v>-1.5767605065017842E-2</v>
      </c>
      <c r="J430" s="8">
        <f t="shared" si="26"/>
        <v>-1.5893236100092235E-2</v>
      </c>
      <c r="K430" s="8">
        <f t="shared" si="23"/>
        <v>1.9043061756384372E-2</v>
      </c>
    </row>
    <row r="431" spans="1:11" x14ac:dyDescent="0.25">
      <c r="A431" t="str">
        <f t="shared" si="24"/>
        <v>92018</v>
      </c>
      <c r="B431" s="1">
        <v>43368</v>
      </c>
      <c r="C431" t="s">
        <v>284</v>
      </c>
      <c r="D431">
        <v>10969.95</v>
      </c>
      <c r="E431">
        <v>11080.6</v>
      </c>
      <c r="F431">
        <v>10882.85</v>
      </c>
      <c r="G431">
        <v>11067.45</v>
      </c>
      <c r="H431">
        <v>0</v>
      </c>
      <c r="I431" s="8">
        <f t="shared" si="25"/>
        <v>9.1224902894031512E-3</v>
      </c>
      <c r="J431" s="8">
        <f t="shared" si="26"/>
        <v>9.081131713379249E-3</v>
      </c>
      <c r="K431" s="8">
        <f t="shared" si="23"/>
        <v>2.7699493460486835E-2</v>
      </c>
    </row>
    <row r="432" spans="1:11" x14ac:dyDescent="0.25">
      <c r="A432" t="str">
        <f t="shared" si="24"/>
        <v>92018</v>
      </c>
      <c r="B432" s="1">
        <v>43369</v>
      </c>
      <c r="C432" t="s">
        <v>285</v>
      </c>
      <c r="D432">
        <v>11145.55</v>
      </c>
      <c r="E432">
        <v>11145.55</v>
      </c>
      <c r="F432">
        <v>10993.05</v>
      </c>
      <c r="G432">
        <v>11053.8</v>
      </c>
      <c r="H432">
        <v>0</v>
      </c>
      <c r="I432" s="8">
        <f t="shared" si="25"/>
        <v>-1.233346434815763E-3</v>
      </c>
      <c r="J432" s="8">
        <f t="shared" si="26"/>
        <v>-1.2341076324745481E-3</v>
      </c>
      <c r="K432" s="8">
        <f t="shared" si="23"/>
        <v>3.5834098618737986E-2</v>
      </c>
    </row>
    <row r="433" spans="1:11" x14ac:dyDescent="0.25">
      <c r="A433" t="str">
        <f t="shared" si="24"/>
        <v>92018</v>
      </c>
      <c r="B433" s="1">
        <v>43370</v>
      </c>
      <c r="C433" t="s">
        <v>286</v>
      </c>
      <c r="D433">
        <v>11079.8</v>
      </c>
      <c r="E433">
        <v>11089.45</v>
      </c>
      <c r="F433">
        <v>10953.35</v>
      </c>
      <c r="G433">
        <v>10977.55</v>
      </c>
      <c r="H433">
        <v>0</v>
      </c>
      <c r="I433" s="8">
        <f t="shared" si="25"/>
        <v>-6.8980802981779554E-3</v>
      </c>
      <c r="J433" s="8">
        <f t="shared" si="26"/>
        <v>-6.9219820348958589E-3</v>
      </c>
      <c r="K433" s="8">
        <f t="shared" si="23"/>
        <v>3.6683948588642989E-2</v>
      </c>
    </row>
    <row r="434" spans="1:11" x14ac:dyDescent="0.25">
      <c r="A434" t="str">
        <f t="shared" si="24"/>
        <v>92018</v>
      </c>
      <c r="B434" s="1">
        <v>43371</v>
      </c>
      <c r="C434" t="s">
        <v>287</v>
      </c>
      <c r="D434">
        <v>11008.1</v>
      </c>
      <c r="E434">
        <v>11034.1</v>
      </c>
      <c r="F434">
        <v>10850.3</v>
      </c>
      <c r="G434">
        <v>10930.45</v>
      </c>
      <c r="H434">
        <v>0</v>
      </c>
      <c r="I434" s="8">
        <f t="shared" si="25"/>
        <v>-4.2905748550449152E-3</v>
      </c>
      <c r="J434" s="8">
        <f t="shared" si="26"/>
        <v>-4.2998057847973671E-3</v>
      </c>
      <c r="K434" s="8">
        <f t="shared" si="23"/>
        <v>2.0173973101369258E-2</v>
      </c>
    </row>
    <row r="435" spans="1:11" x14ac:dyDescent="0.25">
      <c r="A435" t="str">
        <f t="shared" si="24"/>
        <v>102018</v>
      </c>
      <c r="B435" s="1">
        <v>43374</v>
      </c>
      <c r="C435" s="10">
        <v>43110.645833333336</v>
      </c>
      <c r="D435">
        <v>10930.9</v>
      </c>
      <c r="E435">
        <v>11035.65</v>
      </c>
      <c r="F435">
        <v>10821.55</v>
      </c>
      <c r="G435">
        <v>11008.3</v>
      </c>
      <c r="H435">
        <v>0</v>
      </c>
      <c r="I435" s="8">
        <f t="shared" si="25"/>
        <v>7.1223051201001475E-3</v>
      </c>
      <c r="J435" s="8">
        <f t="shared" si="26"/>
        <v>7.0970612969229975E-3</v>
      </c>
      <c r="K435" s="8">
        <f t="shared" si="23"/>
        <v>3.2935171197207458E-2</v>
      </c>
    </row>
    <row r="436" spans="1:11" x14ac:dyDescent="0.25">
      <c r="A436" t="str">
        <f t="shared" si="24"/>
        <v>102018</v>
      </c>
      <c r="B436" s="1">
        <v>43376</v>
      </c>
      <c r="C436" s="10">
        <v>43169.645833333336</v>
      </c>
      <c r="D436">
        <v>10982.7</v>
      </c>
      <c r="E436">
        <v>10989.05</v>
      </c>
      <c r="F436">
        <v>10843.75</v>
      </c>
      <c r="G436">
        <v>10858.25</v>
      </c>
      <c r="H436">
        <v>0</v>
      </c>
      <c r="I436" s="8">
        <f t="shared" si="25"/>
        <v>-1.3630624165402394E-2</v>
      </c>
      <c r="J436" s="8">
        <f t="shared" si="26"/>
        <v>-1.3724374010345193E-2</v>
      </c>
      <c r="K436" s="8">
        <f t="shared" si="23"/>
        <v>1.4799203730875954E-2</v>
      </c>
    </row>
    <row r="437" spans="1:11" x14ac:dyDescent="0.25">
      <c r="A437" t="str">
        <f t="shared" si="24"/>
        <v>102018</v>
      </c>
      <c r="B437" s="1">
        <v>43377</v>
      </c>
      <c r="C437" s="10">
        <v>43200.645833333336</v>
      </c>
      <c r="D437">
        <v>10754.7</v>
      </c>
      <c r="E437">
        <v>10754.7</v>
      </c>
      <c r="F437">
        <v>10547.25</v>
      </c>
      <c r="G437">
        <v>10599.25</v>
      </c>
      <c r="H437">
        <v>0</v>
      </c>
      <c r="I437" s="8">
        <f t="shared" si="25"/>
        <v>-2.3852830796859514E-2</v>
      </c>
      <c r="J437" s="8">
        <f t="shared" si="26"/>
        <v>-2.4141915818458322E-2</v>
      </c>
      <c r="K437" s="8">
        <f t="shared" si="23"/>
        <v>-1.584508676960783E-2</v>
      </c>
    </row>
    <row r="438" spans="1:11" x14ac:dyDescent="0.25">
      <c r="A438" t="str">
        <f t="shared" si="24"/>
        <v>102018</v>
      </c>
      <c r="B438" s="1">
        <v>43378</v>
      </c>
      <c r="C438" s="10">
        <v>43230.645833333336</v>
      </c>
      <c r="D438">
        <v>10514.1</v>
      </c>
      <c r="E438">
        <v>10540.65</v>
      </c>
      <c r="F438">
        <v>10261.9</v>
      </c>
      <c r="G438">
        <v>10316.450000000001</v>
      </c>
      <c r="H438">
        <v>0</v>
      </c>
      <c r="I438" s="8">
        <f t="shared" si="25"/>
        <v>-2.6681133099039966E-2</v>
      </c>
      <c r="J438" s="8">
        <f t="shared" si="26"/>
        <v>-2.7043535271357683E-2</v>
      </c>
      <c r="K438" s="8">
        <f t="shared" si="23"/>
        <v>-4.0307914137537981E-2</v>
      </c>
    </row>
    <row r="439" spans="1:11" x14ac:dyDescent="0.25">
      <c r="A439" t="str">
        <f t="shared" si="24"/>
        <v>102018</v>
      </c>
      <c r="B439" s="1">
        <v>43381</v>
      </c>
      <c r="C439" s="10">
        <v>43322.645833333336</v>
      </c>
      <c r="D439">
        <v>10310.15</v>
      </c>
      <c r="E439">
        <v>10398.35</v>
      </c>
      <c r="F439">
        <v>10198.4</v>
      </c>
      <c r="G439">
        <v>10348.049999999999</v>
      </c>
      <c r="H439">
        <v>0</v>
      </c>
      <c r="I439" s="8">
        <f t="shared" si="25"/>
        <v>3.0630691759276907E-3</v>
      </c>
      <c r="J439" s="8">
        <f t="shared" si="26"/>
        <v>3.0583875372252687E-3</v>
      </c>
      <c r="K439" s="8">
        <f t="shared" si="23"/>
        <v>-3.9414628712526656E-2</v>
      </c>
    </row>
    <row r="440" spans="1:11" x14ac:dyDescent="0.25">
      <c r="A440" t="str">
        <f t="shared" si="24"/>
        <v>102018</v>
      </c>
      <c r="B440" s="1">
        <v>43382</v>
      </c>
      <c r="C440" s="10">
        <v>43353.645833333336</v>
      </c>
      <c r="D440">
        <v>10390.299999999999</v>
      </c>
      <c r="E440">
        <v>10397.6</v>
      </c>
      <c r="F440">
        <v>10279.35</v>
      </c>
      <c r="G440">
        <v>10301.049999999999</v>
      </c>
      <c r="H440">
        <v>0</v>
      </c>
      <c r="I440" s="8">
        <f t="shared" si="25"/>
        <v>-4.5419185257126182E-3</v>
      </c>
      <c r="J440" s="8">
        <f t="shared" si="26"/>
        <v>-4.5522643762188489E-3</v>
      </c>
      <c r="K440" s="8">
        <f t="shared" si="23"/>
        <v>-5.0848160399524556E-2</v>
      </c>
    </row>
    <row r="441" spans="1:11" x14ac:dyDescent="0.25">
      <c r="A441" t="str">
        <f t="shared" si="24"/>
        <v>102018</v>
      </c>
      <c r="B441" s="1">
        <v>43383</v>
      </c>
      <c r="C441" s="10">
        <v>43383.645833333336</v>
      </c>
      <c r="D441">
        <v>10331.85</v>
      </c>
      <c r="E441">
        <v>10482.35</v>
      </c>
      <c r="F441">
        <v>10318.25</v>
      </c>
      <c r="G441">
        <v>10460.1</v>
      </c>
      <c r="H441">
        <v>0</v>
      </c>
      <c r="I441" s="8">
        <f t="shared" si="25"/>
        <v>1.544017357453864E-2</v>
      </c>
      <c r="J441" s="8">
        <f t="shared" si="26"/>
        <v>1.5322187033067711E-2</v>
      </c>
      <c r="K441" s="8">
        <f t="shared" si="23"/>
        <v>-4.4499760213752237E-2</v>
      </c>
    </row>
    <row r="442" spans="1:11" x14ac:dyDescent="0.25">
      <c r="A442" t="str">
        <f t="shared" si="24"/>
        <v>102018</v>
      </c>
      <c r="B442" s="1">
        <v>43384</v>
      </c>
      <c r="C442" s="10">
        <v>43414.645833333336</v>
      </c>
      <c r="D442">
        <v>10169.799999999999</v>
      </c>
      <c r="E442">
        <v>10335.950000000001</v>
      </c>
      <c r="F442">
        <v>10138.6</v>
      </c>
      <c r="G442">
        <v>10234.65</v>
      </c>
      <c r="H442">
        <v>0</v>
      </c>
      <c r="I442" s="8">
        <f t="shared" si="25"/>
        <v>-2.1553331230103057E-2</v>
      </c>
      <c r="J442" s="8">
        <f t="shared" si="26"/>
        <v>-2.1788996676934184E-2</v>
      </c>
      <c r="K442" s="8">
        <f t="shared" si="23"/>
        <v>-6.5183635815606045E-2</v>
      </c>
    </row>
    <row r="443" spans="1:11" x14ac:dyDescent="0.25">
      <c r="A443" t="str">
        <f t="shared" si="24"/>
        <v>102018</v>
      </c>
      <c r="B443" s="1">
        <v>43385</v>
      </c>
      <c r="C443" s="10">
        <v>43444.645833333336</v>
      </c>
      <c r="D443">
        <v>10331.549999999999</v>
      </c>
      <c r="E443">
        <v>10492.45</v>
      </c>
      <c r="F443">
        <v>10322.15</v>
      </c>
      <c r="G443">
        <v>10472.5</v>
      </c>
      <c r="H443">
        <v>0</v>
      </c>
      <c r="I443" s="8">
        <f t="shared" si="25"/>
        <v>2.323968088796402E-2</v>
      </c>
      <c r="J443" s="8">
        <f t="shared" si="26"/>
        <v>2.2973751695463417E-2</v>
      </c>
      <c r="K443" s="8">
        <f t="shared" si="23"/>
        <v>-4.9958269830902124E-2</v>
      </c>
    </row>
    <row r="444" spans="1:11" x14ac:dyDescent="0.25">
      <c r="A444" t="str">
        <f t="shared" si="24"/>
        <v>102018</v>
      </c>
      <c r="B444" s="1">
        <v>43388</v>
      </c>
      <c r="C444" t="s">
        <v>288</v>
      </c>
      <c r="D444">
        <v>10524.2</v>
      </c>
      <c r="E444">
        <v>10526.3</v>
      </c>
      <c r="F444">
        <v>10410.15</v>
      </c>
      <c r="G444">
        <v>10512.5</v>
      </c>
      <c r="H444">
        <v>0</v>
      </c>
      <c r="I444" s="8">
        <f t="shared" si="25"/>
        <v>3.8195273334924451E-3</v>
      </c>
      <c r="J444" s="8">
        <f t="shared" si="26"/>
        <v>3.8122514600135221E-3</v>
      </c>
      <c r="K444" s="8">
        <f t="shared" si="23"/>
        <v>-4.5957400466471232E-2</v>
      </c>
    </row>
    <row r="445" spans="1:11" x14ac:dyDescent="0.25">
      <c r="A445" t="str">
        <f t="shared" si="24"/>
        <v>102018</v>
      </c>
      <c r="B445" s="1">
        <v>43389</v>
      </c>
      <c r="C445" t="s">
        <v>289</v>
      </c>
      <c r="D445">
        <v>10550.15</v>
      </c>
      <c r="E445">
        <v>10604.9</v>
      </c>
      <c r="F445">
        <v>10525.3</v>
      </c>
      <c r="G445">
        <v>10584.75</v>
      </c>
      <c r="H445">
        <v>0</v>
      </c>
      <c r="I445" s="8">
        <f t="shared" si="25"/>
        <v>6.8727705112960891E-3</v>
      </c>
      <c r="J445" s="8">
        <f t="shared" si="26"/>
        <v>6.8492606810225632E-3</v>
      </c>
      <c r="K445" s="8">
        <f t="shared" si="23"/>
        <v>-3.2193913238272476E-2</v>
      </c>
    </row>
    <row r="446" spans="1:11" x14ac:dyDescent="0.25">
      <c r="A446" t="str">
        <f t="shared" si="24"/>
        <v>102018</v>
      </c>
      <c r="B446" s="1">
        <v>43390</v>
      </c>
      <c r="C446" t="s">
        <v>290</v>
      </c>
      <c r="D446">
        <v>10688.7</v>
      </c>
      <c r="E446">
        <v>10710.15</v>
      </c>
      <c r="F446">
        <v>10436.450000000001</v>
      </c>
      <c r="G446">
        <v>10453.049999999999</v>
      </c>
      <c r="H446">
        <v>0</v>
      </c>
      <c r="I446" s="8">
        <f t="shared" si="25"/>
        <v>-1.2442428966201402E-2</v>
      </c>
      <c r="J446" s="8">
        <f t="shared" si="26"/>
        <v>-1.2520484125164434E-2</v>
      </c>
      <c r="K446" s="8">
        <f t="shared" si="23"/>
        <v>-5.0417648902394196E-2</v>
      </c>
    </row>
    <row r="447" spans="1:11" x14ac:dyDescent="0.25">
      <c r="A447" t="str">
        <f t="shared" si="24"/>
        <v>102018</v>
      </c>
      <c r="B447" s="1">
        <v>43392</v>
      </c>
      <c r="C447" t="s">
        <v>291</v>
      </c>
      <c r="D447">
        <v>10339.700000000001</v>
      </c>
      <c r="E447">
        <v>10380.1</v>
      </c>
      <c r="F447">
        <v>10249.6</v>
      </c>
      <c r="G447">
        <v>10303.549999999999</v>
      </c>
      <c r="H447">
        <v>0</v>
      </c>
      <c r="I447" s="8">
        <f t="shared" si="25"/>
        <v>-1.4302045814379549E-2</v>
      </c>
      <c r="J447" s="8">
        <f t="shared" si="26"/>
        <v>-1.4405305806840537E-2</v>
      </c>
      <c r="K447" s="8">
        <f t="shared" si="23"/>
        <v>-6.1645925258072443E-2</v>
      </c>
    </row>
    <row r="448" spans="1:11" x14ac:dyDescent="0.25">
      <c r="A448" t="str">
        <f t="shared" si="24"/>
        <v>102018</v>
      </c>
      <c r="B448" s="1">
        <v>43395</v>
      </c>
      <c r="C448" t="s">
        <v>292</v>
      </c>
      <c r="D448">
        <v>10405.85</v>
      </c>
      <c r="E448">
        <v>10408.549999999999</v>
      </c>
      <c r="F448">
        <v>10224</v>
      </c>
      <c r="G448">
        <v>10245.25</v>
      </c>
      <c r="H448">
        <v>0</v>
      </c>
      <c r="I448" s="8">
        <f t="shared" si="25"/>
        <v>-5.6582440032802994E-3</v>
      </c>
      <c r="J448" s="8">
        <f t="shared" si="26"/>
        <v>-5.6743125075594458E-3</v>
      </c>
      <c r="K448" s="8">
        <f t="shared" ref="K448:K511" si="27">+G448/G387-1</f>
        <v>-6.496700769364161E-2</v>
      </c>
    </row>
    <row r="449" spans="1:11" x14ac:dyDescent="0.25">
      <c r="A449" t="str">
        <f t="shared" si="24"/>
        <v>102018</v>
      </c>
      <c r="B449" s="1">
        <v>43396</v>
      </c>
      <c r="C449" t="s">
        <v>293</v>
      </c>
      <c r="D449">
        <v>10152.6</v>
      </c>
      <c r="E449">
        <v>10222.1</v>
      </c>
      <c r="F449">
        <v>10102.35</v>
      </c>
      <c r="G449">
        <v>10146.799999999999</v>
      </c>
      <c r="H449">
        <v>0</v>
      </c>
      <c r="I449" s="8">
        <f t="shared" si="25"/>
        <v>-9.609331153461409E-3</v>
      </c>
      <c r="J449" s="8">
        <f t="shared" si="26"/>
        <v>-9.6557986970183269E-3</v>
      </c>
      <c r="K449" s="8">
        <f t="shared" si="27"/>
        <v>-7.8418194038255562E-2</v>
      </c>
    </row>
    <row r="450" spans="1:11" x14ac:dyDescent="0.25">
      <c r="A450" t="str">
        <f t="shared" si="24"/>
        <v>102018</v>
      </c>
      <c r="B450" s="1">
        <v>43397</v>
      </c>
      <c r="C450" t="s">
        <v>294</v>
      </c>
      <c r="D450">
        <v>10278.15</v>
      </c>
      <c r="E450">
        <v>10290.65</v>
      </c>
      <c r="F450">
        <v>10126.700000000001</v>
      </c>
      <c r="G450">
        <v>10224.75</v>
      </c>
      <c r="H450">
        <v>0</v>
      </c>
      <c r="I450" s="8">
        <f t="shared" si="25"/>
        <v>7.682224937911597E-3</v>
      </c>
      <c r="J450" s="8">
        <f t="shared" si="26"/>
        <v>7.6528669087056198E-3</v>
      </c>
      <c r="K450" s="8">
        <f t="shared" si="27"/>
        <v>-7.7584068201808742E-2</v>
      </c>
    </row>
    <row r="451" spans="1:11" x14ac:dyDescent="0.25">
      <c r="A451" t="str">
        <f t="shared" ref="A451:A514" si="28">+MONTH(B451)&amp;YEAR(B451)</f>
        <v>102018</v>
      </c>
      <c r="B451" s="1">
        <v>43398</v>
      </c>
      <c r="C451" t="s">
        <v>295</v>
      </c>
      <c r="D451">
        <v>10135.049999999999</v>
      </c>
      <c r="E451">
        <v>10166.6</v>
      </c>
      <c r="F451">
        <v>10079.299999999999</v>
      </c>
      <c r="G451">
        <v>10124.9</v>
      </c>
      <c r="H451">
        <v>0</v>
      </c>
      <c r="I451" s="8">
        <f t="shared" si="25"/>
        <v>-9.76551993936281E-3</v>
      </c>
      <c r="J451" s="8">
        <f t="shared" si="26"/>
        <v>-9.813515351592101E-3</v>
      </c>
      <c r="K451" s="8">
        <f t="shared" si="27"/>
        <v>-9.065679925994452E-2</v>
      </c>
    </row>
    <row r="452" spans="1:11" x14ac:dyDescent="0.25">
      <c r="A452" t="str">
        <f t="shared" si="28"/>
        <v>102018</v>
      </c>
      <c r="B452" s="1">
        <v>43399</v>
      </c>
      <c r="C452" t="s">
        <v>296</v>
      </c>
      <c r="D452">
        <v>10122.35</v>
      </c>
      <c r="E452">
        <v>10128.85</v>
      </c>
      <c r="F452">
        <v>10004.549999999999</v>
      </c>
      <c r="G452">
        <v>10030</v>
      </c>
      <c r="H452">
        <v>0</v>
      </c>
      <c r="I452" s="8">
        <f t="shared" ref="I452:I515" si="29">+G452/G451-1</f>
        <v>-9.3729320783414449E-3</v>
      </c>
      <c r="J452" s="8">
        <f t="shared" ref="J452:J515" si="30">+LN(1+I452)</f>
        <v>-9.4171344267753535E-3</v>
      </c>
      <c r="K452" s="8">
        <f t="shared" si="27"/>
        <v>-9.8993891484010055E-2</v>
      </c>
    </row>
    <row r="453" spans="1:11" x14ac:dyDescent="0.25">
      <c r="A453" t="str">
        <f t="shared" si="28"/>
        <v>102018</v>
      </c>
      <c r="B453" s="1">
        <v>43402</v>
      </c>
      <c r="C453" t="s">
        <v>297</v>
      </c>
      <c r="D453">
        <v>10078.1</v>
      </c>
      <c r="E453">
        <v>10275.299999999999</v>
      </c>
      <c r="F453">
        <v>10020.35</v>
      </c>
      <c r="G453">
        <v>10250.85</v>
      </c>
      <c r="H453">
        <v>0</v>
      </c>
      <c r="I453" s="8">
        <f t="shared" si="29"/>
        <v>2.201894317048847E-2</v>
      </c>
      <c r="J453" s="8">
        <f t="shared" si="30"/>
        <v>2.1780027001601827E-2</v>
      </c>
      <c r="K453" s="8">
        <f t="shared" si="27"/>
        <v>-8.2065494792832538E-2</v>
      </c>
    </row>
    <row r="454" spans="1:11" x14ac:dyDescent="0.25">
      <c r="A454" t="str">
        <f t="shared" si="28"/>
        <v>102018</v>
      </c>
      <c r="B454" s="1">
        <v>43403</v>
      </c>
      <c r="C454" t="s">
        <v>298</v>
      </c>
      <c r="D454">
        <v>10239.4</v>
      </c>
      <c r="E454">
        <v>10285.1</v>
      </c>
      <c r="F454">
        <v>10175.35</v>
      </c>
      <c r="G454">
        <v>10198.4</v>
      </c>
      <c r="H454">
        <v>0</v>
      </c>
      <c r="I454" s="8">
        <f t="shared" si="29"/>
        <v>-5.1166488632650164E-3</v>
      </c>
      <c r="J454" s="8">
        <f t="shared" si="30"/>
        <v>-5.129783734565848E-3</v>
      </c>
      <c r="K454" s="8">
        <f t="shared" si="27"/>
        <v>-9.5754254833375518E-2</v>
      </c>
    </row>
    <row r="455" spans="1:11" x14ac:dyDescent="0.25">
      <c r="A455" t="str">
        <f t="shared" si="28"/>
        <v>102018</v>
      </c>
      <c r="B455" s="1">
        <v>43404</v>
      </c>
      <c r="C455" t="s">
        <v>299</v>
      </c>
      <c r="D455">
        <v>10209.549999999999</v>
      </c>
      <c r="E455">
        <v>10396</v>
      </c>
      <c r="F455">
        <v>10105.1</v>
      </c>
      <c r="G455">
        <v>10386.6</v>
      </c>
      <c r="H455">
        <v>0</v>
      </c>
      <c r="I455" s="8">
        <f t="shared" si="29"/>
        <v>1.8453875117665497E-2</v>
      </c>
      <c r="J455" s="8">
        <f t="shared" si="30"/>
        <v>1.8285668587721533E-2</v>
      </c>
      <c r="K455" s="8">
        <f t="shared" si="27"/>
        <v>-8.2419354126268218E-2</v>
      </c>
    </row>
    <row r="456" spans="1:11" x14ac:dyDescent="0.25">
      <c r="A456" t="str">
        <f t="shared" si="28"/>
        <v>112018</v>
      </c>
      <c r="B456" s="1">
        <v>43405</v>
      </c>
      <c r="C456" s="10">
        <v>43111.645833333336</v>
      </c>
      <c r="D456">
        <v>10441.700000000001</v>
      </c>
      <c r="E456">
        <v>10441.9</v>
      </c>
      <c r="F456">
        <v>10341.9</v>
      </c>
      <c r="G456">
        <v>10380.450000000001</v>
      </c>
      <c r="H456">
        <v>0</v>
      </c>
      <c r="I456" s="8">
        <f t="shared" si="29"/>
        <v>-5.921090636011872E-4</v>
      </c>
      <c r="J456" s="8">
        <f t="shared" si="30"/>
        <v>-5.9228442939998919E-4</v>
      </c>
      <c r="K456" s="8">
        <f t="shared" si="27"/>
        <v>-8.5946374323074837E-2</v>
      </c>
    </row>
    <row r="457" spans="1:11" x14ac:dyDescent="0.25">
      <c r="A457" t="str">
        <f t="shared" si="28"/>
        <v>112018</v>
      </c>
      <c r="B457" s="1">
        <v>43406</v>
      </c>
      <c r="C457" s="10">
        <v>43142.645833333336</v>
      </c>
      <c r="D457">
        <v>10462.299999999999</v>
      </c>
      <c r="E457">
        <v>10606.95</v>
      </c>
      <c r="F457">
        <v>10457.700000000001</v>
      </c>
      <c r="G457">
        <v>10553</v>
      </c>
      <c r="H457">
        <v>0</v>
      </c>
      <c r="I457" s="8">
        <f t="shared" si="29"/>
        <v>1.6622593432847221E-2</v>
      </c>
      <c r="J457" s="8">
        <f t="shared" si="30"/>
        <v>1.648595028975125E-2</v>
      </c>
      <c r="K457" s="8">
        <f t="shared" si="27"/>
        <v>-6.9908868167316007E-2</v>
      </c>
    </row>
    <row r="458" spans="1:11" x14ac:dyDescent="0.25">
      <c r="A458" t="str">
        <f t="shared" si="28"/>
        <v>112018</v>
      </c>
      <c r="B458" s="1">
        <v>43409</v>
      </c>
      <c r="C458" s="10">
        <v>43231.791666666664</v>
      </c>
      <c r="D458">
        <v>10558.75</v>
      </c>
      <c r="E458">
        <v>10558.8</v>
      </c>
      <c r="F458">
        <v>10477</v>
      </c>
      <c r="G458">
        <v>10524</v>
      </c>
      <c r="H458">
        <v>0</v>
      </c>
      <c r="I458" s="8">
        <f t="shared" si="29"/>
        <v>-2.7480337344830685E-3</v>
      </c>
      <c r="J458" s="8">
        <f t="shared" si="30"/>
        <v>-2.7518165109068284E-3</v>
      </c>
      <c r="K458" s="8">
        <f t="shared" si="27"/>
        <v>-6.4092416871948665E-2</v>
      </c>
    </row>
    <row r="459" spans="1:11" x14ac:dyDescent="0.25">
      <c r="A459" t="str">
        <f t="shared" si="28"/>
        <v>112018</v>
      </c>
      <c r="B459" s="1">
        <v>43410</v>
      </c>
      <c r="C459" s="10">
        <v>43262.645833333336</v>
      </c>
      <c r="D459">
        <v>10552</v>
      </c>
      <c r="E459">
        <v>10600.25</v>
      </c>
      <c r="F459">
        <v>10491.45</v>
      </c>
      <c r="G459">
        <v>10530</v>
      </c>
      <c r="H459">
        <v>0</v>
      </c>
      <c r="I459" s="8">
        <f t="shared" si="29"/>
        <v>5.7012542759404816E-4</v>
      </c>
      <c r="J459" s="8">
        <f t="shared" si="30"/>
        <v>5.6996296783781274E-4</v>
      </c>
      <c r="K459" s="8">
        <f t="shared" si="27"/>
        <v>-7.3128652911766734E-2</v>
      </c>
    </row>
    <row r="460" spans="1:11" x14ac:dyDescent="0.25">
      <c r="A460" t="str">
        <f t="shared" si="28"/>
        <v>112018</v>
      </c>
      <c r="B460" s="1">
        <v>43413</v>
      </c>
      <c r="C460" s="10">
        <v>43354.645833333336</v>
      </c>
      <c r="D460">
        <v>10614.7</v>
      </c>
      <c r="E460">
        <v>10619.55</v>
      </c>
      <c r="F460">
        <v>10544.85</v>
      </c>
      <c r="G460">
        <v>10585.2</v>
      </c>
      <c r="H460">
        <v>0</v>
      </c>
      <c r="I460" s="8">
        <f t="shared" si="29"/>
        <v>5.2421652421652531E-3</v>
      </c>
      <c r="J460" s="8">
        <f t="shared" si="30"/>
        <v>5.2284729247003862E-3</v>
      </c>
      <c r="K460" s="8">
        <f t="shared" si="27"/>
        <v>-7.0421793081644979E-2</v>
      </c>
    </row>
    <row r="461" spans="1:11" x14ac:dyDescent="0.25">
      <c r="A461" t="str">
        <f t="shared" si="28"/>
        <v>112018</v>
      </c>
      <c r="B461" s="1">
        <v>43416</v>
      </c>
      <c r="C461" s="10">
        <v>43445.645833333336</v>
      </c>
      <c r="D461">
        <v>10607.8</v>
      </c>
      <c r="E461">
        <v>10645.5</v>
      </c>
      <c r="F461">
        <v>10464.049999999999</v>
      </c>
      <c r="G461">
        <v>10482.200000000001</v>
      </c>
      <c r="H461">
        <v>0</v>
      </c>
      <c r="I461" s="8">
        <f t="shared" si="29"/>
        <v>-9.7305672070437943E-3</v>
      </c>
      <c r="J461" s="8">
        <f t="shared" si="30"/>
        <v>-9.7782185444554946E-3</v>
      </c>
      <c r="K461" s="8">
        <f t="shared" si="27"/>
        <v>-7.9657051042851035E-2</v>
      </c>
    </row>
    <row r="462" spans="1:11" x14ac:dyDescent="0.25">
      <c r="A462" t="str">
        <f t="shared" si="28"/>
        <v>112018</v>
      </c>
      <c r="B462" s="1">
        <v>43417</v>
      </c>
      <c r="C462" t="s">
        <v>300</v>
      </c>
      <c r="D462">
        <v>10451.9</v>
      </c>
      <c r="E462">
        <v>10596.25</v>
      </c>
      <c r="F462">
        <v>10440.549999999999</v>
      </c>
      <c r="G462">
        <v>10582.5</v>
      </c>
      <c r="H462">
        <v>0</v>
      </c>
      <c r="I462" s="8">
        <f t="shared" si="29"/>
        <v>9.56860201102816E-3</v>
      </c>
      <c r="J462" s="8">
        <f t="shared" si="30"/>
        <v>9.5231128868126375E-3</v>
      </c>
      <c r="K462" s="8">
        <f t="shared" si="27"/>
        <v>-7.5764192139737951E-2</v>
      </c>
    </row>
    <row r="463" spans="1:11" x14ac:dyDescent="0.25">
      <c r="A463" t="str">
        <f t="shared" si="28"/>
        <v>112018</v>
      </c>
      <c r="B463" s="1">
        <v>43418</v>
      </c>
      <c r="C463" t="s">
        <v>301</v>
      </c>
      <c r="D463">
        <v>10634.9</v>
      </c>
      <c r="E463">
        <v>10651.6</v>
      </c>
      <c r="F463">
        <v>10532.7</v>
      </c>
      <c r="G463">
        <v>10576.3</v>
      </c>
      <c r="H463">
        <v>0</v>
      </c>
      <c r="I463" s="8">
        <f t="shared" si="29"/>
        <v>-5.8587290337830389E-4</v>
      </c>
      <c r="J463" s="8">
        <f t="shared" si="30"/>
        <v>-5.8604459397027908E-4</v>
      </c>
      <c r="K463" s="8">
        <f t="shared" si="27"/>
        <v>-7.7972573600565087E-2</v>
      </c>
    </row>
    <row r="464" spans="1:11" x14ac:dyDescent="0.25">
      <c r="A464" t="str">
        <f t="shared" si="28"/>
        <v>112018</v>
      </c>
      <c r="B464" s="1">
        <v>43419</v>
      </c>
      <c r="C464" t="s">
        <v>302</v>
      </c>
      <c r="D464">
        <v>10580.6</v>
      </c>
      <c r="E464">
        <v>10646.5</v>
      </c>
      <c r="F464">
        <v>10557.5</v>
      </c>
      <c r="G464">
        <v>10616.7</v>
      </c>
      <c r="H464">
        <v>0</v>
      </c>
      <c r="I464" s="8">
        <f t="shared" si="29"/>
        <v>3.8198613881983423E-3</v>
      </c>
      <c r="J464" s="8">
        <f t="shared" si="30"/>
        <v>3.8125842435878768E-3</v>
      </c>
      <c r="K464" s="8">
        <f t="shared" si="27"/>
        <v>-7.111422196946493E-2</v>
      </c>
    </row>
    <row r="465" spans="1:11" x14ac:dyDescent="0.25">
      <c r="A465" t="str">
        <f t="shared" si="28"/>
        <v>112018</v>
      </c>
      <c r="B465" s="1">
        <v>43420</v>
      </c>
      <c r="C465" t="s">
        <v>303</v>
      </c>
      <c r="D465">
        <v>10644</v>
      </c>
      <c r="E465">
        <v>10695.15</v>
      </c>
      <c r="F465">
        <v>10631.15</v>
      </c>
      <c r="G465">
        <v>10682.2</v>
      </c>
      <c r="H465">
        <v>0</v>
      </c>
      <c r="I465" s="8">
        <f t="shared" si="29"/>
        <v>6.1695253704070474E-3</v>
      </c>
      <c r="J465" s="8">
        <f t="shared" si="30"/>
        <v>6.1505717653091464E-3</v>
      </c>
      <c r="K465" s="8">
        <f t="shared" si="27"/>
        <v>-5.9313563613147435E-2</v>
      </c>
    </row>
    <row r="466" spans="1:11" x14ac:dyDescent="0.25">
      <c r="A466" t="str">
        <f t="shared" si="28"/>
        <v>112018</v>
      </c>
      <c r="B466" s="1">
        <v>43423</v>
      </c>
      <c r="C466" t="s">
        <v>304</v>
      </c>
      <c r="D466">
        <v>10731.25</v>
      </c>
      <c r="E466">
        <v>10774.7</v>
      </c>
      <c r="F466">
        <v>10688.8</v>
      </c>
      <c r="G466">
        <v>10763.4</v>
      </c>
      <c r="H466">
        <v>0</v>
      </c>
      <c r="I466" s="8">
        <f t="shared" si="29"/>
        <v>7.6014304169551572E-3</v>
      </c>
      <c r="J466" s="8">
        <f t="shared" si="30"/>
        <v>7.5726851230944036E-3</v>
      </c>
      <c r="K466" s="8">
        <f t="shared" si="27"/>
        <v>-5.8740194663798317E-2</v>
      </c>
    </row>
    <row r="467" spans="1:11" x14ac:dyDescent="0.25">
      <c r="A467" t="str">
        <f t="shared" si="28"/>
        <v>112018</v>
      </c>
      <c r="B467" s="1">
        <v>43424</v>
      </c>
      <c r="C467" t="s">
        <v>305</v>
      </c>
      <c r="D467">
        <v>10740.1</v>
      </c>
      <c r="E467">
        <v>10740.85</v>
      </c>
      <c r="F467">
        <v>10640.85</v>
      </c>
      <c r="G467">
        <v>10656.2</v>
      </c>
      <c r="H467">
        <v>0</v>
      </c>
      <c r="I467" s="8">
        <f t="shared" si="29"/>
        <v>-9.9596781686083213E-3</v>
      </c>
      <c r="J467" s="8">
        <f t="shared" si="30"/>
        <v>-1.0009607560291778E-2</v>
      </c>
      <c r="K467" s="8">
        <f t="shared" si="27"/>
        <v>-6.4018164171435243E-2</v>
      </c>
    </row>
    <row r="468" spans="1:11" x14ac:dyDescent="0.25">
      <c r="A468" t="str">
        <f t="shared" si="28"/>
        <v>112018</v>
      </c>
      <c r="B468" s="1">
        <v>43425</v>
      </c>
      <c r="C468" t="s">
        <v>306</v>
      </c>
      <c r="D468">
        <v>10670.95</v>
      </c>
      <c r="E468">
        <v>10671.3</v>
      </c>
      <c r="F468">
        <v>10562.35</v>
      </c>
      <c r="G468">
        <v>10600.05</v>
      </c>
      <c r="H468">
        <v>0</v>
      </c>
      <c r="I468" s="8">
        <f t="shared" si="29"/>
        <v>-5.2692329348174027E-3</v>
      </c>
      <c r="J468" s="8">
        <f t="shared" si="30"/>
        <v>-5.2831643026424535E-3</v>
      </c>
      <c r="K468" s="8">
        <f t="shared" si="27"/>
        <v>-7.5906109016411372E-2</v>
      </c>
    </row>
    <row r="469" spans="1:11" x14ac:dyDescent="0.25">
      <c r="A469" t="str">
        <f t="shared" si="28"/>
        <v>112018</v>
      </c>
      <c r="B469" s="1">
        <v>43426</v>
      </c>
      <c r="C469" t="s">
        <v>307</v>
      </c>
      <c r="D469">
        <v>10612.65</v>
      </c>
      <c r="E469">
        <v>10646.25</v>
      </c>
      <c r="F469">
        <v>10512</v>
      </c>
      <c r="G469">
        <v>10526.75</v>
      </c>
      <c r="H469">
        <v>0</v>
      </c>
      <c r="I469" s="8">
        <f t="shared" si="29"/>
        <v>-6.9150617214068788E-3</v>
      </c>
      <c r="J469" s="8">
        <f t="shared" si="30"/>
        <v>-6.9390815571901548E-3</v>
      </c>
      <c r="K469" s="8">
        <f t="shared" si="27"/>
        <v>-8.873114463176579E-2</v>
      </c>
    </row>
    <row r="470" spans="1:11" x14ac:dyDescent="0.25">
      <c r="A470" t="str">
        <f t="shared" si="28"/>
        <v>112018</v>
      </c>
      <c r="B470" s="1">
        <v>43430</v>
      </c>
      <c r="C470" t="s">
        <v>308</v>
      </c>
      <c r="D470">
        <v>10568.3</v>
      </c>
      <c r="E470">
        <v>10637.8</v>
      </c>
      <c r="F470">
        <v>10489.75</v>
      </c>
      <c r="G470">
        <v>10628.6</v>
      </c>
      <c r="H470">
        <v>0</v>
      </c>
      <c r="I470" s="8">
        <f t="shared" si="29"/>
        <v>9.6753508917757358E-3</v>
      </c>
      <c r="J470" s="8">
        <f t="shared" si="30"/>
        <v>9.6288444213244173E-3</v>
      </c>
      <c r="K470" s="8">
        <f t="shared" si="27"/>
        <v>-8.1437053297496287E-2</v>
      </c>
    </row>
    <row r="471" spans="1:11" x14ac:dyDescent="0.25">
      <c r="A471" t="str">
        <f t="shared" si="28"/>
        <v>112018</v>
      </c>
      <c r="B471" s="1">
        <v>43431</v>
      </c>
      <c r="C471" t="s">
        <v>309</v>
      </c>
      <c r="D471">
        <v>10621.45</v>
      </c>
      <c r="E471">
        <v>10695.15</v>
      </c>
      <c r="F471">
        <v>10596.35</v>
      </c>
      <c r="G471">
        <v>10685.6</v>
      </c>
      <c r="H471">
        <v>0</v>
      </c>
      <c r="I471" s="8">
        <f t="shared" si="29"/>
        <v>5.3628888094385818E-3</v>
      </c>
      <c r="J471" s="8">
        <f t="shared" si="30"/>
        <v>5.3485597285956952E-3</v>
      </c>
      <c r="K471" s="8">
        <f t="shared" si="27"/>
        <v>-7.7455699207873763E-2</v>
      </c>
    </row>
    <row r="472" spans="1:11" x14ac:dyDescent="0.25">
      <c r="A472" t="str">
        <f t="shared" si="28"/>
        <v>112018</v>
      </c>
      <c r="B472" s="1">
        <v>43432</v>
      </c>
      <c r="C472" t="s">
        <v>310</v>
      </c>
      <c r="D472">
        <v>10708.75</v>
      </c>
      <c r="E472">
        <v>10757.8</v>
      </c>
      <c r="F472">
        <v>10699.85</v>
      </c>
      <c r="G472">
        <v>10728.85</v>
      </c>
      <c r="H472">
        <v>0</v>
      </c>
      <c r="I472" s="8">
        <f t="shared" si="29"/>
        <v>4.0475031818523188E-3</v>
      </c>
      <c r="J472" s="8">
        <f t="shared" si="30"/>
        <v>4.0393340764166815E-3</v>
      </c>
      <c r="K472" s="8">
        <f t="shared" si="27"/>
        <v>-7.1665902345744215E-2</v>
      </c>
    </row>
    <row r="473" spans="1:11" x14ac:dyDescent="0.25">
      <c r="A473" t="str">
        <f t="shared" si="28"/>
        <v>112018</v>
      </c>
      <c r="B473" s="1">
        <v>43433</v>
      </c>
      <c r="C473" t="s">
        <v>311</v>
      </c>
      <c r="D473">
        <v>10808.7</v>
      </c>
      <c r="E473">
        <v>10883.05</v>
      </c>
      <c r="F473">
        <v>10782.35</v>
      </c>
      <c r="G473">
        <v>10858.7</v>
      </c>
      <c r="H473">
        <v>0</v>
      </c>
      <c r="I473" s="8">
        <f t="shared" si="29"/>
        <v>1.21028814831039E-2</v>
      </c>
      <c r="J473" s="8">
        <f t="shared" si="30"/>
        <v>1.203022724265825E-2</v>
      </c>
      <c r="K473" s="8">
        <f t="shared" si="27"/>
        <v>-7.1266982838619763E-2</v>
      </c>
    </row>
    <row r="474" spans="1:11" x14ac:dyDescent="0.25">
      <c r="A474" t="str">
        <f t="shared" si="28"/>
        <v>112018</v>
      </c>
      <c r="B474" s="1">
        <v>43434</v>
      </c>
      <c r="C474" t="s">
        <v>312</v>
      </c>
      <c r="D474">
        <v>10892.1</v>
      </c>
      <c r="E474">
        <v>10922.45</v>
      </c>
      <c r="F474">
        <v>10835.1</v>
      </c>
      <c r="G474">
        <v>10876.75</v>
      </c>
      <c r="H474">
        <v>0</v>
      </c>
      <c r="I474" s="8">
        <f t="shared" si="29"/>
        <v>1.6622615966919163E-3</v>
      </c>
      <c r="J474" s="8">
        <f t="shared" si="30"/>
        <v>1.660881568983717E-3</v>
      </c>
      <c r="K474" s="8">
        <f t="shared" si="27"/>
        <v>-7.3412275844443542E-2</v>
      </c>
    </row>
    <row r="475" spans="1:11" x14ac:dyDescent="0.25">
      <c r="A475" t="str">
        <f t="shared" si="28"/>
        <v>122018</v>
      </c>
      <c r="B475" s="1">
        <v>43437</v>
      </c>
      <c r="C475" s="10">
        <v>43171.645833333336</v>
      </c>
      <c r="D475">
        <v>10930.7</v>
      </c>
      <c r="E475">
        <v>10941.2</v>
      </c>
      <c r="F475">
        <v>10845.35</v>
      </c>
      <c r="G475">
        <v>10883.75</v>
      </c>
      <c r="H475">
        <v>0</v>
      </c>
      <c r="I475" s="8">
        <f t="shared" si="29"/>
        <v>6.4357459719133203E-4</v>
      </c>
      <c r="J475" s="8">
        <f t="shared" si="30"/>
        <v>6.4336759187107249E-4</v>
      </c>
      <c r="K475" s="8">
        <f t="shared" si="27"/>
        <v>-6.9120502228038228E-2</v>
      </c>
    </row>
    <row r="476" spans="1:11" x14ac:dyDescent="0.25">
      <c r="A476" t="str">
        <f t="shared" si="28"/>
        <v>122018</v>
      </c>
      <c r="B476" s="1">
        <v>43438</v>
      </c>
      <c r="C476" s="10">
        <v>43202.645833333336</v>
      </c>
      <c r="D476">
        <v>10877.1</v>
      </c>
      <c r="E476">
        <v>10890.95</v>
      </c>
      <c r="F476">
        <v>10833.35</v>
      </c>
      <c r="G476">
        <v>10869.5</v>
      </c>
      <c r="H476">
        <v>0</v>
      </c>
      <c r="I476" s="8">
        <f t="shared" si="29"/>
        <v>-1.3092913747559942E-3</v>
      </c>
      <c r="J476" s="8">
        <f t="shared" si="30"/>
        <v>-1.3101492455916805E-3</v>
      </c>
      <c r="K476" s="8">
        <f t="shared" si="27"/>
        <v>-6.9137092354069507E-2</v>
      </c>
    </row>
    <row r="477" spans="1:11" x14ac:dyDescent="0.25">
      <c r="A477" t="str">
        <f t="shared" si="28"/>
        <v>122018</v>
      </c>
      <c r="B477" s="1">
        <v>43439</v>
      </c>
      <c r="C477" s="10">
        <v>43232.645833333336</v>
      </c>
      <c r="D477">
        <v>10820.45</v>
      </c>
      <c r="E477">
        <v>10821.05</v>
      </c>
      <c r="F477">
        <v>10747.95</v>
      </c>
      <c r="G477">
        <v>10782.9</v>
      </c>
      <c r="H477">
        <v>0</v>
      </c>
      <c r="I477" s="8">
        <f t="shared" si="29"/>
        <v>-7.9672478034868988E-3</v>
      </c>
      <c r="J477" s="8">
        <f t="shared" si="30"/>
        <v>-7.9991559151610485E-3</v>
      </c>
      <c r="K477" s="8">
        <f t="shared" si="27"/>
        <v>-7.6846025426993703E-2</v>
      </c>
    </row>
    <row r="478" spans="1:11" x14ac:dyDescent="0.25">
      <c r="A478" t="str">
        <f t="shared" si="28"/>
        <v>122018</v>
      </c>
      <c r="B478" s="1">
        <v>43440</v>
      </c>
      <c r="C478" s="10">
        <v>43263.645833333336</v>
      </c>
      <c r="D478">
        <v>10718.15</v>
      </c>
      <c r="E478">
        <v>10722.65</v>
      </c>
      <c r="F478">
        <v>10588.25</v>
      </c>
      <c r="G478">
        <v>10601.15</v>
      </c>
      <c r="H478">
        <v>0</v>
      </c>
      <c r="I478" s="8">
        <f t="shared" si="29"/>
        <v>-1.6855391406764397E-2</v>
      </c>
      <c r="J478" s="8">
        <f t="shared" si="30"/>
        <v>-1.6999060200552332E-2</v>
      </c>
      <c r="K478" s="8">
        <f t="shared" si="27"/>
        <v>-8.4715105311098382E-2</v>
      </c>
    </row>
    <row r="479" spans="1:11" x14ac:dyDescent="0.25">
      <c r="A479" t="str">
        <f t="shared" si="28"/>
        <v>122018</v>
      </c>
      <c r="B479" s="1">
        <v>43441</v>
      </c>
      <c r="C479" s="10">
        <v>43293.645833333336</v>
      </c>
      <c r="D479">
        <v>10644.8</v>
      </c>
      <c r="E479">
        <v>10704.55</v>
      </c>
      <c r="F479">
        <v>10599.35</v>
      </c>
      <c r="G479">
        <v>10693.7</v>
      </c>
      <c r="H479">
        <v>0</v>
      </c>
      <c r="I479" s="8">
        <f t="shared" si="29"/>
        <v>8.7301849327667824E-3</v>
      </c>
      <c r="J479" s="8">
        <f t="shared" si="30"/>
        <v>8.6922972197649214E-3</v>
      </c>
      <c r="K479" s="8">
        <f t="shared" si="27"/>
        <v>-7.1751603690875965E-2</v>
      </c>
    </row>
    <row r="480" spans="1:11" x14ac:dyDescent="0.25">
      <c r="A480" t="str">
        <f t="shared" si="28"/>
        <v>122018</v>
      </c>
      <c r="B480" s="1">
        <v>43444</v>
      </c>
      <c r="C480" s="10">
        <v>43385.645833333336</v>
      </c>
      <c r="D480">
        <v>10508.7</v>
      </c>
      <c r="E480">
        <v>10558.85</v>
      </c>
      <c r="F480">
        <v>10474.950000000001</v>
      </c>
      <c r="G480">
        <v>10488.45</v>
      </c>
      <c r="H480">
        <v>0</v>
      </c>
      <c r="I480" s="8">
        <f t="shared" si="29"/>
        <v>-1.919354386227401E-2</v>
      </c>
      <c r="J480" s="8">
        <f t="shared" si="30"/>
        <v>-1.9380131299703507E-2</v>
      </c>
      <c r="K480" s="8">
        <f t="shared" si="27"/>
        <v>-8.612915452276082E-2</v>
      </c>
    </row>
    <row r="481" spans="1:11" x14ac:dyDescent="0.25">
      <c r="A481" t="str">
        <f t="shared" si="28"/>
        <v>122018</v>
      </c>
      <c r="B481" s="1">
        <v>43445</v>
      </c>
      <c r="C481" s="10">
        <v>43416.645833333336</v>
      </c>
      <c r="D481">
        <v>10350.049999999999</v>
      </c>
      <c r="E481">
        <v>10567.15</v>
      </c>
      <c r="F481">
        <v>10333.85</v>
      </c>
      <c r="G481">
        <v>10549.15</v>
      </c>
      <c r="H481">
        <v>0</v>
      </c>
      <c r="I481" s="8">
        <f t="shared" si="29"/>
        <v>5.7873184312267067E-3</v>
      </c>
      <c r="J481" s="8">
        <f t="shared" si="30"/>
        <v>5.7706362364179642E-3</v>
      </c>
      <c r="K481" s="8">
        <f t="shared" si="27"/>
        <v>-8.5616586778077264E-2</v>
      </c>
    </row>
    <row r="482" spans="1:11" x14ac:dyDescent="0.25">
      <c r="A482" t="str">
        <f t="shared" si="28"/>
        <v>122018</v>
      </c>
      <c r="B482" s="1">
        <v>43446</v>
      </c>
      <c r="C482" s="10">
        <v>43446.645833333336</v>
      </c>
      <c r="D482">
        <v>10591</v>
      </c>
      <c r="E482">
        <v>10752.2</v>
      </c>
      <c r="F482">
        <v>10560.8</v>
      </c>
      <c r="G482">
        <v>10737.6</v>
      </c>
      <c r="H482">
        <v>0</v>
      </c>
      <c r="I482" s="8">
        <f t="shared" si="29"/>
        <v>1.7863998521207902E-2</v>
      </c>
      <c r="J482" s="8">
        <f t="shared" si="30"/>
        <v>1.7706312465975173E-2</v>
      </c>
      <c r="K482" s="8">
        <f t="shared" si="27"/>
        <v>-7.3474212837925323E-2</v>
      </c>
    </row>
    <row r="483" spans="1:11" x14ac:dyDescent="0.25">
      <c r="A483" t="str">
        <f t="shared" si="28"/>
        <v>122018</v>
      </c>
      <c r="B483" s="1">
        <v>43447</v>
      </c>
      <c r="C483" t="s">
        <v>313</v>
      </c>
      <c r="D483">
        <v>10810.75</v>
      </c>
      <c r="E483">
        <v>10838.6</v>
      </c>
      <c r="F483">
        <v>10749.5</v>
      </c>
      <c r="G483">
        <v>10791.55</v>
      </c>
      <c r="H483">
        <v>0</v>
      </c>
      <c r="I483" s="8">
        <f t="shared" si="29"/>
        <v>5.0244002384145503E-3</v>
      </c>
      <c r="J483" s="8">
        <f t="shared" si="30"/>
        <v>5.0118200605062885E-3</v>
      </c>
      <c r="K483" s="8">
        <f t="shared" si="27"/>
        <v>-5.6525996450459526E-2</v>
      </c>
    </row>
    <row r="484" spans="1:11" x14ac:dyDescent="0.25">
      <c r="A484" t="str">
        <f t="shared" si="28"/>
        <v>122018</v>
      </c>
      <c r="B484" s="1">
        <v>43448</v>
      </c>
      <c r="C484" t="s">
        <v>314</v>
      </c>
      <c r="D484">
        <v>10784.5</v>
      </c>
      <c r="E484">
        <v>10815.75</v>
      </c>
      <c r="F484">
        <v>10752.1</v>
      </c>
      <c r="G484">
        <v>10805.45</v>
      </c>
      <c r="H484">
        <v>0</v>
      </c>
      <c r="I484" s="8">
        <f t="shared" si="29"/>
        <v>1.2880448128398392E-3</v>
      </c>
      <c r="J484" s="8">
        <f t="shared" si="30"/>
        <v>1.287215994746788E-3</v>
      </c>
      <c r="K484" s="8">
        <f t="shared" si="27"/>
        <v>-4.2706533776301181E-2</v>
      </c>
    </row>
    <row r="485" spans="1:11" x14ac:dyDescent="0.25">
      <c r="A485" t="str">
        <f t="shared" si="28"/>
        <v>122018</v>
      </c>
      <c r="B485" s="1">
        <v>43451</v>
      </c>
      <c r="C485" t="s">
        <v>315</v>
      </c>
      <c r="D485">
        <v>10853.2</v>
      </c>
      <c r="E485">
        <v>10900.35</v>
      </c>
      <c r="F485">
        <v>10844.85</v>
      </c>
      <c r="G485">
        <v>10888.35</v>
      </c>
      <c r="H485">
        <v>0</v>
      </c>
      <c r="I485" s="8">
        <f t="shared" si="29"/>
        <v>7.6720543799655427E-3</v>
      </c>
      <c r="J485" s="8">
        <f t="shared" si="30"/>
        <v>7.6427738366829845E-3</v>
      </c>
      <c r="K485" s="8">
        <f t="shared" si="27"/>
        <v>-4.2353054996086104E-2</v>
      </c>
    </row>
    <row r="486" spans="1:11" x14ac:dyDescent="0.25">
      <c r="A486" t="str">
        <f t="shared" si="28"/>
        <v>122018</v>
      </c>
      <c r="B486" s="1">
        <v>43452</v>
      </c>
      <c r="C486" t="s">
        <v>316</v>
      </c>
      <c r="D486">
        <v>10850.9</v>
      </c>
      <c r="E486">
        <v>10915.4</v>
      </c>
      <c r="F486">
        <v>10819.1</v>
      </c>
      <c r="G486">
        <v>10908.7</v>
      </c>
      <c r="H486">
        <v>0</v>
      </c>
      <c r="I486" s="8">
        <f t="shared" si="29"/>
        <v>1.8689700459666447E-3</v>
      </c>
      <c r="J486" s="8">
        <f t="shared" si="30"/>
        <v>1.8672256945391607E-3</v>
      </c>
      <c r="K486" s="8">
        <f t="shared" si="27"/>
        <v>-5.2669515075726037E-2</v>
      </c>
    </row>
    <row r="487" spans="1:11" x14ac:dyDescent="0.25">
      <c r="A487" t="str">
        <f t="shared" si="28"/>
        <v>122018</v>
      </c>
      <c r="B487" s="1">
        <v>43453</v>
      </c>
      <c r="C487" t="s">
        <v>317</v>
      </c>
      <c r="D487">
        <v>10930.55</v>
      </c>
      <c r="E487">
        <v>10985.15</v>
      </c>
      <c r="F487">
        <v>10928</v>
      </c>
      <c r="G487">
        <v>10967.3</v>
      </c>
      <c r="H487">
        <v>0</v>
      </c>
      <c r="I487" s="8">
        <f t="shared" si="29"/>
        <v>5.3718591582863073E-3</v>
      </c>
      <c r="J487" s="8">
        <f t="shared" si="30"/>
        <v>5.3574821872709151E-3</v>
      </c>
      <c r="K487" s="8">
        <f t="shared" si="27"/>
        <v>-3.6074795104480306E-2</v>
      </c>
    </row>
    <row r="488" spans="1:11" x14ac:dyDescent="0.25">
      <c r="A488" t="str">
        <f t="shared" si="28"/>
        <v>122018</v>
      </c>
      <c r="B488" s="1">
        <v>43454</v>
      </c>
      <c r="C488" t="s">
        <v>318</v>
      </c>
      <c r="D488">
        <v>10885.2</v>
      </c>
      <c r="E488">
        <v>10962.55</v>
      </c>
      <c r="F488">
        <v>10880.05</v>
      </c>
      <c r="G488">
        <v>10951.7</v>
      </c>
      <c r="H488">
        <v>0</v>
      </c>
      <c r="I488" s="8">
        <f t="shared" si="29"/>
        <v>-1.4224102559425855E-3</v>
      </c>
      <c r="J488" s="8">
        <f t="shared" si="30"/>
        <v>-1.4234228417328702E-3</v>
      </c>
      <c r="K488" s="8">
        <f t="shared" si="27"/>
        <v>-2.9009921180256804E-2</v>
      </c>
    </row>
    <row r="489" spans="1:11" x14ac:dyDescent="0.25">
      <c r="A489" t="str">
        <f t="shared" si="28"/>
        <v>122018</v>
      </c>
      <c r="B489" s="1">
        <v>43455</v>
      </c>
      <c r="C489" t="s">
        <v>319</v>
      </c>
      <c r="D489">
        <v>10944.25</v>
      </c>
      <c r="E489">
        <v>10963.65</v>
      </c>
      <c r="F489">
        <v>10738.65</v>
      </c>
      <c r="G489">
        <v>10754</v>
      </c>
      <c r="H489">
        <v>0</v>
      </c>
      <c r="I489" s="8">
        <f t="shared" si="29"/>
        <v>-1.8051991928193845E-2</v>
      </c>
      <c r="J489" s="8">
        <f t="shared" si="30"/>
        <v>-1.8216916966364759E-2</v>
      </c>
      <c r="K489" s="8">
        <f t="shared" si="27"/>
        <v>-4.2757257874287413E-2</v>
      </c>
    </row>
    <row r="490" spans="1:11" x14ac:dyDescent="0.25">
      <c r="A490" t="str">
        <f t="shared" si="28"/>
        <v>122018</v>
      </c>
      <c r="B490" s="1">
        <v>43458</v>
      </c>
      <c r="C490" t="s">
        <v>320</v>
      </c>
      <c r="D490">
        <v>10780.9</v>
      </c>
      <c r="E490">
        <v>10782.3</v>
      </c>
      <c r="F490">
        <v>10649.25</v>
      </c>
      <c r="G490">
        <v>10663.5</v>
      </c>
      <c r="H490">
        <v>0</v>
      </c>
      <c r="I490" s="8">
        <f t="shared" si="29"/>
        <v>-8.4154733122558945E-3</v>
      </c>
      <c r="J490" s="8">
        <f t="shared" si="30"/>
        <v>-8.4510833319758998E-3</v>
      </c>
      <c r="K490" s="8">
        <f t="shared" si="27"/>
        <v>-4.3040087587834619E-2</v>
      </c>
    </row>
    <row r="491" spans="1:11" x14ac:dyDescent="0.25">
      <c r="A491" t="str">
        <f t="shared" si="28"/>
        <v>122018</v>
      </c>
      <c r="B491" s="1">
        <v>43460</v>
      </c>
      <c r="C491" t="s">
        <v>321</v>
      </c>
      <c r="D491">
        <v>10635.45</v>
      </c>
      <c r="E491">
        <v>10747.5</v>
      </c>
      <c r="F491">
        <v>10534.55</v>
      </c>
      <c r="G491">
        <v>10729.85</v>
      </c>
      <c r="H491">
        <v>0</v>
      </c>
      <c r="I491" s="8">
        <f t="shared" si="29"/>
        <v>6.2221597036620224E-3</v>
      </c>
      <c r="J491" s="8">
        <f t="shared" si="30"/>
        <v>6.2028819926444774E-3</v>
      </c>
      <c r="K491" s="8">
        <f t="shared" si="27"/>
        <v>-2.1659645859547272E-2</v>
      </c>
    </row>
    <row r="492" spans="1:11" x14ac:dyDescent="0.25">
      <c r="A492" t="str">
        <f t="shared" si="28"/>
        <v>122018</v>
      </c>
      <c r="B492" s="1">
        <v>43461</v>
      </c>
      <c r="C492" t="s">
        <v>322</v>
      </c>
      <c r="D492">
        <v>10817.9</v>
      </c>
      <c r="E492">
        <v>10834.2</v>
      </c>
      <c r="F492">
        <v>10764.45</v>
      </c>
      <c r="G492">
        <v>10779.8</v>
      </c>
      <c r="H492">
        <v>0</v>
      </c>
      <c r="I492" s="8">
        <f t="shared" si="29"/>
        <v>4.6552374916704053E-3</v>
      </c>
      <c r="J492" s="8">
        <f t="shared" si="30"/>
        <v>4.6444353848936974E-3</v>
      </c>
      <c r="K492" s="8">
        <f t="shared" si="27"/>
        <v>-2.5990630181297547E-2</v>
      </c>
    </row>
    <row r="493" spans="1:11" x14ac:dyDescent="0.25">
      <c r="A493" t="str">
        <f t="shared" si="28"/>
        <v>122018</v>
      </c>
      <c r="B493" s="1">
        <v>43462</v>
      </c>
      <c r="C493" t="s">
        <v>323</v>
      </c>
      <c r="D493">
        <v>10820.95</v>
      </c>
      <c r="E493">
        <v>10893.6</v>
      </c>
      <c r="F493">
        <v>10817.15</v>
      </c>
      <c r="G493">
        <v>10859.9</v>
      </c>
      <c r="H493">
        <v>0</v>
      </c>
      <c r="I493" s="8">
        <f t="shared" si="29"/>
        <v>7.4305645744818793E-3</v>
      </c>
      <c r="J493" s="8">
        <f t="shared" si="30"/>
        <v>7.4030939272151253E-3</v>
      </c>
      <c r="K493" s="8">
        <f t="shared" si="27"/>
        <v>-1.7541478948415845E-2</v>
      </c>
    </row>
    <row r="494" spans="1:11" x14ac:dyDescent="0.25">
      <c r="A494" t="str">
        <f t="shared" si="28"/>
        <v>122018</v>
      </c>
      <c r="B494" s="1">
        <v>43465</v>
      </c>
      <c r="C494" t="s">
        <v>324</v>
      </c>
      <c r="D494">
        <v>10913.2</v>
      </c>
      <c r="E494">
        <v>10923.55</v>
      </c>
      <c r="F494">
        <v>10853.2</v>
      </c>
      <c r="G494">
        <v>10862.55</v>
      </c>
      <c r="H494">
        <v>0</v>
      </c>
      <c r="I494" s="8">
        <f t="shared" si="29"/>
        <v>2.4401697989850923E-4</v>
      </c>
      <c r="J494" s="8">
        <f t="shared" si="30"/>
        <v>2.4398721259765596E-4</v>
      </c>
      <c r="K494" s="8">
        <f t="shared" si="27"/>
        <v>-1.047592586688284E-2</v>
      </c>
    </row>
    <row r="495" spans="1:11" x14ac:dyDescent="0.25">
      <c r="A495" t="str">
        <f t="shared" si="28"/>
        <v>12019</v>
      </c>
      <c r="B495" s="1">
        <v>43466</v>
      </c>
      <c r="C495" s="10">
        <v>43466.645833333336</v>
      </c>
      <c r="D495">
        <v>10881.7</v>
      </c>
      <c r="E495">
        <v>10923.6</v>
      </c>
      <c r="F495">
        <v>10807.1</v>
      </c>
      <c r="G495">
        <v>10910.1</v>
      </c>
      <c r="H495">
        <v>0</v>
      </c>
      <c r="I495" s="8">
        <f t="shared" si="29"/>
        <v>4.3774251902177763E-3</v>
      </c>
      <c r="J495" s="8">
        <f t="shared" si="30"/>
        <v>4.3678721329528042E-3</v>
      </c>
      <c r="K495" s="8">
        <f t="shared" si="27"/>
        <v>-1.8617714732697133E-3</v>
      </c>
    </row>
    <row r="496" spans="1:11" x14ac:dyDescent="0.25">
      <c r="A496" t="str">
        <f t="shared" si="28"/>
        <v>12019</v>
      </c>
      <c r="B496" s="1">
        <v>43467</v>
      </c>
      <c r="C496" s="10">
        <v>43497.645833333336</v>
      </c>
      <c r="D496">
        <v>10868.85</v>
      </c>
      <c r="E496">
        <v>10895.35</v>
      </c>
      <c r="F496">
        <v>10735.05</v>
      </c>
      <c r="G496">
        <v>10792.5</v>
      </c>
      <c r="H496">
        <v>0</v>
      </c>
      <c r="I496" s="8">
        <f t="shared" si="29"/>
        <v>-1.0779002942227889E-2</v>
      </c>
      <c r="J496" s="8">
        <f t="shared" si="30"/>
        <v>-1.0837517258318774E-2</v>
      </c>
      <c r="K496" s="8">
        <f t="shared" si="27"/>
        <v>-1.9603390169235846E-2</v>
      </c>
    </row>
    <row r="497" spans="1:11" x14ac:dyDescent="0.25">
      <c r="A497" t="str">
        <f t="shared" si="28"/>
        <v>12019</v>
      </c>
      <c r="B497" s="1">
        <v>43468</v>
      </c>
      <c r="C497" s="10">
        <v>43525.645833333336</v>
      </c>
      <c r="D497">
        <v>10796.8</v>
      </c>
      <c r="E497">
        <v>10814.05</v>
      </c>
      <c r="F497">
        <v>10661.25</v>
      </c>
      <c r="G497">
        <v>10672.25</v>
      </c>
      <c r="H497">
        <v>0</v>
      </c>
      <c r="I497" s="8">
        <f t="shared" si="29"/>
        <v>-1.1141996757007222E-2</v>
      </c>
      <c r="J497" s="8">
        <f t="shared" si="30"/>
        <v>-1.1204533761500678E-2</v>
      </c>
      <c r="K497" s="8">
        <f t="shared" si="27"/>
        <v>-1.7129832155273639E-2</v>
      </c>
    </row>
    <row r="498" spans="1:11" x14ac:dyDescent="0.25">
      <c r="A498" t="str">
        <f t="shared" si="28"/>
        <v>12019</v>
      </c>
      <c r="B498" s="1">
        <v>43469</v>
      </c>
      <c r="C498" s="10">
        <v>43556.645833333336</v>
      </c>
      <c r="D498">
        <v>10699.7</v>
      </c>
      <c r="E498">
        <v>10741.05</v>
      </c>
      <c r="F498">
        <v>10628.65</v>
      </c>
      <c r="G498">
        <v>10727.35</v>
      </c>
      <c r="H498">
        <v>0</v>
      </c>
      <c r="I498" s="8">
        <f t="shared" si="29"/>
        <v>5.1629225327367578E-3</v>
      </c>
      <c r="J498" s="8">
        <f t="shared" si="30"/>
        <v>5.1496403451855395E-3</v>
      </c>
      <c r="K498" s="8">
        <f t="shared" si="27"/>
        <v>1.2085760784961153E-2</v>
      </c>
    </row>
    <row r="499" spans="1:11" x14ac:dyDescent="0.25">
      <c r="A499" t="str">
        <f t="shared" si="28"/>
        <v>12019</v>
      </c>
      <c r="B499" s="1">
        <v>43472</v>
      </c>
      <c r="C499" s="10">
        <v>43647.645833333336</v>
      </c>
      <c r="D499">
        <v>10804.85</v>
      </c>
      <c r="E499">
        <v>10835.95</v>
      </c>
      <c r="F499">
        <v>10750.15</v>
      </c>
      <c r="G499">
        <v>10771.8</v>
      </c>
      <c r="H499">
        <v>0</v>
      </c>
      <c r="I499" s="8">
        <f t="shared" si="29"/>
        <v>4.1436142197279757E-3</v>
      </c>
      <c r="J499" s="8">
        <f t="shared" si="30"/>
        <v>4.1350530915205807E-3</v>
      </c>
      <c r="K499" s="8">
        <f t="shared" si="27"/>
        <v>4.4138245229705886E-2</v>
      </c>
    </row>
    <row r="500" spans="1:11" x14ac:dyDescent="0.25">
      <c r="A500" t="str">
        <f t="shared" si="28"/>
        <v>12019</v>
      </c>
      <c r="B500" s="1">
        <v>43473</v>
      </c>
      <c r="C500" s="10">
        <v>43678.645833333336</v>
      </c>
      <c r="D500">
        <v>10786.25</v>
      </c>
      <c r="E500">
        <v>10818.45</v>
      </c>
      <c r="F500">
        <v>10733.25</v>
      </c>
      <c r="G500">
        <v>10802.15</v>
      </c>
      <c r="H500">
        <v>0</v>
      </c>
      <c r="I500" s="8">
        <f t="shared" si="29"/>
        <v>2.8175421006702006E-3</v>
      </c>
      <c r="J500" s="8">
        <f t="shared" si="30"/>
        <v>2.81358026893282E-3</v>
      </c>
      <c r="K500" s="8">
        <f t="shared" si="27"/>
        <v>4.3882663883533679E-2</v>
      </c>
    </row>
    <row r="501" spans="1:11" x14ac:dyDescent="0.25">
      <c r="A501" t="str">
        <f t="shared" si="28"/>
        <v>12019</v>
      </c>
      <c r="B501" s="1">
        <v>43474</v>
      </c>
      <c r="C501" s="10">
        <v>43709.645833333336</v>
      </c>
      <c r="D501">
        <v>10862.4</v>
      </c>
      <c r="E501">
        <v>10870.4</v>
      </c>
      <c r="F501">
        <v>10749.4</v>
      </c>
      <c r="G501">
        <v>10855.15</v>
      </c>
      <c r="H501">
        <v>0</v>
      </c>
      <c r="I501" s="8">
        <f t="shared" si="29"/>
        <v>4.9064306642658817E-3</v>
      </c>
      <c r="J501" s="8">
        <f t="shared" si="30"/>
        <v>4.8944333599588354E-3</v>
      </c>
      <c r="K501" s="8">
        <f t="shared" si="27"/>
        <v>5.3790632993723886E-2</v>
      </c>
    </row>
    <row r="502" spans="1:11" x14ac:dyDescent="0.25">
      <c r="A502" t="str">
        <f t="shared" si="28"/>
        <v>12019</v>
      </c>
      <c r="B502" s="1">
        <v>43475</v>
      </c>
      <c r="C502" s="10">
        <v>43739.645833333336</v>
      </c>
      <c r="D502">
        <v>10859.35</v>
      </c>
      <c r="E502">
        <v>10859.35</v>
      </c>
      <c r="F502">
        <v>10801.8</v>
      </c>
      <c r="G502">
        <v>10821.6</v>
      </c>
      <c r="H502">
        <v>0</v>
      </c>
      <c r="I502" s="8">
        <f t="shared" si="29"/>
        <v>-3.0906988848610206E-3</v>
      </c>
      <c r="J502" s="8">
        <f t="shared" si="30"/>
        <v>-3.0954849587457233E-3</v>
      </c>
      <c r="K502" s="8">
        <f t="shared" si="27"/>
        <v>3.4559899044942277E-2</v>
      </c>
    </row>
    <row r="503" spans="1:11" x14ac:dyDescent="0.25">
      <c r="A503" t="str">
        <f t="shared" si="28"/>
        <v>12019</v>
      </c>
      <c r="B503" s="1">
        <v>43476</v>
      </c>
      <c r="C503" s="10">
        <v>43770.645833333336</v>
      </c>
      <c r="D503">
        <v>10834.75</v>
      </c>
      <c r="E503">
        <v>10850.15</v>
      </c>
      <c r="F503">
        <v>10739.4</v>
      </c>
      <c r="G503">
        <v>10794.95</v>
      </c>
      <c r="H503">
        <v>0</v>
      </c>
      <c r="I503" s="8">
        <f t="shared" si="29"/>
        <v>-2.4626672580764231E-3</v>
      </c>
      <c r="J503" s="8">
        <f t="shared" si="30"/>
        <v>-2.4657046107725011E-3</v>
      </c>
      <c r="K503" s="8">
        <f t="shared" si="27"/>
        <v>5.4745399207593914E-2</v>
      </c>
    </row>
    <row r="504" spans="1:11" x14ac:dyDescent="0.25">
      <c r="A504" t="str">
        <f t="shared" si="28"/>
        <v>12019</v>
      </c>
      <c r="B504" s="1">
        <v>43479</v>
      </c>
      <c r="C504" t="s">
        <v>325</v>
      </c>
      <c r="D504">
        <v>10807</v>
      </c>
      <c r="E504">
        <v>10808</v>
      </c>
      <c r="F504">
        <v>10692.35</v>
      </c>
      <c r="G504">
        <v>10737.6</v>
      </c>
      <c r="H504">
        <v>0</v>
      </c>
      <c r="I504" s="8">
        <f t="shared" si="29"/>
        <v>-5.3126693500201716E-3</v>
      </c>
      <c r="J504" s="8">
        <f t="shared" si="30"/>
        <v>-5.32683176023677E-3</v>
      </c>
      <c r="K504" s="8">
        <f t="shared" si="27"/>
        <v>2.5313917402721486E-2</v>
      </c>
    </row>
    <row r="505" spans="1:11" x14ac:dyDescent="0.25">
      <c r="A505" t="str">
        <f t="shared" si="28"/>
        <v>12019</v>
      </c>
      <c r="B505" s="1">
        <v>43480</v>
      </c>
      <c r="C505" t="s">
        <v>326</v>
      </c>
      <c r="D505">
        <v>10777.55</v>
      </c>
      <c r="E505">
        <v>10896.95</v>
      </c>
      <c r="F505">
        <v>10777.55</v>
      </c>
      <c r="G505">
        <v>10886.8</v>
      </c>
      <c r="H505">
        <v>0</v>
      </c>
      <c r="I505" s="8">
        <f t="shared" si="29"/>
        <v>1.3895097600953532E-2</v>
      </c>
      <c r="J505" s="8">
        <f t="shared" si="30"/>
        <v>1.3799445774800724E-2</v>
      </c>
      <c r="K505" s="8">
        <f t="shared" si="27"/>
        <v>3.5605231866825182E-2</v>
      </c>
    </row>
    <row r="506" spans="1:11" x14ac:dyDescent="0.25">
      <c r="A506" t="str">
        <f t="shared" si="28"/>
        <v>12019</v>
      </c>
      <c r="B506" s="1">
        <v>43481</v>
      </c>
      <c r="C506" t="s">
        <v>327</v>
      </c>
      <c r="D506">
        <v>10899.65</v>
      </c>
      <c r="E506">
        <v>10928.15</v>
      </c>
      <c r="F506">
        <v>10876.9</v>
      </c>
      <c r="G506">
        <v>10890.3</v>
      </c>
      <c r="H506">
        <v>0</v>
      </c>
      <c r="I506" s="8">
        <f t="shared" si="29"/>
        <v>3.2149024506744617E-4</v>
      </c>
      <c r="J506" s="8">
        <f t="shared" si="30"/>
        <v>3.2143857815191898E-4</v>
      </c>
      <c r="K506" s="8">
        <f t="shared" si="27"/>
        <v>2.8867002054842938E-2</v>
      </c>
    </row>
    <row r="507" spans="1:11" x14ac:dyDescent="0.25">
      <c r="A507" t="str">
        <f t="shared" si="28"/>
        <v>12019</v>
      </c>
      <c r="B507" s="1">
        <v>43482</v>
      </c>
      <c r="C507" t="s">
        <v>328</v>
      </c>
      <c r="D507">
        <v>10920.85</v>
      </c>
      <c r="E507">
        <v>10930.65</v>
      </c>
      <c r="F507">
        <v>10844.65</v>
      </c>
      <c r="G507">
        <v>10905.2</v>
      </c>
      <c r="H507">
        <v>0</v>
      </c>
      <c r="I507" s="8">
        <f t="shared" si="29"/>
        <v>1.368190040678563E-3</v>
      </c>
      <c r="J507" s="8">
        <f t="shared" si="30"/>
        <v>1.3672549215348114E-3</v>
      </c>
      <c r="K507" s="8">
        <f t="shared" si="27"/>
        <v>4.3255317825897865E-2</v>
      </c>
    </row>
    <row r="508" spans="1:11" x14ac:dyDescent="0.25">
      <c r="A508" t="str">
        <f t="shared" si="28"/>
        <v>12019</v>
      </c>
      <c r="B508" s="1">
        <v>43483</v>
      </c>
      <c r="C508" t="s">
        <v>329</v>
      </c>
      <c r="D508">
        <v>10914.85</v>
      </c>
      <c r="E508">
        <v>10928.2</v>
      </c>
      <c r="F508">
        <v>10852.2</v>
      </c>
      <c r="G508">
        <v>10906.95</v>
      </c>
      <c r="H508">
        <v>0</v>
      </c>
      <c r="I508" s="8">
        <f t="shared" si="29"/>
        <v>1.6047390235840453E-4</v>
      </c>
      <c r="J508" s="8">
        <f t="shared" si="30"/>
        <v>1.6046102779907089E-4</v>
      </c>
      <c r="K508" s="8">
        <f t="shared" si="27"/>
        <v>5.8562340164312499E-2</v>
      </c>
    </row>
    <row r="509" spans="1:11" x14ac:dyDescent="0.25">
      <c r="A509" t="str">
        <f t="shared" si="28"/>
        <v>12019</v>
      </c>
      <c r="B509" s="1">
        <v>43486</v>
      </c>
      <c r="C509" t="s">
        <v>330</v>
      </c>
      <c r="D509">
        <v>10919.35</v>
      </c>
      <c r="E509">
        <v>10987.45</v>
      </c>
      <c r="F509">
        <v>10885.75</v>
      </c>
      <c r="G509">
        <v>10961.85</v>
      </c>
      <c r="H509">
        <v>0</v>
      </c>
      <c r="I509" s="8">
        <f t="shared" si="29"/>
        <v>5.0334878219850943E-3</v>
      </c>
      <c r="J509" s="8">
        <f t="shared" si="30"/>
        <v>5.0208621718052576E-3</v>
      </c>
      <c r="K509" s="8">
        <f t="shared" si="27"/>
        <v>6.9944608477099157E-2</v>
      </c>
    </row>
    <row r="510" spans="1:11" x14ac:dyDescent="0.25">
      <c r="A510" t="str">
        <f t="shared" si="28"/>
        <v>12019</v>
      </c>
      <c r="B510" s="1">
        <v>43487</v>
      </c>
      <c r="C510" t="s">
        <v>331</v>
      </c>
      <c r="D510">
        <v>10949.8</v>
      </c>
      <c r="E510">
        <v>10949.8</v>
      </c>
      <c r="F510">
        <v>10864.15</v>
      </c>
      <c r="G510">
        <v>10922.75</v>
      </c>
      <c r="H510">
        <v>0</v>
      </c>
      <c r="I510" s="8">
        <f t="shared" si="29"/>
        <v>-3.5669161683474782E-3</v>
      </c>
      <c r="J510" s="8">
        <f t="shared" si="30"/>
        <v>-3.573292781569112E-3</v>
      </c>
      <c r="K510" s="8">
        <f t="shared" si="27"/>
        <v>7.6472385382583719E-2</v>
      </c>
    </row>
    <row r="511" spans="1:11" x14ac:dyDescent="0.25">
      <c r="A511" t="str">
        <f t="shared" si="28"/>
        <v>12019</v>
      </c>
      <c r="B511" s="1">
        <v>43488</v>
      </c>
      <c r="C511" t="s">
        <v>332</v>
      </c>
      <c r="D511">
        <v>10931.05</v>
      </c>
      <c r="E511">
        <v>10944.8</v>
      </c>
      <c r="F511">
        <v>10811.95</v>
      </c>
      <c r="G511">
        <v>10831.5</v>
      </c>
      <c r="H511">
        <v>0</v>
      </c>
      <c r="I511" s="8">
        <f t="shared" si="29"/>
        <v>-8.3541232748163274E-3</v>
      </c>
      <c r="J511" s="8">
        <f t="shared" si="30"/>
        <v>-8.3892145371514976E-3</v>
      </c>
      <c r="K511" s="8">
        <f t="shared" si="27"/>
        <v>5.9341304188366362E-2</v>
      </c>
    </row>
    <row r="512" spans="1:11" x14ac:dyDescent="0.25">
      <c r="A512" t="str">
        <f t="shared" si="28"/>
        <v>12019</v>
      </c>
      <c r="B512" s="1">
        <v>43489</v>
      </c>
      <c r="C512" t="s">
        <v>333</v>
      </c>
      <c r="D512">
        <v>10844.05</v>
      </c>
      <c r="E512">
        <v>10866.6</v>
      </c>
      <c r="F512">
        <v>10798.65</v>
      </c>
      <c r="G512">
        <v>10849.8</v>
      </c>
      <c r="H512">
        <v>0</v>
      </c>
      <c r="I512" s="8">
        <f t="shared" si="29"/>
        <v>1.6895166874393297E-3</v>
      </c>
      <c r="J512" s="8">
        <f t="shared" si="30"/>
        <v>1.6880910596428552E-3</v>
      </c>
      <c r="K512" s="8">
        <f t="shared" ref="K512:K575" si="31">+G512/G451-1</f>
        <v>7.1595768847099617E-2</v>
      </c>
    </row>
    <row r="513" spans="1:11" x14ac:dyDescent="0.25">
      <c r="A513" t="str">
        <f t="shared" si="28"/>
        <v>12019</v>
      </c>
      <c r="B513" s="1">
        <v>43490</v>
      </c>
      <c r="C513" t="s">
        <v>334</v>
      </c>
      <c r="D513">
        <v>10859.75</v>
      </c>
      <c r="E513">
        <v>10931.7</v>
      </c>
      <c r="F513">
        <v>10756.45</v>
      </c>
      <c r="G513">
        <v>10780.55</v>
      </c>
      <c r="H513">
        <v>0</v>
      </c>
      <c r="I513" s="8">
        <f t="shared" si="29"/>
        <v>-6.3826061309886217E-3</v>
      </c>
      <c r="J513" s="8">
        <f t="shared" si="30"/>
        <v>-6.403062049334338E-3</v>
      </c>
      <c r="K513" s="8">
        <f t="shared" si="31"/>
        <v>7.4830508474576174E-2</v>
      </c>
    </row>
    <row r="514" spans="1:11" x14ac:dyDescent="0.25">
      <c r="A514" t="str">
        <f t="shared" si="28"/>
        <v>12019</v>
      </c>
      <c r="B514" s="1">
        <v>43493</v>
      </c>
      <c r="C514" t="s">
        <v>335</v>
      </c>
      <c r="D514">
        <v>10792.45</v>
      </c>
      <c r="E514">
        <v>10804.45</v>
      </c>
      <c r="F514">
        <v>10630.95</v>
      </c>
      <c r="G514">
        <v>10661.55</v>
      </c>
      <c r="H514">
        <v>0</v>
      </c>
      <c r="I514" s="8">
        <f t="shared" si="29"/>
        <v>-1.1038397855396953E-2</v>
      </c>
      <c r="J514" s="8">
        <f t="shared" si="30"/>
        <v>-1.1099773042754829E-2</v>
      </c>
      <c r="K514" s="8">
        <f t="shared" si="31"/>
        <v>4.0064970221981522E-2</v>
      </c>
    </row>
    <row r="515" spans="1:11" x14ac:dyDescent="0.25">
      <c r="A515" t="str">
        <f t="shared" ref="A515:A578" si="32">+MONTH(B515)&amp;YEAR(B515)</f>
        <v>12019</v>
      </c>
      <c r="B515" s="1">
        <v>43494</v>
      </c>
      <c r="C515" t="s">
        <v>336</v>
      </c>
      <c r="D515">
        <v>10653.7</v>
      </c>
      <c r="E515">
        <v>10690.35</v>
      </c>
      <c r="F515">
        <v>10583.65</v>
      </c>
      <c r="G515">
        <v>10652.2</v>
      </c>
      <c r="H515">
        <v>0</v>
      </c>
      <c r="I515" s="8">
        <f t="shared" si="29"/>
        <v>-8.7698317786799596E-4</v>
      </c>
      <c r="J515" s="8">
        <f t="shared" si="30"/>
        <v>-8.7736795259221625E-4</v>
      </c>
      <c r="K515" s="8">
        <f t="shared" si="31"/>
        <v>4.4497176027612273E-2</v>
      </c>
    </row>
    <row r="516" spans="1:11" x14ac:dyDescent="0.25">
      <c r="A516" t="str">
        <f t="shared" si="32"/>
        <v>12019</v>
      </c>
      <c r="B516" s="1">
        <v>43495</v>
      </c>
      <c r="C516" t="s">
        <v>337</v>
      </c>
      <c r="D516">
        <v>10702.25</v>
      </c>
      <c r="E516">
        <v>10710.2</v>
      </c>
      <c r="F516">
        <v>10612.85</v>
      </c>
      <c r="G516">
        <v>10651.8</v>
      </c>
      <c r="H516">
        <v>0</v>
      </c>
      <c r="I516" s="8">
        <f t="shared" ref="I516:I579" si="33">+G516/G515-1</f>
        <v>-3.7550928446816734E-5</v>
      </c>
      <c r="J516" s="8">
        <f t="shared" ref="J516:J579" si="34">+LN(1+I516)</f>
        <v>-3.7551633500580681E-5</v>
      </c>
      <c r="K516" s="8">
        <f t="shared" si="31"/>
        <v>2.5532898157240913E-2</v>
      </c>
    </row>
    <row r="517" spans="1:11" x14ac:dyDescent="0.25">
      <c r="A517" t="str">
        <f t="shared" si="32"/>
        <v>12019</v>
      </c>
      <c r="B517" s="1">
        <v>43496</v>
      </c>
      <c r="C517" t="s">
        <v>338</v>
      </c>
      <c r="D517">
        <v>10690.55</v>
      </c>
      <c r="E517">
        <v>10838.05</v>
      </c>
      <c r="F517">
        <v>10678.55</v>
      </c>
      <c r="G517">
        <v>10830.95</v>
      </c>
      <c r="H517">
        <v>0</v>
      </c>
      <c r="I517" s="8">
        <f t="shared" si="33"/>
        <v>1.6818753637882988E-2</v>
      </c>
      <c r="J517" s="8">
        <f t="shared" si="34"/>
        <v>1.6678884505362462E-2</v>
      </c>
      <c r="K517" s="8">
        <f t="shared" si="31"/>
        <v>4.3398889258172701E-2</v>
      </c>
    </row>
    <row r="518" spans="1:11" x14ac:dyDescent="0.25">
      <c r="A518" t="str">
        <f t="shared" si="32"/>
        <v>22019</v>
      </c>
      <c r="B518" s="1">
        <v>43497</v>
      </c>
      <c r="C518" s="10">
        <v>43467.645833333336</v>
      </c>
      <c r="D518">
        <v>10851.35</v>
      </c>
      <c r="E518">
        <v>10983.45</v>
      </c>
      <c r="F518">
        <v>10813.45</v>
      </c>
      <c r="G518">
        <v>10893.65</v>
      </c>
      <c r="H518">
        <v>0</v>
      </c>
      <c r="I518" s="8">
        <f t="shared" si="33"/>
        <v>5.7889658801857369E-3</v>
      </c>
      <c r="J518" s="8">
        <f t="shared" si="34"/>
        <v>5.7722742045844006E-3</v>
      </c>
      <c r="K518" s="8">
        <f t="shared" si="31"/>
        <v>3.2279920401781403E-2</v>
      </c>
    </row>
    <row r="519" spans="1:11" x14ac:dyDescent="0.25">
      <c r="A519" t="str">
        <f t="shared" si="32"/>
        <v>22019</v>
      </c>
      <c r="B519" s="1">
        <v>43500</v>
      </c>
      <c r="C519" s="10">
        <v>43557.645833333336</v>
      </c>
      <c r="D519">
        <v>10876.75</v>
      </c>
      <c r="E519">
        <v>10927.9</v>
      </c>
      <c r="F519">
        <v>10814.15</v>
      </c>
      <c r="G519">
        <v>10912.25</v>
      </c>
      <c r="H519">
        <v>0</v>
      </c>
      <c r="I519" s="8">
        <f t="shared" si="33"/>
        <v>1.7074167060626699E-3</v>
      </c>
      <c r="J519" s="8">
        <f t="shared" si="34"/>
        <v>1.7059607272313906E-3</v>
      </c>
      <c r="K519" s="8">
        <f t="shared" si="31"/>
        <v>3.6891866210566393E-2</v>
      </c>
    </row>
    <row r="520" spans="1:11" x14ac:dyDescent="0.25">
      <c r="A520" t="str">
        <f t="shared" si="32"/>
        <v>22019</v>
      </c>
      <c r="B520" s="1">
        <v>43501</v>
      </c>
      <c r="C520" s="10">
        <v>43587.645833333336</v>
      </c>
      <c r="D520">
        <v>10908.65</v>
      </c>
      <c r="E520">
        <v>10956.7</v>
      </c>
      <c r="F520">
        <v>10886.7</v>
      </c>
      <c r="G520">
        <v>10934.35</v>
      </c>
      <c r="H520">
        <v>0</v>
      </c>
      <c r="I520" s="8">
        <f t="shared" si="33"/>
        <v>2.0252468555981284E-3</v>
      </c>
      <c r="J520" s="8">
        <f t="shared" si="34"/>
        <v>2.0231988079203052E-3</v>
      </c>
      <c r="K520" s="8">
        <f t="shared" si="31"/>
        <v>3.8399810066476858E-2</v>
      </c>
    </row>
    <row r="521" spans="1:11" x14ac:dyDescent="0.25">
      <c r="A521" t="str">
        <f t="shared" si="32"/>
        <v>22019</v>
      </c>
      <c r="B521" s="1">
        <v>43502</v>
      </c>
      <c r="C521" s="10">
        <v>43618.645833333336</v>
      </c>
      <c r="D521">
        <v>10965.1</v>
      </c>
      <c r="E521">
        <v>11072.6</v>
      </c>
      <c r="F521">
        <v>10962.7</v>
      </c>
      <c r="G521">
        <v>11062.45</v>
      </c>
      <c r="H521">
        <v>0</v>
      </c>
      <c r="I521" s="8">
        <f t="shared" si="33"/>
        <v>1.1715374027720049E-2</v>
      </c>
      <c r="J521" s="8">
        <f t="shared" si="34"/>
        <v>1.1647280346053989E-2</v>
      </c>
      <c r="K521" s="8">
        <f t="shared" si="31"/>
        <v>4.5086535918074322E-2</v>
      </c>
    </row>
    <row r="522" spans="1:11" x14ac:dyDescent="0.25">
      <c r="A522" t="str">
        <f t="shared" si="32"/>
        <v>22019</v>
      </c>
      <c r="B522" s="1">
        <v>43503</v>
      </c>
      <c r="C522" s="10">
        <v>43648.645833333336</v>
      </c>
      <c r="D522">
        <v>11070.45</v>
      </c>
      <c r="E522">
        <v>11118.1</v>
      </c>
      <c r="F522">
        <v>11043.6</v>
      </c>
      <c r="G522">
        <v>11069.4</v>
      </c>
      <c r="H522">
        <v>0</v>
      </c>
      <c r="I522" s="8">
        <f t="shared" si="33"/>
        <v>6.2825142712497062E-4</v>
      </c>
      <c r="J522" s="8">
        <f t="shared" si="34"/>
        <v>6.2805415981511683E-4</v>
      </c>
      <c r="K522" s="8">
        <f t="shared" si="31"/>
        <v>5.6018774684703398E-2</v>
      </c>
    </row>
    <row r="523" spans="1:11" x14ac:dyDescent="0.25">
      <c r="A523" t="str">
        <f t="shared" si="32"/>
        <v>22019</v>
      </c>
      <c r="B523" s="1">
        <v>43504</v>
      </c>
      <c r="C523" s="10">
        <v>43679.645833333336</v>
      </c>
      <c r="D523">
        <v>11023.5</v>
      </c>
      <c r="E523">
        <v>11041.2</v>
      </c>
      <c r="F523">
        <v>10925.45</v>
      </c>
      <c r="G523">
        <v>10943.6</v>
      </c>
      <c r="H523">
        <v>0</v>
      </c>
      <c r="I523" s="8">
        <f t="shared" si="33"/>
        <v>-1.1364662944694293E-2</v>
      </c>
      <c r="J523" s="8">
        <f t="shared" si="34"/>
        <v>-1.1429734205002075E-2</v>
      </c>
      <c r="K523" s="8">
        <f t="shared" si="31"/>
        <v>3.4122371840302312E-2</v>
      </c>
    </row>
    <row r="524" spans="1:11" x14ac:dyDescent="0.25">
      <c r="A524" t="str">
        <f t="shared" si="32"/>
        <v>22019</v>
      </c>
      <c r="B524" s="1">
        <v>43507</v>
      </c>
      <c r="C524" s="10">
        <v>43771.645833333336</v>
      </c>
      <c r="D524">
        <v>10930.9</v>
      </c>
      <c r="E524">
        <v>10930.9</v>
      </c>
      <c r="F524">
        <v>10857.1</v>
      </c>
      <c r="G524">
        <v>10888.8</v>
      </c>
      <c r="H524">
        <v>0</v>
      </c>
      <c r="I524" s="8">
        <f t="shared" si="33"/>
        <v>-5.0074929639242205E-3</v>
      </c>
      <c r="J524" s="8">
        <f t="shared" si="34"/>
        <v>-5.0200724689087872E-3</v>
      </c>
      <c r="K524" s="8">
        <f t="shared" si="31"/>
        <v>2.9547195143859284E-2</v>
      </c>
    </row>
    <row r="525" spans="1:11" x14ac:dyDescent="0.25">
      <c r="A525" t="str">
        <f t="shared" si="32"/>
        <v>22019</v>
      </c>
      <c r="B525" s="1">
        <v>43508</v>
      </c>
      <c r="C525" s="10">
        <v>43801.645833333336</v>
      </c>
      <c r="D525">
        <v>10879.7</v>
      </c>
      <c r="E525">
        <v>10910.9</v>
      </c>
      <c r="F525">
        <v>10823.8</v>
      </c>
      <c r="G525">
        <v>10831.4</v>
      </c>
      <c r="H525">
        <v>0</v>
      </c>
      <c r="I525" s="8">
        <f t="shared" si="33"/>
        <v>-5.2714716038497755E-3</v>
      </c>
      <c r="J525" s="8">
        <f t="shared" si="34"/>
        <v>-5.2854148327613464E-3</v>
      </c>
      <c r="K525" s="8">
        <f t="shared" si="31"/>
        <v>2.0222856443150805E-2</v>
      </c>
    </row>
    <row r="526" spans="1:11" x14ac:dyDescent="0.25">
      <c r="A526" t="str">
        <f t="shared" si="32"/>
        <v>22019</v>
      </c>
      <c r="B526" s="1">
        <v>43509</v>
      </c>
      <c r="C526" t="s">
        <v>339</v>
      </c>
      <c r="D526">
        <v>10870.55</v>
      </c>
      <c r="E526">
        <v>10891.65</v>
      </c>
      <c r="F526">
        <v>10772.1</v>
      </c>
      <c r="G526">
        <v>10793.65</v>
      </c>
      <c r="H526">
        <v>0</v>
      </c>
      <c r="I526" s="8">
        <f t="shared" si="33"/>
        <v>-3.485237365437488E-3</v>
      </c>
      <c r="J526" s="8">
        <f t="shared" si="34"/>
        <v>-3.4913249537601204E-3</v>
      </c>
      <c r="K526" s="8">
        <f t="shared" si="31"/>
        <v>1.0433244088296378E-2</v>
      </c>
    </row>
    <row r="527" spans="1:11" x14ac:dyDescent="0.25">
      <c r="A527" t="str">
        <f t="shared" si="32"/>
        <v>22019</v>
      </c>
      <c r="B527" s="1">
        <v>43510</v>
      </c>
      <c r="C527" t="s">
        <v>340</v>
      </c>
      <c r="D527">
        <v>10786.1</v>
      </c>
      <c r="E527">
        <v>10792.7</v>
      </c>
      <c r="F527">
        <v>10718.75</v>
      </c>
      <c r="G527">
        <v>10746.05</v>
      </c>
      <c r="H527">
        <v>0</v>
      </c>
      <c r="I527" s="8">
        <f t="shared" si="33"/>
        <v>-4.4100003242647512E-3</v>
      </c>
      <c r="J527" s="8">
        <f t="shared" si="34"/>
        <v>-4.4197530593000694E-3</v>
      </c>
      <c r="K527" s="8">
        <f t="shared" si="31"/>
        <v>-1.6119441812066926E-3</v>
      </c>
    </row>
    <row r="528" spans="1:11" x14ac:dyDescent="0.25">
      <c r="A528" t="str">
        <f t="shared" si="32"/>
        <v>22019</v>
      </c>
      <c r="B528" s="1">
        <v>43511</v>
      </c>
      <c r="C528" t="s">
        <v>341</v>
      </c>
      <c r="D528">
        <v>10780.25</v>
      </c>
      <c r="E528">
        <v>10785.75</v>
      </c>
      <c r="F528">
        <v>10620.4</v>
      </c>
      <c r="G528">
        <v>10724.4</v>
      </c>
      <c r="H528">
        <v>0</v>
      </c>
      <c r="I528" s="8">
        <f t="shared" si="33"/>
        <v>-2.0146937711996715E-3</v>
      </c>
      <c r="J528" s="8">
        <f t="shared" si="34"/>
        <v>-2.0167259966956514E-3</v>
      </c>
      <c r="K528" s="8">
        <f t="shared" si="31"/>
        <v>6.4000300294662082E-3</v>
      </c>
    </row>
    <row r="529" spans="1:11" x14ac:dyDescent="0.25">
      <c r="A529" t="str">
        <f t="shared" si="32"/>
        <v>22019</v>
      </c>
      <c r="B529" s="1">
        <v>43514</v>
      </c>
      <c r="C529" t="s">
        <v>342</v>
      </c>
      <c r="D529">
        <v>10738.65</v>
      </c>
      <c r="E529">
        <v>10759.9</v>
      </c>
      <c r="F529">
        <v>10628.4</v>
      </c>
      <c r="G529">
        <v>10640.95</v>
      </c>
      <c r="H529">
        <v>0</v>
      </c>
      <c r="I529" s="8">
        <f t="shared" si="33"/>
        <v>-7.7813210995485438E-3</v>
      </c>
      <c r="J529" s="8">
        <f t="shared" si="34"/>
        <v>-7.8117535511575027E-3</v>
      </c>
      <c r="K529" s="8">
        <f t="shared" si="31"/>
        <v>3.8584723656964748E-3</v>
      </c>
    </row>
    <row r="530" spans="1:11" x14ac:dyDescent="0.25">
      <c r="A530" t="str">
        <f t="shared" si="32"/>
        <v>22019</v>
      </c>
      <c r="B530" s="1">
        <v>43515</v>
      </c>
      <c r="C530" t="s">
        <v>343</v>
      </c>
      <c r="D530">
        <v>10636.7</v>
      </c>
      <c r="E530">
        <v>10722.85</v>
      </c>
      <c r="F530">
        <v>10585.65</v>
      </c>
      <c r="G530">
        <v>10604.35</v>
      </c>
      <c r="H530">
        <v>0</v>
      </c>
      <c r="I530" s="8">
        <f t="shared" si="33"/>
        <v>-3.4395425220492548E-3</v>
      </c>
      <c r="J530" s="8">
        <f t="shared" si="34"/>
        <v>-3.4454713472979819E-3</v>
      </c>
      <c r="K530" s="8">
        <f t="shared" si="31"/>
        <v>7.371695917543386E-3</v>
      </c>
    </row>
    <row r="531" spans="1:11" x14ac:dyDescent="0.25">
      <c r="A531" t="str">
        <f t="shared" si="32"/>
        <v>22019</v>
      </c>
      <c r="B531" s="1">
        <v>43516</v>
      </c>
      <c r="C531" t="s">
        <v>344</v>
      </c>
      <c r="D531">
        <v>10655.45</v>
      </c>
      <c r="E531">
        <v>10752.7</v>
      </c>
      <c r="F531">
        <v>10646.4</v>
      </c>
      <c r="G531">
        <v>10735.45</v>
      </c>
      <c r="H531">
        <v>0</v>
      </c>
      <c r="I531" s="8">
        <f t="shared" si="33"/>
        <v>1.2362851094126492E-2</v>
      </c>
      <c r="J531" s="8">
        <f t="shared" si="34"/>
        <v>1.2287055114099292E-2</v>
      </c>
      <c r="K531" s="8">
        <f t="shared" si="31"/>
        <v>1.0053064373482856E-2</v>
      </c>
    </row>
    <row r="532" spans="1:11" x14ac:dyDescent="0.25">
      <c r="A532" t="str">
        <f t="shared" si="32"/>
        <v>22019</v>
      </c>
      <c r="B532" s="1">
        <v>43517</v>
      </c>
      <c r="C532" t="s">
        <v>345</v>
      </c>
      <c r="D532">
        <v>10744.1</v>
      </c>
      <c r="E532">
        <v>10808.85</v>
      </c>
      <c r="F532">
        <v>10721.5</v>
      </c>
      <c r="G532">
        <v>10789.85</v>
      </c>
      <c r="H532">
        <v>0</v>
      </c>
      <c r="I532" s="8">
        <f t="shared" si="33"/>
        <v>5.0673236799574362E-3</v>
      </c>
      <c r="J532" s="8">
        <f t="shared" si="34"/>
        <v>5.0545280036699341E-3</v>
      </c>
      <c r="K532" s="8">
        <f t="shared" si="31"/>
        <v>9.7561203863143486E-3</v>
      </c>
    </row>
    <row r="533" spans="1:11" x14ac:dyDescent="0.25">
      <c r="A533" t="str">
        <f t="shared" si="32"/>
        <v>22019</v>
      </c>
      <c r="B533" s="1">
        <v>43518</v>
      </c>
      <c r="C533" t="s">
        <v>346</v>
      </c>
      <c r="D533">
        <v>10782.7</v>
      </c>
      <c r="E533">
        <v>10801.55</v>
      </c>
      <c r="F533">
        <v>10758.4</v>
      </c>
      <c r="G533">
        <v>10791.65</v>
      </c>
      <c r="H533">
        <v>0</v>
      </c>
      <c r="I533" s="8">
        <f t="shared" si="33"/>
        <v>1.6682344981622244E-4</v>
      </c>
      <c r="J533" s="8">
        <f t="shared" si="34"/>
        <v>1.6680953633189361E-4</v>
      </c>
      <c r="K533" s="8">
        <f t="shared" si="31"/>
        <v>5.853376643349506E-3</v>
      </c>
    </row>
    <row r="534" spans="1:11" x14ac:dyDescent="0.25">
      <c r="A534" t="str">
        <f t="shared" si="32"/>
        <v>22019</v>
      </c>
      <c r="B534" s="1">
        <v>43521</v>
      </c>
      <c r="C534" t="s">
        <v>347</v>
      </c>
      <c r="D534">
        <v>10813.25</v>
      </c>
      <c r="E534">
        <v>10887.1</v>
      </c>
      <c r="F534">
        <v>10788.05</v>
      </c>
      <c r="G534">
        <v>10880.1</v>
      </c>
      <c r="H534">
        <v>0</v>
      </c>
      <c r="I534" s="8">
        <f t="shared" si="33"/>
        <v>8.1961516542883306E-3</v>
      </c>
      <c r="J534" s="8">
        <f t="shared" si="34"/>
        <v>8.1627456131734746E-3</v>
      </c>
      <c r="K534" s="8">
        <f t="shared" si="31"/>
        <v>1.9707699816735591E-3</v>
      </c>
    </row>
    <row r="535" spans="1:11" x14ac:dyDescent="0.25">
      <c r="A535" t="str">
        <f t="shared" si="32"/>
        <v>22019</v>
      </c>
      <c r="B535" s="1">
        <v>43522</v>
      </c>
      <c r="C535" t="s">
        <v>348</v>
      </c>
      <c r="D535">
        <v>10775.3</v>
      </c>
      <c r="E535">
        <v>10888.75</v>
      </c>
      <c r="F535">
        <v>10729.3</v>
      </c>
      <c r="G535">
        <v>10835.3</v>
      </c>
      <c r="H535">
        <v>0</v>
      </c>
      <c r="I535" s="8">
        <f t="shared" si="33"/>
        <v>-4.1176092131507414E-3</v>
      </c>
      <c r="J535" s="8">
        <f t="shared" si="34"/>
        <v>-4.1261099090206159E-3</v>
      </c>
      <c r="K535" s="8">
        <f t="shared" si="31"/>
        <v>-3.8108810076540323E-3</v>
      </c>
    </row>
    <row r="536" spans="1:11" x14ac:dyDescent="0.25">
      <c r="A536" t="str">
        <f t="shared" si="32"/>
        <v>22019</v>
      </c>
      <c r="B536" s="1">
        <v>43523</v>
      </c>
      <c r="C536" t="s">
        <v>349</v>
      </c>
      <c r="D536">
        <v>10881.2</v>
      </c>
      <c r="E536">
        <v>10939.7</v>
      </c>
      <c r="F536">
        <v>10751.2</v>
      </c>
      <c r="G536">
        <v>10806.65</v>
      </c>
      <c r="H536">
        <v>0</v>
      </c>
      <c r="I536" s="8">
        <f t="shared" si="33"/>
        <v>-2.6441353723477556E-3</v>
      </c>
      <c r="J536" s="8">
        <f t="shared" si="34"/>
        <v>-2.6476372726424741E-3</v>
      </c>
      <c r="K536" s="8">
        <f t="shared" si="31"/>
        <v>-7.083955438153211E-3</v>
      </c>
    </row>
    <row r="537" spans="1:11" x14ac:dyDescent="0.25">
      <c r="A537" t="str">
        <f t="shared" si="32"/>
        <v>22019</v>
      </c>
      <c r="B537" s="1">
        <v>43524</v>
      </c>
      <c r="C537" t="s">
        <v>350</v>
      </c>
      <c r="D537">
        <v>10865.7</v>
      </c>
      <c r="E537">
        <v>10865.7</v>
      </c>
      <c r="F537">
        <v>10784.85</v>
      </c>
      <c r="G537">
        <v>10792.5</v>
      </c>
      <c r="H537">
        <v>0</v>
      </c>
      <c r="I537" s="8">
        <f t="shared" si="33"/>
        <v>-1.3093789472222728E-3</v>
      </c>
      <c r="J537" s="8">
        <f t="shared" si="34"/>
        <v>-1.3102369328699957E-3</v>
      </c>
      <c r="K537" s="8">
        <f t="shared" si="31"/>
        <v>-7.0840425042549837E-3</v>
      </c>
    </row>
    <row r="538" spans="1:11" x14ac:dyDescent="0.25">
      <c r="A538" t="str">
        <f t="shared" si="32"/>
        <v>32019</v>
      </c>
      <c r="B538" s="1">
        <v>43525</v>
      </c>
      <c r="C538" s="10">
        <v>43468.645833333336</v>
      </c>
      <c r="D538">
        <v>10842.65</v>
      </c>
      <c r="E538">
        <v>10877.9</v>
      </c>
      <c r="F538">
        <v>10823.1</v>
      </c>
      <c r="G538">
        <v>10863.5</v>
      </c>
      <c r="H538">
        <v>0</v>
      </c>
      <c r="I538" s="8">
        <f t="shared" si="33"/>
        <v>6.5786425758629363E-3</v>
      </c>
      <c r="J538" s="8">
        <f t="shared" si="34"/>
        <v>6.5570977456633371E-3</v>
      </c>
      <c r="K538" s="8">
        <f t="shared" si="31"/>
        <v>7.4747980598912633E-3</v>
      </c>
    </row>
    <row r="539" spans="1:11" x14ac:dyDescent="0.25">
      <c r="A539" t="str">
        <f t="shared" si="32"/>
        <v>32019</v>
      </c>
      <c r="B539" s="1">
        <v>43529</v>
      </c>
      <c r="C539" s="10">
        <v>43588.645833333336</v>
      </c>
      <c r="D539">
        <v>10864.85</v>
      </c>
      <c r="E539">
        <v>10994.9</v>
      </c>
      <c r="F539">
        <v>10817</v>
      </c>
      <c r="G539">
        <v>10987.45</v>
      </c>
      <c r="H539">
        <v>0</v>
      </c>
      <c r="I539" s="8">
        <f t="shared" si="33"/>
        <v>1.1409766649790543E-2</v>
      </c>
      <c r="J539" s="8">
        <f t="shared" si="34"/>
        <v>1.1345166182071391E-2</v>
      </c>
      <c r="K539" s="8">
        <f t="shared" si="31"/>
        <v>3.6439442890629836E-2</v>
      </c>
    </row>
    <row r="540" spans="1:11" x14ac:dyDescent="0.25">
      <c r="A540" t="str">
        <f t="shared" si="32"/>
        <v>32019</v>
      </c>
      <c r="B540" s="1">
        <v>43530</v>
      </c>
      <c r="C540" s="10">
        <v>43619.645833333336</v>
      </c>
      <c r="D540">
        <v>11024.85</v>
      </c>
      <c r="E540">
        <v>11062.3</v>
      </c>
      <c r="F540">
        <v>10998.85</v>
      </c>
      <c r="G540">
        <v>11053</v>
      </c>
      <c r="H540">
        <v>0</v>
      </c>
      <c r="I540" s="8">
        <f t="shared" si="33"/>
        <v>5.9658974557335043E-3</v>
      </c>
      <c r="J540" s="8">
        <f t="shared" si="34"/>
        <v>5.9481719535880405E-3</v>
      </c>
      <c r="K540" s="8">
        <f t="shared" si="31"/>
        <v>3.3599221971815085E-2</v>
      </c>
    </row>
    <row r="541" spans="1:11" x14ac:dyDescent="0.25">
      <c r="A541" t="str">
        <f t="shared" si="32"/>
        <v>32019</v>
      </c>
      <c r="B541" s="1">
        <v>43531</v>
      </c>
      <c r="C541" s="10">
        <v>43649.645833333336</v>
      </c>
      <c r="D541">
        <v>11077.95</v>
      </c>
      <c r="E541">
        <v>11089.05</v>
      </c>
      <c r="F541">
        <v>11027.1</v>
      </c>
      <c r="G541">
        <v>11058.2</v>
      </c>
      <c r="H541">
        <v>0</v>
      </c>
      <c r="I541" s="8">
        <f t="shared" si="33"/>
        <v>4.7046050845933607E-4</v>
      </c>
      <c r="J541" s="8">
        <f t="shared" si="34"/>
        <v>4.7034987661157636E-4</v>
      </c>
      <c r="K541" s="8">
        <f t="shared" si="31"/>
        <v>5.4321658586349741E-2</v>
      </c>
    </row>
    <row r="542" spans="1:11" x14ac:dyDescent="0.25">
      <c r="A542" t="str">
        <f t="shared" si="32"/>
        <v>32019</v>
      </c>
      <c r="B542" s="1">
        <v>43532</v>
      </c>
      <c r="C542" s="10">
        <v>43680.645833333336</v>
      </c>
      <c r="D542">
        <v>11038.85</v>
      </c>
      <c r="E542">
        <v>11049</v>
      </c>
      <c r="F542">
        <v>11008.95</v>
      </c>
      <c r="G542">
        <v>11035.4</v>
      </c>
      <c r="H542">
        <v>0</v>
      </c>
      <c r="I542" s="8">
        <f t="shared" si="33"/>
        <v>-2.0618183791214495E-3</v>
      </c>
      <c r="J542" s="8">
        <f t="shared" si="34"/>
        <v>-2.0639468528230618E-3</v>
      </c>
      <c r="K542" s="8">
        <f t="shared" si="31"/>
        <v>4.6093761108714881E-2</v>
      </c>
    </row>
    <row r="543" spans="1:11" x14ac:dyDescent="0.25">
      <c r="A543" t="str">
        <f t="shared" si="32"/>
        <v>32019</v>
      </c>
      <c r="B543" s="1">
        <v>43535</v>
      </c>
      <c r="C543" s="10">
        <v>43772.645833333336</v>
      </c>
      <c r="D543">
        <v>11068.75</v>
      </c>
      <c r="E543">
        <v>11180.9</v>
      </c>
      <c r="F543">
        <v>11059.85</v>
      </c>
      <c r="G543">
        <v>11168.05</v>
      </c>
      <c r="H543">
        <v>0</v>
      </c>
      <c r="I543" s="8">
        <f t="shared" si="33"/>
        <v>1.2020407053663584E-2</v>
      </c>
      <c r="J543" s="8">
        <f t="shared" si="34"/>
        <v>1.1948735734751558E-2</v>
      </c>
      <c r="K543" s="8">
        <f t="shared" si="31"/>
        <v>4.0088101624198957E-2</v>
      </c>
    </row>
    <row r="544" spans="1:11" x14ac:dyDescent="0.25">
      <c r="A544" t="str">
        <f t="shared" si="32"/>
        <v>32019</v>
      </c>
      <c r="B544" s="1">
        <v>43536</v>
      </c>
      <c r="C544" s="10">
        <v>43802.645833333336</v>
      </c>
      <c r="D544">
        <v>11231.35</v>
      </c>
      <c r="E544">
        <v>11320.4</v>
      </c>
      <c r="F544">
        <v>11227</v>
      </c>
      <c r="G544">
        <v>11301.2</v>
      </c>
      <c r="H544">
        <v>0</v>
      </c>
      <c r="I544" s="8">
        <f t="shared" si="33"/>
        <v>1.1922403642534052E-2</v>
      </c>
      <c r="J544" s="8">
        <f t="shared" si="34"/>
        <v>1.1851891682945155E-2</v>
      </c>
      <c r="K544" s="8">
        <f t="shared" si="31"/>
        <v>4.7226765385880665E-2</v>
      </c>
    </row>
    <row r="545" spans="1:11" x14ac:dyDescent="0.25">
      <c r="A545" t="str">
        <f t="shared" si="32"/>
        <v>32019</v>
      </c>
      <c r="B545" s="1">
        <v>43537</v>
      </c>
      <c r="C545" t="s">
        <v>351</v>
      </c>
      <c r="D545">
        <v>11326.2</v>
      </c>
      <c r="E545">
        <v>11352.3</v>
      </c>
      <c r="F545">
        <v>11276.6</v>
      </c>
      <c r="G545">
        <v>11341.7</v>
      </c>
      <c r="H545">
        <v>0</v>
      </c>
      <c r="I545" s="8">
        <f t="shared" si="33"/>
        <v>3.5836902275865334E-3</v>
      </c>
      <c r="J545" s="8">
        <f t="shared" si="34"/>
        <v>3.5772841102276773E-3</v>
      </c>
      <c r="K545" s="8">
        <f t="shared" si="31"/>
        <v>4.9627734152672964E-2</v>
      </c>
    </row>
    <row r="546" spans="1:11" x14ac:dyDescent="0.25">
      <c r="A546" t="str">
        <f t="shared" si="32"/>
        <v>32019</v>
      </c>
      <c r="B546" s="1">
        <v>43538</v>
      </c>
      <c r="C546" t="s">
        <v>352</v>
      </c>
      <c r="D546">
        <v>11382.5</v>
      </c>
      <c r="E546">
        <v>11383.45</v>
      </c>
      <c r="F546">
        <v>11313.75</v>
      </c>
      <c r="G546">
        <v>11343.25</v>
      </c>
      <c r="H546">
        <v>0</v>
      </c>
      <c r="I546" s="8">
        <f t="shared" si="33"/>
        <v>1.3666381582999598E-4</v>
      </c>
      <c r="J546" s="8">
        <f t="shared" si="34"/>
        <v>1.3665447818145347E-4</v>
      </c>
      <c r="K546" s="8">
        <f t="shared" si="31"/>
        <v>4.1778598226544839E-2</v>
      </c>
    </row>
    <row r="547" spans="1:11" x14ac:dyDescent="0.25">
      <c r="A547" t="str">
        <f t="shared" si="32"/>
        <v>32019</v>
      </c>
      <c r="B547" s="1">
        <v>43539</v>
      </c>
      <c r="C547" t="s">
        <v>353</v>
      </c>
      <c r="D547">
        <v>11376.85</v>
      </c>
      <c r="E547">
        <v>11487</v>
      </c>
      <c r="F547">
        <v>11370.8</v>
      </c>
      <c r="G547">
        <v>11426.85</v>
      </c>
      <c r="H547">
        <v>0</v>
      </c>
      <c r="I547" s="8">
        <f t="shared" si="33"/>
        <v>7.3700218191434796E-3</v>
      </c>
      <c r="J547" s="8">
        <f t="shared" si="34"/>
        <v>7.3429959147711344E-3</v>
      </c>
      <c r="K547" s="8">
        <f t="shared" si="31"/>
        <v>4.749878537314256E-2</v>
      </c>
    </row>
    <row r="548" spans="1:11" x14ac:dyDescent="0.25">
      <c r="A548" t="str">
        <f t="shared" si="32"/>
        <v>32019</v>
      </c>
      <c r="B548" s="1">
        <v>43542</v>
      </c>
      <c r="C548" t="s">
        <v>354</v>
      </c>
      <c r="D548">
        <v>11473.85</v>
      </c>
      <c r="E548">
        <v>11530.15</v>
      </c>
      <c r="F548">
        <v>11412.5</v>
      </c>
      <c r="G548">
        <v>11462.2</v>
      </c>
      <c r="H548">
        <v>0</v>
      </c>
      <c r="I548" s="8">
        <f t="shared" si="33"/>
        <v>3.0935909721401256E-3</v>
      </c>
      <c r="J548" s="8">
        <f t="shared" si="34"/>
        <v>3.0888156656173325E-3</v>
      </c>
      <c r="K548" s="8">
        <f t="shared" si="31"/>
        <v>4.5125053568335183E-2</v>
      </c>
    </row>
    <row r="549" spans="1:11" x14ac:dyDescent="0.25">
      <c r="A549" t="str">
        <f t="shared" si="32"/>
        <v>32019</v>
      </c>
      <c r="B549" s="1">
        <v>43543</v>
      </c>
      <c r="C549" t="s">
        <v>355</v>
      </c>
      <c r="D549">
        <v>11500.3</v>
      </c>
      <c r="E549">
        <v>11543.85</v>
      </c>
      <c r="F549">
        <v>11451.25</v>
      </c>
      <c r="G549">
        <v>11532.4</v>
      </c>
      <c r="H549">
        <v>0</v>
      </c>
      <c r="I549" s="8">
        <f t="shared" si="33"/>
        <v>6.1244787213623475E-3</v>
      </c>
      <c r="J549" s="8">
        <f t="shared" si="34"/>
        <v>6.1058003263835944E-3</v>
      </c>
      <c r="K549" s="8">
        <f t="shared" si="31"/>
        <v>5.3023731475478675E-2</v>
      </c>
    </row>
    <row r="550" spans="1:11" x14ac:dyDescent="0.25">
      <c r="A550" t="str">
        <f t="shared" si="32"/>
        <v>32019</v>
      </c>
      <c r="B550" s="1">
        <v>43544</v>
      </c>
      <c r="C550" t="s">
        <v>356</v>
      </c>
      <c r="D550">
        <v>11553.35</v>
      </c>
      <c r="E550">
        <v>11556.1</v>
      </c>
      <c r="F550">
        <v>11503.1</v>
      </c>
      <c r="G550">
        <v>11521.05</v>
      </c>
      <c r="H550">
        <v>0</v>
      </c>
      <c r="I550" s="8">
        <f t="shared" si="33"/>
        <v>-9.8418369116581861E-4</v>
      </c>
      <c r="J550" s="8">
        <f t="shared" si="34"/>
        <v>-9.8466831793539802E-4</v>
      </c>
      <c r="K550" s="8">
        <f t="shared" si="31"/>
        <v>7.1326948112330202E-2</v>
      </c>
    </row>
    <row r="551" spans="1:11" x14ac:dyDescent="0.25">
      <c r="A551" t="str">
        <f t="shared" si="32"/>
        <v>32019</v>
      </c>
      <c r="B551" s="1">
        <v>43546</v>
      </c>
      <c r="C551" t="s">
        <v>357</v>
      </c>
      <c r="D551">
        <v>11549.2</v>
      </c>
      <c r="E551">
        <v>11572.8</v>
      </c>
      <c r="F551">
        <v>11434.55</v>
      </c>
      <c r="G551">
        <v>11456.9</v>
      </c>
      <c r="H551">
        <v>0</v>
      </c>
      <c r="I551" s="8">
        <f t="shared" si="33"/>
        <v>-5.5680688826105218E-3</v>
      </c>
      <c r="J551" s="8">
        <f t="shared" si="34"/>
        <v>-5.5836283625349536E-3</v>
      </c>
      <c r="K551" s="8">
        <f t="shared" si="31"/>
        <v>7.4403338491114468E-2</v>
      </c>
    </row>
    <row r="552" spans="1:11" x14ac:dyDescent="0.25">
      <c r="A552" t="str">
        <f t="shared" si="32"/>
        <v>32019</v>
      </c>
      <c r="B552" s="1">
        <v>43549</v>
      </c>
      <c r="C552" t="s">
        <v>358</v>
      </c>
      <c r="D552">
        <v>11395.65</v>
      </c>
      <c r="E552">
        <v>11395.65</v>
      </c>
      <c r="F552">
        <v>11311.6</v>
      </c>
      <c r="G552">
        <v>11354.25</v>
      </c>
      <c r="H552">
        <v>0</v>
      </c>
      <c r="I552" s="8">
        <f t="shared" si="33"/>
        <v>-8.9596662273389027E-3</v>
      </c>
      <c r="J552" s="8">
        <f t="shared" si="34"/>
        <v>-9.0000454070535869E-3</v>
      </c>
      <c r="K552" s="8">
        <f t="shared" si="31"/>
        <v>5.8192798594574935E-2</v>
      </c>
    </row>
    <row r="553" spans="1:11" x14ac:dyDescent="0.25">
      <c r="A553" t="str">
        <f t="shared" si="32"/>
        <v>32019</v>
      </c>
      <c r="B553" s="1">
        <v>43550</v>
      </c>
      <c r="C553" t="s">
        <v>359</v>
      </c>
      <c r="D553">
        <v>11375.2</v>
      </c>
      <c r="E553">
        <v>11496.75</v>
      </c>
      <c r="F553">
        <v>11352.45</v>
      </c>
      <c r="G553">
        <v>11483.25</v>
      </c>
      <c r="H553">
        <v>0</v>
      </c>
      <c r="I553" s="8">
        <f t="shared" si="33"/>
        <v>1.1361384503600025E-2</v>
      </c>
      <c r="J553" s="8">
        <f t="shared" si="34"/>
        <v>1.1297328693216403E-2</v>
      </c>
      <c r="K553" s="8">
        <f t="shared" si="31"/>
        <v>6.5256312733074973E-2</v>
      </c>
    </row>
    <row r="554" spans="1:11" x14ac:dyDescent="0.25">
      <c r="A554" t="str">
        <f t="shared" si="32"/>
        <v>32019</v>
      </c>
      <c r="B554" s="1">
        <v>43551</v>
      </c>
      <c r="C554" t="s">
        <v>360</v>
      </c>
      <c r="D554">
        <v>11531.45</v>
      </c>
      <c r="E554">
        <v>11546.2</v>
      </c>
      <c r="F554">
        <v>11413</v>
      </c>
      <c r="G554">
        <v>11445.05</v>
      </c>
      <c r="H554">
        <v>0</v>
      </c>
      <c r="I554" s="8">
        <f t="shared" si="33"/>
        <v>-3.3265843728910172E-3</v>
      </c>
      <c r="J554" s="8">
        <f t="shared" si="34"/>
        <v>-3.3321297562249825E-3</v>
      </c>
      <c r="K554" s="8">
        <f t="shared" si="31"/>
        <v>5.3881711617970618E-2</v>
      </c>
    </row>
    <row r="555" spans="1:11" x14ac:dyDescent="0.25">
      <c r="A555" t="str">
        <f t="shared" si="32"/>
        <v>32019</v>
      </c>
      <c r="B555" s="1">
        <v>43552</v>
      </c>
      <c r="C555" t="s">
        <v>361</v>
      </c>
      <c r="D555">
        <v>11463.65</v>
      </c>
      <c r="E555">
        <v>11588.5</v>
      </c>
      <c r="F555">
        <v>11452.45</v>
      </c>
      <c r="G555">
        <v>11570</v>
      </c>
      <c r="H555">
        <v>0</v>
      </c>
      <c r="I555" s="8">
        <f t="shared" si="33"/>
        <v>1.0917383497669464E-2</v>
      </c>
      <c r="J555" s="8">
        <f t="shared" si="34"/>
        <v>1.085821909063313E-2</v>
      </c>
      <c r="K555" s="8">
        <f t="shared" si="31"/>
        <v>6.5127433245416588E-2</v>
      </c>
    </row>
    <row r="556" spans="1:11" x14ac:dyDescent="0.25">
      <c r="A556" t="str">
        <f t="shared" si="32"/>
        <v>32019</v>
      </c>
      <c r="B556" s="1">
        <v>43553</v>
      </c>
      <c r="C556" t="s">
        <v>362</v>
      </c>
      <c r="D556">
        <v>11625.45</v>
      </c>
      <c r="E556">
        <v>11630.35</v>
      </c>
      <c r="F556">
        <v>11570.15</v>
      </c>
      <c r="G556">
        <v>11623.9</v>
      </c>
      <c r="H556">
        <v>0</v>
      </c>
      <c r="I556" s="8">
        <f t="shared" si="33"/>
        <v>4.6585998271391205E-3</v>
      </c>
      <c r="J556" s="8">
        <f t="shared" si="34"/>
        <v>4.6477821348202336E-3</v>
      </c>
      <c r="K556" s="8">
        <f t="shared" si="31"/>
        <v>6.5425614797297804E-2</v>
      </c>
    </row>
    <row r="557" spans="1:11" x14ac:dyDescent="0.25">
      <c r="A557" t="str">
        <f t="shared" si="32"/>
        <v>42019</v>
      </c>
      <c r="B557" s="1">
        <v>43556</v>
      </c>
      <c r="C557" s="10">
        <v>43469.645833333336</v>
      </c>
      <c r="D557">
        <v>11665.2</v>
      </c>
      <c r="E557">
        <v>11738.1</v>
      </c>
      <c r="F557">
        <v>11644.75</v>
      </c>
      <c r="G557">
        <v>11669.15</v>
      </c>
      <c r="H557">
        <v>0</v>
      </c>
      <c r="I557" s="8">
        <f t="shared" si="33"/>
        <v>3.8928414731715932E-3</v>
      </c>
      <c r="J557" s="8">
        <f t="shared" si="34"/>
        <v>3.8852839728881735E-3</v>
      </c>
      <c r="K557" s="8">
        <f t="shared" si="31"/>
        <v>8.1227704424368774E-2</v>
      </c>
    </row>
    <row r="558" spans="1:11" x14ac:dyDescent="0.25">
      <c r="A558" t="str">
        <f t="shared" si="32"/>
        <v>42019</v>
      </c>
      <c r="B558" s="1">
        <v>43557</v>
      </c>
      <c r="C558" s="10">
        <v>43500.645833333336</v>
      </c>
      <c r="D558">
        <v>11711.55</v>
      </c>
      <c r="E558">
        <v>11729.35</v>
      </c>
      <c r="F558">
        <v>11655.85</v>
      </c>
      <c r="G558">
        <v>11713.2</v>
      </c>
      <c r="H558">
        <v>0</v>
      </c>
      <c r="I558" s="8">
        <f t="shared" si="33"/>
        <v>3.7749107689935002E-3</v>
      </c>
      <c r="J558" s="8">
        <f t="shared" si="34"/>
        <v>3.7678036734890082E-3</v>
      </c>
      <c r="K558" s="8">
        <f t="shared" si="31"/>
        <v>9.7538007449225805E-2</v>
      </c>
    </row>
    <row r="559" spans="1:11" x14ac:dyDescent="0.25">
      <c r="A559" t="str">
        <f t="shared" si="32"/>
        <v>42019</v>
      </c>
      <c r="B559" s="1">
        <v>43558</v>
      </c>
      <c r="C559" s="10">
        <v>43528.645833333336</v>
      </c>
      <c r="D559">
        <v>11735.3</v>
      </c>
      <c r="E559">
        <v>11761</v>
      </c>
      <c r="F559">
        <v>11629.15</v>
      </c>
      <c r="G559">
        <v>11643.95</v>
      </c>
      <c r="H559">
        <v>0</v>
      </c>
      <c r="I559" s="8">
        <f t="shared" si="33"/>
        <v>-5.9121333196735515E-3</v>
      </c>
      <c r="J559" s="8">
        <f t="shared" si="34"/>
        <v>-5.9296791696504684E-3</v>
      </c>
      <c r="K559" s="8">
        <f t="shared" si="31"/>
        <v>8.5445147217160011E-2</v>
      </c>
    </row>
    <row r="560" spans="1:11" x14ac:dyDescent="0.25">
      <c r="A560" t="str">
        <f t="shared" si="32"/>
        <v>42019</v>
      </c>
      <c r="B560" s="1">
        <v>43559</v>
      </c>
      <c r="C560" s="10">
        <v>43559.645833333336</v>
      </c>
      <c r="D560">
        <v>11660.2</v>
      </c>
      <c r="E560">
        <v>11662.55</v>
      </c>
      <c r="F560">
        <v>11559.2</v>
      </c>
      <c r="G560">
        <v>11598</v>
      </c>
      <c r="H560">
        <v>0</v>
      </c>
      <c r="I560" s="8">
        <f t="shared" si="33"/>
        <v>-3.9462553514916232E-3</v>
      </c>
      <c r="J560" s="8">
        <f t="shared" si="34"/>
        <v>-3.9540623628834554E-3</v>
      </c>
      <c r="K560" s="8">
        <f t="shared" si="31"/>
        <v>7.6700272934885572E-2</v>
      </c>
    </row>
    <row r="561" spans="1:11" x14ac:dyDescent="0.25">
      <c r="A561" t="str">
        <f t="shared" si="32"/>
        <v>42019</v>
      </c>
      <c r="B561" s="1">
        <v>43560</v>
      </c>
      <c r="C561" s="10">
        <v>43589.645833333336</v>
      </c>
      <c r="D561">
        <v>11638.4</v>
      </c>
      <c r="E561">
        <v>11689.65</v>
      </c>
      <c r="F561">
        <v>11609.5</v>
      </c>
      <c r="G561">
        <v>11665.95</v>
      </c>
      <c r="H561">
        <v>0</v>
      </c>
      <c r="I561" s="8">
        <f t="shared" si="33"/>
        <v>5.8587687532334343E-3</v>
      </c>
      <c r="J561" s="8">
        <f t="shared" si="34"/>
        <v>5.8416729088147249E-3</v>
      </c>
      <c r="K561" s="8">
        <f t="shared" si="31"/>
        <v>7.9965562411186797E-2</v>
      </c>
    </row>
    <row r="562" spans="1:11" x14ac:dyDescent="0.25">
      <c r="A562" t="str">
        <f t="shared" si="32"/>
        <v>42019</v>
      </c>
      <c r="B562" s="1">
        <v>43563</v>
      </c>
      <c r="C562" s="10">
        <v>43681.645833333336</v>
      </c>
      <c r="D562">
        <v>11704.35</v>
      </c>
      <c r="E562">
        <v>11710.3</v>
      </c>
      <c r="F562">
        <v>11549.1</v>
      </c>
      <c r="G562">
        <v>11604.5</v>
      </c>
      <c r="H562">
        <v>0</v>
      </c>
      <c r="I562" s="8">
        <f t="shared" si="33"/>
        <v>-5.2674664300808027E-3</v>
      </c>
      <c r="J562" s="8">
        <f t="shared" si="34"/>
        <v>-5.2813884420512712E-3</v>
      </c>
      <c r="K562" s="8">
        <f t="shared" si="31"/>
        <v>6.9031749906726336E-2</v>
      </c>
    </row>
    <row r="563" spans="1:11" x14ac:dyDescent="0.25">
      <c r="A563" t="str">
        <f t="shared" si="32"/>
        <v>42019</v>
      </c>
      <c r="B563" s="1">
        <v>43564</v>
      </c>
      <c r="C563" s="10">
        <v>43712.645833333336</v>
      </c>
      <c r="D563">
        <v>11612.05</v>
      </c>
      <c r="E563">
        <v>11683.9</v>
      </c>
      <c r="F563">
        <v>11569.7</v>
      </c>
      <c r="G563">
        <v>11671.95</v>
      </c>
      <c r="H563">
        <v>0</v>
      </c>
      <c r="I563" s="8">
        <f t="shared" si="33"/>
        <v>5.8124003619286491E-3</v>
      </c>
      <c r="J563" s="8">
        <f t="shared" si="34"/>
        <v>5.7955735342997616E-3</v>
      </c>
      <c r="K563" s="8">
        <f t="shared" si="31"/>
        <v>7.8578953204701651E-2</v>
      </c>
    </row>
    <row r="564" spans="1:11" x14ac:dyDescent="0.25">
      <c r="A564" t="str">
        <f t="shared" si="32"/>
        <v>42019</v>
      </c>
      <c r="B564" s="1">
        <v>43565</v>
      </c>
      <c r="C564" s="10">
        <v>43742.645833333336</v>
      </c>
      <c r="D564">
        <v>11646.85</v>
      </c>
      <c r="E564">
        <v>11680.05</v>
      </c>
      <c r="F564">
        <v>11571.75</v>
      </c>
      <c r="G564">
        <v>11584.3</v>
      </c>
      <c r="H564">
        <v>0</v>
      </c>
      <c r="I564" s="8">
        <f t="shared" si="33"/>
        <v>-7.5094564318731738E-3</v>
      </c>
      <c r="J564" s="8">
        <f t="shared" si="34"/>
        <v>-7.5377943572383106E-3</v>
      </c>
      <c r="K564" s="8">
        <f t="shared" si="31"/>
        <v>7.3122154340687029E-2</v>
      </c>
    </row>
    <row r="565" spans="1:11" x14ac:dyDescent="0.25">
      <c r="A565" t="str">
        <f t="shared" si="32"/>
        <v>42019</v>
      </c>
      <c r="B565" s="1">
        <v>43566</v>
      </c>
      <c r="C565" s="10">
        <v>43773.645833333336</v>
      </c>
      <c r="D565">
        <v>11592.55</v>
      </c>
      <c r="E565">
        <v>11606.7</v>
      </c>
      <c r="F565">
        <v>11550.55</v>
      </c>
      <c r="G565">
        <v>11596.7</v>
      </c>
      <c r="H565">
        <v>0</v>
      </c>
      <c r="I565" s="8">
        <f t="shared" si="33"/>
        <v>1.0704142675863615E-3</v>
      </c>
      <c r="J565" s="8">
        <f t="shared" si="34"/>
        <v>1.0698417827284545E-3</v>
      </c>
      <c r="K565" s="8">
        <f t="shared" si="31"/>
        <v>8.000856802264944E-2</v>
      </c>
    </row>
    <row r="566" spans="1:11" x14ac:dyDescent="0.25">
      <c r="A566" t="str">
        <f t="shared" si="32"/>
        <v>42019</v>
      </c>
      <c r="B566" s="1">
        <v>43567</v>
      </c>
      <c r="C566" s="10">
        <v>43803.645833333336</v>
      </c>
      <c r="D566">
        <v>11612.85</v>
      </c>
      <c r="E566">
        <v>11657.35</v>
      </c>
      <c r="F566">
        <v>11578.8</v>
      </c>
      <c r="G566">
        <v>11643.45</v>
      </c>
      <c r="H566">
        <v>0</v>
      </c>
      <c r="I566" s="8">
        <f t="shared" si="33"/>
        <v>4.0313192546155285E-3</v>
      </c>
      <c r="J566" s="8">
        <f t="shared" si="34"/>
        <v>4.0232152597085759E-3</v>
      </c>
      <c r="K566" s="8">
        <f t="shared" si="31"/>
        <v>6.9501598265789832E-2</v>
      </c>
    </row>
    <row r="567" spans="1:11" x14ac:dyDescent="0.25">
      <c r="A567" t="str">
        <f t="shared" si="32"/>
        <v>42019</v>
      </c>
      <c r="B567" s="1">
        <v>43570</v>
      </c>
      <c r="C567" t="s">
        <v>363</v>
      </c>
      <c r="D567">
        <v>11667</v>
      </c>
      <c r="E567">
        <v>11704.6</v>
      </c>
      <c r="F567">
        <v>11648.25</v>
      </c>
      <c r="G567">
        <v>11690.35</v>
      </c>
      <c r="H567">
        <v>0</v>
      </c>
      <c r="I567" s="8">
        <f t="shared" si="33"/>
        <v>4.0280157513450376E-3</v>
      </c>
      <c r="J567" s="8">
        <f t="shared" si="34"/>
        <v>4.01992501503014E-3</v>
      </c>
      <c r="K567" s="8">
        <f t="shared" si="31"/>
        <v>7.3464459197634779E-2</v>
      </c>
    </row>
    <row r="568" spans="1:11" x14ac:dyDescent="0.25">
      <c r="A568" t="str">
        <f t="shared" si="32"/>
        <v>42019</v>
      </c>
      <c r="B568" s="1">
        <v>43571</v>
      </c>
      <c r="C568" t="s">
        <v>364</v>
      </c>
      <c r="D568">
        <v>11736.2</v>
      </c>
      <c r="E568">
        <v>11810.95</v>
      </c>
      <c r="F568">
        <v>11731.55</v>
      </c>
      <c r="G568">
        <v>11787.15</v>
      </c>
      <c r="H568">
        <v>0</v>
      </c>
      <c r="I568" s="8">
        <f t="shared" si="33"/>
        <v>8.2803337795702703E-3</v>
      </c>
      <c r="J568" s="8">
        <f t="shared" si="34"/>
        <v>8.2462398923668495E-3</v>
      </c>
      <c r="K568" s="8">
        <f t="shared" si="31"/>
        <v>8.0874261820049087E-2</v>
      </c>
    </row>
    <row r="569" spans="1:11" x14ac:dyDescent="0.25">
      <c r="A569" t="str">
        <f t="shared" si="32"/>
        <v>42019</v>
      </c>
      <c r="B569" s="1">
        <v>43573</v>
      </c>
      <c r="C569" t="s">
        <v>365</v>
      </c>
      <c r="D569">
        <v>11856.15</v>
      </c>
      <c r="E569">
        <v>11856.15</v>
      </c>
      <c r="F569">
        <v>11738.5</v>
      </c>
      <c r="G569">
        <v>11752.8</v>
      </c>
      <c r="H569">
        <v>0</v>
      </c>
      <c r="I569" s="8">
        <f t="shared" si="33"/>
        <v>-2.9141904531629903E-3</v>
      </c>
      <c r="J569" s="8">
        <f t="shared" si="34"/>
        <v>-2.9184449738277464E-3</v>
      </c>
      <c r="K569" s="8">
        <f t="shared" si="31"/>
        <v>7.7551469475884538E-2</v>
      </c>
    </row>
    <row r="570" spans="1:11" x14ac:dyDescent="0.25">
      <c r="A570" t="str">
        <f t="shared" si="32"/>
        <v>42019</v>
      </c>
      <c r="B570" s="1">
        <v>43577</v>
      </c>
      <c r="C570" t="s">
        <v>366</v>
      </c>
      <c r="D570">
        <v>11727.05</v>
      </c>
      <c r="E570">
        <v>11727.05</v>
      </c>
      <c r="F570">
        <v>11583.95</v>
      </c>
      <c r="G570">
        <v>11594.45</v>
      </c>
      <c r="H570">
        <v>0</v>
      </c>
      <c r="I570" s="8">
        <f t="shared" si="33"/>
        <v>-1.3473385065686405E-2</v>
      </c>
      <c r="J570" s="8">
        <f t="shared" si="34"/>
        <v>-1.3564974730520374E-2</v>
      </c>
      <c r="K570" s="8">
        <f t="shared" si="31"/>
        <v>5.7709237035719285E-2</v>
      </c>
    </row>
    <row r="571" spans="1:11" x14ac:dyDescent="0.25">
      <c r="A571" t="str">
        <f t="shared" si="32"/>
        <v>42019</v>
      </c>
      <c r="B571" s="1">
        <v>43578</v>
      </c>
      <c r="C571" t="s">
        <v>367</v>
      </c>
      <c r="D571">
        <v>11612.95</v>
      </c>
      <c r="E571">
        <v>11645.95</v>
      </c>
      <c r="F571">
        <v>11564.8</v>
      </c>
      <c r="G571">
        <v>11575.95</v>
      </c>
      <c r="H571">
        <v>0</v>
      </c>
      <c r="I571" s="8">
        <f t="shared" si="33"/>
        <v>-1.5955909939668889E-3</v>
      </c>
      <c r="J571" s="8">
        <f t="shared" si="34"/>
        <v>-1.5968653049767416E-3</v>
      </c>
      <c r="K571" s="8">
        <f t="shared" si="31"/>
        <v>5.9801789842301778E-2</v>
      </c>
    </row>
    <row r="572" spans="1:11" x14ac:dyDescent="0.25">
      <c r="A572" t="str">
        <f t="shared" si="32"/>
        <v>42019</v>
      </c>
      <c r="B572" s="1">
        <v>43579</v>
      </c>
      <c r="C572" t="s">
        <v>368</v>
      </c>
      <c r="D572">
        <v>11601.5</v>
      </c>
      <c r="E572">
        <v>11740.85</v>
      </c>
      <c r="F572">
        <v>11578.85</v>
      </c>
      <c r="G572">
        <v>11726.15</v>
      </c>
      <c r="H572">
        <v>0</v>
      </c>
      <c r="I572" s="8">
        <f t="shared" si="33"/>
        <v>1.2975176983314407E-2</v>
      </c>
      <c r="J572" s="8">
        <f t="shared" si="34"/>
        <v>1.2891720507584971E-2</v>
      </c>
      <c r="K572" s="8">
        <f t="shared" si="31"/>
        <v>8.2597054886211385E-2</v>
      </c>
    </row>
    <row r="573" spans="1:11" x14ac:dyDescent="0.25">
      <c r="A573" t="str">
        <f t="shared" si="32"/>
        <v>42019</v>
      </c>
      <c r="B573" s="1">
        <v>43580</v>
      </c>
      <c r="C573" t="s">
        <v>369</v>
      </c>
      <c r="D573">
        <v>11735.7</v>
      </c>
      <c r="E573">
        <v>11796.75</v>
      </c>
      <c r="F573">
        <v>11624.3</v>
      </c>
      <c r="G573">
        <v>11641.8</v>
      </c>
      <c r="H573">
        <v>0</v>
      </c>
      <c r="I573" s="8">
        <f t="shared" si="33"/>
        <v>-7.1933243221347087E-3</v>
      </c>
      <c r="J573" s="8">
        <f t="shared" si="34"/>
        <v>-7.2193210230233834E-3</v>
      </c>
      <c r="K573" s="8">
        <f t="shared" si="31"/>
        <v>7.2996737267046363E-2</v>
      </c>
    </row>
    <row r="574" spans="1:11" x14ac:dyDescent="0.25">
      <c r="A574" t="str">
        <f t="shared" si="32"/>
        <v>42019</v>
      </c>
      <c r="B574" s="1">
        <v>43581</v>
      </c>
      <c r="C574" t="s">
        <v>370</v>
      </c>
      <c r="D574">
        <v>11683.75</v>
      </c>
      <c r="E574">
        <v>11762.9</v>
      </c>
      <c r="F574">
        <v>11661.75</v>
      </c>
      <c r="G574">
        <v>11754.65</v>
      </c>
      <c r="H574">
        <v>0</v>
      </c>
      <c r="I574" s="8">
        <f t="shared" si="33"/>
        <v>9.6935181844732821E-3</v>
      </c>
      <c r="J574" s="8">
        <f t="shared" si="34"/>
        <v>9.6468374616017465E-3</v>
      </c>
      <c r="K574" s="8">
        <f t="shared" si="31"/>
        <v>9.0357171016321125E-2</v>
      </c>
    </row>
    <row r="575" spans="1:11" x14ac:dyDescent="0.25">
      <c r="A575" t="str">
        <f t="shared" si="32"/>
        <v>42019</v>
      </c>
      <c r="B575" s="1">
        <v>43585</v>
      </c>
      <c r="C575" t="s">
        <v>371</v>
      </c>
      <c r="D575">
        <v>11748.75</v>
      </c>
      <c r="E575">
        <v>11756.25</v>
      </c>
      <c r="F575">
        <v>11655.9</v>
      </c>
      <c r="G575">
        <v>11748.15</v>
      </c>
      <c r="H575">
        <v>0</v>
      </c>
      <c r="I575" s="8">
        <f t="shared" si="33"/>
        <v>-5.5297265337550527E-4</v>
      </c>
      <c r="J575" s="8">
        <f t="shared" si="34"/>
        <v>-5.531255991390112E-4</v>
      </c>
      <c r="K575" s="8">
        <f t="shared" si="31"/>
        <v>0.10191763861727421</v>
      </c>
    </row>
    <row r="576" spans="1:11" x14ac:dyDescent="0.25">
      <c r="A576" t="str">
        <f t="shared" si="32"/>
        <v>52019</v>
      </c>
      <c r="B576" s="1">
        <v>43587</v>
      </c>
      <c r="C576" s="10">
        <v>43501.645833333336</v>
      </c>
      <c r="D576">
        <v>11725.55</v>
      </c>
      <c r="E576">
        <v>11789.3</v>
      </c>
      <c r="F576">
        <v>11699.55</v>
      </c>
      <c r="G576">
        <v>11724.75</v>
      </c>
      <c r="H576">
        <v>0</v>
      </c>
      <c r="I576" s="8">
        <f t="shared" si="33"/>
        <v>-1.9918029647221225E-3</v>
      </c>
      <c r="J576" s="8">
        <f t="shared" si="34"/>
        <v>-1.9937892422010914E-3</v>
      </c>
      <c r="K576" s="8">
        <f t="shared" ref="K576:K639" si="35">+G576/G515-1</f>
        <v>0.10068812076378575</v>
      </c>
    </row>
    <row r="577" spans="1:11" x14ac:dyDescent="0.25">
      <c r="A577" t="str">
        <f t="shared" si="32"/>
        <v>52019</v>
      </c>
      <c r="B577" s="1">
        <v>43588</v>
      </c>
      <c r="C577" s="10">
        <v>43529.645833333336</v>
      </c>
      <c r="D577">
        <v>11722.6</v>
      </c>
      <c r="E577">
        <v>11770.9</v>
      </c>
      <c r="F577">
        <v>11699.35</v>
      </c>
      <c r="G577">
        <v>11712.25</v>
      </c>
      <c r="H577">
        <v>0</v>
      </c>
      <c r="I577" s="8">
        <f t="shared" si="33"/>
        <v>-1.0661208128105448E-3</v>
      </c>
      <c r="J577" s="8">
        <f t="shared" si="34"/>
        <v>-1.0666895238500144E-3</v>
      </c>
      <c r="K577" s="8">
        <f t="shared" si="35"/>
        <v>9.9555943596387531E-2</v>
      </c>
    </row>
    <row r="578" spans="1:11" x14ac:dyDescent="0.25">
      <c r="A578" t="str">
        <f t="shared" si="32"/>
        <v>52019</v>
      </c>
      <c r="B578" s="1">
        <v>43591</v>
      </c>
      <c r="C578" s="10">
        <v>43621.645833333336</v>
      </c>
      <c r="D578">
        <v>11605.8</v>
      </c>
      <c r="E578">
        <v>11632.55</v>
      </c>
      <c r="F578">
        <v>11571.35</v>
      </c>
      <c r="G578">
        <v>11598.25</v>
      </c>
      <c r="H578">
        <v>0</v>
      </c>
      <c r="I578" s="8">
        <f t="shared" si="33"/>
        <v>-9.7333987918631903E-3</v>
      </c>
      <c r="J578" s="8">
        <f t="shared" si="34"/>
        <v>-9.7810779570294496E-3</v>
      </c>
      <c r="K578" s="8">
        <f t="shared" si="35"/>
        <v>7.084327782881461E-2</v>
      </c>
    </row>
    <row r="579" spans="1:11" x14ac:dyDescent="0.25">
      <c r="A579" t="str">
        <f t="shared" ref="A579:A642" si="36">+MONTH(B579)&amp;YEAR(B579)</f>
        <v>52019</v>
      </c>
      <c r="B579" s="1">
        <v>43592</v>
      </c>
      <c r="C579" s="10">
        <v>43651.791666666664</v>
      </c>
      <c r="D579">
        <v>11651.5</v>
      </c>
      <c r="E579">
        <v>11657.05</v>
      </c>
      <c r="F579">
        <v>11484.45</v>
      </c>
      <c r="G579">
        <v>11497.9</v>
      </c>
      <c r="H579">
        <v>0</v>
      </c>
      <c r="I579" s="8">
        <f t="shared" si="33"/>
        <v>-8.652167352833473E-3</v>
      </c>
      <c r="J579" s="8">
        <f t="shared" si="34"/>
        <v>-8.6898146639726396E-3</v>
      </c>
      <c r="K579" s="8">
        <f t="shared" si="35"/>
        <v>5.5468093797762963E-2</v>
      </c>
    </row>
    <row r="580" spans="1:11" x14ac:dyDescent="0.25">
      <c r="A580" t="str">
        <f t="shared" si="36"/>
        <v>52019</v>
      </c>
      <c r="B580" s="1">
        <v>43593</v>
      </c>
      <c r="C580" s="10">
        <v>43682.645833333336</v>
      </c>
      <c r="D580">
        <v>11478.7</v>
      </c>
      <c r="E580">
        <v>11479.1</v>
      </c>
      <c r="F580">
        <v>11346.95</v>
      </c>
      <c r="G580">
        <v>11359.45</v>
      </c>
      <c r="H580">
        <v>0</v>
      </c>
      <c r="I580" s="8">
        <f t="shared" ref="I580:I643" si="37">+G580/G579-1</f>
        <v>-1.2041329286217373E-2</v>
      </c>
      <c r="J580" s="8">
        <f t="shared" ref="J580:J643" si="38">+LN(1+I580)</f>
        <v>-1.2114413370574466E-2</v>
      </c>
      <c r="K580" s="8">
        <f t="shared" si="35"/>
        <v>4.0981465783866744E-2</v>
      </c>
    </row>
    <row r="581" spans="1:11" x14ac:dyDescent="0.25">
      <c r="A581" t="str">
        <f t="shared" si="36"/>
        <v>52019</v>
      </c>
      <c r="B581" s="1">
        <v>43594</v>
      </c>
      <c r="C581" s="10">
        <v>43713.645833333336</v>
      </c>
      <c r="D581">
        <v>11322.4</v>
      </c>
      <c r="E581">
        <v>11357.6</v>
      </c>
      <c r="F581">
        <v>11255.05</v>
      </c>
      <c r="G581">
        <v>11301.8</v>
      </c>
      <c r="H581">
        <v>0</v>
      </c>
      <c r="I581" s="8">
        <f t="shared" si="37"/>
        <v>-5.0750696556612906E-3</v>
      </c>
      <c r="J581" s="8">
        <f t="shared" si="38"/>
        <v>-5.087991559915908E-3</v>
      </c>
      <c r="K581" s="8">
        <f t="shared" si="35"/>
        <v>3.3605106842198973E-2</v>
      </c>
    </row>
    <row r="582" spans="1:11" x14ac:dyDescent="0.25">
      <c r="A582" t="str">
        <f t="shared" si="36"/>
        <v>52019</v>
      </c>
      <c r="B582" s="1">
        <v>43595</v>
      </c>
      <c r="C582" s="10">
        <v>43743.645833333336</v>
      </c>
      <c r="D582">
        <v>11314.15</v>
      </c>
      <c r="E582">
        <v>11345.8</v>
      </c>
      <c r="F582">
        <v>11251.05</v>
      </c>
      <c r="G582">
        <v>11278.9</v>
      </c>
      <c r="H582">
        <v>0</v>
      </c>
      <c r="I582" s="8">
        <f t="shared" si="37"/>
        <v>-2.0262259109168346E-3</v>
      </c>
      <c r="J582" s="8">
        <f t="shared" si="38"/>
        <v>-2.0282814838106025E-3</v>
      </c>
      <c r="K582" s="8">
        <f t="shared" si="35"/>
        <v>1.9566190129672867E-2</v>
      </c>
    </row>
    <row r="583" spans="1:11" x14ac:dyDescent="0.25">
      <c r="A583" t="str">
        <f t="shared" si="36"/>
        <v>52019</v>
      </c>
      <c r="B583" s="1">
        <v>43598</v>
      </c>
      <c r="C583" t="s">
        <v>372</v>
      </c>
      <c r="D583">
        <v>11258.7</v>
      </c>
      <c r="E583">
        <v>11300.2</v>
      </c>
      <c r="F583">
        <v>11125.6</v>
      </c>
      <c r="G583">
        <v>11148.2</v>
      </c>
      <c r="H583">
        <v>0</v>
      </c>
      <c r="I583" s="8">
        <f t="shared" si="37"/>
        <v>-1.1588009469008398E-2</v>
      </c>
      <c r="J583" s="8">
        <f t="shared" si="38"/>
        <v>-1.1655673687732526E-2</v>
      </c>
      <c r="K583" s="8">
        <f t="shared" si="35"/>
        <v>7.1187236887275684E-3</v>
      </c>
    </row>
    <row r="584" spans="1:11" x14ac:dyDescent="0.25">
      <c r="A584" t="str">
        <f t="shared" si="36"/>
        <v>52019</v>
      </c>
      <c r="B584" s="1">
        <v>43599</v>
      </c>
      <c r="C584" t="s">
        <v>373</v>
      </c>
      <c r="D584">
        <v>11151.65</v>
      </c>
      <c r="E584">
        <v>11294.75</v>
      </c>
      <c r="F584">
        <v>11108.3</v>
      </c>
      <c r="G584">
        <v>11222.05</v>
      </c>
      <c r="H584">
        <v>0</v>
      </c>
      <c r="I584" s="8">
        <f t="shared" si="37"/>
        <v>6.6243877935450168E-3</v>
      </c>
      <c r="J584" s="8">
        <f t="shared" si="38"/>
        <v>6.6025429561064782E-3</v>
      </c>
      <c r="K584" s="8">
        <f t="shared" si="35"/>
        <v>2.5444095178917214E-2</v>
      </c>
    </row>
    <row r="585" spans="1:11" x14ac:dyDescent="0.25">
      <c r="A585" t="str">
        <f t="shared" si="36"/>
        <v>52019</v>
      </c>
      <c r="B585" s="1">
        <v>43600</v>
      </c>
      <c r="C585" t="s">
        <v>374</v>
      </c>
      <c r="D585">
        <v>11271.7</v>
      </c>
      <c r="E585">
        <v>11286.8</v>
      </c>
      <c r="F585">
        <v>11136.95</v>
      </c>
      <c r="G585">
        <v>11157</v>
      </c>
      <c r="H585">
        <v>0</v>
      </c>
      <c r="I585" s="8">
        <f t="shared" si="37"/>
        <v>-5.7966236115504222E-3</v>
      </c>
      <c r="J585" s="8">
        <f t="shared" si="38"/>
        <v>-5.8134892415845994E-3</v>
      </c>
      <c r="K585" s="8">
        <f t="shared" si="35"/>
        <v>2.4630813312761735E-2</v>
      </c>
    </row>
    <row r="586" spans="1:11" x14ac:dyDescent="0.25">
      <c r="A586" t="str">
        <f t="shared" si="36"/>
        <v>52019</v>
      </c>
      <c r="B586" s="1">
        <v>43601</v>
      </c>
      <c r="C586" t="s">
        <v>375</v>
      </c>
      <c r="D586">
        <v>11180.35</v>
      </c>
      <c r="E586">
        <v>11281.55</v>
      </c>
      <c r="F586">
        <v>11143.35</v>
      </c>
      <c r="G586">
        <v>11257.1</v>
      </c>
      <c r="H586">
        <v>0</v>
      </c>
      <c r="I586" s="8">
        <f t="shared" si="37"/>
        <v>8.9719458635835192E-3</v>
      </c>
      <c r="J586" s="8">
        <f t="shared" si="38"/>
        <v>8.9319370836315384E-3</v>
      </c>
      <c r="K586" s="8">
        <f t="shared" si="35"/>
        <v>3.9302398581900766E-2</v>
      </c>
    </row>
    <row r="587" spans="1:11" x14ac:dyDescent="0.25">
      <c r="A587" t="str">
        <f t="shared" si="36"/>
        <v>52019</v>
      </c>
      <c r="B587" s="1">
        <v>43602</v>
      </c>
      <c r="C587" t="s">
        <v>376</v>
      </c>
      <c r="D587">
        <v>11261.9</v>
      </c>
      <c r="E587">
        <v>11426.15</v>
      </c>
      <c r="F587">
        <v>11259.85</v>
      </c>
      <c r="G587">
        <v>11407.15</v>
      </c>
      <c r="H587">
        <v>0</v>
      </c>
      <c r="I587" s="8">
        <f t="shared" si="37"/>
        <v>1.3329365467127374E-2</v>
      </c>
      <c r="J587" s="8">
        <f t="shared" si="38"/>
        <v>1.324131108491434E-2</v>
      </c>
      <c r="K587" s="8">
        <f t="shared" si="35"/>
        <v>5.6838974767571715E-2</v>
      </c>
    </row>
    <row r="588" spans="1:11" x14ac:dyDescent="0.25">
      <c r="A588" t="str">
        <f t="shared" si="36"/>
        <v>52019</v>
      </c>
      <c r="B588" s="1">
        <v>43605</v>
      </c>
      <c r="C588" t="s">
        <v>377</v>
      </c>
      <c r="D588">
        <v>11651.9</v>
      </c>
      <c r="E588">
        <v>11845.2</v>
      </c>
      <c r="F588">
        <v>11591.7</v>
      </c>
      <c r="G588">
        <v>11828.25</v>
      </c>
      <c r="H588">
        <v>0</v>
      </c>
      <c r="I588" s="8">
        <f t="shared" si="37"/>
        <v>3.691544338419317E-2</v>
      </c>
      <c r="J588" s="8">
        <f t="shared" si="38"/>
        <v>3.6250386274051208E-2</v>
      </c>
      <c r="K588" s="8">
        <f t="shared" si="35"/>
        <v>0.10070677132527783</v>
      </c>
    </row>
    <row r="589" spans="1:11" x14ac:dyDescent="0.25">
      <c r="A589" t="str">
        <f t="shared" si="36"/>
        <v>52019</v>
      </c>
      <c r="B589" s="1">
        <v>43606</v>
      </c>
      <c r="C589" t="s">
        <v>378</v>
      </c>
      <c r="D589">
        <v>11863.65</v>
      </c>
      <c r="E589">
        <v>11883.55</v>
      </c>
      <c r="F589">
        <v>11682.8</v>
      </c>
      <c r="G589">
        <v>11709.1</v>
      </c>
      <c r="H589">
        <v>0</v>
      </c>
      <c r="I589" s="8">
        <f t="shared" si="37"/>
        <v>-1.0073341364952526E-2</v>
      </c>
      <c r="J589" s="8">
        <f t="shared" si="38"/>
        <v>-1.012442078454291E-2</v>
      </c>
      <c r="K589" s="8">
        <f t="shared" si="35"/>
        <v>9.1818656521577058E-2</v>
      </c>
    </row>
    <row r="590" spans="1:11" x14ac:dyDescent="0.25">
      <c r="A590" t="str">
        <f t="shared" si="36"/>
        <v>52019</v>
      </c>
      <c r="B590" s="1">
        <v>43607</v>
      </c>
      <c r="C590" t="s">
        <v>379</v>
      </c>
      <c r="D590">
        <v>11727.95</v>
      </c>
      <c r="E590">
        <v>11784.8</v>
      </c>
      <c r="F590">
        <v>11682.4</v>
      </c>
      <c r="G590">
        <v>11737.9</v>
      </c>
      <c r="H590">
        <v>0</v>
      </c>
      <c r="I590" s="8">
        <f t="shared" si="37"/>
        <v>2.4596254195454748E-3</v>
      </c>
      <c r="J590" s="8">
        <f t="shared" si="38"/>
        <v>2.4566054918568484E-3</v>
      </c>
      <c r="K590" s="8">
        <f t="shared" si="35"/>
        <v>0.10308760026125485</v>
      </c>
    </row>
    <row r="591" spans="1:11" x14ac:dyDescent="0.25">
      <c r="A591" t="str">
        <f t="shared" si="36"/>
        <v>52019</v>
      </c>
      <c r="B591" s="1">
        <v>43608</v>
      </c>
      <c r="C591" t="s">
        <v>380</v>
      </c>
      <c r="D591">
        <v>11901.3</v>
      </c>
      <c r="E591">
        <v>12041.15</v>
      </c>
      <c r="F591">
        <v>11614.5</v>
      </c>
      <c r="G591">
        <v>11657.05</v>
      </c>
      <c r="H591">
        <v>0</v>
      </c>
      <c r="I591" s="8">
        <f t="shared" si="37"/>
        <v>-6.8879441808160635E-3</v>
      </c>
      <c r="J591" s="8">
        <f t="shared" si="38"/>
        <v>-6.9117755642064951E-3</v>
      </c>
      <c r="K591" s="8">
        <f t="shared" si="35"/>
        <v>9.9270582355354131E-2</v>
      </c>
    </row>
    <row r="592" spans="1:11" x14ac:dyDescent="0.25">
      <c r="A592" t="str">
        <f t="shared" si="36"/>
        <v>52019</v>
      </c>
      <c r="B592" s="1">
        <v>43609</v>
      </c>
      <c r="C592" t="s">
        <v>381</v>
      </c>
      <c r="D592">
        <v>11748</v>
      </c>
      <c r="E592">
        <v>11859</v>
      </c>
      <c r="F592">
        <v>11658.1</v>
      </c>
      <c r="G592">
        <v>11844.1</v>
      </c>
      <c r="H592">
        <v>0</v>
      </c>
      <c r="I592" s="8">
        <f t="shared" si="37"/>
        <v>1.6046083700421709E-2</v>
      </c>
      <c r="J592" s="8">
        <f t="shared" si="38"/>
        <v>1.5918706100504415E-2</v>
      </c>
      <c r="K592" s="8">
        <f t="shared" si="35"/>
        <v>0.10327000731222258</v>
      </c>
    </row>
    <row r="593" spans="1:11" x14ac:dyDescent="0.25">
      <c r="A593" t="str">
        <f t="shared" si="36"/>
        <v>52019</v>
      </c>
      <c r="B593" s="1">
        <v>43612</v>
      </c>
      <c r="C593" t="s">
        <v>382</v>
      </c>
      <c r="D593">
        <v>11855.5</v>
      </c>
      <c r="E593">
        <v>11957.15</v>
      </c>
      <c r="F593">
        <v>11812.4</v>
      </c>
      <c r="G593">
        <v>11924.75</v>
      </c>
      <c r="H593">
        <v>0</v>
      </c>
      <c r="I593" s="8">
        <f t="shared" si="37"/>
        <v>6.809297456117358E-3</v>
      </c>
      <c r="J593" s="8">
        <f t="shared" si="38"/>
        <v>6.7862188968109954E-3</v>
      </c>
      <c r="K593" s="8">
        <f t="shared" si="35"/>
        <v>0.10518218510915345</v>
      </c>
    </row>
    <row r="594" spans="1:11" x14ac:dyDescent="0.25">
      <c r="A594" t="str">
        <f t="shared" si="36"/>
        <v>52019</v>
      </c>
      <c r="B594" s="1">
        <v>43613</v>
      </c>
      <c r="C594" t="s">
        <v>383</v>
      </c>
      <c r="D594">
        <v>11958.35</v>
      </c>
      <c r="E594">
        <v>11958.55</v>
      </c>
      <c r="F594">
        <v>11864.9</v>
      </c>
      <c r="G594">
        <v>11928.75</v>
      </c>
      <c r="H594">
        <v>0</v>
      </c>
      <c r="I594" s="8">
        <f t="shared" si="37"/>
        <v>3.3543680161018941E-4</v>
      </c>
      <c r="J594" s="8">
        <f t="shared" si="38"/>
        <v>3.3538055526396364E-4</v>
      </c>
      <c r="K594" s="8">
        <f t="shared" si="35"/>
        <v>0.10536850249961782</v>
      </c>
    </row>
    <row r="595" spans="1:11" x14ac:dyDescent="0.25">
      <c r="A595" t="str">
        <f t="shared" si="36"/>
        <v>52019</v>
      </c>
      <c r="B595" s="1">
        <v>43614</v>
      </c>
      <c r="C595" t="s">
        <v>384</v>
      </c>
      <c r="D595">
        <v>11905.8</v>
      </c>
      <c r="E595">
        <v>11931.9</v>
      </c>
      <c r="F595">
        <v>11836.8</v>
      </c>
      <c r="G595">
        <v>11861.1</v>
      </c>
      <c r="H595">
        <v>0</v>
      </c>
      <c r="I595" s="8">
        <f t="shared" si="37"/>
        <v>-5.6711725872367058E-3</v>
      </c>
      <c r="J595" s="8">
        <f t="shared" si="38"/>
        <v>-5.6873147454005899E-3</v>
      </c>
      <c r="K595" s="8">
        <f t="shared" si="35"/>
        <v>9.0164612457606097E-2</v>
      </c>
    </row>
    <row r="596" spans="1:11" x14ac:dyDescent="0.25">
      <c r="A596" t="str">
        <f t="shared" si="36"/>
        <v>52019</v>
      </c>
      <c r="B596" s="1">
        <v>43615</v>
      </c>
      <c r="C596" t="s">
        <v>385</v>
      </c>
      <c r="D596">
        <v>11865.3</v>
      </c>
      <c r="E596">
        <v>11968.55</v>
      </c>
      <c r="F596">
        <v>11859.4</v>
      </c>
      <c r="G596">
        <v>11945.9</v>
      </c>
      <c r="H596">
        <v>0</v>
      </c>
      <c r="I596" s="8">
        <f t="shared" si="37"/>
        <v>7.1494212172562577E-3</v>
      </c>
      <c r="J596" s="8">
        <f t="shared" si="38"/>
        <v>7.123985268305006E-3</v>
      </c>
      <c r="K596" s="8">
        <f t="shared" si="35"/>
        <v>0.10249831569038248</v>
      </c>
    </row>
    <row r="597" spans="1:11" x14ac:dyDescent="0.25">
      <c r="A597" t="str">
        <f t="shared" si="36"/>
        <v>52019</v>
      </c>
      <c r="B597" s="1">
        <v>43616</v>
      </c>
      <c r="C597" t="s">
        <v>386</v>
      </c>
      <c r="D597">
        <v>11999.8</v>
      </c>
      <c r="E597">
        <v>12039.25</v>
      </c>
      <c r="F597">
        <v>11829.45</v>
      </c>
      <c r="G597">
        <v>11922.8</v>
      </c>
      <c r="H597">
        <v>0</v>
      </c>
      <c r="I597" s="8">
        <f t="shared" si="37"/>
        <v>-1.9337178446161563E-3</v>
      </c>
      <c r="J597" s="8">
        <f t="shared" si="38"/>
        <v>-1.9355898906960182E-3</v>
      </c>
      <c r="K597" s="8">
        <f t="shared" si="35"/>
        <v>0.10328362628566667</v>
      </c>
    </row>
    <row r="598" spans="1:11" x14ac:dyDescent="0.25">
      <c r="A598" t="str">
        <f t="shared" si="36"/>
        <v>62019</v>
      </c>
      <c r="B598" s="1">
        <v>43619</v>
      </c>
      <c r="C598" s="10">
        <v>43530.645833333336</v>
      </c>
      <c r="D598">
        <v>11953.75</v>
      </c>
      <c r="E598">
        <v>12103.05</v>
      </c>
      <c r="F598">
        <v>11920.1</v>
      </c>
      <c r="G598">
        <v>12088.55</v>
      </c>
      <c r="H598">
        <v>0</v>
      </c>
      <c r="I598" s="8">
        <f t="shared" si="37"/>
        <v>1.3901935786895692E-2</v>
      </c>
      <c r="J598" s="8">
        <f t="shared" si="38"/>
        <v>1.3806190222918157E-2</v>
      </c>
      <c r="K598" s="8">
        <f t="shared" si="35"/>
        <v>0.12008802409080377</v>
      </c>
    </row>
    <row r="599" spans="1:11" x14ac:dyDescent="0.25">
      <c r="A599" t="str">
        <f t="shared" si="36"/>
        <v>62019</v>
      </c>
      <c r="B599" s="1">
        <v>43620</v>
      </c>
      <c r="C599" s="10">
        <v>43561.645833333336</v>
      </c>
      <c r="D599">
        <v>12052.65</v>
      </c>
      <c r="E599">
        <v>12095.2</v>
      </c>
      <c r="F599">
        <v>12005.85</v>
      </c>
      <c r="G599">
        <v>12021.65</v>
      </c>
      <c r="H599">
        <v>0</v>
      </c>
      <c r="I599" s="8">
        <f t="shared" si="37"/>
        <v>-5.5341624926066313E-3</v>
      </c>
      <c r="J599" s="8">
        <f t="shared" si="38"/>
        <v>-5.5495327035804771E-3</v>
      </c>
      <c r="K599" s="8">
        <f t="shared" si="35"/>
        <v>0.10660928798269431</v>
      </c>
    </row>
    <row r="600" spans="1:11" x14ac:dyDescent="0.25">
      <c r="A600" t="str">
        <f t="shared" si="36"/>
        <v>62019</v>
      </c>
      <c r="B600" s="1">
        <v>43622</v>
      </c>
      <c r="C600" s="10">
        <v>43622.645833333336</v>
      </c>
      <c r="D600">
        <v>12039.8</v>
      </c>
      <c r="E600">
        <v>12039.8</v>
      </c>
      <c r="F600">
        <v>11830.25</v>
      </c>
      <c r="G600">
        <v>11843.75</v>
      </c>
      <c r="H600">
        <v>0</v>
      </c>
      <c r="I600" s="8">
        <f t="shared" si="37"/>
        <v>-1.479830139789462E-2</v>
      </c>
      <c r="J600" s="8">
        <f t="shared" si="38"/>
        <v>-1.4908888618172916E-2</v>
      </c>
      <c r="K600" s="8">
        <f t="shared" si="35"/>
        <v>7.7934370577340539E-2</v>
      </c>
    </row>
    <row r="601" spans="1:11" x14ac:dyDescent="0.25">
      <c r="A601" t="str">
        <f t="shared" si="36"/>
        <v>62019</v>
      </c>
      <c r="B601" s="1">
        <v>43623</v>
      </c>
      <c r="C601" s="10">
        <v>43652.645833333336</v>
      </c>
      <c r="D601">
        <v>11865.2</v>
      </c>
      <c r="E601">
        <v>11897.5</v>
      </c>
      <c r="F601">
        <v>11769.5</v>
      </c>
      <c r="G601">
        <v>11870.65</v>
      </c>
      <c r="H601">
        <v>0</v>
      </c>
      <c r="I601" s="8">
        <f t="shared" si="37"/>
        <v>2.271240105540917E-3</v>
      </c>
      <c r="J601" s="8">
        <f t="shared" si="38"/>
        <v>2.2686647385131591E-3</v>
      </c>
      <c r="K601" s="8">
        <f t="shared" si="35"/>
        <v>7.3975391296480453E-2</v>
      </c>
    </row>
    <row r="602" spans="1:11" x14ac:dyDescent="0.25">
      <c r="A602" t="str">
        <f t="shared" si="36"/>
        <v>62019</v>
      </c>
      <c r="B602" s="1">
        <v>43626</v>
      </c>
      <c r="C602" s="10">
        <v>43744.645833333336</v>
      </c>
      <c r="D602">
        <v>11934.9</v>
      </c>
      <c r="E602">
        <v>11975.05</v>
      </c>
      <c r="F602">
        <v>11871.75</v>
      </c>
      <c r="G602">
        <v>11922.7</v>
      </c>
      <c r="H602">
        <v>0</v>
      </c>
      <c r="I602" s="8">
        <f t="shared" si="37"/>
        <v>4.3847641030609896E-3</v>
      </c>
      <c r="J602" s="8">
        <f t="shared" si="38"/>
        <v>4.3751790335728605E-3</v>
      </c>
      <c r="K602" s="8">
        <f t="shared" si="35"/>
        <v>7.817728020835224E-2</v>
      </c>
    </row>
    <row r="603" spans="1:11" x14ac:dyDescent="0.25">
      <c r="A603" t="str">
        <f t="shared" si="36"/>
        <v>62019</v>
      </c>
      <c r="B603" s="1">
        <v>43627</v>
      </c>
      <c r="C603" s="10">
        <v>43775.645833333336</v>
      </c>
      <c r="D603">
        <v>11959.85</v>
      </c>
      <c r="E603">
        <v>12000.35</v>
      </c>
      <c r="F603">
        <v>11904.35</v>
      </c>
      <c r="G603">
        <v>11965.6</v>
      </c>
      <c r="H603">
        <v>0</v>
      </c>
      <c r="I603" s="8">
        <f t="shared" si="37"/>
        <v>3.5981782649903149E-3</v>
      </c>
      <c r="J603" s="8">
        <f t="shared" si="38"/>
        <v>3.5917203081940467E-3</v>
      </c>
      <c r="K603" s="8">
        <f t="shared" si="35"/>
        <v>8.4292368196893674E-2</v>
      </c>
    </row>
    <row r="604" spans="1:11" x14ac:dyDescent="0.25">
      <c r="A604" t="str">
        <f t="shared" si="36"/>
        <v>62019</v>
      </c>
      <c r="B604" s="1">
        <v>43628</v>
      </c>
      <c r="C604" s="10">
        <v>43805.645833333336</v>
      </c>
      <c r="D604">
        <v>11962.45</v>
      </c>
      <c r="E604">
        <v>11962.45</v>
      </c>
      <c r="F604">
        <v>11866.35</v>
      </c>
      <c r="G604">
        <v>11906.2</v>
      </c>
      <c r="H604">
        <v>0</v>
      </c>
      <c r="I604" s="8">
        <f t="shared" si="37"/>
        <v>-4.9642307949454567E-3</v>
      </c>
      <c r="J604" s="8">
        <f t="shared" si="38"/>
        <v>-4.9765935198887315E-3</v>
      </c>
      <c r="K604" s="8">
        <f t="shared" si="35"/>
        <v>6.6094797211688761E-2</v>
      </c>
    </row>
    <row r="605" spans="1:11" x14ac:dyDescent="0.25">
      <c r="A605" t="str">
        <f t="shared" si="36"/>
        <v>62019</v>
      </c>
      <c r="B605" s="1">
        <v>43629</v>
      </c>
      <c r="C605" t="s">
        <v>387</v>
      </c>
      <c r="D605">
        <v>11873.9</v>
      </c>
      <c r="E605">
        <v>11931.35</v>
      </c>
      <c r="F605">
        <v>11817.05</v>
      </c>
      <c r="G605">
        <v>11914.05</v>
      </c>
      <c r="H605">
        <v>0</v>
      </c>
      <c r="I605" s="8">
        <f t="shared" si="37"/>
        <v>6.5932035410121159E-4</v>
      </c>
      <c r="J605" s="8">
        <f t="shared" si="38"/>
        <v>6.5910309792557972E-4</v>
      </c>
      <c r="K605" s="8">
        <f t="shared" si="35"/>
        <v>5.4228754468551799E-2</v>
      </c>
    </row>
    <row r="606" spans="1:11" x14ac:dyDescent="0.25">
      <c r="A606" t="str">
        <f t="shared" si="36"/>
        <v>62019</v>
      </c>
      <c r="B606" s="1">
        <v>43630</v>
      </c>
      <c r="C606" t="s">
        <v>388</v>
      </c>
      <c r="D606">
        <v>11910.1</v>
      </c>
      <c r="E606">
        <v>11911.85</v>
      </c>
      <c r="F606">
        <v>11797.7</v>
      </c>
      <c r="G606">
        <v>11823.3</v>
      </c>
      <c r="H606">
        <v>0</v>
      </c>
      <c r="I606" s="8">
        <f t="shared" si="37"/>
        <v>-7.6170571719944569E-3</v>
      </c>
      <c r="J606" s="8">
        <f t="shared" si="38"/>
        <v>-7.6462151114719259E-3</v>
      </c>
      <c r="K606" s="8">
        <f t="shared" si="35"/>
        <v>4.2462770131461713E-2</v>
      </c>
    </row>
    <row r="607" spans="1:11" x14ac:dyDescent="0.25">
      <c r="A607" t="str">
        <f t="shared" si="36"/>
        <v>62019</v>
      </c>
      <c r="B607" s="1">
        <v>43633</v>
      </c>
      <c r="C607" t="s">
        <v>389</v>
      </c>
      <c r="D607">
        <v>11844</v>
      </c>
      <c r="E607">
        <v>11844.05</v>
      </c>
      <c r="F607">
        <v>11657.75</v>
      </c>
      <c r="G607">
        <v>11672.15</v>
      </c>
      <c r="H607">
        <v>0</v>
      </c>
      <c r="I607" s="8">
        <f t="shared" si="37"/>
        <v>-1.2784078895063056E-2</v>
      </c>
      <c r="J607" s="8">
        <f t="shared" si="38"/>
        <v>-1.2866498423645151E-2</v>
      </c>
      <c r="K607" s="8">
        <f t="shared" si="35"/>
        <v>2.8995217420051622E-2</v>
      </c>
    </row>
    <row r="608" spans="1:11" x14ac:dyDescent="0.25">
      <c r="A608" t="str">
        <f t="shared" si="36"/>
        <v>62019</v>
      </c>
      <c r="B608" s="1">
        <v>43634</v>
      </c>
      <c r="C608" t="s">
        <v>390</v>
      </c>
      <c r="D608">
        <v>11677.05</v>
      </c>
      <c r="E608">
        <v>11727.2</v>
      </c>
      <c r="F608">
        <v>11641.15</v>
      </c>
      <c r="G608">
        <v>11691.5</v>
      </c>
      <c r="H608">
        <v>0</v>
      </c>
      <c r="I608" s="8">
        <f t="shared" si="37"/>
        <v>1.657792266206437E-3</v>
      </c>
      <c r="J608" s="8">
        <f t="shared" si="38"/>
        <v>1.6564196454115262E-3</v>
      </c>
      <c r="K608" s="8">
        <f t="shared" si="35"/>
        <v>2.3160363529756589E-2</v>
      </c>
    </row>
    <row r="609" spans="1:11" x14ac:dyDescent="0.25">
      <c r="A609" t="str">
        <f t="shared" si="36"/>
        <v>62019</v>
      </c>
      <c r="B609" s="1">
        <v>43635</v>
      </c>
      <c r="C609" t="s">
        <v>391</v>
      </c>
      <c r="D609">
        <v>11744.45</v>
      </c>
      <c r="E609">
        <v>11802.5</v>
      </c>
      <c r="F609">
        <v>11625.1</v>
      </c>
      <c r="G609">
        <v>11691.45</v>
      </c>
      <c r="H609">
        <v>0</v>
      </c>
      <c r="I609" s="8">
        <f t="shared" si="37"/>
        <v>-4.2766112131609191E-6</v>
      </c>
      <c r="J609" s="8">
        <f t="shared" si="38"/>
        <v>-4.2766203578887255E-6</v>
      </c>
      <c r="K609" s="8">
        <f t="shared" si="35"/>
        <v>2.000052345971981E-2</v>
      </c>
    </row>
    <row r="610" spans="1:11" x14ac:dyDescent="0.25">
      <c r="A610" t="str">
        <f t="shared" si="36"/>
        <v>62019</v>
      </c>
      <c r="B610" s="1">
        <v>43636</v>
      </c>
      <c r="C610" t="s">
        <v>392</v>
      </c>
      <c r="D610">
        <v>11653.65</v>
      </c>
      <c r="E610">
        <v>11843.5</v>
      </c>
      <c r="F610">
        <v>11635.05</v>
      </c>
      <c r="G610">
        <v>11831.75</v>
      </c>
      <c r="H610">
        <v>0</v>
      </c>
      <c r="I610" s="8">
        <f t="shared" si="37"/>
        <v>1.2000222384733972E-2</v>
      </c>
      <c r="J610" s="8">
        <f t="shared" si="38"/>
        <v>1.1928790613010498E-2</v>
      </c>
      <c r="K610" s="8">
        <f t="shared" si="35"/>
        <v>2.5957302903125035E-2</v>
      </c>
    </row>
    <row r="611" spans="1:11" x14ac:dyDescent="0.25">
      <c r="A611" t="str">
        <f t="shared" si="36"/>
        <v>62019</v>
      </c>
      <c r="B611" s="1">
        <v>43637</v>
      </c>
      <c r="C611" t="s">
        <v>393</v>
      </c>
      <c r="D611">
        <v>11827.6</v>
      </c>
      <c r="E611">
        <v>11827.95</v>
      </c>
      <c r="F611">
        <v>11705.1</v>
      </c>
      <c r="G611">
        <v>11724.1</v>
      </c>
      <c r="H611">
        <v>0</v>
      </c>
      <c r="I611" s="8">
        <f t="shared" si="37"/>
        <v>-9.098400490206382E-3</v>
      </c>
      <c r="J611" s="8">
        <f t="shared" si="38"/>
        <v>-9.1400437195816482E-3</v>
      </c>
      <c r="K611" s="8">
        <f t="shared" si="35"/>
        <v>1.7624261677538167E-2</v>
      </c>
    </row>
    <row r="612" spans="1:11" x14ac:dyDescent="0.25">
      <c r="A612" t="str">
        <f t="shared" si="36"/>
        <v>62019</v>
      </c>
      <c r="B612" s="1">
        <v>43640</v>
      </c>
      <c r="C612" t="s">
        <v>394</v>
      </c>
      <c r="D612">
        <v>11725.8</v>
      </c>
      <c r="E612">
        <v>11754</v>
      </c>
      <c r="F612">
        <v>11670.2</v>
      </c>
      <c r="G612">
        <v>11699.65</v>
      </c>
      <c r="H612">
        <v>0</v>
      </c>
      <c r="I612" s="8">
        <f t="shared" si="37"/>
        <v>-2.0854479235080658E-3</v>
      </c>
      <c r="J612" s="8">
        <f t="shared" si="38"/>
        <v>-2.0876254980344709E-3</v>
      </c>
      <c r="K612" s="8">
        <f t="shared" si="35"/>
        <v>2.1188104984769085E-2</v>
      </c>
    </row>
    <row r="613" spans="1:11" x14ac:dyDescent="0.25">
      <c r="A613" t="str">
        <f t="shared" si="36"/>
        <v>62019</v>
      </c>
      <c r="B613" s="1">
        <v>43641</v>
      </c>
      <c r="C613" t="s">
        <v>395</v>
      </c>
      <c r="D613">
        <v>11681</v>
      </c>
      <c r="E613">
        <v>11814.4</v>
      </c>
      <c r="F613">
        <v>11651</v>
      </c>
      <c r="G613">
        <v>11796.45</v>
      </c>
      <c r="H613">
        <v>0</v>
      </c>
      <c r="I613" s="8">
        <f t="shared" si="37"/>
        <v>8.2737517788995518E-3</v>
      </c>
      <c r="J613" s="8">
        <f t="shared" si="38"/>
        <v>8.2397119239697916E-3</v>
      </c>
      <c r="K613" s="8">
        <f t="shared" si="35"/>
        <v>3.8945769205363634E-2</v>
      </c>
    </row>
    <row r="614" spans="1:11" x14ac:dyDescent="0.25">
      <c r="A614" t="str">
        <f t="shared" si="36"/>
        <v>62019</v>
      </c>
      <c r="B614" s="1">
        <v>43642</v>
      </c>
      <c r="C614" t="s">
        <v>396</v>
      </c>
      <c r="D614">
        <v>11768.15</v>
      </c>
      <c r="E614">
        <v>11871.85</v>
      </c>
      <c r="F614">
        <v>11757.55</v>
      </c>
      <c r="G614">
        <v>11847.55</v>
      </c>
      <c r="H614">
        <v>0</v>
      </c>
      <c r="I614" s="8">
        <f t="shared" si="37"/>
        <v>4.331811689109788E-3</v>
      </c>
      <c r="J614" s="8">
        <f t="shared" si="38"/>
        <v>4.3224564000250336E-3</v>
      </c>
      <c r="K614" s="8">
        <f t="shared" si="35"/>
        <v>3.172446824722952E-2</v>
      </c>
    </row>
    <row r="615" spans="1:11" x14ac:dyDescent="0.25">
      <c r="A615" t="str">
        <f t="shared" si="36"/>
        <v>62019</v>
      </c>
      <c r="B615" s="1">
        <v>43643</v>
      </c>
      <c r="C615" t="s">
        <v>397</v>
      </c>
      <c r="D615">
        <v>11860.85</v>
      </c>
      <c r="E615">
        <v>11911.15</v>
      </c>
      <c r="F615">
        <v>11821.05</v>
      </c>
      <c r="G615">
        <v>11841.55</v>
      </c>
      <c r="H615">
        <v>0</v>
      </c>
      <c r="I615" s="8">
        <f t="shared" si="37"/>
        <v>-5.0643381965043144E-4</v>
      </c>
      <c r="J615" s="8">
        <f t="shared" si="38"/>
        <v>-5.0656210056963325E-4</v>
      </c>
      <c r="K615" s="8">
        <f t="shared" si="35"/>
        <v>3.4643797973796575E-2</v>
      </c>
    </row>
    <row r="616" spans="1:11" x14ac:dyDescent="0.25">
      <c r="A616" t="str">
        <f t="shared" si="36"/>
        <v>62019</v>
      </c>
      <c r="B616" s="1">
        <v>43644</v>
      </c>
      <c r="C616" t="s">
        <v>398</v>
      </c>
      <c r="D616">
        <v>11861.15</v>
      </c>
      <c r="E616">
        <v>11871.7</v>
      </c>
      <c r="F616">
        <v>11775.5</v>
      </c>
      <c r="G616">
        <v>11788.85</v>
      </c>
      <c r="H616">
        <v>0</v>
      </c>
      <c r="I616" s="8">
        <f t="shared" si="37"/>
        <v>-4.4504308979820273E-3</v>
      </c>
      <c r="J616" s="8">
        <f t="shared" si="38"/>
        <v>-4.4603635462361017E-3</v>
      </c>
      <c r="K616" s="8">
        <f t="shared" si="35"/>
        <v>1.8915298184961182E-2</v>
      </c>
    </row>
    <row r="617" spans="1:11" x14ac:dyDescent="0.25">
      <c r="A617" t="str">
        <f t="shared" si="36"/>
        <v>72019</v>
      </c>
      <c r="B617" s="1">
        <v>43647</v>
      </c>
      <c r="C617" s="10">
        <v>43472.645833333336</v>
      </c>
      <c r="D617">
        <v>11839.9</v>
      </c>
      <c r="E617">
        <v>11884.65</v>
      </c>
      <c r="F617">
        <v>11830.8</v>
      </c>
      <c r="G617">
        <v>11865.6</v>
      </c>
      <c r="H617">
        <v>0</v>
      </c>
      <c r="I617" s="8">
        <f t="shared" si="37"/>
        <v>6.5103890540638698E-3</v>
      </c>
      <c r="J617" s="8">
        <f t="shared" si="38"/>
        <v>6.4892880057533667E-3</v>
      </c>
      <c r="K617" s="8">
        <f t="shared" si="35"/>
        <v>2.079336539371468E-2</v>
      </c>
    </row>
    <row r="618" spans="1:11" x14ac:dyDescent="0.25">
      <c r="A618" t="str">
        <f t="shared" si="36"/>
        <v>72019</v>
      </c>
      <c r="B618" s="1">
        <v>43648</v>
      </c>
      <c r="C618" s="10">
        <v>43503.645833333336</v>
      </c>
      <c r="D618">
        <v>11890.3</v>
      </c>
      <c r="E618">
        <v>11917.45</v>
      </c>
      <c r="F618">
        <v>11814.7</v>
      </c>
      <c r="G618">
        <v>11910.3</v>
      </c>
      <c r="H618">
        <v>0</v>
      </c>
      <c r="I618" s="8">
        <f t="shared" si="37"/>
        <v>3.767192556634269E-3</v>
      </c>
      <c r="J618" s="8">
        <f t="shared" si="38"/>
        <v>3.7601144575602529E-3</v>
      </c>
      <c r="K618" s="8">
        <f t="shared" si="35"/>
        <v>2.0665601179177484E-2</v>
      </c>
    </row>
    <row r="619" spans="1:11" x14ac:dyDescent="0.25">
      <c r="A619" t="str">
        <f t="shared" si="36"/>
        <v>72019</v>
      </c>
      <c r="B619" s="1">
        <v>43649</v>
      </c>
      <c r="C619" s="10">
        <v>43531.645833333336</v>
      </c>
      <c r="D619">
        <v>11932.15</v>
      </c>
      <c r="E619">
        <v>11945.2</v>
      </c>
      <c r="F619">
        <v>11887.05</v>
      </c>
      <c r="G619">
        <v>11916.75</v>
      </c>
      <c r="H619">
        <v>0</v>
      </c>
      <c r="I619" s="8">
        <f t="shared" si="37"/>
        <v>5.4154807183715015E-4</v>
      </c>
      <c r="J619" s="8">
        <f t="shared" si="38"/>
        <v>5.4140148759931482E-4</v>
      </c>
      <c r="K619" s="8">
        <f t="shared" si="35"/>
        <v>1.7377830140354433E-2</v>
      </c>
    </row>
    <row r="620" spans="1:11" x14ac:dyDescent="0.25">
      <c r="A620" t="str">
        <f t="shared" si="36"/>
        <v>72019</v>
      </c>
      <c r="B620" s="1">
        <v>43650</v>
      </c>
      <c r="C620" s="10">
        <v>43562.645833333336</v>
      </c>
      <c r="D620">
        <v>11928.8</v>
      </c>
      <c r="E620">
        <v>11969.25</v>
      </c>
      <c r="F620">
        <v>11923.65</v>
      </c>
      <c r="G620">
        <v>11946.75</v>
      </c>
      <c r="H620">
        <v>0</v>
      </c>
      <c r="I620" s="8">
        <f t="shared" si="37"/>
        <v>2.5174649128327786E-3</v>
      </c>
      <c r="J620" s="8">
        <f t="shared" si="38"/>
        <v>2.5143014062712723E-3</v>
      </c>
      <c r="K620" s="8">
        <f t="shared" si="35"/>
        <v>2.6004921010481796E-2</v>
      </c>
    </row>
    <row r="621" spans="1:11" x14ac:dyDescent="0.25">
      <c r="A621" t="str">
        <f t="shared" si="36"/>
        <v>72019</v>
      </c>
      <c r="B621" s="1">
        <v>43651</v>
      </c>
      <c r="C621" s="10">
        <v>43592.645833333336</v>
      </c>
      <c r="D621">
        <v>11964.75</v>
      </c>
      <c r="E621">
        <v>11981.75</v>
      </c>
      <c r="F621">
        <v>11797.9</v>
      </c>
      <c r="G621">
        <v>11811.15</v>
      </c>
      <c r="H621">
        <v>0</v>
      </c>
      <c r="I621" s="8">
        <f t="shared" si="37"/>
        <v>-1.1350367254692739E-2</v>
      </c>
      <c r="J621" s="8">
        <f t="shared" si="38"/>
        <v>-1.1415274286254761E-2</v>
      </c>
      <c r="K621" s="8">
        <f t="shared" si="35"/>
        <v>1.8378168649767268E-2</v>
      </c>
    </row>
    <row r="622" spans="1:11" x14ac:dyDescent="0.25">
      <c r="A622" t="str">
        <f t="shared" si="36"/>
        <v>72019</v>
      </c>
      <c r="B622" s="1">
        <v>43654</v>
      </c>
      <c r="C622" s="10">
        <v>43684.645833333336</v>
      </c>
      <c r="D622">
        <v>11770.4</v>
      </c>
      <c r="E622">
        <v>11771.9</v>
      </c>
      <c r="F622">
        <v>11523.3</v>
      </c>
      <c r="G622">
        <v>11558.6</v>
      </c>
      <c r="H622">
        <v>0</v>
      </c>
      <c r="I622" s="8">
        <f t="shared" si="37"/>
        <v>-2.1382337875651358E-2</v>
      </c>
      <c r="J622" s="8">
        <f t="shared" si="38"/>
        <v>-2.1614251930747241E-2</v>
      </c>
      <c r="K622" s="8">
        <f t="shared" si="35"/>
        <v>-9.2019938367643439E-3</v>
      </c>
    </row>
    <row r="623" spans="1:11" x14ac:dyDescent="0.25">
      <c r="A623" t="str">
        <f t="shared" si="36"/>
        <v>72019</v>
      </c>
      <c r="B623" s="1">
        <v>43655</v>
      </c>
      <c r="C623" s="10">
        <v>43715.645833333336</v>
      </c>
      <c r="D623">
        <v>11531.6</v>
      </c>
      <c r="E623">
        <v>11582.55</v>
      </c>
      <c r="F623">
        <v>11461</v>
      </c>
      <c r="G623">
        <v>11555.9</v>
      </c>
      <c r="H623">
        <v>0</v>
      </c>
      <c r="I623" s="8">
        <f t="shared" si="37"/>
        <v>-2.335923035662324E-4</v>
      </c>
      <c r="J623" s="8">
        <f t="shared" si="38"/>
        <v>-2.3361959049780261E-4</v>
      </c>
      <c r="K623" s="8">
        <f t="shared" si="35"/>
        <v>-4.1880305054073919E-3</v>
      </c>
    </row>
    <row r="624" spans="1:11" x14ac:dyDescent="0.25">
      <c r="A624" t="str">
        <f t="shared" si="36"/>
        <v>72019</v>
      </c>
      <c r="B624" s="1">
        <v>43656</v>
      </c>
      <c r="C624" s="10">
        <v>43745.645833333336</v>
      </c>
      <c r="D624">
        <v>11536.15</v>
      </c>
      <c r="E624">
        <v>11593.7</v>
      </c>
      <c r="F624">
        <v>11475.65</v>
      </c>
      <c r="G624">
        <v>11498.9</v>
      </c>
      <c r="H624">
        <v>0</v>
      </c>
      <c r="I624" s="8">
        <f t="shared" si="37"/>
        <v>-4.93254527990028E-3</v>
      </c>
      <c r="J624" s="8">
        <f t="shared" si="38"/>
        <v>-4.9447504328900991E-3</v>
      </c>
      <c r="K624" s="8">
        <f t="shared" si="35"/>
        <v>-1.4826143018090487E-2</v>
      </c>
    </row>
    <row r="625" spans="1:11" x14ac:dyDescent="0.25">
      <c r="A625" t="str">
        <f t="shared" si="36"/>
        <v>72019</v>
      </c>
      <c r="B625" s="1">
        <v>43657</v>
      </c>
      <c r="C625" s="10">
        <v>43776.645833333336</v>
      </c>
      <c r="D625">
        <v>11561.45</v>
      </c>
      <c r="E625">
        <v>11599</v>
      </c>
      <c r="F625">
        <v>11519.5</v>
      </c>
      <c r="G625">
        <v>11582.9</v>
      </c>
      <c r="H625">
        <v>0</v>
      </c>
      <c r="I625" s="8">
        <f t="shared" si="37"/>
        <v>7.3050465696717914E-3</v>
      </c>
      <c r="J625" s="8">
        <f t="shared" si="38"/>
        <v>7.2784939506443059E-3</v>
      </c>
      <c r="K625" s="8">
        <f t="shared" si="35"/>
        <v>-1.2085322375976482E-4</v>
      </c>
    </row>
    <row r="626" spans="1:11" x14ac:dyDescent="0.25">
      <c r="A626" t="str">
        <f t="shared" si="36"/>
        <v>72019</v>
      </c>
      <c r="B626" s="1">
        <v>43658</v>
      </c>
      <c r="C626" s="10">
        <v>43806.645833333336</v>
      </c>
      <c r="D626">
        <v>11601.15</v>
      </c>
      <c r="E626">
        <v>11639.55</v>
      </c>
      <c r="F626">
        <v>11538.6</v>
      </c>
      <c r="G626">
        <v>11552.5</v>
      </c>
      <c r="H626">
        <v>0</v>
      </c>
      <c r="I626" s="8">
        <f t="shared" si="37"/>
        <v>-2.6245586165812851E-3</v>
      </c>
      <c r="J626" s="8">
        <f t="shared" si="38"/>
        <v>-2.6280088086903571E-3</v>
      </c>
      <c r="K626" s="8">
        <f t="shared" si="35"/>
        <v>-3.8114291134547784E-3</v>
      </c>
    </row>
    <row r="627" spans="1:11" x14ac:dyDescent="0.25">
      <c r="A627" t="str">
        <f t="shared" si="36"/>
        <v>72019</v>
      </c>
      <c r="B627" s="1">
        <v>43661</v>
      </c>
      <c r="C627" t="s">
        <v>399</v>
      </c>
      <c r="D627">
        <v>11614.75</v>
      </c>
      <c r="E627">
        <v>11618.4</v>
      </c>
      <c r="F627">
        <v>11532.3</v>
      </c>
      <c r="G627">
        <v>11588.35</v>
      </c>
      <c r="H627">
        <v>0</v>
      </c>
      <c r="I627" s="8">
        <f t="shared" si="37"/>
        <v>3.1032244103008644E-3</v>
      </c>
      <c r="J627" s="8">
        <f t="shared" si="38"/>
        <v>3.0984193476558532E-3</v>
      </c>
      <c r="K627" s="8">
        <f t="shared" si="35"/>
        <v>-4.7322743688511526E-3</v>
      </c>
    </row>
    <row r="628" spans="1:11" x14ac:dyDescent="0.25">
      <c r="A628" t="str">
        <f t="shared" si="36"/>
        <v>72019</v>
      </c>
      <c r="B628" s="1">
        <v>43662</v>
      </c>
      <c r="C628" t="s">
        <v>400</v>
      </c>
      <c r="D628">
        <v>11596.65</v>
      </c>
      <c r="E628">
        <v>11670.05</v>
      </c>
      <c r="F628">
        <v>11573.95</v>
      </c>
      <c r="G628">
        <v>11662.6</v>
      </c>
      <c r="H628">
        <v>0</v>
      </c>
      <c r="I628" s="8">
        <f t="shared" si="37"/>
        <v>6.4072969836086457E-3</v>
      </c>
      <c r="J628" s="8">
        <f t="shared" si="38"/>
        <v>6.386857517651002E-3</v>
      </c>
      <c r="K628" s="8">
        <f t="shared" si="35"/>
        <v>-2.3737527105689438E-3</v>
      </c>
    </row>
    <row r="629" spans="1:11" x14ac:dyDescent="0.25">
      <c r="A629" t="str">
        <f t="shared" si="36"/>
        <v>72019</v>
      </c>
      <c r="B629" s="1">
        <v>43663</v>
      </c>
      <c r="C629" t="s">
        <v>401</v>
      </c>
      <c r="D629">
        <v>11670.75</v>
      </c>
      <c r="E629">
        <v>11706.65</v>
      </c>
      <c r="F629">
        <v>11651.15</v>
      </c>
      <c r="G629">
        <v>11687.5</v>
      </c>
      <c r="H629">
        <v>0</v>
      </c>
      <c r="I629" s="8">
        <f t="shared" si="37"/>
        <v>2.1350299247164806E-3</v>
      </c>
      <c r="J629" s="8">
        <f t="shared" si="38"/>
        <v>2.1327539872141722E-3</v>
      </c>
      <c r="K629" s="8">
        <f t="shared" si="35"/>
        <v>-8.454121649423274E-3</v>
      </c>
    </row>
    <row r="630" spans="1:11" x14ac:dyDescent="0.25">
      <c r="A630" t="str">
        <f t="shared" si="36"/>
        <v>72019</v>
      </c>
      <c r="B630" s="1">
        <v>43664</v>
      </c>
      <c r="C630" t="s">
        <v>402</v>
      </c>
      <c r="D630">
        <v>11675.6</v>
      </c>
      <c r="E630">
        <v>11677.15</v>
      </c>
      <c r="F630">
        <v>11582.4</v>
      </c>
      <c r="G630">
        <v>11596.9</v>
      </c>
      <c r="H630">
        <v>0</v>
      </c>
      <c r="I630" s="8">
        <f t="shared" si="37"/>
        <v>-7.7518716577540392E-3</v>
      </c>
      <c r="J630" s="8">
        <f t="shared" si="38"/>
        <v>-7.7820735971374259E-3</v>
      </c>
      <c r="K630" s="8">
        <f t="shared" si="35"/>
        <v>-1.3264924103192355E-2</v>
      </c>
    </row>
    <row r="631" spans="1:11" x14ac:dyDescent="0.25">
      <c r="A631" t="str">
        <f t="shared" si="36"/>
        <v>72019</v>
      </c>
      <c r="B631" s="1">
        <v>43665</v>
      </c>
      <c r="C631" t="s">
        <v>403</v>
      </c>
      <c r="D631">
        <v>11627.95</v>
      </c>
      <c r="E631">
        <v>11640.35</v>
      </c>
      <c r="F631">
        <v>11399.3</v>
      </c>
      <c r="G631">
        <v>11419.25</v>
      </c>
      <c r="H631">
        <v>0</v>
      </c>
      <c r="I631" s="8">
        <f t="shared" si="37"/>
        <v>-1.531874897601937E-2</v>
      </c>
      <c r="J631" s="8">
        <f t="shared" si="38"/>
        <v>-1.5437293202143871E-2</v>
      </c>
      <c r="K631" s="8">
        <f t="shared" si="35"/>
        <v>-1.5110677953676155E-2</v>
      </c>
    </row>
    <row r="632" spans="1:11" x14ac:dyDescent="0.25">
      <c r="A632" t="str">
        <f t="shared" si="36"/>
        <v>72019</v>
      </c>
      <c r="B632" s="1">
        <v>43668</v>
      </c>
      <c r="C632" t="s">
        <v>404</v>
      </c>
      <c r="D632">
        <v>11392.85</v>
      </c>
      <c r="E632">
        <v>11398.15</v>
      </c>
      <c r="F632">
        <v>11301.25</v>
      </c>
      <c r="G632">
        <v>11346.2</v>
      </c>
      <c r="H632">
        <v>0</v>
      </c>
      <c r="I632" s="8">
        <f t="shared" si="37"/>
        <v>-6.3970926286751606E-3</v>
      </c>
      <c r="J632" s="8">
        <f t="shared" si="38"/>
        <v>-6.4176417088494435E-3</v>
      </c>
      <c r="K632" s="8">
        <f t="shared" si="35"/>
        <v>-1.9847183168552052E-2</v>
      </c>
    </row>
    <row r="633" spans="1:11" x14ac:dyDescent="0.25">
      <c r="A633" t="str">
        <f t="shared" si="36"/>
        <v>72019</v>
      </c>
      <c r="B633" s="1">
        <v>43669</v>
      </c>
      <c r="C633" t="s">
        <v>405</v>
      </c>
      <c r="D633">
        <v>11372.25</v>
      </c>
      <c r="E633">
        <v>11398.15</v>
      </c>
      <c r="F633">
        <v>11302.8</v>
      </c>
      <c r="G633">
        <v>11331.05</v>
      </c>
      <c r="H633">
        <v>0</v>
      </c>
      <c r="I633" s="8">
        <f t="shared" si="37"/>
        <v>-1.3352488057677414E-3</v>
      </c>
      <c r="J633" s="8">
        <f t="shared" si="38"/>
        <v>-1.3361410447835524E-3</v>
      </c>
      <c r="K633" s="8">
        <f t="shared" si="35"/>
        <v>-3.369392341049704E-2</v>
      </c>
    </row>
    <row r="634" spans="1:11" x14ac:dyDescent="0.25">
      <c r="A634" t="str">
        <f t="shared" si="36"/>
        <v>72019</v>
      </c>
      <c r="B634" s="1">
        <v>43670</v>
      </c>
      <c r="C634" t="s">
        <v>406</v>
      </c>
      <c r="D634">
        <v>11322.45</v>
      </c>
      <c r="E634">
        <v>11359.75</v>
      </c>
      <c r="F634">
        <v>11229.8</v>
      </c>
      <c r="G634">
        <v>11271.3</v>
      </c>
      <c r="H634">
        <v>0</v>
      </c>
      <c r="I634" s="8">
        <f t="shared" si="37"/>
        <v>-5.2731212023598983E-3</v>
      </c>
      <c r="J634" s="8">
        <f t="shared" si="38"/>
        <v>-5.2870731745408694E-3</v>
      </c>
      <c r="K634" s="8">
        <f t="shared" si="35"/>
        <v>-3.1824975519249565E-2</v>
      </c>
    </row>
    <row r="635" spans="1:11" x14ac:dyDescent="0.25">
      <c r="A635" t="str">
        <f t="shared" si="36"/>
        <v>72019</v>
      </c>
      <c r="B635" s="1">
        <v>43671</v>
      </c>
      <c r="C635" t="s">
        <v>407</v>
      </c>
      <c r="D635">
        <v>11290.4</v>
      </c>
      <c r="E635">
        <v>11361.4</v>
      </c>
      <c r="F635">
        <v>11239.35</v>
      </c>
      <c r="G635">
        <v>11252.15</v>
      </c>
      <c r="H635">
        <v>0</v>
      </c>
      <c r="I635" s="8">
        <f t="shared" si="37"/>
        <v>-1.6990054385918052E-3</v>
      </c>
      <c r="J635" s="8">
        <f t="shared" si="38"/>
        <v>-1.7004503852120314E-3</v>
      </c>
      <c r="K635" s="8">
        <f t="shared" si="35"/>
        <v>-4.2749039741719286E-2</v>
      </c>
    </row>
    <row r="636" spans="1:11" x14ac:dyDescent="0.25">
      <c r="A636" t="str">
        <f t="shared" si="36"/>
        <v>72019</v>
      </c>
      <c r="B636" s="1">
        <v>43672</v>
      </c>
      <c r="C636" t="s">
        <v>408</v>
      </c>
      <c r="D636">
        <v>11247.45</v>
      </c>
      <c r="E636">
        <v>11307.6</v>
      </c>
      <c r="F636">
        <v>11210.05</v>
      </c>
      <c r="G636">
        <v>11284.3</v>
      </c>
      <c r="H636">
        <v>0</v>
      </c>
      <c r="I636" s="8">
        <f t="shared" si="37"/>
        <v>2.8572317290473936E-3</v>
      </c>
      <c r="J636" s="8">
        <f t="shared" si="38"/>
        <v>2.8531576011107469E-3</v>
      </c>
      <c r="K636" s="8">
        <f t="shared" si="35"/>
        <v>-3.9482812187450866E-2</v>
      </c>
    </row>
    <row r="637" spans="1:11" x14ac:dyDescent="0.25">
      <c r="A637" t="str">
        <f t="shared" si="36"/>
        <v>72019</v>
      </c>
      <c r="B637" s="1">
        <v>43675</v>
      </c>
      <c r="C637" t="s">
        <v>409</v>
      </c>
      <c r="D637">
        <v>11307.5</v>
      </c>
      <c r="E637">
        <v>11310.95</v>
      </c>
      <c r="F637">
        <v>11152.4</v>
      </c>
      <c r="G637">
        <v>11189.2</v>
      </c>
      <c r="H637">
        <v>0</v>
      </c>
      <c r="I637" s="8">
        <f t="shared" si="37"/>
        <v>-8.4276384002550664E-3</v>
      </c>
      <c r="J637" s="8">
        <f t="shared" si="38"/>
        <v>-8.4633517390506723E-3</v>
      </c>
      <c r="K637" s="8">
        <f t="shared" si="35"/>
        <v>-4.5676880104053352E-2</v>
      </c>
    </row>
    <row r="638" spans="1:11" x14ac:dyDescent="0.25">
      <c r="A638" t="str">
        <f t="shared" si="36"/>
        <v>72019</v>
      </c>
      <c r="B638" s="1">
        <v>43676</v>
      </c>
      <c r="C638" t="s">
        <v>410</v>
      </c>
      <c r="D638">
        <v>11213.7</v>
      </c>
      <c r="E638">
        <v>11267.45</v>
      </c>
      <c r="F638">
        <v>11072.65</v>
      </c>
      <c r="G638">
        <v>11085.4</v>
      </c>
      <c r="H638">
        <v>0</v>
      </c>
      <c r="I638" s="8">
        <f t="shared" si="37"/>
        <v>-9.2768026311086382E-3</v>
      </c>
      <c r="J638" s="8">
        <f t="shared" si="38"/>
        <v>-9.3201001476857486E-3</v>
      </c>
      <c r="K638" s="8">
        <f t="shared" si="35"/>
        <v>-5.3520886251574251E-2</v>
      </c>
    </row>
    <row r="639" spans="1:11" x14ac:dyDescent="0.25">
      <c r="A639" t="str">
        <f t="shared" si="36"/>
        <v>72019</v>
      </c>
      <c r="B639" s="1">
        <v>43677</v>
      </c>
      <c r="C639" t="s">
        <v>411</v>
      </c>
      <c r="D639">
        <v>11034.05</v>
      </c>
      <c r="E639">
        <v>11145.3</v>
      </c>
      <c r="F639">
        <v>10999.4</v>
      </c>
      <c r="G639">
        <v>11118</v>
      </c>
      <c r="H639">
        <v>0</v>
      </c>
      <c r="I639" s="8">
        <f t="shared" si="37"/>
        <v>2.94080502282279E-3</v>
      </c>
      <c r="J639" s="8">
        <f t="shared" si="38"/>
        <v>2.9364893147653232E-3</v>
      </c>
      <c r="K639" s="8">
        <f t="shared" si="35"/>
        <v>-4.140710883107368E-2</v>
      </c>
    </row>
    <row r="640" spans="1:11" x14ac:dyDescent="0.25">
      <c r="A640" t="str">
        <f t="shared" si="36"/>
        <v>82019</v>
      </c>
      <c r="B640" s="1">
        <v>43678</v>
      </c>
      <c r="C640" s="10">
        <v>43473.645833333336</v>
      </c>
      <c r="D640">
        <v>11060.2</v>
      </c>
      <c r="E640">
        <v>11076.75</v>
      </c>
      <c r="F640">
        <v>10881</v>
      </c>
      <c r="G640">
        <v>10980</v>
      </c>
      <c r="H640">
        <v>0</v>
      </c>
      <c r="I640" s="8">
        <f t="shared" si="37"/>
        <v>-1.2412304371289817E-2</v>
      </c>
      <c r="J640" s="8">
        <f t="shared" si="38"/>
        <v>-1.2489980449893174E-2</v>
      </c>
      <c r="K640" s="8">
        <f t="shared" ref="K640:K703" si="39">+G640/G579-1</f>
        <v>-4.5043007853608041E-2</v>
      </c>
    </row>
    <row r="641" spans="1:11" x14ac:dyDescent="0.25">
      <c r="A641" t="str">
        <f t="shared" si="36"/>
        <v>82019</v>
      </c>
      <c r="B641" s="1">
        <v>43679</v>
      </c>
      <c r="C641" s="10">
        <v>43504.645833333336</v>
      </c>
      <c r="D641">
        <v>10930.3</v>
      </c>
      <c r="E641">
        <v>11080.15</v>
      </c>
      <c r="F641">
        <v>10848.95</v>
      </c>
      <c r="G641">
        <v>10997.35</v>
      </c>
      <c r="H641">
        <v>0</v>
      </c>
      <c r="I641" s="8">
        <f t="shared" si="37"/>
        <v>1.5801457194899449E-3</v>
      </c>
      <c r="J641" s="8">
        <f t="shared" si="38"/>
        <v>1.5788986028203976E-3</v>
      </c>
      <c r="K641" s="8">
        <f t="shared" si="39"/>
        <v>-3.1876543318558603E-2</v>
      </c>
    </row>
    <row r="642" spans="1:11" x14ac:dyDescent="0.25">
      <c r="A642" t="str">
        <f t="shared" si="36"/>
        <v>82019</v>
      </c>
      <c r="B642" s="1">
        <v>43682</v>
      </c>
      <c r="C642" s="10">
        <v>43593.645833333336</v>
      </c>
      <c r="D642">
        <v>10895.8</v>
      </c>
      <c r="E642">
        <v>10895.8</v>
      </c>
      <c r="F642">
        <v>10782.6</v>
      </c>
      <c r="G642">
        <v>10862.6</v>
      </c>
      <c r="H642">
        <v>0</v>
      </c>
      <c r="I642" s="8">
        <f t="shared" si="37"/>
        <v>-1.2252951847490534E-2</v>
      </c>
      <c r="J642" s="8">
        <f t="shared" si="38"/>
        <v>-1.2328638151179865E-2</v>
      </c>
      <c r="K642" s="8">
        <f t="shared" si="39"/>
        <v>-3.8861066378806819E-2</v>
      </c>
    </row>
    <row r="643" spans="1:11" x14ac:dyDescent="0.25">
      <c r="A643" t="str">
        <f t="shared" ref="A643:A706" si="40">+MONTH(B643)&amp;YEAR(B643)</f>
        <v>82019</v>
      </c>
      <c r="B643" s="1">
        <v>43683</v>
      </c>
      <c r="C643" s="10">
        <v>43624.645833333336</v>
      </c>
      <c r="D643">
        <v>10815.4</v>
      </c>
      <c r="E643">
        <v>11018.55</v>
      </c>
      <c r="F643">
        <v>10813.8</v>
      </c>
      <c r="G643">
        <v>10948.25</v>
      </c>
      <c r="H643">
        <v>0</v>
      </c>
      <c r="I643" s="8">
        <f t="shared" si="37"/>
        <v>7.8848526135546493E-3</v>
      </c>
      <c r="J643" s="8">
        <f t="shared" si="38"/>
        <v>7.8539296057326315E-3</v>
      </c>
      <c r="K643" s="8">
        <f t="shared" si="39"/>
        <v>-2.931580207289719E-2</v>
      </c>
    </row>
    <row r="644" spans="1:11" x14ac:dyDescent="0.25">
      <c r="A644" t="str">
        <f t="shared" si="40"/>
        <v>82019</v>
      </c>
      <c r="B644" s="1">
        <v>43684</v>
      </c>
      <c r="C644" s="10">
        <v>43654.645833333336</v>
      </c>
      <c r="D644">
        <v>10958.1</v>
      </c>
      <c r="E644">
        <v>10975.65</v>
      </c>
      <c r="F644">
        <v>10835.9</v>
      </c>
      <c r="G644">
        <v>10855.5</v>
      </c>
      <c r="H644">
        <v>0</v>
      </c>
      <c r="I644" s="8">
        <f t="shared" ref="I644:I707" si="41">+G644/G643-1</f>
        <v>-8.4716735551343403E-3</v>
      </c>
      <c r="J644" s="8">
        <f t="shared" ref="J644:J707" si="42">+LN(1+I644)</f>
        <v>-8.5077621466028291E-3</v>
      </c>
      <c r="K644" s="8">
        <f t="shared" si="39"/>
        <v>-2.6255359609623108E-2</v>
      </c>
    </row>
    <row r="645" spans="1:11" x14ac:dyDescent="0.25">
      <c r="A645" t="str">
        <f t="shared" si="40"/>
        <v>82019</v>
      </c>
      <c r="B645" s="1">
        <v>43685</v>
      </c>
      <c r="C645" s="10">
        <v>43685.645833333336</v>
      </c>
      <c r="D645">
        <v>10899.2</v>
      </c>
      <c r="E645">
        <v>11058.05</v>
      </c>
      <c r="F645">
        <v>10842.95</v>
      </c>
      <c r="G645">
        <v>11032.45</v>
      </c>
      <c r="H645">
        <v>0</v>
      </c>
      <c r="I645" s="8">
        <f t="shared" si="41"/>
        <v>1.6300492837732161E-2</v>
      </c>
      <c r="J645" s="8">
        <f t="shared" si="42"/>
        <v>1.6169066094785186E-2</v>
      </c>
      <c r="K645" s="8">
        <f t="shared" si="39"/>
        <v>-1.6895308789392161E-2</v>
      </c>
    </row>
    <row r="646" spans="1:11" x14ac:dyDescent="0.25">
      <c r="A646" t="str">
        <f t="shared" si="40"/>
        <v>82019</v>
      </c>
      <c r="B646" s="1">
        <v>43686</v>
      </c>
      <c r="C646" s="10">
        <v>43716.645833333336</v>
      </c>
      <c r="D646">
        <v>11087.9</v>
      </c>
      <c r="E646">
        <v>11181.45</v>
      </c>
      <c r="F646">
        <v>11062.8</v>
      </c>
      <c r="G646">
        <v>11109.65</v>
      </c>
      <c r="H646">
        <v>0</v>
      </c>
      <c r="I646" s="8">
        <f t="shared" si="41"/>
        <v>6.9975390779020152E-3</v>
      </c>
      <c r="J646" s="8">
        <f t="shared" si="42"/>
        <v>6.9731699180488674E-3</v>
      </c>
      <c r="K646" s="8">
        <f t="shared" si="39"/>
        <v>-4.2439723940127516E-3</v>
      </c>
    </row>
    <row r="647" spans="1:11" x14ac:dyDescent="0.25">
      <c r="A647" t="str">
        <f t="shared" si="40"/>
        <v>82019</v>
      </c>
      <c r="B647" s="1">
        <v>43690</v>
      </c>
      <c r="C647" t="s">
        <v>412</v>
      </c>
      <c r="D647">
        <v>11139.4</v>
      </c>
      <c r="E647">
        <v>11145.9</v>
      </c>
      <c r="F647">
        <v>10901.6</v>
      </c>
      <c r="G647">
        <v>10925.85</v>
      </c>
      <c r="H647">
        <v>0</v>
      </c>
      <c r="I647" s="8">
        <f t="shared" si="41"/>
        <v>-1.6544175559085939E-2</v>
      </c>
      <c r="J647" s="8">
        <f t="shared" si="42"/>
        <v>-1.6682558846185944E-2</v>
      </c>
      <c r="K647" s="8">
        <f t="shared" si="39"/>
        <v>-2.9425873448756801E-2</v>
      </c>
    </row>
    <row r="648" spans="1:11" x14ac:dyDescent="0.25">
      <c r="A648" t="str">
        <f t="shared" si="40"/>
        <v>82019</v>
      </c>
      <c r="B648" s="1">
        <v>43691</v>
      </c>
      <c r="C648" t="s">
        <v>413</v>
      </c>
      <c r="D648">
        <v>11003.25</v>
      </c>
      <c r="E648">
        <v>11078.15</v>
      </c>
      <c r="F648">
        <v>10935.6</v>
      </c>
      <c r="G648">
        <v>11029.4</v>
      </c>
      <c r="H648">
        <v>0</v>
      </c>
      <c r="I648" s="8">
        <f t="shared" si="41"/>
        <v>9.4775234878750059E-3</v>
      </c>
      <c r="J648" s="8">
        <f t="shared" si="42"/>
        <v>9.432893528210886E-3</v>
      </c>
      <c r="K648" s="8">
        <f t="shared" si="39"/>
        <v>-3.31151952941795E-2</v>
      </c>
    </row>
    <row r="649" spans="1:11" x14ac:dyDescent="0.25">
      <c r="A649" t="str">
        <f t="shared" si="40"/>
        <v>82019</v>
      </c>
      <c r="B649" s="1">
        <v>43693</v>
      </c>
      <c r="C649" t="s">
        <v>414</v>
      </c>
      <c r="D649">
        <v>11043.65</v>
      </c>
      <c r="E649">
        <v>11068.65</v>
      </c>
      <c r="F649">
        <v>10924.3</v>
      </c>
      <c r="G649">
        <v>11047.8</v>
      </c>
      <c r="H649">
        <v>0</v>
      </c>
      <c r="I649" s="8">
        <f t="shared" si="41"/>
        <v>1.6682684461530872E-3</v>
      </c>
      <c r="J649" s="8">
        <f t="shared" si="42"/>
        <v>1.6668784320785558E-3</v>
      </c>
      <c r="K649" s="8">
        <f t="shared" si="39"/>
        <v>-6.5981865449242338E-2</v>
      </c>
    </row>
    <row r="650" spans="1:11" x14ac:dyDescent="0.25">
      <c r="A650" t="str">
        <f t="shared" si="40"/>
        <v>82019</v>
      </c>
      <c r="B650" s="1">
        <v>43696</v>
      </c>
      <c r="C650" t="s">
        <v>415</v>
      </c>
      <c r="D650">
        <v>11094.8</v>
      </c>
      <c r="E650">
        <v>11146.9</v>
      </c>
      <c r="F650">
        <v>11037.85</v>
      </c>
      <c r="G650">
        <v>11053.9</v>
      </c>
      <c r="H650">
        <v>0</v>
      </c>
      <c r="I650" s="8">
        <f t="shared" si="41"/>
        <v>5.5214612864107337E-4</v>
      </c>
      <c r="J650" s="8">
        <f t="shared" si="42"/>
        <v>5.5199375205423505E-4</v>
      </c>
      <c r="K650" s="8">
        <f t="shared" si="39"/>
        <v>-5.5956478294659773E-2</v>
      </c>
    </row>
    <row r="651" spans="1:11" x14ac:dyDescent="0.25">
      <c r="A651" t="str">
        <f t="shared" si="40"/>
        <v>82019</v>
      </c>
      <c r="B651" s="1">
        <v>43697</v>
      </c>
      <c r="C651" t="s">
        <v>416</v>
      </c>
      <c r="D651">
        <v>11063.9</v>
      </c>
      <c r="E651">
        <v>11076.3</v>
      </c>
      <c r="F651">
        <v>10985.3</v>
      </c>
      <c r="G651">
        <v>11017</v>
      </c>
      <c r="H651">
        <v>0</v>
      </c>
      <c r="I651" s="8">
        <f t="shared" si="41"/>
        <v>-3.338188331719949E-3</v>
      </c>
      <c r="J651" s="8">
        <f t="shared" si="42"/>
        <v>-3.3437725132185541E-3</v>
      </c>
      <c r="K651" s="8">
        <f t="shared" si="39"/>
        <v>-6.141643735250768E-2</v>
      </c>
    </row>
    <row r="652" spans="1:11" x14ac:dyDescent="0.25">
      <c r="A652" t="str">
        <f t="shared" si="40"/>
        <v>82019</v>
      </c>
      <c r="B652" s="1">
        <v>43698</v>
      </c>
      <c r="C652" t="s">
        <v>417</v>
      </c>
      <c r="D652">
        <v>11018.15</v>
      </c>
      <c r="E652">
        <v>11034.2</v>
      </c>
      <c r="F652">
        <v>10906.65</v>
      </c>
      <c r="G652">
        <v>10918.7</v>
      </c>
      <c r="H652">
        <v>0</v>
      </c>
      <c r="I652" s="8">
        <f t="shared" si="41"/>
        <v>-8.9225742035036193E-3</v>
      </c>
      <c r="J652" s="8">
        <f t="shared" si="42"/>
        <v>-8.9626187469466975E-3</v>
      </c>
      <c r="K652" s="8">
        <f t="shared" si="39"/>
        <v>-6.3339352580627062E-2</v>
      </c>
    </row>
    <row r="653" spans="1:11" x14ac:dyDescent="0.25">
      <c r="A653" t="str">
        <f t="shared" si="40"/>
        <v>82019</v>
      </c>
      <c r="B653" s="1">
        <v>43699</v>
      </c>
      <c r="C653" t="s">
        <v>418</v>
      </c>
      <c r="D653">
        <v>10905.3</v>
      </c>
      <c r="E653">
        <v>10908.25</v>
      </c>
      <c r="F653">
        <v>10718.3</v>
      </c>
      <c r="G653">
        <v>10741.35</v>
      </c>
      <c r="H653">
        <v>0</v>
      </c>
      <c r="I653" s="8">
        <f t="shared" si="41"/>
        <v>-1.6242776154670513E-2</v>
      </c>
      <c r="J653" s="8">
        <f t="shared" si="42"/>
        <v>-1.6376136105612608E-2</v>
      </c>
      <c r="K653" s="8">
        <f t="shared" si="39"/>
        <v>-9.310542801901367E-2</v>
      </c>
    </row>
    <row r="654" spans="1:11" x14ac:dyDescent="0.25">
      <c r="A654" t="str">
        <f t="shared" si="40"/>
        <v>82019</v>
      </c>
      <c r="B654" s="1">
        <v>43700</v>
      </c>
      <c r="C654" t="s">
        <v>419</v>
      </c>
      <c r="D654">
        <v>10699.6</v>
      </c>
      <c r="E654">
        <v>10862.55</v>
      </c>
      <c r="F654">
        <v>10637.15</v>
      </c>
      <c r="G654">
        <v>10829.35</v>
      </c>
      <c r="H654">
        <v>0</v>
      </c>
      <c r="I654" s="8">
        <f t="shared" si="41"/>
        <v>8.1926387279065427E-3</v>
      </c>
      <c r="J654" s="8">
        <f t="shared" si="42"/>
        <v>8.1592612391295921E-3</v>
      </c>
      <c r="K654" s="8">
        <f t="shared" si="39"/>
        <v>-9.1859368120924989E-2</v>
      </c>
    </row>
    <row r="655" spans="1:11" x14ac:dyDescent="0.25">
      <c r="A655" t="str">
        <f t="shared" si="40"/>
        <v>82019</v>
      </c>
      <c r="B655" s="1">
        <v>43703</v>
      </c>
      <c r="C655" t="s">
        <v>420</v>
      </c>
      <c r="D655">
        <v>11000.3</v>
      </c>
      <c r="E655">
        <v>11070.3</v>
      </c>
      <c r="F655">
        <v>10756.55</v>
      </c>
      <c r="G655">
        <v>11057.85</v>
      </c>
      <c r="H655">
        <v>0</v>
      </c>
      <c r="I655" s="8">
        <f t="shared" si="41"/>
        <v>2.1100066024276609E-2</v>
      </c>
      <c r="J655" s="8">
        <f t="shared" si="42"/>
        <v>2.0880542239304772E-2</v>
      </c>
      <c r="K655" s="8">
        <f t="shared" si="39"/>
        <v>-7.3008487896887742E-2</v>
      </c>
    </row>
    <row r="656" spans="1:11" x14ac:dyDescent="0.25">
      <c r="A656" t="str">
        <f t="shared" si="40"/>
        <v>82019</v>
      </c>
      <c r="B656" s="1">
        <v>43704</v>
      </c>
      <c r="C656" t="s">
        <v>421</v>
      </c>
      <c r="D656">
        <v>11106.55</v>
      </c>
      <c r="E656">
        <v>11141.75</v>
      </c>
      <c r="F656">
        <v>11049.5</v>
      </c>
      <c r="G656">
        <v>11105.35</v>
      </c>
      <c r="H656">
        <v>0</v>
      </c>
      <c r="I656" s="8">
        <f t="shared" si="41"/>
        <v>4.2955909150512728E-3</v>
      </c>
      <c r="J656" s="8">
        <f t="shared" si="42"/>
        <v>4.2863912004609123E-3</v>
      </c>
      <c r="K656" s="8">
        <f t="shared" si="39"/>
        <v>-6.3716687322423748E-2</v>
      </c>
    </row>
    <row r="657" spans="1:11" x14ac:dyDescent="0.25">
      <c r="A657" t="str">
        <f t="shared" si="40"/>
        <v>82019</v>
      </c>
      <c r="B657" s="1">
        <v>43705</v>
      </c>
      <c r="C657" t="s">
        <v>422</v>
      </c>
      <c r="D657">
        <v>11101.3</v>
      </c>
      <c r="E657">
        <v>11129.65</v>
      </c>
      <c r="F657">
        <v>10987.65</v>
      </c>
      <c r="G657">
        <v>11046.1</v>
      </c>
      <c r="H657">
        <v>0</v>
      </c>
      <c r="I657" s="8">
        <f t="shared" si="41"/>
        <v>-5.3352663355950014E-3</v>
      </c>
      <c r="J657" s="8">
        <f t="shared" si="42"/>
        <v>-5.3495496953686683E-3</v>
      </c>
      <c r="K657" s="8">
        <f t="shared" si="39"/>
        <v>-7.5322914137905039E-2</v>
      </c>
    </row>
    <row r="658" spans="1:11" x14ac:dyDescent="0.25">
      <c r="A658" t="str">
        <f t="shared" si="40"/>
        <v>82019</v>
      </c>
      <c r="B658" s="1">
        <v>43706</v>
      </c>
      <c r="C658" t="s">
        <v>423</v>
      </c>
      <c r="D658">
        <v>10996.05</v>
      </c>
      <c r="E658">
        <v>11021.1</v>
      </c>
      <c r="F658">
        <v>10922.4</v>
      </c>
      <c r="G658">
        <v>10948.3</v>
      </c>
      <c r="H658">
        <v>0</v>
      </c>
      <c r="I658" s="8">
        <f t="shared" si="41"/>
        <v>-8.8538036048922963E-3</v>
      </c>
      <c r="J658" s="8">
        <f t="shared" si="42"/>
        <v>-8.8932314206440471E-3</v>
      </c>
      <c r="K658" s="8">
        <f t="shared" si="39"/>
        <v>-8.1734156406213287E-2</v>
      </c>
    </row>
    <row r="659" spans="1:11" x14ac:dyDescent="0.25">
      <c r="A659" t="str">
        <f t="shared" si="40"/>
        <v>82019</v>
      </c>
      <c r="B659" s="1">
        <v>43707</v>
      </c>
      <c r="C659" t="s">
        <v>424</v>
      </c>
      <c r="D659">
        <v>10987.8</v>
      </c>
      <c r="E659">
        <v>11042.6</v>
      </c>
      <c r="F659">
        <v>10874.8</v>
      </c>
      <c r="G659">
        <v>11023.25</v>
      </c>
      <c r="H659">
        <v>0</v>
      </c>
      <c r="I659" s="8">
        <f t="shared" si="41"/>
        <v>6.845811678525493E-3</v>
      </c>
      <c r="J659" s="8">
        <f t="shared" si="42"/>
        <v>6.822485506963346E-3</v>
      </c>
      <c r="K659" s="8">
        <f t="shared" si="39"/>
        <v>-8.8124713054915538E-2</v>
      </c>
    </row>
    <row r="660" spans="1:11" x14ac:dyDescent="0.25">
      <c r="A660" t="str">
        <f t="shared" si="40"/>
        <v>92019</v>
      </c>
      <c r="B660" s="1">
        <v>43711</v>
      </c>
      <c r="C660" s="10">
        <v>43533.645833333336</v>
      </c>
      <c r="D660">
        <v>10960.95</v>
      </c>
      <c r="E660">
        <v>10967.5</v>
      </c>
      <c r="F660">
        <v>10772.7</v>
      </c>
      <c r="G660">
        <v>10797.9</v>
      </c>
      <c r="H660">
        <v>0</v>
      </c>
      <c r="I660" s="8">
        <f t="shared" si="41"/>
        <v>-2.0443154242170025E-2</v>
      </c>
      <c r="J660" s="8">
        <f t="shared" si="42"/>
        <v>-2.0655007796257053E-2</v>
      </c>
      <c r="K660" s="8">
        <f t="shared" si="39"/>
        <v>-0.10179551059962655</v>
      </c>
    </row>
    <row r="661" spans="1:11" x14ac:dyDescent="0.25">
      <c r="A661" t="str">
        <f t="shared" si="40"/>
        <v>92019</v>
      </c>
      <c r="B661" s="1">
        <v>43712</v>
      </c>
      <c r="C661" s="10">
        <v>43564.645833333336</v>
      </c>
      <c r="D661">
        <v>10790.4</v>
      </c>
      <c r="E661">
        <v>10858.75</v>
      </c>
      <c r="F661">
        <v>10746.35</v>
      </c>
      <c r="G661">
        <v>10844.65</v>
      </c>
      <c r="H661">
        <v>0</v>
      </c>
      <c r="I661" s="8">
        <f t="shared" si="41"/>
        <v>4.3295455597847088E-3</v>
      </c>
      <c r="J661" s="8">
        <f t="shared" si="42"/>
        <v>4.3202000422602948E-3</v>
      </c>
      <c r="K661" s="8">
        <f t="shared" si="39"/>
        <v>-8.4356728232189981E-2</v>
      </c>
    </row>
    <row r="662" spans="1:11" x14ac:dyDescent="0.25">
      <c r="A662" t="str">
        <f t="shared" si="40"/>
        <v>92019</v>
      </c>
      <c r="B662" s="1">
        <v>43713</v>
      </c>
      <c r="C662" s="10">
        <v>43594.645833333336</v>
      </c>
      <c r="D662">
        <v>10860.95</v>
      </c>
      <c r="E662">
        <v>10920.1</v>
      </c>
      <c r="F662">
        <v>10816</v>
      </c>
      <c r="G662">
        <v>10847.9</v>
      </c>
      <c r="H662">
        <v>0</v>
      </c>
      <c r="I662" s="8">
        <f t="shared" si="41"/>
        <v>2.9968694240944949E-4</v>
      </c>
      <c r="J662" s="8">
        <f t="shared" si="42"/>
        <v>2.9964204524756224E-4</v>
      </c>
      <c r="K662" s="8">
        <f t="shared" si="39"/>
        <v>-8.6157876780125764E-2</v>
      </c>
    </row>
    <row r="663" spans="1:11" x14ac:dyDescent="0.25">
      <c r="A663" t="str">
        <f t="shared" si="40"/>
        <v>92019</v>
      </c>
      <c r="B663" s="1">
        <v>43714</v>
      </c>
      <c r="C663" s="10">
        <v>43625.645833333336</v>
      </c>
      <c r="D663">
        <v>10883.8</v>
      </c>
      <c r="E663">
        <v>10957.05</v>
      </c>
      <c r="F663">
        <v>10867.45</v>
      </c>
      <c r="G663">
        <v>10946.2</v>
      </c>
      <c r="H663">
        <v>0</v>
      </c>
      <c r="I663" s="8">
        <f t="shared" si="41"/>
        <v>9.0616617041088254E-3</v>
      </c>
      <c r="J663" s="8">
        <f t="shared" si="42"/>
        <v>9.0208512030475613E-3</v>
      </c>
      <c r="K663" s="8">
        <f t="shared" si="39"/>
        <v>-8.1902589178625695E-2</v>
      </c>
    </row>
    <row r="664" spans="1:11" x14ac:dyDescent="0.25">
      <c r="A664" t="str">
        <f t="shared" si="40"/>
        <v>92019</v>
      </c>
      <c r="B664" s="1">
        <v>43717</v>
      </c>
      <c r="C664" s="10">
        <v>43717.645833333336</v>
      </c>
      <c r="D664">
        <v>10936.7</v>
      </c>
      <c r="E664">
        <v>11028.85</v>
      </c>
      <c r="F664">
        <v>10889.8</v>
      </c>
      <c r="G664">
        <v>11003.05</v>
      </c>
      <c r="H664">
        <v>0</v>
      </c>
      <c r="I664" s="8">
        <f t="shared" si="41"/>
        <v>5.1935831612794914E-3</v>
      </c>
      <c r="J664" s="8">
        <f t="shared" si="42"/>
        <v>5.1801430231516307E-3</v>
      </c>
      <c r="K664" s="8">
        <f t="shared" si="39"/>
        <v>-8.044310356354889E-2</v>
      </c>
    </row>
    <row r="665" spans="1:11" x14ac:dyDescent="0.25">
      <c r="A665" t="str">
        <f t="shared" si="40"/>
        <v>92019</v>
      </c>
      <c r="B665" s="1">
        <v>43719</v>
      </c>
      <c r="C665" s="10">
        <v>43778.645833333336</v>
      </c>
      <c r="D665">
        <v>11028.5</v>
      </c>
      <c r="E665">
        <v>11054.8</v>
      </c>
      <c r="F665">
        <v>11011.65</v>
      </c>
      <c r="G665">
        <v>11035.7</v>
      </c>
      <c r="H665">
        <v>0</v>
      </c>
      <c r="I665" s="8">
        <f t="shared" si="41"/>
        <v>2.9673590504453173E-3</v>
      </c>
      <c r="J665" s="8">
        <f t="shared" si="42"/>
        <v>2.9629651306572699E-3</v>
      </c>
      <c r="K665" s="8">
        <f t="shared" si="39"/>
        <v>-7.3113167929314105E-2</v>
      </c>
    </row>
    <row r="666" spans="1:11" x14ac:dyDescent="0.25">
      <c r="A666" t="str">
        <f t="shared" si="40"/>
        <v>92019</v>
      </c>
      <c r="B666" s="1">
        <v>43720</v>
      </c>
      <c r="C666" s="10">
        <v>43808.645833333336</v>
      </c>
      <c r="D666">
        <v>11058.3</v>
      </c>
      <c r="E666">
        <v>11081.75</v>
      </c>
      <c r="F666">
        <v>10964.95</v>
      </c>
      <c r="G666">
        <v>10982.8</v>
      </c>
      <c r="H666">
        <v>0</v>
      </c>
      <c r="I666" s="8">
        <f t="shared" si="41"/>
        <v>-4.7935337133123701E-3</v>
      </c>
      <c r="J666" s="8">
        <f t="shared" si="42"/>
        <v>-4.8050595437650065E-3</v>
      </c>
      <c r="K666" s="8">
        <f t="shared" si="39"/>
        <v>-7.816401643437787E-2</v>
      </c>
    </row>
    <row r="667" spans="1:11" x14ac:dyDescent="0.25">
      <c r="A667" t="str">
        <f t="shared" si="40"/>
        <v>92019</v>
      </c>
      <c r="B667" s="1">
        <v>43721</v>
      </c>
      <c r="C667" t="s">
        <v>425</v>
      </c>
      <c r="D667">
        <v>10986.8</v>
      </c>
      <c r="E667">
        <v>11084.45</v>
      </c>
      <c r="F667">
        <v>10945.75</v>
      </c>
      <c r="G667">
        <v>11075.9</v>
      </c>
      <c r="H667">
        <v>0</v>
      </c>
      <c r="I667" s="8">
        <f t="shared" si="41"/>
        <v>8.4768911388717338E-3</v>
      </c>
      <c r="J667" s="8">
        <f t="shared" si="42"/>
        <v>8.4411640582458328E-3</v>
      </c>
      <c r="K667" s="8">
        <f t="shared" si="39"/>
        <v>-6.3214161866822272E-2</v>
      </c>
    </row>
    <row r="668" spans="1:11" x14ac:dyDescent="0.25">
      <c r="A668" t="str">
        <f t="shared" si="40"/>
        <v>92019</v>
      </c>
      <c r="B668" s="1">
        <v>43724</v>
      </c>
      <c r="C668" t="s">
        <v>426</v>
      </c>
      <c r="D668">
        <v>10994.85</v>
      </c>
      <c r="E668">
        <v>11052.7</v>
      </c>
      <c r="F668">
        <v>10968.2</v>
      </c>
      <c r="G668">
        <v>11003.5</v>
      </c>
      <c r="H668">
        <v>0</v>
      </c>
      <c r="I668" s="8">
        <f t="shared" si="41"/>
        <v>-6.5367148493575833E-3</v>
      </c>
      <c r="J668" s="8">
        <f t="shared" si="42"/>
        <v>-6.5581727303500393E-3</v>
      </c>
      <c r="K668" s="8">
        <f t="shared" si="39"/>
        <v>-5.7285932754462476E-2</v>
      </c>
    </row>
    <row r="669" spans="1:11" x14ac:dyDescent="0.25">
      <c r="A669" t="str">
        <f t="shared" si="40"/>
        <v>92019</v>
      </c>
      <c r="B669" s="1">
        <v>43725</v>
      </c>
      <c r="C669" t="s">
        <v>427</v>
      </c>
      <c r="D669">
        <v>11000.1</v>
      </c>
      <c r="E669">
        <v>11000.1</v>
      </c>
      <c r="F669">
        <v>10796.5</v>
      </c>
      <c r="G669">
        <v>10817.6</v>
      </c>
      <c r="H669">
        <v>0</v>
      </c>
      <c r="I669" s="8">
        <f t="shared" si="41"/>
        <v>-1.6894624437678862E-2</v>
      </c>
      <c r="J669" s="8">
        <f t="shared" si="42"/>
        <v>-1.7038966653176175E-2</v>
      </c>
      <c r="K669" s="8">
        <f t="shared" si="39"/>
        <v>-7.4746610785613399E-2</v>
      </c>
    </row>
    <row r="670" spans="1:11" x14ac:dyDescent="0.25">
      <c r="A670" t="str">
        <f t="shared" si="40"/>
        <v>92019</v>
      </c>
      <c r="B670" s="1">
        <v>43726</v>
      </c>
      <c r="C670" t="s">
        <v>428</v>
      </c>
      <c r="D670">
        <v>10872.8</v>
      </c>
      <c r="E670">
        <v>10885.15</v>
      </c>
      <c r="F670">
        <v>10804.85</v>
      </c>
      <c r="G670">
        <v>10840.65</v>
      </c>
      <c r="H670">
        <v>0</v>
      </c>
      <c r="I670" s="8">
        <f t="shared" si="41"/>
        <v>2.1307868658482221E-3</v>
      </c>
      <c r="J670" s="8">
        <f t="shared" si="42"/>
        <v>2.1285199591399326E-3</v>
      </c>
      <c r="K670" s="8">
        <f t="shared" si="39"/>
        <v>-7.2771127618901033E-2</v>
      </c>
    </row>
    <row r="671" spans="1:11" x14ac:dyDescent="0.25">
      <c r="A671" t="str">
        <f t="shared" si="40"/>
        <v>92019</v>
      </c>
      <c r="B671" s="1">
        <v>43727</v>
      </c>
      <c r="C671" t="s">
        <v>429</v>
      </c>
      <c r="D671">
        <v>10845.2</v>
      </c>
      <c r="E671">
        <v>10845.2</v>
      </c>
      <c r="F671">
        <v>10670.25</v>
      </c>
      <c r="G671">
        <v>10704.8</v>
      </c>
      <c r="H671">
        <v>0</v>
      </c>
      <c r="I671" s="8">
        <f t="shared" si="41"/>
        <v>-1.2531536393112996E-2</v>
      </c>
      <c r="J671" s="8">
        <f t="shared" si="42"/>
        <v>-1.2610718304774393E-2</v>
      </c>
      <c r="K671" s="8">
        <f t="shared" si="39"/>
        <v>-9.5247955712384091E-2</v>
      </c>
    </row>
    <row r="672" spans="1:11" x14ac:dyDescent="0.25">
      <c r="A672" t="str">
        <f t="shared" si="40"/>
        <v>92019</v>
      </c>
      <c r="B672" s="1">
        <v>43728</v>
      </c>
      <c r="C672" t="s">
        <v>430</v>
      </c>
      <c r="D672">
        <v>10746.8</v>
      </c>
      <c r="E672">
        <v>11381.9</v>
      </c>
      <c r="F672">
        <v>10691</v>
      </c>
      <c r="G672">
        <v>11274.2</v>
      </c>
      <c r="H672">
        <v>0</v>
      </c>
      <c r="I672" s="8">
        <f t="shared" si="41"/>
        <v>5.3191091846648275E-2</v>
      </c>
      <c r="J672" s="8">
        <f t="shared" si="42"/>
        <v>5.1824690425978821E-2</v>
      </c>
      <c r="K672" s="8">
        <f t="shared" si="39"/>
        <v>-3.8373947680418907E-2</v>
      </c>
    </row>
    <row r="673" spans="1:11" x14ac:dyDescent="0.25">
      <c r="A673" t="str">
        <f t="shared" si="40"/>
        <v>92019</v>
      </c>
      <c r="B673" s="1">
        <v>43731</v>
      </c>
      <c r="C673" t="s">
        <v>431</v>
      </c>
      <c r="D673">
        <v>11542.7</v>
      </c>
      <c r="E673">
        <v>11694.85</v>
      </c>
      <c r="F673">
        <v>11471.35</v>
      </c>
      <c r="G673">
        <v>11600.2</v>
      </c>
      <c r="H673">
        <v>0</v>
      </c>
      <c r="I673" s="8">
        <f t="shared" si="41"/>
        <v>2.8915577158467931E-2</v>
      </c>
      <c r="J673" s="8">
        <f t="shared" si="42"/>
        <v>2.8505409908377584E-2</v>
      </c>
      <c r="K673" s="8">
        <f t="shared" si="39"/>
        <v>-8.5002542811108972E-3</v>
      </c>
    </row>
    <row r="674" spans="1:11" x14ac:dyDescent="0.25">
      <c r="A674" t="str">
        <f t="shared" si="40"/>
        <v>92019</v>
      </c>
      <c r="B674" s="1">
        <v>43732</v>
      </c>
      <c r="C674" t="s">
        <v>432</v>
      </c>
      <c r="D674">
        <v>11590.7</v>
      </c>
      <c r="E674">
        <v>11655.05</v>
      </c>
      <c r="F674">
        <v>11539.2</v>
      </c>
      <c r="G674">
        <v>11588.2</v>
      </c>
      <c r="H674">
        <v>0</v>
      </c>
      <c r="I674" s="8">
        <f t="shared" si="41"/>
        <v>-1.0344649230186187E-3</v>
      </c>
      <c r="J674" s="8">
        <f t="shared" si="42"/>
        <v>-1.0350003511433552E-3</v>
      </c>
      <c r="K674" s="8">
        <f t="shared" si="39"/>
        <v>-1.7653616130276495E-2</v>
      </c>
    </row>
    <row r="675" spans="1:11" x14ac:dyDescent="0.25">
      <c r="A675" t="str">
        <f t="shared" si="40"/>
        <v>92019</v>
      </c>
      <c r="B675" s="1">
        <v>43733</v>
      </c>
      <c r="C675" t="s">
        <v>433</v>
      </c>
      <c r="D675">
        <v>11564.85</v>
      </c>
      <c r="E675">
        <v>11564.95</v>
      </c>
      <c r="F675">
        <v>11416.1</v>
      </c>
      <c r="G675">
        <v>11440.2</v>
      </c>
      <c r="H675">
        <v>0</v>
      </c>
      <c r="I675" s="8">
        <f t="shared" si="41"/>
        <v>-1.2771612502373131E-2</v>
      </c>
      <c r="J675" s="8">
        <f t="shared" si="42"/>
        <v>-1.2853870675538228E-2</v>
      </c>
      <c r="K675" s="8">
        <f t="shared" si="39"/>
        <v>-3.4382636072436745E-2</v>
      </c>
    </row>
    <row r="676" spans="1:11" x14ac:dyDescent="0.25">
      <c r="A676" t="str">
        <f t="shared" si="40"/>
        <v>92019</v>
      </c>
      <c r="B676" s="1">
        <v>43734</v>
      </c>
      <c r="C676" t="s">
        <v>434</v>
      </c>
      <c r="D676">
        <v>11469.85</v>
      </c>
      <c r="E676">
        <v>11610.85</v>
      </c>
      <c r="F676">
        <v>11466.35</v>
      </c>
      <c r="G676">
        <v>11571.2</v>
      </c>
      <c r="H676">
        <v>0</v>
      </c>
      <c r="I676" s="8">
        <f t="shared" si="41"/>
        <v>1.1450848761385357E-2</v>
      </c>
      <c r="J676" s="8">
        <f t="shared" si="42"/>
        <v>1.1385784019294062E-2</v>
      </c>
      <c r="K676" s="8">
        <f t="shared" si="39"/>
        <v>-2.283062605824393E-2</v>
      </c>
    </row>
    <row r="677" spans="1:11" x14ac:dyDescent="0.25">
      <c r="A677" t="str">
        <f t="shared" si="40"/>
        <v>92019</v>
      </c>
      <c r="B677" s="1">
        <v>43735</v>
      </c>
      <c r="C677" t="s">
        <v>435</v>
      </c>
      <c r="D677">
        <v>11556.35</v>
      </c>
      <c r="E677">
        <v>11593.6</v>
      </c>
      <c r="F677">
        <v>11499.75</v>
      </c>
      <c r="G677">
        <v>11512.4</v>
      </c>
      <c r="H677">
        <v>0</v>
      </c>
      <c r="I677" s="8">
        <f t="shared" si="41"/>
        <v>-5.0815818584071248E-3</v>
      </c>
      <c r="J677" s="8">
        <f t="shared" si="42"/>
        <v>-5.0945370025516938E-3</v>
      </c>
      <c r="K677" s="8">
        <f t="shared" si="39"/>
        <v>-2.3450124482031764E-2</v>
      </c>
    </row>
    <row r="678" spans="1:11" x14ac:dyDescent="0.25">
      <c r="A678" t="str">
        <f t="shared" si="40"/>
        <v>92019</v>
      </c>
      <c r="B678" s="1">
        <v>43738</v>
      </c>
      <c r="C678" t="s">
        <v>436</v>
      </c>
      <c r="D678">
        <v>11491.15</v>
      </c>
      <c r="E678">
        <v>11508.25</v>
      </c>
      <c r="F678">
        <v>11390.8</v>
      </c>
      <c r="G678">
        <v>11474.45</v>
      </c>
      <c r="H678">
        <v>0</v>
      </c>
      <c r="I678" s="8">
        <f t="shared" si="41"/>
        <v>-3.2964455717312546E-3</v>
      </c>
      <c r="J678" s="8">
        <f t="shared" si="42"/>
        <v>-3.3018908183674615E-3</v>
      </c>
      <c r="K678" s="8">
        <f t="shared" si="39"/>
        <v>-3.2965041801510164E-2</v>
      </c>
    </row>
    <row r="679" spans="1:11" x14ac:dyDescent="0.25">
      <c r="A679" t="str">
        <f t="shared" si="40"/>
        <v>102019</v>
      </c>
      <c r="B679" s="1">
        <v>43739</v>
      </c>
      <c r="C679" s="10">
        <v>43475.645833333336</v>
      </c>
      <c r="D679">
        <v>11515.4</v>
      </c>
      <c r="E679">
        <v>11554.2</v>
      </c>
      <c r="F679">
        <v>11247.9</v>
      </c>
      <c r="G679">
        <v>11359.9</v>
      </c>
      <c r="H679">
        <v>0</v>
      </c>
      <c r="I679" s="8">
        <f t="shared" si="41"/>
        <v>-9.9830492964805284E-3</v>
      </c>
      <c r="J679" s="8">
        <f t="shared" si="42"/>
        <v>-1.0033214077332946E-2</v>
      </c>
      <c r="K679" s="8">
        <f t="shared" si="39"/>
        <v>-4.6212102130089083E-2</v>
      </c>
    </row>
    <row r="680" spans="1:11" x14ac:dyDescent="0.25">
      <c r="A680" t="str">
        <f t="shared" si="40"/>
        <v>102019</v>
      </c>
      <c r="B680" s="1">
        <v>43741</v>
      </c>
      <c r="C680" s="10">
        <v>43534.645833333336</v>
      </c>
      <c r="D680">
        <v>11322.25</v>
      </c>
      <c r="E680">
        <v>11370.4</v>
      </c>
      <c r="F680">
        <v>11257.35</v>
      </c>
      <c r="G680">
        <v>11314</v>
      </c>
      <c r="H680">
        <v>0</v>
      </c>
      <c r="I680" s="8">
        <f t="shared" si="41"/>
        <v>-4.0405285257792967E-3</v>
      </c>
      <c r="J680" s="8">
        <f t="shared" si="42"/>
        <v>-4.0487135163949257E-3</v>
      </c>
      <c r="K680" s="8">
        <f t="shared" si="39"/>
        <v>-5.0580065873665259E-2</v>
      </c>
    </row>
    <row r="681" spans="1:11" x14ac:dyDescent="0.25">
      <c r="A681" t="str">
        <f t="shared" si="40"/>
        <v>102019</v>
      </c>
      <c r="B681" s="1">
        <v>43742</v>
      </c>
      <c r="C681" s="10">
        <v>43565.645833333336</v>
      </c>
      <c r="D681">
        <v>11388.45</v>
      </c>
      <c r="E681">
        <v>11400.3</v>
      </c>
      <c r="F681">
        <v>11158.35</v>
      </c>
      <c r="G681">
        <v>11174.75</v>
      </c>
      <c r="H681">
        <v>0</v>
      </c>
      <c r="I681" s="8">
        <f t="shared" si="41"/>
        <v>-1.2307760296977222E-2</v>
      </c>
      <c r="J681" s="8">
        <f t="shared" si="42"/>
        <v>-1.2384128036227408E-2</v>
      </c>
      <c r="K681" s="8">
        <f t="shared" si="39"/>
        <v>-6.4620084960344881E-2</v>
      </c>
    </row>
    <row r="682" spans="1:11" x14ac:dyDescent="0.25">
      <c r="A682" t="str">
        <f t="shared" si="40"/>
        <v>102019</v>
      </c>
      <c r="B682" s="1">
        <v>43745</v>
      </c>
      <c r="C682" s="10">
        <v>43656.645833333336</v>
      </c>
      <c r="D682">
        <v>11196.2</v>
      </c>
      <c r="E682">
        <v>11233.85</v>
      </c>
      <c r="F682">
        <v>11112.65</v>
      </c>
      <c r="G682">
        <v>11126.4</v>
      </c>
      <c r="H682">
        <v>0</v>
      </c>
      <c r="I682" s="8">
        <f t="shared" si="41"/>
        <v>-4.3267187185396239E-3</v>
      </c>
      <c r="J682" s="8">
        <f t="shared" si="42"/>
        <v>-4.3361060533314236E-3</v>
      </c>
      <c r="K682" s="8">
        <f t="shared" si="39"/>
        <v>-5.797487966878756E-2</v>
      </c>
    </row>
    <row r="683" spans="1:11" x14ac:dyDescent="0.25">
      <c r="A683" t="str">
        <f t="shared" si="40"/>
        <v>102019</v>
      </c>
      <c r="B683" s="1">
        <v>43747</v>
      </c>
      <c r="C683" s="10">
        <v>43718.645833333336</v>
      </c>
      <c r="D683">
        <v>11152.95</v>
      </c>
      <c r="E683">
        <v>11321.6</v>
      </c>
      <c r="F683">
        <v>11090.15</v>
      </c>
      <c r="G683">
        <v>11313.3</v>
      </c>
      <c r="H683">
        <v>0</v>
      </c>
      <c r="I683" s="8">
        <f t="shared" si="41"/>
        <v>1.6797886108714355E-2</v>
      </c>
      <c r="J683" s="8">
        <f t="shared" si="42"/>
        <v>1.6658361926267153E-2</v>
      </c>
      <c r="K683" s="8">
        <f t="shared" si="39"/>
        <v>-2.122229335732706E-2</v>
      </c>
    </row>
    <row r="684" spans="1:11" x14ac:dyDescent="0.25">
      <c r="A684" t="str">
        <f t="shared" si="40"/>
        <v>102019</v>
      </c>
      <c r="B684" s="1">
        <v>43748</v>
      </c>
      <c r="C684" s="10">
        <v>43748.645833333336</v>
      </c>
      <c r="D684">
        <v>11280.5</v>
      </c>
      <c r="E684">
        <v>11293.35</v>
      </c>
      <c r="F684">
        <v>11208.55</v>
      </c>
      <c r="G684">
        <v>11234.55</v>
      </c>
      <c r="H684">
        <v>0</v>
      </c>
      <c r="I684" s="8">
        <f t="shared" si="41"/>
        <v>-6.9608337089973604E-3</v>
      </c>
      <c r="J684" s="8">
        <f t="shared" si="42"/>
        <v>-6.9851733270783253E-3</v>
      </c>
      <c r="K684" s="8">
        <f t="shared" si="39"/>
        <v>-2.780830571396431E-2</v>
      </c>
    </row>
    <row r="685" spans="1:11" x14ac:dyDescent="0.25">
      <c r="A685" t="str">
        <f t="shared" si="40"/>
        <v>102019</v>
      </c>
      <c r="B685" s="1">
        <v>43749</v>
      </c>
      <c r="C685" s="10">
        <v>43779.645833333336</v>
      </c>
      <c r="D685">
        <v>11257.7</v>
      </c>
      <c r="E685">
        <v>11362.9</v>
      </c>
      <c r="F685">
        <v>11189.4</v>
      </c>
      <c r="G685">
        <v>11305.05</v>
      </c>
      <c r="H685">
        <v>0</v>
      </c>
      <c r="I685" s="8">
        <f t="shared" si="41"/>
        <v>6.2752847243547905E-3</v>
      </c>
      <c r="J685" s="8">
        <f t="shared" si="42"/>
        <v>6.255677111318734E-3</v>
      </c>
      <c r="K685" s="8">
        <f t="shared" si="39"/>
        <v>-1.6858134256320212E-2</v>
      </c>
    </row>
    <row r="686" spans="1:11" x14ac:dyDescent="0.25">
      <c r="A686" t="str">
        <f t="shared" si="40"/>
        <v>102019</v>
      </c>
      <c r="B686" s="1">
        <v>43752</v>
      </c>
      <c r="C686" t="s">
        <v>437</v>
      </c>
      <c r="D686">
        <v>11335.9</v>
      </c>
      <c r="E686">
        <v>11420.45</v>
      </c>
      <c r="F686">
        <v>11290.05</v>
      </c>
      <c r="G686">
        <v>11341.15</v>
      </c>
      <c r="H686">
        <v>0</v>
      </c>
      <c r="I686" s="8">
        <f t="shared" si="41"/>
        <v>3.1932631876905315E-3</v>
      </c>
      <c r="J686" s="8">
        <f t="shared" si="42"/>
        <v>3.1881755506963242E-3</v>
      </c>
      <c r="K686" s="8">
        <f t="shared" si="39"/>
        <v>-2.0871284393372935E-2</v>
      </c>
    </row>
    <row r="687" spans="1:11" x14ac:dyDescent="0.25">
      <c r="A687" t="str">
        <f t="shared" si="40"/>
        <v>102019</v>
      </c>
      <c r="B687" s="1">
        <v>43753</v>
      </c>
      <c r="C687" t="s">
        <v>438</v>
      </c>
      <c r="D687">
        <v>11360.85</v>
      </c>
      <c r="E687">
        <v>11462.35</v>
      </c>
      <c r="F687">
        <v>11342.1</v>
      </c>
      <c r="G687">
        <v>11428.3</v>
      </c>
      <c r="H687">
        <v>0</v>
      </c>
      <c r="I687" s="8">
        <f t="shared" si="41"/>
        <v>7.6844059023997158E-3</v>
      </c>
      <c r="J687" s="8">
        <f t="shared" si="42"/>
        <v>7.655031243923585E-3</v>
      </c>
      <c r="K687" s="8">
        <f t="shared" si="39"/>
        <v>-1.0750919714347607E-2</v>
      </c>
    </row>
    <row r="688" spans="1:11" x14ac:dyDescent="0.25">
      <c r="A688" t="str">
        <f t="shared" si="40"/>
        <v>102019</v>
      </c>
      <c r="B688" s="1">
        <v>43754</v>
      </c>
      <c r="C688" t="s">
        <v>439</v>
      </c>
      <c r="D688">
        <v>11464.95</v>
      </c>
      <c r="E688">
        <v>11481.05</v>
      </c>
      <c r="F688">
        <v>11411.1</v>
      </c>
      <c r="G688">
        <v>11464</v>
      </c>
      <c r="H688">
        <v>0</v>
      </c>
      <c r="I688" s="8">
        <f t="shared" si="41"/>
        <v>3.1238241908246867E-3</v>
      </c>
      <c r="J688" s="8">
        <f t="shared" si="42"/>
        <v>3.1189551893382886E-3</v>
      </c>
      <c r="K688" s="8">
        <f t="shared" si="39"/>
        <v>-1.0730604443255576E-2</v>
      </c>
    </row>
    <row r="689" spans="1:11" x14ac:dyDescent="0.25">
      <c r="A689" t="str">
        <f t="shared" si="40"/>
        <v>102019</v>
      </c>
      <c r="B689" s="1">
        <v>43755</v>
      </c>
      <c r="C689" t="s">
        <v>440</v>
      </c>
      <c r="D689">
        <v>11466.3</v>
      </c>
      <c r="E689">
        <v>11599.1</v>
      </c>
      <c r="F689">
        <v>11439.65</v>
      </c>
      <c r="G689">
        <v>11586.35</v>
      </c>
      <c r="H689">
        <v>0</v>
      </c>
      <c r="I689" s="8">
        <f t="shared" si="41"/>
        <v>1.0672540125610697E-2</v>
      </c>
      <c r="J689" s="8">
        <f t="shared" si="42"/>
        <v>1.0615990565060435E-2</v>
      </c>
      <c r="K689" s="8">
        <f t="shared" si="39"/>
        <v>-6.5379932433591303E-3</v>
      </c>
    </row>
    <row r="690" spans="1:11" x14ac:dyDescent="0.25">
      <c r="A690" t="str">
        <f t="shared" si="40"/>
        <v>102019</v>
      </c>
      <c r="B690" s="1">
        <v>43756</v>
      </c>
      <c r="C690" t="s">
        <v>441</v>
      </c>
      <c r="D690">
        <v>11580.3</v>
      </c>
      <c r="E690">
        <v>11684.7</v>
      </c>
      <c r="F690">
        <v>11553.15</v>
      </c>
      <c r="G690">
        <v>11661.85</v>
      </c>
      <c r="H690">
        <v>0</v>
      </c>
      <c r="I690" s="8">
        <f t="shared" si="41"/>
        <v>6.5162885636977919E-3</v>
      </c>
      <c r="J690" s="8">
        <f t="shared" si="42"/>
        <v>6.4951493385409882E-3</v>
      </c>
      <c r="K690" s="8">
        <f t="shared" si="39"/>
        <v>-2.1946524064170303E-3</v>
      </c>
    </row>
    <row r="691" spans="1:11" x14ac:dyDescent="0.25">
      <c r="A691" t="str">
        <f t="shared" si="40"/>
        <v>102019</v>
      </c>
      <c r="B691" s="1">
        <v>43760</v>
      </c>
      <c r="C691" t="s">
        <v>442</v>
      </c>
      <c r="D691">
        <v>11657.15</v>
      </c>
      <c r="E691">
        <v>11714.35</v>
      </c>
      <c r="F691">
        <v>11573.65</v>
      </c>
      <c r="G691">
        <v>11588.35</v>
      </c>
      <c r="H691">
        <v>0</v>
      </c>
      <c r="I691" s="8">
        <f t="shared" si="41"/>
        <v>-6.302602074284902E-3</v>
      </c>
      <c r="J691" s="8">
        <f t="shared" si="42"/>
        <v>-6.3225473195318302E-3</v>
      </c>
      <c r="K691" s="8">
        <f t="shared" si="39"/>
        <v>-7.3726599349821509E-4</v>
      </c>
    </row>
    <row r="692" spans="1:11" x14ac:dyDescent="0.25">
      <c r="A692" t="str">
        <f t="shared" si="40"/>
        <v>102019</v>
      </c>
      <c r="B692" s="1">
        <v>43761</v>
      </c>
      <c r="C692" t="s">
        <v>443</v>
      </c>
      <c r="D692">
        <v>11596.2</v>
      </c>
      <c r="E692">
        <v>11651.6</v>
      </c>
      <c r="F692">
        <v>11554.4</v>
      </c>
      <c r="G692">
        <v>11604.1</v>
      </c>
      <c r="H692">
        <v>0</v>
      </c>
      <c r="I692" s="8">
        <f t="shared" si="41"/>
        <v>1.3591236025836118E-3</v>
      </c>
      <c r="J692" s="8">
        <f t="shared" si="42"/>
        <v>1.3582008301133287E-3</v>
      </c>
      <c r="K692" s="8">
        <f t="shared" si="39"/>
        <v>1.6187577993300728E-2</v>
      </c>
    </row>
    <row r="693" spans="1:11" x14ac:dyDescent="0.25">
      <c r="A693" t="str">
        <f t="shared" si="40"/>
        <v>102019</v>
      </c>
      <c r="B693" s="1">
        <v>43762</v>
      </c>
      <c r="C693" t="s">
        <v>444</v>
      </c>
      <c r="D693">
        <v>11661.65</v>
      </c>
      <c r="E693">
        <v>11679.6</v>
      </c>
      <c r="F693">
        <v>11534.65</v>
      </c>
      <c r="G693">
        <v>11582.6</v>
      </c>
      <c r="H693">
        <v>0</v>
      </c>
      <c r="I693" s="8">
        <f t="shared" si="41"/>
        <v>-1.8527934092260612E-3</v>
      </c>
      <c r="J693" s="8">
        <f t="shared" si="42"/>
        <v>-1.8545119540017269E-3</v>
      </c>
      <c r="K693" s="8">
        <f t="shared" si="39"/>
        <v>2.0835169484056282E-2</v>
      </c>
    </row>
    <row r="694" spans="1:11" x14ac:dyDescent="0.25">
      <c r="A694" t="str">
        <f t="shared" si="40"/>
        <v>102019</v>
      </c>
      <c r="B694" s="1">
        <v>43763</v>
      </c>
      <c r="C694" t="s">
        <v>445</v>
      </c>
      <c r="D694">
        <v>11646.15</v>
      </c>
      <c r="E694">
        <v>11646.9</v>
      </c>
      <c r="F694">
        <v>11490.75</v>
      </c>
      <c r="G694">
        <v>11583.9</v>
      </c>
      <c r="H694">
        <v>0</v>
      </c>
      <c r="I694" s="8">
        <f t="shared" si="41"/>
        <v>1.122373214994532E-4</v>
      </c>
      <c r="J694" s="8">
        <f t="shared" si="42"/>
        <v>1.1223102336253745E-4</v>
      </c>
      <c r="K694" s="8">
        <f t="shared" si="39"/>
        <v>2.2314789891492826E-2</v>
      </c>
    </row>
    <row r="695" spans="1:11" x14ac:dyDescent="0.25">
      <c r="A695" t="str">
        <f t="shared" si="40"/>
        <v>102019</v>
      </c>
      <c r="B695" s="1">
        <v>43765</v>
      </c>
      <c r="C695" t="s">
        <v>446</v>
      </c>
      <c r="D695">
        <v>11662.25</v>
      </c>
      <c r="E695">
        <v>11672.4</v>
      </c>
      <c r="F695">
        <v>11604.6</v>
      </c>
      <c r="G695">
        <v>11627.15</v>
      </c>
      <c r="H695">
        <v>0</v>
      </c>
      <c r="I695" s="8">
        <f t="shared" si="41"/>
        <v>3.7336302972228452E-3</v>
      </c>
      <c r="J695" s="8">
        <f t="shared" si="42"/>
        <v>3.7266776001179344E-3</v>
      </c>
      <c r="K695" s="8">
        <f t="shared" si="39"/>
        <v>3.1571336048193288E-2</v>
      </c>
    </row>
    <row r="696" spans="1:11" x14ac:dyDescent="0.25">
      <c r="A696" t="str">
        <f t="shared" si="40"/>
        <v>102019</v>
      </c>
      <c r="B696" s="1">
        <v>43767</v>
      </c>
      <c r="C696" t="s">
        <v>447</v>
      </c>
      <c r="D696">
        <v>11643.95</v>
      </c>
      <c r="E696">
        <v>11809.4</v>
      </c>
      <c r="F696">
        <v>11627.35</v>
      </c>
      <c r="G696">
        <v>11786.85</v>
      </c>
      <c r="H696">
        <v>0</v>
      </c>
      <c r="I696" s="8">
        <f t="shared" si="41"/>
        <v>1.3735094154629479E-2</v>
      </c>
      <c r="J696" s="8">
        <f t="shared" si="42"/>
        <v>1.3641622669476343E-2</v>
      </c>
      <c r="K696" s="8">
        <f t="shared" si="39"/>
        <v>4.7519807325711261E-2</v>
      </c>
    </row>
    <row r="697" spans="1:11" x14ac:dyDescent="0.25">
      <c r="A697" t="str">
        <f t="shared" si="40"/>
        <v>102019</v>
      </c>
      <c r="B697" s="1">
        <v>43768</v>
      </c>
      <c r="C697" t="s">
        <v>448</v>
      </c>
      <c r="D697">
        <v>11883.9</v>
      </c>
      <c r="E697">
        <v>11883.95</v>
      </c>
      <c r="F697">
        <v>11784.45</v>
      </c>
      <c r="G697">
        <v>11844.1</v>
      </c>
      <c r="H697">
        <v>0</v>
      </c>
      <c r="I697" s="8">
        <f t="shared" si="41"/>
        <v>4.8571077090147075E-3</v>
      </c>
      <c r="J697" s="8">
        <f t="shared" si="42"/>
        <v>4.8453500182429254E-3</v>
      </c>
      <c r="K697" s="8">
        <f t="shared" si="39"/>
        <v>4.9608748438095596E-2</v>
      </c>
    </row>
    <row r="698" spans="1:11" x14ac:dyDescent="0.25">
      <c r="A698" t="str">
        <f t="shared" si="40"/>
        <v>102019</v>
      </c>
      <c r="B698" s="1">
        <v>43769</v>
      </c>
      <c r="C698" t="s">
        <v>449</v>
      </c>
      <c r="D698">
        <v>11890.45</v>
      </c>
      <c r="E698">
        <v>11945</v>
      </c>
      <c r="F698">
        <v>11855.1</v>
      </c>
      <c r="G698">
        <v>11877.45</v>
      </c>
      <c r="H698">
        <v>0</v>
      </c>
      <c r="I698" s="8">
        <f t="shared" si="41"/>
        <v>2.8157479251273987E-3</v>
      </c>
      <c r="J698" s="8">
        <f t="shared" si="42"/>
        <v>2.81179113275152E-3</v>
      </c>
      <c r="K698" s="8">
        <f t="shared" si="39"/>
        <v>6.1510206270332102E-2</v>
      </c>
    </row>
    <row r="699" spans="1:11" x14ac:dyDescent="0.25">
      <c r="A699" t="str">
        <f t="shared" si="40"/>
        <v>112019</v>
      </c>
      <c r="B699" s="1">
        <v>43770</v>
      </c>
      <c r="C699" s="10">
        <v>43476.645833333336</v>
      </c>
      <c r="D699">
        <v>11886.6</v>
      </c>
      <c r="E699">
        <v>11918.3</v>
      </c>
      <c r="F699">
        <v>11843.35</v>
      </c>
      <c r="G699">
        <v>11890.6</v>
      </c>
      <c r="H699">
        <v>0</v>
      </c>
      <c r="I699" s="8">
        <f t="shared" si="41"/>
        <v>1.1071400005893128E-3</v>
      </c>
      <c r="J699" s="8">
        <f t="shared" si="42"/>
        <v>1.1065275730858378E-3</v>
      </c>
      <c r="K699" s="8">
        <f t="shared" si="39"/>
        <v>7.2636079888863003E-2</v>
      </c>
    </row>
    <row r="700" spans="1:11" x14ac:dyDescent="0.25">
      <c r="A700" t="str">
        <f t="shared" si="40"/>
        <v>112019</v>
      </c>
      <c r="B700" s="1">
        <v>43773</v>
      </c>
      <c r="C700" s="10">
        <v>43566.645833333336</v>
      </c>
      <c r="D700">
        <v>11928.9</v>
      </c>
      <c r="E700">
        <v>11989.15</v>
      </c>
      <c r="F700">
        <v>11905.35</v>
      </c>
      <c r="G700">
        <v>11941.3</v>
      </c>
      <c r="H700">
        <v>0</v>
      </c>
      <c r="I700" s="8">
        <f t="shared" si="41"/>
        <v>4.2638723024910341E-3</v>
      </c>
      <c r="J700" s="8">
        <f t="shared" si="42"/>
        <v>4.254807756561208E-3</v>
      </c>
      <c r="K700" s="8">
        <f t="shared" si="39"/>
        <v>7.4051088325238323E-2</v>
      </c>
    </row>
    <row r="701" spans="1:11" x14ac:dyDescent="0.25">
      <c r="A701" t="str">
        <f t="shared" si="40"/>
        <v>112019</v>
      </c>
      <c r="B701" s="1">
        <v>43774</v>
      </c>
      <c r="C701" s="10">
        <v>43596.645833333336</v>
      </c>
      <c r="D701">
        <v>11974.6</v>
      </c>
      <c r="E701">
        <v>11978.95</v>
      </c>
      <c r="F701">
        <v>11861.9</v>
      </c>
      <c r="G701">
        <v>11917.2</v>
      </c>
      <c r="H701">
        <v>0</v>
      </c>
      <c r="I701" s="8">
        <f t="shared" si="41"/>
        <v>-2.0182057229948258E-3</v>
      </c>
      <c r="J701" s="8">
        <f t="shared" si="42"/>
        <v>-2.0202450444738117E-3</v>
      </c>
      <c r="K701" s="8">
        <f t="shared" si="39"/>
        <v>8.5355191256830665E-2</v>
      </c>
    </row>
    <row r="702" spans="1:11" x14ac:dyDescent="0.25">
      <c r="A702" t="str">
        <f t="shared" si="40"/>
        <v>112019</v>
      </c>
      <c r="B702" s="1">
        <v>43775</v>
      </c>
      <c r="C702" s="10">
        <v>43627.645833333336</v>
      </c>
      <c r="D702">
        <v>11911.5</v>
      </c>
      <c r="E702">
        <v>12002.9</v>
      </c>
      <c r="F702">
        <v>11850.25</v>
      </c>
      <c r="G702">
        <v>11966.05</v>
      </c>
      <c r="H702">
        <v>0</v>
      </c>
      <c r="I702" s="8">
        <f t="shared" si="41"/>
        <v>4.0991172423050504E-3</v>
      </c>
      <c r="J702" s="8">
        <f t="shared" si="42"/>
        <v>4.0907387497001449E-3</v>
      </c>
      <c r="K702" s="8">
        <f t="shared" si="39"/>
        <v>8.8084856806412315E-2</v>
      </c>
    </row>
    <row r="703" spans="1:11" x14ac:dyDescent="0.25">
      <c r="A703" t="str">
        <f t="shared" si="40"/>
        <v>112019</v>
      </c>
      <c r="B703" s="1">
        <v>43776</v>
      </c>
      <c r="C703" s="10">
        <v>43657.645833333336</v>
      </c>
      <c r="D703">
        <v>12021.1</v>
      </c>
      <c r="E703">
        <v>12021.4</v>
      </c>
      <c r="F703">
        <v>11946.85</v>
      </c>
      <c r="G703">
        <v>12012.05</v>
      </c>
      <c r="H703">
        <v>0</v>
      </c>
      <c r="I703" s="8">
        <f t="shared" si="41"/>
        <v>3.8442092419803675E-3</v>
      </c>
      <c r="J703" s="8">
        <f t="shared" si="42"/>
        <v>3.8368391517066202E-3</v>
      </c>
      <c r="K703" s="8">
        <f t="shared" si="39"/>
        <v>0.1058172076666728</v>
      </c>
    </row>
    <row r="704" spans="1:11" x14ac:dyDescent="0.25">
      <c r="A704" t="str">
        <f t="shared" si="40"/>
        <v>112019</v>
      </c>
      <c r="B704" s="1">
        <v>43777</v>
      </c>
      <c r="C704" s="10">
        <v>43688.645833333336</v>
      </c>
      <c r="D704">
        <v>11987.15</v>
      </c>
      <c r="E704">
        <v>12034.15</v>
      </c>
      <c r="F704">
        <v>11888.75</v>
      </c>
      <c r="G704">
        <v>11908.15</v>
      </c>
      <c r="H704">
        <v>0</v>
      </c>
      <c r="I704" s="8">
        <f t="shared" si="41"/>
        <v>-8.6496476454892557E-3</v>
      </c>
      <c r="J704" s="8">
        <f t="shared" si="42"/>
        <v>-8.6872729686573568E-3</v>
      </c>
      <c r="K704" s="8">
        <f t="shared" ref="K704:K767" si="43">+G704/G643-1</f>
        <v>8.7676112620738378E-2</v>
      </c>
    </row>
    <row r="705" spans="1:11" x14ac:dyDescent="0.25">
      <c r="A705" t="str">
        <f t="shared" si="40"/>
        <v>112019</v>
      </c>
      <c r="B705" s="1">
        <v>43780</v>
      </c>
      <c r="C705" s="10">
        <v>43780.645833333336</v>
      </c>
      <c r="D705">
        <v>11879.2</v>
      </c>
      <c r="E705">
        <v>11932.65</v>
      </c>
      <c r="F705">
        <v>11853.95</v>
      </c>
      <c r="G705">
        <v>11913.45</v>
      </c>
      <c r="H705">
        <v>0</v>
      </c>
      <c r="I705" s="8">
        <f t="shared" si="41"/>
        <v>4.4507333212973066E-4</v>
      </c>
      <c r="J705" s="8">
        <f t="shared" si="42"/>
        <v>4.4497431637266998E-4</v>
      </c>
      <c r="K705" s="8">
        <f t="shared" si="43"/>
        <v>9.7457510017963322E-2</v>
      </c>
    </row>
    <row r="706" spans="1:11" x14ac:dyDescent="0.25">
      <c r="A706" t="str">
        <f t="shared" si="40"/>
        <v>112019</v>
      </c>
      <c r="B706" s="1">
        <v>43782</v>
      </c>
      <c r="C706" t="s">
        <v>450</v>
      </c>
      <c r="D706">
        <v>11908.3</v>
      </c>
      <c r="E706">
        <v>11946.8</v>
      </c>
      <c r="F706">
        <v>11823.2</v>
      </c>
      <c r="G706">
        <v>11840.45</v>
      </c>
      <c r="H706">
        <v>0</v>
      </c>
      <c r="I706" s="8">
        <f t="shared" si="41"/>
        <v>-6.1275281299707496E-3</v>
      </c>
      <c r="J706" s="8">
        <f t="shared" si="42"/>
        <v>-6.1463784739204446E-3</v>
      </c>
      <c r="K706" s="8">
        <f t="shared" si="43"/>
        <v>7.3238491903430347E-2</v>
      </c>
    </row>
    <row r="707" spans="1:11" x14ac:dyDescent="0.25">
      <c r="A707" t="str">
        <f t="shared" ref="A707:A770" si="44">+MONTH(B707)&amp;YEAR(B707)</f>
        <v>112019</v>
      </c>
      <c r="B707" s="1">
        <v>43783</v>
      </c>
      <c r="C707" t="s">
        <v>451</v>
      </c>
      <c r="D707">
        <v>11858.75</v>
      </c>
      <c r="E707">
        <v>11895.65</v>
      </c>
      <c r="F707">
        <v>11802.65</v>
      </c>
      <c r="G707">
        <v>11872.1</v>
      </c>
      <c r="H707">
        <v>0</v>
      </c>
      <c r="I707" s="8">
        <f t="shared" si="41"/>
        <v>2.6730402982995116E-3</v>
      </c>
      <c r="J707" s="8">
        <f t="shared" si="42"/>
        <v>2.6694740797649774E-3</v>
      </c>
      <c r="K707" s="8">
        <f t="shared" si="43"/>
        <v>6.8629524782509055E-2</v>
      </c>
    </row>
    <row r="708" spans="1:11" x14ac:dyDescent="0.25">
      <c r="A708" t="str">
        <f t="shared" si="44"/>
        <v>112019</v>
      </c>
      <c r="B708" s="1">
        <v>43784</v>
      </c>
      <c r="C708" t="s">
        <v>452</v>
      </c>
      <c r="D708">
        <v>11904.2</v>
      </c>
      <c r="E708">
        <v>11973.65</v>
      </c>
      <c r="F708">
        <v>11879.25</v>
      </c>
      <c r="G708">
        <v>11895.45</v>
      </c>
      <c r="H708">
        <v>0</v>
      </c>
      <c r="I708" s="8">
        <f t="shared" ref="I708:I771" si="45">+G708/G707-1</f>
        <v>1.9667961017848512E-3</v>
      </c>
      <c r="J708" s="8">
        <f t="shared" ref="J708:J771" si="46">+LN(1+I708)</f>
        <v>1.964864490640688E-3</v>
      </c>
      <c r="K708" s="8">
        <f t="shared" si="43"/>
        <v>8.8743667540740478E-2</v>
      </c>
    </row>
    <row r="709" spans="1:11" x14ac:dyDescent="0.25">
      <c r="A709" t="str">
        <f t="shared" si="44"/>
        <v>112019</v>
      </c>
      <c r="B709" s="1">
        <v>43787</v>
      </c>
      <c r="C709" t="s">
        <v>453</v>
      </c>
      <c r="D709">
        <v>11915.15</v>
      </c>
      <c r="E709">
        <v>11946.2</v>
      </c>
      <c r="F709">
        <v>11867.6</v>
      </c>
      <c r="G709">
        <v>11884.5</v>
      </c>
      <c r="H709">
        <v>0</v>
      </c>
      <c r="I709" s="8">
        <f t="shared" si="45"/>
        <v>-9.2052003076814604E-4</v>
      </c>
      <c r="J709" s="8">
        <f t="shared" si="46"/>
        <v>-9.2094396951437408E-4</v>
      </c>
      <c r="K709" s="8">
        <f t="shared" si="43"/>
        <v>7.752914936442612E-2</v>
      </c>
    </row>
    <row r="710" spans="1:11" x14ac:dyDescent="0.25">
      <c r="A710" t="str">
        <f t="shared" si="44"/>
        <v>112019</v>
      </c>
      <c r="B710" s="1">
        <v>43788</v>
      </c>
      <c r="C710" t="s">
        <v>454</v>
      </c>
      <c r="D710">
        <v>11919.45</v>
      </c>
      <c r="E710">
        <v>11958.85</v>
      </c>
      <c r="F710">
        <v>11881.75</v>
      </c>
      <c r="G710">
        <v>11940.1</v>
      </c>
      <c r="H710">
        <v>0</v>
      </c>
      <c r="I710" s="8">
        <f t="shared" si="45"/>
        <v>4.6783625730995038E-3</v>
      </c>
      <c r="J710" s="8">
        <f t="shared" si="46"/>
        <v>4.6674530474952423E-3</v>
      </c>
      <c r="K710" s="8">
        <f t="shared" si="43"/>
        <v>8.0767211571534769E-2</v>
      </c>
    </row>
    <row r="711" spans="1:11" x14ac:dyDescent="0.25">
      <c r="A711" t="str">
        <f t="shared" si="44"/>
        <v>112019</v>
      </c>
      <c r="B711" s="1">
        <v>43789</v>
      </c>
      <c r="C711" t="s">
        <v>455</v>
      </c>
      <c r="D711">
        <v>12004.75</v>
      </c>
      <c r="E711">
        <v>12038.6</v>
      </c>
      <c r="F711">
        <v>11966.05</v>
      </c>
      <c r="G711">
        <v>11999.1</v>
      </c>
      <c r="H711">
        <v>0</v>
      </c>
      <c r="I711" s="8">
        <f t="shared" si="45"/>
        <v>4.941332149646982E-3</v>
      </c>
      <c r="J711" s="8">
        <f t="shared" si="46"/>
        <v>4.9291638365952786E-3</v>
      </c>
      <c r="K711" s="8">
        <f t="shared" si="43"/>
        <v>8.550828214476347E-2</v>
      </c>
    </row>
    <row r="712" spans="1:11" x14ac:dyDescent="0.25">
      <c r="A712" t="str">
        <f t="shared" si="44"/>
        <v>112019</v>
      </c>
      <c r="B712" s="1">
        <v>43790</v>
      </c>
      <c r="C712" t="s">
        <v>456</v>
      </c>
      <c r="D712">
        <v>12025.65</v>
      </c>
      <c r="E712">
        <v>12028.2</v>
      </c>
      <c r="F712">
        <v>11956.9</v>
      </c>
      <c r="G712">
        <v>11968.4</v>
      </c>
      <c r="H712">
        <v>0</v>
      </c>
      <c r="I712" s="8">
        <f t="shared" si="45"/>
        <v>-2.5585252227251498E-3</v>
      </c>
      <c r="J712" s="8">
        <f t="shared" si="46"/>
        <v>-2.561803841863281E-3</v>
      </c>
      <c r="K712" s="8">
        <f t="shared" si="43"/>
        <v>8.635744758101116E-2</v>
      </c>
    </row>
    <row r="713" spans="1:11" x14ac:dyDescent="0.25">
      <c r="A713" t="str">
        <f t="shared" si="44"/>
        <v>112019</v>
      </c>
      <c r="B713" s="1">
        <v>43791</v>
      </c>
      <c r="C713" t="s">
        <v>457</v>
      </c>
      <c r="D713">
        <v>11967.3</v>
      </c>
      <c r="E713">
        <v>11968.1</v>
      </c>
      <c r="F713">
        <v>11883.5</v>
      </c>
      <c r="G713">
        <v>11914.4</v>
      </c>
      <c r="H713">
        <v>0</v>
      </c>
      <c r="I713" s="8">
        <f t="shared" si="45"/>
        <v>-4.5118812873901071E-3</v>
      </c>
      <c r="J713" s="8">
        <f t="shared" si="46"/>
        <v>-4.5220905439756973E-3</v>
      </c>
      <c r="K713" s="8">
        <f t="shared" si="43"/>
        <v>9.1192174892615219E-2</v>
      </c>
    </row>
    <row r="714" spans="1:11" x14ac:dyDescent="0.25">
      <c r="A714" t="str">
        <f t="shared" si="44"/>
        <v>112019</v>
      </c>
      <c r="B714" s="1">
        <v>43794</v>
      </c>
      <c r="C714" t="s">
        <v>458</v>
      </c>
      <c r="D714">
        <v>11922.45</v>
      </c>
      <c r="E714">
        <v>12084.5</v>
      </c>
      <c r="F714">
        <v>11919.75</v>
      </c>
      <c r="G714">
        <v>12073.75</v>
      </c>
      <c r="H714">
        <v>0</v>
      </c>
      <c r="I714" s="8">
        <f t="shared" si="45"/>
        <v>1.3374571946552116E-2</v>
      </c>
      <c r="J714" s="8">
        <f t="shared" si="46"/>
        <v>1.3285921921847858E-2</v>
      </c>
      <c r="K714" s="8">
        <f t="shared" si="43"/>
        <v>0.12404399819389544</v>
      </c>
    </row>
    <row r="715" spans="1:11" x14ac:dyDescent="0.25">
      <c r="A715" t="str">
        <f t="shared" si="44"/>
        <v>112019</v>
      </c>
      <c r="B715" s="1">
        <v>43795</v>
      </c>
      <c r="C715" t="s">
        <v>459</v>
      </c>
      <c r="D715">
        <v>12110.2</v>
      </c>
      <c r="E715">
        <v>12132.45</v>
      </c>
      <c r="F715">
        <v>12006.35</v>
      </c>
      <c r="G715">
        <v>12037.7</v>
      </c>
      <c r="H715">
        <v>0</v>
      </c>
      <c r="I715" s="8">
        <f t="shared" si="45"/>
        <v>-2.9858163370948265E-3</v>
      </c>
      <c r="J715" s="8">
        <f t="shared" si="46"/>
        <v>-2.9902827795611981E-3</v>
      </c>
      <c r="K715" s="8">
        <f t="shared" si="43"/>
        <v>0.11158102748549092</v>
      </c>
    </row>
    <row r="716" spans="1:11" x14ac:dyDescent="0.25">
      <c r="A716" t="str">
        <f t="shared" si="44"/>
        <v>112019</v>
      </c>
      <c r="B716" s="1">
        <v>43796</v>
      </c>
      <c r="C716" t="s">
        <v>460</v>
      </c>
      <c r="D716">
        <v>12068.5</v>
      </c>
      <c r="E716">
        <v>12114.9</v>
      </c>
      <c r="F716">
        <v>12055.15</v>
      </c>
      <c r="G716">
        <v>12100.7</v>
      </c>
      <c r="H716">
        <v>0</v>
      </c>
      <c r="I716" s="8">
        <f t="shared" si="45"/>
        <v>5.2335579055799997E-3</v>
      </c>
      <c r="J716" s="8">
        <f t="shared" si="46"/>
        <v>5.2199104372391298E-3</v>
      </c>
      <c r="K716" s="8">
        <f t="shared" si="43"/>
        <v>9.4308568121289404E-2</v>
      </c>
    </row>
    <row r="717" spans="1:11" x14ac:dyDescent="0.25">
      <c r="A717" t="str">
        <f t="shared" si="44"/>
        <v>112019</v>
      </c>
      <c r="B717" s="1">
        <v>43797</v>
      </c>
      <c r="C717" t="s">
        <v>461</v>
      </c>
      <c r="D717">
        <v>12132.1</v>
      </c>
      <c r="E717">
        <v>12158.8</v>
      </c>
      <c r="F717">
        <v>12099.95</v>
      </c>
      <c r="G717">
        <v>12151.15</v>
      </c>
      <c r="H717">
        <v>0</v>
      </c>
      <c r="I717" s="8">
        <f t="shared" si="45"/>
        <v>4.1691802953547352E-3</v>
      </c>
      <c r="J717" s="8">
        <f t="shared" si="46"/>
        <v>4.1605133442242075E-3</v>
      </c>
      <c r="K717" s="8">
        <f t="shared" si="43"/>
        <v>9.4170827574097116E-2</v>
      </c>
    </row>
    <row r="718" spans="1:11" x14ac:dyDescent="0.25">
      <c r="A718" t="str">
        <f t="shared" si="44"/>
        <v>112019</v>
      </c>
      <c r="B718" s="1">
        <v>43798</v>
      </c>
      <c r="C718" t="s">
        <v>462</v>
      </c>
      <c r="D718">
        <v>12146.2</v>
      </c>
      <c r="E718">
        <v>12147.4</v>
      </c>
      <c r="F718">
        <v>12017.4</v>
      </c>
      <c r="G718">
        <v>12056.05</v>
      </c>
      <c r="H718">
        <v>0</v>
      </c>
      <c r="I718" s="8">
        <f t="shared" si="45"/>
        <v>-7.8264197215901499E-3</v>
      </c>
      <c r="J718" s="8">
        <f t="shared" si="46"/>
        <v>-7.8572068851349621E-3</v>
      </c>
      <c r="K718" s="8">
        <f t="shared" si="43"/>
        <v>9.1430459619232129E-2</v>
      </c>
    </row>
    <row r="719" spans="1:11" x14ac:dyDescent="0.25">
      <c r="A719" t="str">
        <f t="shared" si="44"/>
        <v>122019</v>
      </c>
      <c r="B719" s="1">
        <v>43801</v>
      </c>
      <c r="C719" s="10">
        <v>43508.645833333336</v>
      </c>
      <c r="D719">
        <v>12137.05</v>
      </c>
      <c r="E719">
        <v>12137.15</v>
      </c>
      <c r="F719">
        <v>12023.7</v>
      </c>
      <c r="G719">
        <v>12048.25</v>
      </c>
      <c r="H719">
        <v>0</v>
      </c>
      <c r="I719" s="8">
        <f t="shared" si="45"/>
        <v>-6.469780732494268E-4</v>
      </c>
      <c r="J719" s="8">
        <f t="shared" si="46"/>
        <v>-6.4718745387771397E-4</v>
      </c>
      <c r="K719" s="8">
        <f t="shared" si="43"/>
        <v>0.10046765251226231</v>
      </c>
    </row>
    <row r="720" spans="1:11" x14ac:dyDescent="0.25">
      <c r="A720" t="str">
        <f t="shared" si="44"/>
        <v>122019</v>
      </c>
      <c r="B720" s="1">
        <v>43802</v>
      </c>
      <c r="C720" s="10">
        <v>43536.645833333336</v>
      </c>
      <c r="D720">
        <v>12067.65</v>
      </c>
      <c r="E720">
        <v>12068.6</v>
      </c>
      <c r="F720">
        <v>11956.4</v>
      </c>
      <c r="G720">
        <v>11994.2</v>
      </c>
      <c r="H720">
        <v>0</v>
      </c>
      <c r="I720" s="8">
        <f t="shared" si="45"/>
        <v>-4.4861286908887132E-3</v>
      </c>
      <c r="J720" s="8">
        <f t="shared" si="46"/>
        <v>-4.4962215627974821E-3</v>
      </c>
      <c r="K720" s="8">
        <f t="shared" si="43"/>
        <v>8.8082008482072149E-2</v>
      </c>
    </row>
    <row r="721" spans="1:11" x14ac:dyDescent="0.25">
      <c r="A721" t="str">
        <f t="shared" si="44"/>
        <v>122019</v>
      </c>
      <c r="B721" s="1">
        <v>43803</v>
      </c>
      <c r="C721" s="10">
        <v>43567.645833333336</v>
      </c>
      <c r="D721">
        <v>11969.95</v>
      </c>
      <c r="E721">
        <v>12054.7</v>
      </c>
      <c r="F721">
        <v>11935.3</v>
      </c>
      <c r="G721">
        <v>12043.2</v>
      </c>
      <c r="H721">
        <v>0</v>
      </c>
      <c r="I721" s="8">
        <f t="shared" si="45"/>
        <v>4.0853078988176694E-3</v>
      </c>
      <c r="J721" s="8">
        <f t="shared" si="46"/>
        <v>4.0769856866699622E-3</v>
      </c>
      <c r="K721" s="8">
        <f t="shared" si="43"/>
        <v>0.1153279804406413</v>
      </c>
    </row>
    <row r="722" spans="1:11" x14ac:dyDescent="0.25">
      <c r="A722" t="str">
        <f t="shared" si="44"/>
        <v>122019</v>
      </c>
      <c r="B722" s="1">
        <v>43804</v>
      </c>
      <c r="C722" s="10">
        <v>43597.645833333336</v>
      </c>
      <c r="D722">
        <v>12071.25</v>
      </c>
      <c r="E722">
        <v>12081.2</v>
      </c>
      <c r="F722">
        <v>11998.75</v>
      </c>
      <c r="G722">
        <v>12018.4</v>
      </c>
      <c r="H722">
        <v>0</v>
      </c>
      <c r="I722" s="8">
        <f t="shared" si="45"/>
        <v>-2.0592533545902292E-3</v>
      </c>
      <c r="J722" s="8">
        <f t="shared" si="46"/>
        <v>-2.0613765320537055E-3</v>
      </c>
      <c r="K722" s="8">
        <f t="shared" si="43"/>
        <v>0.10823309189323771</v>
      </c>
    </row>
    <row r="723" spans="1:11" x14ac:dyDescent="0.25">
      <c r="A723" t="str">
        <f t="shared" si="44"/>
        <v>122019</v>
      </c>
      <c r="B723" s="1">
        <v>43805</v>
      </c>
      <c r="C723" s="10">
        <v>43628.645833333336</v>
      </c>
      <c r="D723">
        <v>12047.35</v>
      </c>
      <c r="E723">
        <v>12057.05</v>
      </c>
      <c r="F723">
        <v>11888.85</v>
      </c>
      <c r="G723">
        <v>11921.5</v>
      </c>
      <c r="H723">
        <v>0</v>
      </c>
      <c r="I723" s="8">
        <f t="shared" si="45"/>
        <v>-8.062637289489416E-3</v>
      </c>
      <c r="J723" s="8">
        <f t="shared" si="46"/>
        <v>-8.0953161197521266E-3</v>
      </c>
      <c r="K723" s="8">
        <f t="shared" si="43"/>
        <v>9.8968463942329832E-2</v>
      </c>
    </row>
    <row r="724" spans="1:11" x14ac:dyDescent="0.25">
      <c r="A724" t="str">
        <f t="shared" si="44"/>
        <v>122019</v>
      </c>
      <c r="B724" s="1">
        <v>43808</v>
      </c>
      <c r="C724" s="10">
        <v>43720.645833333336</v>
      </c>
      <c r="D724">
        <v>11939.1</v>
      </c>
      <c r="E724">
        <v>11981.95</v>
      </c>
      <c r="F724">
        <v>11888.05</v>
      </c>
      <c r="G724">
        <v>11937.5</v>
      </c>
      <c r="H724">
        <v>0</v>
      </c>
      <c r="I724" s="8">
        <f t="shared" si="45"/>
        <v>1.342112989137334E-3</v>
      </c>
      <c r="J724" s="8">
        <f t="shared" si="46"/>
        <v>1.3412131605239934E-3</v>
      </c>
      <c r="K724" s="8">
        <f t="shared" si="43"/>
        <v>9.056110796440775E-2</v>
      </c>
    </row>
    <row r="725" spans="1:11" x14ac:dyDescent="0.25">
      <c r="A725" t="str">
        <f t="shared" si="44"/>
        <v>122019</v>
      </c>
      <c r="B725" s="1">
        <v>43809</v>
      </c>
      <c r="C725" s="10">
        <v>43750.645833333336</v>
      </c>
      <c r="D725">
        <v>11950.5</v>
      </c>
      <c r="E725">
        <v>11953.2</v>
      </c>
      <c r="F725">
        <v>11844.7</v>
      </c>
      <c r="G725">
        <v>11856.8</v>
      </c>
      <c r="H725">
        <v>0</v>
      </c>
      <c r="I725" s="8">
        <f t="shared" si="45"/>
        <v>-6.7602094240838406E-3</v>
      </c>
      <c r="J725" s="8">
        <f t="shared" si="46"/>
        <v>-6.7831631462805233E-3</v>
      </c>
      <c r="K725" s="8">
        <f t="shared" si="43"/>
        <v>7.7592122184303447E-2</v>
      </c>
    </row>
    <row r="726" spans="1:11" x14ac:dyDescent="0.25">
      <c r="A726" t="str">
        <f t="shared" si="44"/>
        <v>122019</v>
      </c>
      <c r="B726" s="1">
        <v>43810</v>
      </c>
      <c r="C726" s="10">
        <v>43781.645833333336</v>
      </c>
      <c r="D726">
        <v>11867.35</v>
      </c>
      <c r="E726">
        <v>11923.2</v>
      </c>
      <c r="F726">
        <v>11832.3</v>
      </c>
      <c r="G726">
        <v>11910.15</v>
      </c>
      <c r="H726">
        <v>0</v>
      </c>
      <c r="I726" s="8">
        <f t="shared" si="45"/>
        <v>4.4995276971864229E-3</v>
      </c>
      <c r="J726" s="8">
        <f t="shared" si="46"/>
        <v>4.4894350857693126E-3</v>
      </c>
      <c r="K726" s="8">
        <f t="shared" si="43"/>
        <v>7.923829027610374E-2</v>
      </c>
    </row>
    <row r="727" spans="1:11" x14ac:dyDescent="0.25">
      <c r="A727" t="str">
        <f t="shared" si="44"/>
        <v>122019</v>
      </c>
      <c r="B727" s="1">
        <v>43811</v>
      </c>
      <c r="C727" s="10">
        <v>43811.645833333336</v>
      </c>
      <c r="D727">
        <v>11944.3</v>
      </c>
      <c r="E727">
        <v>12005.5</v>
      </c>
      <c r="F727">
        <v>11934</v>
      </c>
      <c r="G727">
        <v>11971.8</v>
      </c>
      <c r="H727">
        <v>0</v>
      </c>
      <c r="I727" s="8">
        <f t="shared" si="45"/>
        <v>5.1762572259794748E-3</v>
      </c>
      <c r="J727" s="8">
        <f t="shared" si="46"/>
        <v>5.1629064580655691E-3</v>
      </c>
      <c r="K727" s="8">
        <f t="shared" si="43"/>
        <v>9.0049896201332968E-2</v>
      </c>
    </row>
    <row r="728" spans="1:11" x14ac:dyDescent="0.25">
      <c r="A728" t="str">
        <f t="shared" si="44"/>
        <v>122019</v>
      </c>
      <c r="B728" s="1">
        <v>43812</v>
      </c>
      <c r="C728" t="s">
        <v>463</v>
      </c>
      <c r="D728">
        <v>12026.4</v>
      </c>
      <c r="E728">
        <v>12098.85</v>
      </c>
      <c r="F728">
        <v>12023.6</v>
      </c>
      <c r="G728">
        <v>12086.7</v>
      </c>
      <c r="H728">
        <v>0</v>
      </c>
      <c r="I728" s="8">
        <f t="shared" si="45"/>
        <v>9.5975542524935342E-3</v>
      </c>
      <c r="J728" s="8">
        <f t="shared" si="46"/>
        <v>9.5517903102901938E-3</v>
      </c>
      <c r="K728" s="8">
        <f t="shared" si="43"/>
        <v>9.1261206764235991E-2</v>
      </c>
    </row>
    <row r="729" spans="1:11" x14ac:dyDescent="0.25">
      <c r="A729" t="str">
        <f t="shared" si="44"/>
        <v>122019</v>
      </c>
      <c r="B729" s="1">
        <v>43815</v>
      </c>
      <c r="C729" t="s">
        <v>464</v>
      </c>
      <c r="D729">
        <v>12131.35</v>
      </c>
      <c r="E729">
        <v>12134.65</v>
      </c>
      <c r="F729">
        <v>12046.3</v>
      </c>
      <c r="G729">
        <v>12053.95</v>
      </c>
      <c r="H729">
        <v>0</v>
      </c>
      <c r="I729" s="8">
        <f t="shared" si="45"/>
        <v>-2.7095898797852014E-3</v>
      </c>
      <c r="J729" s="8">
        <f t="shared" si="46"/>
        <v>-2.7132674631074115E-3</v>
      </c>
      <c r="K729" s="8">
        <f t="shared" si="43"/>
        <v>9.5465079292952337E-2</v>
      </c>
    </row>
    <row r="730" spans="1:11" x14ac:dyDescent="0.25">
      <c r="A730" t="str">
        <f t="shared" si="44"/>
        <v>122019</v>
      </c>
      <c r="B730" s="1">
        <v>43816</v>
      </c>
      <c r="C730" t="s">
        <v>465</v>
      </c>
      <c r="D730">
        <v>12082.45</v>
      </c>
      <c r="E730">
        <v>12182.75</v>
      </c>
      <c r="F730">
        <v>12070.35</v>
      </c>
      <c r="G730">
        <v>12165</v>
      </c>
      <c r="H730">
        <v>0</v>
      </c>
      <c r="I730" s="8">
        <f t="shared" si="45"/>
        <v>9.2127476885168758E-3</v>
      </c>
      <c r="J730" s="8">
        <f t="shared" si="46"/>
        <v>9.1705691839000653E-3</v>
      </c>
      <c r="K730" s="8">
        <f t="shared" si="43"/>
        <v>0.12455627865700336</v>
      </c>
    </row>
    <row r="731" spans="1:11" x14ac:dyDescent="0.25">
      <c r="A731" t="str">
        <f t="shared" si="44"/>
        <v>122019</v>
      </c>
      <c r="B731" s="1">
        <v>43817</v>
      </c>
      <c r="C731" t="s">
        <v>466</v>
      </c>
      <c r="D731">
        <v>12197</v>
      </c>
      <c r="E731">
        <v>12237.7</v>
      </c>
      <c r="F731">
        <v>12163.45</v>
      </c>
      <c r="G731">
        <v>12221.65</v>
      </c>
      <c r="H731">
        <v>0</v>
      </c>
      <c r="I731" s="8">
        <f t="shared" si="45"/>
        <v>4.6568023016850812E-3</v>
      </c>
      <c r="J731" s="8">
        <f t="shared" si="46"/>
        <v>4.6459929428873644E-3</v>
      </c>
      <c r="K731" s="8">
        <f t="shared" si="43"/>
        <v>0.12739088523289666</v>
      </c>
    </row>
    <row r="732" spans="1:11" x14ac:dyDescent="0.25">
      <c r="A732" t="str">
        <f t="shared" si="44"/>
        <v>122019</v>
      </c>
      <c r="B732" s="1">
        <v>43818</v>
      </c>
      <c r="C732" t="s">
        <v>467</v>
      </c>
      <c r="D732">
        <v>12223.4</v>
      </c>
      <c r="E732">
        <v>12268.35</v>
      </c>
      <c r="F732">
        <v>12191.15</v>
      </c>
      <c r="G732">
        <v>12259.7</v>
      </c>
      <c r="H732">
        <v>0</v>
      </c>
      <c r="I732" s="8">
        <f t="shared" si="45"/>
        <v>3.1133275785184544E-3</v>
      </c>
      <c r="J732" s="8">
        <f t="shared" si="46"/>
        <v>3.1084912097463736E-3</v>
      </c>
      <c r="K732" s="8">
        <f t="shared" si="43"/>
        <v>0.14525259696584714</v>
      </c>
    </row>
    <row r="733" spans="1:11" x14ac:dyDescent="0.25">
      <c r="A733" t="str">
        <f t="shared" si="44"/>
        <v>122019</v>
      </c>
      <c r="B733" s="1">
        <v>43819</v>
      </c>
      <c r="C733" t="s">
        <v>468</v>
      </c>
      <c r="D733">
        <v>12266.45</v>
      </c>
      <c r="E733">
        <v>12293.9</v>
      </c>
      <c r="F733">
        <v>12252.75</v>
      </c>
      <c r="G733">
        <v>12271.8</v>
      </c>
      <c r="H733">
        <v>0</v>
      </c>
      <c r="I733" s="8">
        <f t="shared" si="45"/>
        <v>9.8697358010380043E-4</v>
      </c>
      <c r="J733" s="8">
        <f t="shared" si="46"/>
        <v>9.8648684191871439E-4</v>
      </c>
      <c r="K733" s="8">
        <f t="shared" si="43"/>
        <v>8.8485214028489745E-2</v>
      </c>
    </row>
    <row r="734" spans="1:11" x14ac:dyDescent="0.25">
      <c r="A734" t="str">
        <f t="shared" si="44"/>
        <v>122019</v>
      </c>
      <c r="B734" s="1">
        <v>43822</v>
      </c>
      <c r="C734" t="s">
        <v>469</v>
      </c>
      <c r="D734">
        <v>12235.45</v>
      </c>
      <c r="E734">
        <v>12287.15</v>
      </c>
      <c r="F734">
        <v>12213.25</v>
      </c>
      <c r="G734">
        <v>12262.75</v>
      </c>
      <c r="H734">
        <v>0</v>
      </c>
      <c r="I734" s="8">
        <f t="shared" si="45"/>
        <v>-7.3746312684364046E-4</v>
      </c>
      <c r="J734" s="8">
        <f t="shared" si="46"/>
        <v>-7.3773518653958673E-4</v>
      </c>
      <c r="K734" s="8">
        <f t="shared" si="43"/>
        <v>5.7115394562162747E-2</v>
      </c>
    </row>
    <row r="735" spans="1:11" x14ac:dyDescent="0.25">
      <c r="A735" t="str">
        <f t="shared" si="44"/>
        <v>122019</v>
      </c>
      <c r="B735" s="1">
        <v>43823</v>
      </c>
      <c r="C735" t="s">
        <v>470</v>
      </c>
      <c r="D735">
        <v>12269.25</v>
      </c>
      <c r="E735">
        <v>12283.7</v>
      </c>
      <c r="F735">
        <v>12202.1</v>
      </c>
      <c r="G735">
        <v>12214.55</v>
      </c>
      <c r="H735">
        <v>0</v>
      </c>
      <c r="I735" s="8">
        <f t="shared" si="45"/>
        <v>-3.930602841940134E-3</v>
      </c>
      <c r="J735" s="8">
        <f t="shared" si="46"/>
        <v>-3.9383479632830202E-3</v>
      </c>
      <c r="K735" s="8">
        <f t="shared" si="43"/>
        <v>5.4050672235549824E-2</v>
      </c>
    </row>
    <row r="736" spans="1:11" x14ac:dyDescent="0.25">
      <c r="A736" t="str">
        <f t="shared" si="44"/>
        <v>122019</v>
      </c>
      <c r="B736" s="1">
        <v>43825</v>
      </c>
      <c r="C736" t="s">
        <v>471</v>
      </c>
      <c r="D736">
        <v>12211.85</v>
      </c>
      <c r="E736">
        <v>12221.55</v>
      </c>
      <c r="F736">
        <v>12118.85</v>
      </c>
      <c r="G736">
        <v>12126.55</v>
      </c>
      <c r="H736">
        <v>0</v>
      </c>
      <c r="I736" s="8">
        <f t="shared" si="45"/>
        <v>-7.2045224752447234E-3</v>
      </c>
      <c r="J736" s="8">
        <f t="shared" si="46"/>
        <v>-7.2306003753267361E-3</v>
      </c>
      <c r="K736" s="8">
        <f t="shared" si="43"/>
        <v>5.999458051432649E-2</v>
      </c>
    </row>
    <row r="737" spans="1:11" x14ac:dyDescent="0.25">
      <c r="A737" t="str">
        <f t="shared" si="44"/>
        <v>122019</v>
      </c>
      <c r="B737" s="1">
        <v>43826</v>
      </c>
      <c r="C737" t="s">
        <v>472</v>
      </c>
      <c r="D737">
        <v>12172.9</v>
      </c>
      <c r="E737">
        <v>12258.45</v>
      </c>
      <c r="F737">
        <v>12157.9</v>
      </c>
      <c r="G737">
        <v>12245.8</v>
      </c>
      <c r="H737">
        <v>0</v>
      </c>
      <c r="I737" s="8">
        <f t="shared" si="45"/>
        <v>9.8337944427722146E-3</v>
      </c>
      <c r="J737" s="8">
        <f t="shared" si="46"/>
        <v>9.7857573540413682E-3</v>
      </c>
      <c r="K737" s="8">
        <f t="shared" si="43"/>
        <v>5.8299917035398163E-2</v>
      </c>
    </row>
    <row r="738" spans="1:11" x14ac:dyDescent="0.25">
      <c r="A738" t="str">
        <f t="shared" si="44"/>
        <v>122019</v>
      </c>
      <c r="B738" s="1">
        <v>43829</v>
      </c>
      <c r="C738" t="s">
        <v>473</v>
      </c>
      <c r="D738">
        <v>12274.9</v>
      </c>
      <c r="E738">
        <v>12286.45</v>
      </c>
      <c r="F738">
        <v>12213.8</v>
      </c>
      <c r="G738">
        <v>12255.85</v>
      </c>
      <c r="H738">
        <v>0</v>
      </c>
      <c r="I738" s="8">
        <f t="shared" si="45"/>
        <v>8.206895425371119E-4</v>
      </c>
      <c r="J738" s="8">
        <f t="shared" si="46"/>
        <v>8.2035296101453205E-4</v>
      </c>
      <c r="K738" s="8">
        <f t="shared" si="43"/>
        <v>6.4578193947395945E-2</v>
      </c>
    </row>
    <row r="739" spans="1:11" x14ac:dyDescent="0.25">
      <c r="A739" t="str">
        <f t="shared" si="44"/>
        <v>122019</v>
      </c>
      <c r="B739" s="1">
        <v>43830</v>
      </c>
      <c r="C739" t="s">
        <v>474</v>
      </c>
      <c r="D739">
        <v>12247.1</v>
      </c>
      <c r="E739">
        <v>12247.1</v>
      </c>
      <c r="F739">
        <v>12151.8</v>
      </c>
      <c r="G739">
        <v>12168.45</v>
      </c>
      <c r="H739">
        <v>0</v>
      </c>
      <c r="I739" s="8">
        <f t="shared" si="45"/>
        <v>-7.1312883235352675E-3</v>
      </c>
      <c r="J739" s="8">
        <f t="shared" si="46"/>
        <v>-7.1568374982592681E-3</v>
      </c>
      <c r="K739" s="8">
        <f t="shared" si="43"/>
        <v>6.0482201761304477E-2</v>
      </c>
    </row>
    <row r="740" spans="1:11" x14ac:dyDescent="0.25">
      <c r="A740" t="str">
        <f t="shared" si="44"/>
        <v>12020</v>
      </c>
      <c r="B740" s="1">
        <v>43831</v>
      </c>
      <c r="C740" s="10">
        <v>43831.645833333336</v>
      </c>
      <c r="D740">
        <v>12202.15</v>
      </c>
      <c r="E740">
        <v>12222.2</v>
      </c>
      <c r="F740">
        <v>12165.3</v>
      </c>
      <c r="G740">
        <v>12182.5</v>
      </c>
      <c r="H740">
        <v>0</v>
      </c>
      <c r="I740" s="8">
        <f t="shared" si="45"/>
        <v>1.1546252809520041E-3</v>
      </c>
      <c r="J740" s="8">
        <f t="shared" si="46"/>
        <v>1.1539592138382815E-3</v>
      </c>
      <c r="K740" s="8">
        <f t="shared" si="43"/>
        <v>7.2412609265926742E-2</v>
      </c>
    </row>
    <row r="741" spans="1:11" x14ac:dyDescent="0.25">
      <c r="A741" t="str">
        <f t="shared" si="44"/>
        <v>12020</v>
      </c>
      <c r="B741" s="1">
        <v>43832</v>
      </c>
      <c r="C741" s="10">
        <v>43862.645833333336</v>
      </c>
      <c r="D741">
        <v>12198.55</v>
      </c>
      <c r="E741">
        <v>12289.9</v>
      </c>
      <c r="F741">
        <v>12195.25</v>
      </c>
      <c r="G741">
        <v>12282.2</v>
      </c>
      <c r="H741">
        <v>0</v>
      </c>
      <c r="I741" s="8">
        <f t="shared" si="45"/>
        <v>8.1838703057666162E-3</v>
      </c>
      <c r="J741" s="8">
        <f t="shared" si="46"/>
        <v>8.1505640319356996E-3</v>
      </c>
      <c r="K741" s="8">
        <f t="shared" si="43"/>
        <v>8.5575393318013226E-2</v>
      </c>
    </row>
    <row r="742" spans="1:11" x14ac:dyDescent="0.25">
      <c r="A742" t="str">
        <f t="shared" si="44"/>
        <v>12020</v>
      </c>
      <c r="B742" s="1">
        <v>43833</v>
      </c>
      <c r="C742" s="10">
        <v>43891.645833333336</v>
      </c>
      <c r="D742">
        <v>12261.1</v>
      </c>
      <c r="E742">
        <v>12265.6</v>
      </c>
      <c r="F742">
        <v>12191.35</v>
      </c>
      <c r="G742">
        <v>12226.65</v>
      </c>
      <c r="H742">
        <v>0</v>
      </c>
      <c r="I742" s="8">
        <f t="shared" si="45"/>
        <v>-4.5228053606032326E-3</v>
      </c>
      <c r="J742" s="8">
        <f t="shared" si="46"/>
        <v>-4.5330641889106188E-3</v>
      </c>
      <c r="K742" s="8">
        <f t="shared" si="43"/>
        <v>9.4131859773149307E-2</v>
      </c>
    </row>
    <row r="743" spans="1:11" x14ac:dyDescent="0.25">
      <c r="A743" t="str">
        <f t="shared" si="44"/>
        <v>12020</v>
      </c>
      <c r="B743" s="1">
        <v>43836</v>
      </c>
      <c r="C743" s="10">
        <v>43983.645833333336</v>
      </c>
      <c r="D743">
        <v>12170.6</v>
      </c>
      <c r="E743">
        <v>12179.1</v>
      </c>
      <c r="F743">
        <v>11974.2</v>
      </c>
      <c r="G743">
        <v>11993.05</v>
      </c>
      <c r="H743">
        <v>0</v>
      </c>
      <c r="I743" s="8">
        <f t="shared" si="45"/>
        <v>-1.91058057603678E-2</v>
      </c>
      <c r="J743" s="8">
        <f t="shared" si="46"/>
        <v>-1.9290680239015083E-2</v>
      </c>
      <c r="K743" s="8">
        <f t="shared" si="43"/>
        <v>7.7891321541558867E-2</v>
      </c>
    </row>
    <row r="744" spans="1:11" x14ac:dyDescent="0.25">
      <c r="A744" t="str">
        <f t="shared" si="44"/>
        <v>12020</v>
      </c>
      <c r="B744" s="1">
        <v>43837</v>
      </c>
      <c r="C744" s="10">
        <v>44013.645833333336</v>
      </c>
      <c r="D744">
        <v>12079.1</v>
      </c>
      <c r="E744">
        <v>12152.15</v>
      </c>
      <c r="F744">
        <v>12005.35</v>
      </c>
      <c r="G744">
        <v>12052.95</v>
      </c>
      <c r="H744">
        <v>0</v>
      </c>
      <c r="I744" s="8">
        <f t="shared" si="45"/>
        <v>4.9945593489564288E-3</v>
      </c>
      <c r="J744" s="8">
        <f t="shared" si="46"/>
        <v>4.9821279132576477E-3</v>
      </c>
      <c r="K744" s="8">
        <f t="shared" si="43"/>
        <v>6.5378801941078368E-2</v>
      </c>
    </row>
    <row r="745" spans="1:11" x14ac:dyDescent="0.25">
      <c r="A745" t="str">
        <f t="shared" si="44"/>
        <v>12020</v>
      </c>
      <c r="B745" s="1">
        <v>43838</v>
      </c>
      <c r="C745" s="10">
        <v>44044.645833333336</v>
      </c>
      <c r="D745">
        <v>11939.1</v>
      </c>
      <c r="E745">
        <v>12044.95</v>
      </c>
      <c r="F745">
        <v>11929.6</v>
      </c>
      <c r="G745">
        <v>12025.35</v>
      </c>
      <c r="H745">
        <v>0</v>
      </c>
      <c r="I745" s="8">
        <f t="shared" si="45"/>
        <v>-2.2898958346296849E-3</v>
      </c>
      <c r="J745" s="8">
        <f t="shared" si="46"/>
        <v>-2.2925216554330287E-3</v>
      </c>
      <c r="K745" s="8">
        <f t="shared" si="43"/>
        <v>7.0390002269783869E-2</v>
      </c>
    </row>
    <row r="746" spans="1:11" x14ac:dyDescent="0.25">
      <c r="A746" t="str">
        <f t="shared" si="44"/>
        <v>12020</v>
      </c>
      <c r="B746" s="1">
        <v>43839</v>
      </c>
      <c r="C746" s="10">
        <v>44075.645833333336</v>
      </c>
      <c r="D746">
        <v>12153.15</v>
      </c>
      <c r="E746">
        <v>12224.05</v>
      </c>
      <c r="F746">
        <v>12132.55</v>
      </c>
      <c r="G746">
        <v>12215.9</v>
      </c>
      <c r="H746">
        <v>0</v>
      </c>
      <c r="I746" s="8">
        <f t="shared" si="45"/>
        <v>1.5845692640962472E-2</v>
      </c>
      <c r="J746" s="8">
        <f t="shared" si="46"/>
        <v>1.5721460299874462E-2</v>
      </c>
      <c r="K746" s="8">
        <f t="shared" si="43"/>
        <v>8.0570187659497305E-2</v>
      </c>
    </row>
    <row r="747" spans="1:11" x14ac:dyDescent="0.25">
      <c r="A747" t="str">
        <f t="shared" si="44"/>
        <v>12020</v>
      </c>
      <c r="B747" s="1">
        <v>43840</v>
      </c>
      <c r="C747" s="10">
        <v>44105.645833333336</v>
      </c>
      <c r="D747">
        <v>12271</v>
      </c>
      <c r="E747">
        <v>12311.2</v>
      </c>
      <c r="F747">
        <v>12213.2</v>
      </c>
      <c r="G747">
        <v>12256.8</v>
      </c>
      <c r="H747">
        <v>0</v>
      </c>
      <c r="I747" s="8">
        <f t="shared" si="45"/>
        <v>3.3480955148617042E-3</v>
      </c>
      <c r="J747" s="8">
        <f t="shared" si="46"/>
        <v>3.3425031221734377E-3</v>
      </c>
      <c r="K747" s="8">
        <f t="shared" si="43"/>
        <v>8.0736962301001247E-2</v>
      </c>
    </row>
    <row r="748" spans="1:11" x14ac:dyDescent="0.25">
      <c r="A748" t="str">
        <f t="shared" si="44"/>
        <v>12020</v>
      </c>
      <c r="B748" s="1">
        <v>43843</v>
      </c>
      <c r="C748" t="s">
        <v>475</v>
      </c>
      <c r="D748">
        <v>12296.7</v>
      </c>
      <c r="E748">
        <v>12337.75</v>
      </c>
      <c r="F748">
        <v>12285.8</v>
      </c>
      <c r="G748">
        <v>12329.55</v>
      </c>
      <c r="H748">
        <v>0</v>
      </c>
      <c r="I748" s="8">
        <f t="shared" si="45"/>
        <v>5.9354807127471876E-3</v>
      </c>
      <c r="J748" s="8">
        <f t="shared" si="46"/>
        <v>5.9179351404731514E-3</v>
      </c>
      <c r="K748" s="8">
        <f t="shared" si="43"/>
        <v>7.8861247954638891E-2</v>
      </c>
    </row>
    <row r="749" spans="1:11" x14ac:dyDescent="0.25">
      <c r="A749" t="str">
        <f t="shared" si="44"/>
        <v>12020</v>
      </c>
      <c r="B749" s="1">
        <v>43844</v>
      </c>
      <c r="C749" t="s">
        <v>476</v>
      </c>
      <c r="D749">
        <v>12333.1</v>
      </c>
      <c r="E749">
        <v>12374.25</v>
      </c>
      <c r="F749">
        <v>12308.7</v>
      </c>
      <c r="G749">
        <v>12362.3</v>
      </c>
      <c r="H749">
        <v>0</v>
      </c>
      <c r="I749" s="8">
        <f t="shared" si="45"/>
        <v>2.6562202189048811E-3</v>
      </c>
      <c r="J749" s="8">
        <f t="shared" si="46"/>
        <v>2.6526987005530004E-3</v>
      </c>
      <c r="K749" s="8">
        <f t="shared" si="43"/>
        <v>7.83583391486391E-2</v>
      </c>
    </row>
    <row r="750" spans="1:11" x14ac:dyDescent="0.25">
      <c r="A750" t="str">
        <f t="shared" si="44"/>
        <v>12020</v>
      </c>
      <c r="B750" s="1">
        <v>43845</v>
      </c>
      <c r="C750" t="s">
        <v>477</v>
      </c>
      <c r="D750">
        <v>12349.4</v>
      </c>
      <c r="E750">
        <v>12355.15</v>
      </c>
      <c r="F750">
        <v>12278.75</v>
      </c>
      <c r="G750">
        <v>12343.3</v>
      </c>
      <c r="H750">
        <v>0</v>
      </c>
      <c r="I750" s="8">
        <f t="shared" si="45"/>
        <v>-1.5369308300234863E-3</v>
      </c>
      <c r="J750" s="8">
        <f t="shared" si="46"/>
        <v>-1.5381131197652743E-3</v>
      </c>
      <c r="K750" s="8">
        <f t="shared" si="43"/>
        <v>6.5331187129682666E-2</v>
      </c>
    </row>
    <row r="751" spans="1:11" x14ac:dyDescent="0.25">
      <c r="A751" t="str">
        <f t="shared" si="44"/>
        <v>12020</v>
      </c>
      <c r="B751" s="1">
        <v>43846</v>
      </c>
      <c r="C751" t="s">
        <v>478</v>
      </c>
      <c r="D751">
        <v>12347.1</v>
      </c>
      <c r="E751">
        <v>12389.05</v>
      </c>
      <c r="F751">
        <v>12315.8</v>
      </c>
      <c r="G751">
        <v>12355.5</v>
      </c>
      <c r="H751">
        <v>0</v>
      </c>
      <c r="I751" s="8">
        <f t="shared" si="45"/>
        <v>9.8839046284227017E-4</v>
      </c>
      <c r="J751" s="8">
        <f t="shared" si="46"/>
        <v>9.8790232660840474E-4</v>
      </c>
      <c r="K751" s="8">
        <f t="shared" si="43"/>
        <v>5.9480271140513796E-2</v>
      </c>
    </row>
    <row r="752" spans="1:11" x14ac:dyDescent="0.25">
      <c r="A752" t="str">
        <f t="shared" si="44"/>
        <v>12020</v>
      </c>
      <c r="B752" s="1">
        <v>43847</v>
      </c>
      <c r="C752" t="s">
        <v>479</v>
      </c>
      <c r="D752">
        <v>12328.4</v>
      </c>
      <c r="E752">
        <v>12385.45</v>
      </c>
      <c r="F752">
        <v>12321.4</v>
      </c>
      <c r="G752">
        <v>12352.35</v>
      </c>
      <c r="H752">
        <v>0</v>
      </c>
      <c r="I752" s="8">
        <f t="shared" si="45"/>
        <v>-2.5494718951069029E-4</v>
      </c>
      <c r="J752" s="8">
        <f t="shared" si="46"/>
        <v>-2.5497969407015808E-4</v>
      </c>
      <c r="K752" s="8">
        <f t="shared" si="43"/>
        <v>6.5928281420564616E-2</v>
      </c>
    </row>
    <row r="753" spans="1:11" x14ac:dyDescent="0.25">
      <c r="A753" t="str">
        <f t="shared" si="44"/>
        <v>12020</v>
      </c>
      <c r="B753" s="1">
        <v>43850</v>
      </c>
      <c r="C753" t="s">
        <v>480</v>
      </c>
      <c r="D753">
        <v>12430.5</v>
      </c>
      <c r="E753">
        <v>12430.5</v>
      </c>
      <c r="F753">
        <v>12216.9</v>
      </c>
      <c r="G753">
        <v>12224.55</v>
      </c>
      <c r="H753">
        <v>0</v>
      </c>
      <c r="I753" s="8">
        <f t="shared" si="45"/>
        <v>-1.0346209425736941E-2</v>
      </c>
      <c r="J753" s="8">
        <f t="shared" si="46"/>
        <v>-1.0400103505719096E-2</v>
      </c>
      <c r="K753" s="8">
        <f t="shared" si="43"/>
        <v>5.3468170732758225E-2</v>
      </c>
    </row>
    <row r="754" spans="1:11" x14ac:dyDescent="0.25">
      <c r="A754" t="str">
        <f t="shared" si="44"/>
        <v>12020</v>
      </c>
      <c r="B754" s="1">
        <v>43851</v>
      </c>
      <c r="C754" t="s">
        <v>481</v>
      </c>
      <c r="D754">
        <v>12195.3</v>
      </c>
      <c r="E754">
        <v>12230.05</v>
      </c>
      <c r="F754">
        <v>12162.3</v>
      </c>
      <c r="G754">
        <v>12169.85</v>
      </c>
      <c r="H754">
        <v>0</v>
      </c>
      <c r="I754" s="8">
        <f t="shared" si="45"/>
        <v>-4.4746023371002863E-3</v>
      </c>
      <c r="J754" s="8">
        <f t="shared" si="46"/>
        <v>-4.4846433343133131E-3</v>
      </c>
      <c r="K754" s="8">
        <f t="shared" si="43"/>
        <v>5.0701051577366041E-2</v>
      </c>
    </row>
    <row r="755" spans="1:11" x14ac:dyDescent="0.25">
      <c r="A755" t="str">
        <f t="shared" si="44"/>
        <v>12020</v>
      </c>
      <c r="B755" s="1">
        <v>43852</v>
      </c>
      <c r="C755" t="s">
        <v>482</v>
      </c>
      <c r="D755">
        <v>12218.35</v>
      </c>
      <c r="E755">
        <v>12225.05</v>
      </c>
      <c r="F755">
        <v>12087.9</v>
      </c>
      <c r="G755">
        <v>12106.9</v>
      </c>
      <c r="H755">
        <v>0</v>
      </c>
      <c r="I755" s="8">
        <f t="shared" si="45"/>
        <v>-5.172619218807184E-3</v>
      </c>
      <c r="J755" s="8">
        <f t="shared" si="46"/>
        <v>-5.1860435261617648E-3</v>
      </c>
      <c r="K755" s="8">
        <f t="shared" si="43"/>
        <v>4.5148870414972508E-2</v>
      </c>
    </row>
    <row r="756" spans="1:11" x14ac:dyDescent="0.25">
      <c r="A756" t="str">
        <f t="shared" si="44"/>
        <v>12020</v>
      </c>
      <c r="B756" s="1">
        <v>43853</v>
      </c>
      <c r="C756" t="s">
        <v>483</v>
      </c>
      <c r="D756">
        <v>12123.75</v>
      </c>
      <c r="E756">
        <v>12189</v>
      </c>
      <c r="F756">
        <v>12094.1</v>
      </c>
      <c r="G756">
        <v>12180.35</v>
      </c>
      <c r="H756">
        <v>0</v>
      </c>
      <c r="I756" s="8">
        <f t="shared" si="45"/>
        <v>6.0667883603564565E-3</v>
      </c>
      <c r="J756" s="8">
        <f t="shared" si="46"/>
        <v>6.0484594940626527E-3</v>
      </c>
      <c r="K756" s="8">
        <f t="shared" si="43"/>
        <v>4.7578297347157461E-2</v>
      </c>
    </row>
    <row r="757" spans="1:11" x14ac:dyDescent="0.25">
      <c r="A757" t="str">
        <f t="shared" si="44"/>
        <v>12020</v>
      </c>
      <c r="B757" s="1">
        <v>43854</v>
      </c>
      <c r="C757" t="s">
        <v>484</v>
      </c>
      <c r="D757">
        <v>12174.55</v>
      </c>
      <c r="E757">
        <v>12272.15</v>
      </c>
      <c r="F757">
        <v>12149.65</v>
      </c>
      <c r="G757">
        <v>12248.25</v>
      </c>
      <c r="H757">
        <v>0</v>
      </c>
      <c r="I757" s="8">
        <f t="shared" si="45"/>
        <v>5.5745524553891812E-3</v>
      </c>
      <c r="J757" s="8">
        <f t="shared" si="46"/>
        <v>5.5590721417507587E-3</v>
      </c>
      <c r="K757" s="8">
        <f t="shared" si="43"/>
        <v>3.9145318723831979E-2</v>
      </c>
    </row>
    <row r="758" spans="1:11" x14ac:dyDescent="0.25">
      <c r="A758" t="str">
        <f t="shared" si="44"/>
        <v>12020</v>
      </c>
      <c r="B758" s="1">
        <v>43857</v>
      </c>
      <c r="C758" t="s">
        <v>485</v>
      </c>
      <c r="D758">
        <v>12197.1</v>
      </c>
      <c r="E758">
        <v>12216.6</v>
      </c>
      <c r="F758">
        <v>12107</v>
      </c>
      <c r="G758">
        <v>12119</v>
      </c>
      <c r="H758">
        <v>0</v>
      </c>
      <c r="I758" s="8">
        <f t="shared" si="45"/>
        <v>-1.0552527912150667E-2</v>
      </c>
      <c r="J758" s="8">
        <f t="shared" si="46"/>
        <v>-1.0608600656474901E-2</v>
      </c>
      <c r="K758" s="8">
        <f t="shared" si="43"/>
        <v>2.320986820442239E-2</v>
      </c>
    </row>
    <row r="759" spans="1:11" x14ac:dyDescent="0.25">
      <c r="A759" t="str">
        <f t="shared" si="44"/>
        <v>12020</v>
      </c>
      <c r="B759" s="1">
        <v>43858</v>
      </c>
      <c r="C759" t="s">
        <v>486</v>
      </c>
      <c r="D759">
        <v>12148.1</v>
      </c>
      <c r="E759">
        <v>12163.55</v>
      </c>
      <c r="F759">
        <v>12024.5</v>
      </c>
      <c r="G759">
        <v>12055.8</v>
      </c>
      <c r="H759">
        <v>0</v>
      </c>
      <c r="I759" s="8">
        <f t="shared" si="45"/>
        <v>-5.2149517286905755E-3</v>
      </c>
      <c r="J759" s="8">
        <f t="shared" si="46"/>
        <v>-5.2285970499251228E-3</v>
      </c>
      <c r="K759" s="8">
        <f t="shared" si="43"/>
        <v>1.5015849361605271E-2</v>
      </c>
    </row>
    <row r="760" spans="1:11" x14ac:dyDescent="0.25">
      <c r="A760" t="str">
        <f t="shared" si="44"/>
        <v>12020</v>
      </c>
      <c r="B760" s="1">
        <v>43859</v>
      </c>
      <c r="C760" t="s">
        <v>487</v>
      </c>
      <c r="D760">
        <v>12114.9</v>
      </c>
      <c r="E760">
        <v>12169.6</v>
      </c>
      <c r="F760">
        <v>12103.8</v>
      </c>
      <c r="G760">
        <v>12129.5</v>
      </c>
      <c r="H760">
        <v>0</v>
      </c>
      <c r="I760" s="8">
        <f t="shared" si="45"/>
        <v>6.1132401002008674E-3</v>
      </c>
      <c r="J760" s="8">
        <f t="shared" si="46"/>
        <v>6.0946300545449581E-3</v>
      </c>
      <c r="K760" s="8">
        <f t="shared" si="43"/>
        <v>2.0091500849410471E-2</v>
      </c>
    </row>
    <row r="761" spans="1:11" x14ac:dyDescent="0.25">
      <c r="A761" t="str">
        <f t="shared" si="44"/>
        <v>12020</v>
      </c>
      <c r="B761" s="1">
        <v>43860</v>
      </c>
      <c r="C761" t="s">
        <v>488</v>
      </c>
      <c r="D761">
        <v>12147.75</v>
      </c>
      <c r="E761">
        <v>12150.3</v>
      </c>
      <c r="F761">
        <v>12010.6</v>
      </c>
      <c r="G761">
        <v>12035.8</v>
      </c>
      <c r="H761">
        <v>0</v>
      </c>
      <c r="I761" s="8">
        <f t="shared" si="45"/>
        <v>-7.7249680530937503E-3</v>
      </c>
      <c r="J761" s="8">
        <f t="shared" si="46"/>
        <v>-7.7549601774502333E-3</v>
      </c>
      <c r="K761" s="8">
        <f t="shared" si="43"/>
        <v>7.913711237469867E-3</v>
      </c>
    </row>
    <row r="762" spans="1:11" x14ac:dyDescent="0.25">
      <c r="A762" t="str">
        <f t="shared" si="44"/>
        <v>12020</v>
      </c>
      <c r="B762" s="1">
        <v>43861</v>
      </c>
      <c r="C762" t="s">
        <v>489</v>
      </c>
      <c r="D762">
        <v>12100.4</v>
      </c>
      <c r="E762">
        <v>12103.55</v>
      </c>
      <c r="F762">
        <v>11945.85</v>
      </c>
      <c r="G762">
        <v>11962.1</v>
      </c>
      <c r="H762">
        <v>0</v>
      </c>
      <c r="I762" s="8">
        <f t="shared" si="45"/>
        <v>-6.1233985277254765E-3</v>
      </c>
      <c r="J762" s="8">
        <f t="shared" si="46"/>
        <v>-6.1422234200450227E-3</v>
      </c>
      <c r="K762" s="8">
        <f t="shared" si="43"/>
        <v>3.7676635451280305E-3</v>
      </c>
    </row>
    <row r="763" spans="1:11" x14ac:dyDescent="0.25">
      <c r="A763" t="str">
        <f t="shared" si="44"/>
        <v>22020</v>
      </c>
      <c r="B763" s="1">
        <v>43862</v>
      </c>
      <c r="C763" s="10">
        <v>43832.708333333336</v>
      </c>
      <c r="D763">
        <v>11939</v>
      </c>
      <c r="E763">
        <v>12017.35</v>
      </c>
      <c r="F763">
        <v>11633.3</v>
      </c>
      <c r="G763">
        <v>11641.25</v>
      </c>
      <c r="H763">
        <v>0</v>
      </c>
      <c r="I763" s="8">
        <f t="shared" si="45"/>
        <v>-2.682221349094227E-2</v>
      </c>
      <c r="J763" s="8">
        <f t="shared" si="46"/>
        <v>-2.7188493539744316E-2</v>
      </c>
      <c r="K763" s="8">
        <f t="shared" si="43"/>
        <v>-2.7143460039027012E-2</v>
      </c>
    </row>
    <row r="764" spans="1:11" x14ac:dyDescent="0.25">
      <c r="A764" t="str">
        <f t="shared" si="44"/>
        <v>22020</v>
      </c>
      <c r="B764" s="1">
        <v>43864</v>
      </c>
      <c r="C764" s="10">
        <v>43892.645833333336</v>
      </c>
      <c r="D764">
        <v>11627.45</v>
      </c>
      <c r="E764">
        <v>11749.85</v>
      </c>
      <c r="F764">
        <v>11614.5</v>
      </c>
      <c r="G764">
        <v>11707.9</v>
      </c>
      <c r="H764">
        <v>0</v>
      </c>
      <c r="I764" s="8">
        <f t="shared" si="45"/>
        <v>5.7253301836142079E-3</v>
      </c>
      <c r="J764" s="8">
        <f t="shared" si="46"/>
        <v>5.7090027710009726E-3</v>
      </c>
      <c r="K764" s="8">
        <f t="shared" si="43"/>
        <v>-2.5320407424211488E-2</v>
      </c>
    </row>
    <row r="765" spans="1:11" x14ac:dyDescent="0.25">
      <c r="A765" t="str">
        <f t="shared" si="44"/>
        <v>22020</v>
      </c>
      <c r="B765" s="1">
        <v>43865</v>
      </c>
      <c r="C765" s="10">
        <v>43923.645833333336</v>
      </c>
      <c r="D765">
        <v>11786.25</v>
      </c>
      <c r="E765">
        <v>11986.15</v>
      </c>
      <c r="F765">
        <v>11783.4</v>
      </c>
      <c r="G765">
        <v>11979.65</v>
      </c>
      <c r="H765">
        <v>0</v>
      </c>
      <c r="I765" s="8">
        <f t="shared" si="45"/>
        <v>2.3210823461081942E-2</v>
      </c>
      <c r="J765" s="8">
        <f t="shared" si="46"/>
        <v>2.2945549276863344E-2</v>
      </c>
      <c r="K765" s="8">
        <f t="shared" si="43"/>
        <v>6.0042911787305808E-3</v>
      </c>
    </row>
    <row r="766" spans="1:11" x14ac:dyDescent="0.25">
      <c r="A766" t="str">
        <f t="shared" si="44"/>
        <v>22020</v>
      </c>
      <c r="B766" s="1">
        <v>43866</v>
      </c>
      <c r="C766" s="10">
        <v>43953.645833333336</v>
      </c>
      <c r="D766">
        <v>12005.85</v>
      </c>
      <c r="E766">
        <v>12098.15</v>
      </c>
      <c r="F766">
        <v>11953.35</v>
      </c>
      <c r="G766">
        <v>12089.15</v>
      </c>
      <c r="H766">
        <v>0</v>
      </c>
      <c r="I766" s="8">
        <f t="shared" si="45"/>
        <v>9.1405007658822424E-3</v>
      </c>
      <c r="J766" s="8">
        <f t="shared" si="46"/>
        <v>9.0989792154732661E-3</v>
      </c>
      <c r="K766" s="8">
        <f t="shared" si="43"/>
        <v>1.4748036882682891E-2</v>
      </c>
    </row>
    <row r="767" spans="1:11" x14ac:dyDescent="0.25">
      <c r="A767" t="str">
        <f t="shared" si="44"/>
        <v>22020</v>
      </c>
      <c r="B767" s="1">
        <v>43867</v>
      </c>
      <c r="C767" s="10">
        <v>43984.645833333336</v>
      </c>
      <c r="D767">
        <v>12120</v>
      </c>
      <c r="E767">
        <v>12160.6</v>
      </c>
      <c r="F767">
        <v>12084.65</v>
      </c>
      <c r="G767">
        <v>12137.95</v>
      </c>
      <c r="H767">
        <v>0</v>
      </c>
      <c r="I767" s="8">
        <f t="shared" si="45"/>
        <v>4.0366775166162938E-3</v>
      </c>
      <c r="J767" s="8">
        <f t="shared" si="46"/>
        <v>4.0285519933345231E-3</v>
      </c>
      <c r="K767" s="8">
        <f t="shared" si="43"/>
        <v>2.5125734241519426E-2</v>
      </c>
    </row>
    <row r="768" spans="1:11" x14ac:dyDescent="0.25">
      <c r="A768" t="str">
        <f t="shared" si="44"/>
        <v>22020</v>
      </c>
      <c r="B768" s="1">
        <v>43868</v>
      </c>
      <c r="C768" s="10">
        <v>44014.645833333336</v>
      </c>
      <c r="D768">
        <v>12151.15</v>
      </c>
      <c r="E768">
        <v>12154.7</v>
      </c>
      <c r="F768">
        <v>12073.95</v>
      </c>
      <c r="G768">
        <v>12098.35</v>
      </c>
      <c r="H768">
        <v>0</v>
      </c>
      <c r="I768" s="8">
        <f t="shared" si="45"/>
        <v>-3.2624949023517535E-3</v>
      </c>
      <c r="J768" s="8">
        <f t="shared" si="46"/>
        <v>-3.2678284424366099E-3</v>
      </c>
      <c r="K768" s="8">
        <f t="shared" ref="K768:K831" si="47">+G768/G707-1</f>
        <v>1.9057285568686355E-2</v>
      </c>
    </row>
    <row r="769" spans="1:11" x14ac:dyDescent="0.25">
      <c r="A769" t="str">
        <f t="shared" si="44"/>
        <v>22020</v>
      </c>
      <c r="B769" s="1">
        <v>43871</v>
      </c>
      <c r="C769" s="10">
        <v>44106.645833333336</v>
      </c>
      <c r="D769">
        <v>12102.35</v>
      </c>
      <c r="E769">
        <v>12103.55</v>
      </c>
      <c r="F769">
        <v>11990.75</v>
      </c>
      <c r="G769">
        <v>12031.5</v>
      </c>
      <c r="H769">
        <v>0</v>
      </c>
      <c r="I769" s="8">
        <f t="shared" si="45"/>
        <v>-5.525546872094167E-3</v>
      </c>
      <c r="J769" s="8">
        <f t="shared" si="46"/>
        <v>-5.5408691750139499E-3</v>
      </c>
      <c r="K769" s="8">
        <f t="shared" si="47"/>
        <v>1.1437146135707232E-2</v>
      </c>
    </row>
    <row r="770" spans="1:11" x14ac:dyDescent="0.25">
      <c r="A770" t="str">
        <f t="shared" si="44"/>
        <v>22020</v>
      </c>
      <c r="B770" s="1">
        <v>43872</v>
      </c>
      <c r="C770" s="10">
        <v>44137.645833333336</v>
      </c>
      <c r="D770">
        <v>12108.4</v>
      </c>
      <c r="E770">
        <v>12172.3</v>
      </c>
      <c r="F770">
        <v>12099</v>
      </c>
      <c r="G770">
        <v>12107.9</v>
      </c>
      <c r="H770">
        <v>0</v>
      </c>
      <c r="I770" s="8">
        <f t="shared" si="45"/>
        <v>6.3499979221210978E-3</v>
      </c>
      <c r="J770" s="8">
        <f t="shared" si="46"/>
        <v>6.3299216301020656E-3</v>
      </c>
      <c r="K770" s="8">
        <f t="shared" si="47"/>
        <v>1.8797593504144006E-2</v>
      </c>
    </row>
    <row r="771" spans="1:11" x14ac:dyDescent="0.25">
      <c r="A771" t="str">
        <f t="shared" ref="A771:A834" si="48">+MONTH(B771)&amp;YEAR(B771)</f>
        <v>22020</v>
      </c>
      <c r="B771" s="1">
        <v>43873</v>
      </c>
      <c r="C771" s="10">
        <v>44167.645833333336</v>
      </c>
      <c r="D771">
        <v>12151</v>
      </c>
      <c r="E771">
        <v>12231.75</v>
      </c>
      <c r="F771">
        <v>12144.3</v>
      </c>
      <c r="G771">
        <v>12201.2</v>
      </c>
      <c r="H771">
        <v>0</v>
      </c>
      <c r="I771" s="8">
        <f t="shared" si="45"/>
        <v>7.7057127990816099E-3</v>
      </c>
      <c r="J771" s="8">
        <f t="shared" si="46"/>
        <v>7.6761754348025363E-3</v>
      </c>
      <c r="K771" s="8">
        <f t="shared" si="47"/>
        <v>2.186748854699716E-2</v>
      </c>
    </row>
    <row r="772" spans="1:11" x14ac:dyDescent="0.25">
      <c r="A772" t="str">
        <f t="shared" si="48"/>
        <v>22020</v>
      </c>
      <c r="B772" s="1">
        <v>43874</v>
      </c>
      <c r="C772" t="s">
        <v>490</v>
      </c>
      <c r="D772">
        <v>12219.55</v>
      </c>
      <c r="E772">
        <v>12225.65</v>
      </c>
      <c r="F772">
        <v>12139.8</v>
      </c>
      <c r="G772">
        <v>12174.65</v>
      </c>
      <c r="H772">
        <v>0</v>
      </c>
      <c r="I772" s="8">
        <f t="shared" ref="I772:I835" si="49">+G772/G771-1</f>
        <v>-2.1760154738879045E-3</v>
      </c>
      <c r="J772" s="8">
        <f t="shared" ref="J772:J835" si="50">+LN(1+I772)</f>
        <v>-2.1783864356833328E-3</v>
      </c>
      <c r="K772" s="8">
        <f t="shared" si="47"/>
        <v>1.463026393646194E-2</v>
      </c>
    </row>
    <row r="773" spans="1:11" x14ac:dyDescent="0.25">
      <c r="A773" t="str">
        <f t="shared" si="48"/>
        <v>22020</v>
      </c>
      <c r="B773" s="1">
        <v>43875</v>
      </c>
      <c r="C773" t="s">
        <v>491</v>
      </c>
      <c r="D773">
        <v>12190.15</v>
      </c>
      <c r="E773">
        <v>12246.7</v>
      </c>
      <c r="F773">
        <v>12091.2</v>
      </c>
      <c r="G773">
        <v>12113.45</v>
      </c>
      <c r="H773">
        <v>0</v>
      </c>
      <c r="I773" s="8">
        <f t="shared" si="49"/>
        <v>-5.0268385538803084E-3</v>
      </c>
      <c r="J773" s="8">
        <f t="shared" si="50"/>
        <v>-5.0395156083187786E-3</v>
      </c>
      <c r="K773" s="8">
        <f t="shared" si="47"/>
        <v>1.2119414458072963E-2</v>
      </c>
    </row>
    <row r="774" spans="1:11" x14ac:dyDescent="0.25">
      <c r="A774" t="str">
        <f t="shared" si="48"/>
        <v>22020</v>
      </c>
      <c r="B774" s="1">
        <v>43878</v>
      </c>
      <c r="C774" t="s">
        <v>492</v>
      </c>
      <c r="D774">
        <v>12131.8</v>
      </c>
      <c r="E774">
        <v>12159.6</v>
      </c>
      <c r="F774">
        <v>12037</v>
      </c>
      <c r="G774">
        <v>12045.8</v>
      </c>
      <c r="H774">
        <v>0</v>
      </c>
      <c r="I774" s="8">
        <f t="shared" si="49"/>
        <v>-5.5847013030970727E-3</v>
      </c>
      <c r="J774" s="8">
        <f t="shared" si="50"/>
        <v>-5.6003540519067732E-3</v>
      </c>
      <c r="K774" s="8">
        <f t="shared" si="47"/>
        <v>1.102867118780626E-2</v>
      </c>
    </row>
    <row r="775" spans="1:11" x14ac:dyDescent="0.25">
      <c r="A775" t="str">
        <f t="shared" si="48"/>
        <v>22020</v>
      </c>
      <c r="B775" s="1">
        <v>43879</v>
      </c>
      <c r="C775" t="s">
        <v>493</v>
      </c>
      <c r="D775">
        <v>12028.25</v>
      </c>
      <c r="E775">
        <v>12030.75</v>
      </c>
      <c r="F775">
        <v>11908.05</v>
      </c>
      <c r="G775">
        <v>11992.5</v>
      </c>
      <c r="H775">
        <v>0</v>
      </c>
      <c r="I775" s="8">
        <f t="shared" si="49"/>
        <v>-4.4247787610618428E-3</v>
      </c>
      <c r="J775" s="8">
        <f t="shared" si="50"/>
        <v>-4.4345970678656412E-3</v>
      </c>
      <c r="K775" s="8">
        <f t="shared" si="47"/>
        <v>-6.7294751009421283E-3</v>
      </c>
    </row>
    <row r="776" spans="1:11" x14ac:dyDescent="0.25">
      <c r="A776" t="str">
        <f t="shared" si="48"/>
        <v>22020</v>
      </c>
      <c r="B776" s="1">
        <v>43880</v>
      </c>
      <c r="C776" t="s">
        <v>494</v>
      </c>
      <c r="D776">
        <v>12090.6</v>
      </c>
      <c r="E776">
        <v>12134.7</v>
      </c>
      <c r="F776">
        <v>12042.1</v>
      </c>
      <c r="G776">
        <v>12125.9</v>
      </c>
      <c r="H776">
        <v>0</v>
      </c>
      <c r="I776" s="8">
        <f t="shared" si="49"/>
        <v>1.1123618928496892E-2</v>
      </c>
      <c r="J776" s="8">
        <f t="shared" si="50"/>
        <v>1.1062206478915673E-2</v>
      </c>
      <c r="K776" s="8">
        <f t="shared" si="47"/>
        <v>7.3269810678118219E-3</v>
      </c>
    </row>
    <row r="777" spans="1:11" x14ac:dyDescent="0.25">
      <c r="A777" t="str">
        <f t="shared" si="48"/>
        <v>22020</v>
      </c>
      <c r="B777" s="1">
        <v>43881</v>
      </c>
      <c r="C777" t="s">
        <v>495</v>
      </c>
      <c r="D777">
        <v>12119</v>
      </c>
      <c r="E777">
        <v>12152</v>
      </c>
      <c r="F777">
        <v>12071.45</v>
      </c>
      <c r="G777">
        <v>12080.85</v>
      </c>
      <c r="H777">
        <v>0</v>
      </c>
      <c r="I777" s="8">
        <f t="shared" si="49"/>
        <v>-3.7151881509825957E-3</v>
      </c>
      <c r="J777" s="8">
        <f t="shared" si="50"/>
        <v>-3.7221066033650981E-3</v>
      </c>
      <c r="K777" s="8">
        <f t="shared" si="47"/>
        <v>-1.6404009685390131E-3</v>
      </c>
    </row>
    <row r="778" spans="1:11" x14ac:dyDescent="0.25">
      <c r="A778" t="str">
        <f t="shared" si="48"/>
        <v>22020</v>
      </c>
      <c r="B778" s="1">
        <v>43885</v>
      </c>
      <c r="C778" t="s">
        <v>496</v>
      </c>
      <c r="D778">
        <v>12012.55</v>
      </c>
      <c r="E778">
        <v>12012.55</v>
      </c>
      <c r="F778">
        <v>11813.4</v>
      </c>
      <c r="G778">
        <v>11829.4</v>
      </c>
      <c r="H778">
        <v>0</v>
      </c>
      <c r="I778" s="8">
        <f t="shared" si="49"/>
        <v>-2.0813932794463974E-2</v>
      </c>
      <c r="J778" s="8">
        <f t="shared" si="50"/>
        <v>-2.103359607782139E-2</v>
      </c>
      <c r="K778" s="8">
        <f t="shared" si="47"/>
        <v>-2.6478975241026603E-2</v>
      </c>
    </row>
    <row r="779" spans="1:11" x14ac:dyDescent="0.25">
      <c r="A779" t="str">
        <f t="shared" si="48"/>
        <v>22020</v>
      </c>
      <c r="B779" s="1">
        <v>43886</v>
      </c>
      <c r="C779" t="s">
        <v>497</v>
      </c>
      <c r="D779">
        <v>11877.5</v>
      </c>
      <c r="E779">
        <v>11883.05</v>
      </c>
      <c r="F779">
        <v>11779.9</v>
      </c>
      <c r="G779">
        <v>11797.9</v>
      </c>
      <c r="H779">
        <v>0</v>
      </c>
      <c r="I779" s="8">
        <f t="shared" si="49"/>
        <v>-2.6628569496339738E-3</v>
      </c>
      <c r="J779" s="8">
        <f t="shared" si="50"/>
        <v>-2.6664086597328229E-3</v>
      </c>
      <c r="K779" s="8">
        <f t="shared" si="47"/>
        <v>-2.1412485847354668E-2</v>
      </c>
    </row>
    <row r="780" spans="1:11" x14ac:dyDescent="0.25">
      <c r="A780" t="str">
        <f t="shared" si="48"/>
        <v>22020</v>
      </c>
      <c r="B780" s="1">
        <v>43887</v>
      </c>
      <c r="C780" t="s">
        <v>498</v>
      </c>
      <c r="D780">
        <v>11738.55</v>
      </c>
      <c r="E780">
        <v>11783.25</v>
      </c>
      <c r="F780">
        <v>11639.6</v>
      </c>
      <c r="G780">
        <v>11678.5</v>
      </c>
      <c r="H780">
        <v>0</v>
      </c>
      <c r="I780" s="8">
        <f t="shared" si="49"/>
        <v>-1.0120445163969816E-2</v>
      </c>
      <c r="J780" s="8">
        <f t="shared" si="50"/>
        <v>-1.0172005036684025E-2</v>
      </c>
      <c r="K780" s="8">
        <f t="shared" si="47"/>
        <v>-3.0689104226754971E-2</v>
      </c>
    </row>
    <row r="781" spans="1:11" x14ac:dyDescent="0.25">
      <c r="A781" t="str">
        <f t="shared" si="48"/>
        <v>22020</v>
      </c>
      <c r="B781" s="1">
        <v>43888</v>
      </c>
      <c r="C781" t="s">
        <v>499</v>
      </c>
      <c r="D781">
        <v>11661.25</v>
      </c>
      <c r="E781">
        <v>11663.85</v>
      </c>
      <c r="F781">
        <v>11536.7</v>
      </c>
      <c r="G781">
        <v>11633.3</v>
      </c>
      <c r="H781">
        <v>0</v>
      </c>
      <c r="I781" s="8">
        <f t="shared" si="49"/>
        <v>-3.8703600633643864E-3</v>
      </c>
      <c r="J781" s="8">
        <f t="shared" si="50"/>
        <v>-3.877869288740577E-3</v>
      </c>
      <c r="K781" s="8">
        <f t="shared" si="47"/>
        <v>-3.0089543279251729E-2</v>
      </c>
    </row>
    <row r="782" spans="1:11" x14ac:dyDescent="0.25">
      <c r="A782" t="str">
        <f t="shared" si="48"/>
        <v>22020</v>
      </c>
      <c r="B782" s="1">
        <v>43889</v>
      </c>
      <c r="C782" t="s">
        <v>500</v>
      </c>
      <c r="D782">
        <v>11382</v>
      </c>
      <c r="E782">
        <v>11384.8</v>
      </c>
      <c r="F782">
        <v>11175.05</v>
      </c>
      <c r="G782">
        <v>11201.75</v>
      </c>
      <c r="H782">
        <v>0</v>
      </c>
      <c r="I782" s="8">
        <f t="shared" si="49"/>
        <v>-3.709609483121723E-2</v>
      </c>
      <c r="J782" s="8">
        <f t="shared" si="50"/>
        <v>-3.7801659111364752E-2</v>
      </c>
      <c r="K782" s="8">
        <f t="shared" si="47"/>
        <v>-6.9869303839511177E-2</v>
      </c>
    </row>
    <row r="783" spans="1:11" x14ac:dyDescent="0.25">
      <c r="A783" t="str">
        <f t="shared" si="48"/>
        <v>32020</v>
      </c>
      <c r="B783" s="1">
        <v>43892</v>
      </c>
      <c r="C783" s="10">
        <v>43864.645833333336</v>
      </c>
      <c r="D783">
        <v>11387.35</v>
      </c>
      <c r="E783">
        <v>11433</v>
      </c>
      <c r="F783">
        <v>11036.25</v>
      </c>
      <c r="G783">
        <v>11132.75</v>
      </c>
      <c r="H783">
        <v>0</v>
      </c>
      <c r="I783" s="8">
        <f t="shared" si="49"/>
        <v>-6.1597518244916882E-3</v>
      </c>
      <c r="J783" s="8">
        <f t="shared" si="50"/>
        <v>-6.1788013630017435E-3</v>
      </c>
      <c r="K783" s="8">
        <f t="shared" si="47"/>
        <v>-7.3691173533914633E-2</v>
      </c>
    </row>
    <row r="784" spans="1:11" x14ac:dyDescent="0.25">
      <c r="A784" t="str">
        <f t="shared" si="48"/>
        <v>32020</v>
      </c>
      <c r="B784" s="1">
        <v>43893</v>
      </c>
      <c r="C784" s="10">
        <v>43893.645833333336</v>
      </c>
      <c r="D784">
        <v>11217.55</v>
      </c>
      <c r="E784">
        <v>11342.25</v>
      </c>
      <c r="F784">
        <v>11152.55</v>
      </c>
      <c r="G784">
        <v>11303.3</v>
      </c>
      <c r="H784">
        <v>0</v>
      </c>
      <c r="I784" s="8">
        <f t="shared" si="49"/>
        <v>1.5319664952504919E-2</v>
      </c>
      <c r="J784" s="8">
        <f t="shared" si="50"/>
        <v>1.5203503750200955E-2</v>
      </c>
      <c r="K784" s="8">
        <f t="shared" si="47"/>
        <v>-5.18558906177915E-2</v>
      </c>
    </row>
    <row r="785" spans="1:11" x14ac:dyDescent="0.25">
      <c r="A785" t="str">
        <f t="shared" si="48"/>
        <v>32020</v>
      </c>
      <c r="B785" s="1">
        <v>43894</v>
      </c>
      <c r="C785" s="10">
        <v>43924.645833333336</v>
      </c>
      <c r="D785">
        <v>11351.35</v>
      </c>
      <c r="E785">
        <v>11356.6</v>
      </c>
      <c r="F785">
        <v>11082.15</v>
      </c>
      <c r="G785">
        <v>11251</v>
      </c>
      <c r="H785">
        <v>0</v>
      </c>
      <c r="I785" s="8">
        <f t="shared" si="49"/>
        <v>-4.626967345819244E-3</v>
      </c>
      <c r="J785" s="8">
        <f t="shared" si="50"/>
        <v>-4.6377048935533358E-3</v>
      </c>
      <c r="K785" s="8">
        <f t="shared" si="47"/>
        <v>-5.7507853403141351E-2</v>
      </c>
    </row>
    <row r="786" spans="1:11" x14ac:dyDescent="0.25">
      <c r="A786" t="str">
        <f t="shared" si="48"/>
        <v>32020</v>
      </c>
      <c r="B786" s="1">
        <v>43895</v>
      </c>
      <c r="C786" s="10">
        <v>43954.645833333336</v>
      </c>
      <c r="D786">
        <v>11306.05</v>
      </c>
      <c r="E786">
        <v>11389.5</v>
      </c>
      <c r="F786">
        <v>11244.6</v>
      </c>
      <c r="G786">
        <v>11269</v>
      </c>
      <c r="H786">
        <v>0</v>
      </c>
      <c r="I786" s="8">
        <f t="shared" si="49"/>
        <v>1.5998577904186018E-3</v>
      </c>
      <c r="J786" s="8">
        <f t="shared" si="50"/>
        <v>1.5985793812774052E-3</v>
      </c>
      <c r="K786" s="8">
        <f t="shared" si="47"/>
        <v>-4.9574927467782137E-2</v>
      </c>
    </row>
    <row r="787" spans="1:11" x14ac:dyDescent="0.25">
      <c r="A787" t="str">
        <f t="shared" si="48"/>
        <v>32020</v>
      </c>
      <c r="B787" s="1">
        <v>43896</v>
      </c>
      <c r="C787" s="10">
        <v>43985.645833333336</v>
      </c>
      <c r="D787">
        <v>10942.65</v>
      </c>
      <c r="E787">
        <v>11035.1</v>
      </c>
      <c r="F787">
        <v>10827.4</v>
      </c>
      <c r="G787">
        <v>10989.45</v>
      </c>
      <c r="H787">
        <v>0</v>
      </c>
      <c r="I787" s="8">
        <f t="shared" si="49"/>
        <v>-2.4806992634661351E-2</v>
      </c>
      <c r="J787" s="8">
        <f t="shared" si="50"/>
        <v>-2.5119871302905144E-2</v>
      </c>
      <c r="K787" s="8">
        <f t="shared" si="47"/>
        <v>-7.7303812294555407E-2</v>
      </c>
    </row>
    <row r="788" spans="1:11" x14ac:dyDescent="0.25">
      <c r="A788" t="str">
        <f t="shared" si="48"/>
        <v>32020</v>
      </c>
      <c r="B788" s="1">
        <v>43899</v>
      </c>
      <c r="C788" s="10">
        <v>44077.645833333336</v>
      </c>
      <c r="D788">
        <v>10742.05</v>
      </c>
      <c r="E788">
        <v>10751.55</v>
      </c>
      <c r="F788">
        <v>10294.450000000001</v>
      </c>
      <c r="G788">
        <v>10451.450000000001</v>
      </c>
      <c r="H788">
        <v>0</v>
      </c>
      <c r="I788" s="8">
        <f t="shared" si="49"/>
        <v>-4.8956044206033944E-2</v>
      </c>
      <c r="J788" s="8">
        <f t="shared" si="50"/>
        <v>-5.0194996901346441E-2</v>
      </c>
      <c r="K788" s="8">
        <f t="shared" si="47"/>
        <v>-0.12699426986752194</v>
      </c>
    </row>
    <row r="789" spans="1:11" x14ac:dyDescent="0.25">
      <c r="A789" t="str">
        <f t="shared" si="48"/>
        <v>32020</v>
      </c>
      <c r="B789" s="1">
        <v>43901</v>
      </c>
      <c r="C789" s="10">
        <v>44138.645833333336</v>
      </c>
      <c r="D789">
        <v>10334.299999999999</v>
      </c>
      <c r="E789">
        <v>10545.1</v>
      </c>
      <c r="F789">
        <v>10334</v>
      </c>
      <c r="G789">
        <v>10458.4</v>
      </c>
      <c r="H789">
        <v>0</v>
      </c>
      <c r="I789" s="8">
        <f t="shared" si="49"/>
        <v>6.6497950045207865E-4</v>
      </c>
      <c r="J789" s="8">
        <f t="shared" si="50"/>
        <v>6.6475849955268567E-4</v>
      </c>
      <c r="K789" s="8">
        <f t="shared" si="47"/>
        <v>-0.13471832675585571</v>
      </c>
    </row>
    <row r="790" spans="1:11" x14ac:dyDescent="0.25">
      <c r="A790" t="str">
        <f t="shared" si="48"/>
        <v>32020</v>
      </c>
      <c r="B790" s="1">
        <v>43902</v>
      </c>
      <c r="C790" s="10">
        <v>44168.645833333336</v>
      </c>
      <c r="D790">
        <v>10039.950000000001</v>
      </c>
      <c r="E790">
        <v>10040.75</v>
      </c>
      <c r="F790">
        <v>9508</v>
      </c>
      <c r="G790">
        <v>9590.15</v>
      </c>
      <c r="H790">
        <v>0</v>
      </c>
      <c r="I790" s="8">
        <f t="shared" si="49"/>
        <v>-8.3019391111451069E-2</v>
      </c>
      <c r="J790" s="8">
        <f t="shared" si="50"/>
        <v>-8.6668953199476567E-2</v>
      </c>
      <c r="K790" s="8">
        <f t="shared" si="47"/>
        <v>-0.2043977285454146</v>
      </c>
    </row>
    <row r="791" spans="1:11" x14ac:dyDescent="0.25">
      <c r="A791" t="str">
        <f t="shared" si="48"/>
        <v>32020</v>
      </c>
      <c r="B791" s="1">
        <v>43903</v>
      </c>
      <c r="C791" t="s">
        <v>501</v>
      </c>
      <c r="D791">
        <v>9107.6</v>
      </c>
      <c r="E791">
        <v>10159.4</v>
      </c>
      <c r="F791">
        <v>8555.15</v>
      </c>
      <c r="G791">
        <v>9955.2000000000007</v>
      </c>
      <c r="H791">
        <v>0</v>
      </c>
      <c r="I791" s="8">
        <f t="shared" si="49"/>
        <v>3.8065098043305046E-2</v>
      </c>
      <c r="J791" s="8">
        <f t="shared" si="50"/>
        <v>3.735849765514436E-2</v>
      </c>
      <c r="K791" s="8">
        <f t="shared" si="47"/>
        <v>-0.18165228113440191</v>
      </c>
    </row>
    <row r="792" spans="1:11" x14ac:dyDescent="0.25">
      <c r="A792" t="str">
        <f t="shared" si="48"/>
        <v>32020</v>
      </c>
      <c r="B792" s="1">
        <v>43906</v>
      </c>
      <c r="C792" t="s">
        <v>502</v>
      </c>
      <c r="D792">
        <v>9587.7999999999993</v>
      </c>
      <c r="E792">
        <v>9602.2000000000007</v>
      </c>
      <c r="F792">
        <v>9165.1</v>
      </c>
      <c r="G792">
        <v>9197.4</v>
      </c>
      <c r="H792">
        <v>0</v>
      </c>
      <c r="I792" s="8">
        <f t="shared" si="49"/>
        <v>-7.6121022179363673E-2</v>
      </c>
      <c r="J792" s="8">
        <f t="shared" si="50"/>
        <v>-7.9174192303201302E-2</v>
      </c>
      <c r="K792" s="8">
        <f t="shared" si="47"/>
        <v>-0.24745022153309904</v>
      </c>
    </row>
    <row r="793" spans="1:11" x14ac:dyDescent="0.25">
      <c r="A793" t="str">
        <f t="shared" si="48"/>
        <v>32020</v>
      </c>
      <c r="B793" s="1">
        <v>43907</v>
      </c>
      <c r="C793" t="s">
        <v>503</v>
      </c>
      <c r="D793">
        <v>9285.4</v>
      </c>
      <c r="E793">
        <v>9403.7999999999993</v>
      </c>
      <c r="F793">
        <v>8915.6</v>
      </c>
      <c r="G793">
        <v>8967.0499999999993</v>
      </c>
      <c r="H793">
        <v>0</v>
      </c>
      <c r="I793" s="8">
        <f t="shared" si="49"/>
        <v>-2.5045121447365593E-2</v>
      </c>
      <c r="J793" s="8">
        <f t="shared" si="50"/>
        <v>-2.5364087462722871E-2</v>
      </c>
      <c r="K793" s="8">
        <f t="shared" si="47"/>
        <v>-0.2685750874817493</v>
      </c>
    </row>
    <row r="794" spans="1:11" x14ac:dyDescent="0.25">
      <c r="A794" t="str">
        <f t="shared" si="48"/>
        <v>32020</v>
      </c>
      <c r="B794" s="1">
        <v>43908</v>
      </c>
      <c r="C794" t="s">
        <v>504</v>
      </c>
      <c r="D794">
        <v>9088.4500000000007</v>
      </c>
      <c r="E794">
        <v>9127.5499999999993</v>
      </c>
      <c r="F794">
        <v>8407.0499999999993</v>
      </c>
      <c r="G794">
        <v>8468.7999999999993</v>
      </c>
      <c r="H794">
        <v>0</v>
      </c>
      <c r="I794" s="8">
        <f t="shared" si="49"/>
        <v>-5.5564539062456397E-2</v>
      </c>
      <c r="J794" s="8">
        <f t="shared" si="50"/>
        <v>-5.7167925833670724E-2</v>
      </c>
      <c r="K794" s="8">
        <f t="shared" si="47"/>
        <v>-0.30989748855098687</v>
      </c>
    </row>
    <row r="795" spans="1:11" x14ac:dyDescent="0.25">
      <c r="A795" t="str">
        <f t="shared" si="48"/>
        <v>32020</v>
      </c>
      <c r="B795" s="1">
        <v>43909</v>
      </c>
      <c r="C795" t="s">
        <v>505</v>
      </c>
      <c r="D795">
        <v>8063.3</v>
      </c>
      <c r="E795">
        <v>8575.4500000000007</v>
      </c>
      <c r="F795">
        <v>7832.55</v>
      </c>
      <c r="G795">
        <v>8263.4500000000007</v>
      </c>
      <c r="H795">
        <v>0</v>
      </c>
      <c r="I795" s="8">
        <f t="shared" si="49"/>
        <v>-2.4247827319100579E-2</v>
      </c>
      <c r="J795" s="8">
        <f t="shared" si="50"/>
        <v>-2.4546646246054779E-2</v>
      </c>
      <c r="K795" s="8">
        <f t="shared" si="47"/>
        <v>-0.32613402377117684</v>
      </c>
    </row>
    <row r="796" spans="1:11" x14ac:dyDescent="0.25">
      <c r="A796" t="str">
        <f t="shared" si="48"/>
        <v>32020</v>
      </c>
      <c r="B796" s="1">
        <v>43910</v>
      </c>
      <c r="C796" t="s">
        <v>506</v>
      </c>
      <c r="D796">
        <v>8284.4500000000007</v>
      </c>
      <c r="E796">
        <v>8883</v>
      </c>
      <c r="F796">
        <v>8178.2</v>
      </c>
      <c r="G796">
        <v>8745.4500000000007</v>
      </c>
      <c r="H796">
        <v>0</v>
      </c>
      <c r="I796" s="8">
        <f t="shared" si="49"/>
        <v>5.8329148237116435E-2</v>
      </c>
      <c r="J796" s="8">
        <f t="shared" si="50"/>
        <v>5.6691389247104269E-2</v>
      </c>
      <c r="K796" s="8">
        <f t="shared" si="47"/>
        <v>-0.28401373771444705</v>
      </c>
    </row>
    <row r="797" spans="1:11" x14ac:dyDescent="0.25">
      <c r="A797" t="str">
        <f t="shared" si="48"/>
        <v>32020</v>
      </c>
      <c r="B797" s="1">
        <v>43913</v>
      </c>
      <c r="C797" t="s">
        <v>507</v>
      </c>
      <c r="D797">
        <v>7945.7</v>
      </c>
      <c r="E797">
        <v>8159.25</v>
      </c>
      <c r="F797">
        <v>7583.6</v>
      </c>
      <c r="G797">
        <v>7610.25</v>
      </c>
      <c r="H797">
        <v>0</v>
      </c>
      <c r="I797" s="8">
        <f t="shared" si="49"/>
        <v>-0.12980464127060365</v>
      </c>
      <c r="J797" s="8">
        <f t="shared" si="50"/>
        <v>-0.13903754227747062</v>
      </c>
      <c r="K797" s="8">
        <f t="shared" si="47"/>
        <v>-0.3724307408125147</v>
      </c>
    </row>
    <row r="798" spans="1:11" x14ac:dyDescent="0.25">
      <c r="A798" t="str">
        <f t="shared" si="48"/>
        <v>32020</v>
      </c>
      <c r="B798" s="1">
        <v>43914</v>
      </c>
      <c r="C798" t="s">
        <v>508</v>
      </c>
      <c r="D798">
        <v>7848.3</v>
      </c>
      <c r="E798">
        <v>8036.95</v>
      </c>
      <c r="F798">
        <v>7511.1</v>
      </c>
      <c r="G798">
        <v>7801.05</v>
      </c>
      <c r="H798">
        <v>0</v>
      </c>
      <c r="I798" s="8">
        <f t="shared" si="49"/>
        <v>2.507144968956343E-2</v>
      </c>
      <c r="J798" s="8">
        <f t="shared" si="50"/>
        <v>2.4762317175158709E-2</v>
      </c>
      <c r="K798" s="8">
        <f t="shared" si="47"/>
        <v>-0.36296117852651522</v>
      </c>
    </row>
    <row r="799" spans="1:11" x14ac:dyDescent="0.25">
      <c r="A799" t="str">
        <f t="shared" si="48"/>
        <v>32020</v>
      </c>
      <c r="B799" s="1">
        <v>43915</v>
      </c>
      <c r="C799" t="s">
        <v>509</v>
      </c>
      <c r="D799">
        <v>7735.15</v>
      </c>
      <c r="E799">
        <v>8376.75</v>
      </c>
      <c r="F799">
        <v>7714.75</v>
      </c>
      <c r="G799">
        <v>8317.85</v>
      </c>
      <c r="H799">
        <v>0</v>
      </c>
      <c r="I799" s="8">
        <f t="shared" si="49"/>
        <v>6.6247492324751134E-2</v>
      </c>
      <c r="J799" s="8">
        <f t="shared" si="50"/>
        <v>6.4145467956743404E-2</v>
      </c>
      <c r="K799" s="8">
        <f t="shared" si="47"/>
        <v>-0.32131594299864963</v>
      </c>
    </row>
    <row r="800" spans="1:11" x14ac:dyDescent="0.25">
      <c r="A800" t="str">
        <f t="shared" si="48"/>
        <v>32020</v>
      </c>
      <c r="B800" s="1">
        <v>43916</v>
      </c>
      <c r="C800" t="s">
        <v>510</v>
      </c>
      <c r="D800">
        <v>8451</v>
      </c>
      <c r="E800">
        <v>8749.0499999999993</v>
      </c>
      <c r="F800">
        <v>8304.9</v>
      </c>
      <c r="G800">
        <v>8641.4500000000007</v>
      </c>
      <c r="H800">
        <v>0</v>
      </c>
      <c r="I800" s="8">
        <f t="shared" si="49"/>
        <v>3.890428415996916E-2</v>
      </c>
      <c r="J800" s="8">
        <f t="shared" si="50"/>
        <v>3.8166584832086708E-2</v>
      </c>
      <c r="K800" s="8">
        <f t="shared" si="47"/>
        <v>-0.28984792639982904</v>
      </c>
    </row>
    <row r="801" spans="1:11" x14ac:dyDescent="0.25">
      <c r="A801" t="str">
        <f t="shared" si="48"/>
        <v>32020</v>
      </c>
      <c r="B801" s="1">
        <v>43917</v>
      </c>
      <c r="C801" t="s">
        <v>511</v>
      </c>
      <c r="D801">
        <v>8949.1</v>
      </c>
      <c r="E801">
        <v>9038.9</v>
      </c>
      <c r="F801">
        <v>8522.9</v>
      </c>
      <c r="G801">
        <v>8660.25</v>
      </c>
      <c r="H801">
        <v>0</v>
      </c>
      <c r="I801" s="8">
        <f t="shared" si="49"/>
        <v>2.1755608144464755E-3</v>
      </c>
      <c r="J801" s="8">
        <f t="shared" si="50"/>
        <v>2.173197708783864E-3</v>
      </c>
      <c r="K801" s="8">
        <f t="shared" si="47"/>
        <v>-0.28912374307408173</v>
      </c>
    </row>
    <row r="802" spans="1:11" x14ac:dyDescent="0.25">
      <c r="A802" t="str">
        <f t="shared" si="48"/>
        <v>32020</v>
      </c>
      <c r="B802" s="1">
        <v>43920</v>
      </c>
      <c r="C802" t="s">
        <v>512</v>
      </c>
      <c r="D802">
        <v>8385.9500000000007</v>
      </c>
      <c r="E802">
        <v>8576</v>
      </c>
      <c r="F802">
        <v>8244</v>
      </c>
      <c r="G802">
        <v>8281.1</v>
      </c>
      <c r="H802">
        <v>0</v>
      </c>
      <c r="I802" s="8">
        <f t="shared" si="49"/>
        <v>-4.3780491325308146E-2</v>
      </c>
      <c r="J802" s="8">
        <f t="shared" si="50"/>
        <v>-4.4767780703035449E-2</v>
      </c>
      <c r="K802" s="8">
        <f t="shared" si="47"/>
        <v>-0.32576411392095883</v>
      </c>
    </row>
    <row r="803" spans="1:11" x14ac:dyDescent="0.25">
      <c r="A803" t="str">
        <f t="shared" si="48"/>
        <v>32020</v>
      </c>
      <c r="B803" s="1">
        <v>43921</v>
      </c>
      <c r="C803" t="s">
        <v>513</v>
      </c>
      <c r="D803">
        <v>8529.35</v>
      </c>
      <c r="E803">
        <v>8678.2999999999993</v>
      </c>
      <c r="F803">
        <v>8358</v>
      </c>
      <c r="G803">
        <v>8597.75</v>
      </c>
      <c r="H803">
        <v>0</v>
      </c>
      <c r="I803" s="8">
        <f t="shared" si="49"/>
        <v>3.8237673738996003E-2</v>
      </c>
      <c r="J803" s="8">
        <f t="shared" si="50"/>
        <v>3.7524731307031482E-2</v>
      </c>
      <c r="K803" s="8">
        <f t="shared" si="47"/>
        <v>-0.29680247655735625</v>
      </c>
    </row>
    <row r="804" spans="1:11" x14ac:dyDescent="0.25">
      <c r="A804" t="str">
        <f t="shared" si="48"/>
        <v>42020</v>
      </c>
      <c r="B804" s="1">
        <v>43922</v>
      </c>
      <c r="C804" s="10">
        <v>43834.645833333336</v>
      </c>
      <c r="D804">
        <v>8584.1</v>
      </c>
      <c r="E804">
        <v>8588.1</v>
      </c>
      <c r="F804">
        <v>8198.35</v>
      </c>
      <c r="G804">
        <v>8253.7999999999993</v>
      </c>
      <c r="H804">
        <v>0</v>
      </c>
      <c r="I804" s="8">
        <f t="shared" si="49"/>
        <v>-4.0004652379983185E-2</v>
      </c>
      <c r="J804" s="8">
        <f t="shared" si="50"/>
        <v>-4.0826840761147287E-2</v>
      </c>
      <c r="K804" s="8">
        <f t="shared" si="47"/>
        <v>-0.31178474199640627</v>
      </c>
    </row>
    <row r="805" spans="1:11" x14ac:dyDescent="0.25">
      <c r="A805" t="str">
        <f t="shared" si="48"/>
        <v>42020</v>
      </c>
      <c r="B805" s="1">
        <v>43924</v>
      </c>
      <c r="C805" s="10">
        <v>43894.645833333336</v>
      </c>
      <c r="D805">
        <v>8356.5499999999993</v>
      </c>
      <c r="E805">
        <v>8356.5499999999993</v>
      </c>
      <c r="F805">
        <v>8055.8</v>
      </c>
      <c r="G805">
        <v>8083.8</v>
      </c>
      <c r="H805">
        <v>0</v>
      </c>
      <c r="I805" s="8">
        <f t="shared" si="49"/>
        <v>-2.0596573699386833E-2</v>
      </c>
      <c r="J805" s="8">
        <f t="shared" si="50"/>
        <v>-2.0811641353066516E-2</v>
      </c>
      <c r="K805" s="8">
        <f t="shared" si="47"/>
        <v>-0.32930942217465431</v>
      </c>
    </row>
    <row r="806" spans="1:11" x14ac:dyDescent="0.25">
      <c r="A806" t="str">
        <f t="shared" si="48"/>
        <v>42020</v>
      </c>
      <c r="B806" s="1">
        <v>43928</v>
      </c>
      <c r="C806" s="10">
        <v>44016.645833333336</v>
      </c>
      <c r="D806">
        <v>8446.2999999999993</v>
      </c>
      <c r="E806">
        <v>8819.4</v>
      </c>
      <c r="F806">
        <v>8360.9500000000007</v>
      </c>
      <c r="G806">
        <v>8792.2000000000007</v>
      </c>
      <c r="H806">
        <v>0</v>
      </c>
      <c r="I806" s="8">
        <f t="shared" si="49"/>
        <v>8.7632054231920664E-2</v>
      </c>
      <c r="J806" s="8">
        <f t="shared" si="50"/>
        <v>8.4002905787553775E-2</v>
      </c>
      <c r="K806" s="8">
        <f t="shared" si="47"/>
        <v>-0.26886119738718617</v>
      </c>
    </row>
    <row r="807" spans="1:11" x14ac:dyDescent="0.25">
      <c r="A807" t="str">
        <f t="shared" si="48"/>
        <v>42020</v>
      </c>
      <c r="B807" s="1">
        <v>43929</v>
      </c>
      <c r="C807" s="10">
        <v>44047.645833333336</v>
      </c>
      <c r="D807">
        <v>8688.9</v>
      </c>
      <c r="E807">
        <v>9131.7000000000007</v>
      </c>
      <c r="F807">
        <v>8653.9</v>
      </c>
      <c r="G807">
        <v>8748.75</v>
      </c>
      <c r="H807">
        <v>0</v>
      </c>
      <c r="I807" s="8">
        <f t="shared" si="49"/>
        <v>-4.9418803029959157E-3</v>
      </c>
      <c r="J807" s="8">
        <f t="shared" si="50"/>
        <v>-4.9541317736614601E-3</v>
      </c>
      <c r="K807" s="8">
        <f t="shared" si="47"/>
        <v>-0.28382272284481702</v>
      </c>
    </row>
    <row r="808" spans="1:11" x14ac:dyDescent="0.25">
      <c r="A808" t="str">
        <f t="shared" si="48"/>
        <v>42020</v>
      </c>
      <c r="B808" s="1">
        <v>43930</v>
      </c>
      <c r="C808" s="10">
        <v>44078.645833333336</v>
      </c>
      <c r="D808">
        <v>8973.0499999999993</v>
      </c>
      <c r="E808">
        <v>9128.35</v>
      </c>
      <c r="F808">
        <v>8904.5499999999993</v>
      </c>
      <c r="G808">
        <v>9111.9</v>
      </c>
      <c r="H808">
        <v>0</v>
      </c>
      <c r="I808" s="8">
        <f t="shared" si="49"/>
        <v>4.1508786969566946E-2</v>
      </c>
      <c r="J808" s="8">
        <f t="shared" si="50"/>
        <v>4.0670418523978472E-2</v>
      </c>
      <c r="K808" s="8">
        <f t="shared" si="47"/>
        <v>-0.25658410025455258</v>
      </c>
    </row>
    <row r="809" spans="1:11" x14ac:dyDescent="0.25">
      <c r="A809" t="str">
        <f t="shared" si="48"/>
        <v>42020</v>
      </c>
      <c r="B809" s="1">
        <v>43934</v>
      </c>
      <c r="C809" t="s">
        <v>514</v>
      </c>
      <c r="D809">
        <v>9103.9500000000007</v>
      </c>
      <c r="E809">
        <v>9112.0499999999993</v>
      </c>
      <c r="F809">
        <v>8912.4</v>
      </c>
      <c r="G809">
        <v>8993.85</v>
      </c>
      <c r="H809">
        <v>0</v>
      </c>
      <c r="I809" s="8">
        <f t="shared" si="49"/>
        <v>-1.2955585552958171E-2</v>
      </c>
      <c r="J809" s="8">
        <f t="shared" si="50"/>
        <v>-1.3040241121341193E-2</v>
      </c>
      <c r="K809" s="8">
        <f t="shared" si="47"/>
        <v>-0.27054515371607224</v>
      </c>
    </row>
    <row r="810" spans="1:11" x14ac:dyDescent="0.25">
      <c r="A810" t="str">
        <f t="shared" si="48"/>
        <v>42020</v>
      </c>
      <c r="B810" s="1">
        <v>43936</v>
      </c>
      <c r="C810" t="s">
        <v>515</v>
      </c>
      <c r="D810">
        <v>9196.4</v>
      </c>
      <c r="E810">
        <v>9261.2000000000007</v>
      </c>
      <c r="F810">
        <v>8874.1</v>
      </c>
      <c r="G810">
        <v>8925.2999999999993</v>
      </c>
      <c r="H810">
        <v>0</v>
      </c>
      <c r="I810" s="8">
        <f t="shared" si="49"/>
        <v>-7.6218749478811354E-3</v>
      </c>
      <c r="J810" s="8">
        <f t="shared" si="50"/>
        <v>-7.6510698780880753E-3</v>
      </c>
      <c r="K810" s="8">
        <f t="shared" si="47"/>
        <v>-0.2780226980416266</v>
      </c>
    </row>
    <row r="811" spans="1:11" x14ac:dyDescent="0.25">
      <c r="A811" t="str">
        <f t="shared" si="48"/>
        <v>42020</v>
      </c>
      <c r="B811" s="1">
        <v>43937</v>
      </c>
      <c r="C811" t="s">
        <v>516</v>
      </c>
      <c r="D811">
        <v>8851.25</v>
      </c>
      <c r="E811">
        <v>9053.75</v>
      </c>
      <c r="F811">
        <v>8821.9</v>
      </c>
      <c r="G811">
        <v>8992.7999999999993</v>
      </c>
      <c r="H811">
        <v>0</v>
      </c>
      <c r="I811" s="8">
        <f t="shared" si="49"/>
        <v>7.5627709992940328E-3</v>
      </c>
      <c r="J811" s="8">
        <f t="shared" si="50"/>
        <v>7.5343166192884132E-3</v>
      </c>
      <c r="K811" s="8">
        <f t="shared" si="47"/>
        <v>-0.27144280702891443</v>
      </c>
    </row>
    <row r="812" spans="1:11" x14ac:dyDescent="0.25">
      <c r="A812" t="str">
        <f t="shared" si="48"/>
        <v>42020</v>
      </c>
      <c r="B812" s="1">
        <v>43938</v>
      </c>
      <c r="C812" t="s">
        <v>517</v>
      </c>
      <c r="D812">
        <v>9323.4500000000007</v>
      </c>
      <c r="E812">
        <v>9324</v>
      </c>
      <c r="F812">
        <v>9091.35</v>
      </c>
      <c r="G812">
        <v>9266.75</v>
      </c>
      <c r="H812">
        <v>0</v>
      </c>
      <c r="I812" s="8">
        <f t="shared" si="49"/>
        <v>3.0463259496486206E-2</v>
      </c>
      <c r="J812" s="8">
        <f t="shared" si="50"/>
        <v>3.0008467628351927E-2</v>
      </c>
      <c r="K812" s="8">
        <f t="shared" si="47"/>
        <v>-0.24998988304803527</v>
      </c>
    </row>
    <row r="813" spans="1:11" x14ac:dyDescent="0.25">
      <c r="A813" t="str">
        <f t="shared" si="48"/>
        <v>42020</v>
      </c>
      <c r="B813" s="1">
        <v>43941</v>
      </c>
      <c r="C813" t="s">
        <v>518</v>
      </c>
      <c r="D813">
        <v>9390.2000000000007</v>
      </c>
      <c r="E813">
        <v>9390.85</v>
      </c>
      <c r="F813">
        <v>9230.7999999999993</v>
      </c>
      <c r="G813">
        <v>9261.85</v>
      </c>
      <c r="H813">
        <v>0</v>
      </c>
      <c r="I813" s="8">
        <f t="shared" si="49"/>
        <v>-5.2877222327130102E-4</v>
      </c>
      <c r="J813" s="8">
        <f t="shared" si="50"/>
        <v>-5.2891207260448751E-4</v>
      </c>
      <c r="K813" s="8">
        <f t="shared" si="47"/>
        <v>-0.25019530696588099</v>
      </c>
    </row>
    <row r="814" spans="1:11" x14ac:dyDescent="0.25">
      <c r="A814" t="str">
        <f t="shared" si="48"/>
        <v>42020</v>
      </c>
      <c r="B814" s="1">
        <v>43942</v>
      </c>
      <c r="C814" t="s">
        <v>519</v>
      </c>
      <c r="D814">
        <v>9016.9500000000007</v>
      </c>
      <c r="E814">
        <v>9044.4</v>
      </c>
      <c r="F814">
        <v>8909.4</v>
      </c>
      <c r="G814">
        <v>8981.4500000000007</v>
      </c>
      <c r="H814">
        <v>0</v>
      </c>
      <c r="I814" s="8">
        <f t="shared" si="49"/>
        <v>-3.0274729130789213E-2</v>
      </c>
      <c r="J814" s="8">
        <f t="shared" si="50"/>
        <v>-3.0742473508770931E-2</v>
      </c>
      <c r="K814" s="8">
        <f t="shared" si="47"/>
        <v>-0.26529401900274441</v>
      </c>
    </row>
    <row r="815" spans="1:11" x14ac:dyDescent="0.25">
      <c r="A815" t="str">
        <f t="shared" si="48"/>
        <v>42020</v>
      </c>
      <c r="B815" s="1">
        <v>43943</v>
      </c>
      <c r="C815" t="s">
        <v>520</v>
      </c>
      <c r="D815">
        <v>9026.75</v>
      </c>
      <c r="E815">
        <v>9209.75</v>
      </c>
      <c r="F815">
        <v>8946.25</v>
      </c>
      <c r="G815">
        <v>9187.2999999999993</v>
      </c>
      <c r="H815">
        <v>0</v>
      </c>
      <c r="I815" s="8">
        <f t="shared" si="49"/>
        <v>2.2919461779556505E-2</v>
      </c>
      <c r="J815" s="8">
        <f t="shared" si="50"/>
        <v>2.2660756382103509E-2</v>
      </c>
      <c r="K815" s="8">
        <f t="shared" si="47"/>
        <v>-0.24507697301117115</v>
      </c>
    </row>
    <row r="816" spans="1:11" x14ac:dyDescent="0.25">
      <c r="A816" t="str">
        <f t="shared" si="48"/>
        <v>42020</v>
      </c>
      <c r="B816" s="1">
        <v>43944</v>
      </c>
      <c r="C816" t="s">
        <v>521</v>
      </c>
      <c r="D816">
        <v>9232.35</v>
      </c>
      <c r="E816">
        <v>9343.6</v>
      </c>
      <c r="F816">
        <v>9170.15</v>
      </c>
      <c r="G816">
        <v>9313.9</v>
      </c>
      <c r="H816">
        <v>0</v>
      </c>
      <c r="I816" s="8">
        <f t="shared" si="49"/>
        <v>1.3779891807168543E-2</v>
      </c>
      <c r="J816" s="8">
        <f t="shared" si="50"/>
        <v>1.3685812382357899E-2</v>
      </c>
      <c r="K816" s="8">
        <f t="shared" si="47"/>
        <v>-0.23069489299490376</v>
      </c>
    </row>
    <row r="817" spans="1:11" x14ac:dyDescent="0.25">
      <c r="A817" t="str">
        <f t="shared" si="48"/>
        <v>42020</v>
      </c>
      <c r="B817" s="1">
        <v>43945</v>
      </c>
      <c r="C817" t="s">
        <v>522</v>
      </c>
      <c r="D817">
        <v>9163.9</v>
      </c>
      <c r="E817">
        <v>9296.9</v>
      </c>
      <c r="F817">
        <v>9141.2999999999993</v>
      </c>
      <c r="G817">
        <v>9154.4</v>
      </c>
      <c r="H817">
        <v>0</v>
      </c>
      <c r="I817" s="8">
        <f t="shared" si="49"/>
        <v>-1.7124942290554945E-2</v>
      </c>
      <c r="J817" s="8">
        <f t="shared" si="50"/>
        <v>-1.7273269955520296E-2</v>
      </c>
      <c r="K817" s="8">
        <f t="shared" si="47"/>
        <v>-0.24842882183188497</v>
      </c>
    </row>
    <row r="818" spans="1:11" x14ac:dyDescent="0.25">
      <c r="A818" t="str">
        <f t="shared" si="48"/>
        <v>42020</v>
      </c>
      <c r="B818" s="1">
        <v>43948</v>
      </c>
      <c r="C818" t="s">
        <v>523</v>
      </c>
      <c r="D818">
        <v>9259.7000000000007</v>
      </c>
      <c r="E818">
        <v>9377.1</v>
      </c>
      <c r="F818">
        <v>9250.35</v>
      </c>
      <c r="G818">
        <v>9282.2999999999993</v>
      </c>
      <c r="H818">
        <v>0</v>
      </c>
      <c r="I818" s="8">
        <f t="shared" si="49"/>
        <v>1.3971423577733066E-2</v>
      </c>
      <c r="J818" s="8">
        <f t="shared" si="50"/>
        <v>1.3874722895871999E-2</v>
      </c>
      <c r="K818" s="8">
        <f t="shared" si="47"/>
        <v>-0.2421529606270284</v>
      </c>
    </row>
    <row r="819" spans="1:11" x14ac:dyDescent="0.25">
      <c r="A819" t="str">
        <f t="shared" si="48"/>
        <v>42020</v>
      </c>
      <c r="B819" s="1">
        <v>43949</v>
      </c>
      <c r="C819" t="s">
        <v>524</v>
      </c>
      <c r="D819">
        <v>9389.7999999999993</v>
      </c>
      <c r="E819">
        <v>9404.4</v>
      </c>
      <c r="F819">
        <v>9260</v>
      </c>
      <c r="G819">
        <v>9380.9</v>
      </c>
      <c r="H819">
        <v>0</v>
      </c>
      <c r="I819" s="8">
        <f t="shared" si="49"/>
        <v>1.0622367301207802E-2</v>
      </c>
      <c r="J819" s="8">
        <f t="shared" si="50"/>
        <v>1.0566346325391251E-2</v>
      </c>
      <c r="K819" s="8">
        <f t="shared" si="47"/>
        <v>-0.22593448304315544</v>
      </c>
    </row>
    <row r="820" spans="1:11" x14ac:dyDescent="0.25">
      <c r="A820" t="str">
        <f t="shared" si="48"/>
        <v>42020</v>
      </c>
      <c r="B820" s="1">
        <v>43950</v>
      </c>
      <c r="C820" t="s">
        <v>525</v>
      </c>
      <c r="D820">
        <v>9408.6</v>
      </c>
      <c r="E820">
        <v>9599.85</v>
      </c>
      <c r="F820">
        <v>9392.35</v>
      </c>
      <c r="G820">
        <v>9553.35</v>
      </c>
      <c r="H820">
        <v>0</v>
      </c>
      <c r="I820" s="8">
        <f t="shared" si="49"/>
        <v>1.8383097570595641E-2</v>
      </c>
      <c r="J820" s="8">
        <f t="shared" si="50"/>
        <v>1.821617107952879E-2</v>
      </c>
      <c r="K820" s="8">
        <f t="shared" si="47"/>
        <v>-0.20757228885681578</v>
      </c>
    </row>
    <row r="821" spans="1:11" x14ac:dyDescent="0.25">
      <c r="A821" t="str">
        <f t="shared" si="48"/>
        <v>42020</v>
      </c>
      <c r="B821" s="1">
        <v>43951</v>
      </c>
      <c r="C821" t="s">
        <v>526</v>
      </c>
      <c r="D821">
        <v>9753.5</v>
      </c>
      <c r="E821">
        <v>9889.0499999999993</v>
      </c>
      <c r="F821">
        <v>9731.5</v>
      </c>
      <c r="G821">
        <v>9859.9</v>
      </c>
      <c r="H821">
        <v>0</v>
      </c>
      <c r="I821" s="8">
        <f t="shared" si="49"/>
        <v>3.2088220362490594E-2</v>
      </c>
      <c r="J821" s="8">
        <f t="shared" si="50"/>
        <v>3.158414825312425E-2</v>
      </c>
      <c r="K821" s="8">
        <f t="shared" si="47"/>
        <v>-0.18711406076095471</v>
      </c>
    </row>
    <row r="822" spans="1:11" x14ac:dyDescent="0.25">
      <c r="A822" t="str">
        <f t="shared" si="48"/>
        <v>52020</v>
      </c>
      <c r="B822" s="1">
        <v>43955</v>
      </c>
      <c r="C822" s="10">
        <v>43926.645833333336</v>
      </c>
      <c r="D822">
        <v>9533.5</v>
      </c>
      <c r="E822">
        <v>9533.5</v>
      </c>
      <c r="F822">
        <v>9266.9500000000007</v>
      </c>
      <c r="G822">
        <v>9293.5</v>
      </c>
      <c r="H822">
        <v>0</v>
      </c>
      <c r="I822" s="8">
        <f t="shared" si="49"/>
        <v>-5.7444801671416523E-2</v>
      </c>
      <c r="J822" s="8">
        <f t="shared" si="50"/>
        <v>-5.9160795509013528E-2</v>
      </c>
      <c r="K822" s="8">
        <f t="shared" si="47"/>
        <v>-0.22784526163611885</v>
      </c>
    </row>
    <row r="823" spans="1:11" x14ac:dyDescent="0.25">
      <c r="A823" t="str">
        <f t="shared" si="48"/>
        <v>52020</v>
      </c>
      <c r="B823" s="1">
        <v>43956</v>
      </c>
      <c r="C823" s="10">
        <v>43956.645833333336</v>
      </c>
      <c r="D823">
        <v>9429.4</v>
      </c>
      <c r="E823">
        <v>9450.9</v>
      </c>
      <c r="F823">
        <v>9190.75</v>
      </c>
      <c r="G823">
        <v>9205.6</v>
      </c>
      <c r="H823">
        <v>0</v>
      </c>
      <c r="I823" s="8">
        <f t="shared" si="49"/>
        <v>-9.4582234895356221E-3</v>
      </c>
      <c r="J823" s="8">
        <f t="shared" si="50"/>
        <v>-9.5032365391587315E-3</v>
      </c>
      <c r="K823" s="8">
        <f t="shared" si="47"/>
        <v>-0.23043612743581809</v>
      </c>
    </row>
    <row r="824" spans="1:11" x14ac:dyDescent="0.25">
      <c r="A824" t="str">
        <f t="shared" si="48"/>
        <v>52020</v>
      </c>
      <c r="B824" s="1">
        <v>43957</v>
      </c>
      <c r="C824" s="10">
        <v>43987.645833333336</v>
      </c>
      <c r="D824">
        <v>9226.7999999999993</v>
      </c>
      <c r="E824">
        <v>9346.9</v>
      </c>
      <c r="F824">
        <v>9116.5</v>
      </c>
      <c r="G824">
        <v>9270.9</v>
      </c>
      <c r="H824">
        <v>0</v>
      </c>
      <c r="I824" s="8">
        <f t="shared" si="49"/>
        <v>7.093508299296003E-3</v>
      </c>
      <c r="J824" s="8">
        <f t="shared" si="50"/>
        <v>7.0684677166181938E-3</v>
      </c>
      <c r="K824" s="8">
        <f t="shared" si="47"/>
        <v>-0.20361645012348328</v>
      </c>
    </row>
    <row r="825" spans="1:11" x14ac:dyDescent="0.25">
      <c r="A825" t="str">
        <f t="shared" si="48"/>
        <v>52020</v>
      </c>
      <c r="B825" s="1">
        <v>43958</v>
      </c>
      <c r="C825" s="10">
        <v>44017.645833333336</v>
      </c>
      <c r="D825">
        <v>9234.0499999999993</v>
      </c>
      <c r="E825">
        <v>9277.85</v>
      </c>
      <c r="F825">
        <v>9175.9</v>
      </c>
      <c r="G825">
        <v>9199.0499999999993</v>
      </c>
      <c r="H825">
        <v>0</v>
      </c>
      <c r="I825" s="8">
        <f t="shared" si="49"/>
        <v>-7.7500566288063455E-3</v>
      </c>
      <c r="J825" s="8">
        <f t="shared" si="50"/>
        <v>-7.7802443900713515E-3</v>
      </c>
      <c r="K825" s="8">
        <f t="shared" si="47"/>
        <v>-0.21428693446305491</v>
      </c>
    </row>
    <row r="826" spans="1:11" x14ac:dyDescent="0.25">
      <c r="A826" t="str">
        <f t="shared" si="48"/>
        <v>52020</v>
      </c>
      <c r="B826" s="1">
        <v>43959</v>
      </c>
      <c r="C826" s="10">
        <v>44048.645833333336</v>
      </c>
      <c r="D826">
        <v>9376.9500000000007</v>
      </c>
      <c r="E826">
        <v>9382.65</v>
      </c>
      <c r="F826">
        <v>9238.2000000000007</v>
      </c>
      <c r="G826">
        <v>9251.5</v>
      </c>
      <c r="H826">
        <v>0</v>
      </c>
      <c r="I826" s="8">
        <f t="shared" si="49"/>
        <v>5.701675716514254E-3</v>
      </c>
      <c r="J826" s="8">
        <f t="shared" si="50"/>
        <v>5.6854826859751096E-3</v>
      </c>
      <c r="K826" s="8">
        <f t="shared" si="47"/>
        <v>-0.2277320288990079</v>
      </c>
    </row>
    <row r="827" spans="1:11" x14ac:dyDescent="0.25">
      <c r="A827" t="str">
        <f t="shared" si="48"/>
        <v>52020</v>
      </c>
      <c r="B827" s="1">
        <v>43962</v>
      </c>
      <c r="C827" s="10">
        <v>44140.645833333336</v>
      </c>
      <c r="D827">
        <v>9348.15</v>
      </c>
      <c r="E827">
        <v>9439.9</v>
      </c>
      <c r="F827">
        <v>9219.9500000000007</v>
      </c>
      <c r="G827">
        <v>9239.2000000000007</v>
      </c>
      <c r="H827">
        <v>0</v>
      </c>
      <c r="I827" s="8">
        <f t="shared" si="49"/>
        <v>-1.3295141328432125E-3</v>
      </c>
      <c r="J827" s="8">
        <f t="shared" si="50"/>
        <v>-1.3303987208930653E-3</v>
      </c>
      <c r="K827" s="8">
        <f t="shared" si="47"/>
        <v>-0.23574444853442955</v>
      </c>
    </row>
    <row r="828" spans="1:11" x14ac:dyDescent="0.25">
      <c r="A828" t="str">
        <f t="shared" si="48"/>
        <v>52020</v>
      </c>
      <c r="B828" s="1">
        <v>43963</v>
      </c>
      <c r="C828" s="10">
        <v>44170.645833333336</v>
      </c>
      <c r="D828">
        <v>9168.85</v>
      </c>
      <c r="E828">
        <v>9240.85</v>
      </c>
      <c r="F828">
        <v>9043.9500000000007</v>
      </c>
      <c r="G828">
        <v>9196.5499999999993</v>
      </c>
      <c r="H828">
        <v>0</v>
      </c>
      <c r="I828" s="8">
        <f t="shared" si="49"/>
        <v>-4.6162005368431958E-3</v>
      </c>
      <c r="J828" s="8">
        <f t="shared" si="50"/>
        <v>-4.6268880938292812E-3</v>
      </c>
      <c r="K828" s="8">
        <f t="shared" si="47"/>
        <v>-0.24233087135801357</v>
      </c>
    </row>
    <row r="829" spans="1:11" x14ac:dyDescent="0.25">
      <c r="A829" t="str">
        <f t="shared" si="48"/>
        <v>52020</v>
      </c>
      <c r="B829" s="1">
        <v>43964</v>
      </c>
      <c r="C829" t="s">
        <v>527</v>
      </c>
      <c r="D829">
        <v>9584.2000000000007</v>
      </c>
      <c r="E829">
        <v>9584.5</v>
      </c>
      <c r="F829">
        <v>9351.1</v>
      </c>
      <c r="G829">
        <v>9383.5499999999993</v>
      </c>
      <c r="H829">
        <v>0</v>
      </c>
      <c r="I829" s="8">
        <f t="shared" si="49"/>
        <v>2.0333712098558721E-2</v>
      </c>
      <c r="J829" s="8">
        <f t="shared" si="50"/>
        <v>2.0129742512240333E-2</v>
      </c>
      <c r="K829" s="8">
        <f t="shared" si="47"/>
        <v>-0.22439423557757887</v>
      </c>
    </row>
    <row r="830" spans="1:11" x14ac:dyDescent="0.25">
      <c r="A830" t="str">
        <f t="shared" si="48"/>
        <v>52020</v>
      </c>
      <c r="B830" s="1">
        <v>43965</v>
      </c>
      <c r="C830" t="s">
        <v>528</v>
      </c>
      <c r="D830">
        <v>9213.9500000000007</v>
      </c>
      <c r="E830">
        <v>9281.1</v>
      </c>
      <c r="F830">
        <v>9119.75</v>
      </c>
      <c r="G830">
        <v>9142.75</v>
      </c>
      <c r="H830">
        <v>0</v>
      </c>
      <c r="I830" s="8">
        <f t="shared" si="49"/>
        <v>-2.5661929653489235E-2</v>
      </c>
      <c r="J830" s="8">
        <f t="shared" si="50"/>
        <v>-2.5996940751458281E-2</v>
      </c>
      <c r="K830" s="8">
        <f t="shared" si="47"/>
        <v>-0.24009890703569792</v>
      </c>
    </row>
    <row r="831" spans="1:11" x14ac:dyDescent="0.25">
      <c r="A831" t="str">
        <f t="shared" si="48"/>
        <v>52020</v>
      </c>
      <c r="B831" s="1">
        <v>43966</v>
      </c>
      <c r="C831" t="s">
        <v>529</v>
      </c>
      <c r="D831">
        <v>9182.4</v>
      </c>
      <c r="E831">
        <v>9182.4</v>
      </c>
      <c r="F831">
        <v>9050</v>
      </c>
      <c r="G831">
        <v>9136.85</v>
      </c>
      <c r="H831">
        <v>0</v>
      </c>
      <c r="I831" s="8">
        <f t="shared" si="49"/>
        <v>-6.4532006234441219E-4</v>
      </c>
      <c r="J831" s="8">
        <f t="shared" si="50"/>
        <v>-6.455283709578169E-4</v>
      </c>
      <c r="K831" s="8">
        <f t="shared" si="47"/>
        <v>-0.24538111480933933</v>
      </c>
    </row>
    <row r="832" spans="1:11" x14ac:dyDescent="0.25">
      <c r="A832" t="str">
        <f t="shared" si="48"/>
        <v>52020</v>
      </c>
      <c r="B832" s="1">
        <v>43969</v>
      </c>
      <c r="C832" t="s">
        <v>530</v>
      </c>
      <c r="D832">
        <v>9158.2999999999993</v>
      </c>
      <c r="E832">
        <v>9158.2999999999993</v>
      </c>
      <c r="F832">
        <v>8806.75</v>
      </c>
      <c r="G832">
        <v>8823.25</v>
      </c>
      <c r="H832">
        <v>0</v>
      </c>
      <c r="I832" s="8">
        <f t="shared" si="49"/>
        <v>-3.4322550988579281E-2</v>
      </c>
      <c r="J832" s="8">
        <f t="shared" si="50"/>
        <v>-3.4925404242762116E-2</v>
      </c>
      <c r="K832" s="8">
        <f t="shared" ref="K832:K895" si="51">+G832/G771-1</f>
        <v>-0.27685391600826148</v>
      </c>
    </row>
    <row r="833" spans="1:11" x14ac:dyDescent="0.25">
      <c r="A833" t="str">
        <f t="shared" si="48"/>
        <v>52020</v>
      </c>
      <c r="B833" s="1">
        <v>43970</v>
      </c>
      <c r="C833" t="s">
        <v>531</v>
      </c>
      <c r="D833">
        <v>8961.7000000000007</v>
      </c>
      <c r="E833">
        <v>9030.35</v>
      </c>
      <c r="F833">
        <v>8855.2999999999993</v>
      </c>
      <c r="G833">
        <v>8879.1</v>
      </c>
      <c r="H833">
        <v>0</v>
      </c>
      <c r="I833" s="8">
        <f t="shared" si="49"/>
        <v>6.3298671124585315E-3</v>
      </c>
      <c r="J833" s="8">
        <f t="shared" si="50"/>
        <v>6.3099176443585188E-3</v>
      </c>
      <c r="K833" s="8">
        <f t="shared" si="51"/>
        <v>-0.27068950647451873</v>
      </c>
    </row>
    <row r="834" spans="1:11" x14ac:dyDescent="0.25">
      <c r="A834" t="str">
        <f t="shared" si="48"/>
        <v>52020</v>
      </c>
      <c r="B834" s="1">
        <v>43971</v>
      </c>
      <c r="C834" t="s">
        <v>532</v>
      </c>
      <c r="D834">
        <v>8889.15</v>
      </c>
      <c r="E834">
        <v>9093.7999999999993</v>
      </c>
      <c r="F834">
        <v>8875.35</v>
      </c>
      <c r="G834">
        <v>9066.5499999999993</v>
      </c>
      <c r="H834">
        <v>0</v>
      </c>
      <c r="I834" s="8">
        <f t="shared" si="49"/>
        <v>2.1111373900507768E-2</v>
      </c>
      <c r="J834" s="8">
        <f t="shared" si="50"/>
        <v>2.0891616387661998E-2</v>
      </c>
      <c r="K834" s="8">
        <f t="shared" si="51"/>
        <v>-0.25153032373105944</v>
      </c>
    </row>
    <row r="835" spans="1:11" x14ac:dyDescent="0.25">
      <c r="A835" t="str">
        <f t="shared" ref="A835:A898" si="52">+MONTH(B835)&amp;YEAR(B835)</f>
        <v>52020</v>
      </c>
      <c r="B835" s="1">
        <v>43972</v>
      </c>
      <c r="C835" t="s">
        <v>533</v>
      </c>
      <c r="D835">
        <v>9079.4500000000007</v>
      </c>
      <c r="E835">
        <v>9178.5499999999993</v>
      </c>
      <c r="F835">
        <v>9056.1</v>
      </c>
      <c r="G835">
        <v>9106.25</v>
      </c>
      <c r="H835">
        <v>0</v>
      </c>
      <c r="I835" s="8">
        <f t="shared" si="49"/>
        <v>4.3787328145767912E-3</v>
      </c>
      <c r="J835" s="8">
        <f t="shared" si="50"/>
        <v>4.3691740573838051E-3</v>
      </c>
      <c r="K835" s="8">
        <f t="shared" si="51"/>
        <v>-0.24403111457935545</v>
      </c>
    </row>
    <row r="836" spans="1:11" x14ac:dyDescent="0.25">
      <c r="A836" t="str">
        <f t="shared" si="52"/>
        <v>52020</v>
      </c>
      <c r="B836" s="1">
        <v>43973</v>
      </c>
      <c r="C836" t="s">
        <v>534</v>
      </c>
      <c r="D836">
        <v>9067.9</v>
      </c>
      <c r="E836">
        <v>9149.6</v>
      </c>
      <c r="F836">
        <v>8968.5499999999993</v>
      </c>
      <c r="G836">
        <v>9039.25</v>
      </c>
      <c r="H836">
        <v>0</v>
      </c>
      <c r="I836" s="8">
        <f t="shared" ref="I836:I899" si="53">+G836/G835-1</f>
        <v>-7.3575840768702605E-3</v>
      </c>
      <c r="J836" s="8">
        <f t="shared" ref="J836:J899" si="54">+LN(1+I836)</f>
        <v>-7.3847846008156101E-3</v>
      </c>
      <c r="K836" s="8">
        <f t="shared" si="51"/>
        <v>-0.24625807796539501</v>
      </c>
    </row>
    <row r="837" spans="1:11" x14ac:dyDescent="0.25">
      <c r="A837" t="str">
        <f t="shared" si="52"/>
        <v>52020</v>
      </c>
      <c r="B837" s="1">
        <v>43977</v>
      </c>
      <c r="C837" t="s">
        <v>535</v>
      </c>
      <c r="D837">
        <v>9099.75</v>
      </c>
      <c r="E837">
        <v>9161.65</v>
      </c>
      <c r="F837">
        <v>8996.65</v>
      </c>
      <c r="G837">
        <v>9029.0499999999993</v>
      </c>
      <c r="H837">
        <v>0</v>
      </c>
      <c r="I837" s="8">
        <f t="shared" si="53"/>
        <v>-1.1284122023398346E-3</v>
      </c>
      <c r="J837" s="8">
        <f t="shared" si="54"/>
        <v>-1.1290493387357832E-3</v>
      </c>
      <c r="K837" s="8">
        <f t="shared" si="51"/>
        <v>-0.25539135239446153</v>
      </c>
    </row>
    <row r="838" spans="1:11" x14ac:dyDescent="0.25">
      <c r="A838" t="str">
        <f t="shared" si="52"/>
        <v>52020</v>
      </c>
      <c r="B838" s="1">
        <v>43978</v>
      </c>
      <c r="C838" t="s">
        <v>536</v>
      </c>
      <c r="D838">
        <v>9082.2000000000007</v>
      </c>
      <c r="E838">
        <v>9334</v>
      </c>
      <c r="F838">
        <v>9004.25</v>
      </c>
      <c r="G838">
        <v>9314.9500000000007</v>
      </c>
      <c r="H838">
        <v>0</v>
      </c>
      <c r="I838" s="8">
        <f t="shared" si="53"/>
        <v>3.1664460823674911E-2</v>
      </c>
      <c r="J838" s="8">
        <f t="shared" si="54"/>
        <v>3.1173479330792266E-2</v>
      </c>
      <c r="K838" s="8">
        <f t="shared" si="51"/>
        <v>-0.22894912195747807</v>
      </c>
    </row>
    <row r="839" spans="1:11" x14ac:dyDescent="0.25">
      <c r="A839" t="str">
        <f t="shared" si="52"/>
        <v>52020</v>
      </c>
      <c r="B839" s="1">
        <v>43979</v>
      </c>
      <c r="C839" t="s">
        <v>537</v>
      </c>
      <c r="D839">
        <v>9364.9500000000007</v>
      </c>
      <c r="E839">
        <v>9511.25</v>
      </c>
      <c r="F839">
        <v>9336.5</v>
      </c>
      <c r="G839">
        <v>9490.1</v>
      </c>
      <c r="H839">
        <v>0</v>
      </c>
      <c r="I839" s="8">
        <f t="shared" si="53"/>
        <v>1.8803106833638283E-2</v>
      </c>
      <c r="J839" s="8">
        <f t="shared" si="54"/>
        <v>1.8628513621497384E-2</v>
      </c>
      <c r="K839" s="8">
        <f t="shared" si="51"/>
        <v>-0.19775305594535642</v>
      </c>
    </row>
    <row r="840" spans="1:11" x14ac:dyDescent="0.25">
      <c r="A840" t="str">
        <f t="shared" si="52"/>
        <v>52020</v>
      </c>
      <c r="B840" s="1">
        <v>43980</v>
      </c>
      <c r="C840" t="s">
        <v>538</v>
      </c>
      <c r="D840">
        <v>9422.2000000000007</v>
      </c>
      <c r="E840">
        <v>9598.85</v>
      </c>
      <c r="F840">
        <v>9376.9</v>
      </c>
      <c r="G840">
        <v>9580.2999999999993</v>
      </c>
      <c r="H840">
        <v>0</v>
      </c>
      <c r="I840" s="8">
        <f t="shared" si="53"/>
        <v>9.5046416792234911E-3</v>
      </c>
      <c r="J840" s="8">
        <f t="shared" si="54"/>
        <v>9.4597567584245815E-3</v>
      </c>
      <c r="K840" s="8">
        <f t="shared" si="51"/>
        <v>-0.18796565490468642</v>
      </c>
    </row>
    <row r="841" spans="1:11" x14ac:dyDescent="0.25">
      <c r="A841" t="str">
        <f t="shared" si="52"/>
        <v>62020</v>
      </c>
      <c r="B841" s="1">
        <v>43983</v>
      </c>
      <c r="C841" s="10">
        <v>43836.645833333336</v>
      </c>
      <c r="D841">
        <v>9726.85</v>
      </c>
      <c r="E841">
        <v>9931.6</v>
      </c>
      <c r="F841">
        <v>9706.9500000000007</v>
      </c>
      <c r="G841">
        <v>9826.15</v>
      </c>
      <c r="H841">
        <v>0</v>
      </c>
      <c r="I841" s="8">
        <f t="shared" si="53"/>
        <v>2.5662035635627412E-2</v>
      </c>
      <c r="J841" s="8">
        <f t="shared" si="54"/>
        <v>2.5338292519217084E-2</v>
      </c>
      <c r="K841" s="8">
        <f t="shared" si="51"/>
        <v>-0.15861197927816073</v>
      </c>
    </row>
    <row r="842" spans="1:11" x14ac:dyDescent="0.25">
      <c r="A842" t="str">
        <f t="shared" si="52"/>
        <v>62020</v>
      </c>
      <c r="B842" s="1">
        <v>43984</v>
      </c>
      <c r="C842" s="10">
        <v>43867.645833333336</v>
      </c>
      <c r="D842">
        <v>9880.85</v>
      </c>
      <c r="E842">
        <v>9995.6</v>
      </c>
      <c r="F842">
        <v>9824.0499999999993</v>
      </c>
      <c r="G842">
        <v>9979.1</v>
      </c>
      <c r="H842">
        <v>0</v>
      </c>
      <c r="I842" s="8">
        <f t="shared" si="53"/>
        <v>1.5565608096762329E-2</v>
      </c>
      <c r="J842" s="8">
        <f t="shared" si="54"/>
        <v>1.5445706644400328E-2</v>
      </c>
      <c r="K842" s="8">
        <f t="shared" si="51"/>
        <v>-0.14219524984312271</v>
      </c>
    </row>
    <row r="843" spans="1:11" x14ac:dyDescent="0.25">
      <c r="A843" t="str">
        <f t="shared" si="52"/>
        <v>62020</v>
      </c>
      <c r="B843" s="1">
        <v>43985</v>
      </c>
      <c r="C843" s="10">
        <v>43896.645833333336</v>
      </c>
      <c r="D843">
        <v>10108.299999999999</v>
      </c>
      <c r="E843">
        <v>10176.200000000001</v>
      </c>
      <c r="F843">
        <v>10035.549999999999</v>
      </c>
      <c r="G843">
        <v>10061.549999999999</v>
      </c>
      <c r="H843">
        <v>0</v>
      </c>
      <c r="I843" s="8">
        <f t="shared" si="53"/>
        <v>8.2622681404134202E-3</v>
      </c>
      <c r="J843" s="8">
        <f t="shared" si="54"/>
        <v>8.2283224537368568E-3</v>
      </c>
      <c r="K843" s="8">
        <f t="shared" si="51"/>
        <v>-0.10178766710558629</v>
      </c>
    </row>
    <row r="844" spans="1:11" x14ac:dyDescent="0.25">
      <c r="A844" t="str">
        <f t="shared" si="52"/>
        <v>62020</v>
      </c>
      <c r="B844" s="1">
        <v>43986</v>
      </c>
      <c r="C844" s="10">
        <v>43927.645833333336</v>
      </c>
      <c r="D844">
        <v>10054.25</v>
      </c>
      <c r="E844">
        <v>10123.85</v>
      </c>
      <c r="F844">
        <v>9944.25</v>
      </c>
      <c r="G844">
        <v>10029.1</v>
      </c>
      <c r="H844">
        <v>0</v>
      </c>
      <c r="I844" s="8">
        <f t="shared" si="53"/>
        <v>-3.2251492066330822E-3</v>
      </c>
      <c r="J844" s="8">
        <f t="shared" si="54"/>
        <v>-3.2303612096776253E-3</v>
      </c>
      <c r="K844" s="8">
        <f t="shared" si="51"/>
        <v>-9.9135433742785883E-2</v>
      </c>
    </row>
    <row r="845" spans="1:11" x14ac:dyDescent="0.25">
      <c r="A845" t="str">
        <f t="shared" si="52"/>
        <v>62020</v>
      </c>
      <c r="B845" s="1">
        <v>43987</v>
      </c>
      <c r="C845" s="10">
        <v>43957.645833333336</v>
      </c>
      <c r="D845">
        <v>10093.799999999999</v>
      </c>
      <c r="E845">
        <v>10177.799999999999</v>
      </c>
      <c r="F845">
        <v>10040.75</v>
      </c>
      <c r="G845">
        <v>10142.15</v>
      </c>
      <c r="H845">
        <v>0</v>
      </c>
      <c r="I845" s="8">
        <f t="shared" si="53"/>
        <v>1.1272197904099057E-2</v>
      </c>
      <c r="J845" s="8">
        <f t="shared" si="54"/>
        <v>1.120914010549148E-2</v>
      </c>
      <c r="K845" s="8">
        <f t="shared" si="51"/>
        <v>-0.10272663735369314</v>
      </c>
    </row>
    <row r="846" spans="1:11" x14ac:dyDescent="0.25">
      <c r="A846" t="str">
        <f t="shared" si="52"/>
        <v>62020</v>
      </c>
      <c r="B846" s="1">
        <v>43990</v>
      </c>
      <c r="C846" s="10">
        <v>44049.645833333336</v>
      </c>
      <c r="D846">
        <v>10326.75</v>
      </c>
      <c r="E846">
        <v>10328.5</v>
      </c>
      <c r="F846">
        <v>10120.25</v>
      </c>
      <c r="G846">
        <v>10167.450000000001</v>
      </c>
      <c r="H846">
        <v>0</v>
      </c>
      <c r="I846" s="8">
        <f t="shared" si="53"/>
        <v>2.4945401123037669E-3</v>
      </c>
      <c r="J846" s="8">
        <f t="shared" si="54"/>
        <v>2.4914339117400133E-3</v>
      </c>
      <c r="K846" s="8">
        <f t="shared" si="51"/>
        <v>-9.6306994933783585E-2</v>
      </c>
    </row>
    <row r="847" spans="1:11" x14ac:dyDescent="0.25">
      <c r="A847" t="str">
        <f t="shared" si="52"/>
        <v>62020</v>
      </c>
      <c r="B847" s="1">
        <v>43991</v>
      </c>
      <c r="C847" s="10">
        <v>44080.645833333336</v>
      </c>
      <c r="D847">
        <v>10181.15</v>
      </c>
      <c r="E847">
        <v>10291.15</v>
      </c>
      <c r="F847">
        <v>10021.450000000001</v>
      </c>
      <c r="G847">
        <v>10046.65</v>
      </c>
      <c r="H847">
        <v>0</v>
      </c>
      <c r="I847" s="8">
        <f t="shared" si="53"/>
        <v>-1.1881051787813179E-2</v>
      </c>
      <c r="J847" s="8">
        <f t="shared" si="54"/>
        <v>-1.1952195553601492E-2</v>
      </c>
      <c r="K847" s="8">
        <f t="shared" si="51"/>
        <v>-0.10847013932025917</v>
      </c>
    </row>
    <row r="848" spans="1:11" x14ac:dyDescent="0.25">
      <c r="A848" t="str">
        <f t="shared" si="52"/>
        <v>62020</v>
      </c>
      <c r="B848" s="1">
        <v>43992</v>
      </c>
      <c r="C848" s="10">
        <v>44110.645833333336</v>
      </c>
      <c r="D848">
        <v>10072.6</v>
      </c>
      <c r="E848">
        <v>10148.75</v>
      </c>
      <c r="F848">
        <v>10036.85</v>
      </c>
      <c r="G848">
        <v>10116.15</v>
      </c>
      <c r="H848">
        <v>0</v>
      </c>
      <c r="I848" s="8">
        <f t="shared" si="53"/>
        <v>6.9177287951704969E-3</v>
      </c>
      <c r="J848" s="8">
        <f t="shared" si="54"/>
        <v>6.8939110891929863E-3</v>
      </c>
      <c r="K848" s="8">
        <f t="shared" si="51"/>
        <v>-7.9467125288344875E-2</v>
      </c>
    </row>
    <row r="849" spans="1:11" x14ac:dyDescent="0.25">
      <c r="A849" t="str">
        <f t="shared" si="52"/>
        <v>62020</v>
      </c>
      <c r="B849" s="1">
        <v>43993</v>
      </c>
      <c r="C849" s="10">
        <v>44141.645833333336</v>
      </c>
      <c r="D849">
        <v>10094.1</v>
      </c>
      <c r="E849">
        <v>10112.049999999999</v>
      </c>
      <c r="F849">
        <v>9885.0499999999993</v>
      </c>
      <c r="G849">
        <v>9902</v>
      </c>
      <c r="H849">
        <v>0</v>
      </c>
      <c r="I849" s="8">
        <f t="shared" si="53"/>
        <v>-2.1169120663493524E-2</v>
      </c>
      <c r="J849" s="8">
        <f t="shared" si="54"/>
        <v>-2.139639975380881E-2</v>
      </c>
      <c r="K849" s="8">
        <f t="shared" si="51"/>
        <v>-5.2571652737180119E-2</v>
      </c>
    </row>
    <row r="850" spans="1:11" x14ac:dyDescent="0.25">
      <c r="A850" t="str">
        <f t="shared" si="52"/>
        <v>62020</v>
      </c>
      <c r="B850" s="1">
        <v>43994</v>
      </c>
      <c r="C850" s="10">
        <v>44171.645833333336</v>
      </c>
      <c r="D850">
        <v>9544.9500000000007</v>
      </c>
      <c r="E850">
        <v>9996.0499999999993</v>
      </c>
      <c r="F850">
        <v>9544.35</v>
      </c>
      <c r="G850">
        <v>9972.9</v>
      </c>
      <c r="H850">
        <v>0</v>
      </c>
      <c r="I850" s="8">
        <f t="shared" si="53"/>
        <v>7.1601696626943934E-3</v>
      </c>
      <c r="J850" s="8">
        <f t="shared" si="54"/>
        <v>7.1346573571307781E-3</v>
      </c>
      <c r="K850" s="8">
        <f t="shared" si="51"/>
        <v>-4.6422014839746062E-2</v>
      </c>
    </row>
    <row r="851" spans="1:11" x14ac:dyDescent="0.25">
      <c r="A851" t="str">
        <f t="shared" si="52"/>
        <v>62020</v>
      </c>
      <c r="B851" s="1">
        <v>43997</v>
      </c>
      <c r="C851" t="s">
        <v>539</v>
      </c>
      <c r="D851">
        <v>9919.35</v>
      </c>
      <c r="E851">
        <v>9943.35</v>
      </c>
      <c r="F851">
        <v>9726.35</v>
      </c>
      <c r="G851">
        <v>9813.7000000000007</v>
      </c>
      <c r="H851">
        <v>0</v>
      </c>
      <c r="I851" s="8">
        <f t="shared" si="53"/>
        <v>-1.596326043578089E-2</v>
      </c>
      <c r="J851" s="8">
        <f t="shared" si="54"/>
        <v>-1.6092045671383177E-2</v>
      </c>
      <c r="K851" s="8">
        <f t="shared" si="51"/>
        <v>2.3310375750118739E-2</v>
      </c>
    </row>
    <row r="852" spans="1:11" x14ac:dyDescent="0.25">
      <c r="A852" t="str">
        <f t="shared" si="52"/>
        <v>62020</v>
      </c>
      <c r="B852" s="1">
        <v>43998</v>
      </c>
      <c r="C852" t="s">
        <v>540</v>
      </c>
      <c r="D852">
        <v>10014.799999999999</v>
      </c>
      <c r="E852">
        <v>10046.15</v>
      </c>
      <c r="F852">
        <v>9728.5</v>
      </c>
      <c r="G852">
        <v>9914</v>
      </c>
      <c r="H852">
        <v>0</v>
      </c>
      <c r="I852" s="8">
        <f t="shared" si="53"/>
        <v>1.0220406166889129E-2</v>
      </c>
      <c r="J852" s="8">
        <f t="shared" si="54"/>
        <v>1.0168530973403287E-2</v>
      </c>
      <c r="K852" s="8">
        <f t="shared" si="51"/>
        <v>-4.1385406621665677E-3</v>
      </c>
    </row>
    <row r="853" spans="1:11" x14ac:dyDescent="0.25">
      <c r="A853" t="str">
        <f t="shared" si="52"/>
        <v>62020</v>
      </c>
      <c r="B853" s="1">
        <v>43999</v>
      </c>
      <c r="C853" t="s">
        <v>541</v>
      </c>
      <c r="D853">
        <v>9876.7000000000007</v>
      </c>
      <c r="E853">
        <v>10003.6</v>
      </c>
      <c r="F853">
        <v>9833.7999999999993</v>
      </c>
      <c r="G853">
        <v>9881.15</v>
      </c>
      <c r="H853">
        <v>0</v>
      </c>
      <c r="I853" s="8">
        <f t="shared" si="53"/>
        <v>-3.3134960661690416E-3</v>
      </c>
      <c r="J853" s="8">
        <f t="shared" si="54"/>
        <v>-3.3189978510494772E-3</v>
      </c>
      <c r="K853" s="8">
        <f t="shared" si="51"/>
        <v>7.4341661773979606E-2</v>
      </c>
    </row>
    <row r="854" spans="1:11" x14ac:dyDescent="0.25">
      <c r="A854" t="str">
        <f t="shared" si="52"/>
        <v>62020</v>
      </c>
      <c r="B854" s="1">
        <v>44000</v>
      </c>
      <c r="C854" t="s">
        <v>542</v>
      </c>
      <c r="D854">
        <v>9863.25</v>
      </c>
      <c r="E854">
        <v>10111.200000000001</v>
      </c>
      <c r="F854">
        <v>9845.0499999999993</v>
      </c>
      <c r="G854">
        <v>10091.65</v>
      </c>
      <c r="H854">
        <v>0</v>
      </c>
      <c r="I854" s="8">
        <f t="shared" si="53"/>
        <v>2.1303188394063532E-2</v>
      </c>
      <c r="J854" s="8">
        <f t="shared" si="54"/>
        <v>2.1079447494686824E-2</v>
      </c>
      <c r="K854" s="8">
        <f t="shared" si="51"/>
        <v>0.1254147127539158</v>
      </c>
    </row>
    <row r="855" spans="1:11" x14ac:dyDescent="0.25">
      <c r="A855" t="str">
        <f t="shared" si="52"/>
        <v>62020</v>
      </c>
      <c r="B855" s="1">
        <v>44001</v>
      </c>
      <c r="C855" t="s">
        <v>543</v>
      </c>
      <c r="D855">
        <v>10119</v>
      </c>
      <c r="E855">
        <v>10272.4</v>
      </c>
      <c r="F855">
        <v>10072.65</v>
      </c>
      <c r="G855">
        <v>10244.4</v>
      </c>
      <c r="H855">
        <v>0</v>
      </c>
      <c r="I855" s="8">
        <f t="shared" si="53"/>
        <v>1.5136276030183415E-2</v>
      </c>
      <c r="J855" s="8">
        <f t="shared" si="54"/>
        <v>1.5022865580104622E-2</v>
      </c>
      <c r="K855" s="8">
        <f t="shared" si="51"/>
        <v>0.20966370678254309</v>
      </c>
    </row>
    <row r="856" spans="1:11" x14ac:dyDescent="0.25">
      <c r="A856" t="str">
        <f t="shared" si="52"/>
        <v>62020</v>
      </c>
      <c r="B856" s="1">
        <v>44004</v>
      </c>
      <c r="C856" t="s">
        <v>544</v>
      </c>
      <c r="D856">
        <v>10318.75</v>
      </c>
      <c r="E856">
        <v>10393.65</v>
      </c>
      <c r="F856">
        <v>10277.6</v>
      </c>
      <c r="G856">
        <v>10311.200000000001</v>
      </c>
      <c r="H856">
        <v>0</v>
      </c>
      <c r="I856" s="8">
        <f t="shared" si="53"/>
        <v>6.5206356643630059E-3</v>
      </c>
      <c r="J856" s="8">
        <f t="shared" si="54"/>
        <v>6.4994682863088122E-3</v>
      </c>
      <c r="K856" s="8">
        <f t="shared" si="51"/>
        <v>0.24780811888496923</v>
      </c>
    </row>
    <row r="857" spans="1:11" x14ac:dyDescent="0.25">
      <c r="A857" t="str">
        <f t="shared" si="52"/>
        <v>62020</v>
      </c>
      <c r="B857" s="1">
        <v>44005</v>
      </c>
      <c r="C857" t="s">
        <v>545</v>
      </c>
      <c r="D857">
        <v>10347.950000000001</v>
      </c>
      <c r="E857">
        <v>10484.700000000001</v>
      </c>
      <c r="F857">
        <v>10301.75</v>
      </c>
      <c r="G857">
        <v>10471</v>
      </c>
      <c r="H857">
        <v>0</v>
      </c>
      <c r="I857" s="8">
        <f t="shared" si="53"/>
        <v>1.5497711226627242E-2</v>
      </c>
      <c r="J857" s="8">
        <f t="shared" si="54"/>
        <v>1.5378848196892156E-2</v>
      </c>
      <c r="K857" s="8">
        <f t="shared" si="51"/>
        <v>0.19730831460931109</v>
      </c>
    </row>
    <row r="858" spans="1:11" x14ac:dyDescent="0.25">
      <c r="A858" t="str">
        <f t="shared" si="52"/>
        <v>62020</v>
      </c>
      <c r="B858" s="1">
        <v>44006</v>
      </c>
      <c r="C858" t="s">
        <v>546</v>
      </c>
      <c r="D858">
        <v>10529.25</v>
      </c>
      <c r="E858">
        <v>10553.15</v>
      </c>
      <c r="F858">
        <v>10281.950000000001</v>
      </c>
      <c r="G858">
        <v>10305.299999999999</v>
      </c>
      <c r="H858">
        <v>0</v>
      </c>
      <c r="I858" s="8">
        <f t="shared" si="53"/>
        <v>-1.5824658580842366E-2</v>
      </c>
      <c r="J858" s="8">
        <f t="shared" si="54"/>
        <v>-1.5951205305137297E-2</v>
      </c>
      <c r="K858" s="8">
        <f t="shared" si="51"/>
        <v>0.35413422686508311</v>
      </c>
    </row>
    <row r="859" spans="1:11" x14ac:dyDescent="0.25">
      <c r="A859" t="str">
        <f t="shared" si="52"/>
        <v>62020</v>
      </c>
      <c r="B859" s="1">
        <v>44007</v>
      </c>
      <c r="C859" t="s">
        <v>547</v>
      </c>
      <c r="D859">
        <v>10235.549999999999</v>
      </c>
      <c r="E859">
        <v>10361.799999999999</v>
      </c>
      <c r="F859">
        <v>10194.5</v>
      </c>
      <c r="G859">
        <v>10288.9</v>
      </c>
      <c r="H859">
        <v>0</v>
      </c>
      <c r="I859" s="8">
        <f t="shared" si="53"/>
        <v>-1.5914141267114879E-3</v>
      </c>
      <c r="J859" s="8">
        <f t="shared" si="54"/>
        <v>-1.5926817712496291E-3</v>
      </c>
      <c r="K859" s="8">
        <f t="shared" si="51"/>
        <v>0.31891219771697399</v>
      </c>
    </row>
    <row r="860" spans="1:11" x14ac:dyDescent="0.25">
      <c r="A860" t="str">
        <f t="shared" si="52"/>
        <v>62020</v>
      </c>
      <c r="B860" s="1">
        <v>44008</v>
      </c>
      <c r="C860" t="s">
        <v>548</v>
      </c>
      <c r="D860">
        <v>10378.9</v>
      </c>
      <c r="E860">
        <v>10409.85</v>
      </c>
      <c r="F860">
        <v>10311.25</v>
      </c>
      <c r="G860">
        <v>10383</v>
      </c>
      <c r="H860">
        <v>0</v>
      </c>
      <c r="I860" s="8">
        <f t="shared" si="53"/>
        <v>9.1457784602824166E-3</v>
      </c>
      <c r="J860" s="8">
        <f t="shared" si="54"/>
        <v>9.1042090923787473E-3</v>
      </c>
      <c r="K860" s="8">
        <f t="shared" si="51"/>
        <v>0.24827930294487155</v>
      </c>
    </row>
    <row r="861" spans="1:11" x14ac:dyDescent="0.25">
      <c r="A861" t="str">
        <f t="shared" si="52"/>
        <v>62020</v>
      </c>
      <c r="B861" s="1">
        <v>44011</v>
      </c>
      <c r="C861" t="s">
        <v>549</v>
      </c>
      <c r="D861">
        <v>10311.950000000001</v>
      </c>
      <c r="E861">
        <v>10337.950000000001</v>
      </c>
      <c r="F861">
        <v>10223.6</v>
      </c>
      <c r="G861">
        <v>10312.4</v>
      </c>
      <c r="H861">
        <v>0</v>
      </c>
      <c r="I861" s="8">
        <f t="shared" si="53"/>
        <v>-6.7995762303766361E-3</v>
      </c>
      <c r="J861" s="8">
        <f t="shared" si="54"/>
        <v>-6.8227986772304633E-3</v>
      </c>
      <c r="K861" s="8">
        <f t="shared" si="51"/>
        <v>0.19336453951593757</v>
      </c>
    </row>
    <row r="862" spans="1:11" x14ac:dyDescent="0.25">
      <c r="A862" t="str">
        <f t="shared" si="52"/>
        <v>62020</v>
      </c>
      <c r="B862" s="1">
        <v>44012</v>
      </c>
      <c r="C862" t="s">
        <v>550</v>
      </c>
      <c r="D862">
        <v>10382.6</v>
      </c>
      <c r="E862">
        <v>10401.049999999999</v>
      </c>
      <c r="F862">
        <v>10267.35</v>
      </c>
      <c r="G862">
        <v>10302.1</v>
      </c>
      <c r="H862">
        <v>0</v>
      </c>
      <c r="I862" s="8">
        <f t="shared" si="53"/>
        <v>-9.9879756409748666E-4</v>
      </c>
      <c r="J862" s="8">
        <f t="shared" si="54"/>
        <v>-9.9929669476585162E-4</v>
      </c>
      <c r="K862" s="8">
        <f t="shared" si="51"/>
        <v>0.18958459628763613</v>
      </c>
    </row>
    <row r="863" spans="1:11" x14ac:dyDescent="0.25">
      <c r="A863" t="str">
        <f t="shared" si="52"/>
        <v>72020</v>
      </c>
      <c r="B863" s="1">
        <v>44013</v>
      </c>
      <c r="C863" s="10">
        <v>43837.645833333336</v>
      </c>
      <c r="D863">
        <v>10323.799999999999</v>
      </c>
      <c r="E863">
        <v>10447.049999999999</v>
      </c>
      <c r="F863">
        <v>10299.6</v>
      </c>
      <c r="G863">
        <v>10430.049999999999</v>
      </c>
      <c r="H863">
        <v>0</v>
      </c>
      <c r="I863" s="8">
        <f t="shared" si="53"/>
        <v>1.241979790528136E-2</v>
      </c>
      <c r="J863" s="8">
        <f t="shared" si="54"/>
        <v>1.2343304915724197E-2</v>
      </c>
      <c r="K863" s="8">
        <f t="shared" si="51"/>
        <v>0.25950054944391421</v>
      </c>
    </row>
    <row r="864" spans="1:11" x14ac:dyDescent="0.25">
      <c r="A864" t="str">
        <f t="shared" si="52"/>
        <v>72020</v>
      </c>
      <c r="B864" s="1">
        <v>44014</v>
      </c>
      <c r="C864" s="10">
        <v>43868.645833333336</v>
      </c>
      <c r="D864">
        <v>10493.05</v>
      </c>
      <c r="E864">
        <v>10598.2</v>
      </c>
      <c r="F864">
        <v>10485.549999999999</v>
      </c>
      <c r="G864">
        <v>10551.7</v>
      </c>
      <c r="H864">
        <v>0</v>
      </c>
      <c r="I864" s="8">
        <f t="shared" si="53"/>
        <v>1.1663414844607756E-2</v>
      </c>
      <c r="J864" s="8">
        <f t="shared" si="54"/>
        <v>1.1595921516546171E-2</v>
      </c>
      <c r="K864" s="8">
        <f t="shared" si="51"/>
        <v>0.22726294670117198</v>
      </c>
    </row>
    <row r="865" spans="1:11" x14ac:dyDescent="0.25">
      <c r="A865" t="str">
        <f t="shared" si="52"/>
        <v>72020</v>
      </c>
      <c r="B865" s="1">
        <v>44015</v>
      </c>
      <c r="C865" s="10">
        <v>43897.645833333336</v>
      </c>
      <c r="D865">
        <v>10614.95</v>
      </c>
      <c r="E865">
        <v>10631.3</v>
      </c>
      <c r="F865">
        <v>10562.65</v>
      </c>
      <c r="G865">
        <v>10607.35</v>
      </c>
      <c r="H865">
        <v>0</v>
      </c>
      <c r="I865" s="8">
        <f t="shared" si="53"/>
        <v>5.2740316726214154E-3</v>
      </c>
      <c r="J865" s="8">
        <f t="shared" si="54"/>
        <v>5.2601726747523682E-3</v>
      </c>
      <c r="K865" s="8">
        <f t="shared" si="51"/>
        <v>0.2851474472364246</v>
      </c>
    </row>
    <row r="866" spans="1:11" x14ac:dyDescent="0.25">
      <c r="A866" t="str">
        <f t="shared" si="52"/>
        <v>72020</v>
      </c>
      <c r="B866" s="1">
        <v>44018</v>
      </c>
      <c r="C866" s="10">
        <v>43989.645833333336</v>
      </c>
      <c r="D866">
        <v>10723.85</v>
      </c>
      <c r="E866">
        <v>10811.4</v>
      </c>
      <c r="F866">
        <v>10695.1</v>
      </c>
      <c r="G866">
        <v>10763.65</v>
      </c>
      <c r="H866">
        <v>0</v>
      </c>
      <c r="I866" s="8">
        <f t="shared" si="53"/>
        <v>1.4735065779860168E-2</v>
      </c>
      <c r="J866" s="8">
        <f t="shared" si="54"/>
        <v>1.4627559486280819E-2</v>
      </c>
      <c r="K866" s="8">
        <f t="shared" si="51"/>
        <v>0.3315086964051559</v>
      </c>
    </row>
    <row r="867" spans="1:11" x14ac:dyDescent="0.25">
      <c r="A867" t="str">
        <f t="shared" si="52"/>
        <v>72020</v>
      </c>
      <c r="B867" s="1">
        <v>44019</v>
      </c>
      <c r="C867" s="10">
        <v>44019.645833333336</v>
      </c>
      <c r="D867">
        <v>10802.85</v>
      </c>
      <c r="E867">
        <v>10813.8</v>
      </c>
      <c r="F867">
        <v>10689.7</v>
      </c>
      <c r="G867">
        <v>10799.65</v>
      </c>
      <c r="H867">
        <v>0</v>
      </c>
      <c r="I867" s="8">
        <f t="shared" si="53"/>
        <v>3.3445903573601221E-3</v>
      </c>
      <c r="J867" s="8">
        <f t="shared" si="54"/>
        <v>3.3390096550110133E-3</v>
      </c>
      <c r="K867" s="8">
        <f t="shared" si="51"/>
        <v>0.22832169422897564</v>
      </c>
    </row>
    <row r="868" spans="1:11" x14ac:dyDescent="0.25">
      <c r="A868" t="str">
        <f t="shared" si="52"/>
        <v>72020</v>
      </c>
      <c r="B868" s="1">
        <v>44020</v>
      </c>
      <c r="C868" s="10">
        <v>44050.645833333336</v>
      </c>
      <c r="D868">
        <v>10818.65</v>
      </c>
      <c r="E868">
        <v>10847.85</v>
      </c>
      <c r="F868">
        <v>10676.55</v>
      </c>
      <c r="G868">
        <v>10705.75</v>
      </c>
      <c r="H868">
        <v>0</v>
      </c>
      <c r="I868" s="8">
        <f t="shared" si="53"/>
        <v>-8.6947262179792872E-3</v>
      </c>
      <c r="J868" s="8">
        <f t="shared" si="54"/>
        <v>-8.7327458908366285E-3</v>
      </c>
      <c r="K868" s="8">
        <f t="shared" si="51"/>
        <v>0.22368909844263474</v>
      </c>
    </row>
    <row r="869" spans="1:11" x14ac:dyDescent="0.25">
      <c r="A869" t="str">
        <f t="shared" si="52"/>
        <v>72020</v>
      </c>
      <c r="B869" s="1">
        <v>44021</v>
      </c>
      <c r="C869" s="10">
        <v>44081.645833333336</v>
      </c>
      <c r="D869">
        <v>10755.55</v>
      </c>
      <c r="E869">
        <v>10836.85</v>
      </c>
      <c r="F869">
        <v>10733</v>
      </c>
      <c r="G869">
        <v>10813.45</v>
      </c>
      <c r="H869">
        <v>0</v>
      </c>
      <c r="I869" s="8">
        <f t="shared" si="53"/>
        <v>1.006001447820104E-2</v>
      </c>
      <c r="J869" s="8">
        <f t="shared" si="54"/>
        <v>1.000974936330002E-2</v>
      </c>
      <c r="K869" s="8">
        <f t="shared" si="51"/>
        <v>0.18673931891263096</v>
      </c>
    </row>
    <row r="870" spans="1:11" x14ac:dyDescent="0.25">
      <c r="A870" t="str">
        <f t="shared" si="52"/>
        <v>72020</v>
      </c>
      <c r="B870" s="1">
        <v>44022</v>
      </c>
      <c r="C870" s="10">
        <v>44111.645833333336</v>
      </c>
      <c r="D870">
        <v>10764.1</v>
      </c>
      <c r="E870">
        <v>10819.4</v>
      </c>
      <c r="F870">
        <v>10713</v>
      </c>
      <c r="G870">
        <v>10768.05</v>
      </c>
      <c r="H870">
        <v>0</v>
      </c>
      <c r="I870" s="8">
        <f t="shared" si="53"/>
        <v>-4.1984750472792154E-3</v>
      </c>
      <c r="J870" s="8">
        <f t="shared" si="54"/>
        <v>-4.2073133906914339E-3</v>
      </c>
      <c r="K870" s="8">
        <f t="shared" si="51"/>
        <v>0.19726813322436976</v>
      </c>
    </row>
    <row r="871" spans="1:11" x14ac:dyDescent="0.25">
      <c r="A871" t="str">
        <f t="shared" si="52"/>
        <v>72020</v>
      </c>
      <c r="B871" s="1">
        <v>44025</v>
      </c>
      <c r="C871" t="s">
        <v>551</v>
      </c>
      <c r="D871">
        <v>10851.85</v>
      </c>
      <c r="E871">
        <v>10894.05</v>
      </c>
      <c r="F871">
        <v>10756.05</v>
      </c>
      <c r="G871">
        <v>10802.7</v>
      </c>
      <c r="H871">
        <v>0</v>
      </c>
      <c r="I871" s="8">
        <f t="shared" si="53"/>
        <v>3.2178528145765384E-3</v>
      </c>
      <c r="J871" s="8">
        <f t="shared" si="54"/>
        <v>3.2126866059741998E-3</v>
      </c>
      <c r="K871" s="8">
        <f t="shared" si="51"/>
        <v>0.21034587072703448</v>
      </c>
    </row>
    <row r="872" spans="1:11" x14ac:dyDescent="0.25">
      <c r="A872" t="str">
        <f t="shared" si="52"/>
        <v>72020</v>
      </c>
      <c r="B872" s="1">
        <v>44026</v>
      </c>
      <c r="C872" t="s">
        <v>552</v>
      </c>
      <c r="D872">
        <v>10750.85</v>
      </c>
      <c r="E872">
        <v>10755.65</v>
      </c>
      <c r="F872">
        <v>10562.9</v>
      </c>
      <c r="G872">
        <v>10607.35</v>
      </c>
      <c r="H872">
        <v>0</v>
      </c>
      <c r="I872" s="8">
        <f t="shared" si="53"/>
        <v>-1.8083442102437397E-2</v>
      </c>
      <c r="J872" s="8">
        <f t="shared" si="54"/>
        <v>-1.8248945829038105E-2</v>
      </c>
      <c r="K872" s="8">
        <f t="shared" si="51"/>
        <v>0.17953807490436802</v>
      </c>
    </row>
    <row r="873" spans="1:11" x14ac:dyDescent="0.25">
      <c r="A873" t="str">
        <f t="shared" si="52"/>
        <v>72020</v>
      </c>
      <c r="B873" s="1">
        <v>44027</v>
      </c>
      <c r="C873" t="s">
        <v>553</v>
      </c>
      <c r="D873">
        <v>10701</v>
      </c>
      <c r="E873">
        <v>10827.45</v>
      </c>
      <c r="F873">
        <v>10577.75</v>
      </c>
      <c r="G873">
        <v>10618.2</v>
      </c>
      <c r="H873">
        <v>0</v>
      </c>
      <c r="I873" s="8">
        <f t="shared" si="53"/>
        <v>1.0228756475463285E-3</v>
      </c>
      <c r="J873" s="8">
        <f t="shared" si="54"/>
        <v>1.0223528667139743E-3</v>
      </c>
      <c r="K873" s="8">
        <f t="shared" si="51"/>
        <v>0.1458386165592036</v>
      </c>
    </row>
    <row r="874" spans="1:11" x14ac:dyDescent="0.25">
      <c r="A874" t="str">
        <f t="shared" si="52"/>
        <v>72020</v>
      </c>
      <c r="B874" s="1">
        <v>44028</v>
      </c>
      <c r="C874" t="s">
        <v>554</v>
      </c>
      <c r="D874">
        <v>10706.2</v>
      </c>
      <c r="E874">
        <v>10755.3</v>
      </c>
      <c r="F874">
        <v>10595.2</v>
      </c>
      <c r="G874">
        <v>10739.95</v>
      </c>
      <c r="H874">
        <v>0</v>
      </c>
      <c r="I874" s="8">
        <f t="shared" si="53"/>
        <v>1.1466161873010527E-2</v>
      </c>
      <c r="J874" s="8">
        <f t="shared" si="54"/>
        <v>1.1400923653342283E-2</v>
      </c>
      <c r="K874" s="8">
        <f t="shared" si="51"/>
        <v>0.15959014667695981</v>
      </c>
    </row>
    <row r="875" spans="1:11" x14ac:dyDescent="0.25">
      <c r="A875" t="str">
        <f t="shared" si="52"/>
        <v>72020</v>
      </c>
      <c r="B875" s="1">
        <v>44029</v>
      </c>
      <c r="C875" t="s">
        <v>555</v>
      </c>
      <c r="D875">
        <v>10752</v>
      </c>
      <c r="E875">
        <v>10933.45</v>
      </c>
      <c r="F875">
        <v>10749.65</v>
      </c>
      <c r="G875">
        <v>10901.7</v>
      </c>
      <c r="H875">
        <v>0</v>
      </c>
      <c r="I875" s="8">
        <f t="shared" si="53"/>
        <v>1.5060591529755696E-2</v>
      </c>
      <c r="J875" s="8">
        <f t="shared" si="54"/>
        <v>1.4948306800439333E-2</v>
      </c>
      <c r="K875" s="8">
        <f t="shared" si="51"/>
        <v>0.21380178033613717</v>
      </c>
    </row>
    <row r="876" spans="1:11" x14ac:dyDescent="0.25">
      <c r="A876" t="str">
        <f t="shared" si="52"/>
        <v>72020</v>
      </c>
      <c r="B876" s="1">
        <v>44032</v>
      </c>
      <c r="C876" t="s">
        <v>556</v>
      </c>
      <c r="D876">
        <v>10999.45</v>
      </c>
      <c r="E876">
        <v>11037.9</v>
      </c>
      <c r="F876">
        <v>10953</v>
      </c>
      <c r="G876">
        <v>11022.2</v>
      </c>
      <c r="H876">
        <v>0</v>
      </c>
      <c r="I876" s="8">
        <f t="shared" si="53"/>
        <v>1.1053321958960582E-2</v>
      </c>
      <c r="J876" s="8">
        <f t="shared" si="54"/>
        <v>1.0992680446704291E-2</v>
      </c>
      <c r="K876" s="8">
        <f t="shared" si="51"/>
        <v>0.19972135447846506</v>
      </c>
    </row>
    <row r="877" spans="1:11" x14ac:dyDescent="0.25">
      <c r="A877" t="str">
        <f t="shared" si="52"/>
        <v>72020</v>
      </c>
      <c r="B877" s="1">
        <v>44033</v>
      </c>
      <c r="C877" t="s">
        <v>557</v>
      </c>
      <c r="D877">
        <v>11126.1</v>
      </c>
      <c r="E877">
        <v>11179.55</v>
      </c>
      <c r="F877">
        <v>11113.25</v>
      </c>
      <c r="G877">
        <v>11162.25</v>
      </c>
      <c r="H877">
        <v>0</v>
      </c>
      <c r="I877" s="8">
        <f t="shared" si="53"/>
        <v>1.2706174810836135E-2</v>
      </c>
      <c r="J877" s="8">
        <f t="shared" si="54"/>
        <v>1.2626128711697352E-2</v>
      </c>
      <c r="K877" s="8">
        <f t="shared" si="51"/>
        <v>0.19845070271314924</v>
      </c>
    </row>
    <row r="878" spans="1:11" x14ac:dyDescent="0.25">
      <c r="A878" t="str">
        <f t="shared" si="52"/>
        <v>72020</v>
      </c>
      <c r="B878" s="1">
        <v>44034</v>
      </c>
      <c r="C878" t="s">
        <v>558</v>
      </c>
      <c r="D878">
        <v>11231.2</v>
      </c>
      <c r="E878">
        <v>11238.1</v>
      </c>
      <c r="F878">
        <v>11056.55</v>
      </c>
      <c r="G878">
        <v>11132.6</v>
      </c>
      <c r="H878">
        <v>0</v>
      </c>
      <c r="I878" s="8">
        <f t="shared" si="53"/>
        <v>-2.6562744966291962E-3</v>
      </c>
      <c r="J878" s="8">
        <f t="shared" si="54"/>
        <v>-2.6598086535778794E-3</v>
      </c>
      <c r="K878" s="8">
        <f t="shared" si="51"/>
        <v>0.21609280783011453</v>
      </c>
    </row>
    <row r="879" spans="1:11" x14ac:dyDescent="0.25">
      <c r="A879" t="str">
        <f t="shared" si="52"/>
        <v>72020</v>
      </c>
      <c r="B879" s="1">
        <v>44035</v>
      </c>
      <c r="C879" t="s">
        <v>559</v>
      </c>
      <c r="D879">
        <v>11135</v>
      </c>
      <c r="E879">
        <v>11239.8</v>
      </c>
      <c r="F879">
        <v>11103.15</v>
      </c>
      <c r="G879">
        <v>11215.45</v>
      </c>
      <c r="H879">
        <v>0</v>
      </c>
      <c r="I879" s="8">
        <f t="shared" si="53"/>
        <v>7.4421069651293692E-3</v>
      </c>
      <c r="J879" s="8">
        <f t="shared" si="54"/>
        <v>7.414551118342539E-3</v>
      </c>
      <c r="K879" s="8">
        <f t="shared" si="51"/>
        <v>0.20826196093640603</v>
      </c>
    </row>
    <row r="880" spans="1:11" x14ac:dyDescent="0.25">
      <c r="A880" t="str">
        <f t="shared" si="52"/>
        <v>72020</v>
      </c>
      <c r="B880" s="1">
        <v>44036</v>
      </c>
      <c r="C880" t="s">
        <v>560</v>
      </c>
      <c r="D880">
        <v>11149.95</v>
      </c>
      <c r="E880">
        <v>11225.4</v>
      </c>
      <c r="F880">
        <v>11090.3</v>
      </c>
      <c r="G880">
        <v>11194.15</v>
      </c>
      <c r="H880">
        <v>0</v>
      </c>
      <c r="I880" s="8">
        <f t="shared" si="53"/>
        <v>-1.8991658827778313E-3</v>
      </c>
      <c r="J880" s="8">
        <f t="shared" si="54"/>
        <v>-1.9009715848837335E-3</v>
      </c>
      <c r="K880" s="8">
        <f t="shared" si="51"/>
        <v>0.19329168843074762</v>
      </c>
    </row>
    <row r="881" spans="1:11" x14ac:dyDescent="0.25">
      <c r="A881" t="str">
        <f t="shared" si="52"/>
        <v>72020</v>
      </c>
      <c r="B881" s="1">
        <v>44039</v>
      </c>
      <c r="C881" t="s">
        <v>561</v>
      </c>
      <c r="D881">
        <v>11225</v>
      </c>
      <c r="E881">
        <v>11225</v>
      </c>
      <c r="F881">
        <v>11087.85</v>
      </c>
      <c r="G881">
        <v>11131.8</v>
      </c>
      <c r="H881">
        <v>0</v>
      </c>
      <c r="I881" s="8">
        <f t="shared" si="53"/>
        <v>-5.5698735500239183E-3</v>
      </c>
      <c r="J881" s="8">
        <f t="shared" si="54"/>
        <v>-5.5854431363716118E-3</v>
      </c>
      <c r="K881" s="8">
        <f t="shared" si="51"/>
        <v>0.16522476408799003</v>
      </c>
    </row>
    <row r="882" spans="1:11" x14ac:dyDescent="0.25">
      <c r="A882" t="str">
        <f t="shared" si="52"/>
        <v>72020</v>
      </c>
      <c r="B882" s="1">
        <v>44040</v>
      </c>
      <c r="C882" t="s">
        <v>562</v>
      </c>
      <c r="D882">
        <v>11154.1</v>
      </c>
      <c r="E882">
        <v>11317.75</v>
      </c>
      <c r="F882">
        <v>11151.4</v>
      </c>
      <c r="G882">
        <v>11300.55</v>
      </c>
      <c r="H882">
        <v>0</v>
      </c>
      <c r="I882" s="8">
        <f t="shared" si="53"/>
        <v>1.5159273432868048E-2</v>
      </c>
      <c r="J882" s="8">
        <f t="shared" si="54"/>
        <v>1.504551982144569E-2</v>
      </c>
      <c r="K882" s="8">
        <f t="shared" si="51"/>
        <v>0.14611202953376812</v>
      </c>
    </row>
    <row r="883" spans="1:11" x14ac:dyDescent="0.25">
      <c r="A883" t="str">
        <f t="shared" si="52"/>
        <v>72020</v>
      </c>
      <c r="B883" s="1">
        <v>44041</v>
      </c>
      <c r="C883" t="s">
        <v>563</v>
      </c>
      <c r="D883">
        <v>11276.9</v>
      </c>
      <c r="E883">
        <v>11341.4</v>
      </c>
      <c r="F883">
        <v>11149.75</v>
      </c>
      <c r="G883">
        <v>11202.85</v>
      </c>
      <c r="H883">
        <v>0</v>
      </c>
      <c r="I883" s="8">
        <f t="shared" si="53"/>
        <v>-8.6455968957261931E-3</v>
      </c>
      <c r="J883" s="8">
        <f t="shared" si="54"/>
        <v>-8.6831868839774111E-3</v>
      </c>
      <c r="K883" s="8">
        <f t="shared" si="51"/>
        <v>0.20545004573088721</v>
      </c>
    </row>
    <row r="884" spans="1:11" x14ac:dyDescent="0.25">
      <c r="A884" t="str">
        <f t="shared" si="52"/>
        <v>72020</v>
      </c>
      <c r="B884" s="1">
        <v>44042</v>
      </c>
      <c r="C884" t="s">
        <v>564</v>
      </c>
      <c r="D884">
        <v>11254.3</v>
      </c>
      <c r="E884">
        <v>11299.95</v>
      </c>
      <c r="F884">
        <v>11084.95</v>
      </c>
      <c r="G884">
        <v>11102.15</v>
      </c>
      <c r="H884">
        <v>0</v>
      </c>
      <c r="I884" s="8">
        <f t="shared" si="53"/>
        <v>-8.9887841040450223E-3</v>
      </c>
      <c r="J884" s="8">
        <f t="shared" si="54"/>
        <v>-9.0294269604375872E-3</v>
      </c>
      <c r="K884" s="8">
        <f t="shared" si="51"/>
        <v>0.20602133483966267</v>
      </c>
    </row>
    <row r="885" spans="1:11" x14ac:dyDescent="0.25">
      <c r="A885" t="str">
        <f t="shared" si="52"/>
        <v>72020</v>
      </c>
      <c r="B885" s="1">
        <v>44043</v>
      </c>
      <c r="C885" t="s">
        <v>565</v>
      </c>
      <c r="D885">
        <v>11139.5</v>
      </c>
      <c r="E885">
        <v>11150.4</v>
      </c>
      <c r="F885">
        <v>11026.65</v>
      </c>
      <c r="G885">
        <v>11073.45</v>
      </c>
      <c r="H885">
        <v>0</v>
      </c>
      <c r="I885" s="8">
        <f t="shared" si="53"/>
        <v>-2.5850848709483287E-3</v>
      </c>
      <c r="J885" s="8">
        <f t="shared" si="54"/>
        <v>-2.5884319724486563E-3</v>
      </c>
      <c r="K885" s="8">
        <f t="shared" si="51"/>
        <v>0.19443096139533389</v>
      </c>
    </row>
    <row r="886" spans="1:11" x14ac:dyDescent="0.25">
      <c r="A886" t="str">
        <f t="shared" si="52"/>
        <v>82020</v>
      </c>
      <c r="B886" s="1">
        <v>44046</v>
      </c>
      <c r="C886" s="10">
        <v>43898.645833333336</v>
      </c>
      <c r="D886">
        <v>11057.55</v>
      </c>
      <c r="E886">
        <v>11058.05</v>
      </c>
      <c r="F886">
        <v>10882.25</v>
      </c>
      <c r="G886">
        <v>10891.6</v>
      </c>
      <c r="H886">
        <v>0</v>
      </c>
      <c r="I886" s="8">
        <f t="shared" si="53"/>
        <v>-1.6422162921221561E-2</v>
      </c>
      <c r="J886" s="8">
        <f t="shared" si="54"/>
        <v>-1.6558501347417372E-2</v>
      </c>
      <c r="K886" s="8">
        <f t="shared" si="51"/>
        <v>0.18399182524282409</v>
      </c>
    </row>
    <row r="887" spans="1:11" x14ac:dyDescent="0.25">
      <c r="A887" t="str">
        <f t="shared" si="52"/>
        <v>82020</v>
      </c>
      <c r="B887" s="1">
        <v>44047</v>
      </c>
      <c r="C887" s="10">
        <v>43929.645833333336</v>
      </c>
      <c r="D887">
        <v>10946.65</v>
      </c>
      <c r="E887">
        <v>11112.25</v>
      </c>
      <c r="F887">
        <v>10908.1</v>
      </c>
      <c r="G887">
        <v>11095.25</v>
      </c>
      <c r="H887">
        <v>0</v>
      </c>
      <c r="I887" s="8">
        <f t="shared" si="53"/>
        <v>1.8697895625986893E-2</v>
      </c>
      <c r="J887" s="8">
        <f t="shared" si="54"/>
        <v>1.8525238867160679E-2</v>
      </c>
      <c r="K887" s="8">
        <f t="shared" si="51"/>
        <v>0.19929200670161595</v>
      </c>
    </row>
    <row r="888" spans="1:11" x14ac:dyDescent="0.25">
      <c r="A888" t="str">
        <f t="shared" si="52"/>
        <v>82020</v>
      </c>
      <c r="B888" s="1">
        <v>44048</v>
      </c>
      <c r="C888" s="10">
        <v>43959.645833333336</v>
      </c>
      <c r="D888">
        <v>11155.75</v>
      </c>
      <c r="E888">
        <v>11225.65</v>
      </c>
      <c r="F888">
        <v>11064.05</v>
      </c>
      <c r="G888">
        <v>11101.65</v>
      </c>
      <c r="H888">
        <v>0</v>
      </c>
      <c r="I888" s="8">
        <f t="shared" si="53"/>
        <v>5.7682341542553139E-4</v>
      </c>
      <c r="J888" s="8">
        <f t="shared" si="54"/>
        <v>5.7665711674614829E-4</v>
      </c>
      <c r="K888" s="8">
        <f t="shared" si="51"/>
        <v>0.20158130574075672</v>
      </c>
    </row>
    <row r="889" spans="1:11" x14ac:dyDescent="0.25">
      <c r="A889" t="str">
        <f t="shared" si="52"/>
        <v>82020</v>
      </c>
      <c r="B889" s="1">
        <v>44049</v>
      </c>
      <c r="C889" s="10">
        <v>43990.645833333336</v>
      </c>
      <c r="D889">
        <v>11185.7</v>
      </c>
      <c r="E889">
        <v>11256.8</v>
      </c>
      <c r="F889">
        <v>11127.3</v>
      </c>
      <c r="G889">
        <v>11200.15</v>
      </c>
      <c r="H889">
        <v>0</v>
      </c>
      <c r="I889" s="8">
        <f t="shared" si="53"/>
        <v>8.8725549805659387E-3</v>
      </c>
      <c r="J889" s="8">
        <f t="shared" si="54"/>
        <v>8.8334251486867181E-3</v>
      </c>
      <c r="K889" s="8">
        <f t="shared" si="51"/>
        <v>0.21786430781108135</v>
      </c>
    </row>
    <row r="890" spans="1:11" x14ac:dyDescent="0.25">
      <c r="A890" t="str">
        <f t="shared" si="52"/>
        <v>82020</v>
      </c>
      <c r="B890" s="1">
        <v>44050</v>
      </c>
      <c r="C890" s="10">
        <v>44020.645833333336</v>
      </c>
      <c r="D890">
        <v>11186.65</v>
      </c>
      <c r="E890">
        <v>11231.9</v>
      </c>
      <c r="F890">
        <v>11142.05</v>
      </c>
      <c r="G890">
        <v>11214.05</v>
      </c>
      <c r="H890">
        <v>0</v>
      </c>
      <c r="I890" s="8">
        <f t="shared" si="53"/>
        <v>1.2410548073016336E-3</v>
      </c>
      <c r="J890" s="8">
        <f t="shared" si="54"/>
        <v>1.2402853353563766E-3</v>
      </c>
      <c r="K890" s="8">
        <f t="shared" si="51"/>
        <v>0.19507542454614724</v>
      </c>
    </row>
    <row r="891" spans="1:11" x14ac:dyDescent="0.25">
      <c r="A891" t="str">
        <f t="shared" si="52"/>
        <v>82020</v>
      </c>
      <c r="B891" s="1">
        <v>44053</v>
      </c>
      <c r="C891" s="10">
        <v>44112.645833333336</v>
      </c>
      <c r="D891">
        <v>11270.25</v>
      </c>
      <c r="E891">
        <v>11337.3</v>
      </c>
      <c r="F891">
        <v>11238</v>
      </c>
      <c r="G891">
        <v>11270.15</v>
      </c>
      <c r="H891">
        <v>0</v>
      </c>
      <c r="I891" s="8">
        <f t="shared" si="53"/>
        <v>5.0026529220041915E-3</v>
      </c>
      <c r="J891" s="8">
        <f t="shared" si="54"/>
        <v>4.9901812309422651E-3</v>
      </c>
      <c r="K891" s="8">
        <f t="shared" si="51"/>
        <v>0.23268710180197427</v>
      </c>
    </row>
    <row r="892" spans="1:11" x14ac:dyDescent="0.25">
      <c r="A892" t="str">
        <f t="shared" si="52"/>
        <v>82020</v>
      </c>
      <c r="B892" s="1">
        <v>44054</v>
      </c>
      <c r="C892" s="10">
        <v>44143.645833333336</v>
      </c>
      <c r="D892">
        <v>11322.25</v>
      </c>
      <c r="E892">
        <v>11373.6</v>
      </c>
      <c r="F892">
        <v>11299.15</v>
      </c>
      <c r="G892">
        <v>11322.5</v>
      </c>
      <c r="H892">
        <v>0</v>
      </c>
      <c r="I892" s="8">
        <f t="shared" si="53"/>
        <v>4.6450135978670648E-3</v>
      </c>
      <c r="J892" s="8">
        <f t="shared" si="54"/>
        <v>4.6342588134252122E-3</v>
      </c>
      <c r="K892" s="8">
        <f t="shared" si="51"/>
        <v>0.23921263892917133</v>
      </c>
    </row>
    <row r="893" spans="1:11" x14ac:dyDescent="0.25">
      <c r="A893" t="str">
        <f t="shared" si="52"/>
        <v>82020</v>
      </c>
      <c r="B893" s="1">
        <v>44055</v>
      </c>
      <c r="C893" s="10">
        <v>44173.645833333336</v>
      </c>
      <c r="D893">
        <v>11289</v>
      </c>
      <c r="E893">
        <v>11322</v>
      </c>
      <c r="F893">
        <v>11242.65</v>
      </c>
      <c r="G893">
        <v>11308.4</v>
      </c>
      <c r="H893">
        <v>0</v>
      </c>
      <c r="I893" s="8">
        <f t="shared" si="53"/>
        <v>-1.2453080150144347E-3</v>
      </c>
      <c r="J893" s="8">
        <f t="shared" si="54"/>
        <v>-1.246084055380327E-3</v>
      </c>
      <c r="K893" s="8">
        <f t="shared" si="51"/>
        <v>0.28165925254299706</v>
      </c>
    </row>
    <row r="894" spans="1:11" x14ac:dyDescent="0.25">
      <c r="A894" t="str">
        <f t="shared" si="52"/>
        <v>82020</v>
      </c>
      <c r="B894" s="1">
        <v>44056</v>
      </c>
      <c r="C894" t="s">
        <v>566</v>
      </c>
      <c r="D894">
        <v>11334.85</v>
      </c>
      <c r="E894">
        <v>11359.3</v>
      </c>
      <c r="F894">
        <v>11269.95</v>
      </c>
      <c r="G894">
        <v>11300.45</v>
      </c>
      <c r="H894">
        <v>0</v>
      </c>
      <c r="I894" s="8">
        <f t="shared" si="53"/>
        <v>-7.0301722613264062E-4</v>
      </c>
      <c r="J894" s="8">
        <f t="shared" si="54"/>
        <v>-7.0326445862201709E-4</v>
      </c>
      <c r="K894" s="8">
        <f t="shared" si="51"/>
        <v>0.27270218828484882</v>
      </c>
    </row>
    <row r="895" spans="1:11" x14ac:dyDescent="0.25">
      <c r="A895" t="str">
        <f t="shared" si="52"/>
        <v>82020</v>
      </c>
      <c r="B895" s="1">
        <v>44057</v>
      </c>
      <c r="C895" t="s">
        <v>567</v>
      </c>
      <c r="D895">
        <v>11353.3</v>
      </c>
      <c r="E895">
        <v>11366.25</v>
      </c>
      <c r="F895">
        <v>11111.45</v>
      </c>
      <c r="G895">
        <v>11178.4</v>
      </c>
      <c r="H895">
        <v>0</v>
      </c>
      <c r="I895" s="8">
        <f t="shared" si="53"/>
        <v>-1.0800454849143271E-2</v>
      </c>
      <c r="J895" s="8">
        <f t="shared" si="54"/>
        <v>-1.0859203150128484E-2</v>
      </c>
      <c r="K895" s="8">
        <f t="shared" si="51"/>
        <v>0.23292762958346902</v>
      </c>
    </row>
    <row r="896" spans="1:11" x14ac:dyDescent="0.25">
      <c r="A896" t="str">
        <f t="shared" si="52"/>
        <v>82020</v>
      </c>
      <c r="B896" s="1">
        <v>44060</v>
      </c>
      <c r="C896" t="s">
        <v>568</v>
      </c>
      <c r="D896">
        <v>11248.9</v>
      </c>
      <c r="E896">
        <v>11267.1</v>
      </c>
      <c r="F896">
        <v>11144.5</v>
      </c>
      <c r="G896">
        <v>11247.1</v>
      </c>
      <c r="H896">
        <v>0</v>
      </c>
      <c r="I896" s="8">
        <f t="shared" si="53"/>
        <v>6.1457811493594861E-3</v>
      </c>
      <c r="J896" s="8">
        <f t="shared" si="54"/>
        <v>6.126972858148093E-3</v>
      </c>
      <c r="K896" s="8">
        <f t="shared" ref="K896:K959" si="55">+G896/G835-1</f>
        <v>0.23509677419354835</v>
      </c>
    </row>
    <row r="897" spans="1:11" x14ac:dyDescent="0.25">
      <c r="A897" t="str">
        <f t="shared" si="52"/>
        <v>82020</v>
      </c>
      <c r="B897" s="1">
        <v>44061</v>
      </c>
      <c r="C897" t="s">
        <v>569</v>
      </c>
      <c r="D897">
        <v>11259.8</v>
      </c>
      <c r="E897">
        <v>11401.7</v>
      </c>
      <c r="F897">
        <v>11253.15</v>
      </c>
      <c r="G897">
        <v>11385.35</v>
      </c>
      <c r="H897">
        <v>0</v>
      </c>
      <c r="I897" s="8">
        <f t="shared" si="53"/>
        <v>1.2292057508157761E-2</v>
      </c>
      <c r="J897" s="8">
        <f t="shared" si="54"/>
        <v>1.2217123605577227E-2</v>
      </c>
      <c r="K897" s="8">
        <f t="shared" si="55"/>
        <v>0.25954586940288182</v>
      </c>
    </row>
    <row r="898" spans="1:11" x14ac:dyDescent="0.25">
      <c r="A898" t="str">
        <f t="shared" si="52"/>
        <v>82020</v>
      </c>
      <c r="B898" s="1">
        <v>44062</v>
      </c>
      <c r="C898" t="s">
        <v>570</v>
      </c>
      <c r="D898">
        <v>11452.15</v>
      </c>
      <c r="E898">
        <v>11460.35</v>
      </c>
      <c r="F898">
        <v>11394.1</v>
      </c>
      <c r="G898">
        <v>11408.4</v>
      </c>
      <c r="H898">
        <v>0</v>
      </c>
      <c r="I898" s="8">
        <f t="shared" si="53"/>
        <v>2.024531525161688E-3</v>
      </c>
      <c r="J898" s="8">
        <f t="shared" si="54"/>
        <v>2.0224849230216792E-3</v>
      </c>
      <c r="K898" s="8">
        <f t="shared" si="55"/>
        <v>0.26352163295141806</v>
      </c>
    </row>
    <row r="899" spans="1:11" x14ac:dyDescent="0.25">
      <c r="A899" t="str">
        <f t="shared" ref="A899:A962" si="56">+MONTH(B899)&amp;YEAR(B899)</f>
        <v>82020</v>
      </c>
      <c r="B899" s="1">
        <v>44063</v>
      </c>
      <c r="C899" t="s">
        <v>571</v>
      </c>
      <c r="D899">
        <v>11317.45</v>
      </c>
      <c r="E899">
        <v>11361.45</v>
      </c>
      <c r="F899">
        <v>11289.8</v>
      </c>
      <c r="G899">
        <v>11312.2</v>
      </c>
      <c r="H899">
        <v>0</v>
      </c>
      <c r="I899" s="8">
        <f t="shared" si="53"/>
        <v>-8.4323831562707063E-3</v>
      </c>
      <c r="J899" s="8">
        <f t="shared" si="54"/>
        <v>-8.4681368334637991E-3</v>
      </c>
      <c r="K899" s="8">
        <f t="shared" si="55"/>
        <v>0.21441338922914244</v>
      </c>
    </row>
    <row r="900" spans="1:11" x14ac:dyDescent="0.25">
      <c r="A900" t="str">
        <f t="shared" si="56"/>
        <v>82020</v>
      </c>
      <c r="B900" s="1">
        <v>44064</v>
      </c>
      <c r="C900" t="s">
        <v>572</v>
      </c>
      <c r="D900">
        <v>11409.65</v>
      </c>
      <c r="E900">
        <v>11418.5</v>
      </c>
      <c r="F900">
        <v>11362.2</v>
      </c>
      <c r="G900">
        <v>11371.6</v>
      </c>
      <c r="H900">
        <v>0</v>
      </c>
      <c r="I900" s="8">
        <f t="shared" ref="I900:I963" si="57">+G900/G899-1</f>
        <v>5.2509679814713994E-3</v>
      </c>
      <c r="J900" s="8">
        <f t="shared" ref="J900:J963" si="58">+LN(1+I900)</f>
        <v>5.2372297208920626E-3</v>
      </c>
      <c r="K900" s="8">
        <f t="shared" si="55"/>
        <v>0.19825923857493599</v>
      </c>
    </row>
    <row r="901" spans="1:11" x14ac:dyDescent="0.25">
      <c r="A901" t="str">
        <f t="shared" si="56"/>
        <v>82020</v>
      </c>
      <c r="B901" s="1">
        <v>44067</v>
      </c>
      <c r="C901" t="s">
        <v>573</v>
      </c>
      <c r="D901">
        <v>11412</v>
      </c>
      <c r="E901">
        <v>11497.25</v>
      </c>
      <c r="F901">
        <v>11410.65</v>
      </c>
      <c r="G901">
        <v>11466.45</v>
      </c>
      <c r="H901">
        <v>0</v>
      </c>
      <c r="I901" s="8">
        <f t="shared" si="57"/>
        <v>8.3409546589749972E-3</v>
      </c>
      <c r="J901" s="8">
        <f t="shared" si="58"/>
        <v>8.3063611256103259E-3</v>
      </c>
      <c r="K901" s="8">
        <f t="shared" si="55"/>
        <v>0.1968779683308457</v>
      </c>
    </row>
    <row r="902" spans="1:11" x14ac:dyDescent="0.25">
      <c r="A902" t="str">
        <f t="shared" si="56"/>
        <v>82020</v>
      </c>
      <c r="B902" s="1">
        <v>44068</v>
      </c>
      <c r="C902" t="s">
        <v>574</v>
      </c>
      <c r="D902">
        <v>11513.1</v>
      </c>
      <c r="E902">
        <v>11525.9</v>
      </c>
      <c r="F902">
        <v>11423.35</v>
      </c>
      <c r="G902">
        <v>11472.25</v>
      </c>
      <c r="H902">
        <v>0</v>
      </c>
      <c r="I902" s="8">
        <f t="shared" si="57"/>
        <v>5.0582351120009861E-4</v>
      </c>
      <c r="J902" s="8">
        <f t="shared" si="58"/>
        <v>5.0569562561106503E-4</v>
      </c>
      <c r="K902" s="8">
        <f t="shared" si="55"/>
        <v>0.16752237651572588</v>
      </c>
    </row>
    <row r="903" spans="1:11" x14ac:dyDescent="0.25">
      <c r="A903" t="str">
        <f t="shared" si="56"/>
        <v>82020</v>
      </c>
      <c r="B903" s="1">
        <v>44069</v>
      </c>
      <c r="C903" t="s">
        <v>575</v>
      </c>
      <c r="D903">
        <v>11512.85</v>
      </c>
      <c r="E903">
        <v>11561.75</v>
      </c>
      <c r="F903">
        <v>11461.85</v>
      </c>
      <c r="G903">
        <v>11549.6</v>
      </c>
      <c r="H903">
        <v>0</v>
      </c>
      <c r="I903" s="8">
        <f t="shared" si="57"/>
        <v>6.7423565560373877E-3</v>
      </c>
      <c r="J903" s="8">
        <f t="shared" si="58"/>
        <v>6.7197285239703015E-3</v>
      </c>
      <c r="K903" s="8">
        <f t="shared" si="55"/>
        <v>0.15737892194686887</v>
      </c>
    </row>
    <row r="904" spans="1:11" x14ac:dyDescent="0.25">
      <c r="A904" t="str">
        <f t="shared" si="56"/>
        <v>82020</v>
      </c>
      <c r="B904" s="1">
        <v>44070</v>
      </c>
      <c r="C904" t="s">
        <v>576</v>
      </c>
      <c r="D904">
        <v>11609.3</v>
      </c>
      <c r="E904">
        <v>11617.35</v>
      </c>
      <c r="F904">
        <v>11540.6</v>
      </c>
      <c r="G904">
        <v>11559.25</v>
      </c>
      <c r="H904">
        <v>0</v>
      </c>
      <c r="I904" s="8">
        <f t="shared" si="57"/>
        <v>8.3552677148990284E-4</v>
      </c>
      <c r="J904" s="8">
        <f t="shared" si="58"/>
        <v>8.3517791330367671E-4</v>
      </c>
      <c r="K904" s="8">
        <f t="shared" si="55"/>
        <v>0.14885380483126376</v>
      </c>
    </row>
    <row r="905" spans="1:11" x14ac:dyDescent="0.25">
      <c r="A905" t="str">
        <f t="shared" si="56"/>
        <v>82020</v>
      </c>
      <c r="B905" s="1">
        <v>44071</v>
      </c>
      <c r="C905" t="s">
        <v>577</v>
      </c>
      <c r="D905">
        <v>11602.95</v>
      </c>
      <c r="E905">
        <v>11686.05</v>
      </c>
      <c r="F905">
        <v>11589.4</v>
      </c>
      <c r="G905">
        <v>11647.6</v>
      </c>
      <c r="H905">
        <v>0</v>
      </c>
      <c r="I905" s="8">
        <f t="shared" si="57"/>
        <v>7.6432294482773333E-3</v>
      </c>
      <c r="J905" s="8">
        <f t="shared" si="58"/>
        <v>7.614167958564083E-3</v>
      </c>
      <c r="K905" s="8">
        <f t="shared" si="55"/>
        <v>0.16138038308522207</v>
      </c>
    </row>
    <row r="906" spans="1:11" x14ac:dyDescent="0.25">
      <c r="A906" t="str">
        <f t="shared" si="56"/>
        <v>82020</v>
      </c>
      <c r="B906" s="1">
        <v>44074</v>
      </c>
      <c r="C906" t="s">
        <v>578</v>
      </c>
      <c r="D906">
        <v>11777.55</v>
      </c>
      <c r="E906">
        <v>11794.25</v>
      </c>
      <c r="F906">
        <v>11325.85</v>
      </c>
      <c r="G906">
        <v>11387.5</v>
      </c>
      <c r="H906">
        <v>0</v>
      </c>
      <c r="I906" s="8">
        <f t="shared" si="57"/>
        <v>-2.2330780589992827E-2</v>
      </c>
      <c r="J906" s="8">
        <f t="shared" si="58"/>
        <v>-2.2583887619258884E-2</v>
      </c>
      <c r="K906" s="8">
        <f t="shared" si="55"/>
        <v>0.12278954659515007</v>
      </c>
    </row>
    <row r="907" spans="1:11" x14ac:dyDescent="0.25">
      <c r="A907" t="str">
        <f t="shared" si="56"/>
        <v>92020</v>
      </c>
      <c r="B907" s="1">
        <v>44075</v>
      </c>
      <c r="C907" s="10">
        <v>43839.645833333336</v>
      </c>
      <c r="D907">
        <v>11464.3</v>
      </c>
      <c r="E907">
        <v>11553.55</v>
      </c>
      <c r="F907">
        <v>11366.9</v>
      </c>
      <c r="G907">
        <v>11470.25</v>
      </c>
      <c r="H907">
        <v>0</v>
      </c>
      <c r="I907" s="8">
        <f t="shared" si="57"/>
        <v>7.2667398463226451E-3</v>
      </c>
      <c r="J907" s="8">
        <f t="shared" si="58"/>
        <v>7.2404643072113339E-3</v>
      </c>
      <c r="K907" s="8">
        <f t="shared" si="55"/>
        <v>0.12813438964538792</v>
      </c>
    </row>
    <row r="908" spans="1:11" x14ac:dyDescent="0.25">
      <c r="A908" t="str">
        <f t="shared" si="56"/>
        <v>92020</v>
      </c>
      <c r="B908" s="1">
        <v>44076</v>
      </c>
      <c r="C908" s="10">
        <v>43870.645833333336</v>
      </c>
      <c r="D908">
        <v>11478.55</v>
      </c>
      <c r="E908">
        <v>11554.75</v>
      </c>
      <c r="F908">
        <v>11430.4</v>
      </c>
      <c r="G908">
        <v>11535</v>
      </c>
      <c r="H908">
        <v>0</v>
      </c>
      <c r="I908" s="8">
        <f t="shared" si="57"/>
        <v>5.6450382511279429E-3</v>
      </c>
      <c r="J908" s="8">
        <f t="shared" si="58"/>
        <v>5.6291647324288943E-3</v>
      </c>
      <c r="K908" s="8">
        <f t="shared" si="55"/>
        <v>0.14814390866607274</v>
      </c>
    </row>
    <row r="909" spans="1:11" x14ac:dyDescent="0.25">
      <c r="A909" t="str">
        <f t="shared" si="56"/>
        <v>92020</v>
      </c>
      <c r="B909" s="1">
        <v>44077</v>
      </c>
      <c r="C909" s="10">
        <v>43899.645833333336</v>
      </c>
      <c r="D909">
        <v>11566.2</v>
      </c>
      <c r="E909">
        <v>11584.95</v>
      </c>
      <c r="F909">
        <v>11507.65</v>
      </c>
      <c r="G909">
        <v>11527.45</v>
      </c>
      <c r="H909">
        <v>0</v>
      </c>
      <c r="I909" s="8">
        <f t="shared" si="57"/>
        <v>-6.5452969224089053E-4</v>
      </c>
      <c r="J909" s="8">
        <f t="shared" si="58"/>
        <v>-6.5474399031464003E-4</v>
      </c>
      <c r="K909" s="8">
        <f t="shared" si="55"/>
        <v>0.13950959604197255</v>
      </c>
    </row>
    <row r="910" spans="1:11" x14ac:dyDescent="0.25">
      <c r="A910" t="str">
        <f t="shared" si="56"/>
        <v>92020</v>
      </c>
      <c r="B910" s="1">
        <v>44078</v>
      </c>
      <c r="C910" s="10">
        <v>43930.645833333336</v>
      </c>
      <c r="D910">
        <v>11354.4</v>
      </c>
      <c r="E910">
        <v>11452.05</v>
      </c>
      <c r="F910">
        <v>11303.65</v>
      </c>
      <c r="G910">
        <v>11333.85</v>
      </c>
      <c r="H910">
        <v>0</v>
      </c>
      <c r="I910" s="8">
        <f t="shared" si="57"/>
        <v>-1.6794694403359012E-2</v>
      </c>
      <c r="J910" s="8">
        <f t="shared" si="58"/>
        <v>-1.6937324491168509E-2</v>
      </c>
      <c r="K910" s="8">
        <f t="shared" si="55"/>
        <v>0.1446021005857403</v>
      </c>
    </row>
    <row r="911" spans="1:11" x14ac:dyDescent="0.25">
      <c r="A911" t="str">
        <f t="shared" si="56"/>
        <v>92020</v>
      </c>
      <c r="B911" s="1">
        <v>44081</v>
      </c>
      <c r="C911" s="10">
        <v>44021.645833333336</v>
      </c>
      <c r="D911">
        <v>11359.6</v>
      </c>
      <c r="E911">
        <v>11381.15</v>
      </c>
      <c r="F911">
        <v>11251.7</v>
      </c>
      <c r="G911">
        <v>11355.05</v>
      </c>
      <c r="H911">
        <v>0</v>
      </c>
      <c r="I911" s="8">
        <f t="shared" si="57"/>
        <v>1.8705029623649061E-3</v>
      </c>
      <c r="J911" s="8">
        <f t="shared" si="58"/>
        <v>1.8687557501366183E-3</v>
      </c>
      <c r="K911" s="8">
        <f t="shared" si="55"/>
        <v>0.13859058047308204</v>
      </c>
    </row>
    <row r="912" spans="1:11" x14ac:dyDescent="0.25">
      <c r="A912" t="str">
        <f t="shared" si="56"/>
        <v>92020</v>
      </c>
      <c r="B912" s="1">
        <v>44082</v>
      </c>
      <c r="C912" s="10">
        <v>44052.645833333336</v>
      </c>
      <c r="D912">
        <v>11378.55</v>
      </c>
      <c r="E912">
        <v>11437.25</v>
      </c>
      <c r="F912">
        <v>11290.45</v>
      </c>
      <c r="G912">
        <v>11317.35</v>
      </c>
      <c r="H912">
        <v>0</v>
      </c>
      <c r="I912" s="8">
        <f t="shared" si="57"/>
        <v>-3.3201086741140307E-3</v>
      </c>
      <c r="J912" s="8">
        <f t="shared" si="58"/>
        <v>-3.3256324646967609E-3</v>
      </c>
      <c r="K912" s="8">
        <f t="shared" si="55"/>
        <v>0.15321947889175336</v>
      </c>
    </row>
    <row r="913" spans="1:11" x14ac:dyDescent="0.25">
      <c r="A913" t="str">
        <f t="shared" si="56"/>
        <v>92020</v>
      </c>
      <c r="B913" s="1">
        <v>44083</v>
      </c>
      <c r="C913" s="10">
        <v>44083.645833333336</v>
      </c>
      <c r="D913">
        <v>11218.6</v>
      </c>
      <c r="E913">
        <v>11298.15</v>
      </c>
      <c r="F913">
        <v>11185.15</v>
      </c>
      <c r="G913">
        <v>11278</v>
      </c>
      <c r="H913">
        <v>0</v>
      </c>
      <c r="I913" s="8">
        <f t="shared" si="57"/>
        <v>-3.4769623630973578E-3</v>
      </c>
      <c r="J913" s="8">
        <f t="shared" si="58"/>
        <v>-3.4830210446831823E-3</v>
      </c>
      <c r="K913" s="8">
        <f t="shared" si="55"/>
        <v>0.13758321565462972</v>
      </c>
    </row>
    <row r="914" spans="1:11" x14ac:dyDescent="0.25">
      <c r="A914" t="str">
        <f t="shared" si="56"/>
        <v>92020</v>
      </c>
      <c r="B914" s="1">
        <v>44084</v>
      </c>
      <c r="C914" s="10">
        <v>44113.645833333336</v>
      </c>
      <c r="D914">
        <v>11363.3</v>
      </c>
      <c r="E914">
        <v>11464.05</v>
      </c>
      <c r="F914">
        <v>11327.4</v>
      </c>
      <c r="G914">
        <v>11449.25</v>
      </c>
      <c r="H914">
        <v>0</v>
      </c>
      <c r="I914" s="8">
        <f t="shared" si="57"/>
        <v>1.5184429863450921E-2</v>
      </c>
      <c r="J914" s="8">
        <f t="shared" si="58"/>
        <v>1.507030028649042E-2</v>
      </c>
      <c r="K914" s="8">
        <f t="shared" si="55"/>
        <v>0.15869610318637006</v>
      </c>
    </row>
    <row r="915" spans="1:11" x14ac:dyDescent="0.25">
      <c r="A915" t="str">
        <f t="shared" si="56"/>
        <v>92020</v>
      </c>
      <c r="B915" s="1">
        <v>44085</v>
      </c>
      <c r="C915" s="10">
        <v>44144.645833333336</v>
      </c>
      <c r="D915">
        <v>11447.8</v>
      </c>
      <c r="E915">
        <v>11493.5</v>
      </c>
      <c r="F915">
        <v>11419.9</v>
      </c>
      <c r="G915">
        <v>11464.45</v>
      </c>
      <c r="H915">
        <v>0</v>
      </c>
      <c r="I915" s="8">
        <f t="shared" si="57"/>
        <v>1.3275978775904029E-3</v>
      </c>
      <c r="J915" s="8">
        <f t="shared" si="58"/>
        <v>1.3267173987232086E-3</v>
      </c>
      <c r="K915" s="8">
        <f t="shared" si="55"/>
        <v>0.136033255215946</v>
      </c>
    </row>
    <row r="916" spans="1:11" x14ac:dyDescent="0.25">
      <c r="A916" t="str">
        <f t="shared" si="56"/>
        <v>92020</v>
      </c>
      <c r="B916" s="1">
        <v>44088</v>
      </c>
      <c r="C916" t="s">
        <v>579</v>
      </c>
      <c r="D916">
        <v>11540.15</v>
      </c>
      <c r="E916">
        <v>11568.9</v>
      </c>
      <c r="F916">
        <v>11383.55</v>
      </c>
      <c r="G916">
        <v>11440.05</v>
      </c>
      <c r="H916">
        <v>0</v>
      </c>
      <c r="I916" s="8">
        <f t="shared" si="57"/>
        <v>-2.1283184103905173E-3</v>
      </c>
      <c r="J916" s="8">
        <f t="shared" si="58"/>
        <v>-2.1305864987327225E-3</v>
      </c>
      <c r="K916" s="8">
        <f t="shared" si="55"/>
        <v>0.11671254539065234</v>
      </c>
    </row>
    <row r="917" spans="1:11" x14ac:dyDescent="0.25">
      <c r="A917" t="str">
        <f t="shared" si="56"/>
        <v>92020</v>
      </c>
      <c r="B917" s="1">
        <v>44089</v>
      </c>
      <c r="C917" t="s">
        <v>580</v>
      </c>
      <c r="D917">
        <v>11487.2</v>
      </c>
      <c r="E917">
        <v>11535.95</v>
      </c>
      <c r="F917">
        <v>11442.25</v>
      </c>
      <c r="G917">
        <v>11521.8</v>
      </c>
      <c r="H917">
        <v>0</v>
      </c>
      <c r="I917" s="8">
        <f t="shared" si="57"/>
        <v>7.1459477886897105E-3</v>
      </c>
      <c r="J917" s="8">
        <f t="shared" si="58"/>
        <v>7.1205364905140263E-3</v>
      </c>
      <c r="K917" s="8">
        <f t="shared" si="55"/>
        <v>0.11740631546279756</v>
      </c>
    </row>
    <row r="918" spans="1:11" x14ac:dyDescent="0.25">
      <c r="A918" t="str">
        <f t="shared" si="56"/>
        <v>92020</v>
      </c>
      <c r="B918" s="1">
        <v>44090</v>
      </c>
      <c r="C918" t="s">
        <v>581</v>
      </c>
      <c r="D918">
        <v>11538.45</v>
      </c>
      <c r="E918">
        <v>11618.1</v>
      </c>
      <c r="F918">
        <v>11516.75</v>
      </c>
      <c r="G918">
        <v>11604.55</v>
      </c>
      <c r="H918">
        <v>0</v>
      </c>
      <c r="I918" s="8">
        <f t="shared" si="57"/>
        <v>7.182037528858265E-3</v>
      </c>
      <c r="J918" s="8">
        <f t="shared" si="58"/>
        <v>7.1563695231040263E-3</v>
      </c>
      <c r="K918" s="8">
        <f t="shared" si="55"/>
        <v>0.10825613599465189</v>
      </c>
    </row>
    <row r="919" spans="1:11" x14ac:dyDescent="0.25">
      <c r="A919" t="str">
        <f t="shared" si="56"/>
        <v>92020</v>
      </c>
      <c r="B919" s="1">
        <v>44091</v>
      </c>
      <c r="C919" t="s">
        <v>582</v>
      </c>
      <c r="D919">
        <v>11539.4</v>
      </c>
      <c r="E919">
        <v>11587.2</v>
      </c>
      <c r="F919">
        <v>11498.5</v>
      </c>
      <c r="G919">
        <v>11516.1</v>
      </c>
      <c r="H919">
        <v>0</v>
      </c>
      <c r="I919" s="8">
        <f t="shared" si="57"/>
        <v>-7.6220103321541499E-3</v>
      </c>
      <c r="J919" s="8">
        <f t="shared" si="58"/>
        <v>-7.651206302177675E-3</v>
      </c>
      <c r="K919" s="8">
        <f t="shared" si="55"/>
        <v>0.11749294052574899</v>
      </c>
    </row>
    <row r="920" spans="1:11" x14ac:dyDescent="0.25">
      <c r="A920" t="str">
        <f t="shared" si="56"/>
        <v>92020</v>
      </c>
      <c r="B920" s="1">
        <v>44092</v>
      </c>
      <c r="C920" t="s">
        <v>583</v>
      </c>
      <c r="D920">
        <v>11584.1</v>
      </c>
      <c r="E920">
        <v>11584.1</v>
      </c>
      <c r="F920">
        <v>11446.1</v>
      </c>
      <c r="G920">
        <v>11504.95</v>
      </c>
      <c r="H920">
        <v>0</v>
      </c>
      <c r="I920" s="8">
        <f t="shared" si="57"/>
        <v>-9.6820972377797965E-4</v>
      </c>
      <c r="J920" s="8">
        <f t="shared" si="58"/>
        <v>-9.6867874157542232E-4</v>
      </c>
      <c r="K920" s="8">
        <f t="shared" si="55"/>
        <v>0.11819047711611552</v>
      </c>
    </row>
    <row r="921" spans="1:11" x14ac:dyDescent="0.25">
      <c r="A921" t="str">
        <f t="shared" si="56"/>
        <v>92020</v>
      </c>
      <c r="B921" s="1">
        <v>44095</v>
      </c>
      <c r="C921" t="s">
        <v>584</v>
      </c>
      <c r="D921">
        <v>11503.8</v>
      </c>
      <c r="E921">
        <v>11535.25</v>
      </c>
      <c r="F921">
        <v>11218.5</v>
      </c>
      <c r="G921">
        <v>11250.55</v>
      </c>
      <c r="H921">
        <v>0</v>
      </c>
      <c r="I921" s="8">
        <f t="shared" si="57"/>
        <v>-2.2112221261283316E-2</v>
      </c>
      <c r="J921" s="8">
        <f t="shared" si="58"/>
        <v>-2.2360361197041149E-2</v>
      </c>
      <c r="K921" s="8">
        <f t="shared" si="55"/>
        <v>8.3554849272849729E-2</v>
      </c>
    </row>
    <row r="922" spans="1:11" x14ac:dyDescent="0.25">
      <c r="A922" t="str">
        <f t="shared" si="56"/>
        <v>92020</v>
      </c>
      <c r="B922" s="1">
        <v>44096</v>
      </c>
      <c r="C922" t="s">
        <v>585</v>
      </c>
      <c r="D922">
        <v>11301.75</v>
      </c>
      <c r="E922">
        <v>11302.2</v>
      </c>
      <c r="F922">
        <v>11084.65</v>
      </c>
      <c r="G922">
        <v>11153.65</v>
      </c>
      <c r="H922">
        <v>0</v>
      </c>
      <c r="I922" s="8">
        <f t="shared" si="57"/>
        <v>-8.6129122576229511E-3</v>
      </c>
      <c r="J922" s="8">
        <f t="shared" si="58"/>
        <v>-8.650217746793273E-3</v>
      </c>
      <c r="K922" s="8">
        <f t="shared" si="55"/>
        <v>8.1576548621077549E-2</v>
      </c>
    </row>
    <row r="923" spans="1:11" x14ac:dyDescent="0.25">
      <c r="A923" t="str">
        <f t="shared" si="56"/>
        <v>92020</v>
      </c>
      <c r="B923" s="1">
        <v>44097</v>
      </c>
      <c r="C923" t="s">
        <v>586</v>
      </c>
      <c r="D923">
        <v>11258.75</v>
      </c>
      <c r="E923">
        <v>11259.55</v>
      </c>
      <c r="F923">
        <v>11024.4</v>
      </c>
      <c r="G923">
        <v>11131.85</v>
      </c>
      <c r="H923">
        <v>0</v>
      </c>
      <c r="I923" s="8">
        <f t="shared" si="57"/>
        <v>-1.9545171311632359E-3</v>
      </c>
      <c r="J923" s="8">
        <f t="shared" si="58"/>
        <v>-1.9564296922665279E-3</v>
      </c>
      <c r="K923" s="8">
        <f t="shared" si="55"/>
        <v>8.0541831277118225E-2</v>
      </c>
    </row>
    <row r="924" spans="1:11" x14ac:dyDescent="0.25">
      <c r="A924" t="str">
        <f t="shared" si="56"/>
        <v>92020</v>
      </c>
      <c r="B924" s="1">
        <v>44098</v>
      </c>
      <c r="C924" t="s">
        <v>587</v>
      </c>
      <c r="D924">
        <v>11011</v>
      </c>
      <c r="E924">
        <v>11015.3</v>
      </c>
      <c r="F924">
        <v>10790.2</v>
      </c>
      <c r="G924">
        <v>10805.55</v>
      </c>
      <c r="H924">
        <v>0</v>
      </c>
      <c r="I924" s="8">
        <f t="shared" si="57"/>
        <v>-2.9312288613303372E-2</v>
      </c>
      <c r="J924" s="8">
        <f t="shared" si="58"/>
        <v>-2.9750477881848796E-2</v>
      </c>
      <c r="K924" s="8">
        <f t="shared" si="55"/>
        <v>3.6001744958077841E-2</v>
      </c>
    </row>
    <row r="925" spans="1:11" x14ac:dyDescent="0.25">
      <c r="A925" t="str">
        <f t="shared" si="56"/>
        <v>92020</v>
      </c>
      <c r="B925" s="1">
        <v>44099</v>
      </c>
      <c r="C925" t="s">
        <v>588</v>
      </c>
      <c r="D925">
        <v>10910.4</v>
      </c>
      <c r="E925">
        <v>11072.6</v>
      </c>
      <c r="F925">
        <v>10854.85</v>
      </c>
      <c r="G925">
        <v>11050.25</v>
      </c>
      <c r="H925">
        <v>0</v>
      </c>
      <c r="I925" s="8">
        <f t="shared" si="57"/>
        <v>2.2645769997825305E-2</v>
      </c>
      <c r="J925" s="8">
        <f t="shared" si="58"/>
        <v>2.2393161118835776E-2</v>
      </c>
      <c r="K925" s="8">
        <f t="shared" si="55"/>
        <v>4.7248310698749796E-2</v>
      </c>
    </row>
    <row r="926" spans="1:11" x14ac:dyDescent="0.25">
      <c r="A926" t="str">
        <f t="shared" si="56"/>
        <v>92020</v>
      </c>
      <c r="B926" s="1">
        <v>44102</v>
      </c>
      <c r="C926" t="s">
        <v>589</v>
      </c>
      <c r="D926">
        <v>11140.85</v>
      </c>
      <c r="E926">
        <v>11239.35</v>
      </c>
      <c r="F926">
        <v>11099.85</v>
      </c>
      <c r="G926">
        <v>11227.55</v>
      </c>
      <c r="H926">
        <v>0</v>
      </c>
      <c r="I926" s="8">
        <f t="shared" si="57"/>
        <v>1.6044885862310787E-2</v>
      </c>
      <c r="J926" s="8">
        <f t="shared" si="58"/>
        <v>1.5917527178764334E-2</v>
      </c>
      <c r="K926" s="8">
        <f t="shared" si="55"/>
        <v>5.8468891853290295E-2</v>
      </c>
    </row>
    <row r="927" spans="1:11" x14ac:dyDescent="0.25">
      <c r="A927" t="str">
        <f t="shared" si="56"/>
        <v>92020</v>
      </c>
      <c r="B927" s="1">
        <v>44103</v>
      </c>
      <c r="C927" t="s">
        <v>590</v>
      </c>
      <c r="D927">
        <v>11288.6</v>
      </c>
      <c r="E927">
        <v>11305.4</v>
      </c>
      <c r="F927">
        <v>11181</v>
      </c>
      <c r="G927">
        <v>11222.4</v>
      </c>
      <c r="H927">
        <v>0</v>
      </c>
      <c r="I927" s="8">
        <f t="shared" si="57"/>
        <v>-4.5869312539237317E-4</v>
      </c>
      <c r="J927" s="8">
        <f t="shared" si="58"/>
        <v>-4.5879835726466887E-4</v>
      </c>
      <c r="K927" s="8">
        <f t="shared" si="55"/>
        <v>4.2620300734416361E-2</v>
      </c>
    </row>
    <row r="928" spans="1:11" x14ac:dyDescent="0.25">
      <c r="A928" t="str">
        <f t="shared" si="56"/>
        <v>92020</v>
      </c>
      <c r="B928" s="1">
        <v>44104</v>
      </c>
      <c r="C928" t="s">
        <v>591</v>
      </c>
      <c r="D928">
        <v>11244.45</v>
      </c>
      <c r="E928">
        <v>11295.4</v>
      </c>
      <c r="F928">
        <v>11184.55</v>
      </c>
      <c r="G928">
        <v>11247.55</v>
      </c>
      <c r="H928">
        <v>0</v>
      </c>
      <c r="I928" s="8">
        <f t="shared" si="57"/>
        <v>2.2410536070716081E-3</v>
      </c>
      <c r="J928" s="8">
        <f t="shared" si="58"/>
        <v>2.238546191905813E-3</v>
      </c>
      <c r="K928" s="8">
        <f t="shared" si="55"/>
        <v>4.1473566272981044E-2</v>
      </c>
    </row>
    <row r="929" spans="1:11" x14ac:dyDescent="0.25">
      <c r="A929" t="str">
        <f t="shared" si="56"/>
        <v>102020</v>
      </c>
      <c r="B929" s="1">
        <v>44105</v>
      </c>
      <c r="C929" s="10">
        <v>43840.645833333336</v>
      </c>
      <c r="D929">
        <v>11364.45</v>
      </c>
      <c r="E929">
        <v>11428.6</v>
      </c>
      <c r="F929">
        <v>11347.05</v>
      </c>
      <c r="G929">
        <v>11416.95</v>
      </c>
      <c r="H929">
        <v>0</v>
      </c>
      <c r="I929" s="8">
        <f t="shared" si="57"/>
        <v>1.5061057741463824E-2</v>
      </c>
      <c r="J929" s="8">
        <f t="shared" si="58"/>
        <v>1.4948766094795703E-2</v>
      </c>
      <c r="K929" s="8">
        <f t="shared" si="55"/>
        <v>6.6431590500432014E-2</v>
      </c>
    </row>
    <row r="930" spans="1:11" x14ac:dyDescent="0.25">
      <c r="A930" t="str">
        <f t="shared" si="56"/>
        <v>102020</v>
      </c>
      <c r="B930" s="1">
        <v>44109</v>
      </c>
      <c r="C930" s="10">
        <v>43961.645833333336</v>
      </c>
      <c r="D930">
        <v>11487.8</v>
      </c>
      <c r="E930">
        <v>11578.05</v>
      </c>
      <c r="F930">
        <v>11452.3</v>
      </c>
      <c r="G930">
        <v>11503.35</v>
      </c>
      <c r="H930">
        <v>0</v>
      </c>
      <c r="I930" s="8">
        <f t="shared" si="57"/>
        <v>7.5676954002601438E-3</v>
      </c>
      <c r="J930" s="8">
        <f t="shared" si="58"/>
        <v>7.5392040457337283E-3</v>
      </c>
      <c r="K930" s="8">
        <f t="shared" si="55"/>
        <v>6.3800174782331132E-2</v>
      </c>
    </row>
    <row r="931" spans="1:11" x14ac:dyDescent="0.25">
      <c r="A931" t="str">
        <f t="shared" si="56"/>
        <v>102020</v>
      </c>
      <c r="B931" s="1">
        <v>44110</v>
      </c>
      <c r="C931" s="10">
        <v>43992.645833333336</v>
      </c>
      <c r="D931">
        <v>11603.45</v>
      </c>
      <c r="E931">
        <v>11680.3</v>
      </c>
      <c r="F931">
        <v>11564.3</v>
      </c>
      <c r="G931">
        <v>11662.4</v>
      </c>
      <c r="H931">
        <v>0</v>
      </c>
      <c r="I931" s="8">
        <f t="shared" si="57"/>
        <v>1.3826407090108406E-2</v>
      </c>
      <c r="J931" s="8">
        <f t="shared" si="58"/>
        <v>1.3731694349654332E-2</v>
      </c>
      <c r="K931" s="8">
        <f t="shared" si="55"/>
        <v>8.3055892199608961E-2</v>
      </c>
    </row>
    <row r="932" spans="1:11" x14ac:dyDescent="0.25">
      <c r="A932" t="str">
        <f t="shared" si="56"/>
        <v>102020</v>
      </c>
      <c r="B932" s="1">
        <v>44111</v>
      </c>
      <c r="C932" s="10">
        <v>44022.645833333336</v>
      </c>
      <c r="D932">
        <v>11679.25</v>
      </c>
      <c r="E932">
        <v>11763.05</v>
      </c>
      <c r="F932">
        <v>11629.35</v>
      </c>
      <c r="G932">
        <v>11738.85</v>
      </c>
      <c r="H932">
        <v>0</v>
      </c>
      <c r="I932" s="8">
        <f t="shared" si="57"/>
        <v>6.555254493071816E-3</v>
      </c>
      <c r="J932" s="8">
        <f t="shared" si="58"/>
        <v>6.5338622491807391E-3</v>
      </c>
      <c r="K932" s="8">
        <f t="shared" si="55"/>
        <v>8.6658890832847391E-2</v>
      </c>
    </row>
    <row r="933" spans="1:11" x14ac:dyDescent="0.25">
      <c r="A933" t="str">
        <f t="shared" si="56"/>
        <v>102020</v>
      </c>
      <c r="B933" s="1">
        <v>44112</v>
      </c>
      <c r="C933" s="10">
        <v>44053.645833333336</v>
      </c>
      <c r="D933">
        <v>11835.4</v>
      </c>
      <c r="E933">
        <v>11905.7</v>
      </c>
      <c r="F933">
        <v>11791.15</v>
      </c>
      <c r="G933">
        <v>11834.6</v>
      </c>
      <c r="H933">
        <v>0</v>
      </c>
      <c r="I933" s="8">
        <f t="shared" si="57"/>
        <v>8.1566763354161687E-3</v>
      </c>
      <c r="J933" s="8">
        <f t="shared" si="58"/>
        <v>8.1235904431762058E-3</v>
      </c>
      <c r="K933" s="8">
        <f t="shared" si="55"/>
        <v>0.11569807727660542</v>
      </c>
    </row>
    <row r="934" spans="1:11" x14ac:dyDescent="0.25">
      <c r="A934" t="str">
        <f t="shared" si="56"/>
        <v>102020</v>
      </c>
      <c r="B934" s="1">
        <v>44113</v>
      </c>
      <c r="C934" s="10">
        <v>44084.645833333336</v>
      </c>
      <c r="D934">
        <v>11852.05</v>
      </c>
      <c r="E934">
        <v>11938.6</v>
      </c>
      <c r="F934">
        <v>11805.2</v>
      </c>
      <c r="G934">
        <v>11914.2</v>
      </c>
      <c r="H934">
        <v>0</v>
      </c>
      <c r="I934" s="8">
        <f t="shared" si="57"/>
        <v>6.7260405928379896E-3</v>
      </c>
      <c r="J934" s="8">
        <f t="shared" si="58"/>
        <v>6.7035217007364633E-3</v>
      </c>
      <c r="K934" s="8">
        <f t="shared" si="55"/>
        <v>0.12205458552296999</v>
      </c>
    </row>
    <row r="935" spans="1:11" x14ac:dyDescent="0.25">
      <c r="A935" t="str">
        <f t="shared" si="56"/>
        <v>102020</v>
      </c>
      <c r="B935" s="1">
        <v>44116</v>
      </c>
      <c r="C935" s="10">
        <v>44175.645833333336</v>
      </c>
      <c r="D935">
        <v>11973.55</v>
      </c>
      <c r="E935">
        <v>12022.05</v>
      </c>
      <c r="F935">
        <v>11867.2</v>
      </c>
      <c r="G935">
        <v>11930.95</v>
      </c>
      <c r="H935">
        <v>0</v>
      </c>
      <c r="I935" s="8">
        <f t="shared" si="57"/>
        <v>1.4058854140437393E-3</v>
      </c>
      <c r="J935" s="8">
        <f t="shared" si="58"/>
        <v>1.4048980824201138E-3</v>
      </c>
      <c r="K935" s="8">
        <f t="shared" si="55"/>
        <v>0.1108943710166248</v>
      </c>
    </row>
    <row r="936" spans="1:11" x14ac:dyDescent="0.25">
      <c r="A936" t="str">
        <f t="shared" si="56"/>
        <v>102020</v>
      </c>
      <c r="B936" s="1">
        <v>44117</v>
      </c>
      <c r="C936" t="s">
        <v>592</v>
      </c>
      <c r="D936">
        <v>11934.65</v>
      </c>
      <c r="E936">
        <v>11988.2</v>
      </c>
      <c r="F936">
        <v>11888.9</v>
      </c>
      <c r="G936">
        <v>11934.5</v>
      </c>
      <c r="H936">
        <v>0</v>
      </c>
      <c r="I936" s="8">
        <f t="shared" si="57"/>
        <v>2.9754545949822742E-4</v>
      </c>
      <c r="J936" s="8">
        <f t="shared" si="58"/>
        <v>2.9750120162692819E-4</v>
      </c>
      <c r="K936" s="8">
        <f t="shared" si="55"/>
        <v>9.4737518001779542E-2</v>
      </c>
    </row>
    <row r="937" spans="1:11" x14ac:dyDescent="0.25">
      <c r="A937" t="str">
        <f t="shared" si="56"/>
        <v>102020</v>
      </c>
      <c r="B937" s="1">
        <v>44118</v>
      </c>
      <c r="C937" t="s">
        <v>593</v>
      </c>
      <c r="D937">
        <v>11917.4</v>
      </c>
      <c r="E937">
        <v>11997.2</v>
      </c>
      <c r="F937">
        <v>11822.15</v>
      </c>
      <c r="G937">
        <v>11971.05</v>
      </c>
      <c r="H937">
        <v>0</v>
      </c>
      <c r="I937" s="8">
        <f t="shared" si="57"/>
        <v>3.0625497507226207E-3</v>
      </c>
      <c r="J937" s="8">
        <f t="shared" si="58"/>
        <v>3.0578696980628857E-3</v>
      </c>
      <c r="K937" s="8">
        <f t="shared" si="55"/>
        <v>8.6085355010796283E-2</v>
      </c>
    </row>
    <row r="938" spans="1:11" x14ac:dyDescent="0.25">
      <c r="A938" t="str">
        <f t="shared" si="56"/>
        <v>102020</v>
      </c>
      <c r="B938" s="1">
        <v>44119</v>
      </c>
      <c r="C938" t="s">
        <v>594</v>
      </c>
      <c r="D938">
        <v>12023.45</v>
      </c>
      <c r="E938">
        <v>12025.45</v>
      </c>
      <c r="F938">
        <v>11661.3</v>
      </c>
      <c r="G938">
        <v>11680.35</v>
      </c>
      <c r="H938">
        <v>0</v>
      </c>
      <c r="I938" s="8">
        <f t="shared" si="57"/>
        <v>-2.4283584146753912E-2</v>
      </c>
      <c r="J938" s="8">
        <f t="shared" si="58"/>
        <v>-2.4583292316473156E-2</v>
      </c>
      <c r="K938" s="8">
        <f t="shared" si="55"/>
        <v>4.6415373244641511E-2</v>
      </c>
    </row>
    <row r="939" spans="1:11" x14ac:dyDescent="0.25">
      <c r="A939" t="str">
        <f t="shared" si="56"/>
        <v>102020</v>
      </c>
      <c r="B939" s="1">
        <v>44120</v>
      </c>
      <c r="C939" t="s">
        <v>595</v>
      </c>
      <c r="D939">
        <v>11727.4</v>
      </c>
      <c r="E939">
        <v>11789.75</v>
      </c>
      <c r="F939">
        <v>11667.85</v>
      </c>
      <c r="G939">
        <v>11762.45</v>
      </c>
      <c r="H939">
        <v>0</v>
      </c>
      <c r="I939" s="8">
        <f t="shared" si="57"/>
        <v>7.0288989627880216E-3</v>
      </c>
      <c r="J939" s="8">
        <f t="shared" si="58"/>
        <v>7.0043114008975721E-3</v>
      </c>
      <c r="K939" s="8">
        <f t="shared" si="55"/>
        <v>5.6577079927420337E-2</v>
      </c>
    </row>
    <row r="940" spans="1:11" x14ac:dyDescent="0.25">
      <c r="A940" t="str">
        <f t="shared" si="56"/>
        <v>102020</v>
      </c>
      <c r="B940" s="1">
        <v>44123</v>
      </c>
      <c r="C940" t="s">
        <v>596</v>
      </c>
      <c r="D940">
        <v>11879.2</v>
      </c>
      <c r="E940">
        <v>11898.25</v>
      </c>
      <c r="F940">
        <v>11820.4</v>
      </c>
      <c r="G940">
        <v>11873.05</v>
      </c>
      <c r="H940">
        <v>0</v>
      </c>
      <c r="I940" s="8">
        <f t="shared" si="57"/>
        <v>9.4028029874726471E-3</v>
      </c>
      <c r="J940" s="8">
        <f t="shared" si="58"/>
        <v>9.3588718049253585E-3</v>
      </c>
      <c r="K940" s="8">
        <f t="shared" si="55"/>
        <v>5.8633403028857334E-2</v>
      </c>
    </row>
    <row r="941" spans="1:11" x14ac:dyDescent="0.25">
      <c r="A941" t="str">
        <f t="shared" si="56"/>
        <v>102020</v>
      </c>
      <c r="B941" s="1">
        <v>44124</v>
      </c>
      <c r="C941" t="s">
        <v>597</v>
      </c>
      <c r="D941">
        <v>11861</v>
      </c>
      <c r="E941">
        <v>11949.25</v>
      </c>
      <c r="F941">
        <v>11837.25</v>
      </c>
      <c r="G941">
        <v>11896.8</v>
      </c>
      <c r="H941">
        <v>0</v>
      </c>
      <c r="I941" s="8">
        <f t="shared" si="57"/>
        <v>2.0003284749916528E-3</v>
      </c>
      <c r="J941" s="8">
        <f t="shared" si="58"/>
        <v>1.9983304819722702E-3</v>
      </c>
      <c r="K941" s="8">
        <f t="shared" si="55"/>
        <v>6.2769392941849134E-2</v>
      </c>
    </row>
    <row r="942" spans="1:11" x14ac:dyDescent="0.25">
      <c r="A942" t="str">
        <f t="shared" si="56"/>
        <v>102020</v>
      </c>
      <c r="B942" s="1">
        <v>44125</v>
      </c>
      <c r="C942" t="s">
        <v>598</v>
      </c>
      <c r="D942">
        <v>11958.55</v>
      </c>
      <c r="E942">
        <v>12018.65</v>
      </c>
      <c r="F942">
        <v>11775.75</v>
      </c>
      <c r="G942">
        <v>11937.65</v>
      </c>
      <c r="H942">
        <v>0</v>
      </c>
      <c r="I942" s="8">
        <f t="shared" si="57"/>
        <v>3.4336964561898498E-3</v>
      </c>
      <c r="J942" s="8">
        <f t="shared" si="58"/>
        <v>3.4278147805934457E-3</v>
      </c>
      <c r="K942" s="8">
        <f t="shared" si="55"/>
        <v>7.2391706642232156E-2</v>
      </c>
    </row>
    <row r="943" spans="1:11" x14ac:dyDescent="0.25">
      <c r="A943" t="str">
        <f t="shared" si="56"/>
        <v>102020</v>
      </c>
      <c r="B943" s="1">
        <v>44126</v>
      </c>
      <c r="C943" t="s">
        <v>599</v>
      </c>
      <c r="D943">
        <v>11890</v>
      </c>
      <c r="E943">
        <v>11939.55</v>
      </c>
      <c r="F943">
        <v>11823.45</v>
      </c>
      <c r="G943">
        <v>11896.45</v>
      </c>
      <c r="H943">
        <v>0</v>
      </c>
      <c r="I943" s="8">
        <f t="shared" si="57"/>
        <v>-3.4512655338361231E-3</v>
      </c>
      <c r="J943" s="8">
        <f t="shared" si="58"/>
        <v>-3.4572348892397747E-3</v>
      </c>
      <c r="K943" s="8">
        <f t="shared" si="55"/>
        <v>5.27319466751619E-2</v>
      </c>
    </row>
    <row r="944" spans="1:11" x14ac:dyDescent="0.25">
      <c r="A944" t="str">
        <f t="shared" si="56"/>
        <v>102020</v>
      </c>
      <c r="B944" s="1">
        <v>44127</v>
      </c>
      <c r="C944" t="s">
        <v>600</v>
      </c>
      <c r="D944">
        <v>11957.9</v>
      </c>
      <c r="E944">
        <v>11974.55</v>
      </c>
      <c r="F944">
        <v>11908.75</v>
      </c>
      <c r="G944">
        <v>11930.35</v>
      </c>
      <c r="H944">
        <v>0</v>
      </c>
      <c r="I944" s="8">
        <f t="shared" si="57"/>
        <v>2.8495895834470542E-3</v>
      </c>
      <c r="J944" s="8">
        <f t="shared" si="58"/>
        <v>2.8455371996451177E-3</v>
      </c>
      <c r="K944" s="8">
        <f t="shared" si="55"/>
        <v>6.493883252922239E-2</v>
      </c>
    </row>
    <row r="945" spans="1:11" x14ac:dyDescent="0.25">
      <c r="A945" t="str">
        <f t="shared" si="56"/>
        <v>102020</v>
      </c>
      <c r="B945" s="1">
        <v>44130</v>
      </c>
      <c r="C945" t="s">
        <v>601</v>
      </c>
      <c r="D945">
        <v>11937.4</v>
      </c>
      <c r="E945">
        <v>11942.85</v>
      </c>
      <c r="F945">
        <v>11711.7</v>
      </c>
      <c r="G945">
        <v>11767.75</v>
      </c>
      <c r="H945">
        <v>0</v>
      </c>
      <c r="I945" s="8">
        <f t="shared" si="57"/>
        <v>-1.362910560042252E-2</v>
      </c>
      <c r="J945" s="8">
        <f t="shared" si="58"/>
        <v>-1.3722834461522889E-2</v>
      </c>
      <c r="K945" s="8">
        <f t="shared" si="55"/>
        <v>5.995235157154255E-2</v>
      </c>
    </row>
    <row r="946" spans="1:11" x14ac:dyDescent="0.25">
      <c r="A946" t="str">
        <f t="shared" si="56"/>
        <v>102020</v>
      </c>
      <c r="B946" s="1">
        <v>44131</v>
      </c>
      <c r="C946" t="s">
        <v>602</v>
      </c>
      <c r="D946">
        <v>11807.1</v>
      </c>
      <c r="E946">
        <v>11899.05</v>
      </c>
      <c r="F946">
        <v>11723</v>
      </c>
      <c r="G946">
        <v>11889.4</v>
      </c>
      <c r="H946">
        <v>0</v>
      </c>
      <c r="I946" s="8">
        <f t="shared" si="57"/>
        <v>1.0337575152429279E-2</v>
      </c>
      <c r="J946" s="8">
        <f t="shared" si="58"/>
        <v>1.0284507834007878E-2</v>
      </c>
      <c r="K946" s="8">
        <f t="shared" si="55"/>
        <v>7.3685256175807901E-2</v>
      </c>
    </row>
    <row r="947" spans="1:11" x14ac:dyDescent="0.25">
      <c r="A947" t="str">
        <f t="shared" si="56"/>
        <v>102020</v>
      </c>
      <c r="B947" s="1">
        <v>44132</v>
      </c>
      <c r="C947" t="s">
        <v>603</v>
      </c>
      <c r="D947">
        <v>11922.6</v>
      </c>
      <c r="E947">
        <v>11929.4</v>
      </c>
      <c r="F947">
        <v>11684.85</v>
      </c>
      <c r="G947">
        <v>11729.6</v>
      </c>
      <c r="H947">
        <v>0</v>
      </c>
      <c r="I947" s="8">
        <f t="shared" si="57"/>
        <v>-1.3440543677561423E-2</v>
      </c>
      <c r="J947" s="8">
        <f t="shared" si="58"/>
        <v>-1.3531685368635521E-2</v>
      </c>
      <c r="K947" s="8">
        <f t="shared" si="55"/>
        <v>7.6940027176906955E-2</v>
      </c>
    </row>
    <row r="948" spans="1:11" x14ac:dyDescent="0.25">
      <c r="A948" t="str">
        <f t="shared" si="56"/>
        <v>102020</v>
      </c>
      <c r="B948" s="1">
        <v>44133</v>
      </c>
      <c r="C948" t="s">
        <v>604</v>
      </c>
      <c r="D948">
        <v>11633.3</v>
      </c>
      <c r="E948">
        <v>11744.15</v>
      </c>
      <c r="F948">
        <v>11606.45</v>
      </c>
      <c r="G948">
        <v>11670.8</v>
      </c>
      <c r="H948">
        <v>0</v>
      </c>
      <c r="I948" s="8">
        <f t="shared" si="57"/>
        <v>-5.0129586686673555E-3</v>
      </c>
      <c r="J948" s="8">
        <f t="shared" si="58"/>
        <v>-5.0255656959599226E-3</v>
      </c>
      <c r="K948" s="8">
        <f t="shared" si="55"/>
        <v>5.1873549491899595E-2</v>
      </c>
    </row>
    <row r="949" spans="1:11" x14ac:dyDescent="0.25">
      <c r="A949" t="str">
        <f t="shared" si="56"/>
        <v>102020</v>
      </c>
      <c r="B949" s="1">
        <v>44134</v>
      </c>
      <c r="C949" t="s">
        <v>605</v>
      </c>
      <c r="D949">
        <v>11678.45</v>
      </c>
      <c r="E949">
        <v>11748.95</v>
      </c>
      <c r="F949">
        <v>11535.45</v>
      </c>
      <c r="G949">
        <v>11642.4</v>
      </c>
      <c r="H949">
        <v>0</v>
      </c>
      <c r="I949" s="8">
        <f t="shared" si="57"/>
        <v>-2.4334235870719922E-3</v>
      </c>
      <c r="J949" s="8">
        <f t="shared" si="58"/>
        <v>-2.436389174245776E-3</v>
      </c>
      <c r="K949" s="8">
        <f t="shared" si="55"/>
        <v>4.8708975692802525E-2</v>
      </c>
    </row>
    <row r="950" spans="1:11" x14ac:dyDescent="0.25">
      <c r="A950" t="str">
        <f t="shared" si="56"/>
        <v>112020</v>
      </c>
      <c r="B950" s="1">
        <v>44137</v>
      </c>
      <c r="C950" s="10">
        <v>43872.645833333336</v>
      </c>
      <c r="D950">
        <v>11697.35</v>
      </c>
      <c r="E950">
        <v>11725.65</v>
      </c>
      <c r="F950">
        <v>11557.4</v>
      </c>
      <c r="G950">
        <v>11669.15</v>
      </c>
      <c r="H950">
        <v>0</v>
      </c>
      <c r="I950" s="8">
        <f t="shared" si="57"/>
        <v>2.297636226207711E-3</v>
      </c>
      <c r="J950" s="8">
        <f t="shared" si="58"/>
        <v>2.2950006963143427E-3</v>
      </c>
      <c r="K950" s="8">
        <f t="shared" si="55"/>
        <v>4.187443918161815E-2</v>
      </c>
    </row>
    <row r="951" spans="1:11" x14ac:dyDescent="0.25">
      <c r="A951" t="str">
        <f t="shared" si="56"/>
        <v>112020</v>
      </c>
      <c r="B951" s="1">
        <v>44138</v>
      </c>
      <c r="C951" s="10">
        <v>43901.645833333336</v>
      </c>
      <c r="D951">
        <v>11734.45</v>
      </c>
      <c r="E951">
        <v>11836.2</v>
      </c>
      <c r="F951">
        <v>11723.3</v>
      </c>
      <c r="G951">
        <v>11813.5</v>
      </c>
      <c r="H951">
        <v>0</v>
      </c>
      <c r="I951" s="8">
        <f t="shared" si="57"/>
        <v>1.237022405230892E-2</v>
      </c>
      <c r="J951" s="8">
        <f t="shared" si="58"/>
        <v>1.2294338008099459E-2</v>
      </c>
      <c r="K951" s="8">
        <f t="shared" si="55"/>
        <v>5.3455263709364598E-2</v>
      </c>
    </row>
    <row r="952" spans="1:11" x14ac:dyDescent="0.25">
      <c r="A952" t="str">
        <f t="shared" si="56"/>
        <v>112020</v>
      </c>
      <c r="B952" s="1">
        <v>44139</v>
      </c>
      <c r="C952" s="10">
        <v>43932.645833333336</v>
      </c>
      <c r="D952">
        <v>11783.35</v>
      </c>
      <c r="E952">
        <v>11929.65</v>
      </c>
      <c r="F952">
        <v>11756.4</v>
      </c>
      <c r="G952">
        <v>11908.5</v>
      </c>
      <c r="H952">
        <v>0</v>
      </c>
      <c r="I952" s="8">
        <f t="shared" si="57"/>
        <v>8.0416472679560869E-3</v>
      </c>
      <c r="J952" s="8">
        <f t="shared" si="58"/>
        <v>8.0094855297475447E-3</v>
      </c>
      <c r="K952" s="8">
        <f t="shared" si="55"/>
        <v>5.6640772305603715E-2</v>
      </c>
    </row>
    <row r="953" spans="1:11" x14ac:dyDescent="0.25">
      <c r="A953" t="str">
        <f t="shared" si="56"/>
        <v>112020</v>
      </c>
      <c r="B953" s="1">
        <v>44140</v>
      </c>
      <c r="C953" s="10">
        <v>43962.645833333336</v>
      </c>
      <c r="D953">
        <v>12062.4</v>
      </c>
      <c r="E953">
        <v>12131.1</v>
      </c>
      <c r="F953">
        <v>12027.6</v>
      </c>
      <c r="G953">
        <v>12120.3</v>
      </c>
      <c r="H953">
        <v>0</v>
      </c>
      <c r="I953" s="8">
        <f t="shared" si="57"/>
        <v>1.7785615316790571E-2</v>
      </c>
      <c r="J953" s="8">
        <f t="shared" si="58"/>
        <v>1.7629301958937776E-2</v>
      </c>
      <c r="K953" s="8">
        <f t="shared" si="55"/>
        <v>7.0461470523294212E-2</v>
      </c>
    </row>
    <row r="954" spans="1:11" x14ac:dyDescent="0.25">
      <c r="A954" t="str">
        <f t="shared" si="56"/>
        <v>112020</v>
      </c>
      <c r="B954" s="1">
        <v>44141</v>
      </c>
      <c r="C954" s="10">
        <v>43993.645833333336</v>
      </c>
      <c r="D954">
        <v>12156.65</v>
      </c>
      <c r="E954">
        <v>12280.4</v>
      </c>
      <c r="F954">
        <v>12131.85</v>
      </c>
      <c r="G954">
        <v>12263.55</v>
      </c>
      <c r="H954">
        <v>0</v>
      </c>
      <c r="I954" s="8">
        <f t="shared" si="57"/>
        <v>1.1819014380832105E-2</v>
      </c>
      <c r="J954" s="8">
        <f t="shared" si="58"/>
        <v>1.1749715326943234E-2</v>
      </c>
      <c r="K954" s="8">
        <f t="shared" si="55"/>
        <v>8.4463761451664121E-2</v>
      </c>
    </row>
    <row r="955" spans="1:11" x14ac:dyDescent="0.25">
      <c r="A955" t="str">
        <f t="shared" si="56"/>
        <v>112020</v>
      </c>
      <c r="B955" s="1">
        <v>44144</v>
      </c>
      <c r="C955" s="10">
        <v>44085.645833333336</v>
      </c>
      <c r="D955">
        <v>12399.4</v>
      </c>
      <c r="E955">
        <v>12474.05</v>
      </c>
      <c r="F955">
        <v>12367.35</v>
      </c>
      <c r="G955">
        <v>12461.05</v>
      </c>
      <c r="H955">
        <v>0</v>
      </c>
      <c r="I955" s="8">
        <f t="shared" si="57"/>
        <v>1.6104635280974833E-2</v>
      </c>
      <c r="J955" s="8">
        <f t="shared" si="58"/>
        <v>1.5976331334718024E-2</v>
      </c>
      <c r="K955" s="8">
        <f t="shared" si="55"/>
        <v>0.10270387462446173</v>
      </c>
    </row>
    <row r="956" spans="1:11" x14ac:dyDescent="0.25">
      <c r="A956" t="str">
        <f t="shared" si="56"/>
        <v>112020</v>
      </c>
      <c r="B956" s="1">
        <v>44145</v>
      </c>
      <c r="C956" s="10">
        <v>44115.645833333336</v>
      </c>
      <c r="D956">
        <v>12556.4</v>
      </c>
      <c r="E956">
        <v>12643.9</v>
      </c>
      <c r="F956">
        <v>12475.25</v>
      </c>
      <c r="G956">
        <v>12631.1</v>
      </c>
      <c r="H956">
        <v>0</v>
      </c>
      <c r="I956" s="8">
        <f t="shared" si="57"/>
        <v>1.3646522564310537E-2</v>
      </c>
      <c r="J956" s="8">
        <f t="shared" si="58"/>
        <v>1.355424731828949E-2</v>
      </c>
      <c r="K956" s="8">
        <f t="shared" si="55"/>
        <v>0.12995598654548068</v>
      </c>
    </row>
    <row r="957" spans="1:11" x14ac:dyDescent="0.25">
      <c r="A957" t="str">
        <f t="shared" si="56"/>
        <v>112020</v>
      </c>
      <c r="B957" s="1">
        <v>44146</v>
      </c>
      <c r="C957" s="10">
        <v>44146.645833333336</v>
      </c>
      <c r="D957">
        <v>12680.6</v>
      </c>
      <c r="E957">
        <v>12769.75</v>
      </c>
      <c r="F957">
        <v>12571.1</v>
      </c>
      <c r="G957">
        <v>12749.15</v>
      </c>
      <c r="H957">
        <v>0</v>
      </c>
      <c r="I957" s="8">
        <f t="shared" si="57"/>
        <v>9.3459793683843273E-3</v>
      </c>
      <c r="J957" s="8">
        <f t="shared" si="58"/>
        <v>9.3025759254182373E-3</v>
      </c>
      <c r="K957" s="8">
        <f t="shared" si="55"/>
        <v>0.1335499817730792</v>
      </c>
    </row>
    <row r="958" spans="1:11" x14ac:dyDescent="0.25">
      <c r="A958" t="str">
        <f t="shared" si="56"/>
        <v>112020</v>
      </c>
      <c r="B958" s="1">
        <v>44147</v>
      </c>
      <c r="C958" s="10">
        <v>44176.645833333336</v>
      </c>
      <c r="D958">
        <v>12702.15</v>
      </c>
      <c r="E958">
        <v>12741.15</v>
      </c>
      <c r="F958">
        <v>12624.85</v>
      </c>
      <c r="G958">
        <v>12690.8</v>
      </c>
      <c r="H958">
        <v>0</v>
      </c>
      <c r="I958" s="8">
        <f t="shared" si="57"/>
        <v>-4.5767757066157433E-3</v>
      </c>
      <c r="J958" s="8">
        <f t="shared" si="58"/>
        <v>-4.5872812110303507E-3</v>
      </c>
      <c r="K958" s="8">
        <f t="shared" si="55"/>
        <v>0.11466050670379024</v>
      </c>
    </row>
    <row r="959" spans="1:11" x14ac:dyDescent="0.25">
      <c r="A959" t="str">
        <f t="shared" si="56"/>
        <v>112020</v>
      </c>
      <c r="B959" s="1">
        <v>44148</v>
      </c>
      <c r="C959" t="s">
        <v>606</v>
      </c>
      <c r="D959">
        <v>12659.7</v>
      </c>
      <c r="E959">
        <v>12735.95</v>
      </c>
      <c r="F959">
        <v>12607.7</v>
      </c>
      <c r="G959">
        <v>12719.95</v>
      </c>
      <c r="H959">
        <v>0</v>
      </c>
      <c r="I959" s="8">
        <f t="shared" si="57"/>
        <v>2.2969395152394601E-3</v>
      </c>
      <c r="J959" s="8">
        <f t="shared" si="58"/>
        <v>2.2943055822232622E-3</v>
      </c>
      <c r="K959" s="8">
        <f t="shared" si="55"/>
        <v>0.11496353564040551</v>
      </c>
    </row>
    <row r="960" spans="1:11" x14ac:dyDescent="0.25">
      <c r="A960" t="str">
        <f t="shared" si="56"/>
        <v>112020</v>
      </c>
      <c r="B960" s="1">
        <v>44152</v>
      </c>
      <c r="C960" t="s">
        <v>607</v>
      </c>
      <c r="D960">
        <v>12932.5</v>
      </c>
      <c r="E960">
        <v>12934.05</v>
      </c>
      <c r="F960">
        <v>12797.1</v>
      </c>
      <c r="G960">
        <v>12874.2</v>
      </c>
      <c r="H960">
        <v>0</v>
      </c>
      <c r="I960" s="8">
        <f t="shared" si="57"/>
        <v>1.2126619994575538E-2</v>
      </c>
      <c r="J960" s="8">
        <f t="shared" si="58"/>
        <v>1.2053681610313101E-2</v>
      </c>
      <c r="K960" s="8">
        <f t="shared" ref="K960:K1023" si="59">+G960/G899-1</f>
        <v>0.1380810098831351</v>
      </c>
    </row>
    <row r="961" spans="1:11" x14ac:dyDescent="0.25">
      <c r="A961" t="str">
        <f t="shared" si="56"/>
        <v>112020</v>
      </c>
      <c r="B961" s="1">
        <v>44153</v>
      </c>
      <c r="C961" t="s">
        <v>608</v>
      </c>
      <c r="D961">
        <v>12860.1</v>
      </c>
      <c r="E961">
        <v>12948.85</v>
      </c>
      <c r="F961">
        <v>12819.35</v>
      </c>
      <c r="G961">
        <v>12938.25</v>
      </c>
      <c r="H961">
        <v>0</v>
      </c>
      <c r="I961" s="8">
        <f t="shared" si="57"/>
        <v>4.9750664118934917E-3</v>
      </c>
      <c r="J961" s="8">
        <f t="shared" si="58"/>
        <v>4.9627316628728501E-3</v>
      </c>
      <c r="K961" s="8">
        <f t="shared" si="59"/>
        <v>0.13776865172886832</v>
      </c>
    </row>
    <row r="962" spans="1:11" x14ac:dyDescent="0.25">
      <c r="A962" t="str">
        <f t="shared" si="56"/>
        <v>112020</v>
      </c>
      <c r="B962" s="1">
        <v>44154</v>
      </c>
      <c r="C962" t="s">
        <v>609</v>
      </c>
      <c r="D962">
        <v>12839.5</v>
      </c>
      <c r="E962">
        <v>12963</v>
      </c>
      <c r="F962">
        <v>12745.75</v>
      </c>
      <c r="G962">
        <v>12771.7</v>
      </c>
      <c r="H962">
        <v>0</v>
      </c>
      <c r="I962" s="8">
        <f t="shared" si="57"/>
        <v>-1.2872683709156951E-2</v>
      </c>
      <c r="J962" s="8">
        <f t="shared" si="58"/>
        <v>-1.2956254665088004E-2</v>
      </c>
      <c r="K962" s="8">
        <f t="shared" si="59"/>
        <v>0.11383209275756667</v>
      </c>
    </row>
    <row r="963" spans="1:11" x14ac:dyDescent="0.25">
      <c r="A963" t="str">
        <f t="shared" ref="A963:A1026" si="60">+MONTH(B963)&amp;YEAR(B963)</f>
        <v>112020</v>
      </c>
      <c r="B963" s="1">
        <v>44155</v>
      </c>
      <c r="C963" t="s">
        <v>610</v>
      </c>
      <c r="D963">
        <v>12813.4</v>
      </c>
      <c r="E963">
        <v>12892.45</v>
      </c>
      <c r="F963">
        <v>12730.25</v>
      </c>
      <c r="G963">
        <v>12859.05</v>
      </c>
      <c r="H963">
        <v>0</v>
      </c>
      <c r="I963" s="8">
        <f t="shared" si="57"/>
        <v>6.8393401035100609E-3</v>
      </c>
      <c r="J963" s="8">
        <f t="shared" si="58"/>
        <v>6.8160579132457008E-3</v>
      </c>
      <c r="K963" s="8">
        <f t="shared" si="59"/>
        <v>0.12088300028329213</v>
      </c>
    </row>
    <row r="964" spans="1:11" x14ac:dyDescent="0.25">
      <c r="A964" t="str">
        <f t="shared" si="60"/>
        <v>112020</v>
      </c>
      <c r="B964" s="1">
        <v>44158</v>
      </c>
      <c r="C964" t="s">
        <v>611</v>
      </c>
      <c r="D964">
        <v>12960.3</v>
      </c>
      <c r="E964">
        <v>12968.85</v>
      </c>
      <c r="F964">
        <v>12825.7</v>
      </c>
      <c r="G964">
        <v>12926.45</v>
      </c>
      <c r="H964">
        <v>0</v>
      </c>
      <c r="I964" s="8">
        <f t="shared" ref="I964:I1027" si="61">+G964/G963-1</f>
        <v>5.2414447412523213E-3</v>
      </c>
      <c r="J964" s="8">
        <f t="shared" ref="J964:J1027" si="62">+LN(1+I964)</f>
        <v>5.2277561808191089E-3</v>
      </c>
      <c r="K964" s="8">
        <f t="shared" si="59"/>
        <v>0.11921192075916043</v>
      </c>
    </row>
    <row r="965" spans="1:11" x14ac:dyDescent="0.25">
      <c r="A965" t="str">
        <f t="shared" si="60"/>
        <v>112020</v>
      </c>
      <c r="B965" s="1">
        <v>44159</v>
      </c>
      <c r="C965" t="s">
        <v>612</v>
      </c>
      <c r="D965">
        <v>13002.6</v>
      </c>
      <c r="E965">
        <v>13079.1</v>
      </c>
      <c r="F965">
        <v>12978</v>
      </c>
      <c r="G965">
        <v>13055.15</v>
      </c>
      <c r="H965">
        <v>0</v>
      </c>
      <c r="I965" s="8">
        <f t="shared" si="61"/>
        <v>9.956329850809631E-3</v>
      </c>
      <c r="J965" s="8">
        <f t="shared" si="62"/>
        <v>9.9070921469130834E-3</v>
      </c>
      <c r="K965" s="8">
        <f t="shared" si="59"/>
        <v>0.12941151026234388</v>
      </c>
    </row>
    <row r="966" spans="1:11" x14ac:dyDescent="0.25">
      <c r="A966" t="str">
        <f t="shared" si="60"/>
        <v>112020</v>
      </c>
      <c r="B966" s="1">
        <v>44160</v>
      </c>
      <c r="C966" t="s">
        <v>613</v>
      </c>
      <c r="D966">
        <v>13130</v>
      </c>
      <c r="E966">
        <v>13145.85</v>
      </c>
      <c r="F966">
        <v>12833.65</v>
      </c>
      <c r="G966">
        <v>12858.4</v>
      </c>
      <c r="H966">
        <v>0</v>
      </c>
      <c r="I966" s="8">
        <f t="shared" si="61"/>
        <v>-1.5070680919024304E-2</v>
      </c>
      <c r="J966" s="8">
        <f t="shared" si="62"/>
        <v>-1.518539766292209E-2</v>
      </c>
      <c r="K966" s="8">
        <f t="shared" si="59"/>
        <v>0.1039527456300009</v>
      </c>
    </row>
    <row r="967" spans="1:11" x14ac:dyDescent="0.25">
      <c r="A967" t="str">
        <f t="shared" si="60"/>
        <v>112020</v>
      </c>
      <c r="B967" s="1">
        <v>44161</v>
      </c>
      <c r="C967" t="s">
        <v>614</v>
      </c>
      <c r="D967">
        <v>12906.45</v>
      </c>
      <c r="E967">
        <v>13018</v>
      </c>
      <c r="F967">
        <v>12790.4</v>
      </c>
      <c r="G967">
        <v>12987</v>
      </c>
      <c r="H967">
        <v>0</v>
      </c>
      <c r="I967" s="8">
        <f t="shared" si="61"/>
        <v>1.000124432277727E-2</v>
      </c>
      <c r="J967" s="8">
        <f t="shared" si="62"/>
        <v>9.9515628551589408E-3</v>
      </c>
      <c r="K967" s="8">
        <f t="shared" si="59"/>
        <v>0.14046103183315028</v>
      </c>
    </row>
    <row r="968" spans="1:11" x14ac:dyDescent="0.25">
      <c r="A968" t="str">
        <f t="shared" si="60"/>
        <v>112020</v>
      </c>
      <c r="B968" s="1">
        <v>44162</v>
      </c>
      <c r="C968" t="s">
        <v>615</v>
      </c>
      <c r="D968">
        <v>13012.05</v>
      </c>
      <c r="E968">
        <v>13035.3</v>
      </c>
      <c r="F968">
        <v>12914.3</v>
      </c>
      <c r="G968">
        <v>12968.95</v>
      </c>
      <c r="H968">
        <v>0</v>
      </c>
      <c r="I968" s="8">
        <f t="shared" si="61"/>
        <v>-1.3898513898513709E-3</v>
      </c>
      <c r="J968" s="8">
        <f t="shared" si="62"/>
        <v>-1.3908181291474332E-3</v>
      </c>
      <c r="K968" s="8">
        <f t="shared" si="59"/>
        <v>0.13065975022340415</v>
      </c>
    </row>
    <row r="969" spans="1:11" x14ac:dyDescent="0.25">
      <c r="A969" t="str">
        <f t="shared" si="60"/>
        <v>122020</v>
      </c>
      <c r="B969" s="1">
        <v>44166</v>
      </c>
      <c r="C969" s="10">
        <v>43842.645833333336</v>
      </c>
      <c r="D969">
        <v>13062.2</v>
      </c>
      <c r="E969">
        <v>13128.4</v>
      </c>
      <c r="F969">
        <v>12962.8</v>
      </c>
      <c r="G969">
        <v>13109.05</v>
      </c>
      <c r="H969">
        <v>0</v>
      </c>
      <c r="I969" s="8">
        <f t="shared" si="61"/>
        <v>1.0802724970024435E-2</v>
      </c>
      <c r="J969" s="8">
        <f t="shared" si="62"/>
        <v>1.0744792383060973E-2</v>
      </c>
      <c r="K969" s="8">
        <f t="shared" si="59"/>
        <v>0.13645860424794098</v>
      </c>
    </row>
    <row r="970" spans="1:11" x14ac:dyDescent="0.25">
      <c r="A970" t="str">
        <f t="shared" si="60"/>
        <v>122020</v>
      </c>
      <c r="B970" s="1">
        <v>44167</v>
      </c>
      <c r="C970" s="10">
        <v>43873.645833333336</v>
      </c>
      <c r="D970">
        <v>13121.4</v>
      </c>
      <c r="E970">
        <v>13128.5</v>
      </c>
      <c r="F970">
        <v>12983.55</v>
      </c>
      <c r="G970">
        <v>13113.75</v>
      </c>
      <c r="H970">
        <v>0</v>
      </c>
      <c r="I970" s="8">
        <f t="shared" si="61"/>
        <v>3.5853093855009455E-4</v>
      </c>
      <c r="J970" s="8">
        <f t="shared" si="62"/>
        <v>3.5846668169140151E-4</v>
      </c>
      <c r="K970" s="8">
        <f t="shared" si="59"/>
        <v>0.13761065977297671</v>
      </c>
    </row>
    <row r="971" spans="1:11" x14ac:dyDescent="0.25">
      <c r="A971" t="str">
        <f t="shared" si="60"/>
        <v>122020</v>
      </c>
      <c r="B971" s="1">
        <v>44168</v>
      </c>
      <c r="C971" s="10">
        <v>43902.645833333336</v>
      </c>
      <c r="D971">
        <v>13215.3</v>
      </c>
      <c r="E971">
        <v>13216.6</v>
      </c>
      <c r="F971">
        <v>13107.9</v>
      </c>
      <c r="G971">
        <v>13133.9</v>
      </c>
      <c r="H971">
        <v>0</v>
      </c>
      <c r="I971" s="8">
        <f t="shared" si="61"/>
        <v>1.5365551425030599E-3</v>
      </c>
      <c r="J971" s="8">
        <f t="shared" si="62"/>
        <v>1.5353758495279832E-3</v>
      </c>
      <c r="K971" s="8">
        <f t="shared" si="59"/>
        <v>0.15882070082099187</v>
      </c>
    </row>
    <row r="972" spans="1:11" x14ac:dyDescent="0.25">
      <c r="A972" t="str">
        <f t="shared" si="60"/>
        <v>122020</v>
      </c>
      <c r="B972" s="1">
        <v>44169</v>
      </c>
      <c r="C972" s="10">
        <v>43933.645833333336</v>
      </c>
      <c r="D972">
        <v>13177.4</v>
      </c>
      <c r="E972">
        <v>13280.05</v>
      </c>
      <c r="F972">
        <v>13152.85</v>
      </c>
      <c r="G972">
        <v>13258.55</v>
      </c>
      <c r="H972">
        <v>0</v>
      </c>
      <c r="I972" s="8">
        <f t="shared" si="61"/>
        <v>9.4907072537480097E-3</v>
      </c>
      <c r="J972" s="8">
        <f t="shared" si="62"/>
        <v>9.4459534324455828E-3</v>
      </c>
      <c r="K972" s="8">
        <f t="shared" si="59"/>
        <v>0.16763466475268718</v>
      </c>
    </row>
    <row r="973" spans="1:11" x14ac:dyDescent="0.25">
      <c r="A973" t="str">
        <f t="shared" si="60"/>
        <v>122020</v>
      </c>
      <c r="B973" s="1">
        <v>44172</v>
      </c>
      <c r="C973" s="10">
        <v>44024.645833333336</v>
      </c>
      <c r="D973">
        <v>13264.85</v>
      </c>
      <c r="E973">
        <v>13366.65</v>
      </c>
      <c r="F973">
        <v>13241.95</v>
      </c>
      <c r="G973">
        <v>13355.75</v>
      </c>
      <c r="H973">
        <v>0</v>
      </c>
      <c r="I973" s="8">
        <f t="shared" si="61"/>
        <v>7.331118410384363E-3</v>
      </c>
      <c r="J973" s="8">
        <f t="shared" si="62"/>
        <v>7.3043763815936035E-3</v>
      </c>
      <c r="K973" s="8">
        <f t="shared" si="59"/>
        <v>0.18011283560197389</v>
      </c>
    </row>
    <row r="974" spans="1:11" x14ac:dyDescent="0.25">
      <c r="A974" t="str">
        <f t="shared" si="60"/>
        <v>122020</v>
      </c>
      <c r="B974" s="1">
        <v>44173</v>
      </c>
      <c r="C974" s="10">
        <v>44055.645833333336</v>
      </c>
      <c r="D974">
        <v>13393.85</v>
      </c>
      <c r="E974">
        <v>13435.45</v>
      </c>
      <c r="F974">
        <v>13311.05</v>
      </c>
      <c r="G974">
        <v>13392.95</v>
      </c>
      <c r="H974">
        <v>0</v>
      </c>
      <c r="I974" s="8">
        <f t="shared" si="61"/>
        <v>2.785317185481917E-3</v>
      </c>
      <c r="J974" s="8">
        <f t="shared" si="62"/>
        <v>2.7814453773795378E-3</v>
      </c>
      <c r="K974" s="8">
        <f t="shared" si="59"/>
        <v>0.18752881716616421</v>
      </c>
    </row>
    <row r="975" spans="1:11" x14ac:dyDescent="0.25">
      <c r="A975" t="str">
        <f t="shared" si="60"/>
        <v>122020</v>
      </c>
      <c r="B975" s="1">
        <v>44174</v>
      </c>
      <c r="C975" s="10">
        <v>44086.645833333336</v>
      </c>
      <c r="D975">
        <v>13458.1</v>
      </c>
      <c r="E975">
        <v>13548.9</v>
      </c>
      <c r="F975">
        <v>13449.6</v>
      </c>
      <c r="G975">
        <v>13529.1</v>
      </c>
      <c r="H975">
        <v>0</v>
      </c>
      <c r="I975" s="8">
        <f t="shared" si="61"/>
        <v>1.0165796183813081E-2</v>
      </c>
      <c r="J975" s="8">
        <f t="shared" si="62"/>
        <v>1.0114472018708576E-2</v>
      </c>
      <c r="K975" s="8">
        <f t="shared" si="59"/>
        <v>0.18165818721750338</v>
      </c>
    </row>
    <row r="976" spans="1:11" x14ac:dyDescent="0.25">
      <c r="A976" t="str">
        <f t="shared" si="60"/>
        <v>122020</v>
      </c>
      <c r="B976" s="1">
        <v>44175</v>
      </c>
      <c r="C976" s="10">
        <v>44116.645833333336</v>
      </c>
      <c r="D976">
        <v>13488.5</v>
      </c>
      <c r="E976">
        <v>13503.55</v>
      </c>
      <c r="F976">
        <v>13399.3</v>
      </c>
      <c r="G976">
        <v>13478.3</v>
      </c>
      <c r="H976">
        <v>0</v>
      </c>
      <c r="I976" s="8">
        <f t="shared" si="61"/>
        <v>-3.7548691339409634E-3</v>
      </c>
      <c r="J976" s="8">
        <f t="shared" si="62"/>
        <v>-3.7619363515791131E-3</v>
      </c>
      <c r="K976" s="8">
        <f t="shared" si="59"/>
        <v>0.17566041109691244</v>
      </c>
    </row>
    <row r="977" spans="1:11" x14ac:dyDescent="0.25">
      <c r="A977" t="str">
        <f t="shared" si="60"/>
        <v>122020</v>
      </c>
      <c r="B977" s="1">
        <v>44176</v>
      </c>
      <c r="C977" s="10">
        <v>44147.645833333336</v>
      </c>
      <c r="D977">
        <v>13512.3</v>
      </c>
      <c r="E977">
        <v>13579.35</v>
      </c>
      <c r="F977">
        <v>13402.85</v>
      </c>
      <c r="G977">
        <v>13513.85</v>
      </c>
      <c r="H977">
        <v>0</v>
      </c>
      <c r="I977" s="8">
        <f t="shared" si="61"/>
        <v>2.6375729876915166E-3</v>
      </c>
      <c r="J977" s="8">
        <f t="shared" si="62"/>
        <v>2.6341006963332956E-3</v>
      </c>
      <c r="K977" s="8">
        <f t="shared" si="59"/>
        <v>0.18127543148849878</v>
      </c>
    </row>
    <row r="978" spans="1:11" x14ac:dyDescent="0.25">
      <c r="A978" t="str">
        <f t="shared" si="60"/>
        <v>122020</v>
      </c>
      <c r="B978" s="1">
        <v>44179</v>
      </c>
      <c r="C978" t="s">
        <v>616</v>
      </c>
      <c r="D978">
        <v>13571.45</v>
      </c>
      <c r="E978">
        <v>13597.5</v>
      </c>
      <c r="F978">
        <v>13472.45</v>
      </c>
      <c r="G978">
        <v>13558.15</v>
      </c>
      <c r="H978">
        <v>0</v>
      </c>
      <c r="I978" s="8">
        <f t="shared" si="61"/>
        <v>3.2781183748524789E-3</v>
      </c>
      <c r="J978" s="8">
        <f t="shared" si="62"/>
        <v>3.2727570583044262E-3</v>
      </c>
      <c r="K978" s="8">
        <f t="shared" si="59"/>
        <v>0.17673887760592977</v>
      </c>
    </row>
    <row r="979" spans="1:11" x14ac:dyDescent="0.25">
      <c r="A979" t="str">
        <f t="shared" si="60"/>
        <v>122020</v>
      </c>
      <c r="B979" s="1">
        <v>44180</v>
      </c>
      <c r="C979" t="s">
        <v>617</v>
      </c>
      <c r="D979">
        <v>13547.2</v>
      </c>
      <c r="E979">
        <v>13589.65</v>
      </c>
      <c r="F979">
        <v>13447.05</v>
      </c>
      <c r="G979">
        <v>13567.85</v>
      </c>
      <c r="H979">
        <v>0</v>
      </c>
      <c r="I979" s="8">
        <f t="shared" si="61"/>
        <v>7.1543684057195911E-4</v>
      </c>
      <c r="J979" s="8">
        <f t="shared" si="62"/>
        <v>7.1518103763549385E-4</v>
      </c>
      <c r="K979" s="8">
        <f t="shared" si="59"/>
        <v>0.16918363917601287</v>
      </c>
    </row>
    <row r="980" spans="1:11" x14ac:dyDescent="0.25">
      <c r="A980" t="str">
        <f t="shared" si="60"/>
        <v>122020</v>
      </c>
      <c r="B980" s="1">
        <v>44181</v>
      </c>
      <c r="C980" t="s">
        <v>618</v>
      </c>
      <c r="D980">
        <v>13663.1</v>
      </c>
      <c r="E980">
        <v>13692.35</v>
      </c>
      <c r="F980">
        <v>13606.45</v>
      </c>
      <c r="G980">
        <v>13682.7</v>
      </c>
      <c r="H980">
        <v>0</v>
      </c>
      <c r="I980" s="8">
        <f t="shared" si="61"/>
        <v>8.4648636298307878E-3</v>
      </c>
      <c r="J980" s="8">
        <f t="shared" si="62"/>
        <v>8.4292375769652993E-3</v>
      </c>
      <c r="K980" s="8">
        <f t="shared" si="59"/>
        <v>0.18813660874775318</v>
      </c>
    </row>
    <row r="981" spans="1:11" x14ac:dyDescent="0.25">
      <c r="A981" t="str">
        <f t="shared" si="60"/>
        <v>122020</v>
      </c>
      <c r="B981" s="1">
        <v>44182</v>
      </c>
      <c r="C981" t="s">
        <v>619</v>
      </c>
      <c r="D981">
        <v>13713.55</v>
      </c>
      <c r="E981">
        <v>13773.25</v>
      </c>
      <c r="F981">
        <v>13673.55</v>
      </c>
      <c r="G981">
        <v>13740.7</v>
      </c>
      <c r="H981">
        <v>0</v>
      </c>
      <c r="I981" s="8">
        <f t="shared" si="61"/>
        <v>4.2389294510585263E-3</v>
      </c>
      <c r="J981" s="8">
        <f t="shared" si="62"/>
        <v>4.2299704982690983E-3</v>
      </c>
      <c r="K981" s="8">
        <f t="shared" si="59"/>
        <v>0.19432939734635957</v>
      </c>
    </row>
    <row r="982" spans="1:11" x14ac:dyDescent="0.25">
      <c r="A982" t="str">
        <f t="shared" si="60"/>
        <v>122020</v>
      </c>
      <c r="B982" s="1">
        <v>44183</v>
      </c>
      <c r="C982" t="s">
        <v>620</v>
      </c>
      <c r="D982">
        <v>13764.4</v>
      </c>
      <c r="E982">
        <v>13772.85</v>
      </c>
      <c r="F982">
        <v>13658.6</v>
      </c>
      <c r="G982">
        <v>13760.55</v>
      </c>
      <c r="H982">
        <v>0</v>
      </c>
      <c r="I982" s="8">
        <f t="shared" si="61"/>
        <v>1.4446134476409078E-3</v>
      </c>
      <c r="J982" s="8">
        <f t="shared" si="62"/>
        <v>1.4435709974719424E-3</v>
      </c>
      <c r="K982" s="8">
        <f t="shared" si="59"/>
        <v>0.22310020399002717</v>
      </c>
    </row>
    <row r="983" spans="1:11" x14ac:dyDescent="0.25">
      <c r="A983" t="str">
        <f t="shared" si="60"/>
        <v>122020</v>
      </c>
      <c r="B983" s="1">
        <v>44186</v>
      </c>
      <c r="C983" t="s">
        <v>621</v>
      </c>
      <c r="D983">
        <v>13741.9</v>
      </c>
      <c r="E983">
        <v>13777.5</v>
      </c>
      <c r="F983">
        <v>13131.45</v>
      </c>
      <c r="G983">
        <v>13328.4</v>
      </c>
      <c r="H983">
        <v>0</v>
      </c>
      <c r="I983" s="8">
        <f t="shared" si="61"/>
        <v>-3.1404994713147394E-2</v>
      </c>
      <c r="J983" s="8">
        <f t="shared" si="62"/>
        <v>-3.1908705657676249E-2</v>
      </c>
      <c r="K983" s="8">
        <f t="shared" si="59"/>
        <v>0.19498101518337041</v>
      </c>
    </row>
    <row r="984" spans="1:11" x14ac:dyDescent="0.25">
      <c r="A984" t="str">
        <f t="shared" si="60"/>
        <v>122020</v>
      </c>
      <c r="B984" s="1">
        <v>44187</v>
      </c>
      <c r="C984" t="s">
        <v>622</v>
      </c>
      <c r="D984">
        <v>13373.65</v>
      </c>
      <c r="E984">
        <v>13492.05</v>
      </c>
      <c r="F984">
        <v>13192.9</v>
      </c>
      <c r="G984">
        <v>13466.3</v>
      </c>
      <c r="H984">
        <v>0</v>
      </c>
      <c r="I984" s="8">
        <f t="shared" si="61"/>
        <v>1.0346328141412231E-2</v>
      </c>
      <c r="J984" s="8">
        <f t="shared" si="62"/>
        <v>1.0293171226603563E-2</v>
      </c>
      <c r="K984" s="8">
        <f t="shared" si="59"/>
        <v>0.20970907800590188</v>
      </c>
    </row>
    <row r="985" spans="1:11" x14ac:dyDescent="0.25">
      <c r="A985" t="str">
        <f t="shared" si="60"/>
        <v>122020</v>
      </c>
      <c r="B985" s="1">
        <v>44188</v>
      </c>
      <c r="C985" t="s">
        <v>623</v>
      </c>
      <c r="D985">
        <v>13473.5</v>
      </c>
      <c r="E985">
        <v>13619.45</v>
      </c>
      <c r="F985">
        <v>13432.2</v>
      </c>
      <c r="G985">
        <v>13601.1</v>
      </c>
      <c r="H985">
        <v>0</v>
      </c>
      <c r="I985" s="8">
        <f t="shared" si="61"/>
        <v>1.0010173544329204E-2</v>
      </c>
      <c r="J985" s="8">
        <f t="shared" si="62"/>
        <v>9.960403618605139E-3</v>
      </c>
      <c r="K985" s="8">
        <f t="shared" si="59"/>
        <v>0.2587142718325306</v>
      </c>
    </row>
    <row r="986" spans="1:11" x14ac:dyDescent="0.25">
      <c r="A986" t="str">
        <f t="shared" si="60"/>
        <v>122020</v>
      </c>
      <c r="B986" s="1">
        <v>44189</v>
      </c>
      <c r="C986" t="s">
        <v>624</v>
      </c>
      <c r="D986">
        <v>13672.15</v>
      </c>
      <c r="E986">
        <v>13771.75</v>
      </c>
      <c r="F986">
        <v>13626.9</v>
      </c>
      <c r="G986">
        <v>13749.25</v>
      </c>
      <c r="H986">
        <v>0</v>
      </c>
      <c r="I986" s="8">
        <f t="shared" si="61"/>
        <v>1.0892501341803307E-2</v>
      </c>
      <c r="J986" s="8">
        <f t="shared" si="62"/>
        <v>1.0833605346231154E-2</v>
      </c>
      <c r="K986" s="8">
        <f t="shared" si="59"/>
        <v>0.24424786769530105</v>
      </c>
    </row>
    <row r="987" spans="1:11" x14ac:dyDescent="0.25">
      <c r="A987" t="str">
        <f t="shared" si="60"/>
        <v>122020</v>
      </c>
      <c r="B987" s="1">
        <v>44193</v>
      </c>
      <c r="C987" t="s">
        <v>625</v>
      </c>
      <c r="D987">
        <v>13815.15</v>
      </c>
      <c r="E987">
        <v>13885.3</v>
      </c>
      <c r="F987">
        <v>13811.55</v>
      </c>
      <c r="G987">
        <v>13873.2</v>
      </c>
      <c r="H987">
        <v>0</v>
      </c>
      <c r="I987" s="8">
        <f t="shared" si="61"/>
        <v>9.0150371838464416E-3</v>
      </c>
      <c r="J987" s="8">
        <f t="shared" si="62"/>
        <v>8.9746443167618515E-3</v>
      </c>
      <c r="K987" s="8">
        <f t="shared" si="59"/>
        <v>0.2356391198435992</v>
      </c>
    </row>
    <row r="988" spans="1:11" x14ac:dyDescent="0.25">
      <c r="A988" t="str">
        <f t="shared" si="60"/>
        <v>122020</v>
      </c>
      <c r="B988" s="1">
        <v>44194</v>
      </c>
      <c r="C988" t="s">
        <v>626</v>
      </c>
      <c r="D988">
        <v>13910.35</v>
      </c>
      <c r="E988">
        <v>13967.6</v>
      </c>
      <c r="F988">
        <v>13859.9</v>
      </c>
      <c r="G988">
        <v>13932.6</v>
      </c>
      <c r="H988">
        <v>0</v>
      </c>
      <c r="I988" s="8">
        <f t="shared" si="61"/>
        <v>4.2816365366318276E-3</v>
      </c>
      <c r="J988" s="8">
        <f t="shared" si="62"/>
        <v>4.2724964114242226E-3</v>
      </c>
      <c r="K988" s="8">
        <f t="shared" si="59"/>
        <v>0.24149914456800681</v>
      </c>
    </row>
    <row r="989" spans="1:11" x14ac:dyDescent="0.25">
      <c r="A989" t="str">
        <f t="shared" si="60"/>
        <v>122020</v>
      </c>
      <c r="B989" s="1">
        <v>44195</v>
      </c>
      <c r="C989" t="s">
        <v>627</v>
      </c>
      <c r="D989">
        <v>13980.9</v>
      </c>
      <c r="E989">
        <v>13997</v>
      </c>
      <c r="F989">
        <v>13864.95</v>
      </c>
      <c r="G989">
        <v>13981.95</v>
      </c>
      <c r="H989">
        <v>0</v>
      </c>
      <c r="I989" s="8">
        <f t="shared" si="61"/>
        <v>3.5420524525213715E-3</v>
      </c>
      <c r="J989" s="8">
        <f t="shared" si="62"/>
        <v>3.5357941585163945E-3</v>
      </c>
      <c r="K989" s="8">
        <f t="shared" si="59"/>
        <v>0.24311072189054528</v>
      </c>
    </row>
    <row r="990" spans="1:11" x14ac:dyDescent="0.25">
      <c r="A990" t="str">
        <f t="shared" si="60"/>
        <v>122020</v>
      </c>
      <c r="B990" s="1">
        <v>44196</v>
      </c>
      <c r="C990" t="s">
        <v>628</v>
      </c>
      <c r="D990">
        <v>13970</v>
      </c>
      <c r="E990">
        <v>14024.85</v>
      </c>
      <c r="F990">
        <v>13936.45</v>
      </c>
      <c r="G990">
        <v>13981.75</v>
      </c>
      <c r="H990">
        <v>0</v>
      </c>
      <c r="I990" s="8">
        <f t="shared" si="61"/>
        <v>-1.430415643033367E-5</v>
      </c>
      <c r="J990" s="8">
        <f t="shared" si="62"/>
        <v>-1.4304258735754857E-5</v>
      </c>
      <c r="K990" s="8">
        <f t="shared" si="59"/>
        <v>0.22464843938179624</v>
      </c>
    </row>
    <row r="991" spans="1:11" x14ac:dyDescent="0.25">
      <c r="A991" t="str">
        <f t="shared" si="60"/>
        <v>12021</v>
      </c>
      <c r="B991" s="1">
        <v>44197</v>
      </c>
      <c r="C991" s="10">
        <v>44197.645833333336</v>
      </c>
      <c r="D991">
        <v>13996.1</v>
      </c>
      <c r="E991">
        <v>14049.85</v>
      </c>
      <c r="F991">
        <v>13991.35</v>
      </c>
      <c r="G991">
        <v>14018.5</v>
      </c>
      <c r="H991">
        <v>0</v>
      </c>
      <c r="I991" s="8">
        <f t="shared" si="61"/>
        <v>2.6284263414808606E-3</v>
      </c>
      <c r="J991" s="8">
        <f t="shared" si="62"/>
        <v>2.6249780699946659E-3</v>
      </c>
      <c r="K991" s="8">
        <f t="shared" si="59"/>
        <v>0.21864500341204951</v>
      </c>
    </row>
    <row r="992" spans="1:11" x14ac:dyDescent="0.25">
      <c r="A992" t="str">
        <f t="shared" si="60"/>
        <v>12021</v>
      </c>
      <c r="B992" s="1">
        <v>44200</v>
      </c>
      <c r="C992" s="10">
        <v>44287.645833333336</v>
      </c>
      <c r="D992">
        <v>14104.35</v>
      </c>
      <c r="E992">
        <v>14147.95</v>
      </c>
      <c r="F992">
        <v>13953.75</v>
      </c>
      <c r="G992">
        <v>14132.9</v>
      </c>
      <c r="H992">
        <v>0</v>
      </c>
      <c r="I992" s="8">
        <f t="shared" si="61"/>
        <v>8.1606448621465155E-3</v>
      </c>
      <c r="J992" s="8">
        <f t="shared" si="62"/>
        <v>8.1275268540661298E-3</v>
      </c>
      <c r="K992" s="8">
        <f t="shared" si="59"/>
        <v>0.21183461380161894</v>
      </c>
    </row>
    <row r="993" spans="1:11" x14ac:dyDescent="0.25">
      <c r="A993" t="str">
        <f t="shared" si="60"/>
        <v>12021</v>
      </c>
      <c r="B993" s="1">
        <v>44201</v>
      </c>
      <c r="C993" s="10">
        <v>44317.645833333336</v>
      </c>
      <c r="D993">
        <v>14075.15</v>
      </c>
      <c r="E993">
        <v>14215.6</v>
      </c>
      <c r="F993">
        <v>14048.15</v>
      </c>
      <c r="G993">
        <v>14199.5</v>
      </c>
      <c r="H993">
        <v>0</v>
      </c>
      <c r="I993" s="8">
        <f t="shared" si="61"/>
        <v>4.7124086351704175E-3</v>
      </c>
      <c r="J993" s="8">
        <f t="shared" si="62"/>
        <v>4.7013399972732585E-3</v>
      </c>
      <c r="K993" s="8">
        <f t="shared" si="59"/>
        <v>0.2096159334176686</v>
      </c>
    </row>
    <row r="994" spans="1:11" x14ac:dyDescent="0.25">
      <c r="A994" t="str">
        <f t="shared" si="60"/>
        <v>12021</v>
      </c>
      <c r="B994" s="1">
        <v>44202</v>
      </c>
      <c r="C994" s="10">
        <v>44348.645833333336</v>
      </c>
      <c r="D994">
        <v>14240.95</v>
      </c>
      <c r="E994">
        <v>14244.15</v>
      </c>
      <c r="F994">
        <v>14039.9</v>
      </c>
      <c r="G994">
        <v>14146.25</v>
      </c>
      <c r="H994">
        <v>0</v>
      </c>
      <c r="I994" s="8">
        <f t="shared" si="61"/>
        <v>-3.7501320469031096E-3</v>
      </c>
      <c r="J994" s="8">
        <f t="shared" si="62"/>
        <v>-3.7571814216639365E-3</v>
      </c>
      <c r="K994" s="8">
        <f t="shared" si="59"/>
        <v>0.19532979568384223</v>
      </c>
    </row>
    <row r="995" spans="1:11" x14ac:dyDescent="0.25">
      <c r="A995" t="str">
        <f t="shared" si="60"/>
        <v>12021</v>
      </c>
      <c r="B995" s="1">
        <v>44203</v>
      </c>
      <c r="C995" s="10">
        <v>44378.645833333336</v>
      </c>
      <c r="D995">
        <v>14253.75</v>
      </c>
      <c r="E995">
        <v>14256.25</v>
      </c>
      <c r="F995">
        <v>14123.1</v>
      </c>
      <c r="G995">
        <v>14137.35</v>
      </c>
      <c r="H995">
        <v>0</v>
      </c>
      <c r="I995" s="8">
        <f t="shared" si="61"/>
        <v>-6.2914199876284993E-4</v>
      </c>
      <c r="J995" s="8">
        <f t="shared" si="62"/>
        <v>-6.2933999163826448E-4</v>
      </c>
      <c r="K995" s="8">
        <f t="shared" si="59"/>
        <v>0.18659666616306581</v>
      </c>
    </row>
    <row r="996" spans="1:11" x14ac:dyDescent="0.25">
      <c r="A996" t="str">
        <f t="shared" si="60"/>
        <v>12021</v>
      </c>
      <c r="B996" s="1">
        <v>44204</v>
      </c>
      <c r="C996" s="10">
        <v>44409.645833333336</v>
      </c>
      <c r="D996">
        <v>14258.4</v>
      </c>
      <c r="E996">
        <v>14367.3</v>
      </c>
      <c r="F996">
        <v>14221.65</v>
      </c>
      <c r="G996">
        <v>14347.25</v>
      </c>
      <c r="H996">
        <v>0</v>
      </c>
      <c r="I996" s="8">
        <f t="shared" si="61"/>
        <v>1.4847195549378078E-2</v>
      </c>
      <c r="J996" s="8">
        <f t="shared" si="62"/>
        <v>1.4738054903755111E-2</v>
      </c>
      <c r="K996" s="8">
        <f t="shared" si="59"/>
        <v>0.20252368839027901</v>
      </c>
    </row>
    <row r="997" spans="1:11" x14ac:dyDescent="0.25">
      <c r="A997" t="str">
        <f t="shared" si="60"/>
        <v>12021</v>
      </c>
      <c r="B997" s="1">
        <v>44207</v>
      </c>
      <c r="C997" s="10">
        <v>44501.645833333336</v>
      </c>
      <c r="D997">
        <v>14474.05</v>
      </c>
      <c r="E997">
        <v>14498.2</v>
      </c>
      <c r="F997">
        <v>14383.1</v>
      </c>
      <c r="G997">
        <v>14484.75</v>
      </c>
      <c r="H997">
        <v>0</v>
      </c>
      <c r="I997" s="8">
        <f t="shared" si="61"/>
        <v>9.5837181341371647E-3</v>
      </c>
      <c r="J997" s="8">
        <f t="shared" si="62"/>
        <v>9.5380856285503194E-3</v>
      </c>
      <c r="K997" s="8">
        <f t="shared" si="59"/>
        <v>0.21368720935104113</v>
      </c>
    </row>
    <row r="998" spans="1:11" x14ac:dyDescent="0.25">
      <c r="A998" t="str">
        <f t="shared" si="60"/>
        <v>12021</v>
      </c>
      <c r="B998" s="1">
        <v>44208</v>
      </c>
      <c r="C998" s="10">
        <v>44531.645833333336</v>
      </c>
      <c r="D998">
        <v>14473.8</v>
      </c>
      <c r="E998">
        <v>14590.65</v>
      </c>
      <c r="F998">
        <v>14432.85</v>
      </c>
      <c r="G998">
        <v>14563.45</v>
      </c>
      <c r="H998">
        <v>0</v>
      </c>
      <c r="I998" s="8">
        <f t="shared" si="61"/>
        <v>5.4333005402233958E-3</v>
      </c>
      <c r="J998" s="8">
        <f t="shared" si="62"/>
        <v>5.4185934109614508E-3</v>
      </c>
      <c r="K998" s="8">
        <f t="shared" si="59"/>
        <v>0.21655577413844251</v>
      </c>
    </row>
    <row r="999" spans="1:11" x14ac:dyDescent="0.25">
      <c r="A999" t="str">
        <f t="shared" si="60"/>
        <v>12021</v>
      </c>
      <c r="B999" s="1">
        <v>44209</v>
      </c>
      <c r="C999" t="s">
        <v>629</v>
      </c>
      <c r="D999">
        <v>14639.8</v>
      </c>
      <c r="E999">
        <v>14653.35</v>
      </c>
      <c r="F999">
        <v>14435.7</v>
      </c>
      <c r="G999">
        <v>14564.85</v>
      </c>
      <c r="H999">
        <v>0</v>
      </c>
      <c r="I999" s="8">
        <f t="shared" si="61"/>
        <v>9.6131067844451579E-5</v>
      </c>
      <c r="J999" s="8">
        <f t="shared" si="62"/>
        <v>9.6126447549449345E-5</v>
      </c>
      <c r="K999" s="8">
        <f t="shared" si="59"/>
        <v>0.24695321629916922</v>
      </c>
    </row>
    <row r="1000" spans="1:11" x14ac:dyDescent="0.25">
      <c r="A1000" t="str">
        <f t="shared" si="60"/>
        <v>12021</v>
      </c>
      <c r="B1000" s="1">
        <v>44210</v>
      </c>
      <c r="C1000" t="s">
        <v>630</v>
      </c>
      <c r="D1000">
        <v>14550.05</v>
      </c>
      <c r="E1000">
        <v>14617.8</v>
      </c>
      <c r="F1000">
        <v>14471.5</v>
      </c>
      <c r="G1000">
        <v>14595.6</v>
      </c>
      <c r="H1000">
        <v>0</v>
      </c>
      <c r="I1000" s="8">
        <f t="shared" si="61"/>
        <v>2.1112472837001572E-3</v>
      </c>
      <c r="J1000" s="8">
        <f t="shared" si="62"/>
        <v>2.1090217330616886E-3</v>
      </c>
      <c r="K1000" s="8">
        <f t="shared" si="59"/>
        <v>0.24086393565966269</v>
      </c>
    </row>
    <row r="1001" spans="1:11" x14ac:dyDescent="0.25">
      <c r="A1001" t="str">
        <f t="shared" si="60"/>
        <v>12021</v>
      </c>
      <c r="B1001" s="1">
        <v>44211</v>
      </c>
      <c r="C1001" t="s">
        <v>631</v>
      </c>
      <c r="D1001">
        <v>14594.35</v>
      </c>
      <c r="E1001">
        <v>14617.45</v>
      </c>
      <c r="F1001">
        <v>14357.85</v>
      </c>
      <c r="G1001">
        <v>14433.7</v>
      </c>
      <c r="H1001">
        <v>0</v>
      </c>
      <c r="I1001" s="8">
        <f t="shared" si="61"/>
        <v>-1.1092384006138767E-2</v>
      </c>
      <c r="J1001" s="8">
        <f t="shared" si="62"/>
        <v>-1.1154363255555686E-2</v>
      </c>
      <c r="K1001" s="8">
        <f t="shared" si="59"/>
        <v>0.2156690993468402</v>
      </c>
    </row>
    <row r="1002" spans="1:11" x14ac:dyDescent="0.25">
      <c r="A1002" t="str">
        <f t="shared" si="60"/>
        <v>12021</v>
      </c>
      <c r="B1002" s="1">
        <v>44214</v>
      </c>
      <c r="C1002" t="s">
        <v>632</v>
      </c>
      <c r="D1002">
        <v>14453.3</v>
      </c>
      <c r="E1002">
        <v>14459.15</v>
      </c>
      <c r="F1002">
        <v>14222.8</v>
      </c>
      <c r="G1002">
        <v>14281.3</v>
      </c>
      <c r="H1002">
        <v>0</v>
      </c>
      <c r="I1002" s="8">
        <f t="shared" si="61"/>
        <v>-1.0558623222042929E-2</v>
      </c>
      <c r="J1002" s="8">
        <f t="shared" si="62"/>
        <v>-1.061476099225705E-2</v>
      </c>
      <c r="K1002" s="8">
        <f t="shared" si="59"/>
        <v>0.20043204895434075</v>
      </c>
    </row>
    <row r="1003" spans="1:11" x14ac:dyDescent="0.25">
      <c r="A1003" t="str">
        <f t="shared" si="60"/>
        <v>12021</v>
      </c>
      <c r="B1003" s="1">
        <v>44215</v>
      </c>
      <c r="C1003" t="s">
        <v>633</v>
      </c>
      <c r="D1003">
        <v>14371.65</v>
      </c>
      <c r="E1003">
        <v>14546.05</v>
      </c>
      <c r="F1003">
        <v>14350.85</v>
      </c>
      <c r="G1003">
        <v>14521.15</v>
      </c>
      <c r="H1003">
        <v>0</v>
      </c>
      <c r="I1003" s="8">
        <f t="shared" si="61"/>
        <v>1.6794689559073817E-2</v>
      </c>
      <c r="J1003" s="8">
        <f t="shared" si="62"/>
        <v>1.6655218179895549E-2</v>
      </c>
      <c r="K1003" s="8">
        <f t="shared" si="59"/>
        <v>0.21641612880257011</v>
      </c>
    </row>
    <row r="1004" spans="1:11" x14ac:dyDescent="0.25">
      <c r="A1004" t="str">
        <f t="shared" si="60"/>
        <v>12021</v>
      </c>
      <c r="B1004" s="1">
        <v>44216</v>
      </c>
      <c r="C1004" t="s">
        <v>634</v>
      </c>
      <c r="D1004">
        <v>14538.3</v>
      </c>
      <c r="E1004">
        <v>14666.45</v>
      </c>
      <c r="F1004">
        <v>14517.55</v>
      </c>
      <c r="G1004">
        <v>14644.7</v>
      </c>
      <c r="H1004">
        <v>0</v>
      </c>
      <c r="I1004" s="8">
        <f t="shared" si="61"/>
        <v>8.508279302947841E-3</v>
      </c>
      <c r="J1004" s="8">
        <f t="shared" si="62"/>
        <v>8.4722879004422193E-3</v>
      </c>
      <c r="K1004" s="8">
        <f t="shared" si="59"/>
        <v>0.2310142941801967</v>
      </c>
    </row>
    <row r="1005" spans="1:11" x14ac:dyDescent="0.25">
      <c r="A1005" t="str">
        <f t="shared" si="60"/>
        <v>12021</v>
      </c>
      <c r="B1005" s="1">
        <v>44217</v>
      </c>
      <c r="C1005" t="s">
        <v>635</v>
      </c>
      <c r="D1005">
        <v>14730.95</v>
      </c>
      <c r="E1005">
        <v>14753.55</v>
      </c>
      <c r="F1005">
        <v>14517.25</v>
      </c>
      <c r="G1005">
        <v>14590.35</v>
      </c>
      <c r="H1005">
        <v>0</v>
      </c>
      <c r="I1005" s="8">
        <f t="shared" si="61"/>
        <v>-3.711240243910785E-3</v>
      </c>
      <c r="J1005" s="8">
        <f t="shared" si="62"/>
        <v>-3.7181439822322328E-3</v>
      </c>
      <c r="K1005" s="8">
        <f t="shared" si="59"/>
        <v>0.2229607681249921</v>
      </c>
    </row>
    <row r="1006" spans="1:11" x14ac:dyDescent="0.25">
      <c r="A1006" t="str">
        <f t="shared" si="60"/>
        <v>12021</v>
      </c>
      <c r="B1006" s="1">
        <v>44218</v>
      </c>
      <c r="C1006" t="s">
        <v>636</v>
      </c>
      <c r="D1006">
        <v>14583.4</v>
      </c>
      <c r="E1006">
        <v>14619.9</v>
      </c>
      <c r="F1006">
        <v>14357.75</v>
      </c>
      <c r="G1006">
        <v>14371.9</v>
      </c>
      <c r="H1006">
        <v>0</v>
      </c>
      <c r="I1006" s="8">
        <f t="shared" si="61"/>
        <v>-1.4972224792414224E-2</v>
      </c>
      <c r="J1006" s="8">
        <f t="shared" si="62"/>
        <v>-1.5085440027319255E-2</v>
      </c>
      <c r="K1006" s="8">
        <f t="shared" si="59"/>
        <v>0.2212954897920163</v>
      </c>
    </row>
    <row r="1007" spans="1:11" x14ac:dyDescent="0.25">
      <c r="A1007" t="str">
        <f t="shared" si="60"/>
        <v>12021</v>
      </c>
      <c r="B1007" s="1">
        <v>44221</v>
      </c>
      <c r="C1007" t="s">
        <v>637</v>
      </c>
      <c r="D1007">
        <v>14477.8</v>
      </c>
      <c r="E1007">
        <v>14491.1</v>
      </c>
      <c r="F1007">
        <v>14218.6</v>
      </c>
      <c r="G1007">
        <v>14238.9</v>
      </c>
      <c r="H1007">
        <v>0</v>
      </c>
      <c r="I1007" s="8">
        <f t="shared" si="61"/>
        <v>-9.2541695948343827E-3</v>
      </c>
      <c r="J1007" s="8">
        <f t="shared" si="62"/>
        <v>-9.2972554441269287E-3</v>
      </c>
      <c r="K1007" s="8">
        <f t="shared" si="59"/>
        <v>0.19761299981496117</v>
      </c>
    </row>
    <row r="1008" spans="1:11" x14ac:dyDescent="0.25">
      <c r="A1008" t="str">
        <f t="shared" si="60"/>
        <v>12021</v>
      </c>
      <c r="B1008" s="1">
        <v>44223</v>
      </c>
      <c r="C1008" t="s">
        <v>638</v>
      </c>
      <c r="D1008">
        <v>14237.95</v>
      </c>
      <c r="E1008">
        <v>14237.95</v>
      </c>
      <c r="F1008">
        <v>13929.3</v>
      </c>
      <c r="G1008">
        <v>13967.5</v>
      </c>
      <c r="H1008">
        <v>0</v>
      </c>
      <c r="I1008" s="8">
        <f t="shared" si="61"/>
        <v>-1.9060461131126694E-2</v>
      </c>
      <c r="J1008" s="8">
        <f t="shared" si="62"/>
        <v>-1.9244453457933762E-2</v>
      </c>
      <c r="K1008" s="8">
        <f t="shared" si="59"/>
        <v>0.19079081980630197</v>
      </c>
    </row>
    <row r="1009" spans="1:11" x14ac:dyDescent="0.25">
      <c r="A1009" t="str">
        <f t="shared" si="60"/>
        <v>12021</v>
      </c>
      <c r="B1009" s="1">
        <v>44224</v>
      </c>
      <c r="C1009" t="s">
        <v>639</v>
      </c>
      <c r="D1009">
        <v>13810.4</v>
      </c>
      <c r="E1009">
        <v>13898.25</v>
      </c>
      <c r="F1009">
        <v>13713.25</v>
      </c>
      <c r="G1009">
        <v>13817.55</v>
      </c>
      <c r="H1009">
        <v>0</v>
      </c>
      <c r="I1009" s="8">
        <f t="shared" si="61"/>
        <v>-1.0735636298550233E-2</v>
      </c>
      <c r="J1009" s="8">
        <f t="shared" si="62"/>
        <v>-1.0793679032831009E-2</v>
      </c>
      <c r="K1009" s="8">
        <f t="shared" si="59"/>
        <v>0.18394197484319852</v>
      </c>
    </row>
    <row r="1010" spans="1:11" x14ac:dyDescent="0.25">
      <c r="A1010" t="str">
        <f t="shared" si="60"/>
        <v>12021</v>
      </c>
      <c r="B1010" s="1">
        <v>44225</v>
      </c>
      <c r="C1010" t="s">
        <v>640</v>
      </c>
      <c r="D1010">
        <v>13946.6</v>
      </c>
      <c r="E1010">
        <v>13966.85</v>
      </c>
      <c r="F1010">
        <v>13596.75</v>
      </c>
      <c r="G1010">
        <v>13634.6</v>
      </c>
      <c r="H1010">
        <v>0</v>
      </c>
      <c r="I1010" s="8">
        <f t="shared" si="61"/>
        <v>-1.3240408031814588E-2</v>
      </c>
      <c r="J1010" s="8">
        <f t="shared" si="62"/>
        <v>-1.3328843718060656E-2</v>
      </c>
      <c r="K1010" s="8">
        <f t="shared" si="59"/>
        <v>0.17111592111592122</v>
      </c>
    </row>
    <row r="1011" spans="1:11" x14ac:dyDescent="0.25">
      <c r="A1011" t="str">
        <f t="shared" si="60"/>
        <v>22021</v>
      </c>
      <c r="B1011" s="1">
        <v>44228</v>
      </c>
      <c r="C1011" s="10">
        <v>44198.645833333336</v>
      </c>
      <c r="D1011">
        <v>13758.6</v>
      </c>
      <c r="E1011">
        <v>14336.35</v>
      </c>
      <c r="F1011">
        <v>13661.75</v>
      </c>
      <c r="G1011">
        <v>14281.2</v>
      </c>
      <c r="H1011">
        <v>0</v>
      </c>
      <c r="I1011" s="8">
        <f t="shared" si="61"/>
        <v>4.7423466768368838E-2</v>
      </c>
      <c r="J1011" s="8">
        <f t="shared" si="62"/>
        <v>4.6333307393982406E-2</v>
      </c>
      <c r="K1011" s="8">
        <f t="shared" si="59"/>
        <v>0.22384235355617177</v>
      </c>
    </row>
    <row r="1012" spans="1:11" x14ac:dyDescent="0.25">
      <c r="A1012" t="str">
        <f t="shared" si="60"/>
        <v>22021</v>
      </c>
      <c r="B1012" s="1">
        <v>44229</v>
      </c>
      <c r="C1012" s="10">
        <v>44229.645833333336</v>
      </c>
      <c r="D1012">
        <v>14481.1</v>
      </c>
      <c r="E1012">
        <v>14731.7</v>
      </c>
      <c r="F1012">
        <v>14469.15</v>
      </c>
      <c r="G1012">
        <v>14647.85</v>
      </c>
      <c r="H1012">
        <v>0</v>
      </c>
      <c r="I1012" s="8">
        <f t="shared" si="61"/>
        <v>2.5673612861664363E-2</v>
      </c>
      <c r="J1012" s="8">
        <f t="shared" si="62"/>
        <v>2.5349580019676167E-2</v>
      </c>
      <c r="K1012" s="8">
        <f t="shared" si="59"/>
        <v>0.23992466246243715</v>
      </c>
    </row>
    <row r="1013" spans="1:11" x14ac:dyDescent="0.25">
      <c r="A1013" t="str">
        <f t="shared" si="60"/>
        <v>22021</v>
      </c>
      <c r="B1013" s="1">
        <v>44230</v>
      </c>
      <c r="C1013" s="10">
        <v>44257.645833333336</v>
      </c>
      <c r="D1013">
        <v>14754.9</v>
      </c>
      <c r="E1013">
        <v>14868.85</v>
      </c>
      <c r="F1013">
        <v>14574.15</v>
      </c>
      <c r="G1013">
        <v>14789.95</v>
      </c>
      <c r="H1013">
        <v>0</v>
      </c>
      <c r="I1013" s="8">
        <f t="shared" si="61"/>
        <v>9.7010824114118765E-3</v>
      </c>
      <c r="J1013" s="8">
        <f t="shared" si="62"/>
        <v>9.6543290404505731E-3</v>
      </c>
      <c r="K1013" s="8">
        <f t="shared" si="59"/>
        <v>0.24196582273166234</v>
      </c>
    </row>
    <row r="1014" spans="1:11" x14ac:dyDescent="0.25">
      <c r="A1014" t="str">
        <f t="shared" si="60"/>
        <v>22021</v>
      </c>
      <c r="B1014" s="1">
        <v>44231</v>
      </c>
      <c r="C1014" s="10">
        <v>44288.645833333336</v>
      </c>
      <c r="D1014">
        <v>14789.05</v>
      </c>
      <c r="E1014">
        <v>14913.7</v>
      </c>
      <c r="F1014">
        <v>14714.75</v>
      </c>
      <c r="G1014">
        <v>14895.65</v>
      </c>
      <c r="H1014">
        <v>0</v>
      </c>
      <c r="I1014" s="8">
        <f t="shared" si="61"/>
        <v>7.1467449180016018E-3</v>
      </c>
      <c r="J1014" s="8">
        <f t="shared" si="62"/>
        <v>7.1213279636845117E-3</v>
      </c>
      <c r="K1014" s="8">
        <f t="shared" si="59"/>
        <v>0.22898360601635281</v>
      </c>
    </row>
    <row r="1015" spans="1:11" x14ac:dyDescent="0.25">
      <c r="A1015" t="str">
        <f t="shared" si="60"/>
        <v>22021</v>
      </c>
      <c r="B1015" s="1">
        <v>44232</v>
      </c>
      <c r="C1015" s="10">
        <v>44318.645833333336</v>
      </c>
      <c r="D1015">
        <v>14952.6</v>
      </c>
      <c r="E1015">
        <v>15014.65</v>
      </c>
      <c r="F1015">
        <v>14864.75</v>
      </c>
      <c r="G1015">
        <v>14924.25</v>
      </c>
      <c r="H1015">
        <v>0</v>
      </c>
      <c r="I1015" s="8">
        <f t="shared" si="61"/>
        <v>1.9200236310601415E-3</v>
      </c>
      <c r="J1015" s="8">
        <f t="shared" si="62"/>
        <v>1.9181827416789982E-3</v>
      </c>
      <c r="K1015" s="8">
        <f t="shared" si="59"/>
        <v>0.21696001565615175</v>
      </c>
    </row>
    <row r="1016" spans="1:11" x14ac:dyDescent="0.25">
      <c r="A1016" t="str">
        <f t="shared" si="60"/>
        <v>22021</v>
      </c>
      <c r="B1016" s="1">
        <v>44235</v>
      </c>
      <c r="C1016" s="10">
        <v>44410.645833333336</v>
      </c>
      <c r="D1016">
        <v>15064.3</v>
      </c>
      <c r="E1016">
        <v>15159.9</v>
      </c>
      <c r="F1016">
        <v>15041.05</v>
      </c>
      <c r="G1016">
        <v>15115.8</v>
      </c>
      <c r="H1016">
        <v>0</v>
      </c>
      <c r="I1016" s="8">
        <f t="shared" si="61"/>
        <v>1.2834815819890322E-2</v>
      </c>
      <c r="J1016" s="8">
        <f t="shared" si="62"/>
        <v>1.2753147626468448E-2</v>
      </c>
      <c r="K1016" s="8">
        <f t="shared" si="59"/>
        <v>0.2130438446198355</v>
      </c>
    </row>
    <row r="1017" spans="1:11" x14ac:dyDescent="0.25">
      <c r="A1017" t="str">
        <f t="shared" si="60"/>
        <v>22021</v>
      </c>
      <c r="B1017" s="1">
        <v>44236</v>
      </c>
      <c r="C1017" s="10">
        <v>44441.645833333336</v>
      </c>
      <c r="D1017">
        <v>15164.15</v>
      </c>
      <c r="E1017">
        <v>15257.1</v>
      </c>
      <c r="F1017">
        <v>15064.3</v>
      </c>
      <c r="G1017">
        <v>15109.3</v>
      </c>
      <c r="H1017">
        <v>0</v>
      </c>
      <c r="I1017" s="8">
        <f t="shared" si="61"/>
        <v>-4.3001362812422617E-4</v>
      </c>
      <c r="J1017" s="8">
        <f t="shared" si="62"/>
        <v>-4.3010611049781671E-4</v>
      </c>
      <c r="K1017" s="8">
        <f t="shared" si="59"/>
        <v>0.19619827251783284</v>
      </c>
    </row>
    <row r="1018" spans="1:11" x14ac:dyDescent="0.25">
      <c r="A1018" t="str">
        <f t="shared" si="60"/>
        <v>22021</v>
      </c>
      <c r="B1018" s="1">
        <v>44237</v>
      </c>
      <c r="C1018" s="10">
        <v>44471.645833333336</v>
      </c>
      <c r="D1018">
        <v>15119.05</v>
      </c>
      <c r="E1018">
        <v>15168.25</v>
      </c>
      <c r="F1018">
        <v>14977.2</v>
      </c>
      <c r="G1018">
        <v>15106.5</v>
      </c>
      <c r="H1018">
        <v>0</v>
      </c>
      <c r="I1018" s="8">
        <f t="shared" si="61"/>
        <v>-1.8531632835405709E-4</v>
      </c>
      <c r="J1018" s="8">
        <f t="shared" si="62"/>
        <v>-1.8533350154651584E-4</v>
      </c>
      <c r="K1018" s="8">
        <f t="shared" si="59"/>
        <v>0.18490252291329234</v>
      </c>
    </row>
    <row r="1019" spans="1:11" x14ac:dyDescent="0.25">
      <c r="A1019" t="str">
        <f t="shared" si="60"/>
        <v>22021</v>
      </c>
      <c r="B1019" s="1">
        <v>44238</v>
      </c>
      <c r="C1019" s="10">
        <v>44502.645833333336</v>
      </c>
      <c r="D1019">
        <v>15073.25</v>
      </c>
      <c r="E1019">
        <v>15188.5</v>
      </c>
      <c r="F1019">
        <v>15065.4</v>
      </c>
      <c r="G1019">
        <v>15173.3</v>
      </c>
      <c r="H1019">
        <v>0</v>
      </c>
      <c r="I1019" s="8">
        <f t="shared" si="61"/>
        <v>4.4219375765397473E-3</v>
      </c>
      <c r="J1019" s="8">
        <f t="shared" si="62"/>
        <v>4.4121895368252834E-3</v>
      </c>
      <c r="K1019" s="8">
        <f t="shared" si="59"/>
        <v>0.19561414568033531</v>
      </c>
    </row>
    <row r="1020" spans="1:11" x14ac:dyDescent="0.25">
      <c r="A1020" t="str">
        <f t="shared" si="60"/>
        <v>22021</v>
      </c>
      <c r="B1020" s="1">
        <v>44239</v>
      </c>
      <c r="C1020" s="10">
        <v>44532.645833333336</v>
      </c>
      <c r="D1020">
        <v>15186.2</v>
      </c>
      <c r="E1020">
        <v>15243.5</v>
      </c>
      <c r="F1020">
        <v>15081</v>
      </c>
      <c r="G1020">
        <v>15163.3</v>
      </c>
      <c r="H1020">
        <v>0</v>
      </c>
      <c r="I1020" s="8">
        <f t="shared" si="61"/>
        <v>-6.5905241443853235E-4</v>
      </c>
      <c r="J1020" s="8">
        <f t="shared" si="62"/>
        <v>-6.592696849480349E-4</v>
      </c>
      <c r="K1020" s="8">
        <f t="shared" si="59"/>
        <v>0.19208801921391183</v>
      </c>
    </row>
    <row r="1021" spans="1:11" x14ac:dyDescent="0.25">
      <c r="A1021" t="str">
        <f t="shared" si="60"/>
        <v>22021</v>
      </c>
      <c r="B1021" s="1">
        <v>44242</v>
      </c>
      <c r="C1021" t="s">
        <v>641</v>
      </c>
      <c r="D1021">
        <v>15270.3</v>
      </c>
      <c r="E1021">
        <v>15340.15</v>
      </c>
      <c r="F1021">
        <v>15243.4</v>
      </c>
      <c r="G1021">
        <v>15314.7</v>
      </c>
      <c r="H1021">
        <v>0</v>
      </c>
      <c r="I1021" s="8">
        <f t="shared" si="61"/>
        <v>9.9846339517124516E-3</v>
      </c>
      <c r="J1021" s="8">
        <f t="shared" si="62"/>
        <v>9.9351168282398004E-3</v>
      </c>
      <c r="K1021" s="8">
        <f t="shared" si="59"/>
        <v>0.18956517686535856</v>
      </c>
    </row>
    <row r="1022" spans="1:11" x14ac:dyDescent="0.25">
      <c r="A1022" t="str">
        <f t="shared" si="60"/>
        <v>22021</v>
      </c>
      <c r="B1022" s="1">
        <v>44243</v>
      </c>
      <c r="C1022" t="s">
        <v>642</v>
      </c>
      <c r="D1022">
        <v>15371.45</v>
      </c>
      <c r="E1022">
        <v>15431.75</v>
      </c>
      <c r="F1022">
        <v>15242.2</v>
      </c>
      <c r="G1022">
        <v>15313.45</v>
      </c>
      <c r="H1022">
        <v>0</v>
      </c>
      <c r="I1022" s="8">
        <f t="shared" si="61"/>
        <v>-8.1620926299597052E-5</v>
      </c>
      <c r="J1022" s="8">
        <f t="shared" si="62"/>
        <v>-8.1624257468665355E-5</v>
      </c>
      <c r="K1022" s="8">
        <f t="shared" si="59"/>
        <v>0.18357969586304179</v>
      </c>
    </row>
    <row r="1023" spans="1:11" x14ac:dyDescent="0.25">
      <c r="A1023" t="str">
        <f t="shared" si="60"/>
        <v>22021</v>
      </c>
      <c r="B1023" s="1">
        <v>44244</v>
      </c>
      <c r="C1023" t="s">
        <v>643</v>
      </c>
      <c r="D1023">
        <v>15279.9</v>
      </c>
      <c r="E1023">
        <v>15314.3</v>
      </c>
      <c r="F1023">
        <v>15170.75</v>
      </c>
      <c r="G1023">
        <v>15208.9</v>
      </c>
      <c r="H1023">
        <v>0</v>
      </c>
      <c r="I1023" s="8">
        <f t="shared" si="61"/>
        <v>-6.8273315288195358E-3</v>
      </c>
      <c r="J1023" s="8">
        <f t="shared" si="62"/>
        <v>-6.8507443824488076E-3</v>
      </c>
      <c r="K1023" s="8">
        <f t="shared" si="59"/>
        <v>0.19082815913308315</v>
      </c>
    </row>
    <row r="1024" spans="1:11" x14ac:dyDescent="0.25">
      <c r="A1024" t="str">
        <f t="shared" si="60"/>
        <v>22021</v>
      </c>
      <c r="B1024" s="1">
        <v>44245</v>
      </c>
      <c r="C1024" t="s">
        <v>644</v>
      </c>
      <c r="D1024">
        <v>15238.7</v>
      </c>
      <c r="E1024">
        <v>15250.75</v>
      </c>
      <c r="F1024">
        <v>15078.05</v>
      </c>
      <c r="G1024">
        <v>15118.95</v>
      </c>
      <c r="H1024">
        <v>0</v>
      </c>
      <c r="I1024" s="8">
        <f t="shared" si="61"/>
        <v>-5.9143001795001204E-3</v>
      </c>
      <c r="J1024" s="8">
        <f t="shared" si="62"/>
        <v>-5.9318589188062558E-3</v>
      </c>
      <c r="K1024" s="8">
        <f t="shared" ref="K1024:K1087" si="63">+G1024/G963-1</f>
        <v>0.17574393131685473</v>
      </c>
    </row>
    <row r="1025" spans="1:11" x14ac:dyDescent="0.25">
      <c r="A1025" t="str">
        <f t="shared" si="60"/>
        <v>22021</v>
      </c>
      <c r="B1025" s="1">
        <v>44246</v>
      </c>
      <c r="C1025" t="s">
        <v>645</v>
      </c>
      <c r="D1025">
        <v>15074.8</v>
      </c>
      <c r="E1025">
        <v>15144.05</v>
      </c>
      <c r="F1025">
        <v>14898.2</v>
      </c>
      <c r="G1025">
        <v>14981.75</v>
      </c>
      <c r="H1025">
        <v>0</v>
      </c>
      <c r="I1025" s="8">
        <f t="shared" si="61"/>
        <v>-9.0747042618700702E-3</v>
      </c>
      <c r="J1025" s="8">
        <f t="shared" si="62"/>
        <v>-9.1161301997941639E-3</v>
      </c>
      <c r="K1025" s="8">
        <f t="shared" si="63"/>
        <v>0.15899957064778025</v>
      </c>
    </row>
    <row r="1026" spans="1:11" x14ac:dyDescent="0.25">
      <c r="A1026" t="str">
        <f t="shared" si="60"/>
        <v>22021</v>
      </c>
      <c r="B1026" s="1">
        <v>44249</v>
      </c>
      <c r="C1026" t="s">
        <v>646</v>
      </c>
      <c r="D1026">
        <v>14999.05</v>
      </c>
      <c r="E1026">
        <v>15010.1</v>
      </c>
      <c r="F1026">
        <v>14635.05</v>
      </c>
      <c r="G1026">
        <v>14675.7</v>
      </c>
      <c r="H1026">
        <v>0</v>
      </c>
      <c r="I1026" s="8">
        <f t="shared" si="61"/>
        <v>-2.0428187628281025E-2</v>
      </c>
      <c r="J1026" s="8">
        <f t="shared" si="62"/>
        <v>-2.0639728948870298E-2</v>
      </c>
      <c r="K1026" s="8">
        <f t="shared" si="63"/>
        <v>0.12413109002960532</v>
      </c>
    </row>
    <row r="1027" spans="1:11" x14ac:dyDescent="0.25">
      <c r="A1027" t="str">
        <f t="shared" ref="A1027:A1090" si="64">+MONTH(B1027)&amp;YEAR(B1027)</f>
        <v>22021</v>
      </c>
      <c r="B1027" s="1">
        <v>44250</v>
      </c>
      <c r="C1027" t="s">
        <v>647</v>
      </c>
      <c r="D1027">
        <v>14782.25</v>
      </c>
      <c r="E1027">
        <v>14854.5</v>
      </c>
      <c r="F1027">
        <v>14651.85</v>
      </c>
      <c r="G1027">
        <v>14707.8</v>
      </c>
      <c r="H1027">
        <v>0</v>
      </c>
      <c r="I1027" s="8">
        <f t="shared" si="61"/>
        <v>2.1872891923382376E-3</v>
      </c>
      <c r="J1027" s="8">
        <f t="shared" si="62"/>
        <v>2.1849005577883308E-3</v>
      </c>
      <c r="K1027" s="8">
        <f t="shared" si="63"/>
        <v>0.14382815902445101</v>
      </c>
    </row>
    <row r="1028" spans="1:11" x14ac:dyDescent="0.25">
      <c r="A1028" t="str">
        <f t="shared" si="64"/>
        <v>22021</v>
      </c>
      <c r="B1028" s="1">
        <v>44251</v>
      </c>
      <c r="C1028" t="s">
        <v>648</v>
      </c>
      <c r="D1028">
        <v>14729.15</v>
      </c>
      <c r="E1028">
        <v>15008.8</v>
      </c>
      <c r="F1028">
        <v>14723.05</v>
      </c>
      <c r="G1028">
        <v>14982</v>
      </c>
      <c r="H1028">
        <v>0</v>
      </c>
      <c r="I1028" s="8">
        <f t="shared" ref="I1028:I1079" si="65">+G1028/G1027-1</f>
        <v>1.8643168930771559E-2</v>
      </c>
      <c r="J1028" s="8">
        <f t="shared" ref="J1028:J1091" si="66">+LN(1+I1028)</f>
        <v>1.8471515221001902E-2</v>
      </c>
      <c r="K1028" s="8">
        <f t="shared" si="63"/>
        <v>0.15361515361515354</v>
      </c>
    </row>
    <row r="1029" spans="1:11" x14ac:dyDescent="0.25">
      <c r="A1029" t="str">
        <f t="shared" si="64"/>
        <v>22021</v>
      </c>
      <c r="B1029" s="1">
        <v>44252</v>
      </c>
      <c r="C1029" t="s">
        <v>649</v>
      </c>
      <c r="D1029">
        <v>15079.85</v>
      </c>
      <c r="E1029">
        <v>15176.5</v>
      </c>
      <c r="F1029">
        <v>15065.35</v>
      </c>
      <c r="G1029">
        <v>15097.35</v>
      </c>
      <c r="H1029">
        <v>0</v>
      </c>
      <c r="I1029" s="8">
        <f t="shared" si="65"/>
        <v>7.699239086904397E-3</v>
      </c>
      <c r="J1029" s="8">
        <f t="shared" si="66"/>
        <v>7.6697512051000366E-3</v>
      </c>
      <c r="K1029" s="8">
        <f t="shared" si="63"/>
        <v>0.16411505943040883</v>
      </c>
    </row>
    <row r="1030" spans="1:11" x14ac:dyDescent="0.25">
      <c r="A1030" t="str">
        <f t="shared" si="64"/>
        <v>22021</v>
      </c>
      <c r="B1030" s="1">
        <v>44253</v>
      </c>
      <c r="C1030" t="s">
        <v>650</v>
      </c>
      <c r="D1030">
        <v>14888.6</v>
      </c>
      <c r="E1030">
        <v>14919.45</v>
      </c>
      <c r="F1030">
        <v>14467.75</v>
      </c>
      <c r="G1030">
        <v>14529.15</v>
      </c>
      <c r="H1030">
        <v>0</v>
      </c>
      <c r="I1030" s="8">
        <f t="shared" si="65"/>
        <v>-3.7635744021301765E-2</v>
      </c>
      <c r="J1030" s="8">
        <f t="shared" si="66"/>
        <v>-3.8362255515655551E-2</v>
      </c>
      <c r="K1030" s="8">
        <f t="shared" si="63"/>
        <v>0.10832974166701637</v>
      </c>
    </row>
    <row r="1031" spans="1:11" x14ac:dyDescent="0.25">
      <c r="A1031" t="str">
        <f t="shared" si="64"/>
        <v>32021</v>
      </c>
      <c r="B1031" s="1">
        <v>44256</v>
      </c>
      <c r="C1031" s="10">
        <v>44199.645833333336</v>
      </c>
      <c r="D1031">
        <v>14702.5</v>
      </c>
      <c r="E1031">
        <v>14806.8</v>
      </c>
      <c r="F1031">
        <v>14638.55</v>
      </c>
      <c r="G1031">
        <v>14761.55</v>
      </c>
      <c r="H1031">
        <v>0</v>
      </c>
      <c r="I1031" s="8">
        <f t="shared" si="65"/>
        <v>1.5995429877177836E-2</v>
      </c>
      <c r="J1031" s="8">
        <f t="shared" si="66"/>
        <v>1.5868850993789412E-2</v>
      </c>
      <c r="K1031" s="8">
        <f t="shared" si="63"/>
        <v>0.12565437041273464</v>
      </c>
    </row>
    <row r="1032" spans="1:11" x14ac:dyDescent="0.25">
      <c r="A1032" t="str">
        <f t="shared" si="64"/>
        <v>32021</v>
      </c>
      <c r="B1032" s="1">
        <v>44257</v>
      </c>
      <c r="C1032" s="10">
        <v>44230.645833333336</v>
      </c>
      <c r="D1032">
        <v>14865.3</v>
      </c>
      <c r="E1032">
        <v>14959.1</v>
      </c>
      <c r="F1032">
        <v>14760.8</v>
      </c>
      <c r="G1032">
        <v>14919.1</v>
      </c>
      <c r="H1032">
        <v>0</v>
      </c>
      <c r="I1032" s="8">
        <f t="shared" si="65"/>
        <v>1.0672998431736636E-2</v>
      </c>
      <c r="J1032" s="8">
        <f t="shared" si="66"/>
        <v>1.0616444031444284E-2</v>
      </c>
      <c r="K1032" s="8">
        <f t="shared" si="63"/>
        <v>0.1359230693091924</v>
      </c>
    </row>
    <row r="1033" spans="1:11" x14ac:dyDescent="0.25">
      <c r="A1033" t="str">
        <f t="shared" si="64"/>
        <v>32021</v>
      </c>
      <c r="B1033" s="1">
        <v>44258</v>
      </c>
      <c r="C1033" s="10">
        <v>44258.645833333336</v>
      </c>
      <c r="D1033">
        <v>15064.4</v>
      </c>
      <c r="E1033">
        <v>15273.15</v>
      </c>
      <c r="F1033">
        <v>14995.8</v>
      </c>
      <c r="G1033">
        <v>15245.6</v>
      </c>
      <c r="H1033">
        <v>0</v>
      </c>
      <c r="I1033" s="8">
        <f t="shared" si="65"/>
        <v>2.188469813862759E-2</v>
      </c>
      <c r="J1033" s="8">
        <f t="shared" si="66"/>
        <v>2.1648665591659878E-2</v>
      </c>
      <c r="K1033" s="8">
        <f t="shared" si="63"/>
        <v>0.14986932960240762</v>
      </c>
    </row>
    <row r="1034" spans="1:11" x14ac:dyDescent="0.25">
      <c r="A1034" t="str">
        <f t="shared" si="64"/>
        <v>32021</v>
      </c>
      <c r="B1034" s="1">
        <v>44259</v>
      </c>
      <c r="C1034" s="10">
        <v>44289.645833333336</v>
      </c>
      <c r="D1034">
        <v>15026.75</v>
      </c>
      <c r="E1034">
        <v>15202.35</v>
      </c>
      <c r="F1034">
        <v>14980.2</v>
      </c>
      <c r="G1034">
        <v>15080.75</v>
      </c>
      <c r="H1034">
        <v>0</v>
      </c>
      <c r="I1034" s="8">
        <f t="shared" si="65"/>
        <v>-1.0812955869234475E-2</v>
      </c>
      <c r="J1034" s="8">
        <f t="shared" si="66"/>
        <v>-1.0871840740940207E-2</v>
      </c>
      <c r="K1034" s="8">
        <f t="shared" si="63"/>
        <v>0.12915785335904006</v>
      </c>
    </row>
    <row r="1035" spans="1:11" x14ac:dyDescent="0.25">
      <c r="A1035" t="str">
        <f t="shared" si="64"/>
        <v>32021</v>
      </c>
      <c r="B1035" s="1">
        <v>44260</v>
      </c>
      <c r="C1035" s="10">
        <v>44319.645833333336</v>
      </c>
      <c r="D1035">
        <v>14977.95</v>
      </c>
      <c r="E1035">
        <v>15092.35</v>
      </c>
      <c r="F1035">
        <v>14862.1</v>
      </c>
      <c r="G1035">
        <v>14938.1</v>
      </c>
      <c r="H1035">
        <v>0</v>
      </c>
      <c r="I1035" s="8">
        <f t="shared" si="65"/>
        <v>-9.4590786267261251E-3</v>
      </c>
      <c r="J1035" s="8">
        <f t="shared" si="66"/>
        <v>-9.5040998420298489E-3</v>
      </c>
      <c r="K1035" s="8">
        <f t="shared" si="63"/>
        <v>0.11537040009855937</v>
      </c>
    </row>
    <row r="1036" spans="1:11" x14ac:dyDescent="0.25">
      <c r="A1036" t="str">
        <f t="shared" si="64"/>
        <v>32021</v>
      </c>
      <c r="B1036" s="1">
        <v>44263</v>
      </c>
      <c r="C1036" s="10">
        <v>44411.645833333336</v>
      </c>
      <c r="D1036">
        <v>15002.45</v>
      </c>
      <c r="E1036">
        <v>15111.15</v>
      </c>
      <c r="F1036">
        <v>14919.9</v>
      </c>
      <c r="G1036">
        <v>14956.2</v>
      </c>
      <c r="H1036">
        <v>0</v>
      </c>
      <c r="I1036" s="8">
        <f t="shared" si="65"/>
        <v>1.2116668117096996E-3</v>
      </c>
      <c r="J1036" s="8">
        <f t="shared" si="66"/>
        <v>1.2109333359041415E-3</v>
      </c>
      <c r="K1036" s="8">
        <f t="shared" si="63"/>
        <v>0.10548373505998176</v>
      </c>
    </row>
    <row r="1037" spans="1:11" x14ac:dyDescent="0.25">
      <c r="A1037" t="str">
        <f t="shared" si="64"/>
        <v>32021</v>
      </c>
      <c r="B1037" s="1">
        <v>44264</v>
      </c>
      <c r="C1037" s="10">
        <v>44442.645833333336</v>
      </c>
      <c r="D1037">
        <v>15049.9</v>
      </c>
      <c r="E1037">
        <v>15126.85</v>
      </c>
      <c r="F1037">
        <v>14925.45</v>
      </c>
      <c r="G1037">
        <v>15098.4</v>
      </c>
      <c r="H1037">
        <v>0</v>
      </c>
      <c r="I1037" s="8">
        <f t="shared" si="65"/>
        <v>9.5077626669874959E-3</v>
      </c>
      <c r="J1037" s="8">
        <f t="shared" si="66"/>
        <v>9.4628483568291177E-3</v>
      </c>
      <c r="K1037" s="8">
        <f t="shared" si="63"/>
        <v>0.12020061877239718</v>
      </c>
    </row>
    <row r="1038" spans="1:11" x14ac:dyDescent="0.25">
      <c r="A1038" t="str">
        <f t="shared" si="64"/>
        <v>32021</v>
      </c>
      <c r="B1038" s="1">
        <v>44265</v>
      </c>
      <c r="C1038" s="10">
        <v>44472.645833333336</v>
      </c>
      <c r="D1038">
        <v>15202.15</v>
      </c>
      <c r="E1038">
        <v>15218.45</v>
      </c>
      <c r="F1038">
        <v>15100.85</v>
      </c>
      <c r="G1038">
        <v>15174.8</v>
      </c>
      <c r="H1038">
        <v>0</v>
      </c>
      <c r="I1038" s="8">
        <f t="shared" si="65"/>
        <v>5.0601388226567678E-3</v>
      </c>
      <c r="J1038" s="8">
        <f t="shared" si="66"/>
        <v>5.0473793452542595E-3</v>
      </c>
      <c r="K1038" s="8">
        <f t="shared" si="63"/>
        <v>0.12290723960973371</v>
      </c>
    </row>
    <row r="1039" spans="1:11" x14ac:dyDescent="0.25">
      <c r="A1039" t="str">
        <f t="shared" si="64"/>
        <v>32021</v>
      </c>
      <c r="B1039" s="1">
        <v>44267</v>
      </c>
      <c r="C1039" s="10">
        <v>44533.645833333336</v>
      </c>
      <c r="D1039">
        <v>15321.15</v>
      </c>
      <c r="E1039">
        <v>15336.3</v>
      </c>
      <c r="F1039">
        <v>14953.6</v>
      </c>
      <c r="G1039">
        <v>15030.95</v>
      </c>
      <c r="H1039">
        <v>0</v>
      </c>
      <c r="I1039" s="8">
        <f t="shared" si="65"/>
        <v>-9.4795318554444785E-3</v>
      </c>
      <c r="J1039" s="8">
        <f t="shared" si="66"/>
        <v>-9.5247486001423468E-3</v>
      </c>
      <c r="K1039" s="8">
        <f t="shared" si="63"/>
        <v>0.10862838956642329</v>
      </c>
    </row>
    <row r="1040" spans="1:11" x14ac:dyDescent="0.25">
      <c r="A1040" t="str">
        <f t="shared" si="64"/>
        <v>32021</v>
      </c>
      <c r="B1040" s="1">
        <v>44270</v>
      </c>
      <c r="C1040" t="s">
        <v>651</v>
      </c>
      <c r="D1040">
        <v>15048.4</v>
      </c>
      <c r="E1040">
        <v>15048.4</v>
      </c>
      <c r="F1040">
        <v>14745.85</v>
      </c>
      <c r="G1040">
        <v>14929.5</v>
      </c>
      <c r="H1040">
        <v>0</v>
      </c>
      <c r="I1040" s="8">
        <f t="shared" si="65"/>
        <v>-6.7494070567729603E-3</v>
      </c>
      <c r="J1040" s="8">
        <f t="shared" si="66"/>
        <v>-6.7722873148135217E-3</v>
      </c>
      <c r="K1040" s="8">
        <f t="shared" si="63"/>
        <v>0.10035856823299194</v>
      </c>
    </row>
    <row r="1041" spans="1:11" x14ac:dyDescent="0.25">
      <c r="A1041" t="str">
        <f t="shared" si="64"/>
        <v>32021</v>
      </c>
      <c r="B1041" s="1">
        <v>44271</v>
      </c>
      <c r="C1041" t="s">
        <v>652</v>
      </c>
      <c r="D1041">
        <v>14996.1</v>
      </c>
      <c r="E1041">
        <v>15051.6</v>
      </c>
      <c r="F1041">
        <v>14890.65</v>
      </c>
      <c r="G1041">
        <v>14910.45</v>
      </c>
      <c r="H1041">
        <v>0</v>
      </c>
      <c r="I1041" s="8">
        <f t="shared" si="65"/>
        <v>-1.2759971867778441E-3</v>
      </c>
      <c r="J1041" s="8">
        <f t="shared" si="66"/>
        <v>-1.2768119643645321E-3</v>
      </c>
      <c r="K1041" s="8">
        <f t="shared" si="63"/>
        <v>8.9730097129952391E-2</v>
      </c>
    </row>
    <row r="1042" spans="1:11" x14ac:dyDescent="0.25">
      <c r="A1042" t="str">
        <f t="shared" si="64"/>
        <v>32021</v>
      </c>
      <c r="B1042" s="1">
        <v>44272</v>
      </c>
      <c r="C1042" t="s">
        <v>653</v>
      </c>
      <c r="D1042">
        <v>14946.55</v>
      </c>
      <c r="E1042">
        <v>14956.55</v>
      </c>
      <c r="F1042">
        <v>14696.05</v>
      </c>
      <c r="G1042">
        <v>14721.3</v>
      </c>
      <c r="H1042">
        <v>0</v>
      </c>
      <c r="I1042" s="8">
        <f t="shared" si="65"/>
        <v>-1.2685733830971047E-2</v>
      </c>
      <c r="J1042" s="8">
        <f t="shared" si="66"/>
        <v>-1.2766884789164224E-2</v>
      </c>
      <c r="K1042" s="8">
        <f t="shared" si="63"/>
        <v>7.1364632078423806E-2</v>
      </c>
    </row>
    <row r="1043" spans="1:11" x14ac:dyDescent="0.25">
      <c r="A1043" t="str">
        <f t="shared" si="64"/>
        <v>32021</v>
      </c>
      <c r="B1043" s="1">
        <v>44273</v>
      </c>
      <c r="C1043" t="s">
        <v>654</v>
      </c>
      <c r="D1043">
        <v>14855.5</v>
      </c>
      <c r="E1043">
        <v>14875.2</v>
      </c>
      <c r="F1043">
        <v>14478.6</v>
      </c>
      <c r="G1043">
        <v>14557.85</v>
      </c>
      <c r="H1043">
        <v>0</v>
      </c>
      <c r="I1043" s="8">
        <f t="shared" si="65"/>
        <v>-1.1102959657095401E-2</v>
      </c>
      <c r="J1043" s="8">
        <f t="shared" si="66"/>
        <v>-1.1165057588712252E-2</v>
      </c>
      <c r="K1043" s="8">
        <f t="shared" si="63"/>
        <v>5.7940997997899979E-2</v>
      </c>
    </row>
    <row r="1044" spans="1:11" x14ac:dyDescent="0.25">
      <c r="A1044" t="str">
        <f t="shared" si="64"/>
        <v>32021</v>
      </c>
      <c r="B1044" s="1">
        <v>44274</v>
      </c>
      <c r="C1044" t="s">
        <v>655</v>
      </c>
      <c r="D1044">
        <v>14471.15</v>
      </c>
      <c r="E1044">
        <v>14788.25</v>
      </c>
      <c r="F1044">
        <v>14350.1</v>
      </c>
      <c r="G1044">
        <v>14744</v>
      </c>
      <c r="H1044">
        <v>0</v>
      </c>
      <c r="I1044" s="8">
        <f t="shared" si="65"/>
        <v>1.2786915650319308E-2</v>
      </c>
      <c r="J1044" s="8">
        <f t="shared" si="66"/>
        <v>1.270585333767231E-2</v>
      </c>
      <c r="K1044" s="8">
        <f t="shared" si="63"/>
        <v>0.10620929744005281</v>
      </c>
    </row>
    <row r="1045" spans="1:11" x14ac:dyDescent="0.25">
      <c r="A1045" t="str">
        <f t="shared" si="64"/>
        <v>32021</v>
      </c>
      <c r="B1045" s="1">
        <v>44277</v>
      </c>
      <c r="C1045" t="s">
        <v>656</v>
      </c>
      <c r="D1045">
        <v>14736.3</v>
      </c>
      <c r="E1045">
        <v>14763.9</v>
      </c>
      <c r="F1045">
        <v>14597.85</v>
      </c>
      <c r="G1045">
        <v>14736.4</v>
      </c>
      <c r="H1045">
        <v>0</v>
      </c>
      <c r="I1045" s="8">
        <f t="shared" si="65"/>
        <v>-5.1546391752577136E-4</v>
      </c>
      <c r="J1045" s="8">
        <f t="shared" si="66"/>
        <v>-5.1559681472200872E-4</v>
      </c>
      <c r="K1045" s="8">
        <f t="shared" si="63"/>
        <v>9.4316924470715824E-2</v>
      </c>
    </row>
    <row r="1046" spans="1:11" x14ac:dyDescent="0.25">
      <c r="A1046" t="str">
        <f t="shared" si="64"/>
        <v>32021</v>
      </c>
      <c r="B1046" s="1">
        <v>44278</v>
      </c>
      <c r="C1046" t="s">
        <v>657</v>
      </c>
      <c r="D1046">
        <v>14768.55</v>
      </c>
      <c r="E1046">
        <v>14878.6</v>
      </c>
      <c r="F1046">
        <v>14707</v>
      </c>
      <c r="G1046">
        <v>14814.75</v>
      </c>
      <c r="H1046">
        <v>0</v>
      </c>
      <c r="I1046" s="8">
        <f t="shared" si="65"/>
        <v>5.3167666458564522E-3</v>
      </c>
      <c r="J1046" s="8">
        <f t="shared" si="66"/>
        <v>5.3026825412823587E-3</v>
      </c>
      <c r="K1046" s="8">
        <f t="shared" si="63"/>
        <v>8.9231753314070072E-2</v>
      </c>
    </row>
    <row r="1047" spans="1:11" x14ac:dyDescent="0.25">
      <c r="A1047" t="str">
        <f t="shared" si="64"/>
        <v>32021</v>
      </c>
      <c r="B1047" s="1">
        <v>44279</v>
      </c>
      <c r="C1047" t="s">
        <v>658</v>
      </c>
      <c r="D1047">
        <v>14712.45</v>
      </c>
      <c r="E1047">
        <v>14752.35</v>
      </c>
      <c r="F1047">
        <v>14535</v>
      </c>
      <c r="G1047">
        <v>14549.4</v>
      </c>
      <c r="H1047">
        <v>0</v>
      </c>
      <c r="I1047" s="8">
        <f t="shared" si="65"/>
        <v>-1.7911203361514749E-2</v>
      </c>
      <c r="J1047" s="8">
        <f t="shared" si="66"/>
        <v>-1.8073550440256294E-2</v>
      </c>
      <c r="K1047" s="8">
        <f t="shared" si="63"/>
        <v>5.8195901594632504E-2</v>
      </c>
    </row>
    <row r="1048" spans="1:11" x14ac:dyDescent="0.25">
      <c r="A1048" t="str">
        <f t="shared" si="64"/>
        <v>32021</v>
      </c>
      <c r="B1048" s="1">
        <v>44280</v>
      </c>
      <c r="C1048" t="s">
        <v>659</v>
      </c>
      <c r="D1048">
        <v>14570.9</v>
      </c>
      <c r="E1048">
        <v>14575.6</v>
      </c>
      <c r="F1048">
        <v>14264.4</v>
      </c>
      <c r="G1048">
        <v>14324.9</v>
      </c>
      <c r="H1048">
        <v>0</v>
      </c>
      <c r="I1048" s="8">
        <f t="shared" si="65"/>
        <v>-1.5430189561081553E-2</v>
      </c>
      <c r="J1048" s="8">
        <f t="shared" si="66"/>
        <v>-1.5550473880181296E-2</v>
      </c>
      <c r="K1048" s="8">
        <f t="shared" si="63"/>
        <v>3.2559178848427184E-2</v>
      </c>
    </row>
    <row r="1049" spans="1:11" x14ac:dyDescent="0.25">
      <c r="A1049" t="str">
        <f t="shared" si="64"/>
        <v>32021</v>
      </c>
      <c r="B1049" s="1">
        <v>44281</v>
      </c>
      <c r="C1049" t="s">
        <v>660</v>
      </c>
      <c r="D1049">
        <v>14506.3</v>
      </c>
      <c r="E1049">
        <v>14572.9</v>
      </c>
      <c r="F1049">
        <v>14414.25</v>
      </c>
      <c r="G1049">
        <v>14507.3</v>
      </c>
      <c r="H1049">
        <v>0</v>
      </c>
      <c r="I1049" s="8">
        <f t="shared" si="65"/>
        <v>1.2733073180266397E-2</v>
      </c>
      <c r="J1049" s="8">
        <f t="shared" si="66"/>
        <v>1.2652689241181039E-2</v>
      </c>
      <c r="K1049" s="8">
        <f t="shared" si="63"/>
        <v>4.1248582461277827E-2</v>
      </c>
    </row>
    <row r="1050" spans="1:11" x14ac:dyDescent="0.25">
      <c r="A1050" t="str">
        <f t="shared" si="64"/>
        <v>32021</v>
      </c>
      <c r="B1050" s="1">
        <v>44285</v>
      </c>
      <c r="C1050" t="s">
        <v>661</v>
      </c>
      <c r="D1050">
        <v>14628.5</v>
      </c>
      <c r="E1050">
        <v>14876.3</v>
      </c>
      <c r="F1050">
        <v>14617.6</v>
      </c>
      <c r="G1050">
        <v>14845.1</v>
      </c>
      <c r="H1050">
        <v>0</v>
      </c>
      <c r="I1050" s="8">
        <f t="shared" si="65"/>
        <v>2.3284829017115705E-2</v>
      </c>
      <c r="J1050" s="8">
        <f t="shared" si="66"/>
        <v>2.3017873453048527E-2</v>
      </c>
      <c r="K1050" s="8">
        <f t="shared" si="63"/>
        <v>6.1733163113871781E-2</v>
      </c>
    </row>
    <row r="1051" spans="1:11" x14ac:dyDescent="0.25">
      <c r="A1051" t="str">
        <f t="shared" si="64"/>
        <v>32021</v>
      </c>
      <c r="B1051" s="1">
        <v>44286</v>
      </c>
      <c r="C1051" t="s">
        <v>662</v>
      </c>
      <c r="D1051">
        <v>14811.85</v>
      </c>
      <c r="E1051">
        <v>14813.75</v>
      </c>
      <c r="F1051">
        <v>14670.25</v>
      </c>
      <c r="G1051">
        <v>14690.7</v>
      </c>
      <c r="H1051">
        <v>0</v>
      </c>
      <c r="I1051" s="8">
        <f t="shared" si="65"/>
        <v>-1.0400738290749056E-2</v>
      </c>
      <c r="J1051" s="8">
        <f t="shared" si="66"/>
        <v>-1.0455203953802781E-2</v>
      </c>
      <c r="K1051" s="8">
        <f t="shared" si="63"/>
        <v>5.0705383803887338E-2</v>
      </c>
    </row>
    <row r="1052" spans="1:11" x14ac:dyDescent="0.25">
      <c r="A1052" t="str">
        <f t="shared" si="64"/>
        <v>42021</v>
      </c>
      <c r="B1052" s="1">
        <v>44287</v>
      </c>
      <c r="C1052" s="10">
        <v>44200.645833333336</v>
      </c>
      <c r="D1052">
        <v>14798.4</v>
      </c>
      <c r="E1052">
        <v>14883.2</v>
      </c>
      <c r="F1052">
        <v>14692.45</v>
      </c>
      <c r="G1052">
        <v>14867.35</v>
      </c>
      <c r="H1052">
        <v>0</v>
      </c>
      <c r="I1052" s="8">
        <f t="shared" si="65"/>
        <v>1.2024614211712192E-2</v>
      </c>
      <c r="J1052" s="8">
        <f t="shared" si="66"/>
        <v>1.1952892913079521E-2</v>
      </c>
      <c r="K1052" s="8">
        <f t="shared" si="63"/>
        <v>6.055212754574324E-2</v>
      </c>
    </row>
    <row r="1053" spans="1:11" x14ac:dyDescent="0.25">
      <c r="A1053" t="str">
        <f t="shared" si="64"/>
        <v>42021</v>
      </c>
      <c r="B1053" s="1">
        <v>44291</v>
      </c>
      <c r="C1053" s="10">
        <v>44320.645833333336</v>
      </c>
      <c r="D1053">
        <v>14837.7</v>
      </c>
      <c r="E1053">
        <v>14849.85</v>
      </c>
      <c r="F1053">
        <v>14459.5</v>
      </c>
      <c r="G1053">
        <v>14637.8</v>
      </c>
      <c r="H1053">
        <v>0</v>
      </c>
      <c r="I1053" s="8">
        <f t="shared" si="65"/>
        <v>-1.5439873279367244E-2</v>
      </c>
      <c r="J1053" s="8">
        <f t="shared" si="66"/>
        <v>-1.5560309410181656E-2</v>
      </c>
      <c r="K1053" s="8">
        <f t="shared" si="63"/>
        <v>3.5725151950413592E-2</v>
      </c>
    </row>
    <row r="1054" spans="1:11" x14ac:dyDescent="0.25">
      <c r="A1054" t="str">
        <f t="shared" si="64"/>
        <v>42021</v>
      </c>
      <c r="B1054" s="1">
        <v>44292</v>
      </c>
      <c r="C1054" s="10">
        <v>44351.645833333336</v>
      </c>
      <c r="D1054">
        <v>14737</v>
      </c>
      <c r="E1054">
        <v>14779.1</v>
      </c>
      <c r="F1054">
        <v>14573.9</v>
      </c>
      <c r="G1054">
        <v>14683.5</v>
      </c>
      <c r="H1054">
        <v>0</v>
      </c>
      <c r="I1054" s="8">
        <f t="shared" si="65"/>
        <v>3.1220538605529757E-3</v>
      </c>
      <c r="J1054" s="8">
        <f t="shared" si="66"/>
        <v>3.1171903704882375E-3</v>
      </c>
      <c r="K1054" s="8">
        <f t="shared" si="63"/>
        <v>3.4085707243212804E-2</v>
      </c>
    </row>
    <row r="1055" spans="1:11" x14ac:dyDescent="0.25">
      <c r="A1055" t="str">
        <f t="shared" si="64"/>
        <v>42021</v>
      </c>
      <c r="B1055" s="1">
        <v>44293</v>
      </c>
      <c r="C1055" s="10">
        <v>44381.645833333336</v>
      </c>
      <c r="D1055">
        <v>14716.45</v>
      </c>
      <c r="E1055">
        <v>14879.8</v>
      </c>
      <c r="F1055">
        <v>14649.85</v>
      </c>
      <c r="G1055">
        <v>14819.05</v>
      </c>
      <c r="H1055">
        <v>0</v>
      </c>
      <c r="I1055" s="8">
        <f t="shared" si="65"/>
        <v>9.2314502673067622E-3</v>
      </c>
      <c r="J1055" s="8">
        <f t="shared" si="66"/>
        <v>9.1891008617233753E-3</v>
      </c>
      <c r="K1055" s="8">
        <f t="shared" si="63"/>
        <v>4.7560307501988142E-2</v>
      </c>
    </row>
    <row r="1056" spans="1:11" x14ac:dyDescent="0.25">
      <c r="A1056" t="str">
        <f t="shared" si="64"/>
        <v>42021</v>
      </c>
      <c r="B1056" s="1">
        <v>44294</v>
      </c>
      <c r="C1056" s="10">
        <v>44412.645833333336</v>
      </c>
      <c r="D1056">
        <v>14875.65</v>
      </c>
      <c r="E1056">
        <v>14984.15</v>
      </c>
      <c r="F1056">
        <v>14821.1</v>
      </c>
      <c r="G1056">
        <v>14873.8</v>
      </c>
      <c r="H1056">
        <v>0</v>
      </c>
      <c r="I1056" s="8">
        <f t="shared" si="65"/>
        <v>3.6945688151399647E-3</v>
      </c>
      <c r="J1056" s="8">
        <f t="shared" si="66"/>
        <v>3.6877606594222893E-3</v>
      </c>
      <c r="K1056" s="8">
        <f t="shared" si="63"/>
        <v>5.2092506728630195E-2</v>
      </c>
    </row>
    <row r="1057" spans="1:11" x14ac:dyDescent="0.25">
      <c r="A1057" t="str">
        <f t="shared" si="64"/>
        <v>42021</v>
      </c>
      <c r="B1057" s="1">
        <v>44295</v>
      </c>
      <c r="C1057" s="10">
        <v>44443.645833333336</v>
      </c>
      <c r="D1057">
        <v>14882.65</v>
      </c>
      <c r="E1057">
        <v>14918.45</v>
      </c>
      <c r="F1057">
        <v>14785.65</v>
      </c>
      <c r="G1057">
        <v>14834.85</v>
      </c>
      <c r="H1057">
        <v>0</v>
      </c>
      <c r="I1057" s="8">
        <f t="shared" si="65"/>
        <v>-2.6186986513196953E-3</v>
      </c>
      <c r="J1057" s="8">
        <f t="shared" si="66"/>
        <v>-2.6221334403949922E-3</v>
      </c>
      <c r="K1057" s="8">
        <f t="shared" si="63"/>
        <v>3.3985606997856799E-2</v>
      </c>
    </row>
    <row r="1058" spans="1:11" x14ac:dyDescent="0.25">
      <c r="A1058" t="str">
        <f t="shared" si="64"/>
        <v>42021</v>
      </c>
      <c r="B1058" s="1">
        <v>44298</v>
      </c>
      <c r="C1058" s="10">
        <v>44534.645833333336</v>
      </c>
      <c r="D1058">
        <v>14644.65</v>
      </c>
      <c r="E1058">
        <v>14652.5</v>
      </c>
      <c r="F1058">
        <v>14248.7</v>
      </c>
      <c r="G1058">
        <v>14310.8</v>
      </c>
      <c r="H1058">
        <v>0</v>
      </c>
      <c r="I1058" s="8">
        <f t="shared" si="65"/>
        <v>-3.5325601539617946E-2</v>
      </c>
      <c r="J1058" s="8">
        <f t="shared" si="66"/>
        <v>-3.5964645500907659E-2</v>
      </c>
      <c r="K1058" s="8">
        <f t="shared" si="63"/>
        <v>-1.2009182070798596E-2</v>
      </c>
    </row>
    <row r="1059" spans="1:11" x14ac:dyDescent="0.25">
      <c r="A1059" t="str">
        <f t="shared" si="64"/>
        <v>42021</v>
      </c>
      <c r="B1059" s="1">
        <v>44299</v>
      </c>
      <c r="C1059" t="s">
        <v>663</v>
      </c>
      <c r="D1059">
        <v>14364.9</v>
      </c>
      <c r="E1059">
        <v>14528.9</v>
      </c>
      <c r="F1059">
        <v>14274.9</v>
      </c>
      <c r="G1059">
        <v>14504.8</v>
      </c>
      <c r="H1059">
        <v>0</v>
      </c>
      <c r="I1059" s="8">
        <f t="shared" si="65"/>
        <v>1.3556195321016373E-2</v>
      </c>
      <c r="J1059" s="8">
        <f t="shared" si="66"/>
        <v>1.346513216216128E-2</v>
      </c>
      <c r="K1059" s="8">
        <f t="shared" si="63"/>
        <v>-4.0272050922001146E-3</v>
      </c>
    </row>
    <row r="1060" spans="1:11" x14ac:dyDescent="0.25">
      <c r="A1060" t="str">
        <f t="shared" si="64"/>
        <v>42021</v>
      </c>
      <c r="B1060" s="1">
        <v>44301</v>
      </c>
      <c r="C1060" t="s">
        <v>664</v>
      </c>
      <c r="D1060">
        <v>14522.4</v>
      </c>
      <c r="E1060">
        <v>14597.55</v>
      </c>
      <c r="F1060">
        <v>14353.2</v>
      </c>
      <c r="G1060">
        <v>14581.45</v>
      </c>
      <c r="H1060">
        <v>0</v>
      </c>
      <c r="I1060" s="8">
        <f t="shared" si="65"/>
        <v>5.2844575588770759E-3</v>
      </c>
      <c r="J1060" s="8">
        <f t="shared" si="66"/>
        <v>5.2705438092521557E-3</v>
      </c>
      <c r="K1060" s="8">
        <f t="shared" si="63"/>
        <v>1.1397302409568155E-3</v>
      </c>
    </row>
    <row r="1061" spans="1:11" x14ac:dyDescent="0.25">
      <c r="A1061" t="str">
        <f t="shared" si="64"/>
        <v>42021</v>
      </c>
      <c r="B1061" s="1">
        <v>44302</v>
      </c>
      <c r="C1061" t="s">
        <v>665</v>
      </c>
      <c r="D1061">
        <v>14599.6</v>
      </c>
      <c r="E1061">
        <v>14697.7</v>
      </c>
      <c r="F1061">
        <v>14559</v>
      </c>
      <c r="G1061">
        <v>14617.85</v>
      </c>
      <c r="H1061">
        <v>0</v>
      </c>
      <c r="I1061" s="8">
        <f t="shared" si="65"/>
        <v>2.4963223822047631E-3</v>
      </c>
      <c r="J1061" s="8">
        <f t="shared" si="66"/>
        <v>2.4932117451798913E-3</v>
      </c>
      <c r="K1061" s="8">
        <f t="shared" si="63"/>
        <v>1.5244320206089235E-3</v>
      </c>
    </row>
    <row r="1062" spans="1:11" x14ac:dyDescent="0.25">
      <c r="A1062" t="str">
        <f t="shared" si="64"/>
        <v>42021</v>
      </c>
      <c r="B1062" s="1">
        <v>44305</v>
      </c>
      <c r="C1062" t="s">
        <v>666</v>
      </c>
      <c r="D1062">
        <v>14306.6</v>
      </c>
      <c r="E1062">
        <v>14382.3</v>
      </c>
      <c r="F1062">
        <v>14191.4</v>
      </c>
      <c r="G1062">
        <v>14359.45</v>
      </c>
      <c r="H1062">
        <v>0</v>
      </c>
      <c r="I1062" s="8">
        <f t="shared" si="65"/>
        <v>-1.7677018166146197E-2</v>
      </c>
      <c r="J1062" s="8">
        <f t="shared" si="66"/>
        <v>-1.7835122632966233E-2</v>
      </c>
      <c r="K1062" s="8">
        <f t="shared" si="63"/>
        <v>-5.1442111170385552E-3</v>
      </c>
    </row>
    <row r="1063" spans="1:11" x14ac:dyDescent="0.25">
      <c r="A1063" t="str">
        <f t="shared" si="64"/>
        <v>42021</v>
      </c>
      <c r="B1063" s="1">
        <v>44306</v>
      </c>
      <c r="C1063" t="s">
        <v>667</v>
      </c>
      <c r="D1063">
        <v>14526.7</v>
      </c>
      <c r="E1063">
        <v>14526.95</v>
      </c>
      <c r="F1063">
        <v>14207.3</v>
      </c>
      <c r="G1063">
        <v>14296.4</v>
      </c>
      <c r="H1063">
        <v>0</v>
      </c>
      <c r="I1063" s="8">
        <f t="shared" si="65"/>
        <v>-4.3908366963916201E-3</v>
      </c>
      <c r="J1063" s="8">
        <f t="shared" si="66"/>
        <v>-4.4005047307249922E-3</v>
      </c>
      <c r="K1063" s="8">
        <f t="shared" si="63"/>
        <v>1.0573267139546427E-3</v>
      </c>
    </row>
    <row r="1064" spans="1:11" x14ac:dyDescent="0.25">
      <c r="A1064" t="str">
        <f t="shared" si="64"/>
        <v>42021</v>
      </c>
      <c r="B1064" s="1">
        <v>44308</v>
      </c>
      <c r="C1064" t="s">
        <v>668</v>
      </c>
      <c r="D1064">
        <v>14219.15</v>
      </c>
      <c r="E1064">
        <v>14424.75</v>
      </c>
      <c r="F1064">
        <v>14151.4</v>
      </c>
      <c r="G1064">
        <v>14406.15</v>
      </c>
      <c r="H1064">
        <v>0</v>
      </c>
      <c r="I1064" s="8">
        <f t="shared" si="65"/>
        <v>7.6767577851766244E-3</v>
      </c>
      <c r="J1064" s="8">
        <f t="shared" si="66"/>
        <v>7.6474414209569321E-3</v>
      </c>
      <c r="K1064" s="8">
        <f t="shared" si="63"/>
        <v>-7.9194829610602646E-3</v>
      </c>
    </row>
    <row r="1065" spans="1:11" x14ac:dyDescent="0.25">
      <c r="A1065" t="str">
        <f t="shared" si="64"/>
        <v>42021</v>
      </c>
      <c r="B1065" s="1">
        <v>44309</v>
      </c>
      <c r="C1065" t="s">
        <v>669</v>
      </c>
      <c r="D1065">
        <v>14326.35</v>
      </c>
      <c r="E1065">
        <v>14461.15</v>
      </c>
      <c r="F1065">
        <v>14273.3</v>
      </c>
      <c r="G1065">
        <v>14341.35</v>
      </c>
      <c r="H1065">
        <v>0</v>
      </c>
      <c r="I1065" s="8">
        <f t="shared" si="65"/>
        <v>-4.4980789454502901E-3</v>
      </c>
      <c r="J1065" s="8">
        <f t="shared" si="66"/>
        <v>-4.5082257413756278E-3</v>
      </c>
      <c r="K1065" s="8">
        <f t="shared" si="63"/>
        <v>-2.0713978435884628E-2</v>
      </c>
    </row>
    <row r="1066" spans="1:11" x14ac:dyDescent="0.25">
      <c r="A1066" t="str">
        <f t="shared" si="64"/>
        <v>42021</v>
      </c>
      <c r="B1066" s="1">
        <v>44312</v>
      </c>
      <c r="C1066" t="s">
        <v>670</v>
      </c>
      <c r="D1066">
        <v>14449.45</v>
      </c>
      <c r="E1066">
        <v>14557.5</v>
      </c>
      <c r="F1066">
        <v>14421.3</v>
      </c>
      <c r="G1066">
        <v>14485</v>
      </c>
      <c r="H1066">
        <v>0</v>
      </c>
      <c r="I1066" s="8">
        <f t="shared" si="65"/>
        <v>1.0016490776670217E-2</v>
      </c>
      <c r="J1066" s="8">
        <f t="shared" si="66"/>
        <v>9.9666582215295584E-3</v>
      </c>
      <c r="K1066" s="8">
        <f t="shared" si="63"/>
        <v>-7.2205258955405638E-3</v>
      </c>
    </row>
    <row r="1067" spans="1:11" x14ac:dyDescent="0.25">
      <c r="A1067" t="str">
        <f t="shared" si="64"/>
        <v>42021</v>
      </c>
      <c r="B1067" s="1">
        <v>44313</v>
      </c>
      <c r="C1067" t="s">
        <v>671</v>
      </c>
      <c r="D1067">
        <v>14493.8</v>
      </c>
      <c r="E1067">
        <v>14667.55</v>
      </c>
      <c r="F1067">
        <v>14484.85</v>
      </c>
      <c r="G1067">
        <v>14653.05</v>
      </c>
      <c r="H1067">
        <v>0</v>
      </c>
      <c r="I1067" s="8">
        <f t="shared" si="65"/>
        <v>1.1601656886434109E-2</v>
      </c>
      <c r="J1067" s="8">
        <f t="shared" si="66"/>
        <v>1.1534873699277236E-2</v>
      </c>
      <c r="K1067" s="8">
        <f t="shared" si="63"/>
        <v>1.9562479560809587E-2</v>
      </c>
    </row>
    <row r="1068" spans="1:11" x14ac:dyDescent="0.25">
      <c r="A1068" t="str">
        <f t="shared" si="64"/>
        <v>42021</v>
      </c>
      <c r="B1068" s="1">
        <v>44314</v>
      </c>
      <c r="C1068" t="s">
        <v>672</v>
      </c>
      <c r="D1068">
        <v>14710.5</v>
      </c>
      <c r="E1068">
        <v>14890.25</v>
      </c>
      <c r="F1068">
        <v>14694.95</v>
      </c>
      <c r="G1068">
        <v>14864.55</v>
      </c>
      <c r="H1068">
        <v>0</v>
      </c>
      <c r="I1068" s="8">
        <f t="shared" si="65"/>
        <v>1.4433855067716328E-2</v>
      </c>
      <c r="J1068" s="8">
        <f t="shared" si="66"/>
        <v>1.4330678619181423E-2</v>
      </c>
      <c r="K1068" s="8">
        <f t="shared" si="63"/>
        <v>4.3939489707772283E-2</v>
      </c>
    </row>
    <row r="1069" spans="1:11" x14ac:dyDescent="0.25">
      <c r="A1069" t="str">
        <f t="shared" si="64"/>
        <v>42021</v>
      </c>
      <c r="B1069" s="1">
        <v>44315</v>
      </c>
      <c r="C1069" t="s">
        <v>673</v>
      </c>
      <c r="D1069">
        <v>14979</v>
      </c>
      <c r="E1069">
        <v>15044.35</v>
      </c>
      <c r="F1069">
        <v>14814.45</v>
      </c>
      <c r="G1069">
        <v>14894.9</v>
      </c>
      <c r="H1069">
        <v>0</v>
      </c>
      <c r="I1069" s="8">
        <f t="shared" si="65"/>
        <v>2.0417705211392967E-3</v>
      </c>
      <c r="J1069" s="8">
        <f t="shared" si="66"/>
        <v>2.0396889406337029E-3</v>
      </c>
      <c r="K1069" s="8">
        <f t="shared" si="63"/>
        <v>6.6396993019509631E-2</v>
      </c>
    </row>
    <row r="1070" spans="1:11" x14ac:dyDescent="0.25">
      <c r="A1070" t="str">
        <f t="shared" si="64"/>
        <v>42021</v>
      </c>
      <c r="B1070" s="1">
        <v>44316</v>
      </c>
      <c r="C1070" t="s">
        <v>674</v>
      </c>
      <c r="D1070">
        <v>14747.35</v>
      </c>
      <c r="E1070">
        <v>14855.45</v>
      </c>
      <c r="F1070">
        <v>14601.7</v>
      </c>
      <c r="G1070">
        <v>14631.1</v>
      </c>
      <c r="H1070">
        <v>0</v>
      </c>
      <c r="I1070" s="8">
        <f t="shared" si="65"/>
        <v>-1.7710760058812003E-2</v>
      </c>
      <c r="J1070" s="8">
        <f t="shared" si="66"/>
        <v>-1.7869472304921995E-2</v>
      </c>
      <c r="K1070" s="8">
        <f t="shared" si="63"/>
        <v>5.8878021067410691E-2</v>
      </c>
    </row>
    <row r="1071" spans="1:11" x14ac:dyDescent="0.25">
      <c r="A1071" t="str">
        <f t="shared" si="64"/>
        <v>52021</v>
      </c>
      <c r="B1071" s="1">
        <v>44319</v>
      </c>
      <c r="C1071" s="10">
        <v>44260.645833333336</v>
      </c>
      <c r="D1071">
        <v>14481.05</v>
      </c>
      <c r="E1071">
        <v>14673.85</v>
      </c>
      <c r="F1071">
        <v>14416.25</v>
      </c>
      <c r="G1071">
        <v>14634.15</v>
      </c>
      <c r="H1071">
        <v>0</v>
      </c>
      <c r="I1071" s="8">
        <f t="shared" si="65"/>
        <v>2.0846006110275539E-4</v>
      </c>
      <c r="J1071" s="8">
        <f t="shared" si="66"/>
        <v>2.0843833632333135E-4</v>
      </c>
      <c r="K1071" s="8">
        <f t="shared" si="63"/>
        <v>7.3309814736039147E-2</v>
      </c>
    </row>
    <row r="1072" spans="1:11" x14ac:dyDescent="0.25">
      <c r="A1072" t="str">
        <f t="shared" si="64"/>
        <v>52021</v>
      </c>
      <c r="B1072" s="1">
        <v>44320</v>
      </c>
      <c r="C1072" s="10">
        <v>44291.645833333336</v>
      </c>
      <c r="D1072">
        <v>14687.25</v>
      </c>
      <c r="E1072">
        <v>14723.4</v>
      </c>
      <c r="F1072">
        <v>14461.5</v>
      </c>
      <c r="G1072">
        <v>14496.5</v>
      </c>
      <c r="H1072">
        <v>0</v>
      </c>
      <c r="I1072" s="8">
        <f t="shared" si="65"/>
        <v>-9.4060809818130586E-3</v>
      </c>
      <c r="J1072" s="8">
        <f t="shared" si="66"/>
        <v>-9.4505975322978809E-3</v>
      </c>
      <c r="K1072" s="8">
        <f t="shared" si="63"/>
        <v>1.5075763941405418E-2</v>
      </c>
    </row>
    <row r="1073" spans="1:11" x14ac:dyDescent="0.25">
      <c r="A1073" t="str">
        <f t="shared" si="64"/>
        <v>52021</v>
      </c>
      <c r="B1073" s="1">
        <v>44321</v>
      </c>
      <c r="C1073" s="10">
        <v>44321.645833333336</v>
      </c>
      <c r="D1073">
        <v>14604.15</v>
      </c>
      <c r="E1073">
        <v>14637.9</v>
      </c>
      <c r="F1073">
        <v>14506.6</v>
      </c>
      <c r="G1073">
        <v>14617.85</v>
      </c>
      <c r="H1073">
        <v>0</v>
      </c>
      <c r="I1073" s="8">
        <f t="shared" si="65"/>
        <v>8.3709861000931252E-3</v>
      </c>
      <c r="J1073" s="8">
        <f t="shared" si="66"/>
        <v>8.3361437043846104E-3</v>
      </c>
      <c r="K1073" s="8">
        <f t="shared" si="63"/>
        <v>-2.0480821417477868E-3</v>
      </c>
    </row>
    <row r="1074" spans="1:11" x14ac:dyDescent="0.25">
      <c r="A1074" t="str">
        <f t="shared" si="64"/>
        <v>52021</v>
      </c>
      <c r="B1074" s="1">
        <v>44322</v>
      </c>
      <c r="C1074" s="10">
        <v>44352.645833333336</v>
      </c>
      <c r="D1074">
        <v>14668.35</v>
      </c>
      <c r="E1074">
        <v>14743.9</v>
      </c>
      <c r="F1074">
        <v>14611.5</v>
      </c>
      <c r="G1074">
        <v>14724.8</v>
      </c>
      <c r="H1074">
        <v>0</v>
      </c>
      <c r="I1074" s="8">
        <f t="shared" si="65"/>
        <v>7.3163974182248737E-3</v>
      </c>
      <c r="J1074" s="8">
        <f t="shared" si="66"/>
        <v>7.2897624185612698E-3</v>
      </c>
      <c r="K1074" s="8">
        <f t="shared" si="63"/>
        <v>-4.4050182725432485E-3</v>
      </c>
    </row>
    <row r="1075" spans="1:11" x14ac:dyDescent="0.25">
      <c r="A1075" t="str">
        <f t="shared" si="64"/>
        <v>52021</v>
      </c>
      <c r="B1075" s="1">
        <v>44323</v>
      </c>
      <c r="C1075" s="10">
        <v>44382.645833333336</v>
      </c>
      <c r="D1075">
        <v>14816.85</v>
      </c>
      <c r="E1075">
        <v>14863.05</v>
      </c>
      <c r="F1075">
        <v>14765.5</v>
      </c>
      <c r="G1075">
        <v>14823.15</v>
      </c>
      <c r="H1075">
        <v>0</v>
      </c>
      <c r="I1075" s="8">
        <f t="shared" si="65"/>
        <v>6.6792078669999366E-3</v>
      </c>
      <c r="J1075" s="8">
        <f t="shared" si="66"/>
        <v>6.6570007870929496E-3</v>
      </c>
      <c r="K1075" s="8">
        <f t="shared" si="63"/>
        <v>-4.8671927710438601E-3</v>
      </c>
    </row>
    <row r="1076" spans="1:11" x14ac:dyDescent="0.25">
      <c r="A1076" t="str">
        <f t="shared" si="64"/>
        <v>52021</v>
      </c>
      <c r="B1076" s="1">
        <v>44326</v>
      </c>
      <c r="C1076" s="10">
        <v>44474.645833333336</v>
      </c>
      <c r="D1076">
        <v>14928.25</v>
      </c>
      <c r="E1076">
        <v>14966.9</v>
      </c>
      <c r="F1076">
        <v>14892.5</v>
      </c>
      <c r="G1076">
        <v>14942.35</v>
      </c>
      <c r="H1076">
        <v>0</v>
      </c>
      <c r="I1076" s="8">
        <f t="shared" si="65"/>
        <v>8.0414756647542163E-3</v>
      </c>
      <c r="J1076" s="8">
        <f t="shared" si="66"/>
        <v>8.0093152954948815E-3</v>
      </c>
      <c r="K1076" s="8">
        <f t="shared" si="63"/>
        <v>1.2127912625425896E-3</v>
      </c>
    </row>
    <row r="1077" spans="1:11" x14ac:dyDescent="0.25">
      <c r="A1077" t="str">
        <f t="shared" si="64"/>
        <v>52021</v>
      </c>
      <c r="B1077" s="1">
        <v>44327</v>
      </c>
      <c r="C1077" s="10">
        <v>44505.645833333336</v>
      </c>
      <c r="D1077">
        <v>14789.7</v>
      </c>
      <c r="E1077">
        <v>14900</v>
      </c>
      <c r="F1077">
        <v>14771.4</v>
      </c>
      <c r="G1077">
        <v>14850.75</v>
      </c>
      <c r="H1077">
        <v>0</v>
      </c>
      <c r="I1077" s="8">
        <f t="shared" si="65"/>
        <v>-6.1302271731019653E-3</v>
      </c>
      <c r="J1077" s="8">
        <f t="shared" si="66"/>
        <v>-6.1490941611665332E-3</v>
      </c>
      <c r="K1077" s="8">
        <f t="shared" si="63"/>
        <v>-1.7534632636049596E-2</v>
      </c>
    </row>
    <row r="1078" spans="1:11" x14ac:dyDescent="0.25">
      <c r="A1078" t="str">
        <f t="shared" si="64"/>
        <v>52021</v>
      </c>
      <c r="B1078" s="1">
        <v>44328</v>
      </c>
      <c r="C1078" s="10">
        <v>44535.645833333336</v>
      </c>
      <c r="D1078">
        <v>14823.55</v>
      </c>
      <c r="E1078">
        <v>14824.05</v>
      </c>
      <c r="F1078">
        <v>14649.7</v>
      </c>
      <c r="G1078">
        <v>14696.5</v>
      </c>
      <c r="H1078">
        <v>0</v>
      </c>
      <c r="I1078" s="8">
        <f t="shared" si="65"/>
        <v>-1.0386680807366599E-2</v>
      </c>
      <c r="J1078" s="8">
        <f t="shared" si="66"/>
        <v>-1.0440998826452301E-2</v>
      </c>
      <c r="K1078" s="8">
        <f t="shared" si="63"/>
        <v>-2.7320921551627131E-2</v>
      </c>
    </row>
    <row r="1079" spans="1:11" x14ac:dyDescent="0.25">
      <c r="A1079" t="str">
        <f t="shared" si="64"/>
        <v>52021</v>
      </c>
      <c r="B1079" s="1">
        <v>44330</v>
      </c>
      <c r="C1079" t="s">
        <v>675</v>
      </c>
      <c r="D1079">
        <v>14749.4</v>
      </c>
      <c r="E1079">
        <v>14749.65</v>
      </c>
      <c r="F1079">
        <v>14591.9</v>
      </c>
      <c r="G1079">
        <v>14677.8</v>
      </c>
      <c r="H1079">
        <v>0</v>
      </c>
      <c r="I1079" s="8">
        <f t="shared" si="65"/>
        <v>-1.2724117987276129E-3</v>
      </c>
      <c r="J1079" s="8">
        <f t="shared" si="66"/>
        <v>-1.2732220019680827E-3</v>
      </c>
      <c r="K1079" s="8">
        <f t="shared" si="63"/>
        <v>-2.8378512560818248E-2</v>
      </c>
    </row>
    <row r="1080" spans="1:11" x14ac:dyDescent="0.25">
      <c r="A1080" t="str">
        <f t="shared" si="64"/>
        <v>11900</v>
      </c>
      <c r="I1080" s="8">
        <f t="shared" ref="I1080:I1143" si="67">+G1080/G1079-1</f>
        <v>-1</v>
      </c>
      <c r="J1080" s="8" t="e">
        <f t="shared" si="66"/>
        <v>#NUM!</v>
      </c>
      <c r="K1080" s="8">
        <f t="shared" si="63"/>
        <v>-1</v>
      </c>
    </row>
    <row r="1081" spans="1:11" x14ac:dyDescent="0.25">
      <c r="A1081" t="str">
        <f t="shared" si="64"/>
        <v>11900</v>
      </c>
      <c r="I1081" s="8" t="e">
        <f t="shared" si="67"/>
        <v>#DIV/0!</v>
      </c>
      <c r="J1081" s="8" t="e">
        <f t="shared" si="66"/>
        <v>#DIV/0!</v>
      </c>
      <c r="K1081" s="8">
        <f t="shared" si="63"/>
        <v>-1</v>
      </c>
    </row>
    <row r="1082" spans="1:11" x14ac:dyDescent="0.25">
      <c r="A1082" t="str">
        <f t="shared" si="64"/>
        <v>11900</v>
      </c>
      <c r="I1082" s="8" t="e">
        <f t="shared" si="67"/>
        <v>#DIV/0!</v>
      </c>
      <c r="J1082" s="8" t="e">
        <f t="shared" si="66"/>
        <v>#DIV/0!</v>
      </c>
      <c r="K1082" s="8">
        <f t="shared" si="63"/>
        <v>-1</v>
      </c>
    </row>
    <row r="1083" spans="1:11" x14ac:dyDescent="0.25">
      <c r="A1083" t="str">
        <f t="shared" si="64"/>
        <v>11900</v>
      </c>
      <c r="I1083" s="8" t="e">
        <f t="shared" si="67"/>
        <v>#DIV/0!</v>
      </c>
      <c r="J1083" s="8" t="e">
        <f t="shared" si="66"/>
        <v>#DIV/0!</v>
      </c>
      <c r="K1083" s="8">
        <f t="shared" si="63"/>
        <v>-1</v>
      </c>
    </row>
    <row r="1084" spans="1:11" x14ac:dyDescent="0.25">
      <c r="A1084" t="str">
        <f t="shared" si="64"/>
        <v>11900</v>
      </c>
      <c r="I1084" s="8" t="e">
        <f t="shared" si="67"/>
        <v>#DIV/0!</v>
      </c>
      <c r="J1084" s="8" t="e">
        <f t="shared" si="66"/>
        <v>#DIV/0!</v>
      </c>
      <c r="K1084" s="8">
        <f t="shared" si="63"/>
        <v>-1</v>
      </c>
    </row>
    <row r="1085" spans="1:11" x14ac:dyDescent="0.25">
      <c r="A1085" t="str">
        <f t="shared" si="64"/>
        <v>11900</v>
      </c>
      <c r="I1085" s="8" t="e">
        <f t="shared" si="67"/>
        <v>#DIV/0!</v>
      </c>
      <c r="J1085" s="8" t="e">
        <f t="shared" si="66"/>
        <v>#DIV/0!</v>
      </c>
      <c r="K1085" s="8">
        <f t="shared" si="63"/>
        <v>-1</v>
      </c>
    </row>
    <row r="1086" spans="1:11" x14ac:dyDescent="0.25">
      <c r="A1086" t="str">
        <f t="shared" si="64"/>
        <v>11900</v>
      </c>
      <c r="I1086" s="8" t="e">
        <f t="shared" si="67"/>
        <v>#DIV/0!</v>
      </c>
      <c r="J1086" s="8" t="e">
        <f t="shared" si="66"/>
        <v>#DIV/0!</v>
      </c>
      <c r="K1086" s="8">
        <f t="shared" si="63"/>
        <v>-1</v>
      </c>
    </row>
    <row r="1087" spans="1:11" x14ac:dyDescent="0.25">
      <c r="A1087" t="str">
        <f t="shared" si="64"/>
        <v>11900</v>
      </c>
      <c r="I1087" s="8" t="e">
        <f t="shared" si="67"/>
        <v>#DIV/0!</v>
      </c>
      <c r="J1087" s="8" t="e">
        <f t="shared" si="66"/>
        <v>#DIV/0!</v>
      </c>
      <c r="K1087" s="8">
        <f t="shared" si="63"/>
        <v>-1</v>
      </c>
    </row>
    <row r="1088" spans="1:11" x14ac:dyDescent="0.25">
      <c r="A1088" t="str">
        <f t="shared" si="64"/>
        <v>11900</v>
      </c>
      <c r="I1088" s="8" t="e">
        <f t="shared" si="67"/>
        <v>#DIV/0!</v>
      </c>
      <c r="J1088" s="8" t="e">
        <f t="shared" si="66"/>
        <v>#DIV/0!</v>
      </c>
      <c r="K1088" s="8">
        <f t="shared" ref="K1088:K1151" si="68">+G1088/G1027-1</f>
        <v>-1</v>
      </c>
    </row>
    <row r="1089" spans="1:11" x14ac:dyDescent="0.25">
      <c r="A1089" t="str">
        <f t="shared" si="64"/>
        <v>11900</v>
      </c>
      <c r="I1089" s="8" t="e">
        <f t="shared" si="67"/>
        <v>#DIV/0!</v>
      </c>
      <c r="J1089" s="8" t="e">
        <f t="shared" si="66"/>
        <v>#DIV/0!</v>
      </c>
      <c r="K1089" s="8">
        <f t="shared" si="68"/>
        <v>-1</v>
      </c>
    </row>
    <row r="1090" spans="1:11" x14ac:dyDescent="0.25">
      <c r="A1090" t="str">
        <f t="shared" si="64"/>
        <v>11900</v>
      </c>
      <c r="I1090" s="8" t="e">
        <f t="shared" si="67"/>
        <v>#DIV/0!</v>
      </c>
      <c r="J1090" s="8" t="e">
        <f t="shared" si="66"/>
        <v>#DIV/0!</v>
      </c>
      <c r="K1090" s="8">
        <f t="shared" si="68"/>
        <v>-1</v>
      </c>
    </row>
    <row r="1091" spans="1:11" x14ac:dyDescent="0.25">
      <c r="A1091" t="str">
        <f t="shared" ref="A1091:A1154" si="69">+MONTH(B1091)&amp;YEAR(B1091)</f>
        <v>11900</v>
      </c>
      <c r="I1091" s="8" t="e">
        <f t="shared" si="67"/>
        <v>#DIV/0!</v>
      </c>
      <c r="J1091" s="8" t="e">
        <f t="shared" si="66"/>
        <v>#DIV/0!</v>
      </c>
      <c r="K1091" s="8">
        <f t="shared" si="68"/>
        <v>-1</v>
      </c>
    </row>
    <row r="1092" spans="1:11" x14ac:dyDescent="0.25">
      <c r="A1092" t="str">
        <f t="shared" si="69"/>
        <v>11900</v>
      </c>
      <c r="I1092" s="8" t="e">
        <f t="shared" si="67"/>
        <v>#DIV/0!</v>
      </c>
      <c r="J1092" s="8" t="e">
        <f t="shared" ref="J1092:J1155" si="70">+LN(1+I1092)</f>
        <v>#DIV/0!</v>
      </c>
      <c r="K1092" s="8">
        <f t="shared" si="68"/>
        <v>-1</v>
      </c>
    </row>
    <row r="1093" spans="1:11" x14ac:dyDescent="0.25">
      <c r="A1093" t="str">
        <f t="shared" si="69"/>
        <v>11900</v>
      </c>
      <c r="I1093" s="8" t="e">
        <f t="shared" si="67"/>
        <v>#DIV/0!</v>
      </c>
      <c r="J1093" s="8" t="e">
        <f t="shared" si="70"/>
        <v>#DIV/0!</v>
      </c>
      <c r="K1093" s="8">
        <f t="shared" si="68"/>
        <v>-1</v>
      </c>
    </row>
    <row r="1094" spans="1:11" x14ac:dyDescent="0.25">
      <c r="A1094" t="str">
        <f t="shared" si="69"/>
        <v>11900</v>
      </c>
      <c r="I1094" s="8" t="e">
        <f t="shared" si="67"/>
        <v>#DIV/0!</v>
      </c>
      <c r="J1094" s="8" t="e">
        <f t="shared" si="70"/>
        <v>#DIV/0!</v>
      </c>
      <c r="K1094" s="8">
        <f t="shared" si="68"/>
        <v>-1</v>
      </c>
    </row>
    <row r="1095" spans="1:11" x14ac:dyDescent="0.25">
      <c r="A1095" t="str">
        <f t="shared" si="69"/>
        <v>11900</v>
      </c>
      <c r="I1095" s="8" t="e">
        <f t="shared" si="67"/>
        <v>#DIV/0!</v>
      </c>
      <c r="J1095" s="8" t="e">
        <f t="shared" si="70"/>
        <v>#DIV/0!</v>
      </c>
      <c r="K1095" s="8">
        <f t="shared" si="68"/>
        <v>-1</v>
      </c>
    </row>
    <row r="1096" spans="1:11" x14ac:dyDescent="0.25">
      <c r="A1096" t="str">
        <f t="shared" si="69"/>
        <v>11900</v>
      </c>
      <c r="I1096" s="8" t="e">
        <f t="shared" si="67"/>
        <v>#DIV/0!</v>
      </c>
      <c r="J1096" s="8" t="e">
        <f t="shared" si="70"/>
        <v>#DIV/0!</v>
      </c>
      <c r="K1096" s="8">
        <f t="shared" si="68"/>
        <v>-1</v>
      </c>
    </row>
    <row r="1097" spans="1:11" x14ac:dyDescent="0.25">
      <c r="A1097" t="str">
        <f t="shared" si="69"/>
        <v>11900</v>
      </c>
      <c r="I1097" s="8" t="e">
        <f t="shared" si="67"/>
        <v>#DIV/0!</v>
      </c>
      <c r="J1097" s="8" t="e">
        <f t="shared" si="70"/>
        <v>#DIV/0!</v>
      </c>
      <c r="K1097" s="8">
        <f t="shared" si="68"/>
        <v>-1</v>
      </c>
    </row>
    <row r="1098" spans="1:11" x14ac:dyDescent="0.25">
      <c r="A1098" t="str">
        <f t="shared" si="69"/>
        <v>11900</v>
      </c>
      <c r="I1098" s="8" t="e">
        <f t="shared" si="67"/>
        <v>#DIV/0!</v>
      </c>
      <c r="J1098" s="8" t="e">
        <f t="shared" si="70"/>
        <v>#DIV/0!</v>
      </c>
      <c r="K1098" s="8">
        <f t="shared" si="68"/>
        <v>-1</v>
      </c>
    </row>
    <row r="1099" spans="1:11" x14ac:dyDescent="0.25">
      <c r="A1099" t="str">
        <f t="shared" si="69"/>
        <v>11900</v>
      </c>
      <c r="I1099" s="8" t="e">
        <f t="shared" si="67"/>
        <v>#DIV/0!</v>
      </c>
      <c r="J1099" s="8" t="e">
        <f t="shared" si="70"/>
        <v>#DIV/0!</v>
      </c>
      <c r="K1099" s="8">
        <f t="shared" si="68"/>
        <v>-1</v>
      </c>
    </row>
    <row r="1100" spans="1:11" x14ac:dyDescent="0.25">
      <c r="A1100" t="str">
        <f t="shared" si="69"/>
        <v>11900</v>
      </c>
      <c r="I1100" s="8" t="e">
        <f t="shared" si="67"/>
        <v>#DIV/0!</v>
      </c>
      <c r="J1100" s="8" t="e">
        <f t="shared" si="70"/>
        <v>#DIV/0!</v>
      </c>
      <c r="K1100" s="8">
        <f t="shared" si="68"/>
        <v>-1</v>
      </c>
    </row>
    <row r="1101" spans="1:11" x14ac:dyDescent="0.25">
      <c r="A1101" t="str">
        <f t="shared" si="69"/>
        <v>11900</v>
      </c>
      <c r="I1101" s="8" t="e">
        <f t="shared" si="67"/>
        <v>#DIV/0!</v>
      </c>
      <c r="J1101" s="8" t="e">
        <f t="shared" si="70"/>
        <v>#DIV/0!</v>
      </c>
      <c r="K1101" s="8">
        <f t="shared" si="68"/>
        <v>-1</v>
      </c>
    </row>
    <row r="1102" spans="1:11" x14ac:dyDescent="0.25">
      <c r="A1102" t="str">
        <f t="shared" si="69"/>
        <v>11900</v>
      </c>
      <c r="I1102" s="8" t="e">
        <f t="shared" si="67"/>
        <v>#DIV/0!</v>
      </c>
      <c r="J1102" s="8" t="e">
        <f t="shared" si="70"/>
        <v>#DIV/0!</v>
      </c>
      <c r="K1102" s="8">
        <f t="shared" si="68"/>
        <v>-1</v>
      </c>
    </row>
    <row r="1103" spans="1:11" x14ac:dyDescent="0.25">
      <c r="A1103" t="str">
        <f t="shared" si="69"/>
        <v>11900</v>
      </c>
      <c r="I1103" s="8" t="e">
        <f t="shared" si="67"/>
        <v>#DIV/0!</v>
      </c>
      <c r="J1103" s="8" t="e">
        <f t="shared" si="70"/>
        <v>#DIV/0!</v>
      </c>
      <c r="K1103" s="8">
        <f t="shared" si="68"/>
        <v>-1</v>
      </c>
    </row>
    <row r="1104" spans="1:11" x14ac:dyDescent="0.25">
      <c r="A1104" t="str">
        <f t="shared" si="69"/>
        <v>11900</v>
      </c>
      <c r="I1104" s="8" t="e">
        <f t="shared" si="67"/>
        <v>#DIV/0!</v>
      </c>
      <c r="J1104" s="8" t="e">
        <f t="shared" si="70"/>
        <v>#DIV/0!</v>
      </c>
      <c r="K1104" s="8">
        <f t="shared" si="68"/>
        <v>-1</v>
      </c>
    </row>
    <row r="1105" spans="1:11" x14ac:dyDescent="0.25">
      <c r="A1105" t="str">
        <f t="shared" si="69"/>
        <v>11900</v>
      </c>
      <c r="I1105" s="8" t="e">
        <f t="shared" si="67"/>
        <v>#DIV/0!</v>
      </c>
      <c r="J1105" s="8" t="e">
        <f t="shared" si="70"/>
        <v>#DIV/0!</v>
      </c>
      <c r="K1105" s="8">
        <f t="shared" si="68"/>
        <v>-1</v>
      </c>
    </row>
    <row r="1106" spans="1:11" x14ac:dyDescent="0.25">
      <c r="A1106" t="str">
        <f t="shared" si="69"/>
        <v>11900</v>
      </c>
      <c r="I1106" s="8" t="e">
        <f t="shared" si="67"/>
        <v>#DIV/0!</v>
      </c>
      <c r="J1106" s="8" t="e">
        <f t="shared" si="70"/>
        <v>#DIV/0!</v>
      </c>
      <c r="K1106" s="8">
        <f t="shared" si="68"/>
        <v>-1</v>
      </c>
    </row>
    <row r="1107" spans="1:11" x14ac:dyDescent="0.25">
      <c r="A1107" t="str">
        <f t="shared" si="69"/>
        <v>11900</v>
      </c>
      <c r="I1107" s="8" t="e">
        <f t="shared" si="67"/>
        <v>#DIV/0!</v>
      </c>
      <c r="J1107" s="8" t="e">
        <f t="shared" si="70"/>
        <v>#DIV/0!</v>
      </c>
      <c r="K1107" s="8">
        <f t="shared" si="68"/>
        <v>-1</v>
      </c>
    </row>
    <row r="1108" spans="1:11" x14ac:dyDescent="0.25">
      <c r="A1108" t="str">
        <f t="shared" si="69"/>
        <v>11900</v>
      </c>
      <c r="I1108" s="8" t="e">
        <f t="shared" si="67"/>
        <v>#DIV/0!</v>
      </c>
      <c r="J1108" s="8" t="e">
        <f t="shared" si="70"/>
        <v>#DIV/0!</v>
      </c>
      <c r="K1108" s="8">
        <f t="shared" si="68"/>
        <v>-1</v>
      </c>
    </row>
    <row r="1109" spans="1:11" x14ac:dyDescent="0.25">
      <c r="A1109" t="str">
        <f t="shared" si="69"/>
        <v>11900</v>
      </c>
      <c r="I1109" s="8" t="e">
        <f t="shared" si="67"/>
        <v>#DIV/0!</v>
      </c>
      <c r="J1109" s="8" t="e">
        <f t="shared" si="70"/>
        <v>#DIV/0!</v>
      </c>
      <c r="K1109" s="8">
        <f t="shared" si="68"/>
        <v>-1</v>
      </c>
    </row>
    <row r="1110" spans="1:11" x14ac:dyDescent="0.25">
      <c r="A1110" t="str">
        <f t="shared" si="69"/>
        <v>11900</v>
      </c>
      <c r="I1110" s="8" t="e">
        <f t="shared" si="67"/>
        <v>#DIV/0!</v>
      </c>
      <c r="J1110" s="8" t="e">
        <f t="shared" si="70"/>
        <v>#DIV/0!</v>
      </c>
      <c r="K1110" s="8">
        <f t="shared" si="68"/>
        <v>-1</v>
      </c>
    </row>
    <row r="1111" spans="1:11" x14ac:dyDescent="0.25">
      <c r="A1111" t="str">
        <f t="shared" si="69"/>
        <v>11900</v>
      </c>
      <c r="I1111" s="8" t="e">
        <f t="shared" si="67"/>
        <v>#DIV/0!</v>
      </c>
      <c r="J1111" s="8" t="e">
        <f t="shared" si="70"/>
        <v>#DIV/0!</v>
      </c>
      <c r="K1111" s="8">
        <f t="shared" si="68"/>
        <v>-1</v>
      </c>
    </row>
    <row r="1112" spans="1:11" x14ac:dyDescent="0.25">
      <c r="A1112" t="str">
        <f t="shared" si="69"/>
        <v>11900</v>
      </c>
      <c r="I1112" s="8" t="e">
        <f t="shared" si="67"/>
        <v>#DIV/0!</v>
      </c>
      <c r="J1112" s="8" t="e">
        <f t="shared" si="70"/>
        <v>#DIV/0!</v>
      </c>
      <c r="K1112" s="8">
        <f t="shared" si="68"/>
        <v>-1</v>
      </c>
    </row>
    <row r="1113" spans="1:11" x14ac:dyDescent="0.25">
      <c r="A1113" t="str">
        <f t="shared" si="69"/>
        <v>11900</v>
      </c>
      <c r="I1113" s="8" t="e">
        <f t="shared" si="67"/>
        <v>#DIV/0!</v>
      </c>
      <c r="J1113" s="8" t="e">
        <f t="shared" si="70"/>
        <v>#DIV/0!</v>
      </c>
      <c r="K1113" s="8">
        <f t="shared" si="68"/>
        <v>-1</v>
      </c>
    </row>
    <row r="1114" spans="1:11" x14ac:dyDescent="0.25">
      <c r="A1114" t="str">
        <f t="shared" si="69"/>
        <v>11900</v>
      </c>
      <c r="I1114" s="8" t="e">
        <f t="shared" si="67"/>
        <v>#DIV/0!</v>
      </c>
      <c r="J1114" s="8" t="e">
        <f t="shared" si="70"/>
        <v>#DIV/0!</v>
      </c>
      <c r="K1114" s="8">
        <f t="shared" si="68"/>
        <v>-1</v>
      </c>
    </row>
    <row r="1115" spans="1:11" x14ac:dyDescent="0.25">
      <c r="A1115" t="str">
        <f t="shared" si="69"/>
        <v>11900</v>
      </c>
      <c r="I1115" s="8" t="e">
        <f t="shared" si="67"/>
        <v>#DIV/0!</v>
      </c>
      <c r="J1115" s="8" t="e">
        <f t="shared" si="70"/>
        <v>#DIV/0!</v>
      </c>
      <c r="K1115" s="8">
        <f t="shared" si="68"/>
        <v>-1</v>
      </c>
    </row>
    <row r="1116" spans="1:11" x14ac:dyDescent="0.25">
      <c r="A1116" t="str">
        <f t="shared" si="69"/>
        <v>11900</v>
      </c>
      <c r="I1116" s="8" t="e">
        <f t="shared" si="67"/>
        <v>#DIV/0!</v>
      </c>
      <c r="J1116" s="8" t="e">
        <f t="shared" si="70"/>
        <v>#DIV/0!</v>
      </c>
      <c r="K1116" s="8">
        <f t="shared" si="68"/>
        <v>-1</v>
      </c>
    </row>
    <row r="1117" spans="1:11" x14ac:dyDescent="0.25">
      <c r="A1117" t="str">
        <f t="shared" si="69"/>
        <v>11900</v>
      </c>
      <c r="I1117" s="8" t="e">
        <f t="shared" si="67"/>
        <v>#DIV/0!</v>
      </c>
      <c r="J1117" s="8" t="e">
        <f t="shared" si="70"/>
        <v>#DIV/0!</v>
      </c>
      <c r="K1117" s="8">
        <f t="shared" si="68"/>
        <v>-1</v>
      </c>
    </row>
    <row r="1118" spans="1:11" x14ac:dyDescent="0.25">
      <c r="A1118" t="str">
        <f t="shared" si="69"/>
        <v>11900</v>
      </c>
      <c r="I1118" s="8" t="e">
        <f t="shared" si="67"/>
        <v>#DIV/0!</v>
      </c>
      <c r="J1118" s="8" t="e">
        <f t="shared" si="70"/>
        <v>#DIV/0!</v>
      </c>
      <c r="K1118" s="8">
        <f t="shared" si="68"/>
        <v>-1</v>
      </c>
    </row>
    <row r="1119" spans="1:11" x14ac:dyDescent="0.25">
      <c r="A1119" t="str">
        <f t="shared" si="69"/>
        <v>11900</v>
      </c>
      <c r="I1119" s="8" t="e">
        <f t="shared" si="67"/>
        <v>#DIV/0!</v>
      </c>
      <c r="J1119" s="8" t="e">
        <f t="shared" si="70"/>
        <v>#DIV/0!</v>
      </c>
      <c r="K1119" s="8">
        <f t="shared" si="68"/>
        <v>-1</v>
      </c>
    </row>
    <row r="1120" spans="1:11" x14ac:dyDescent="0.25">
      <c r="A1120" t="str">
        <f t="shared" si="69"/>
        <v>11900</v>
      </c>
      <c r="I1120" s="8" t="e">
        <f t="shared" si="67"/>
        <v>#DIV/0!</v>
      </c>
      <c r="J1120" s="8" t="e">
        <f t="shared" si="70"/>
        <v>#DIV/0!</v>
      </c>
      <c r="K1120" s="8">
        <f t="shared" si="68"/>
        <v>-1</v>
      </c>
    </row>
    <row r="1121" spans="1:11" x14ac:dyDescent="0.25">
      <c r="A1121" t="str">
        <f t="shared" si="69"/>
        <v>11900</v>
      </c>
      <c r="I1121" s="8" t="e">
        <f t="shared" si="67"/>
        <v>#DIV/0!</v>
      </c>
      <c r="J1121" s="8" t="e">
        <f t="shared" si="70"/>
        <v>#DIV/0!</v>
      </c>
      <c r="K1121" s="8">
        <f t="shared" si="68"/>
        <v>-1</v>
      </c>
    </row>
    <row r="1122" spans="1:11" x14ac:dyDescent="0.25">
      <c r="A1122" t="str">
        <f t="shared" si="69"/>
        <v>11900</v>
      </c>
      <c r="I1122" s="8" t="e">
        <f t="shared" si="67"/>
        <v>#DIV/0!</v>
      </c>
      <c r="J1122" s="8" t="e">
        <f t="shared" si="70"/>
        <v>#DIV/0!</v>
      </c>
      <c r="K1122" s="8">
        <f t="shared" si="68"/>
        <v>-1</v>
      </c>
    </row>
    <row r="1123" spans="1:11" x14ac:dyDescent="0.25">
      <c r="A1123" t="str">
        <f t="shared" si="69"/>
        <v>11900</v>
      </c>
      <c r="I1123" s="8" t="e">
        <f t="shared" si="67"/>
        <v>#DIV/0!</v>
      </c>
      <c r="J1123" s="8" t="e">
        <f t="shared" si="70"/>
        <v>#DIV/0!</v>
      </c>
      <c r="K1123" s="8">
        <f t="shared" si="68"/>
        <v>-1</v>
      </c>
    </row>
    <row r="1124" spans="1:11" x14ac:dyDescent="0.25">
      <c r="A1124" t="str">
        <f t="shared" si="69"/>
        <v>11900</v>
      </c>
      <c r="I1124" s="8" t="e">
        <f t="shared" si="67"/>
        <v>#DIV/0!</v>
      </c>
      <c r="J1124" s="8" t="e">
        <f t="shared" si="70"/>
        <v>#DIV/0!</v>
      </c>
      <c r="K1124" s="8">
        <f t="shared" si="68"/>
        <v>-1</v>
      </c>
    </row>
    <row r="1125" spans="1:11" x14ac:dyDescent="0.25">
      <c r="A1125" t="str">
        <f t="shared" si="69"/>
        <v>11900</v>
      </c>
      <c r="I1125" s="8" t="e">
        <f t="shared" si="67"/>
        <v>#DIV/0!</v>
      </c>
      <c r="J1125" s="8" t="e">
        <f t="shared" si="70"/>
        <v>#DIV/0!</v>
      </c>
      <c r="K1125" s="8">
        <f t="shared" si="68"/>
        <v>-1</v>
      </c>
    </row>
    <row r="1126" spans="1:11" x14ac:dyDescent="0.25">
      <c r="A1126" t="str">
        <f t="shared" si="69"/>
        <v>11900</v>
      </c>
      <c r="I1126" s="8" t="e">
        <f t="shared" si="67"/>
        <v>#DIV/0!</v>
      </c>
      <c r="J1126" s="8" t="e">
        <f t="shared" si="70"/>
        <v>#DIV/0!</v>
      </c>
      <c r="K1126" s="8">
        <f t="shared" si="68"/>
        <v>-1</v>
      </c>
    </row>
    <row r="1127" spans="1:11" x14ac:dyDescent="0.25">
      <c r="A1127" t="str">
        <f t="shared" si="69"/>
        <v>11900</v>
      </c>
      <c r="I1127" s="8" t="e">
        <f t="shared" si="67"/>
        <v>#DIV/0!</v>
      </c>
      <c r="J1127" s="8" t="e">
        <f t="shared" si="70"/>
        <v>#DIV/0!</v>
      </c>
      <c r="K1127" s="8">
        <f t="shared" si="68"/>
        <v>-1</v>
      </c>
    </row>
    <row r="1128" spans="1:11" x14ac:dyDescent="0.25">
      <c r="A1128" t="str">
        <f t="shared" si="69"/>
        <v>11900</v>
      </c>
      <c r="I1128" s="8" t="e">
        <f t="shared" si="67"/>
        <v>#DIV/0!</v>
      </c>
      <c r="J1128" s="8" t="e">
        <f t="shared" si="70"/>
        <v>#DIV/0!</v>
      </c>
      <c r="K1128" s="8">
        <f t="shared" si="68"/>
        <v>-1</v>
      </c>
    </row>
    <row r="1129" spans="1:11" x14ac:dyDescent="0.25">
      <c r="A1129" t="str">
        <f t="shared" si="69"/>
        <v>11900</v>
      </c>
      <c r="I1129" s="8" t="e">
        <f t="shared" si="67"/>
        <v>#DIV/0!</v>
      </c>
      <c r="J1129" s="8" t="e">
        <f t="shared" si="70"/>
        <v>#DIV/0!</v>
      </c>
      <c r="K1129" s="8">
        <f t="shared" si="68"/>
        <v>-1</v>
      </c>
    </row>
    <row r="1130" spans="1:11" x14ac:dyDescent="0.25">
      <c r="A1130" t="str">
        <f t="shared" si="69"/>
        <v>11900</v>
      </c>
      <c r="I1130" s="8" t="e">
        <f t="shared" si="67"/>
        <v>#DIV/0!</v>
      </c>
      <c r="J1130" s="8" t="e">
        <f t="shared" si="70"/>
        <v>#DIV/0!</v>
      </c>
      <c r="K1130" s="8">
        <f t="shared" si="68"/>
        <v>-1</v>
      </c>
    </row>
    <row r="1131" spans="1:11" x14ac:dyDescent="0.25">
      <c r="A1131" t="str">
        <f t="shared" si="69"/>
        <v>11900</v>
      </c>
      <c r="I1131" s="8" t="e">
        <f t="shared" si="67"/>
        <v>#DIV/0!</v>
      </c>
      <c r="J1131" s="8" t="e">
        <f t="shared" si="70"/>
        <v>#DIV/0!</v>
      </c>
      <c r="K1131" s="8">
        <f t="shared" si="68"/>
        <v>-1</v>
      </c>
    </row>
    <row r="1132" spans="1:11" x14ac:dyDescent="0.25">
      <c r="A1132" t="str">
        <f t="shared" si="69"/>
        <v>11900</v>
      </c>
      <c r="I1132" s="8" t="e">
        <f t="shared" si="67"/>
        <v>#DIV/0!</v>
      </c>
      <c r="J1132" s="8" t="e">
        <f t="shared" si="70"/>
        <v>#DIV/0!</v>
      </c>
      <c r="K1132" s="8">
        <f t="shared" si="68"/>
        <v>-1</v>
      </c>
    </row>
    <row r="1133" spans="1:11" x14ac:dyDescent="0.25">
      <c r="A1133" t="str">
        <f t="shared" si="69"/>
        <v>11900</v>
      </c>
      <c r="I1133" s="8" t="e">
        <f t="shared" si="67"/>
        <v>#DIV/0!</v>
      </c>
      <c r="J1133" s="8" t="e">
        <f t="shared" si="70"/>
        <v>#DIV/0!</v>
      </c>
      <c r="K1133" s="8">
        <f t="shared" si="68"/>
        <v>-1</v>
      </c>
    </row>
    <row r="1134" spans="1:11" x14ac:dyDescent="0.25">
      <c r="A1134" t="str">
        <f t="shared" si="69"/>
        <v>11900</v>
      </c>
      <c r="I1134" s="8" t="e">
        <f t="shared" si="67"/>
        <v>#DIV/0!</v>
      </c>
      <c r="J1134" s="8" t="e">
        <f t="shared" si="70"/>
        <v>#DIV/0!</v>
      </c>
      <c r="K1134" s="8">
        <f t="shared" si="68"/>
        <v>-1</v>
      </c>
    </row>
    <row r="1135" spans="1:11" x14ac:dyDescent="0.25">
      <c r="A1135" t="str">
        <f t="shared" si="69"/>
        <v>11900</v>
      </c>
      <c r="I1135" s="8" t="e">
        <f t="shared" si="67"/>
        <v>#DIV/0!</v>
      </c>
      <c r="J1135" s="8" t="e">
        <f t="shared" si="70"/>
        <v>#DIV/0!</v>
      </c>
      <c r="K1135" s="8">
        <f t="shared" si="68"/>
        <v>-1</v>
      </c>
    </row>
    <row r="1136" spans="1:11" x14ac:dyDescent="0.25">
      <c r="A1136" t="str">
        <f t="shared" si="69"/>
        <v>11900</v>
      </c>
      <c r="I1136" s="8" t="e">
        <f t="shared" si="67"/>
        <v>#DIV/0!</v>
      </c>
      <c r="J1136" s="8" t="e">
        <f t="shared" si="70"/>
        <v>#DIV/0!</v>
      </c>
      <c r="K1136" s="8">
        <f t="shared" si="68"/>
        <v>-1</v>
      </c>
    </row>
    <row r="1137" spans="1:11" x14ac:dyDescent="0.25">
      <c r="A1137" t="str">
        <f t="shared" si="69"/>
        <v>11900</v>
      </c>
      <c r="I1137" s="8" t="e">
        <f t="shared" si="67"/>
        <v>#DIV/0!</v>
      </c>
      <c r="J1137" s="8" t="e">
        <f t="shared" si="70"/>
        <v>#DIV/0!</v>
      </c>
      <c r="K1137" s="8">
        <f t="shared" si="68"/>
        <v>-1</v>
      </c>
    </row>
    <row r="1138" spans="1:11" x14ac:dyDescent="0.25">
      <c r="A1138" t="str">
        <f t="shared" si="69"/>
        <v>11900</v>
      </c>
      <c r="I1138" s="8" t="e">
        <f t="shared" si="67"/>
        <v>#DIV/0!</v>
      </c>
      <c r="J1138" s="8" t="e">
        <f t="shared" si="70"/>
        <v>#DIV/0!</v>
      </c>
      <c r="K1138" s="8">
        <f t="shared" si="68"/>
        <v>-1</v>
      </c>
    </row>
    <row r="1139" spans="1:11" x14ac:dyDescent="0.25">
      <c r="A1139" t="str">
        <f t="shared" si="69"/>
        <v>11900</v>
      </c>
      <c r="I1139" s="8" t="e">
        <f t="shared" si="67"/>
        <v>#DIV/0!</v>
      </c>
      <c r="J1139" s="8" t="e">
        <f t="shared" si="70"/>
        <v>#DIV/0!</v>
      </c>
      <c r="K1139" s="8">
        <f t="shared" si="68"/>
        <v>-1</v>
      </c>
    </row>
    <row r="1140" spans="1:11" x14ac:dyDescent="0.25">
      <c r="A1140" t="str">
        <f t="shared" si="69"/>
        <v>11900</v>
      </c>
      <c r="I1140" s="8" t="e">
        <f t="shared" si="67"/>
        <v>#DIV/0!</v>
      </c>
      <c r="J1140" s="8" t="e">
        <f t="shared" si="70"/>
        <v>#DIV/0!</v>
      </c>
      <c r="K1140" s="8">
        <f t="shared" si="68"/>
        <v>-1</v>
      </c>
    </row>
    <row r="1141" spans="1:11" x14ac:dyDescent="0.25">
      <c r="A1141" t="str">
        <f t="shared" si="69"/>
        <v>11900</v>
      </c>
      <c r="I1141" s="8" t="e">
        <f t="shared" si="67"/>
        <v>#DIV/0!</v>
      </c>
      <c r="J1141" s="8" t="e">
        <f t="shared" si="70"/>
        <v>#DIV/0!</v>
      </c>
      <c r="K1141" s="8" t="e">
        <f t="shared" si="68"/>
        <v>#DIV/0!</v>
      </c>
    </row>
    <row r="1142" spans="1:11" x14ac:dyDescent="0.25">
      <c r="A1142" t="str">
        <f t="shared" si="69"/>
        <v>11900</v>
      </c>
      <c r="I1142" s="8" t="e">
        <f t="shared" si="67"/>
        <v>#DIV/0!</v>
      </c>
      <c r="J1142" s="8" t="e">
        <f t="shared" si="70"/>
        <v>#DIV/0!</v>
      </c>
      <c r="K1142" s="8" t="e">
        <f t="shared" si="68"/>
        <v>#DIV/0!</v>
      </c>
    </row>
    <row r="1143" spans="1:11" x14ac:dyDescent="0.25">
      <c r="A1143" t="str">
        <f t="shared" si="69"/>
        <v>11900</v>
      </c>
      <c r="I1143" s="8" t="e">
        <f t="shared" si="67"/>
        <v>#DIV/0!</v>
      </c>
      <c r="J1143" s="8" t="e">
        <f t="shared" si="70"/>
        <v>#DIV/0!</v>
      </c>
      <c r="K1143" s="8" t="e">
        <f t="shared" si="68"/>
        <v>#DIV/0!</v>
      </c>
    </row>
    <row r="1144" spans="1:11" x14ac:dyDescent="0.25">
      <c r="A1144" t="str">
        <f t="shared" si="69"/>
        <v>11900</v>
      </c>
      <c r="I1144" s="8" t="e">
        <f t="shared" ref="I1144:I1207" si="71">+G1144/G1143-1</f>
        <v>#DIV/0!</v>
      </c>
      <c r="J1144" s="8" t="e">
        <f t="shared" si="70"/>
        <v>#DIV/0!</v>
      </c>
      <c r="K1144" s="8" t="e">
        <f t="shared" si="68"/>
        <v>#DIV/0!</v>
      </c>
    </row>
    <row r="1145" spans="1:11" x14ac:dyDescent="0.25">
      <c r="A1145" t="str">
        <f t="shared" si="69"/>
        <v>11900</v>
      </c>
      <c r="I1145" s="8" t="e">
        <f t="shared" si="71"/>
        <v>#DIV/0!</v>
      </c>
      <c r="J1145" s="8" t="e">
        <f t="shared" si="70"/>
        <v>#DIV/0!</v>
      </c>
      <c r="K1145" s="8" t="e">
        <f t="shared" si="68"/>
        <v>#DIV/0!</v>
      </c>
    </row>
    <row r="1146" spans="1:11" x14ac:dyDescent="0.25">
      <c r="A1146" t="str">
        <f t="shared" si="69"/>
        <v>11900</v>
      </c>
      <c r="I1146" s="8" t="e">
        <f t="shared" si="71"/>
        <v>#DIV/0!</v>
      </c>
      <c r="J1146" s="8" t="e">
        <f t="shared" si="70"/>
        <v>#DIV/0!</v>
      </c>
      <c r="K1146" s="8" t="e">
        <f t="shared" si="68"/>
        <v>#DIV/0!</v>
      </c>
    </row>
    <row r="1147" spans="1:11" x14ac:dyDescent="0.25">
      <c r="A1147" t="str">
        <f t="shared" si="69"/>
        <v>11900</v>
      </c>
      <c r="I1147" s="8" t="e">
        <f t="shared" si="71"/>
        <v>#DIV/0!</v>
      </c>
      <c r="J1147" s="8" t="e">
        <f t="shared" si="70"/>
        <v>#DIV/0!</v>
      </c>
      <c r="K1147" s="8" t="e">
        <f t="shared" si="68"/>
        <v>#DIV/0!</v>
      </c>
    </row>
    <row r="1148" spans="1:11" x14ac:dyDescent="0.25">
      <c r="A1148" t="str">
        <f t="shared" si="69"/>
        <v>11900</v>
      </c>
      <c r="I1148" s="8" t="e">
        <f t="shared" si="71"/>
        <v>#DIV/0!</v>
      </c>
      <c r="J1148" s="8" t="e">
        <f t="shared" si="70"/>
        <v>#DIV/0!</v>
      </c>
      <c r="K1148" s="8" t="e">
        <f t="shared" si="68"/>
        <v>#DIV/0!</v>
      </c>
    </row>
    <row r="1149" spans="1:11" x14ac:dyDescent="0.25">
      <c r="A1149" t="str">
        <f t="shared" si="69"/>
        <v>11900</v>
      </c>
      <c r="I1149" s="8" t="e">
        <f t="shared" si="71"/>
        <v>#DIV/0!</v>
      </c>
      <c r="J1149" s="8" t="e">
        <f t="shared" si="70"/>
        <v>#DIV/0!</v>
      </c>
      <c r="K1149" s="8" t="e">
        <f t="shared" si="68"/>
        <v>#DIV/0!</v>
      </c>
    </row>
    <row r="1150" spans="1:11" x14ac:dyDescent="0.25">
      <c r="A1150" t="str">
        <f t="shared" si="69"/>
        <v>11900</v>
      </c>
      <c r="I1150" s="8" t="e">
        <f t="shared" si="71"/>
        <v>#DIV/0!</v>
      </c>
      <c r="J1150" s="8" t="e">
        <f t="shared" si="70"/>
        <v>#DIV/0!</v>
      </c>
      <c r="K1150" s="8" t="e">
        <f t="shared" si="68"/>
        <v>#DIV/0!</v>
      </c>
    </row>
    <row r="1151" spans="1:11" x14ac:dyDescent="0.25">
      <c r="A1151" t="str">
        <f t="shared" si="69"/>
        <v>11900</v>
      </c>
      <c r="I1151" s="8" t="e">
        <f t="shared" si="71"/>
        <v>#DIV/0!</v>
      </c>
      <c r="J1151" s="8" t="e">
        <f t="shared" si="70"/>
        <v>#DIV/0!</v>
      </c>
      <c r="K1151" s="8" t="e">
        <f t="shared" si="68"/>
        <v>#DIV/0!</v>
      </c>
    </row>
    <row r="1152" spans="1:11" x14ac:dyDescent="0.25">
      <c r="A1152" t="str">
        <f t="shared" si="69"/>
        <v>11900</v>
      </c>
      <c r="I1152" s="8" t="e">
        <f t="shared" si="71"/>
        <v>#DIV/0!</v>
      </c>
      <c r="J1152" s="8" t="e">
        <f t="shared" si="70"/>
        <v>#DIV/0!</v>
      </c>
      <c r="K1152" s="8" t="e">
        <f t="shared" ref="K1152:K1215" si="72">+G1152/G1091-1</f>
        <v>#DIV/0!</v>
      </c>
    </row>
    <row r="1153" spans="1:11" x14ac:dyDescent="0.25">
      <c r="A1153" t="str">
        <f t="shared" si="69"/>
        <v>11900</v>
      </c>
      <c r="I1153" s="8" t="e">
        <f t="shared" si="71"/>
        <v>#DIV/0!</v>
      </c>
      <c r="J1153" s="8" t="e">
        <f t="shared" si="70"/>
        <v>#DIV/0!</v>
      </c>
      <c r="K1153" s="8" t="e">
        <f t="shared" si="72"/>
        <v>#DIV/0!</v>
      </c>
    </row>
    <row r="1154" spans="1:11" x14ac:dyDescent="0.25">
      <c r="A1154" t="str">
        <f t="shared" si="69"/>
        <v>11900</v>
      </c>
      <c r="I1154" s="8" t="e">
        <f t="shared" si="71"/>
        <v>#DIV/0!</v>
      </c>
      <c r="J1154" s="8" t="e">
        <f t="shared" si="70"/>
        <v>#DIV/0!</v>
      </c>
      <c r="K1154" s="8" t="e">
        <f t="shared" si="72"/>
        <v>#DIV/0!</v>
      </c>
    </row>
    <row r="1155" spans="1:11" x14ac:dyDescent="0.25">
      <c r="A1155" t="str">
        <f t="shared" ref="A1155:A1218" si="73">+MONTH(B1155)&amp;YEAR(B1155)</f>
        <v>11900</v>
      </c>
      <c r="I1155" s="8" t="e">
        <f t="shared" si="71"/>
        <v>#DIV/0!</v>
      </c>
      <c r="J1155" s="8" t="e">
        <f t="shared" si="70"/>
        <v>#DIV/0!</v>
      </c>
      <c r="K1155" s="8" t="e">
        <f t="shared" si="72"/>
        <v>#DIV/0!</v>
      </c>
    </row>
    <row r="1156" spans="1:11" x14ac:dyDescent="0.25">
      <c r="A1156" t="str">
        <f t="shared" si="73"/>
        <v>11900</v>
      </c>
      <c r="I1156" s="8" t="e">
        <f t="shared" si="71"/>
        <v>#DIV/0!</v>
      </c>
      <c r="J1156" s="8" t="e">
        <f t="shared" ref="J1156:J1219" si="74">+LN(1+I1156)</f>
        <v>#DIV/0!</v>
      </c>
      <c r="K1156" s="8" t="e">
        <f t="shared" si="72"/>
        <v>#DIV/0!</v>
      </c>
    </row>
    <row r="1157" spans="1:11" x14ac:dyDescent="0.25">
      <c r="A1157" t="str">
        <f t="shared" si="73"/>
        <v>11900</v>
      </c>
      <c r="I1157" s="8" t="e">
        <f t="shared" si="71"/>
        <v>#DIV/0!</v>
      </c>
      <c r="J1157" s="8" t="e">
        <f t="shared" si="74"/>
        <v>#DIV/0!</v>
      </c>
      <c r="K1157" s="8" t="e">
        <f t="shared" si="72"/>
        <v>#DIV/0!</v>
      </c>
    </row>
    <row r="1158" spans="1:11" x14ac:dyDescent="0.25">
      <c r="A1158" t="str">
        <f t="shared" si="73"/>
        <v>11900</v>
      </c>
      <c r="I1158" s="8" t="e">
        <f t="shared" si="71"/>
        <v>#DIV/0!</v>
      </c>
      <c r="J1158" s="8" t="e">
        <f t="shared" si="74"/>
        <v>#DIV/0!</v>
      </c>
      <c r="K1158" s="8" t="e">
        <f t="shared" si="72"/>
        <v>#DIV/0!</v>
      </c>
    </row>
    <row r="1159" spans="1:11" x14ac:dyDescent="0.25">
      <c r="A1159" t="str">
        <f t="shared" si="73"/>
        <v>11900</v>
      </c>
      <c r="I1159" s="8" t="e">
        <f t="shared" si="71"/>
        <v>#DIV/0!</v>
      </c>
      <c r="J1159" s="8" t="e">
        <f t="shared" si="74"/>
        <v>#DIV/0!</v>
      </c>
      <c r="K1159" s="8" t="e">
        <f t="shared" si="72"/>
        <v>#DIV/0!</v>
      </c>
    </row>
    <row r="1160" spans="1:11" x14ac:dyDescent="0.25">
      <c r="A1160" t="str">
        <f t="shared" si="73"/>
        <v>11900</v>
      </c>
      <c r="I1160" s="8" t="e">
        <f t="shared" si="71"/>
        <v>#DIV/0!</v>
      </c>
      <c r="J1160" s="8" t="e">
        <f t="shared" si="74"/>
        <v>#DIV/0!</v>
      </c>
      <c r="K1160" s="8" t="e">
        <f t="shared" si="72"/>
        <v>#DIV/0!</v>
      </c>
    </row>
    <row r="1161" spans="1:11" x14ac:dyDescent="0.25">
      <c r="A1161" t="str">
        <f t="shared" si="73"/>
        <v>11900</v>
      </c>
      <c r="I1161" s="8" t="e">
        <f t="shared" si="71"/>
        <v>#DIV/0!</v>
      </c>
      <c r="J1161" s="8" t="e">
        <f t="shared" si="74"/>
        <v>#DIV/0!</v>
      </c>
      <c r="K1161" s="8" t="e">
        <f t="shared" si="72"/>
        <v>#DIV/0!</v>
      </c>
    </row>
    <row r="1162" spans="1:11" x14ac:dyDescent="0.25">
      <c r="A1162" t="str">
        <f t="shared" si="73"/>
        <v>11900</v>
      </c>
      <c r="I1162" s="8" t="e">
        <f t="shared" si="71"/>
        <v>#DIV/0!</v>
      </c>
      <c r="J1162" s="8" t="e">
        <f t="shared" si="74"/>
        <v>#DIV/0!</v>
      </c>
      <c r="K1162" s="8" t="e">
        <f t="shared" si="72"/>
        <v>#DIV/0!</v>
      </c>
    </row>
    <row r="1163" spans="1:11" x14ac:dyDescent="0.25">
      <c r="A1163" t="str">
        <f t="shared" si="73"/>
        <v>11900</v>
      </c>
      <c r="I1163" s="8" t="e">
        <f t="shared" si="71"/>
        <v>#DIV/0!</v>
      </c>
      <c r="J1163" s="8" t="e">
        <f t="shared" si="74"/>
        <v>#DIV/0!</v>
      </c>
      <c r="K1163" s="8" t="e">
        <f t="shared" si="72"/>
        <v>#DIV/0!</v>
      </c>
    </row>
    <row r="1164" spans="1:11" x14ac:dyDescent="0.25">
      <c r="A1164" t="str">
        <f t="shared" si="73"/>
        <v>11900</v>
      </c>
      <c r="I1164" s="8" t="e">
        <f t="shared" si="71"/>
        <v>#DIV/0!</v>
      </c>
      <c r="J1164" s="8" t="e">
        <f t="shared" si="74"/>
        <v>#DIV/0!</v>
      </c>
      <c r="K1164" s="8" t="e">
        <f t="shared" si="72"/>
        <v>#DIV/0!</v>
      </c>
    </row>
    <row r="1165" spans="1:11" x14ac:dyDescent="0.25">
      <c r="A1165" t="str">
        <f t="shared" si="73"/>
        <v>11900</v>
      </c>
      <c r="I1165" s="8" t="e">
        <f t="shared" si="71"/>
        <v>#DIV/0!</v>
      </c>
      <c r="J1165" s="8" t="e">
        <f t="shared" si="74"/>
        <v>#DIV/0!</v>
      </c>
      <c r="K1165" s="8" t="e">
        <f t="shared" si="72"/>
        <v>#DIV/0!</v>
      </c>
    </row>
    <row r="1166" spans="1:11" x14ac:dyDescent="0.25">
      <c r="A1166" t="str">
        <f t="shared" si="73"/>
        <v>11900</v>
      </c>
      <c r="I1166" s="8" t="e">
        <f t="shared" si="71"/>
        <v>#DIV/0!</v>
      </c>
      <c r="J1166" s="8" t="e">
        <f t="shared" si="74"/>
        <v>#DIV/0!</v>
      </c>
      <c r="K1166" s="8" t="e">
        <f t="shared" si="72"/>
        <v>#DIV/0!</v>
      </c>
    </row>
    <row r="1167" spans="1:11" x14ac:dyDescent="0.25">
      <c r="A1167" t="str">
        <f t="shared" si="73"/>
        <v>11900</v>
      </c>
      <c r="I1167" s="8" t="e">
        <f t="shared" si="71"/>
        <v>#DIV/0!</v>
      </c>
      <c r="J1167" s="8" t="e">
        <f t="shared" si="74"/>
        <v>#DIV/0!</v>
      </c>
      <c r="K1167" s="8" t="e">
        <f t="shared" si="72"/>
        <v>#DIV/0!</v>
      </c>
    </row>
    <row r="1168" spans="1:11" x14ac:dyDescent="0.25">
      <c r="A1168" t="str">
        <f t="shared" si="73"/>
        <v>11900</v>
      </c>
      <c r="I1168" s="8" t="e">
        <f t="shared" si="71"/>
        <v>#DIV/0!</v>
      </c>
      <c r="J1168" s="8" t="e">
        <f t="shared" si="74"/>
        <v>#DIV/0!</v>
      </c>
      <c r="K1168" s="8" t="e">
        <f t="shared" si="72"/>
        <v>#DIV/0!</v>
      </c>
    </row>
    <row r="1169" spans="1:11" x14ac:dyDescent="0.25">
      <c r="A1169" t="str">
        <f t="shared" si="73"/>
        <v>11900</v>
      </c>
      <c r="I1169" s="8" t="e">
        <f t="shared" si="71"/>
        <v>#DIV/0!</v>
      </c>
      <c r="J1169" s="8" t="e">
        <f t="shared" si="74"/>
        <v>#DIV/0!</v>
      </c>
      <c r="K1169" s="8" t="e">
        <f t="shared" si="72"/>
        <v>#DIV/0!</v>
      </c>
    </row>
    <row r="1170" spans="1:11" x14ac:dyDescent="0.25">
      <c r="A1170" t="str">
        <f t="shared" si="73"/>
        <v>11900</v>
      </c>
      <c r="I1170" s="8" t="e">
        <f t="shared" si="71"/>
        <v>#DIV/0!</v>
      </c>
      <c r="J1170" s="8" t="e">
        <f t="shared" si="74"/>
        <v>#DIV/0!</v>
      </c>
      <c r="K1170" s="8" t="e">
        <f t="shared" si="72"/>
        <v>#DIV/0!</v>
      </c>
    </row>
    <row r="1171" spans="1:11" x14ac:dyDescent="0.25">
      <c r="A1171" t="str">
        <f t="shared" si="73"/>
        <v>11900</v>
      </c>
      <c r="I1171" s="8" t="e">
        <f t="shared" si="71"/>
        <v>#DIV/0!</v>
      </c>
      <c r="J1171" s="8" t="e">
        <f t="shared" si="74"/>
        <v>#DIV/0!</v>
      </c>
      <c r="K1171" s="8" t="e">
        <f t="shared" si="72"/>
        <v>#DIV/0!</v>
      </c>
    </row>
    <row r="1172" spans="1:11" x14ac:dyDescent="0.25">
      <c r="A1172" t="str">
        <f t="shared" si="73"/>
        <v>11900</v>
      </c>
      <c r="I1172" s="8" t="e">
        <f t="shared" si="71"/>
        <v>#DIV/0!</v>
      </c>
      <c r="J1172" s="8" t="e">
        <f t="shared" si="74"/>
        <v>#DIV/0!</v>
      </c>
      <c r="K1172" s="8" t="e">
        <f t="shared" si="72"/>
        <v>#DIV/0!</v>
      </c>
    </row>
    <row r="1173" spans="1:11" x14ac:dyDescent="0.25">
      <c r="A1173" t="str">
        <f t="shared" si="73"/>
        <v>11900</v>
      </c>
      <c r="I1173" s="8" t="e">
        <f t="shared" si="71"/>
        <v>#DIV/0!</v>
      </c>
      <c r="J1173" s="8" t="e">
        <f t="shared" si="74"/>
        <v>#DIV/0!</v>
      </c>
      <c r="K1173" s="8" t="e">
        <f t="shared" si="72"/>
        <v>#DIV/0!</v>
      </c>
    </row>
    <row r="1174" spans="1:11" x14ac:dyDescent="0.25">
      <c r="A1174" t="str">
        <f t="shared" si="73"/>
        <v>11900</v>
      </c>
      <c r="I1174" s="8" t="e">
        <f t="shared" si="71"/>
        <v>#DIV/0!</v>
      </c>
      <c r="J1174" s="8" t="e">
        <f t="shared" si="74"/>
        <v>#DIV/0!</v>
      </c>
      <c r="K1174" s="8" t="e">
        <f t="shared" si="72"/>
        <v>#DIV/0!</v>
      </c>
    </row>
    <row r="1175" spans="1:11" x14ac:dyDescent="0.25">
      <c r="A1175" t="str">
        <f t="shared" si="73"/>
        <v>11900</v>
      </c>
      <c r="I1175" s="8" t="e">
        <f t="shared" si="71"/>
        <v>#DIV/0!</v>
      </c>
      <c r="J1175" s="8" t="e">
        <f t="shared" si="74"/>
        <v>#DIV/0!</v>
      </c>
      <c r="K1175" s="8" t="e">
        <f t="shared" si="72"/>
        <v>#DIV/0!</v>
      </c>
    </row>
    <row r="1176" spans="1:11" x14ac:dyDescent="0.25">
      <c r="A1176" t="str">
        <f t="shared" si="73"/>
        <v>11900</v>
      </c>
      <c r="I1176" s="8" t="e">
        <f t="shared" si="71"/>
        <v>#DIV/0!</v>
      </c>
      <c r="J1176" s="8" t="e">
        <f t="shared" si="74"/>
        <v>#DIV/0!</v>
      </c>
      <c r="K1176" s="8" t="e">
        <f t="shared" si="72"/>
        <v>#DIV/0!</v>
      </c>
    </row>
    <row r="1177" spans="1:11" x14ac:dyDescent="0.25">
      <c r="A1177" t="str">
        <f t="shared" si="73"/>
        <v>11900</v>
      </c>
      <c r="I1177" s="8" t="e">
        <f t="shared" si="71"/>
        <v>#DIV/0!</v>
      </c>
      <c r="J1177" s="8" t="e">
        <f t="shared" si="74"/>
        <v>#DIV/0!</v>
      </c>
      <c r="K1177" s="8" t="e">
        <f t="shared" si="72"/>
        <v>#DIV/0!</v>
      </c>
    </row>
    <row r="1178" spans="1:11" x14ac:dyDescent="0.25">
      <c r="A1178" t="str">
        <f t="shared" si="73"/>
        <v>11900</v>
      </c>
      <c r="I1178" s="8" t="e">
        <f t="shared" si="71"/>
        <v>#DIV/0!</v>
      </c>
      <c r="J1178" s="8" t="e">
        <f t="shared" si="74"/>
        <v>#DIV/0!</v>
      </c>
      <c r="K1178" s="8" t="e">
        <f t="shared" si="72"/>
        <v>#DIV/0!</v>
      </c>
    </row>
    <row r="1179" spans="1:11" x14ac:dyDescent="0.25">
      <c r="A1179" t="str">
        <f t="shared" si="73"/>
        <v>11900</v>
      </c>
      <c r="I1179" s="8" t="e">
        <f t="shared" si="71"/>
        <v>#DIV/0!</v>
      </c>
      <c r="J1179" s="8" t="e">
        <f t="shared" si="74"/>
        <v>#DIV/0!</v>
      </c>
      <c r="K1179" s="8" t="e">
        <f t="shared" si="72"/>
        <v>#DIV/0!</v>
      </c>
    </row>
    <row r="1180" spans="1:11" x14ac:dyDescent="0.25">
      <c r="A1180" t="str">
        <f t="shared" si="73"/>
        <v>11900</v>
      </c>
      <c r="I1180" s="8" t="e">
        <f t="shared" si="71"/>
        <v>#DIV/0!</v>
      </c>
      <c r="J1180" s="8" t="e">
        <f t="shared" si="74"/>
        <v>#DIV/0!</v>
      </c>
      <c r="K1180" s="8" t="e">
        <f t="shared" si="72"/>
        <v>#DIV/0!</v>
      </c>
    </row>
    <row r="1181" spans="1:11" x14ac:dyDescent="0.25">
      <c r="A1181" t="str">
        <f t="shared" si="73"/>
        <v>11900</v>
      </c>
      <c r="I1181" s="8" t="e">
        <f t="shared" si="71"/>
        <v>#DIV/0!</v>
      </c>
      <c r="J1181" s="8" t="e">
        <f t="shared" si="74"/>
        <v>#DIV/0!</v>
      </c>
      <c r="K1181" s="8" t="e">
        <f t="shared" si="72"/>
        <v>#DIV/0!</v>
      </c>
    </row>
    <row r="1182" spans="1:11" x14ac:dyDescent="0.25">
      <c r="A1182" t="str">
        <f t="shared" si="73"/>
        <v>11900</v>
      </c>
      <c r="I1182" s="8" t="e">
        <f t="shared" si="71"/>
        <v>#DIV/0!</v>
      </c>
      <c r="J1182" s="8" t="e">
        <f t="shared" si="74"/>
        <v>#DIV/0!</v>
      </c>
      <c r="K1182" s="8" t="e">
        <f t="shared" si="72"/>
        <v>#DIV/0!</v>
      </c>
    </row>
    <row r="1183" spans="1:11" x14ac:dyDescent="0.25">
      <c r="A1183" t="str">
        <f t="shared" si="73"/>
        <v>11900</v>
      </c>
      <c r="I1183" s="8" t="e">
        <f t="shared" si="71"/>
        <v>#DIV/0!</v>
      </c>
      <c r="J1183" s="8" t="e">
        <f t="shared" si="74"/>
        <v>#DIV/0!</v>
      </c>
      <c r="K1183" s="8" t="e">
        <f t="shared" si="72"/>
        <v>#DIV/0!</v>
      </c>
    </row>
    <row r="1184" spans="1:11" x14ac:dyDescent="0.25">
      <c r="A1184" t="str">
        <f t="shared" si="73"/>
        <v>11900</v>
      </c>
      <c r="I1184" s="8" t="e">
        <f t="shared" si="71"/>
        <v>#DIV/0!</v>
      </c>
      <c r="J1184" s="8" t="e">
        <f t="shared" si="74"/>
        <v>#DIV/0!</v>
      </c>
      <c r="K1184" s="8" t="e">
        <f t="shared" si="72"/>
        <v>#DIV/0!</v>
      </c>
    </row>
    <row r="1185" spans="1:11" x14ac:dyDescent="0.25">
      <c r="A1185" t="str">
        <f t="shared" si="73"/>
        <v>11900</v>
      </c>
      <c r="I1185" s="8" t="e">
        <f t="shared" si="71"/>
        <v>#DIV/0!</v>
      </c>
      <c r="J1185" s="8" t="e">
        <f t="shared" si="74"/>
        <v>#DIV/0!</v>
      </c>
      <c r="K1185" s="8" t="e">
        <f t="shared" si="72"/>
        <v>#DIV/0!</v>
      </c>
    </row>
    <row r="1186" spans="1:11" x14ac:dyDescent="0.25">
      <c r="A1186" t="str">
        <f t="shared" si="73"/>
        <v>11900</v>
      </c>
      <c r="I1186" s="8" t="e">
        <f t="shared" si="71"/>
        <v>#DIV/0!</v>
      </c>
      <c r="J1186" s="8" t="e">
        <f t="shared" si="74"/>
        <v>#DIV/0!</v>
      </c>
      <c r="K1186" s="8" t="e">
        <f t="shared" si="72"/>
        <v>#DIV/0!</v>
      </c>
    </row>
    <row r="1187" spans="1:11" x14ac:dyDescent="0.25">
      <c r="A1187" t="str">
        <f t="shared" si="73"/>
        <v>11900</v>
      </c>
      <c r="I1187" s="8" t="e">
        <f t="shared" si="71"/>
        <v>#DIV/0!</v>
      </c>
      <c r="J1187" s="8" t="e">
        <f t="shared" si="74"/>
        <v>#DIV/0!</v>
      </c>
      <c r="K1187" s="8" t="e">
        <f t="shared" si="72"/>
        <v>#DIV/0!</v>
      </c>
    </row>
    <row r="1188" spans="1:11" x14ac:dyDescent="0.25">
      <c r="A1188" t="str">
        <f t="shared" si="73"/>
        <v>11900</v>
      </c>
      <c r="I1188" s="8" t="e">
        <f t="shared" si="71"/>
        <v>#DIV/0!</v>
      </c>
      <c r="J1188" s="8" t="e">
        <f t="shared" si="74"/>
        <v>#DIV/0!</v>
      </c>
      <c r="K1188" s="8" t="e">
        <f t="shared" si="72"/>
        <v>#DIV/0!</v>
      </c>
    </row>
    <row r="1189" spans="1:11" x14ac:dyDescent="0.25">
      <c r="A1189" t="str">
        <f t="shared" si="73"/>
        <v>11900</v>
      </c>
      <c r="I1189" s="8" t="e">
        <f t="shared" si="71"/>
        <v>#DIV/0!</v>
      </c>
      <c r="J1189" s="8" t="e">
        <f t="shared" si="74"/>
        <v>#DIV/0!</v>
      </c>
      <c r="K1189" s="8" t="e">
        <f t="shared" si="72"/>
        <v>#DIV/0!</v>
      </c>
    </row>
    <row r="1190" spans="1:11" x14ac:dyDescent="0.25">
      <c r="A1190" t="str">
        <f t="shared" si="73"/>
        <v>11900</v>
      </c>
      <c r="I1190" s="8" t="e">
        <f t="shared" si="71"/>
        <v>#DIV/0!</v>
      </c>
      <c r="J1190" s="8" t="e">
        <f t="shared" si="74"/>
        <v>#DIV/0!</v>
      </c>
      <c r="K1190" s="8" t="e">
        <f t="shared" si="72"/>
        <v>#DIV/0!</v>
      </c>
    </row>
    <row r="1191" spans="1:11" x14ac:dyDescent="0.25">
      <c r="A1191" t="str">
        <f t="shared" si="73"/>
        <v>11900</v>
      </c>
      <c r="I1191" s="8" t="e">
        <f t="shared" si="71"/>
        <v>#DIV/0!</v>
      </c>
      <c r="J1191" s="8" t="e">
        <f t="shared" si="74"/>
        <v>#DIV/0!</v>
      </c>
      <c r="K1191" s="8" t="e">
        <f t="shared" si="72"/>
        <v>#DIV/0!</v>
      </c>
    </row>
    <row r="1192" spans="1:11" x14ac:dyDescent="0.25">
      <c r="A1192" t="str">
        <f t="shared" si="73"/>
        <v>11900</v>
      </c>
      <c r="I1192" s="8" t="e">
        <f t="shared" si="71"/>
        <v>#DIV/0!</v>
      </c>
      <c r="J1192" s="8" t="e">
        <f t="shared" si="74"/>
        <v>#DIV/0!</v>
      </c>
      <c r="K1192" s="8" t="e">
        <f t="shared" si="72"/>
        <v>#DIV/0!</v>
      </c>
    </row>
    <row r="1193" spans="1:11" x14ac:dyDescent="0.25">
      <c r="A1193" t="str">
        <f t="shared" si="73"/>
        <v>11900</v>
      </c>
      <c r="I1193" s="8" t="e">
        <f t="shared" si="71"/>
        <v>#DIV/0!</v>
      </c>
      <c r="J1193" s="8" t="e">
        <f t="shared" si="74"/>
        <v>#DIV/0!</v>
      </c>
      <c r="K1193" s="8" t="e">
        <f t="shared" si="72"/>
        <v>#DIV/0!</v>
      </c>
    </row>
    <row r="1194" spans="1:11" x14ac:dyDescent="0.25">
      <c r="A1194" t="str">
        <f t="shared" si="73"/>
        <v>11900</v>
      </c>
      <c r="I1194" s="8" t="e">
        <f t="shared" si="71"/>
        <v>#DIV/0!</v>
      </c>
      <c r="J1194" s="8" t="e">
        <f t="shared" si="74"/>
        <v>#DIV/0!</v>
      </c>
      <c r="K1194" s="8" t="e">
        <f t="shared" si="72"/>
        <v>#DIV/0!</v>
      </c>
    </row>
    <row r="1195" spans="1:11" x14ac:dyDescent="0.25">
      <c r="A1195" t="str">
        <f t="shared" si="73"/>
        <v>11900</v>
      </c>
      <c r="I1195" s="8" t="e">
        <f t="shared" si="71"/>
        <v>#DIV/0!</v>
      </c>
      <c r="J1195" s="8" t="e">
        <f t="shared" si="74"/>
        <v>#DIV/0!</v>
      </c>
      <c r="K1195" s="8" t="e">
        <f t="shared" si="72"/>
        <v>#DIV/0!</v>
      </c>
    </row>
    <row r="1196" spans="1:11" x14ac:dyDescent="0.25">
      <c r="A1196" t="str">
        <f t="shared" si="73"/>
        <v>11900</v>
      </c>
      <c r="I1196" s="8" t="e">
        <f t="shared" si="71"/>
        <v>#DIV/0!</v>
      </c>
      <c r="J1196" s="8" t="e">
        <f t="shared" si="74"/>
        <v>#DIV/0!</v>
      </c>
      <c r="K1196" s="8" t="e">
        <f t="shared" si="72"/>
        <v>#DIV/0!</v>
      </c>
    </row>
    <row r="1197" spans="1:11" x14ac:dyDescent="0.25">
      <c r="A1197" t="str">
        <f t="shared" si="73"/>
        <v>11900</v>
      </c>
      <c r="I1197" s="8" t="e">
        <f t="shared" si="71"/>
        <v>#DIV/0!</v>
      </c>
      <c r="J1197" s="8" t="e">
        <f t="shared" si="74"/>
        <v>#DIV/0!</v>
      </c>
      <c r="K1197" s="8" t="e">
        <f t="shared" si="72"/>
        <v>#DIV/0!</v>
      </c>
    </row>
    <row r="1198" spans="1:11" x14ac:dyDescent="0.25">
      <c r="A1198" t="str">
        <f t="shared" si="73"/>
        <v>11900</v>
      </c>
      <c r="I1198" s="8" t="e">
        <f t="shared" si="71"/>
        <v>#DIV/0!</v>
      </c>
      <c r="J1198" s="8" t="e">
        <f t="shared" si="74"/>
        <v>#DIV/0!</v>
      </c>
      <c r="K1198" s="8" t="e">
        <f t="shared" si="72"/>
        <v>#DIV/0!</v>
      </c>
    </row>
    <row r="1199" spans="1:11" x14ac:dyDescent="0.25">
      <c r="A1199" t="str">
        <f t="shared" si="73"/>
        <v>11900</v>
      </c>
      <c r="I1199" s="8" t="e">
        <f t="shared" si="71"/>
        <v>#DIV/0!</v>
      </c>
      <c r="J1199" s="8" t="e">
        <f t="shared" si="74"/>
        <v>#DIV/0!</v>
      </c>
      <c r="K1199" s="8" t="e">
        <f t="shared" si="72"/>
        <v>#DIV/0!</v>
      </c>
    </row>
    <row r="1200" spans="1:11" x14ac:dyDescent="0.25">
      <c r="A1200" t="str">
        <f t="shared" si="73"/>
        <v>11900</v>
      </c>
      <c r="I1200" s="8" t="e">
        <f t="shared" si="71"/>
        <v>#DIV/0!</v>
      </c>
      <c r="J1200" s="8" t="e">
        <f t="shared" si="74"/>
        <v>#DIV/0!</v>
      </c>
      <c r="K1200" s="8" t="e">
        <f t="shared" si="72"/>
        <v>#DIV/0!</v>
      </c>
    </row>
    <row r="1201" spans="1:11" x14ac:dyDescent="0.25">
      <c r="A1201" t="str">
        <f t="shared" si="73"/>
        <v>11900</v>
      </c>
      <c r="I1201" s="8" t="e">
        <f t="shared" si="71"/>
        <v>#DIV/0!</v>
      </c>
      <c r="J1201" s="8" t="e">
        <f t="shared" si="74"/>
        <v>#DIV/0!</v>
      </c>
      <c r="K1201" s="8" t="e">
        <f t="shared" si="72"/>
        <v>#DIV/0!</v>
      </c>
    </row>
    <row r="1202" spans="1:11" x14ac:dyDescent="0.25">
      <c r="A1202" t="str">
        <f t="shared" si="73"/>
        <v>11900</v>
      </c>
      <c r="I1202" s="8" t="e">
        <f t="shared" si="71"/>
        <v>#DIV/0!</v>
      </c>
      <c r="J1202" s="8" t="e">
        <f t="shared" si="74"/>
        <v>#DIV/0!</v>
      </c>
      <c r="K1202" s="8" t="e">
        <f t="shared" si="72"/>
        <v>#DIV/0!</v>
      </c>
    </row>
    <row r="1203" spans="1:11" x14ac:dyDescent="0.25">
      <c r="A1203" t="str">
        <f t="shared" si="73"/>
        <v>11900</v>
      </c>
      <c r="I1203" s="8" t="e">
        <f t="shared" si="71"/>
        <v>#DIV/0!</v>
      </c>
      <c r="J1203" s="8" t="e">
        <f t="shared" si="74"/>
        <v>#DIV/0!</v>
      </c>
      <c r="K1203" s="8" t="e">
        <f t="shared" si="72"/>
        <v>#DIV/0!</v>
      </c>
    </row>
    <row r="1204" spans="1:11" x14ac:dyDescent="0.25">
      <c r="A1204" t="str">
        <f t="shared" si="73"/>
        <v>11900</v>
      </c>
      <c r="I1204" s="8" t="e">
        <f t="shared" si="71"/>
        <v>#DIV/0!</v>
      </c>
      <c r="J1204" s="8" t="e">
        <f t="shared" si="74"/>
        <v>#DIV/0!</v>
      </c>
      <c r="K1204" s="8" t="e">
        <f t="shared" si="72"/>
        <v>#DIV/0!</v>
      </c>
    </row>
    <row r="1205" spans="1:11" x14ac:dyDescent="0.25">
      <c r="A1205" t="str">
        <f t="shared" si="73"/>
        <v>11900</v>
      </c>
      <c r="I1205" s="8" t="e">
        <f t="shared" si="71"/>
        <v>#DIV/0!</v>
      </c>
      <c r="J1205" s="8" t="e">
        <f t="shared" si="74"/>
        <v>#DIV/0!</v>
      </c>
      <c r="K1205" s="8" t="e">
        <f t="shared" si="72"/>
        <v>#DIV/0!</v>
      </c>
    </row>
    <row r="1206" spans="1:11" x14ac:dyDescent="0.25">
      <c r="A1206" t="str">
        <f t="shared" si="73"/>
        <v>11900</v>
      </c>
      <c r="I1206" s="8" t="e">
        <f t="shared" si="71"/>
        <v>#DIV/0!</v>
      </c>
      <c r="J1206" s="8" t="e">
        <f t="shared" si="74"/>
        <v>#DIV/0!</v>
      </c>
      <c r="K1206" s="8" t="e">
        <f t="shared" si="72"/>
        <v>#DIV/0!</v>
      </c>
    </row>
    <row r="1207" spans="1:11" x14ac:dyDescent="0.25">
      <c r="A1207" t="str">
        <f t="shared" si="73"/>
        <v>11900</v>
      </c>
      <c r="I1207" s="8" t="e">
        <f t="shared" si="71"/>
        <v>#DIV/0!</v>
      </c>
      <c r="J1207" s="8" t="e">
        <f t="shared" si="74"/>
        <v>#DIV/0!</v>
      </c>
      <c r="K1207" s="8" t="e">
        <f t="shared" si="72"/>
        <v>#DIV/0!</v>
      </c>
    </row>
    <row r="1208" spans="1:11" x14ac:dyDescent="0.25">
      <c r="A1208" t="str">
        <f t="shared" si="73"/>
        <v>11900</v>
      </c>
      <c r="I1208" s="8" t="e">
        <f t="shared" ref="I1208:I1238" si="75">+G1208/G1207-1</f>
        <v>#DIV/0!</v>
      </c>
      <c r="J1208" s="8" t="e">
        <f t="shared" si="74"/>
        <v>#DIV/0!</v>
      </c>
      <c r="K1208" s="8" t="e">
        <f t="shared" si="72"/>
        <v>#DIV/0!</v>
      </c>
    </row>
    <row r="1209" spans="1:11" x14ac:dyDescent="0.25">
      <c r="A1209" t="str">
        <f t="shared" si="73"/>
        <v>11900</v>
      </c>
      <c r="I1209" s="8" t="e">
        <f t="shared" si="75"/>
        <v>#DIV/0!</v>
      </c>
      <c r="J1209" s="8" t="e">
        <f t="shared" si="74"/>
        <v>#DIV/0!</v>
      </c>
      <c r="K1209" s="8" t="e">
        <f t="shared" si="72"/>
        <v>#DIV/0!</v>
      </c>
    </row>
    <row r="1210" spans="1:11" x14ac:dyDescent="0.25">
      <c r="A1210" t="str">
        <f t="shared" si="73"/>
        <v>11900</v>
      </c>
      <c r="I1210" s="8" t="e">
        <f t="shared" si="75"/>
        <v>#DIV/0!</v>
      </c>
      <c r="J1210" s="8" t="e">
        <f t="shared" si="74"/>
        <v>#DIV/0!</v>
      </c>
      <c r="K1210" s="8" t="e">
        <f t="shared" si="72"/>
        <v>#DIV/0!</v>
      </c>
    </row>
    <row r="1211" spans="1:11" x14ac:dyDescent="0.25">
      <c r="A1211" t="str">
        <f t="shared" si="73"/>
        <v>11900</v>
      </c>
      <c r="I1211" s="8" t="e">
        <f t="shared" si="75"/>
        <v>#DIV/0!</v>
      </c>
      <c r="J1211" s="8" t="e">
        <f t="shared" si="74"/>
        <v>#DIV/0!</v>
      </c>
      <c r="K1211" s="8" t="e">
        <f t="shared" si="72"/>
        <v>#DIV/0!</v>
      </c>
    </row>
    <row r="1212" spans="1:11" x14ac:dyDescent="0.25">
      <c r="A1212" t="str">
        <f t="shared" si="73"/>
        <v>11900</v>
      </c>
      <c r="I1212" s="8" t="e">
        <f t="shared" si="75"/>
        <v>#DIV/0!</v>
      </c>
      <c r="J1212" s="8" t="e">
        <f t="shared" si="74"/>
        <v>#DIV/0!</v>
      </c>
      <c r="K1212" s="8" t="e">
        <f t="shared" si="72"/>
        <v>#DIV/0!</v>
      </c>
    </row>
    <row r="1213" spans="1:11" x14ac:dyDescent="0.25">
      <c r="A1213" t="str">
        <f t="shared" si="73"/>
        <v>11900</v>
      </c>
      <c r="I1213" s="8" t="e">
        <f t="shared" si="75"/>
        <v>#DIV/0!</v>
      </c>
      <c r="J1213" s="8" t="e">
        <f t="shared" si="74"/>
        <v>#DIV/0!</v>
      </c>
      <c r="K1213" s="8" t="e">
        <f t="shared" si="72"/>
        <v>#DIV/0!</v>
      </c>
    </row>
    <row r="1214" spans="1:11" x14ac:dyDescent="0.25">
      <c r="A1214" t="str">
        <f t="shared" si="73"/>
        <v>11900</v>
      </c>
      <c r="I1214" s="8" t="e">
        <f t="shared" si="75"/>
        <v>#DIV/0!</v>
      </c>
      <c r="J1214" s="8" t="e">
        <f t="shared" si="74"/>
        <v>#DIV/0!</v>
      </c>
      <c r="K1214" s="8" t="e">
        <f t="shared" si="72"/>
        <v>#DIV/0!</v>
      </c>
    </row>
    <row r="1215" spans="1:11" x14ac:dyDescent="0.25">
      <c r="A1215" t="str">
        <f t="shared" si="73"/>
        <v>11900</v>
      </c>
      <c r="I1215" s="8" t="e">
        <f t="shared" si="75"/>
        <v>#DIV/0!</v>
      </c>
      <c r="J1215" s="8" t="e">
        <f t="shared" si="74"/>
        <v>#DIV/0!</v>
      </c>
      <c r="K1215" s="8" t="e">
        <f t="shared" si="72"/>
        <v>#DIV/0!</v>
      </c>
    </row>
    <row r="1216" spans="1:11" x14ac:dyDescent="0.25">
      <c r="A1216" t="str">
        <f t="shared" si="73"/>
        <v>11900</v>
      </c>
      <c r="I1216" s="8" t="e">
        <f t="shared" si="75"/>
        <v>#DIV/0!</v>
      </c>
      <c r="J1216" s="8" t="e">
        <f t="shared" si="74"/>
        <v>#DIV/0!</v>
      </c>
      <c r="K1216" s="8" t="e">
        <f t="shared" ref="K1216:K1238" si="76">+G1216/G1155-1</f>
        <v>#DIV/0!</v>
      </c>
    </row>
    <row r="1217" spans="1:11" x14ac:dyDescent="0.25">
      <c r="A1217" t="str">
        <f t="shared" si="73"/>
        <v>11900</v>
      </c>
      <c r="I1217" s="8" t="e">
        <f t="shared" si="75"/>
        <v>#DIV/0!</v>
      </c>
      <c r="J1217" s="8" t="e">
        <f t="shared" si="74"/>
        <v>#DIV/0!</v>
      </c>
      <c r="K1217" s="8" t="e">
        <f t="shared" si="76"/>
        <v>#DIV/0!</v>
      </c>
    </row>
    <row r="1218" spans="1:11" x14ac:dyDescent="0.25">
      <c r="A1218" t="str">
        <f t="shared" si="73"/>
        <v>11900</v>
      </c>
      <c r="I1218" s="8" t="e">
        <f t="shared" si="75"/>
        <v>#DIV/0!</v>
      </c>
      <c r="J1218" s="8" t="e">
        <f t="shared" si="74"/>
        <v>#DIV/0!</v>
      </c>
      <c r="K1218" s="8" t="e">
        <f t="shared" si="76"/>
        <v>#DIV/0!</v>
      </c>
    </row>
    <row r="1219" spans="1:11" x14ac:dyDescent="0.25">
      <c r="A1219" t="str">
        <f t="shared" ref="A1219:A1238" si="77">+MONTH(B1219)&amp;YEAR(B1219)</f>
        <v>11900</v>
      </c>
      <c r="I1219" s="8" t="e">
        <f t="shared" si="75"/>
        <v>#DIV/0!</v>
      </c>
      <c r="J1219" s="8" t="e">
        <f t="shared" si="74"/>
        <v>#DIV/0!</v>
      </c>
      <c r="K1219" s="8" t="e">
        <f t="shared" si="76"/>
        <v>#DIV/0!</v>
      </c>
    </row>
    <row r="1220" spans="1:11" x14ac:dyDescent="0.25">
      <c r="A1220" t="str">
        <f t="shared" si="77"/>
        <v>11900</v>
      </c>
      <c r="I1220" s="8" t="e">
        <f t="shared" si="75"/>
        <v>#DIV/0!</v>
      </c>
      <c r="J1220" s="8" t="e">
        <f t="shared" ref="J1220:J1238" si="78">+LN(1+I1220)</f>
        <v>#DIV/0!</v>
      </c>
      <c r="K1220" s="8" t="e">
        <f t="shared" si="76"/>
        <v>#DIV/0!</v>
      </c>
    </row>
    <row r="1221" spans="1:11" x14ac:dyDescent="0.25">
      <c r="A1221" t="str">
        <f t="shared" si="77"/>
        <v>11900</v>
      </c>
      <c r="I1221" s="8" t="e">
        <f t="shared" si="75"/>
        <v>#DIV/0!</v>
      </c>
      <c r="J1221" s="8" t="e">
        <f t="shared" si="78"/>
        <v>#DIV/0!</v>
      </c>
      <c r="K1221" s="8" t="e">
        <f t="shared" si="76"/>
        <v>#DIV/0!</v>
      </c>
    </row>
    <row r="1222" spans="1:11" x14ac:dyDescent="0.25">
      <c r="A1222" t="str">
        <f t="shared" si="77"/>
        <v>11900</v>
      </c>
      <c r="I1222" s="8" t="e">
        <f t="shared" si="75"/>
        <v>#DIV/0!</v>
      </c>
      <c r="J1222" s="8" t="e">
        <f t="shared" si="78"/>
        <v>#DIV/0!</v>
      </c>
      <c r="K1222" s="8" t="e">
        <f t="shared" si="76"/>
        <v>#DIV/0!</v>
      </c>
    </row>
    <row r="1223" spans="1:11" x14ac:dyDescent="0.25">
      <c r="A1223" t="str">
        <f t="shared" si="77"/>
        <v>11900</v>
      </c>
      <c r="I1223" s="8" t="e">
        <f t="shared" si="75"/>
        <v>#DIV/0!</v>
      </c>
      <c r="J1223" s="8" t="e">
        <f t="shared" si="78"/>
        <v>#DIV/0!</v>
      </c>
      <c r="K1223" s="8" t="e">
        <f t="shared" si="76"/>
        <v>#DIV/0!</v>
      </c>
    </row>
    <row r="1224" spans="1:11" x14ac:dyDescent="0.25">
      <c r="A1224" t="str">
        <f t="shared" si="77"/>
        <v>11900</v>
      </c>
      <c r="I1224" s="8" t="e">
        <f t="shared" si="75"/>
        <v>#DIV/0!</v>
      </c>
      <c r="J1224" s="8" t="e">
        <f t="shared" si="78"/>
        <v>#DIV/0!</v>
      </c>
      <c r="K1224" s="8" t="e">
        <f t="shared" si="76"/>
        <v>#DIV/0!</v>
      </c>
    </row>
    <row r="1225" spans="1:11" x14ac:dyDescent="0.25">
      <c r="A1225" t="str">
        <f t="shared" si="77"/>
        <v>11900</v>
      </c>
      <c r="I1225" s="8" t="e">
        <f t="shared" si="75"/>
        <v>#DIV/0!</v>
      </c>
      <c r="J1225" s="8" t="e">
        <f t="shared" si="78"/>
        <v>#DIV/0!</v>
      </c>
      <c r="K1225" s="8" t="e">
        <f t="shared" si="76"/>
        <v>#DIV/0!</v>
      </c>
    </row>
    <row r="1226" spans="1:11" x14ac:dyDescent="0.25">
      <c r="A1226" t="str">
        <f t="shared" si="77"/>
        <v>11900</v>
      </c>
      <c r="I1226" s="8" t="e">
        <f t="shared" si="75"/>
        <v>#DIV/0!</v>
      </c>
      <c r="J1226" s="8" t="e">
        <f t="shared" si="78"/>
        <v>#DIV/0!</v>
      </c>
      <c r="K1226" s="8" t="e">
        <f t="shared" si="76"/>
        <v>#DIV/0!</v>
      </c>
    </row>
    <row r="1227" spans="1:11" x14ac:dyDescent="0.25">
      <c r="A1227" t="str">
        <f t="shared" si="77"/>
        <v>11900</v>
      </c>
      <c r="I1227" s="8" t="e">
        <f t="shared" si="75"/>
        <v>#DIV/0!</v>
      </c>
      <c r="J1227" s="8" t="e">
        <f t="shared" si="78"/>
        <v>#DIV/0!</v>
      </c>
      <c r="K1227" s="8" t="e">
        <f t="shared" si="76"/>
        <v>#DIV/0!</v>
      </c>
    </row>
    <row r="1228" spans="1:11" x14ac:dyDescent="0.25">
      <c r="A1228" t="str">
        <f t="shared" si="77"/>
        <v>11900</v>
      </c>
      <c r="I1228" s="8" t="e">
        <f t="shared" si="75"/>
        <v>#DIV/0!</v>
      </c>
      <c r="J1228" s="8" t="e">
        <f t="shared" si="78"/>
        <v>#DIV/0!</v>
      </c>
      <c r="K1228" s="8" t="e">
        <f t="shared" si="76"/>
        <v>#DIV/0!</v>
      </c>
    </row>
    <row r="1229" spans="1:11" x14ac:dyDescent="0.25">
      <c r="A1229" t="str">
        <f t="shared" si="77"/>
        <v>11900</v>
      </c>
      <c r="I1229" s="8" t="e">
        <f t="shared" si="75"/>
        <v>#DIV/0!</v>
      </c>
      <c r="J1229" s="8" t="e">
        <f t="shared" si="78"/>
        <v>#DIV/0!</v>
      </c>
      <c r="K1229" s="8" t="e">
        <f t="shared" si="76"/>
        <v>#DIV/0!</v>
      </c>
    </row>
    <row r="1230" spans="1:11" x14ac:dyDescent="0.25">
      <c r="A1230" t="str">
        <f t="shared" si="77"/>
        <v>11900</v>
      </c>
      <c r="I1230" s="8" t="e">
        <f t="shared" si="75"/>
        <v>#DIV/0!</v>
      </c>
      <c r="J1230" s="8" t="e">
        <f t="shared" si="78"/>
        <v>#DIV/0!</v>
      </c>
      <c r="K1230" s="8" t="e">
        <f t="shared" si="76"/>
        <v>#DIV/0!</v>
      </c>
    </row>
    <row r="1231" spans="1:11" x14ac:dyDescent="0.25">
      <c r="A1231" t="str">
        <f t="shared" si="77"/>
        <v>11900</v>
      </c>
      <c r="I1231" s="8" t="e">
        <f t="shared" si="75"/>
        <v>#DIV/0!</v>
      </c>
      <c r="J1231" s="8" t="e">
        <f t="shared" si="78"/>
        <v>#DIV/0!</v>
      </c>
      <c r="K1231" s="8" t="e">
        <f t="shared" si="76"/>
        <v>#DIV/0!</v>
      </c>
    </row>
    <row r="1232" spans="1:11" x14ac:dyDescent="0.25">
      <c r="A1232" t="str">
        <f t="shared" si="77"/>
        <v>11900</v>
      </c>
      <c r="I1232" s="8" t="e">
        <f t="shared" si="75"/>
        <v>#DIV/0!</v>
      </c>
      <c r="J1232" s="8" t="e">
        <f t="shared" si="78"/>
        <v>#DIV/0!</v>
      </c>
      <c r="K1232" s="8" t="e">
        <f t="shared" si="76"/>
        <v>#DIV/0!</v>
      </c>
    </row>
    <row r="1233" spans="1:11" x14ac:dyDescent="0.25">
      <c r="A1233" t="str">
        <f t="shared" si="77"/>
        <v>11900</v>
      </c>
      <c r="I1233" s="8" t="e">
        <f t="shared" si="75"/>
        <v>#DIV/0!</v>
      </c>
      <c r="J1233" s="8" t="e">
        <f t="shared" si="78"/>
        <v>#DIV/0!</v>
      </c>
      <c r="K1233" s="8" t="e">
        <f t="shared" si="76"/>
        <v>#DIV/0!</v>
      </c>
    </row>
    <row r="1234" spans="1:11" x14ac:dyDescent="0.25">
      <c r="A1234" t="str">
        <f t="shared" si="77"/>
        <v>11900</v>
      </c>
      <c r="I1234" s="8" t="e">
        <f t="shared" si="75"/>
        <v>#DIV/0!</v>
      </c>
      <c r="J1234" s="8" t="e">
        <f t="shared" si="78"/>
        <v>#DIV/0!</v>
      </c>
      <c r="K1234" s="8" t="e">
        <f t="shared" si="76"/>
        <v>#DIV/0!</v>
      </c>
    </row>
    <row r="1235" spans="1:11" x14ac:dyDescent="0.25">
      <c r="A1235" t="str">
        <f t="shared" si="77"/>
        <v>11900</v>
      </c>
      <c r="I1235" s="8" t="e">
        <f t="shared" si="75"/>
        <v>#DIV/0!</v>
      </c>
      <c r="J1235" s="8" t="e">
        <f t="shared" si="78"/>
        <v>#DIV/0!</v>
      </c>
      <c r="K1235" s="8" t="e">
        <f t="shared" si="76"/>
        <v>#DIV/0!</v>
      </c>
    </row>
    <row r="1236" spans="1:11" x14ac:dyDescent="0.25">
      <c r="A1236" t="str">
        <f t="shared" si="77"/>
        <v>11900</v>
      </c>
      <c r="I1236" s="8" t="e">
        <f t="shared" si="75"/>
        <v>#DIV/0!</v>
      </c>
      <c r="J1236" s="8" t="e">
        <f t="shared" si="78"/>
        <v>#DIV/0!</v>
      </c>
      <c r="K1236" s="8" t="e">
        <f t="shared" si="76"/>
        <v>#DIV/0!</v>
      </c>
    </row>
    <row r="1237" spans="1:11" x14ac:dyDescent="0.25">
      <c r="A1237" t="str">
        <f t="shared" si="77"/>
        <v>11900</v>
      </c>
      <c r="I1237" s="8" t="e">
        <f t="shared" si="75"/>
        <v>#DIV/0!</v>
      </c>
      <c r="J1237" s="8" t="e">
        <f t="shared" si="78"/>
        <v>#DIV/0!</v>
      </c>
      <c r="K1237" s="8" t="e">
        <f t="shared" si="76"/>
        <v>#DIV/0!</v>
      </c>
    </row>
    <row r="1238" spans="1:11" x14ac:dyDescent="0.25">
      <c r="A1238" t="str">
        <f t="shared" si="77"/>
        <v>11900</v>
      </c>
      <c r="I1238" s="8" t="e">
        <f t="shared" si="75"/>
        <v>#DIV/0!</v>
      </c>
      <c r="J1238" s="8" t="e">
        <f t="shared" si="78"/>
        <v>#DIV/0!</v>
      </c>
      <c r="K1238" s="8" t="e">
        <f t="shared" si="76"/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B324E-DAD5-4132-8EAF-9D98C7A9994E}">
  <dimension ref="A1:K1238"/>
  <sheetViews>
    <sheetView topLeftCell="A52" workbookViewId="0">
      <selection activeCell="K63" sqref="K63:K1238"/>
    </sheetView>
  </sheetViews>
  <sheetFormatPr defaultRowHeight="15" x14ac:dyDescent="0.25"/>
  <cols>
    <col min="2" max="2" width="10.7109375" bestFit="1" customWidth="1"/>
    <col min="3" max="3" width="18.5703125" customWidth="1"/>
  </cols>
  <sheetData>
    <row r="1" spans="1:11" x14ac:dyDescent="0.25">
      <c r="A1" t="s">
        <v>27</v>
      </c>
      <c r="B1" t="s">
        <v>7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26</v>
      </c>
      <c r="J1" t="s">
        <v>679</v>
      </c>
      <c r="K1" t="s">
        <v>688</v>
      </c>
    </row>
    <row r="2" spans="1:11" x14ac:dyDescent="0.25">
      <c r="A2" t="str">
        <f>+MONTH(B2)&amp;YEAR(B2)</f>
        <v>12017</v>
      </c>
      <c r="B2" s="1">
        <v>42737</v>
      </c>
      <c r="C2" s="10">
        <v>42767.645833333336</v>
      </c>
      <c r="D2">
        <v>18242.3</v>
      </c>
      <c r="E2">
        <v>18249</v>
      </c>
      <c r="F2">
        <v>17844.900000000001</v>
      </c>
      <c r="G2">
        <v>17969.599999999999</v>
      </c>
      <c r="H2">
        <v>0</v>
      </c>
    </row>
    <row r="3" spans="1:11" x14ac:dyDescent="0.25">
      <c r="A3" t="str">
        <f t="shared" ref="A3:A66" si="0">+MONTH(B3)&amp;YEAR(B3)</f>
        <v>12017</v>
      </c>
      <c r="B3" s="1">
        <v>42738</v>
      </c>
      <c r="C3" s="10">
        <v>42795.645833333336</v>
      </c>
      <c r="D3">
        <v>18002.75</v>
      </c>
      <c r="E3">
        <v>18115.05</v>
      </c>
      <c r="F3">
        <v>17830.95</v>
      </c>
      <c r="G3">
        <v>18035.599999999999</v>
      </c>
      <c r="H3">
        <v>0</v>
      </c>
      <c r="I3" s="8">
        <f>+G3/G2-1</f>
        <v>3.6728697355534745E-3</v>
      </c>
      <c r="J3" s="8">
        <f>+LN(1+I3)</f>
        <v>3.6661412197814811E-3</v>
      </c>
    </row>
    <row r="4" spans="1:11" x14ac:dyDescent="0.25">
      <c r="A4" t="str">
        <f t="shared" si="0"/>
        <v>12017</v>
      </c>
      <c r="B4" s="1">
        <v>42739</v>
      </c>
      <c r="C4" s="10">
        <v>42826.645833333336</v>
      </c>
      <c r="D4">
        <v>18037.45</v>
      </c>
      <c r="E4">
        <v>18092.849999999999</v>
      </c>
      <c r="F4">
        <v>17868.900000000001</v>
      </c>
      <c r="G4">
        <v>17891</v>
      </c>
      <c r="H4">
        <v>0</v>
      </c>
      <c r="I4" s="8">
        <f t="shared" ref="I4:I67" si="1">+G4/G3-1</f>
        <v>-8.0174765463859599E-3</v>
      </c>
      <c r="J4" s="8">
        <f t="shared" ref="J4:J67" si="2">+LN(1+I4)</f>
        <v>-8.0497893387301619E-3</v>
      </c>
    </row>
    <row r="5" spans="1:11" x14ac:dyDescent="0.25">
      <c r="A5" t="str">
        <f t="shared" si="0"/>
        <v>12017</v>
      </c>
      <c r="B5" s="1">
        <v>42740</v>
      </c>
      <c r="C5" s="10">
        <v>42856.645833333336</v>
      </c>
      <c r="D5">
        <v>18000.75</v>
      </c>
      <c r="E5">
        <v>18164.05</v>
      </c>
      <c r="F5">
        <v>17977.8</v>
      </c>
      <c r="G5">
        <v>18115.95</v>
      </c>
      <c r="H5">
        <v>0</v>
      </c>
      <c r="I5" s="8">
        <f t="shared" si="1"/>
        <v>1.2573360907718989E-2</v>
      </c>
      <c r="J5" s="8">
        <f t="shared" si="2"/>
        <v>1.2494972591304901E-2</v>
      </c>
    </row>
    <row r="6" spans="1:11" x14ac:dyDescent="0.25">
      <c r="A6" t="str">
        <f t="shared" si="0"/>
        <v>12017</v>
      </c>
      <c r="B6" s="1">
        <v>42741</v>
      </c>
      <c r="C6" s="10">
        <v>42887.645833333336</v>
      </c>
      <c r="D6">
        <v>18168.45</v>
      </c>
      <c r="E6">
        <v>18325.5</v>
      </c>
      <c r="F6">
        <v>18157.3</v>
      </c>
      <c r="G6">
        <v>18264</v>
      </c>
      <c r="H6">
        <v>0</v>
      </c>
      <c r="I6" s="8">
        <f t="shared" si="1"/>
        <v>8.1723564041631391E-3</v>
      </c>
      <c r="J6" s="8">
        <f t="shared" si="2"/>
        <v>8.1391435285037353E-3</v>
      </c>
    </row>
    <row r="7" spans="1:11" x14ac:dyDescent="0.25">
      <c r="A7" t="str">
        <f t="shared" si="0"/>
        <v>12017</v>
      </c>
      <c r="B7" s="1">
        <v>42744</v>
      </c>
      <c r="C7" s="10">
        <v>42979.645833333336</v>
      </c>
      <c r="D7">
        <v>18314.25</v>
      </c>
      <c r="E7">
        <v>18373.099999999999</v>
      </c>
      <c r="F7">
        <v>18256.150000000001</v>
      </c>
      <c r="G7">
        <v>18286.650000000001</v>
      </c>
      <c r="H7">
        <v>0</v>
      </c>
      <c r="I7" s="8">
        <f t="shared" si="1"/>
        <v>1.2401445466492245E-3</v>
      </c>
      <c r="J7" s="8">
        <f t="shared" si="2"/>
        <v>1.2393762025738038E-3</v>
      </c>
    </row>
    <row r="8" spans="1:11" x14ac:dyDescent="0.25">
      <c r="A8" t="str">
        <f t="shared" si="0"/>
        <v>12017</v>
      </c>
      <c r="B8" s="1">
        <v>42745</v>
      </c>
      <c r="C8" s="10">
        <v>43009.645833333336</v>
      </c>
      <c r="D8">
        <v>18351.45</v>
      </c>
      <c r="E8">
        <v>18441.150000000001</v>
      </c>
      <c r="F8">
        <v>18275.75</v>
      </c>
      <c r="G8">
        <v>18409.599999999999</v>
      </c>
      <c r="H8">
        <v>0</v>
      </c>
      <c r="I8" s="8">
        <f t="shared" si="1"/>
        <v>6.7234840717134148E-3</v>
      </c>
      <c r="J8" s="8">
        <f t="shared" si="2"/>
        <v>6.7009822567690247E-3</v>
      </c>
    </row>
    <row r="9" spans="1:11" x14ac:dyDescent="0.25">
      <c r="A9" t="str">
        <f t="shared" si="0"/>
        <v>12017</v>
      </c>
      <c r="B9" s="1">
        <v>42746</v>
      </c>
      <c r="C9" s="10">
        <v>43040.645833333336</v>
      </c>
      <c r="D9">
        <v>18535.349999999999</v>
      </c>
      <c r="E9">
        <v>18889.45</v>
      </c>
      <c r="F9">
        <v>18515.25</v>
      </c>
      <c r="G9">
        <v>18830</v>
      </c>
      <c r="H9">
        <v>0</v>
      </c>
      <c r="I9" s="8">
        <f t="shared" si="1"/>
        <v>2.2835911698244393E-2</v>
      </c>
      <c r="J9" s="8">
        <f t="shared" si="2"/>
        <v>2.2579074982223786E-2</v>
      </c>
    </row>
    <row r="10" spans="1:11" x14ac:dyDescent="0.25">
      <c r="A10" t="str">
        <f t="shared" si="0"/>
        <v>12017</v>
      </c>
      <c r="B10" s="1">
        <v>42747</v>
      </c>
      <c r="C10" s="10">
        <v>43070.645833333336</v>
      </c>
      <c r="D10">
        <v>18885.45</v>
      </c>
      <c r="E10">
        <v>18966.3</v>
      </c>
      <c r="F10">
        <v>18805.849999999999</v>
      </c>
      <c r="G10">
        <v>18873.95</v>
      </c>
      <c r="H10">
        <v>0</v>
      </c>
      <c r="I10" s="8">
        <f t="shared" si="1"/>
        <v>2.3340414232608797E-3</v>
      </c>
      <c r="J10" s="8">
        <f t="shared" si="2"/>
        <v>2.3313217795966922E-3</v>
      </c>
    </row>
    <row r="11" spans="1:11" x14ac:dyDescent="0.25">
      <c r="A11" t="str">
        <f t="shared" si="0"/>
        <v>12017</v>
      </c>
      <c r="B11" s="1">
        <v>42748</v>
      </c>
      <c r="C11" t="s">
        <v>28</v>
      </c>
      <c r="D11">
        <v>18949.7</v>
      </c>
      <c r="E11">
        <v>18952.25</v>
      </c>
      <c r="F11">
        <v>18781.25</v>
      </c>
      <c r="G11">
        <v>18912.099999999999</v>
      </c>
      <c r="H11">
        <v>0</v>
      </c>
      <c r="I11" s="8">
        <f t="shared" si="1"/>
        <v>2.0213044964090265E-3</v>
      </c>
      <c r="J11" s="8">
        <f t="shared" si="2"/>
        <v>2.0192644091046219E-3</v>
      </c>
    </row>
    <row r="12" spans="1:11" x14ac:dyDescent="0.25">
      <c r="A12" t="str">
        <f t="shared" si="0"/>
        <v>12017</v>
      </c>
      <c r="B12" s="1">
        <v>42751</v>
      </c>
      <c r="C12" t="s">
        <v>29</v>
      </c>
      <c r="D12">
        <v>18899.7</v>
      </c>
      <c r="E12">
        <v>19134.5</v>
      </c>
      <c r="F12">
        <v>18865.25</v>
      </c>
      <c r="G12">
        <v>19096.45</v>
      </c>
      <c r="H12">
        <v>0</v>
      </c>
      <c r="I12" s="8">
        <f t="shared" si="1"/>
        <v>9.7477276452642148E-3</v>
      </c>
      <c r="J12" s="8">
        <f t="shared" si="2"/>
        <v>9.7005250456459954E-3</v>
      </c>
    </row>
    <row r="13" spans="1:11" x14ac:dyDescent="0.25">
      <c r="A13" t="str">
        <f t="shared" si="0"/>
        <v>12017</v>
      </c>
      <c r="B13" s="1">
        <v>42752</v>
      </c>
      <c r="C13" t="s">
        <v>30</v>
      </c>
      <c r="D13">
        <v>19128.150000000001</v>
      </c>
      <c r="E13">
        <v>19202.25</v>
      </c>
      <c r="F13">
        <v>18981.849999999999</v>
      </c>
      <c r="G13">
        <v>19067.05</v>
      </c>
      <c r="H13">
        <v>0</v>
      </c>
      <c r="I13" s="8">
        <f t="shared" si="1"/>
        <v>-1.5395531630225667E-3</v>
      </c>
      <c r="J13" s="8">
        <f t="shared" si="2"/>
        <v>-1.5407394927615978E-3</v>
      </c>
    </row>
    <row r="14" spans="1:11" x14ac:dyDescent="0.25">
      <c r="A14" t="str">
        <f t="shared" si="0"/>
        <v>12017</v>
      </c>
      <c r="B14" s="1">
        <v>42753</v>
      </c>
      <c r="C14" t="s">
        <v>31</v>
      </c>
      <c r="D14">
        <v>19074.849999999999</v>
      </c>
      <c r="E14">
        <v>19276.5</v>
      </c>
      <c r="F14">
        <v>19072.099999999999</v>
      </c>
      <c r="G14">
        <v>19164.5</v>
      </c>
      <c r="H14">
        <v>0</v>
      </c>
      <c r="I14" s="8">
        <f t="shared" si="1"/>
        <v>5.1109112316798377E-3</v>
      </c>
      <c r="J14" s="8">
        <f t="shared" si="2"/>
        <v>5.0978948563919751E-3</v>
      </c>
    </row>
    <row r="15" spans="1:11" x14ac:dyDescent="0.25">
      <c r="A15" t="str">
        <f t="shared" si="0"/>
        <v>12017</v>
      </c>
      <c r="B15" s="1">
        <v>42754</v>
      </c>
      <c r="C15" t="s">
        <v>32</v>
      </c>
      <c r="D15">
        <v>19165.349999999999</v>
      </c>
      <c r="E15">
        <v>19185.3</v>
      </c>
      <c r="F15">
        <v>19046.099999999999</v>
      </c>
      <c r="G15">
        <v>19124.25</v>
      </c>
      <c r="H15">
        <v>0</v>
      </c>
      <c r="I15" s="8">
        <f t="shared" si="1"/>
        <v>-2.100237418142914E-3</v>
      </c>
      <c r="J15" s="8">
        <f t="shared" si="2"/>
        <v>-2.1024460096687415E-3</v>
      </c>
    </row>
    <row r="16" spans="1:11" x14ac:dyDescent="0.25">
      <c r="A16" t="str">
        <f t="shared" si="0"/>
        <v>12017</v>
      </c>
      <c r="B16" s="1">
        <v>42755</v>
      </c>
      <c r="C16" t="s">
        <v>33</v>
      </c>
      <c r="D16">
        <v>18996.599999999999</v>
      </c>
      <c r="E16">
        <v>19071.650000000001</v>
      </c>
      <c r="F16">
        <v>18793.05</v>
      </c>
      <c r="G16">
        <v>18820.8</v>
      </c>
      <c r="H16">
        <v>0</v>
      </c>
      <c r="I16" s="8">
        <f t="shared" si="1"/>
        <v>-1.58672889132907E-2</v>
      </c>
      <c r="J16" s="8">
        <f t="shared" si="2"/>
        <v>-1.5994522033330048E-2</v>
      </c>
    </row>
    <row r="17" spans="1:10" x14ac:dyDescent="0.25">
      <c r="A17" t="str">
        <f t="shared" si="0"/>
        <v>12017</v>
      </c>
      <c r="B17" s="1">
        <v>42758</v>
      </c>
      <c r="C17" t="s">
        <v>34</v>
      </c>
      <c r="D17">
        <v>18762</v>
      </c>
      <c r="E17">
        <v>18909.650000000001</v>
      </c>
      <c r="F17">
        <v>18722.849999999999</v>
      </c>
      <c r="G17">
        <v>18842.7</v>
      </c>
      <c r="H17">
        <v>0</v>
      </c>
      <c r="I17" s="8">
        <f t="shared" si="1"/>
        <v>1.1636062229023469E-3</v>
      </c>
      <c r="J17" s="8">
        <f t="shared" si="2"/>
        <v>1.162929757889771E-3</v>
      </c>
    </row>
    <row r="18" spans="1:10" x14ac:dyDescent="0.25">
      <c r="A18" t="str">
        <f t="shared" si="0"/>
        <v>12017</v>
      </c>
      <c r="B18" s="1">
        <v>42759</v>
      </c>
      <c r="C18" t="s">
        <v>35</v>
      </c>
      <c r="D18">
        <v>18931</v>
      </c>
      <c r="E18">
        <v>19054.3</v>
      </c>
      <c r="F18">
        <v>18906.95</v>
      </c>
      <c r="G18">
        <v>19023.5</v>
      </c>
      <c r="H18">
        <v>0</v>
      </c>
      <c r="I18" s="8">
        <f t="shared" si="1"/>
        <v>9.5952278601261209E-3</v>
      </c>
      <c r="J18" s="8">
        <f t="shared" si="2"/>
        <v>9.5494860306909162E-3</v>
      </c>
    </row>
    <row r="19" spans="1:10" x14ac:dyDescent="0.25">
      <c r="A19" t="str">
        <f t="shared" si="0"/>
        <v>12017</v>
      </c>
      <c r="B19" s="1">
        <v>42760</v>
      </c>
      <c r="C19" t="s">
        <v>36</v>
      </c>
      <c r="D19">
        <v>19120.05</v>
      </c>
      <c r="E19">
        <v>19518.45</v>
      </c>
      <c r="F19">
        <v>19114.150000000001</v>
      </c>
      <c r="G19">
        <v>19473.2</v>
      </c>
      <c r="H19">
        <v>0</v>
      </c>
      <c r="I19" s="8">
        <f t="shared" si="1"/>
        <v>2.3639183115620188E-2</v>
      </c>
      <c r="J19" s="8">
        <f t="shared" si="2"/>
        <v>2.3364104285208385E-2</v>
      </c>
    </row>
    <row r="20" spans="1:10" x14ac:dyDescent="0.25">
      <c r="A20" t="str">
        <f t="shared" si="0"/>
        <v>12017</v>
      </c>
      <c r="B20" s="1">
        <v>42762</v>
      </c>
      <c r="C20" t="s">
        <v>37</v>
      </c>
      <c r="D20">
        <v>19588.400000000001</v>
      </c>
      <c r="E20">
        <v>19794.95</v>
      </c>
      <c r="F20">
        <v>19534.900000000001</v>
      </c>
      <c r="G20">
        <v>19708.3</v>
      </c>
      <c r="H20">
        <v>0</v>
      </c>
      <c r="I20" s="8">
        <f t="shared" si="1"/>
        <v>1.2073002896288099E-2</v>
      </c>
      <c r="J20" s="8">
        <f t="shared" si="2"/>
        <v>1.2000705512804096E-2</v>
      </c>
    </row>
    <row r="21" spans="1:10" x14ac:dyDescent="0.25">
      <c r="A21" t="str">
        <f t="shared" si="0"/>
        <v>12017</v>
      </c>
      <c r="B21" s="1">
        <v>42765</v>
      </c>
      <c r="C21" t="s">
        <v>38</v>
      </c>
      <c r="D21">
        <v>19718.8</v>
      </c>
      <c r="E21">
        <v>19767.05</v>
      </c>
      <c r="F21">
        <v>19561.099999999999</v>
      </c>
      <c r="G21">
        <v>19585.25</v>
      </c>
      <c r="H21">
        <v>0</v>
      </c>
      <c r="I21" s="8">
        <f t="shared" si="1"/>
        <v>-6.2435623569764287E-3</v>
      </c>
      <c r="J21" s="8">
        <f t="shared" si="2"/>
        <v>-6.2631349032339243E-3</v>
      </c>
    </row>
    <row r="22" spans="1:10" x14ac:dyDescent="0.25">
      <c r="A22" t="str">
        <f t="shared" si="0"/>
        <v>12017</v>
      </c>
      <c r="B22" s="1">
        <v>42766</v>
      </c>
      <c r="C22" t="s">
        <v>39</v>
      </c>
      <c r="D22">
        <v>19533.2</v>
      </c>
      <c r="E22">
        <v>19624.099999999999</v>
      </c>
      <c r="F22">
        <v>19435.45</v>
      </c>
      <c r="G22">
        <v>19515.150000000001</v>
      </c>
      <c r="H22">
        <v>0</v>
      </c>
      <c r="I22" s="8">
        <f t="shared" si="1"/>
        <v>-3.579224161039507E-3</v>
      </c>
      <c r="J22" s="8">
        <f t="shared" si="2"/>
        <v>-3.5856449092802928E-3</v>
      </c>
    </row>
    <row r="23" spans="1:10" x14ac:dyDescent="0.25">
      <c r="A23" t="str">
        <f t="shared" si="0"/>
        <v>22017</v>
      </c>
      <c r="B23" s="1">
        <v>42767</v>
      </c>
      <c r="C23" s="10">
        <v>42737.645833333336</v>
      </c>
      <c r="D23">
        <v>19522.400000000001</v>
      </c>
      <c r="E23">
        <v>20047.849999999999</v>
      </c>
      <c r="F23">
        <v>19470.95</v>
      </c>
      <c r="G23">
        <v>20020.599999999999</v>
      </c>
      <c r="H23">
        <v>0</v>
      </c>
      <c r="I23" s="8">
        <f t="shared" si="1"/>
        <v>2.5900390209657509E-2</v>
      </c>
      <c r="J23" s="8">
        <f t="shared" si="2"/>
        <v>2.5570656469833256E-2</v>
      </c>
    </row>
    <row r="24" spans="1:10" x14ac:dyDescent="0.25">
      <c r="A24" t="str">
        <f t="shared" si="0"/>
        <v>22017</v>
      </c>
      <c r="B24" s="1">
        <v>42768</v>
      </c>
      <c r="C24" s="10">
        <v>42768.645833333336</v>
      </c>
      <c r="D24">
        <v>20053.95</v>
      </c>
      <c r="E24">
        <v>20146.900000000001</v>
      </c>
      <c r="F24">
        <v>19915.2</v>
      </c>
      <c r="G24">
        <v>20070.3</v>
      </c>
      <c r="H24">
        <v>0</v>
      </c>
      <c r="I24" s="8">
        <f t="shared" si="1"/>
        <v>2.4824430836238864E-3</v>
      </c>
      <c r="J24" s="8">
        <f t="shared" si="2"/>
        <v>2.4793669116882273E-3</v>
      </c>
    </row>
    <row r="25" spans="1:10" x14ac:dyDescent="0.25">
      <c r="A25" t="str">
        <f t="shared" si="0"/>
        <v>22017</v>
      </c>
      <c r="B25" s="1">
        <v>42769</v>
      </c>
      <c r="C25" s="10">
        <v>42796.645833333336</v>
      </c>
      <c r="D25">
        <v>20061.900000000001</v>
      </c>
      <c r="E25">
        <v>20229.650000000001</v>
      </c>
      <c r="F25">
        <v>20009.95</v>
      </c>
      <c r="G25">
        <v>20196.8</v>
      </c>
      <c r="H25">
        <v>0</v>
      </c>
      <c r="I25" s="8">
        <f t="shared" si="1"/>
        <v>6.3028454980742499E-3</v>
      </c>
      <c r="J25" s="8">
        <f t="shared" si="2"/>
        <v>6.2830656368197402E-3</v>
      </c>
    </row>
    <row r="26" spans="1:10" x14ac:dyDescent="0.25">
      <c r="A26" t="str">
        <f t="shared" si="0"/>
        <v>22017</v>
      </c>
      <c r="B26" s="1">
        <v>42772</v>
      </c>
      <c r="C26" s="10">
        <v>42888.645833333336</v>
      </c>
      <c r="D26">
        <v>20307.150000000001</v>
      </c>
      <c r="E26">
        <v>20462.45</v>
      </c>
      <c r="F26">
        <v>20298.05</v>
      </c>
      <c r="G26">
        <v>20371.599999999999</v>
      </c>
      <c r="H26">
        <v>0</v>
      </c>
      <c r="I26" s="8">
        <f t="shared" si="1"/>
        <v>8.6548364097283059E-3</v>
      </c>
      <c r="J26" s="8">
        <f t="shared" si="2"/>
        <v>8.6175980202800647E-3</v>
      </c>
    </row>
    <row r="27" spans="1:10" x14ac:dyDescent="0.25">
      <c r="A27" t="str">
        <f t="shared" si="0"/>
        <v>22017</v>
      </c>
      <c r="B27" s="1">
        <v>42773</v>
      </c>
      <c r="C27" s="10">
        <v>42918.645833333336</v>
      </c>
      <c r="D27">
        <v>20367.3</v>
      </c>
      <c r="E27">
        <v>20426.95</v>
      </c>
      <c r="F27">
        <v>20281.5</v>
      </c>
      <c r="G27">
        <v>20327.25</v>
      </c>
      <c r="H27">
        <v>0</v>
      </c>
      <c r="I27" s="8">
        <f t="shared" si="1"/>
        <v>-2.1770504035028004E-3</v>
      </c>
      <c r="J27" s="8">
        <f t="shared" si="2"/>
        <v>-2.1794236227700866E-3</v>
      </c>
    </row>
    <row r="28" spans="1:10" x14ac:dyDescent="0.25">
      <c r="A28" t="str">
        <f t="shared" si="0"/>
        <v>22017</v>
      </c>
      <c r="B28" s="1">
        <v>42774</v>
      </c>
      <c r="C28" s="10">
        <v>42949.645833333336</v>
      </c>
      <c r="D28">
        <v>20335.25</v>
      </c>
      <c r="E28">
        <v>20362.8</v>
      </c>
      <c r="F28">
        <v>20070.150000000001</v>
      </c>
      <c r="G28">
        <v>20245.400000000001</v>
      </c>
      <c r="H28">
        <v>0</v>
      </c>
      <c r="I28" s="8">
        <f t="shared" si="1"/>
        <v>-4.0266145199178149E-3</v>
      </c>
      <c r="J28" s="8">
        <f t="shared" si="2"/>
        <v>-4.0347431601019104E-3</v>
      </c>
    </row>
    <row r="29" spans="1:10" x14ac:dyDescent="0.25">
      <c r="A29" t="str">
        <f t="shared" si="0"/>
        <v>22017</v>
      </c>
      <c r="B29" s="1">
        <v>42775</v>
      </c>
      <c r="C29" s="10">
        <v>42980.645833333336</v>
      </c>
      <c r="D29">
        <v>20312.650000000001</v>
      </c>
      <c r="E29">
        <v>20406.599999999999</v>
      </c>
      <c r="F29">
        <v>20000.349999999999</v>
      </c>
      <c r="G29">
        <v>20151.150000000001</v>
      </c>
      <c r="H29">
        <v>0</v>
      </c>
      <c r="I29" s="8">
        <f t="shared" si="1"/>
        <v>-4.6553785057346087E-3</v>
      </c>
      <c r="J29" s="8">
        <f t="shared" si="2"/>
        <v>-4.6662485294206198E-3</v>
      </c>
    </row>
    <row r="30" spans="1:10" x14ac:dyDescent="0.25">
      <c r="A30" t="str">
        <f t="shared" si="0"/>
        <v>22017</v>
      </c>
      <c r="B30" s="1">
        <v>42776</v>
      </c>
      <c r="C30" s="10">
        <v>43010.645833333336</v>
      </c>
      <c r="D30">
        <v>20225.75</v>
      </c>
      <c r="E30">
        <v>20310</v>
      </c>
      <c r="F30">
        <v>20167.099999999999</v>
      </c>
      <c r="G30">
        <v>20213.900000000001</v>
      </c>
      <c r="H30">
        <v>0</v>
      </c>
      <c r="I30" s="8">
        <f t="shared" si="1"/>
        <v>3.1139662004402435E-3</v>
      </c>
      <c r="J30" s="8">
        <f t="shared" si="2"/>
        <v>3.1091278493970949E-3</v>
      </c>
    </row>
    <row r="31" spans="1:10" x14ac:dyDescent="0.25">
      <c r="A31" t="str">
        <f t="shared" si="0"/>
        <v>22017</v>
      </c>
      <c r="B31" s="1">
        <v>42779</v>
      </c>
      <c r="C31" t="s">
        <v>40</v>
      </c>
      <c r="D31">
        <v>20273.650000000001</v>
      </c>
      <c r="E31">
        <v>20308.7</v>
      </c>
      <c r="F31">
        <v>20116.900000000001</v>
      </c>
      <c r="G31">
        <v>20251.8</v>
      </c>
      <c r="H31">
        <v>0</v>
      </c>
      <c r="I31" s="8">
        <f t="shared" si="1"/>
        <v>1.8749474371595465E-3</v>
      </c>
      <c r="J31" s="8">
        <f t="shared" si="2"/>
        <v>1.8731919172093985E-3</v>
      </c>
    </row>
    <row r="32" spans="1:10" x14ac:dyDescent="0.25">
      <c r="A32" t="str">
        <f t="shared" si="0"/>
        <v>22017</v>
      </c>
      <c r="B32" s="1">
        <v>42780</v>
      </c>
      <c r="C32" t="s">
        <v>41</v>
      </c>
      <c r="D32">
        <v>20304.5</v>
      </c>
      <c r="E32">
        <v>20314.05</v>
      </c>
      <c r="F32">
        <v>20158.849999999999</v>
      </c>
      <c r="G32">
        <v>20258.099999999999</v>
      </c>
      <c r="H32">
        <v>0</v>
      </c>
      <c r="I32" s="8">
        <f t="shared" si="1"/>
        <v>3.110834592481293E-4</v>
      </c>
      <c r="J32" s="8">
        <f t="shared" si="2"/>
        <v>3.1103508282129781E-4</v>
      </c>
    </row>
    <row r="33" spans="1:10" x14ac:dyDescent="0.25">
      <c r="A33" t="str">
        <f t="shared" si="0"/>
        <v>22017</v>
      </c>
      <c r="B33" s="1">
        <v>42781</v>
      </c>
      <c r="C33" t="s">
        <v>42</v>
      </c>
      <c r="D33">
        <v>20282.099999999999</v>
      </c>
      <c r="E33">
        <v>20368.2</v>
      </c>
      <c r="F33">
        <v>20115.849999999999</v>
      </c>
      <c r="G33">
        <v>20163.7</v>
      </c>
      <c r="H33">
        <v>0</v>
      </c>
      <c r="I33" s="8">
        <f t="shared" si="1"/>
        <v>-4.659864449281903E-3</v>
      </c>
      <c r="J33" s="8">
        <f t="shared" si="2"/>
        <v>-4.6707554645658523E-3</v>
      </c>
    </row>
    <row r="34" spans="1:10" x14ac:dyDescent="0.25">
      <c r="A34" t="str">
        <f t="shared" si="0"/>
        <v>22017</v>
      </c>
      <c r="B34" s="1">
        <v>42782</v>
      </c>
      <c r="C34" t="s">
        <v>43</v>
      </c>
      <c r="D34">
        <v>20243.25</v>
      </c>
      <c r="E34">
        <v>20295.55</v>
      </c>
      <c r="F34">
        <v>20088.2</v>
      </c>
      <c r="G34">
        <v>20243.7</v>
      </c>
      <c r="H34">
        <v>0</v>
      </c>
      <c r="I34" s="8">
        <f t="shared" si="1"/>
        <v>3.9675258013163184E-3</v>
      </c>
      <c r="J34" s="8">
        <f t="shared" si="2"/>
        <v>3.9596759270264445E-3</v>
      </c>
    </row>
    <row r="35" spans="1:10" x14ac:dyDescent="0.25">
      <c r="A35" t="str">
        <f t="shared" si="0"/>
        <v>22017</v>
      </c>
      <c r="B35" s="1">
        <v>42783</v>
      </c>
      <c r="C35" t="s">
        <v>44</v>
      </c>
      <c r="D35">
        <v>20918.45</v>
      </c>
      <c r="E35">
        <v>21042.35</v>
      </c>
      <c r="F35">
        <v>20449.650000000001</v>
      </c>
      <c r="G35">
        <v>20551.349999999999</v>
      </c>
      <c r="H35">
        <v>0</v>
      </c>
      <c r="I35" s="8">
        <f t="shared" si="1"/>
        <v>1.5197320647905244E-2</v>
      </c>
      <c r="J35" s="8">
        <f t="shared" si="2"/>
        <v>1.5082998178846129E-2</v>
      </c>
    </row>
    <row r="36" spans="1:10" x14ac:dyDescent="0.25">
      <c r="A36" t="str">
        <f t="shared" si="0"/>
        <v>22017</v>
      </c>
      <c r="B36" s="1">
        <v>42786</v>
      </c>
      <c r="C36" t="s">
        <v>45</v>
      </c>
      <c r="D36">
        <v>20494.849999999999</v>
      </c>
      <c r="E36">
        <v>20702.599999999999</v>
      </c>
      <c r="F36">
        <v>20472.400000000001</v>
      </c>
      <c r="G36">
        <v>20677.099999999999</v>
      </c>
      <c r="H36">
        <v>0</v>
      </c>
      <c r="I36" s="8">
        <f t="shared" si="1"/>
        <v>6.1188194449512956E-3</v>
      </c>
      <c r="J36" s="8">
        <f t="shared" si="2"/>
        <v>6.1001754832881059E-3</v>
      </c>
    </row>
    <row r="37" spans="1:10" x14ac:dyDescent="0.25">
      <c r="A37" t="str">
        <f t="shared" si="0"/>
        <v>22017</v>
      </c>
      <c r="B37" s="1">
        <v>42787</v>
      </c>
      <c r="C37" t="s">
        <v>46</v>
      </c>
      <c r="D37">
        <v>20695.900000000001</v>
      </c>
      <c r="E37">
        <v>20903.349999999999</v>
      </c>
      <c r="F37">
        <v>20619.25</v>
      </c>
      <c r="G37">
        <v>20860.95</v>
      </c>
      <c r="H37">
        <v>0</v>
      </c>
      <c r="I37" s="8">
        <f t="shared" si="1"/>
        <v>8.8914789791605386E-3</v>
      </c>
      <c r="J37" s="8">
        <f t="shared" si="2"/>
        <v>8.8521825437801564E-3</v>
      </c>
    </row>
    <row r="38" spans="1:10" x14ac:dyDescent="0.25">
      <c r="A38" t="str">
        <f t="shared" si="0"/>
        <v>22017</v>
      </c>
      <c r="B38" s="1">
        <v>42788</v>
      </c>
      <c r="C38" t="s">
        <v>47</v>
      </c>
      <c r="D38">
        <v>20937.599999999999</v>
      </c>
      <c r="E38">
        <v>20958.25</v>
      </c>
      <c r="F38">
        <v>20829.650000000001</v>
      </c>
      <c r="G38">
        <v>20868.45</v>
      </c>
      <c r="H38">
        <v>0</v>
      </c>
      <c r="I38" s="8">
        <f t="shared" si="1"/>
        <v>3.5952341576006575E-4</v>
      </c>
      <c r="J38" s="8">
        <f t="shared" si="2"/>
        <v>3.594588027029666E-4</v>
      </c>
    </row>
    <row r="39" spans="1:10" x14ac:dyDescent="0.25">
      <c r="A39" t="str">
        <f t="shared" si="0"/>
        <v>22017</v>
      </c>
      <c r="B39" s="1">
        <v>42789</v>
      </c>
      <c r="C39" t="s">
        <v>48</v>
      </c>
      <c r="D39">
        <v>20887.650000000001</v>
      </c>
      <c r="E39">
        <v>21011.9</v>
      </c>
      <c r="F39">
        <v>20828.400000000001</v>
      </c>
      <c r="G39">
        <v>20876.650000000001</v>
      </c>
      <c r="H39">
        <v>0</v>
      </c>
      <c r="I39" s="8">
        <f t="shared" si="1"/>
        <v>3.9293766427306309E-4</v>
      </c>
      <c r="J39" s="8">
        <f t="shared" si="2"/>
        <v>3.9286048448629578E-4</v>
      </c>
    </row>
    <row r="40" spans="1:10" x14ac:dyDescent="0.25">
      <c r="A40" t="str">
        <f t="shared" si="0"/>
        <v>22017</v>
      </c>
      <c r="B40" s="1">
        <v>42793</v>
      </c>
      <c r="C40" t="s">
        <v>49</v>
      </c>
      <c r="D40">
        <v>20853.45</v>
      </c>
      <c r="E40">
        <v>20853.45</v>
      </c>
      <c r="F40">
        <v>20584.75</v>
      </c>
      <c r="G40">
        <v>20613.05</v>
      </c>
      <c r="H40">
        <v>0</v>
      </c>
      <c r="I40" s="8">
        <f t="shared" si="1"/>
        <v>-1.2626546883719447E-2</v>
      </c>
      <c r="J40" s="8">
        <f t="shared" si="2"/>
        <v>-1.2706939161618878E-2</v>
      </c>
    </row>
    <row r="41" spans="1:10" x14ac:dyDescent="0.25">
      <c r="A41" t="str">
        <f t="shared" si="0"/>
        <v>22017</v>
      </c>
      <c r="B41" s="1">
        <v>42794</v>
      </c>
      <c r="C41" t="s">
        <v>50</v>
      </c>
      <c r="D41">
        <v>20632.849999999999</v>
      </c>
      <c r="E41">
        <v>20681.3</v>
      </c>
      <c r="F41">
        <v>20560.599999999999</v>
      </c>
      <c r="G41">
        <v>20607.25</v>
      </c>
      <c r="H41">
        <v>0</v>
      </c>
      <c r="I41" s="8">
        <f t="shared" si="1"/>
        <v>-2.8137514826764853E-4</v>
      </c>
      <c r="J41" s="8">
        <f t="shared" si="2"/>
        <v>-2.814147416819226E-4</v>
      </c>
    </row>
    <row r="42" spans="1:10" x14ac:dyDescent="0.25">
      <c r="A42" t="str">
        <f t="shared" si="0"/>
        <v>32017</v>
      </c>
      <c r="B42" s="1">
        <v>42795</v>
      </c>
      <c r="C42" s="10">
        <v>42738.645833333336</v>
      </c>
      <c r="D42">
        <v>20698.900000000001</v>
      </c>
      <c r="E42">
        <v>20833.75</v>
      </c>
      <c r="F42">
        <v>20678.75</v>
      </c>
      <c r="G42">
        <v>20783.75</v>
      </c>
      <c r="H42">
        <v>0</v>
      </c>
      <c r="I42" s="8">
        <f t="shared" si="1"/>
        <v>8.5649468027029219E-3</v>
      </c>
      <c r="J42" s="8">
        <f t="shared" si="2"/>
        <v>8.5284757463137319E-3</v>
      </c>
    </row>
    <row r="43" spans="1:10" x14ac:dyDescent="0.25">
      <c r="A43" t="str">
        <f t="shared" si="0"/>
        <v>32017</v>
      </c>
      <c r="B43" s="1">
        <v>42796</v>
      </c>
      <c r="C43" s="10">
        <v>42769.645833333336</v>
      </c>
      <c r="D43">
        <v>20885</v>
      </c>
      <c r="E43">
        <v>20905</v>
      </c>
      <c r="F43">
        <v>20516.900000000001</v>
      </c>
      <c r="G43">
        <v>20560.05</v>
      </c>
      <c r="H43">
        <v>0</v>
      </c>
      <c r="I43" s="8">
        <f t="shared" si="1"/>
        <v>-1.0763216455163316E-2</v>
      </c>
      <c r="J43" s="8">
        <f t="shared" si="2"/>
        <v>-1.0821558881830094E-2</v>
      </c>
    </row>
    <row r="44" spans="1:10" x14ac:dyDescent="0.25">
      <c r="A44" t="str">
        <f t="shared" si="0"/>
        <v>32017</v>
      </c>
      <c r="B44" s="1">
        <v>42797</v>
      </c>
      <c r="C44" s="10">
        <v>42797.645833333336</v>
      </c>
      <c r="D44">
        <v>20572.849999999999</v>
      </c>
      <c r="E44">
        <v>20580.45</v>
      </c>
      <c r="F44">
        <v>20423.349999999999</v>
      </c>
      <c r="G44">
        <v>20495.599999999999</v>
      </c>
      <c r="H44">
        <v>0</v>
      </c>
      <c r="I44" s="8">
        <f t="shared" si="1"/>
        <v>-3.1347200031128786E-3</v>
      </c>
      <c r="J44" s="8">
        <f t="shared" si="2"/>
        <v>-3.1396435298059067E-3</v>
      </c>
    </row>
    <row r="45" spans="1:10" x14ac:dyDescent="0.25">
      <c r="A45" t="str">
        <f t="shared" si="0"/>
        <v>32017</v>
      </c>
      <c r="B45" s="1">
        <v>42800</v>
      </c>
      <c r="C45" s="10">
        <v>42889.645833333336</v>
      </c>
      <c r="D45">
        <v>20548.95</v>
      </c>
      <c r="E45">
        <v>20727.5</v>
      </c>
      <c r="F45">
        <v>20532.2</v>
      </c>
      <c r="G45">
        <v>20663.650000000001</v>
      </c>
      <c r="H45">
        <v>0</v>
      </c>
      <c r="I45" s="8">
        <f t="shared" si="1"/>
        <v>8.1993208298367648E-3</v>
      </c>
      <c r="J45" s="8">
        <f t="shared" si="2"/>
        <v>8.1658890199026446E-3</v>
      </c>
    </row>
    <row r="46" spans="1:10" x14ac:dyDescent="0.25">
      <c r="A46" t="str">
        <f t="shared" si="0"/>
        <v>32017</v>
      </c>
      <c r="B46" s="1">
        <v>42801</v>
      </c>
      <c r="C46" s="10">
        <v>42919.645833333336</v>
      </c>
      <c r="D46">
        <v>20685.95</v>
      </c>
      <c r="E46">
        <v>20701.25</v>
      </c>
      <c r="F46">
        <v>20585.95</v>
      </c>
      <c r="G46">
        <v>20627.5</v>
      </c>
      <c r="H46">
        <v>0</v>
      </c>
      <c r="I46" s="8">
        <f t="shared" si="1"/>
        <v>-1.7494489114944223E-3</v>
      </c>
      <c r="J46" s="8">
        <f t="shared" si="2"/>
        <v>-1.7509809843575996E-3</v>
      </c>
    </row>
    <row r="47" spans="1:10" x14ac:dyDescent="0.25">
      <c r="A47" t="str">
        <f t="shared" si="0"/>
        <v>32017</v>
      </c>
      <c r="B47" s="1">
        <v>42802</v>
      </c>
      <c r="C47" s="10">
        <v>42950.645833333336</v>
      </c>
      <c r="D47">
        <v>20630.150000000001</v>
      </c>
      <c r="E47">
        <v>20715.2</v>
      </c>
      <c r="F47">
        <v>20534.25</v>
      </c>
      <c r="G47">
        <v>20676.55</v>
      </c>
      <c r="H47">
        <v>0</v>
      </c>
      <c r="I47" s="8">
        <f t="shared" si="1"/>
        <v>2.3778935886558106E-3</v>
      </c>
      <c r="J47" s="8">
        <f t="shared" si="2"/>
        <v>2.3750708735548369E-3</v>
      </c>
    </row>
    <row r="48" spans="1:10" x14ac:dyDescent="0.25">
      <c r="A48" t="str">
        <f t="shared" si="0"/>
        <v>32017</v>
      </c>
      <c r="B48" s="1">
        <v>42803</v>
      </c>
      <c r="C48" s="10">
        <v>42981.645833333336</v>
      </c>
      <c r="D48">
        <v>20620.55</v>
      </c>
      <c r="E48">
        <v>20780.25</v>
      </c>
      <c r="F48">
        <v>20603.900000000001</v>
      </c>
      <c r="G48">
        <v>20721.349999999999</v>
      </c>
      <c r="H48">
        <v>0</v>
      </c>
      <c r="I48" s="8">
        <f t="shared" si="1"/>
        <v>2.166705760874077E-3</v>
      </c>
      <c r="J48" s="8">
        <f t="shared" si="2"/>
        <v>2.1643618390622859E-3</v>
      </c>
    </row>
    <row r="49" spans="1:11" x14ac:dyDescent="0.25">
      <c r="A49" t="str">
        <f t="shared" si="0"/>
        <v>32017</v>
      </c>
      <c r="B49" s="1">
        <v>42804</v>
      </c>
      <c r="C49" s="10">
        <v>43011.645833333336</v>
      </c>
      <c r="D49">
        <v>20825.900000000001</v>
      </c>
      <c r="E49">
        <v>20876.95</v>
      </c>
      <c r="F49">
        <v>20648.8</v>
      </c>
      <c r="G49">
        <v>20727.55</v>
      </c>
      <c r="H49">
        <v>0</v>
      </c>
      <c r="I49" s="8">
        <f t="shared" si="1"/>
        <v>2.9920830447816016E-4</v>
      </c>
      <c r="J49" s="8">
        <f t="shared" si="2"/>
        <v>2.9916355060035786E-4</v>
      </c>
    </row>
    <row r="50" spans="1:11" x14ac:dyDescent="0.25">
      <c r="A50" t="str">
        <f t="shared" si="0"/>
        <v>32017</v>
      </c>
      <c r="B50" s="1">
        <v>42808</v>
      </c>
      <c r="C50" t="s">
        <v>51</v>
      </c>
      <c r="D50">
        <v>21189.85</v>
      </c>
      <c r="E50">
        <v>21274.45</v>
      </c>
      <c r="F50">
        <v>21059.7</v>
      </c>
      <c r="G50">
        <v>21102.7</v>
      </c>
      <c r="H50">
        <v>0</v>
      </c>
      <c r="I50" s="8">
        <f t="shared" si="1"/>
        <v>1.8099099990109835E-2</v>
      </c>
      <c r="J50" s="8">
        <f t="shared" si="2"/>
        <v>1.7937261121300813E-2</v>
      </c>
    </row>
    <row r="51" spans="1:11" x14ac:dyDescent="0.25">
      <c r="A51" t="str">
        <f t="shared" si="0"/>
        <v>32017</v>
      </c>
      <c r="B51" s="1">
        <v>42809</v>
      </c>
      <c r="C51" t="s">
        <v>52</v>
      </c>
      <c r="D51">
        <v>21089.4</v>
      </c>
      <c r="E51">
        <v>21216.9</v>
      </c>
      <c r="F51">
        <v>21063.95</v>
      </c>
      <c r="G51">
        <v>21157.9</v>
      </c>
      <c r="H51">
        <v>0</v>
      </c>
      <c r="I51" s="8">
        <f t="shared" si="1"/>
        <v>2.615779023537268E-3</v>
      </c>
      <c r="J51" s="8">
        <f t="shared" si="2"/>
        <v>2.6123638278889687E-3</v>
      </c>
    </row>
    <row r="52" spans="1:11" x14ac:dyDescent="0.25">
      <c r="A52" t="str">
        <f t="shared" si="0"/>
        <v>32017</v>
      </c>
      <c r="B52" s="1">
        <v>42810</v>
      </c>
      <c r="C52" t="s">
        <v>53</v>
      </c>
      <c r="D52">
        <v>21237.5</v>
      </c>
      <c r="E52">
        <v>21289.8</v>
      </c>
      <c r="F52">
        <v>21194.25</v>
      </c>
      <c r="G52">
        <v>21249.9</v>
      </c>
      <c r="H52">
        <v>0</v>
      </c>
      <c r="I52" s="8">
        <f t="shared" si="1"/>
        <v>4.3482576248115024E-3</v>
      </c>
      <c r="J52" s="8">
        <f t="shared" si="2"/>
        <v>4.3388312682315962E-3</v>
      </c>
    </row>
    <row r="53" spans="1:11" x14ac:dyDescent="0.25">
      <c r="A53" t="str">
        <f t="shared" si="0"/>
        <v>32017</v>
      </c>
      <c r="B53" s="1">
        <v>42811</v>
      </c>
      <c r="C53" t="s">
        <v>54</v>
      </c>
      <c r="D53">
        <v>21308.45</v>
      </c>
      <c r="E53">
        <v>21336.05</v>
      </c>
      <c r="F53">
        <v>21127.95</v>
      </c>
      <c r="G53">
        <v>21175.05</v>
      </c>
      <c r="H53">
        <v>0</v>
      </c>
      <c r="I53" s="8">
        <f t="shared" si="1"/>
        <v>-3.5223695170331082E-3</v>
      </c>
      <c r="J53" s="8">
        <f t="shared" si="2"/>
        <v>-3.5285876665814503E-3</v>
      </c>
    </row>
    <row r="54" spans="1:11" x14ac:dyDescent="0.25">
      <c r="A54" t="str">
        <f t="shared" si="0"/>
        <v>32017</v>
      </c>
      <c r="B54" s="1">
        <v>42814</v>
      </c>
      <c r="C54" t="s">
        <v>55</v>
      </c>
      <c r="D54">
        <v>21202.55</v>
      </c>
      <c r="E54">
        <v>21202.55</v>
      </c>
      <c r="F54">
        <v>21084.799999999999</v>
      </c>
      <c r="G54">
        <v>21110.25</v>
      </c>
      <c r="H54">
        <v>0</v>
      </c>
      <c r="I54" s="8">
        <f t="shared" si="1"/>
        <v>-3.0602052887713782E-3</v>
      </c>
      <c r="J54" s="8">
        <f t="shared" si="2"/>
        <v>-3.0648972917494089E-3</v>
      </c>
    </row>
    <row r="55" spans="1:11" x14ac:dyDescent="0.25">
      <c r="A55" t="str">
        <f t="shared" si="0"/>
        <v>32017</v>
      </c>
      <c r="B55" s="1">
        <v>42815</v>
      </c>
      <c r="C55" t="s">
        <v>56</v>
      </c>
      <c r="D55">
        <v>21110.65</v>
      </c>
      <c r="E55">
        <v>21146.5</v>
      </c>
      <c r="F55">
        <v>20967</v>
      </c>
      <c r="G55">
        <v>21019</v>
      </c>
      <c r="H55">
        <v>0</v>
      </c>
      <c r="I55" s="8">
        <f t="shared" si="1"/>
        <v>-4.3225447353774094E-3</v>
      </c>
      <c r="J55" s="8">
        <f t="shared" si="2"/>
        <v>-4.3319139408264607E-3</v>
      </c>
    </row>
    <row r="56" spans="1:11" x14ac:dyDescent="0.25">
      <c r="A56" t="str">
        <f t="shared" si="0"/>
        <v>32017</v>
      </c>
      <c r="B56" s="1">
        <v>42816</v>
      </c>
      <c r="C56" t="s">
        <v>57</v>
      </c>
      <c r="D56">
        <v>20815.349999999999</v>
      </c>
      <c r="E56">
        <v>20899</v>
      </c>
      <c r="F56">
        <v>20753.900000000001</v>
      </c>
      <c r="G56">
        <v>20781.349999999999</v>
      </c>
      <c r="H56">
        <v>0</v>
      </c>
      <c r="I56" s="8">
        <f t="shared" si="1"/>
        <v>-1.1306437033160588E-2</v>
      </c>
      <c r="J56" s="8">
        <f t="shared" si="2"/>
        <v>-1.1370840703218045E-2</v>
      </c>
    </row>
    <row r="57" spans="1:11" x14ac:dyDescent="0.25">
      <c r="A57" t="str">
        <f t="shared" si="0"/>
        <v>32017</v>
      </c>
      <c r="B57" s="1">
        <v>42817</v>
      </c>
      <c r="C57" t="s">
        <v>58</v>
      </c>
      <c r="D57">
        <v>20848.75</v>
      </c>
      <c r="E57">
        <v>20934.75</v>
      </c>
      <c r="F57">
        <v>20775.349999999999</v>
      </c>
      <c r="G57">
        <v>20895.5</v>
      </c>
      <c r="H57">
        <v>0</v>
      </c>
      <c r="I57" s="8">
        <f t="shared" si="1"/>
        <v>5.4929058987986945E-3</v>
      </c>
      <c r="J57" s="8">
        <f t="shared" si="2"/>
        <v>5.4778749086135253E-3</v>
      </c>
    </row>
    <row r="58" spans="1:11" x14ac:dyDescent="0.25">
      <c r="A58" t="str">
        <f t="shared" si="0"/>
        <v>32017</v>
      </c>
      <c r="B58" s="1">
        <v>42818</v>
      </c>
      <c r="C58" t="s">
        <v>59</v>
      </c>
      <c r="D58">
        <v>20987.599999999999</v>
      </c>
      <c r="E58">
        <v>21174.1</v>
      </c>
      <c r="F58">
        <v>20929.150000000001</v>
      </c>
      <c r="G58">
        <v>21122.55</v>
      </c>
      <c r="H58">
        <v>0</v>
      </c>
      <c r="I58" s="8">
        <f t="shared" si="1"/>
        <v>1.0865975927831339E-2</v>
      </c>
      <c r="J58" s="8">
        <f t="shared" si="2"/>
        <v>1.0807365402863327E-2</v>
      </c>
    </row>
    <row r="59" spans="1:11" x14ac:dyDescent="0.25">
      <c r="A59" t="str">
        <f t="shared" si="0"/>
        <v>32017</v>
      </c>
      <c r="B59" s="1">
        <v>42821</v>
      </c>
      <c r="C59" t="s">
        <v>60</v>
      </c>
      <c r="D59">
        <v>21178.1</v>
      </c>
      <c r="E59">
        <v>21179.200000000001</v>
      </c>
      <c r="F59">
        <v>20979.55</v>
      </c>
      <c r="G59">
        <v>21056.9</v>
      </c>
      <c r="H59">
        <v>0</v>
      </c>
      <c r="I59" s="8">
        <f t="shared" si="1"/>
        <v>-3.1080527682499914E-3</v>
      </c>
      <c r="J59" s="8">
        <f t="shared" si="2"/>
        <v>-3.1128927955637589E-3</v>
      </c>
    </row>
    <row r="60" spans="1:11" x14ac:dyDescent="0.25">
      <c r="A60" t="str">
        <f t="shared" si="0"/>
        <v>32017</v>
      </c>
      <c r="B60" s="1">
        <v>42822</v>
      </c>
      <c r="C60" t="s">
        <v>61</v>
      </c>
      <c r="D60">
        <v>21229</v>
      </c>
      <c r="E60">
        <v>21264.95</v>
      </c>
      <c r="F60">
        <v>21145</v>
      </c>
      <c r="G60">
        <v>21225.4</v>
      </c>
      <c r="H60">
        <v>0</v>
      </c>
      <c r="I60" s="8">
        <f t="shared" si="1"/>
        <v>8.0021275686354976E-3</v>
      </c>
      <c r="J60" s="8">
        <f t="shared" si="2"/>
        <v>7.9702803301195217E-3</v>
      </c>
    </row>
    <row r="61" spans="1:11" x14ac:dyDescent="0.25">
      <c r="A61" t="str">
        <f t="shared" si="0"/>
        <v>32017</v>
      </c>
      <c r="B61" s="1">
        <v>42823</v>
      </c>
      <c r="C61" t="s">
        <v>62</v>
      </c>
      <c r="D61">
        <v>21291.45</v>
      </c>
      <c r="E61">
        <v>21418.6</v>
      </c>
      <c r="F61">
        <v>21255.75</v>
      </c>
      <c r="G61">
        <v>21391.15</v>
      </c>
      <c r="H61">
        <v>0</v>
      </c>
      <c r="I61" s="8">
        <f t="shared" si="1"/>
        <v>7.8090401123183106E-3</v>
      </c>
      <c r="J61" s="8">
        <f t="shared" si="2"/>
        <v>7.7787073693150136E-3</v>
      </c>
    </row>
    <row r="62" spans="1:11" x14ac:dyDescent="0.25">
      <c r="A62" t="str">
        <f t="shared" si="0"/>
        <v>32017</v>
      </c>
      <c r="B62" s="1">
        <v>42824</v>
      </c>
      <c r="C62" t="s">
        <v>63</v>
      </c>
      <c r="D62">
        <v>21374.35</v>
      </c>
      <c r="E62">
        <v>21696</v>
      </c>
      <c r="F62">
        <v>21331.9</v>
      </c>
      <c r="G62">
        <v>21620.7</v>
      </c>
      <c r="H62">
        <v>0</v>
      </c>
      <c r="I62" s="8">
        <f t="shared" si="1"/>
        <v>1.0731073364452115E-2</v>
      </c>
      <c r="J62" s="8">
        <f t="shared" si="2"/>
        <v>1.067390402525923E-2</v>
      </c>
    </row>
    <row r="63" spans="1:11" x14ac:dyDescent="0.25">
      <c r="A63" t="str">
        <f t="shared" si="0"/>
        <v>32017</v>
      </c>
      <c r="B63" s="1">
        <v>42825</v>
      </c>
      <c r="C63" t="s">
        <v>64</v>
      </c>
      <c r="D63">
        <v>21551.85</v>
      </c>
      <c r="E63">
        <v>21574.15</v>
      </c>
      <c r="F63">
        <v>21414</v>
      </c>
      <c r="G63">
        <v>21444.15</v>
      </c>
      <c r="H63">
        <v>0</v>
      </c>
      <c r="I63" s="8">
        <f t="shared" si="1"/>
        <v>-8.1657855666097401E-3</v>
      </c>
      <c r="J63" s="8">
        <f t="shared" si="2"/>
        <v>-8.1993082107788429E-3</v>
      </c>
      <c r="K63" s="8">
        <f>+G63/G2-1</f>
        <v>0.19335711423737889</v>
      </c>
    </row>
    <row r="64" spans="1:11" x14ac:dyDescent="0.25">
      <c r="A64" t="str">
        <f t="shared" si="0"/>
        <v>42017</v>
      </c>
      <c r="B64" s="1">
        <v>42828</v>
      </c>
      <c r="C64" s="10">
        <v>42798.645833333336</v>
      </c>
      <c r="D64">
        <v>21539.200000000001</v>
      </c>
      <c r="E64">
        <v>21565.45</v>
      </c>
      <c r="F64">
        <v>21408.6</v>
      </c>
      <c r="G64">
        <v>21547.75</v>
      </c>
      <c r="H64">
        <v>0</v>
      </c>
      <c r="I64" s="8">
        <f t="shared" si="1"/>
        <v>4.8311544174051146E-3</v>
      </c>
      <c r="J64" s="8">
        <f t="shared" si="2"/>
        <v>4.8195218417041667E-3</v>
      </c>
      <c r="K64" s="8">
        <f t="shared" ref="K64:K127" si="3">+G64/G3-1</f>
        <v>0.19473430326687224</v>
      </c>
    </row>
    <row r="65" spans="1:11" x14ac:dyDescent="0.25">
      <c r="A65" t="str">
        <f t="shared" si="0"/>
        <v>42017</v>
      </c>
      <c r="B65" s="1">
        <v>42830</v>
      </c>
      <c r="C65" s="10">
        <v>42859.645833333336</v>
      </c>
      <c r="D65">
        <v>21602.2</v>
      </c>
      <c r="E65">
        <v>21699.3</v>
      </c>
      <c r="F65">
        <v>21499.75</v>
      </c>
      <c r="G65">
        <v>21652.7</v>
      </c>
      <c r="H65">
        <v>0</v>
      </c>
      <c r="I65" s="8">
        <f t="shared" si="1"/>
        <v>4.8705781346081167E-3</v>
      </c>
      <c r="J65" s="8">
        <f t="shared" si="2"/>
        <v>4.8587552429293296E-3</v>
      </c>
      <c r="K65" s="8">
        <f t="shared" si="3"/>
        <v>0.21025655357442297</v>
      </c>
    </row>
    <row r="66" spans="1:11" x14ac:dyDescent="0.25">
      <c r="A66" t="str">
        <f t="shared" si="0"/>
        <v>42017</v>
      </c>
      <c r="B66" s="1">
        <v>42831</v>
      </c>
      <c r="C66" s="10">
        <v>42890.645833333336</v>
      </c>
      <c r="D66">
        <v>21572.7</v>
      </c>
      <c r="E66">
        <v>21674</v>
      </c>
      <c r="F66">
        <v>21488.9</v>
      </c>
      <c r="G66">
        <v>21622.95</v>
      </c>
      <c r="H66">
        <v>0</v>
      </c>
      <c r="I66" s="8">
        <f t="shared" si="1"/>
        <v>-1.3739626005071504E-3</v>
      </c>
      <c r="J66" s="8">
        <f t="shared" si="2"/>
        <v>-1.3749073525894532E-3</v>
      </c>
      <c r="K66" s="8">
        <f t="shared" si="3"/>
        <v>0.19358631482202138</v>
      </c>
    </row>
    <row r="67" spans="1:11" x14ac:dyDescent="0.25">
      <c r="A67" t="str">
        <f t="shared" ref="A67:A130" si="4">+MONTH(B67)&amp;YEAR(B67)</f>
        <v>42017</v>
      </c>
      <c r="B67" s="1">
        <v>42832</v>
      </c>
      <c r="C67" s="10">
        <v>42920.645833333336</v>
      </c>
      <c r="D67">
        <v>21536.5</v>
      </c>
      <c r="E67">
        <v>21616.85</v>
      </c>
      <c r="F67">
        <v>21397</v>
      </c>
      <c r="G67">
        <v>21431.15</v>
      </c>
      <c r="H67">
        <v>0</v>
      </c>
      <c r="I67" s="8">
        <f t="shared" si="1"/>
        <v>-8.8702050367780449E-3</v>
      </c>
      <c r="J67" s="8">
        <f t="shared" si="2"/>
        <v>-8.9097795016959535E-3</v>
      </c>
      <c r="K67" s="8">
        <f t="shared" si="3"/>
        <v>0.17340943933420938</v>
      </c>
    </row>
    <row r="68" spans="1:11" x14ac:dyDescent="0.25">
      <c r="A68" t="str">
        <f t="shared" si="4"/>
        <v>42017</v>
      </c>
      <c r="B68" s="1">
        <v>42835</v>
      </c>
      <c r="C68" s="10">
        <v>43012.645833333336</v>
      </c>
      <c r="D68">
        <v>21492.05</v>
      </c>
      <c r="E68">
        <v>21552.1</v>
      </c>
      <c r="F68">
        <v>21396.05</v>
      </c>
      <c r="G68">
        <v>21520.15</v>
      </c>
      <c r="H68">
        <v>0</v>
      </c>
      <c r="I68" s="8">
        <f t="shared" ref="I68:I131" si="5">+G68/G67-1</f>
        <v>4.1528336090224105E-3</v>
      </c>
      <c r="J68" s="8">
        <f t="shared" ref="J68:J131" si="6">+LN(1+I68)</f>
        <v>4.14423439471361E-3</v>
      </c>
      <c r="K68" s="8">
        <f t="shared" si="3"/>
        <v>0.17682298288642251</v>
      </c>
    </row>
    <row r="69" spans="1:11" x14ac:dyDescent="0.25">
      <c r="A69" t="str">
        <f t="shared" si="4"/>
        <v>42017</v>
      </c>
      <c r="B69" s="1">
        <v>42836</v>
      </c>
      <c r="C69" s="10">
        <v>43043.645833333336</v>
      </c>
      <c r="D69">
        <v>21521.45</v>
      </c>
      <c r="E69">
        <v>21753.35</v>
      </c>
      <c r="F69">
        <v>21483.55</v>
      </c>
      <c r="G69">
        <v>21736.15</v>
      </c>
      <c r="H69">
        <v>0</v>
      </c>
      <c r="I69" s="8">
        <f t="shared" si="5"/>
        <v>1.0037104759957449E-2</v>
      </c>
      <c r="J69" s="8">
        <f t="shared" si="6"/>
        <v>9.9870675644633256E-3</v>
      </c>
      <c r="K69" s="8">
        <f t="shared" si="3"/>
        <v>0.18069648444289954</v>
      </c>
    </row>
    <row r="70" spans="1:11" x14ac:dyDescent="0.25">
      <c r="A70" t="str">
        <f t="shared" si="4"/>
        <v>42017</v>
      </c>
      <c r="B70" s="1">
        <v>42837</v>
      </c>
      <c r="C70" s="10">
        <v>43073.645833333336</v>
      </c>
      <c r="D70">
        <v>21735.65</v>
      </c>
      <c r="E70">
        <v>21787.1</v>
      </c>
      <c r="F70">
        <v>21551.75</v>
      </c>
      <c r="G70">
        <v>21666.799999999999</v>
      </c>
      <c r="H70">
        <v>0</v>
      </c>
      <c r="I70" s="8">
        <f t="shared" si="5"/>
        <v>-3.1905374226807171E-3</v>
      </c>
      <c r="J70" s="8">
        <f t="shared" si="6"/>
        <v>-3.1956380392316034E-3</v>
      </c>
      <c r="K70" s="8">
        <f t="shared" si="3"/>
        <v>0.15065321295804557</v>
      </c>
    </row>
    <row r="71" spans="1:11" x14ac:dyDescent="0.25">
      <c r="A71" t="str">
        <f t="shared" si="4"/>
        <v>42017</v>
      </c>
      <c r="B71" s="1">
        <v>42838</v>
      </c>
      <c r="C71" t="s">
        <v>65</v>
      </c>
      <c r="D71">
        <v>21651.25</v>
      </c>
      <c r="E71">
        <v>21758.85</v>
      </c>
      <c r="F71">
        <v>21627</v>
      </c>
      <c r="G71">
        <v>21686.6</v>
      </c>
      <c r="H71">
        <v>0</v>
      </c>
      <c r="I71" s="8">
        <f t="shared" si="5"/>
        <v>9.1384053021204004E-4</v>
      </c>
      <c r="J71" s="8">
        <f t="shared" si="6"/>
        <v>9.1342323216460591E-4</v>
      </c>
      <c r="K71" s="8">
        <f t="shared" si="3"/>
        <v>0.14902285954980266</v>
      </c>
    </row>
    <row r="72" spans="1:11" x14ac:dyDescent="0.25">
      <c r="A72" t="str">
        <f t="shared" si="4"/>
        <v>42017</v>
      </c>
      <c r="B72" s="1">
        <v>42842</v>
      </c>
      <c r="C72" t="s">
        <v>66</v>
      </c>
      <c r="D72">
        <v>21700.5</v>
      </c>
      <c r="E72">
        <v>21743.3</v>
      </c>
      <c r="F72">
        <v>21576.75</v>
      </c>
      <c r="G72">
        <v>21647.599999999999</v>
      </c>
      <c r="H72">
        <v>0</v>
      </c>
      <c r="I72" s="8">
        <f t="shared" si="5"/>
        <v>-1.7983455221196598E-3</v>
      </c>
      <c r="J72" s="8">
        <f t="shared" si="6"/>
        <v>-1.7999644866910729E-3</v>
      </c>
      <c r="K72" s="8">
        <f t="shared" si="3"/>
        <v>0.14464284770067848</v>
      </c>
    </row>
    <row r="73" spans="1:11" x14ac:dyDescent="0.25">
      <c r="A73" t="str">
        <f t="shared" si="4"/>
        <v>42017</v>
      </c>
      <c r="B73" s="1">
        <v>42843</v>
      </c>
      <c r="C73" t="s">
        <v>67</v>
      </c>
      <c r="D73">
        <v>21706.05</v>
      </c>
      <c r="E73">
        <v>21947</v>
      </c>
      <c r="F73">
        <v>21634.15</v>
      </c>
      <c r="G73">
        <v>21671.85</v>
      </c>
      <c r="H73">
        <v>0</v>
      </c>
      <c r="I73" s="8">
        <f t="shared" si="5"/>
        <v>1.120216559803433E-3</v>
      </c>
      <c r="J73" s="8">
        <f t="shared" si="6"/>
        <v>1.1195895854207109E-3</v>
      </c>
      <c r="K73" s="8">
        <f t="shared" si="3"/>
        <v>0.13486276245061246</v>
      </c>
    </row>
    <row r="74" spans="1:11" x14ac:dyDescent="0.25">
      <c r="A74" t="str">
        <f t="shared" si="4"/>
        <v>42017</v>
      </c>
      <c r="B74" s="1">
        <v>42844</v>
      </c>
      <c r="C74" t="s">
        <v>68</v>
      </c>
      <c r="D74">
        <v>21674.1</v>
      </c>
      <c r="E74">
        <v>21706.3</v>
      </c>
      <c r="F74">
        <v>21470.2</v>
      </c>
      <c r="G74">
        <v>21556.35</v>
      </c>
      <c r="H74">
        <v>0</v>
      </c>
      <c r="I74" s="8">
        <f t="shared" si="5"/>
        <v>-5.3294942517597699E-3</v>
      </c>
      <c r="J74" s="8">
        <f t="shared" si="6"/>
        <v>-5.3437466675824103E-3</v>
      </c>
      <c r="K74" s="8">
        <f t="shared" si="3"/>
        <v>0.13055506751175461</v>
      </c>
    </row>
    <row r="75" spans="1:11" x14ac:dyDescent="0.25">
      <c r="A75" t="str">
        <f t="shared" si="4"/>
        <v>42017</v>
      </c>
      <c r="B75" s="1">
        <v>42845</v>
      </c>
      <c r="C75" t="s">
        <v>69</v>
      </c>
      <c r="D75">
        <v>21419.45</v>
      </c>
      <c r="E75">
        <v>21558.85</v>
      </c>
      <c r="F75">
        <v>21396</v>
      </c>
      <c r="G75">
        <v>21491.4</v>
      </c>
      <c r="H75">
        <v>0</v>
      </c>
      <c r="I75" s="8">
        <f t="shared" si="5"/>
        <v>-3.0130332825361039E-3</v>
      </c>
      <c r="J75" s="8">
        <f t="shared" si="6"/>
        <v>-3.0175816057808075E-3</v>
      </c>
      <c r="K75" s="8">
        <f t="shared" si="3"/>
        <v>0.12141720368389475</v>
      </c>
    </row>
    <row r="76" spans="1:11" x14ac:dyDescent="0.25">
      <c r="A76" t="str">
        <f t="shared" si="4"/>
        <v>42017</v>
      </c>
      <c r="B76" s="1">
        <v>42846</v>
      </c>
      <c r="C76" t="s">
        <v>70</v>
      </c>
      <c r="D76">
        <v>21567.5</v>
      </c>
      <c r="E76">
        <v>21614.55</v>
      </c>
      <c r="F76">
        <v>21386.2</v>
      </c>
      <c r="G76">
        <v>21551.45</v>
      </c>
      <c r="H76">
        <v>0</v>
      </c>
      <c r="I76" s="8">
        <f t="shared" si="5"/>
        <v>2.7941409121787775E-3</v>
      </c>
      <c r="J76" s="8">
        <f t="shared" si="6"/>
        <v>2.7902445567501593E-3</v>
      </c>
      <c r="K76" s="8">
        <f t="shared" si="3"/>
        <v>0.1269173954534164</v>
      </c>
    </row>
    <row r="77" spans="1:11" x14ac:dyDescent="0.25">
      <c r="A77" t="str">
        <f t="shared" si="4"/>
        <v>42017</v>
      </c>
      <c r="B77" s="1">
        <v>42849</v>
      </c>
      <c r="C77" t="s">
        <v>71</v>
      </c>
      <c r="D77">
        <v>21591.9</v>
      </c>
      <c r="E77">
        <v>21884.85</v>
      </c>
      <c r="F77">
        <v>21578.65</v>
      </c>
      <c r="G77">
        <v>21857.4</v>
      </c>
      <c r="H77">
        <v>0</v>
      </c>
      <c r="I77" s="8">
        <f t="shared" si="5"/>
        <v>1.4196260576434527E-2</v>
      </c>
      <c r="J77" s="8">
        <f t="shared" si="6"/>
        <v>1.4096437304773311E-2</v>
      </c>
      <c r="K77" s="8">
        <f t="shared" si="3"/>
        <v>0.16134276970160677</v>
      </c>
    </row>
    <row r="78" spans="1:11" x14ac:dyDescent="0.25">
      <c r="A78" t="str">
        <f t="shared" si="4"/>
        <v>42017</v>
      </c>
      <c r="B78" s="1">
        <v>42850</v>
      </c>
      <c r="C78" t="s">
        <v>72</v>
      </c>
      <c r="D78">
        <v>21960.65</v>
      </c>
      <c r="E78">
        <v>22093.25</v>
      </c>
      <c r="F78">
        <v>21900.3</v>
      </c>
      <c r="G78">
        <v>22054.7</v>
      </c>
      <c r="H78">
        <v>0</v>
      </c>
      <c r="I78" s="8">
        <f t="shared" si="5"/>
        <v>9.0266911892540325E-3</v>
      </c>
      <c r="J78" s="8">
        <f t="shared" si="6"/>
        <v>8.9861941328472847E-3</v>
      </c>
      <c r="K78" s="8">
        <f t="shared" si="3"/>
        <v>0.17046389317879074</v>
      </c>
    </row>
    <row r="79" spans="1:11" x14ac:dyDescent="0.25">
      <c r="A79" t="str">
        <f t="shared" si="4"/>
        <v>42017</v>
      </c>
      <c r="B79" s="1">
        <v>42851</v>
      </c>
      <c r="C79" t="s">
        <v>73</v>
      </c>
      <c r="D79">
        <v>22158.65</v>
      </c>
      <c r="E79">
        <v>22276.05</v>
      </c>
      <c r="F79">
        <v>21814.9</v>
      </c>
      <c r="G79">
        <v>22242.85</v>
      </c>
      <c r="H79">
        <v>0</v>
      </c>
      <c r="I79" s="8">
        <f t="shared" si="5"/>
        <v>8.5310614064122436E-3</v>
      </c>
      <c r="J79" s="8">
        <f t="shared" si="6"/>
        <v>8.4948775475607117E-3</v>
      </c>
      <c r="K79" s="8">
        <f t="shared" si="3"/>
        <v>0.16923016269351066</v>
      </c>
    </row>
    <row r="80" spans="1:11" x14ac:dyDescent="0.25">
      <c r="A80" t="str">
        <f t="shared" si="4"/>
        <v>42017</v>
      </c>
      <c r="B80" s="1">
        <v>42852</v>
      </c>
      <c r="C80" t="s">
        <v>74</v>
      </c>
      <c r="D80">
        <v>22274.05</v>
      </c>
      <c r="E80">
        <v>22380.85</v>
      </c>
      <c r="F80">
        <v>22169.8</v>
      </c>
      <c r="G80">
        <v>22326.3</v>
      </c>
      <c r="H80">
        <v>0</v>
      </c>
      <c r="I80" s="8">
        <f t="shared" si="5"/>
        <v>3.7517674218907615E-3</v>
      </c>
      <c r="J80" s="8">
        <f t="shared" si="6"/>
        <v>3.7447470961043229E-3</v>
      </c>
      <c r="K80" s="8">
        <f t="shared" si="3"/>
        <v>0.14651418359591628</v>
      </c>
    </row>
    <row r="81" spans="1:11" x14ac:dyDescent="0.25">
      <c r="A81" t="str">
        <f t="shared" si="4"/>
        <v>42017</v>
      </c>
      <c r="B81" s="1">
        <v>42853</v>
      </c>
      <c r="C81" t="s">
        <v>75</v>
      </c>
      <c r="D81">
        <v>22296.799999999999</v>
      </c>
      <c r="E81">
        <v>22383</v>
      </c>
      <c r="F81">
        <v>22182.55</v>
      </c>
      <c r="G81">
        <v>22358.25</v>
      </c>
      <c r="H81">
        <v>0</v>
      </c>
      <c r="I81" s="8">
        <f t="shared" si="5"/>
        <v>1.4310476881524981E-3</v>
      </c>
      <c r="J81" s="8">
        <f t="shared" si="6"/>
        <v>1.4300247152419967E-3</v>
      </c>
      <c r="K81" s="8">
        <f t="shared" si="3"/>
        <v>0.13445857836546038</v>
      </c>
    </row>
    <row r="82" spans="1:11" x14ac:dyDescent="0.25">
      <c r="A82" t="str">
        <f t="shared" si="4"/>
        <v>52017</v>
      </c>
      <c r="B82" s="1">
        <v>42857</v>
      </c>
      <c r="C82" s="10">
        <v>42771.645833333336</v>
      </c>
      <c r="D82">
        <v>22412.55</v>
      </c>
      <c r="E82">
        <v>22492.15</v>
      </c>
      <c r="F82">
        <v>22266.15</v>
      </c>
      <c r="G82">
        <v>22341.35</v>
      </c>
      <c r="H82">
        <v>0</v>
      </c>
      <c r="I82" s="8">
        <f t="shared" si="5"/>
        <v>-7.5587311171498861E-4</v>
      </c>
      <c r="J82" s="8">
        <f t="shared" si="6"/>
        <v>-7.5615892783171634E-4</v>
      </c>
      <c r="K82" s="8">
        <f t="shared" si="3"/>
        <v>0.14072324836292616</v>
      </c>
    </row>
    <row r="83" spans="1:11" x14ac:dyDescent="0.25">
      <c r="A83" t="str">
        <f t="shared" si="4"/>
        <v>52017</v>
      </c>
      <c r="B83" s="1">
        <v>42858</v>
      </c>
      <c r="C83" s="10">
        <v>42799.645833333336</v>
      </c>
      <c r="D83">
        <v>22445.85</v>
      </c>
      <c r="E83">
        <v>22449</v>
      </c>
      <c r="F83">
        <v>22240.05</v>
      </c>
      <c r="G83">
        <v>22307.3</v>
      </c>
      <c r="H83">
        <v>0</v>
      </c>
      <c r="I83" s="8">
        <f t="shared" si="5"/>
        <v>-1.5240797892696056E-3</v>
      </c>
      <c r="J83" s="8">
        <f t="shared" si="6"/>
        <v>-1.5252423802760891E-3</v>
      </c>
      <c r="K83" s="8">
        <f t="shared" si="3"/>
        <v>0.14307602042515666</v>
      </c>
    </row>
    <row r="84" spans="1:11" x14ac:dyDescent="0.25">
      <c r="A84" t="str">
        <f t="shared" si="4"/>
        <v>52017</v>
      </c>
      <c r="B84" s="1">
        <v>42859</v>
      </c>
      <c r="C84" s="10">
        <v>42830.645833333336</v>
      </c>
      <c r="D84">
        <v>22618.3</v>
      </c>
      <c r="E84">
        <v>22743.7</v>
      </c>
      <c r="F84">
        <v>22449.9</v>
      </c>
      <c r="G84">
        <v>22720.1</v>
      </c>
      <c r="H84">
        <v>0</v>
      </c>
      <c r="I84" s="8">
        <f t="shared" si="5"/>
        <v>1.8505153021656451E-2</v>
      </c>
      <c r="J84" s="8">
        <f t="shared" si="6"/>
        <v>1.8336016094267726E-2</v>
      </c>
      <c r="K84" s="8">
        <f t="shared" si="3"/>
        <v>0.13483611879763835</v>
      </c>
    </row>
    <row r="85" spans="1:11" x14ac:dyDescent="0.25">
      <c r="A85" t="str">
        <f t="shared" si="4"/>
        <v>52017</v>
      </c>
      <c r="B85" s="1">
        <v>42860</v>
      </c>
      <c r="C85" s="10">
        <v>42860.645833333336</v>
      </c>
      <c r="D85">
        <v>22844.85</v>
      </c>
      <c r="E85">
        <v>22853.55</v>
      </c>
      <c r="F85">
        <v>22514</v>
      </c>
      <c r="G85">
        <v>22604.95</v>
      </c>
      <c r="H85">
        <v>0</v>
      </c>
      <c r="I85" s="8">
        <f t="shared" si="5"/>
        <v>-5.0681995237695787E-3</v>
      </c>
      <c r="J85" s="8">
        <f t="shared" si="6"/>
        <v>-5.0810864076149117E-3</v>
      </c>
      <c r="K85" s="8">
        <f t="shared" si="3"/>
        <v>0.1262885955865134</v>
      </c>
    </row>
    <row r="86" spans="1:11" x14ac:dyDescent="0.25">
      <c r="A86" t="str">
        <f t="shared" si="4"/>
        <v>52017</v>
      </c>
      <c r="B86" s="1">
        <v>42863</v>
      </c>
      <c r="C86" s="10">
        <v>42952.645833333336</v>
      </c>
      <c r="D86">
        <v>22678.45</v>
      </c>
      <c r="E86">
        <v>22835.15</v>
      </c>
      <c r="F86">
        <v>22632.5</v>
      </c>
      <c r="G86">
        <v>22767.35</v>
      </c>
      <c r="H86">
        <v>0</v>
      </c>
      <c r="I86" s="8">
        <f t="shared" si="5"/>
        <v>7.1842671627231347E-3</v>
      </c>
      <c r="J86" s="8">
        <f t="shared" si="6"/>
        <v>7.1585832553926147E-3</v>
      </c>
      <c r="K86" s="8">
        <f t="shared" si="3"/>
        <v>0.12727511288917048</v>
      </c>
    </row>
    <row r="87" spans="1:11" x14ac:dyDescent="0.25">
      <c r="A87" t="str">
        <f t="shared" si="4"/>
        <v>52017</v>
      </c>
      <c r="B87" s="1">
        <v>42864</v>
      </c>
      <c r="C87" s="10">
        <v>42983.645833333336</v>
      </c>
      <c r="D87">
        <v>22820.799999999999</v>
      </c>
      <c r="E87">
        <v>22835.35</v>
      </c>
      <c r="F87">
        <v>22664.35</v>
      </c>
      <c r="G87">
        <v>22707.3</v>
      </c>
      <c r="H87">
        <v>0</v>
      </c>
      <c r="I87" s="8">
        <f t="shared" si="5"/>
        <v>-2.6375489461882839E-3</v>
      </c>
      <c r="J87" s="8">
        <f t="shared" si="6"/>
        <v>-2.6410334067154245E-3</v>
      </c>
      <c r="K87" s="8">
        <f t="shared" si="3"/>
        <v>0.11465471538808925</v>
      </c>
    </row>
    <row r="88" spans="1:11" x14ac:dyDescent="0.25">
      <c r="A88" t="str">
        <f t="shared" si="4"/>
        <v>52017</v>
      </c>
      <c r="B88" s="1">
        <v>42865</v>
      </c>
      <c r="C88" s="10">
        <v>43013.645833333336</v>
      </c>
      <c r="D88">
        <v>22767.75</v>
      </c>
      <c r="E88">
        <v>22859.4</v>
      </c>
      <c r="F88">
        <v>22742.05</v>
      </c>
      <c r="G88">
        <v>22830.35</v>
      </c>
      <c r="H88">
        <v>0</v>
      </c>
      <c r="I88" s="8">
        <f t="shared" si="5"/>
        <v>5.418962183967313E-3</v>
      </c>
      <c r="J88" s="8">
        <f t="shared" si="6"/>
        <v>5.4043324366252251E-3</v>
      </c>
      <c r="K88" s="8">
        <f t="shared" si="3"/>
        <v>0.12314011978993711</v>
      </c>
    </row>
    <row r="89" spans="1:11" x14ac:dyDescent="0.25">
      <c r="A89" t="str">
        <f t="shared" si="4"/>
        <v>52017</v>
      </c>
      <c r="B89" s="1">
        <v>42866</v>
      </c>
      <c r="C89" s="10">
        <v>43044.645833333336</v>
      </c>
      <c r="D89">
        <v>22916.05</v>
      </c>
      <c r="E89">
        <v>22977.85</v>
      </c>
      <c r="F89">
        <v>22764.65</v>
      </c>
      <c r="G89">
        <v>22818.45</v>
      </c>
      <c r="H89">
        <v>0</v>
      </c>
      <c r="I89" s="8">
        <f t="shared" si="5"/>
        <v>-5.2123598630759993E-4</v>
      </c>
      <c r="J89" s="8">
        <f t="shared" si="6"/>
        <v>-5.213718770071111E-4</v>
      </c>
      <c r="K89" s="8">
        <f t="shared" si="3"/>
        <v>0.12709306805496556</v>
      </c>
    </row>
    <row r="90" spans="1:11" x14ac:dyDescent="0.25">
      <c r="A90" t="str">
        <f t="shared" si="4"/>
        <v>52017</v>
      </c>
      <c r="B90" s="1">
        <v>42867</v>
      </c>
      <c r="C90" s="10">
        <v>43074.645833333336</v>
      </c>
      <c r="D90">
        <v>22840.400000000001</v>
      </c>
      <c r="E90">
        <v>22859.15</v>
      </c>
      <c r="F90">
        <v>22578</v>
      </c>
      <c r="G90">
        <v>22671.7</v>
      </c>
      <c r="H90">
        <v>0</v>
      </c>
      <c r="I90" s="8">
        <f t="shared" si="5"/>
        <v>-6.4311993145896862E-3</v>
      </c>
      <c r="J90" s="8">
        <f t="shared" si="6"/>
        <v>-6.4519685722801111E-3</v>
      </c>
      <c r="K90" s="8">
        <f t="shared" si="3"/>
        <v>0.12508219133895571</v>
      </c>
    </row>
    <row r="91" spans="1:11" x14ac:dyDescent="0.25">
      <c r="A91" t="str">
        <f t="shared" si="4"/>
        <v>52017</v>
      </c>
      <c r="B91" s="1">
        <v>42870</v>
      </c>
      <c r="C91" t="s">
        <v>76</v>
      </c>
      <c r="D91">
        <v>22735.85</v>
      </c>
      <c r="E91">
        <v>22891.7</v>
      </c>
      <c r="F91">
        <v>22730.35</v>
      </c>
      <c r="G91">
        <v>22821.5</v>
      </c>
      <c r="H91">
        <v>0</v>
      </c>
      <c r="I91" s="8">
        <f t="shared" si="5"/>
        <v>6.6073563076434194E-3</v>
      </c>
      <c r="J91" s="8">
        <f t="shared" si="6"/>
        <v>6.5856234077714135E-3</v>
      </c>
      <c r="K91" s="8">
        <f t="shared" si="3"/>
        <v>0.12900034134926952</v>
      </c>
    </row>
    <row r="92" spans="1:11" x14ac:dyDescent="0.25">
      <c r="A92" t="str">
        <f t="shared" si="4"/>
        <v>52017</v>
      </c>
      <c r="B92" s="1">
        <v>42871</v>
      </c>
      <c r="C92" t="s">
        <v>77</v>
      </c>
      <c r="D92">
        <v>22857.599999999999</v>
      </c>
      <c r="E92">
        <v>22944.1</v>
      </c>
      <c r="F92">
        <v>22727.65</v>
      </c>
      <c r="G92">
        <v>22928.6</v>
      </c>
      <c r="H92">
        <v>0</v>
      </c>
      <c r="I92" s="8">
        <f t="shared" si="5"/>
        <v>4.6929430580811005E-3</v>
      </c>
      <c r="J92" s="8">
        <f t="shared" si="6"/>
        <v>4.681965532013152E-3</v>
      </c>
      <c r="K92" s="8">
        <f t="shared" si="3"/>
        <v>0.13217590535162294</v>
      </c>
    </row>
    <row r="93" spans="1:11" x14ac:dyDescent="0.25">
      <c r="A93" t="str">
        <f t="shared" si="4"/>
        <v>52017</v>
      </c>
      <c r="B93" s="1">
        <v>42872</v>
      </c>
      <c r="C93" t="s">
        <v>78</v>
      </c>
      <c r="D93">
        <v>22972.35</v>
      </c>
      <c r="E93">
        <v>22978.15</v>
      </c>
      <c r="F93">
        <v>22830.1</v>
      </c>
      <c r="G93">
        <v>22935.95</v>
      </c>
      <c r="H93">
        <v>0</v>
      </c>
      <c r="I93" s="8">
        <f t="shared" si="5"/>
        <v>3.2056034821148494E-4</v>
      </c>
      <c r="J93" s="8">
        <f t="shared" si="6"/>
        <v>3.2050897972056986E-4</v>
      </c>
      <c r="K93" s="8">
        <f t="shared" si="3"/>
        <v>0.13218663152023158</v>
      </c>
    </row>
    <row r="94" spans="1:11" x14ac:dyDescent="0.25">
      <c r="A94" t="str">
        <f t="shared" si="4"/>
        <v>52017</v>
      </c>
      <c r="B94" s="1">
        <v>42873</v>
      </c>
      <c r="C94" t="s">
        <v>79</v>
      </c>
      <c r="D94">
        <v>22750.45</v>
      </c>
      <c r="E94">
        <v>22834.55</v>
      </c>
      <c r="F94">
        <v>22660.2</v>
      </c>
      <c r="G94">
        <v>22698.6</v>
      </c>
      <c r="H94">
        <v>0</v>
      </c>
      <c r="I94" s="8">
        <f t="shared" si="5"/>
        <v>-1.0348383214996648E-2</v>
      </c>
      <c r="J94" s="8">
        <f t="shared" si="6"/>
        <v>-1.0402300022993921E-2</v>
      </c>
      <c r="K94" s="8">
        <f t="shared" si="3"/>
        <v>0.12571601442195623</v>
      </c>
    </row>
    <row r="95" spans="1:11" x14ac:dyDescent="0.25">
      <c r="A95" t="str">
        <f t="shared" si="4"/>
        <v>52017</v>
      </c>
      <c r="B95" s="1">
        <v>42874</v>
      </c>
      <c r="C95" t="s">
        <v>80</v>
      </c>
      <c r="D95">
        <v>22761.95</v>
      </c>
      <c r="E95">
        <v>22902.25</v>
      </c>
      <c r="F95">
        <v>22628.45</v>
      </c>
      <c r="G95">
        <v>22769.8</v>
      </c>
      <c r="H95">
        <v>0</v>
      </c>
      <c r="I95" s="8">
        <f t="shared" si="5"/>
        <v>3.1367573330514098E-3</v>
      </c>
      <c r="J95" s="8">
        <f t="shared" si="6"/>
        <v>3.1318479734023397E-3</v>
      </c>
      <c r="K95" s="8">
        <f t="shared" si="3"/>
        <v>0.12478450085705672</v>
      </c>
    </row>
    <row r="96" spans="1:11" x14ac:dyDescent="0.25">
      <c r="A96" t="str">
        <f t="shared" si="4"/>
        <v>52017</v>
      </c>
      <c r="B96" s="1">
        <v>42877</v>
      </c>
      <c r="C96" t="s">
        <v>81</v>
      </c>
      <c r="D96">
        <v>22874.799999999999</v>
      </c>
      <c r="E96">
        <v>22918.35</v>
      </c>
      <c r="F96">
        <v>22637.75</v>
      </c>
      <c r="G96">
        <v>22652.85</v>
      </c>
      <c r="H96">
        <v>0</v>
      </c>
      <c r="I96" s="8">
        <f t="shared" si="5"/>
        <v>-5.1361891628385337E-3</v>
      </c>
      <c r="J96" s="8">
        <f t="shared" si="6"/>
        <v>-5.1494247220717788E-3</v>
      </c>
      <c r="K96" s="8">
        <f t="shared" si="3"/>
        <v>0.10225605617149247</v>
      </c>
    </row>
    <row r="97" spans="1:11" x14ac:dyDescent="0.25">
      <c r="A97" t="str">
        <f t="shared" si="4"/>
        <v>52017</v>
      </c>
      <c r="B97" s="1">
        <v>42878</v>
      </c>
      <c r="C97" t="s">
        <v>82</v>
      </c>
      <c r="D97">
        <v>22674.9</v>
      </c>
      <c r="E97">
        <v>22740.400000000001</v>
      </c>
      <c r="F97">
        <v>22492.2</v>
      </c>
      <c r="G97">
        <v>22582.799999999999</v>
      </c>
      <c r="H97">
        <v>0</v>
      </c>
      <c r="I97" s="8">
        <f t="shared" si="5"/>
        <v>-3.0923261311490702E-3</v>
      </c>
      <c r="J97" s="8">
        <f t="shared" si="6"/>
        <v>-3.09711725128658E-3</v>
      </c>
      <c r="K97" s="8">
        <f t="shared" si="3"/>
        <v>9.2164761983063448E-2</v>
      </c>
    </row>
    <row r="98" spans="1:11" x14ac:dyDescent="0.25">
      <c r="A98" t="str">
        <f t="shared" si="4"/>
        <v>52017</v>
      </c>
      <c r="B98" s="1">
        <v>42879</v>
      </c>
      <c r="C98" t="s">
        <v>83</v>
      </c>
      <c r="D98">
        <v>22624.5</v>
      </c>
      <c r="E98">
        <v>22673.4</v>
      </c>
      <c r="F98">
        <v>22469.8</v>
      </c>
      <c r="G98">
        <v>22536.3</v>
      </c>
      <c r="H98">
        <v>0</v>
      </c>
      <c r="I98" s="8">
        <f t="shared" si="5"/>
        <v>-2.0590892183431908E-3</v>
      </c>
      <c r="J98" s="8">
        <f t="shared" si="6"/>
        <v>-2.061212057124616E-3</v>
      </c>
      <c r="K98" s="8">
        <f t="shared" si="3"/>
        <v>8.0310340612484099E-2</v>
      </c>
    </row>
    <row r="99" spans="1:11" x14ac:dyDescent="0.25">
      <c r="A99" t="str">
        <f t="shared" si="4"/>
        <v>52017</v>
      </c>
      <c r="B99" s="1">
        <v>42880</v>
      </c>
      <c r="C99" t="s">
        <v>84</v>
      </c>
      <c r="D99">
        <v>22573.65</v>
      </c>
      <c r="E99">
        <v>23267.8</v>
      </c>
      <c r="F99">
        <v>22570.35</v>
      </c>
      <c r="G99">
        <v>23190.799999999999</v>
      </c>
      <c r="H99">
        <v>0</v>
      </c>
      <c r="I99" s="8">
        <f t="shared" si="5"/>
        <v>2.9042034406712824E-2</v>
      </c>
      <c r="J99" s="8">
        <f t="shared" si="6"/>
        <v>2.8628305781153E-2</v>
      </c>
      <c r="K99" s="8">
        <f t="shared" si="3"/>
        <v>0.11128521763715082</v>
      </c>
    </row>
    <row r="100" spans="1:11" x14ac:dyDescent="0.25">
      <c r="A100" t="str">
        <f t="shared" si="4"/>
        <v>52017</v>
      </c>
      <c r="B100" s="1">
        <v>42881</v>
      </c>
      <c r="C100" t="s">
        <v>85</v>
      </c>
      <c r="D100">
        <v>23151.4</v>
      </c>
      <c r="E100">
        <v>23408.35</v>
      </c>
      <c r="F100">
        <v>23092.35</v>
      </c>
      <c r="G100">
        <v>23362.2</v>
      </c>
      <c r="H100">
        <v>0</v>
      </c>
      <c r="I100" s="8">
        <f t="shared" si="5"/>
        <v>7.3908618935094594E-3</v>
      </c>
      <c r="J100" s="8">
        <f t="shared" si="6"/>
        <v>7.363683307042043E-3</v>
      </c>
      <c r="K100" s="8">
        <f t="shared" si="3"/>
        <v>0.11905885283318929</v>
      </c>
    </row>
    <row r="101" spans="1:11" x14ac:dyDescent="0.25">
      <c r="A101" t="str">
        <f t="shared" si="4"/>
        <v>52017</v>
      </c>
      <c r="B101" s="1">
        <v>42884</v>
      </c>
      <c r="C101" t="s">
        <v>86</v>
      </c>
      <c r="D101">
        <v>23310.6</v>
      </c>
      <c r="E101">
        <v>23464</v>
      </c>
      <c r="F101">
        <v>23141.15</v>
      </c>
      <c r="G101">
        <v>23182.75</v>
      </c>
      <c r="H101">
        <v>0</v>
      </c>
      <c r="I101" s="8">
        <f t="shared" si="5"/>
        <v>-7.6812115297361094E-3</v>
      </c>
      <c r="J101" s="8">
        <f t="shared" si="6"/>
        <v>-7.710863977094703E-3</v>
      </c>
      <c r="K101" s="8">
        <f t="shared" si="3"/>
        <v>0.12466374456958107</v>
      </c>
    </row>
    <row r="102" spans="1:11" x14ac:dyDescent="0.25">
      <c r="A102" t="str">
        <f t="shared" si="4"/>
        <v>52017</v>
      </c>
      <c r="B102" s="1">
        <v>42885</v>
      </c>
      <c r="C102" t="s">
        <v>87</v>
      </c>
      <c r="D102">
        <v>23142.1</v>
      </c>
      <c r="E102">
        <v>23337.15</v>
      </c>
      <c r="F102">
        <v>23093.95</v>
      </c>
      <c r="G102">
        <v>23307.25</v>
      </c>
      <c r="H102">
        <v>0</v>
      </c>
      <c r="I102" s="8">
        <f t="shared" si="5"/>
        <v>5.3703723673852455E-3</v>
      </c>
      <c r="J102" s="8">
        <f t="shared" si="6"/>
        <v>5.3560033394327872E-3</v>
      </c>
      <c r="K102" s="8">
        <f t="shared" si="3"/>
        <v>0.13102184910650383</v>
      </c>
    </row>
    <row r="103" spans="1:11" x14ac:dyDescent="0.25">
      <c r="A103" t="str">
        <f t="shared" si="4"/>
        <v>52017</v>
      </c>
      <c r="B103" s="1">
        <v>42886</v>
      </c>
      <c r="C103" t="s">
        <v>88</v>
      </c>
      <c r="D103">
        <v>23321.200000000001</v>
      </c>
      <c r="E103">
        <v>23469.45</v>
      </c>
      <c r="F103">
        <v>23248.5</v>
      </c>
      <c r="G103">
        <v>23424.799999999999</v>
      </c>
      <c r="H103">
        <v>0</v>
      </c>
      <c r="I103" s="8">
        <f t="shared" si="5"/>
        <v>5.0434950498234876E-3</v>
      </c>
      <c r="J103" s="8">
        <f t="shared" si="6"/>
        <v>5.0308192310858212E-3</v>
      </c>
      <c r="K103" s="8">
        <f t="shared" si="3"/>
        <v>0.12707283334335706</v>
      </c>
    </row>
    <row r="104" spans="1:11" x14ac:dyDescent="0.25">
      <c r="A104" t="str">
        <f t="shared" si="4"/>
        <v>62017</v>
      </c>
      <c r="B104" s="1">
        <v>42887</v>
      </c>
      <c r="C104" s="10">
        <v>42741.645833333336</v>
      </c>
      <c r="D104">
        <v>23394.1</v>
      </c>
      <c r="E104">
        <v>23396.15</v>
      </c>
      <c r="F104">
        <v>23224.05</v>
      </c>
      <c r="G104">
        <v>23310.15</v>
      </c>
      <c r="H104">
        <v>0</v>
      </c>
      <c r="I104" s="8">
        <f t="shared" si="5"/>
        <v>-4.8943854376557461E-3</v>
      </c>
      <c r="J104" s="8">
        <f t="shared" si="6"/>
        <v>-4.9064021677686451E-3</v>
      </c>
      <c r="K104" s="8">
        <f t="shared" si="3"/>
        <v>0.13375940233608397</v>
      </c>
    </row>
    <row r="105" spans="1:11" x14ac:dyDescent="0.25">
      <c r="A105" t="str">
        <f t="shared" si="4"/>
        <v>62017</v>
      </c>
      <c r="B105" s="1">
        <v>42888</v>
      </c>
      <c r="C105" s="10">
        <v>42772.645833333336</v>
      </c>
      <c r="D105">
        <v>23435.200000000001</v>
      </c>
      <c r="E105">
        <v>23453.3</v>
      </c>
      <c r="F105">
        <v>23308.400000000001</v>
      </c>
      <c r="G105">
        <v>23375.9</v>
      </c>
      <c r="H105">
        <v>0</v>
      </c>
      <c r="I105" s="8">
        <f t="shared" si="5"/>
        <v>2.8206596697146757E-3</v>
      </c>
      <c r="J105" s="8">
        <f t="shared" si="6"/>
        <v>2.8166890739423434E-3</v>
      </c>
      <c r="K105" s="8">
        <f t="shared" si="3"/>
        <v>0.14053260211947949</v>
      </c>
    </row>
    <row r="106" spans="1:11" x14ac:dyDescent="0.25">
      <c r="A106" t="str">
        <f t="shared" si="4"/>
        <v>62017</v>
      </c>
      <c r="B106" s="1">
        <v>42891</v>
      </c>
      <c r="C106" s="10">
        <v>42861.645833333336</v>
      </c>
      <c r="D106">
        <v>23397.4</v>
      </c>
      <c r="E106">
        <v>23494.7</v>
      </c>
      <c r="F106">
        <v>23349.95</v>
      </c>
      <c r="G106">
        <v>23459.65</v>
      </c>
      <c r="H106">
        <v>0</v>
      </c>
      <c r="I106" s="8">
        <f t="shared" si="5"/>
        <v>3.5827497550895426E-3</v>
      </c>
      <c r="J106" s="8">
        <f t="shared" si="6"/>
        <v>3.576346995618488E-3</v>
      </c>
      <c r="K106" s="8">
        <f t="shared" si="3"/>
        <v>0.13531007348653312</v>
      </c>
    </row>
    <row r="107" spans="1:11" x14ac:dyDescent="0.25">
      <c r="A107" t="str">
        <f t="shared" si="4"/>
        <v>62017</v>
      </c>
      <c r="B107" s="1">
        <v>42892</v>
      </c>
      <c r="C107" s="10">
        <v>42892.645833333336</v>
      </c>
      <c r="D107">
        <v>23523.05</v>
      </c>
      <c r="E107">
        <v>23536.1</v>
      </c>
      <c r="F107">
        <v>23381.7</v>
      </c>
      <c r="G107">
        <v>23416.3</v>
      </c>
      <c r="H107">
        <v>0</v>
      </c>
      <c r="I107" s="8">
        <f t="shared" si="5"/>
        <v>-1.8478536551057578E-3</v>
      </c>
      <c r="J107" s="8">
        <f t="shared" si="6"/>
        <v>-1.8495630427945481E-3</v>
      </c>
      <c r="K107" s="8">
        <f t="shared" si="3"/>
        <v>0.13519815779905464</v>
      </c>
    </row>
    <row r="108" spans="1:11" x14ac:dyDescent="0.25">
      <c r="A108" t="str">
        <f t="shared" si="4"/>
        <v>62017</v>
      </c>
      <c r="B108" s="1">
        <v>42893</v>
      </c>
      <c r="C108" s="10">
        <v>42922.645833333336</v>
      </c>
      <c r="D108">
        <v>23482.85</v>
      </c>
      <c r="E108">
        <v>23606.15</v>
      </c>
      <c r="F108">
        <v>23427.55</v>
      </c>
      <c r="G108">
        <v>23567.65</v>
      </c>
      <c r="H108">
        <v>0</v>
      </c>
      <c r="I108" s="8">
        <f t="shared" si="5"/>
        <v>6.4634464027195637E-3</v>
      </c>
      <c r="J108" s="8">
        <f t="shared" si="6"/>
        <v>6.4426479048976465E-3</v>
      </c>
      <c r="K108" s="8">
        <f t="shared" si="3"/>
        <v>0.13982506752819024</v>
      </c>
    </row>
    <row r="109" spans="1:11" x14ac:dyDescent="0.25">
      <c r="A109" t="str">
        <f t="shared" si="4"/>
        <v>62017</v>
      </c>
      <c r="B109" s="1">
        <v>42894</v>
      </c>
      <c r="C109" s="10">
        <v>42953.645833333336</v>
      </c>
      <c r="D109">
        <v>23630.35</v>
      </c>
      <c r="E109">
        <v>23659.1</v>
      </c>
      <c r="F109">
        <v>23514.2</v>
      </c>
      <c r="G109">
        <v>23536.1</v>
      </c>
      <c r="H109">
        <v>0</v>
      </c>
      <c r="I109" s="8">
        <f t="shared" si="5"/>
        <v>-1.3386994460627966E-3</v>
      </c>
      <c r="J109" s="8">
        <f t="shared" si="6"/>
        <v>-1.3395963046716798E-3</v>
      </c>
      <c r="K109" s="8">
        <f t="shared" si="3"/>
        <v>0.1358381572629197</v>
      </c>
    </row>
    <row r="110" spans="1:11" x14ac:dyDescent="0.25">
      <c r="A110" t="str">
        <f t="shared" si="4"/>
        <v>62017</v>
      </c>
      <c r="B110" s="1">
        <v>42895</v>
      </c>
      <c r="C110" s="10">
        <v>42984.645833333336</v>
      </c>
      <c r="D110">
        <v>23483.95</v>
      </c>
      <c r="E110">
        <v>23708.65</v>
      </c>
      <c r="F110">
        <v>23476.85</v>
      </c>
      <c r="G110">
        <v>23690.9</v>
      </c>
      <c r="H110">
        <v>0</v>
      </c>
      <c r="I110" s="8">
        <f t="shared" si="5"/>
        <v>6.5771304506694328E-3</v>
      </c>
      <c r="J110" s="8">
        <f t="shared" si="6"/>
        <v>6.555595502057786E-3</v>
      </c>
      <c r="K110" s="8">
        <f t="shared" si="3"/>
        <v>0.14296672785736875</v>
      </c>
    </row>
    <row r="111" spans="1:11" x14ac:dyDescent="0.25">
      <c r="A111" t="str">
        <f t="shared" si="4"/>
        <v>62017</v>
      </c>
      <c r="B111" s="1">
        <v>42898</v>
      </c>
      <c r="C111" s="10">
        <v>43075.645833333336</v>
      </c>
      <c r="D111">
        <v>23610.15</v>
      </c>
      <c r="E111">
        <v>23630.1</v>
      </c>
      <c r="F111">
        <v>23441.8</v>
      </c>
      <c r="G111">
        <v>23470.45</v>
      </c>
      <c r="H111">
        <v>0</v>
      </c>
      <c r="I111" s="8">
        <f t="shared" si="5"/>
        <v>-9.3052606697086038E-3</v>
      </c>
      <c r="J111" s="8">
        <f t="shared" si="6"/>
        <v>-9.348825070454269E-3</v>
      </c>
      <c r="K111" s="8">
        <f t="shared" si="3"/>
        <v>0.11220128230036908</v>
      </c>
    </row>
    <row r="112" spans="1:11" x14ac:dyDescent="0.25">
      <c r="A112" t="str">
        <f t="shared" si="4"/>
        <v>62017</v>
      </c>
      <c r="B112" s="1">
        <v>42899</v>
      </c>
      <c r="C112" t="s">
        <v>89</v>
      </c>
      <c r="D112">
        <v>23447</v>
      </c>
      <c r="E112">
        <v>23615.200000000001</v>
      </c>
      <c r="F112">
        <v>23446.9</v>
      </c>
      <c r="G112">
        <v>23477.85</v>
      </c>
      <c r="H112">
        <v>0</v>
      </c>
      <c r="I112" s="8">
        <f t="shared" si="5"/>
        <v>3.1529007752295612E-4</v>
      </c>
      <c r="J112" s="8">
        <f t="shared" si="6"/>
        <v>3.1524038405142851E-4</v>
      </c>
      <c r="K112" s="8">
        <f t="shared" si="3"/>
        <v>0.10964935083349459</v>
      </c>
    </row>
    <row r="113" spans="1:11" x14ac:dyDescent="0.25">
      <c r="A113" t="str">
        <f t="shared" si="4"/>
        <v>62017</v>
      </c>
      <c r="B113" s="1">
        <v>42900</v>
      </c>
      <c r="C113" t="s">
        <v>90</v>
      </c>
      <c r="D113">
        <v>23555.3</v>
      </c>
      <c r="E113">
        <v>23562.799999999999</v>
      </c>
      <c r="F113">
        <v>23399.4</v>
      </c>
      <c r="G113">
        <v>23498.7</v>
      </c>
      <c r="H113">
        <v>0</v>
      </c>
      <c r="I113" s="8">
        <f t="shared" si="5"/>
        <v>8.8807109679978069E-4</v>
      </c>
      <c r="J113" s="8">
        <f t="shared" si="6"/>
        <v>8.8767699497299679E-4</v>
      </c>
      <c r="K113" s="8">
        <f t="shared" si="3"/>
        <v>0.10582638035943703</v>
      </c>
    </row>
    <row r="114" spans="1:11" x14ac:dyDescent="0.25">
      <c r="A114" t="str">
        <f t="shared" si="4"/>
        <v>62017</v>
      </c>
      <c r="B114" s="1">
        <v>42901</v>
      </c>
      <c r="C114" t="s">
        <v>91</v>
      </c>
      <c r="D114">
        <v>23444.7</v>
      </c>
      <c r="E114">
        <v>23473.3</v>
      </c>
      <c r="F114">
        <v>23311.85</v>
      </c>
      <c r="G114">
        <v>23391.75</v>
      </c>
      <c r="H114">
        <v>0</v>
      </c>
      <c r="I114" s="8">
        <f t="shared" si="5"/>
        <v>-4.5513156046930181E-3</v>
      </c>
      <c r="J114" s="8">
        <f t="shared" si="6"/>
        <v>-4.5617043752600546E-3</v>
      </c>
      <c r="K114" s="8">
        <f t="shared" si="3"/>
        <v>0.10468452258672367</v>
      </c>
    </row>
    <row r="115" spans="1:11" x14ac:dyDescent="0.25">
      <c r="A115" t="str">
        <f t="shared" si="4"/>
        <v>62017</v>
      </c>
      <c r="B115" s="1">
        <v>42902</v>
      </c>
      <c r="C115" t="s">
        <v>92</v>
      </c>
      <c r="D115">
        <v>23448.6</v>
      </c>
      <c r="E115">
        <v>23527.65</v>
      </c>
      <c r="F115">
        <v>23391</v>
      </c>
      <c r="G115">
        <v>23502.75</v>
      </c>
      <c r="H115">
        <v>0</v>
      </c>
      <c r="I115" s="8">
        <f t="shared" si="5"/>
        <v>4.7452627528936642E-3</v>
      </c>
      <c r="J115" s="8">
        <f t="shared" si="6"/>
        <v>4.7340394844970716E-3</v>
      </c>
      <c r="K115" s="8">
        <f t="shared" si="3"/>
        <v>0.11333357018509971</v>
      </c>
    </row>
    <row r="116" spans="1:11" x14ac:dyDescent="0.25">
      <c r="A116" t="str">
        <f t="shared" si="4"/>
        <v>62017</v>
      </c>
      <c r="B116" s="1">
        <v>42905</v>
      </c>
      <c r="C116" t="s">
        <v>93</v>
      </c>
      <c r="D116">
        <v>23571.35</v>
      </c>
      <c r="E116">
        <v>23806.65</v>
      </c>
      <c r="F116">
        <v>23535.7</v>
      </c>
      <c r="G116">
        <v>23742.15</v>
      </c>
      <c r="H116">
        <v>0</v>
      </c>
      <c r="I116" s="8">
        <f t="shared" si="5"/>
        <v>1.0186042058908162E-2</v>
      </c>
      <c r="J116" s="8">
        <f t="shared" si="6"/>
        <v>1.0134513948745247E-2</v>
      </c>
      <c r="K116" s="8">
        <f t="shared" si="3"/>
        <v>0.12955659165516931</v>
      </c>
    </row>
    <row r="117" spans="1:11" x14ac:dyDescent="0.25">
      <c r="A117" t="str">
        <f t="shared" si="4"/>
        <v>62017</v>
      </c>
      <c r="B117" s="1">
        <v>42906</v>
      </c>
      <c r="C117" t="s">
        <v>94</v>
      </c>
      <c r="D117">
        <v>23720.6</v>
      </c>
      <c r="E117">
        <v>23760.35</v>
      </c>
      <c r="F117">
        <v>23651.200000000001</v>
      </c>
      <c r="G117">
        <v>23697.95</v>
      </c>
      <c r="H117">
        <v>0</v>
      </c>
      <c r="I117" s="8">
        <f t="shared" si="5"/>
        <v>-1.8616679618316256E-3</v>
      </c>
      <c r="J117" s="8">
        <f t="shared" si="6"/>
        <v>-1.8634030193667727E-3</v>
      </c>
      <c r="K117" s="8">
        <f t="shared" si="3"/>
        <v>0.14034699381897719</v>
      </c>
    </row>
    <row r="118" spans="1:11" x14ac:dyDescent="0.25">
      <c r="A118" t="str">
        <f t="shared" si="4"/>
        <v>62017</v>
      </c>
      <c r="B118" s="1">
        <v>42907</v>
      </c>
      <c r="C118" t="s">
        <v>95</v>
      </c>
      <c r="D118">
        <v>23638.15</v>
      </c>
      <c r="E118">
        <v>23760.75</v>
      </c>
      <c r="F118">
        <v>23610.2</v>
      </c>
      <c r="G118">
        <v>23708.75</v>
      </c>
      <c r="H118">
        <v>0</v>
      </c>
      <c r="I118" s="8">
        <f t="shared" si="5"/>
        <v>4.5573562270151413E-4</v>
      </c>
      <c r="J118" s="8">
        <f t="shared" si="6"/>
        <v>4.5563180676316448E-4</v>
      </c>
      <c r="K118" s="8">
        <f t="shared" si="3"/>
        <v>0.13463425139384078</v>
      </c>
    </row>
    <row r="119" spans="1:11" x14ac:dyDescent="0.25">
      <c r="A119" t="str">
        <f t="shared" si="4"/>
        <v>62017</v>
      </c>
      <c r="B119" s="1">
        <v>42908</v>
      </c>
      <c r="C119" t="s">
        <v>96</v>
      </c>
      <c r="D119">
        <v>23716.85</v>
      </c>
      <c r="E119">
        <v>23897.85</v>
      </c>
      <c r="F119">
        <v>23694.15</v>
      </c>
      <c r="G119">
        <v>23736.1</v>
      </c>
      <c r="H119">
        <v>0</v>
      </c>
      <c r="I119" s="8">
        <f t="shared" si="5"/>
        <v>1.1535825380923903E-3</v>
      </c>
      <c r="J119" s="8">
        <f t="shared" si="6"/>
        <v>1.1529176730249921E-3</v>
      </c>
      <c r="K119" s="8">
        <f t="shared" si="3"/>
        <v>0.12373269325909986</v>
      </c>
    </row>
    <row r="120" spans="1:11" x14ac:dyDescent="0.25">
      <c r="A120" t="str">
        <f t="shared" si="4"/>
        <v>62017</v>
      </c>
      <c r="B120" s="1">
        <v>42909</v>
      </c>
      <c r="C120" t="s">
        <v>97</v>
      </c>
      <c r="D120">
        <v>23772.3</v>
      </c>
      <c r="E120">
        <v>23786.5</v>
      </c>
      <c r="F120">
        <v>23507.5</v>
      </c>
      <c r="G120">
        <v>23542.75</v>
      </c>
      <c r="H120">
        <v>0</v>
      </c>
      <c r="I120" s="8">
        <f t="shared" si="5"/>
        <v>-8.1458200799625624E-3</v>
      </c>
      <c r="J120" s="8">
        <f t="shared" si="6"/>
        <v>-8.179178550591604E-3</v>
      </c>
      <c r="K120" s="8">
        <f t="shared" si="3"/>
        <v>0.11805393956375343</v>
      </c>
    </row>
    <row r="121" spans="1:11" x14ac:dyDescent="0.25">
      <c r="A121" t="str">
        <f t="shared" si="4"/>
        <v>62017</v>
      </c>
      <c r="B121" s="1">
        <v>42913</v>
      </c>
      <c r="C121" t="s">
        <v>98</v>
      </c>
      <c r="D121">
        <v>23636.95</v>
      </c>
      <c r="E121">
        <v>23640.1</v>
      </c>
      <c r="F121">
        <v>23055.75</v>
      </c>
      <c r="G121">
        <v>23216.25</v>
      </c>
      <c r="H121">
        <v>0</v>
      </c>
      <c r="I121" s="8">
        <f t="shared" si="5"/>
        <v>-1.3868388357349937E-2</v>
      </c>
      <c r="J121" s="8">
        <f t="shared" si="6"/>
        <v>-1.3965452919414015E-2</v>
      </c>
      <c r="K121" s="8">
        <f t="shared" si="3"/>
        <v>9.3795641071546365E-2</v>
      </c>
    </row>
    <row r="122" spans="1:11" x14ac:dyDescent="0.25">
      <c r="A122" t="str">
        <f t="shared" si="4"/>
        <v>62017</v>
      </c>
      <c r="B122" s="1">
        <v>42914</v>
      </c>
      <c r="C122" t="s">
        <v>99</v>
      </c>
      <c r="D122">
        <v>23209.55</v>
      </c>
      <c r="E122">
        <v>23322.55</v>
      </c>
      <c r="F122">
        <v>23113.65</v>
      </c>
      <c r="G122">
        <v>23235.85</v>
      </c>
      <c r="H122">
        <v>0</v>
      </c>
      <c r="I122" s="8">
        <f t="shared" si="5"/>
        <v>8.4423625693208493E-4</v>
      </c>
      <c r="J122" s="8">
        <f t="shared" si="6"/>
        <v>8.4388008994861635E-4</v>
      </c>
      <c r="K122" s="8">
        <f t="shared" si="3"/>
        <v>8.6236597845370522E-2</v>
      </c>
    </row>
    <row r="123" spans="1:11" x14ac:dyDescent="0.25">
      <c r="A123" t="str">
        <f t="shared" si="4"/>
        <v>62017</v>
      </c>
      <c r="B123" s="1">
        <v>42915</v>
      </c>
      <c r="C123" t="s">
        <v>100</v>
      </c>
      <c r="D123">
        <v>23312.400000000001</v>
      </c>
      <c r="E123">
        <v>23476</v>
      </c>
      <c r="F123">
        <v>23124.35</v>
      </c>
      <c r="G123">
        <v>23227.3</v>
      </c>
      <c r="H123">
        <v>0</v>
      </c>
      <c r="I123" s="8">
        <f t="shared" si="5"/>
        <v>-3.6796588030996169E-4</v>
      </c>
      <c r="J123" s="8">
        <f t="shared" si="6"/>
        <v>-3.6803359636647289E-4</v>
      </c>
      <c r="K123" s="8">
        <f t="shared" si="3"/>
        <v>7.4308417396291349E-2</v>
      </c>
    </row>
    <row r="124" spans="1:11" x14ac:dyDescent="0.25">
      <c r="A124" t="str">
        <f t="shared" si="4"/>
        <v>62017</v>
      </c>
      <c r="B124" s="1">
        <v>42916</v>
      </c>
      <c r="C124" t="s">
        <v>101</v>
      </c>
      <c r="D124">
        <v>23137.25</v>
      </c>
      <c r="E124">
        <v>23254.1</v>
      </c>
      <c r="F124">
        <v>22996.400000000001</v>
      </c>
      <c r="G124">
        <v>23211.200000000001</v>
      </c>
      <c r="H124">
        <v>0</v>
      </c>
      <c r="I124" s="8">
        <f t="shared" si="5"/>
        <v>-6.9314987105684178E-4</v>
      </c>
      <c r="J124" s="8">
        <f t="shared" si="6"/>
        <v>-6.9339021049596647E-4</v>
      </c>
      <c r="K124" s="8">
        <f t="shared" si="3"/>
        <v>8.2402426769072168E-2</v>
      </c>
    </row>
    <row r="125" spans="1:11" x14ac:dyDescent="0.25">
      <c r="A125" t="str">
        <f t="shared" si="4"/>
        <v>72017</v>
      </c>
      <c r="B125" s="1">
        <v>42919</v>
      </c>
      <c r="C125" s="10">
        <v>42801.645833333336</v>
      </c>
      <c r="D125">
        <v>23240.35</v>
      </c>
      <c r="E125">
        <v>23330.1</v>
      </c>
      <c r="F125">
        <v>23144.3</v>
      </c>
      <c r="G125">
        <v>23272.799999999999</v>
      </c>
      <c r="H125">
        <v>0</v>
      </c>
      <c r="I125" s="8">
        <f t="shared" si="5"/>
        <v>2.653891224925875E-3</v>
      </c>
      <c r="J125" s="8">
        <f t="shared" si="6"/>
        <v>2.6503758738084322E-3</v>
      </c>
      <c r="K125" s="8">
        <f t="shared" si="3"/>
        <v>8.0057082526017842E-2</v>
      </c>
    </row>
    <row r="126" spans="1:11" x14ac:dyDescent="0.25">
      <c r="A126" t="str">
        <f t="shared" si="4"/>
        <v>72017</v>
      </c>
      <c r="B126" s="1">
        <v>42920</v>
      </c>
      <c r="C126" s="10">
        <v>42832.645833333336</v>
      </c>
      <c r="D126">
        <v>23325.5</v>
      </c>
      <c r="E126">
        <v>23363.05</v>
      </c>
      <c r="F126">
        <v>23163.7</v>
      </c>
      <c r="G126">
        <v>23214.2</v>
      </c>
      <c r="H126">
        <v>0</v>
      </c>
      <c r="I126" s="8">
        <f t="shared" si="5"/>
        <v>-2.5179608813722387E-3</v>
      </c>
      <c r="J126" s="8">
        <f t="shared" si="6"/>
        <v>-2.5211362763391436E-3</v>
      </c>
      <c r="K126" s="8">
        <f t="shared" si="3"/>
        <v>7.2115717670313551E-2</v>
      </c>
    </row>
    <row r="127" spans="1:11" x14ac:dyDescent="0.25">
      <c r="A127" t="str">
        <f t="shared" si="4"/>
        <v>72017</v>
      </c>
      <c r="B127" s="1">
        <v>42921</v>
      </c>
      <c r="C127" s="10">
        <v>42862.645833333336</v>
      </c>
      <c r="D127">
        <v>23241.9</v>
      </c>
      <c r="E127">
        <v>23380.35</v>
      </c>
      <c r="F127">
        <v>23205.55</v>
      </c>
      <c r="G127">
        <v>23352.6</v>
      </c>
      <c r="H127">
        <v>0</v>
      </c>
      <c r="I127" s="8">
        <f t="shared" si="5"/>
        <v>5.9618681668978102E-3</v>
      </c>
      <c r="J127" s="8">
        <f t="shared" si="6"/>
        <v>5.9441665524950713E-3</v>
      </c>
      <c r="K127" s="8">
        <f t="shared" si="3"/>
        <v>7.9991398028483429E-2</v>
      </c>
    </row>
    <row r="128" spans="1:11" x14ac:dyDescent="0.25">
      <c r="A128" t="str">
        <f t="shared" si="4"/>
        <v>72017</v>
      </c>
      <c r="B128" s="1">
        <v>42922</v>
      </c>
      <c r="C128" s="10">
        <v>42893.645833333336</v>
      </c>
      <c r="D128">
        <v>23399.5</v>
      </c>
      <c r="E128">
        <v>23540.15</v>
      </c>
      <c r="F128">
        <v>23369.5</v>
      </c>
      <c r="G128">
        <v>23466.65</v>
      </c>
      <c r="H128">
        <v>0</v>
      </c>
      <c r="I128" s="8">
        <f t="shared" si="5"/>
        <v>4.8838244991993296E-3</v>
      </c>
      <c r="J128" s="8">
        <f t="shared" si="6"/>
        <v>4.8719373158970965E-3</v>
      </c>
      <c r="K128" s="8">
        <f t="shared" ref="K128:K191" si="7">+G128/G67-1</f>
        <v>9.497857091196682E-2</v>
      </c>
    </row>
    <row r="129" spans="1:11" x14ac:dyDescent="0.25">
      <c r="A129" t="str">
        <f t="shared" si="4"/>
        <v>72017</v>
      </c>
      <c r="B129" s="1">
        <v>42923</v>
      </c>
      <c r="C129" s="10">
        <v>42923.645833333336</v>
      </c>
      <c r="D129">
        <v>23463.75</v>
      </c>
      <c r="E129">
        <v>23492.6</v>
      </c>
      <c r="F129">
        <v>23400.6</v>
      </c>
      <c r="G129">
        <v>23449.15</v>
      </c>
      <c r="H129">
        <v>0</v>
      </c>
      <c r="I129" s="8">
        <f t="shared" si="5"/>
        <v>-7.4573916600795265E-4</v>
      </c>
      <c r="J129" s="8">
        <f t="shared" si="6"/>
        <v>-7.4601736777904829E-4</v>
      </c>
      <c r="K129" s="8">
        <f t="shared" si="7"/>
        <v>8.9636921675731784E-2</v>
      </c>
    </row>
    <row r="130" spans="1:11" x14ac:dyDescent="0.25">
      <c r="A130" t="str">
        <f t="shared" si="4"/>
        <v>72017</v>
      </c>
      <c r="B130" s="1">
        <v>42926</v>
      </c>
      <c r="C130" s="10">
        <v>43015.645833333336</v>
      </c>
      <c r="D130">
        <v>23583.25</v>
      </c>
      <c r="E130">
        <v>23964.799999999999</v>
      </c>
      <c r="F130">
        <v>23289.9</v>
      </c>
      <c r="G130">
        <v>23675.05</v>
      </c>
      <c r="H130">
        <v>0</v>
      </c>
      <c r="I130" s="8">
        <f t="shared" si="5"/>
        <v>9.633611452867008E-3</v>
      </c>
      <c r="J130" s="8">
        <f t="shared" si="6"/>
        <v>9.5875041017467657E-3</v>
      </c>
      <c r="K130" s="8">
        <f t="shared" si="7"/>
        <v>8.9201629543410377E-2</v>
      </c>
    </row>
    <row r="131" spans="1:11" x14ac:dyDescent="0.25">
      <c r="A131" t="str">
        <f t="shared" ref="A131:A194" si="8">+MONTH(B131)&amp;YEAR(B131)</f>
        <v>72017</v>
      </c>
      <c r="B131" s="1">
        <v>42927</v>
      </c>
      <c r="C131" s="10">
        <v>43046.645833333336</v>
      </c>
      <c r="D131">
        <v>23744.55</v>
      </c>
      <c r="E131">
        <v>23744.55</v>
      </c>
      <c r="F131">
        <v>23552.6</v>
      </c>
      <c r="G131">
        <v>23584.6</v>
      </c>
      <c r="H131">
        <v>0</v>
      </c>
      <c r="I131" s="8">
        <f t="shared" si="5"/>
        <v>-3.8204776758655745E-3</v>
      </c>
      <c r="J131" s="8">
        <f t="shared" si="6"/>
        <v>-3.8277943420865833E-3</v>
      </c>
      <c r="K131" s="8">
        <f t="shared" si="7"/>
        <v>8.8513301456606408E-2</v>
      </c>
    </row>
    <row r="132" spans="1:11" x14ac:dyDescent="0.25">
      <c r="A132" t="str">
        <f t="shared" si="8"/>
        <v>72017</v>
      </c>
      <c r="B132" s="1">
        <v>42928</v>
      </c>
      <c r="C132" s="10">
        <v>43076.645833333336</v>
      </c>
      <c r="D132">
        <v>23623.75</v>
      </c>
      <c r="E132">
        <v>23736.55</v>
      </c>
      <c r="F132">
        <v>23523.65</v>
      </c>
      <c r="G132">
        <v>23695.45</v>
      </c>
      <c r="H132">
        <v>0</v>
      </c>
      <c r="I132" s="8">
        <f t="shared" ref="I132:I195" si="9">+G132/G131-1</f>
        <v>4.7001009133078586E-3</v>
      </c>
      <c r="J132" s="8">
        <f t="shared" ref="J132:J195" si="10">+LN(1+I132)</f>
        <v>4.6890899273605569E-3</v>
      </c>
      <c r="K132" s="8">
        <f t="shared" si="7"/>
        <v>9.2630933387437553E-2</v>
      </c>
    </row>
    <row r="133" spans="1:11" x14ac:dyDescent="0.25">
      <c r="A133" t="str">
        <f t="shared" si="8"/>
        <v>72017</v>
      </c>
      <c r="B133" s="1">
        <v>42929</v>
      </c>
      <c r="C133" t="s">
        <v>102</v>
      </c>
      <c r="D133">
        <v>23817.25</v>
      </c>
      <c r="E133">
        <v>23938</v>
      </c>
      <c r="F133">
        <v>23811</v>
      </c>
      <c r="G133">
        <v>23888.65</v>
      </c>
      <c r="H133">
        <v>0</v>
      </c>
      <c r="I133" s="8">
        <f t="shared" si="9"/>
        <v>8.1534640616658383E-3</v>
      </c>
      <c r="J133" s="8">
        <f t="shared" si="10"/>
        <v>8.1204041538390902E-3</v>
      </c>
      <c r="K133" s="8">
        <f t="shared" si="7"/>
        <v>0.10352417819989301</v>
      </c>
    </row>
    <row r="134" spans="1:11" x14ac:dyDescent="0.25">
      <c r="A134" t="str">
        <f t="shared" si="8"/>
        <v>72017</v>
      </c>
      <c r="B134" s="1">
        <v>42930</v>
      </c>
      <c r="C134" t="s">
        <v>103</v>
      </c>
      <c r="D134">
        <v>23949.5</v>
      </c>
      <c r="E134">
        <v>23963.65</v>
      </c>
      <c r="F134">
        <v>23755.95</v>
      </c>
      <c r="G134">
        <v>23937.7</v>
      </c>
      <c r="H134">
        <v>0</v>
      </c>
      <c r="I134" s="8">
        <f t="shared" si="9"/>
        <v>2.0532763467169257E-3</v>
      </c>
      <c r="J134" s="8">
        <f t="shared" si="10"/>
        <v>2.0511712559018709E-3</v>
      </c>
      <c r="K134" s="8">
        <f t="shared" si="7"/>
        <v>0.1045526800896095</v>
      </c>
    </row>
    <row r="135" spans="1:11" x14ac:dyDescent="0.25">
      <c r="A135" t="str">
        <f t="shared" si="8"/>
        <v>72017</v>
      </c>
      <c r="B135" s="1">
        <v>42933</v>
      </c>
      <c r="C135" t="s">
        <v>104</v>
      </c>
      <c r="D135">
        <v>24011.4</v>
      </c>
      <c r="E135">
        <v>24066.1</v>
      </c>
      <c r="F135">
        <v>23913.65</v>
      </c>
      <c r="G135">
        <v>24015.05</v>
      </c>
      <c r="H135">
        <v>0</v>
      </c>
      <c r="I135" s="8">
        <f t="shared" si="9"/>
        <v>3.2313045948439978E-3</v>
      </c>
      <c r="J135" s="8">
        <f t="shared" si="10"/>
        <v>3.2260951493384674E-3</v>
      </c>
      <c r="K135" s="8">
        <f t="shared" si="7"/>
        <v>0.11405919833366962</v>
      </c>
    </row>
    <row r="136" spans="1:11" x14ac:dyDescent="0.25">
      <c r="A136" t="str">
        <f t="shared" si="8"/>
        <v>72017</v>
      </c>
      <c r="B136" s="1">
        <v>42934</v>
      </c>
      <c r="C136" t="s">
        <v>105</v>
      </c>
      <c r="D136">
        <v>23958.15</v>
      </c>
      <c r="E136">
        <v>24147.45</v>
      </c>
      <c r="F136">
        <v>23942.1</v>
      </c>
      <c r="G136">
        <v>24022.05</v>
      </c>
      <c r="H136">
        <v>0</v>
      </c>
      <c r="I136" s="8">
        <f t="shared" si="9"/>
        <v>2.914838819823018E-4</v>
      </c>
      <c r="J136" s="8">
        <f t="shared" si="10"/>
        <v>2.9144140880887058E-4</v>
      </c>
      <c r="K136" s="8">
        <f t="shared" si="7"/>
        <v>0.11775175186353604</v>
      </c>
    </row>
    <row r="137" spans="1:11" x14ac:dyDescent="0.25">
      <c r="A137" t="str">
        <f t="shared" si="8"/>
        <v>72017</v>
      </c>
      <c r="B137" s="1">
        <v>42935</v>
      </c>
      <c r="C137" t="s">
        <v>106</v>
      </c>
      <c r="D137">
        <v>24069.200000000001</v>
      </c>
      <c r="E137">
        <v>24180.75</v>
      </c>
      <c r="F137">
        <v>24053.7</v>
      </c>
      <c r="G137">
        <v>24152.65</v>
      </c>
      <c r="H137">
        <v>0</v>
      </c>
      <c r="I137" s="8">
        <f t="shared" si="9"/>
        <v>5.4366717245197815E-3</v>
      </c>
      <c r="J137" s="8">
        <f t="shared" si="10"/>
        <v>5.4219463719613033E-3</v>
      </c>
      <c r="K137" s="8">
        <f t="shared" si="7"/>
        <v>0.12069721526857835</v>
      </c>
    </row>
    <row r="138" spans="1:11" x14ac:dyDescent="0.25">
      <c r="A138" t="str">
        <f t="shared" si="8"/>
        <v>72017</v>
      </c>
      <c r="B138" s="1">
        <v>42936</v>
      </c>
      <c r="C138" t="s">
        <v>107</v>
      </c>
      <c r="D138">
        <v>24170.65</v>
      </c>
      <c r="E138">
        <v>24299.599999999999</v>
      </c>
      <c r="F138">
        <v>24170.65</v>
      </c>
      <c r="G138">
        <v>24213.35</v>
      </c>
      <c r="H138">
        <v>0</v>
      </c>
      <c r="I138" s="8">
        <f t="shared" si="9"/>
        <v>2.513181783365237E-3</v>
      </c>
      <c r="J138" s="8">
        <f t="shared" si="10"/>
        <v>2.5100290232285436E-3</v>
      </c>
      <c r="K138" s="8">
        <f t="shared" si="7"/>
        <v>0.1077872940056912</v>
      </c>
    </row>
    <row r="139" spans="1:11" x14ac:dyDescent="0.25">
      <c r="A139" t="str">
        <f t="shared" si="8"/>
        <v>72017</v>
      </c>
      <c r="B139" s="1">
        <v>42937</v>
      </c>
      <c r="C139" t="s">
        <v>108</v>
      </c>
      <c r="D139">
        <v>24231.4</v>
      </c>
      <c r="E139">
        <v>24289.3</v>
      </c>
      <c r="F139">
        <v>24066.9</v>
      </c>
      <c r="G139">
        <v>24257.05</v>
      </c>
      <c r="H139">
        <v>0</v>
      </c>
      <c r="I139" s="8">
        <f t="shared" si="9"/>
        <v>1.8047895066151121E-3</v>
      </c>
      <c r="J139" s="8">
        <f t="shared" si="10"/>
        <v>1.8031628309442269E-3</v>
      </c>
      <c r="K139" s="8">
        <f t="shared" si="7"/>
        <v>9.9858533555205797E-2</v>
      </c>
    </row>
    <row r="140" spans="1:11" x14ac:dyDescent="0.25">
      <c r="A140" t="str">
        <f t="shared" si="8"/>
        <v>72017</v>
      </c>
      <c r="B140" s="1">
        <v>42940</v>
      </c>
      <c r="C140" t="s">
        <v>109</v>
      </c>
      <c r="D140">
        <v>24307.7</v>
      </c>
      <c r="E140">
        <v>24460.55</v>
      </c>
      <c r="F140">
        <v>24234.65</v>
      </c>
      <c r="G140">
        <v>24420.85</v>
      </c>
      <c r="H140">
        <v>0</v>
      </c>
      <c r="I140" s="8">
        <f t="shared" si="9"/>
        <v>6.7526760261449326E-3</v>
      </c>
      <c r="J140" s="8">
        <f t="shared" si="10"/>
        <v>6.7299788299712065E-3</v>
      </c>
      <c r="K140" s="8">
        <f t="shared" si="7"/>
        <v>9.791910658930858E-2</v>
      </c>
    </row>
    <row r="141" spans="1:11" x14ac:dyDescent="0.25">
      <c r="A141" t="str">
        <f t="shared" si="8"/>
        <v>72017</v>
      </c>
      <c r="B141" s="1">
        <v>42941</v>
      </c>
      <c r="C141" t="s">
        <v>110</v>
      </c>
      <c r="D141">
        <v>24622.9</v>
      </c>
      <c r="E141">
        <v>24624.65</v>
      </c>
      <c r="F141">
        <v>24450.2</v>
      </c>
      <c r="G141">
        <v>24520.7</v>
      </c>
      <c r="H141">
        <v>0</v>
      </c>
      <c r="I141" s="8">
        <f t="shared" si="9"/>
        <v>4.0887192706233755E-3</v>
      </c>
      <c r="J141" s="8">
        <f t="shared" si="10"/>
        <v>4.0803831729032819E-3</v>
      </c>
      <c r="K141" s="8">
        <f t="shared" si="7"/>
        <v>9.8287669698964963E-2</v>
      </c>
    </row>
    <row r="142" spans="1:11" x14ac:dyDescent="0.25">
      <c r="A142" t="str">
        <f t="shared" si="8"/>
        <v>72017</v>
      </c>
      <c r="B142" s="1">
        <v>42942</v>
      </c>
      <c r="C142" t="s">
        <v>111</v>
      </c>
      <c r="D142">
        <v>24578.15</v>
      </c>
      <c r="E142">
        <v>24720.9</v>
      </c>
      <c r="F142">
        <v>24484.9</v>
      </c>
      <c r="G142">
        <v>24670.7</v>
      </c>
      <c r="H142">
        <v>0</v>
      </c>
      <c r="I142" s="8">
        <f t="shared" si="9"/>
        <v>6.1172805017801757E-3</v>
      </c>
      <c r="J142" s="8">
        <f t="shared" si="10"/>
        <v>6.0986458981950242E-3</v>
      </c>
      <c r="K142" s="8">
        <f t="shared" si="7"/>
        <v>0.10342714657900332</v>
      </c>
    </row>
    <row r="143" spans="1:11" x14ac:dyDescent="0.25">
      <c r="A143" t="str">
        <f t="shared" si="8"/>
        <v>72017</v>
      </c>
      <c r="B143" s="1">
        <v>42943</v>
      </c>
      <c r="C143" t="s">
        <v>112</v>
      </c>
      <c r="D143">
        <v>24857.5</v>
      </c>
      <c r="E143">
        <v>25032.25</v>
      </c>
      <c r="F143">
        <v>24799.4</v>
      </c>
      <c r="G143">
        <v>24922.400000000001</v>
      </c>
      <c r="H143">
        <v>0</v>
      </c>
      <c r="I143" s="8">
        <f t="shared" si="9"/>
        <v>1.0202385826101334E-2</v>
      </c>
      <c r="J143" s="8">
        <f t="shared" si="10"/>
        <v>1.0150692785416408E-2</v>
      </c>
      <c r="K143" s="8">
        <f t="shared" si="7"/>
        <v>0.1155279336297943</v>
      </c>
    </row>
    <row r="144" spans="1:11" x14ac:dyDescent="0.25">
      <c r="A144" t="str">
        <f t="shared" si="8"/>
        <v>72017</v>
      </c>
      <c r="B144" s="1">
        <v>42944</v>
      </c>
      <c r="C144" t="s">
        <v>113</v>
      </c>
      <c r="D144">
        <v>24744.55</v>
      </c>
      <c r="E144">
        <v>24859.75</v>
      </c>
      <c r="F144">
        <v>24651.05</v>
      </c>
      <c r="G144">
        <v>24811.3</v>
      </c>
      <c r="H144">
        <v>0</v>
      </c>
      <c r="I144" s="8">
        <f t="shared" si="9"/>
        <v>-4.4578371264405448E-3</v>
      </c>
      <c r="J144" s="8">
        <f t="shared" si="10"/>
        <v>-4.4678029106205875E-3</v>
      </c>
      <c r="K144" s="8">
        <f t="shared" si="7"/>
        <v>0.11225024991818833</v>
      </c>
    </row>
    <row r="145" spans="1:11" x14ac:dyDescent="0.25">
      <c r="A145" t="str">
        <f t="shared" si="8"/>
        <v>72017</v>
      </c>
      <c r="B145" s="1">
        <v>42947</v>
      </c>
      <c r="C145" t="s">
        <v>114</v>
      </c>
      <c r="D145">
        <v>24880.6</v>
      </c>
      <c r="E145">
        <v>25168.1</v>
      </c>
      <c r="F145">
        <v>24828.5</v>
      </c>
      <c r="G145">
        <v>25103.65</v>
      </c>
      <c r="H145">
        <v>0</v>
      </c>
      <c r="I145" s="8">
        <f t="shared" si="9"/>
        <v>1.1782937613103783E-2</v>
      </c>
      <c r="J145" s="8">
        <f t="shared" si="10"/>
        <v>1.171405933471947E-2</v>
      </c>
      <c r="K145" s="8">
        <f t="shared" si="7"/>
        <v>0.10490930937803977</v>
      </c>
    </row>
    <row r="146" spans="1:11" x14ac:dyDescent="0.25">
      <c r="A146" t="str">
        <f t="shared" si="8"/>
        <v>82017</v>
      </c>
      <c r="B146" s="1">
        <v>42948</v>
      </c>
      <c r="C146" s="10">
        <v>42743.645833333336</v>
      </c>
      <c r="D146">
        <v>25152.85</v>
      </c>
      <c r="E146">
        <v>25179.5</v>
      </c>
      <c r="F146">
        <v>25000.9</v>
      </c>
      <c r="G146">
        <v>25122.799999999999</v>
      </c>
      <c r="H146">
        <v>0</v>
      </c>
      <c r="I146" s="8">
        <f t="shared" si="9"/>
        <v>7.6283727665082957E-4</v>
      </c>
      <c r="J146" s="8">
        <f t="shared" si="10"/>
        <v>7.6254646418116932E-4</v>
      </c>
      <c r="K146" s="8">
        <f t="shared" si="7"/>
        <v>0.11138489578609989</v>
      </c>
    </row>
    <row r="147" spans="1:11" x14ac:dyDescent="0.25">
      <c r="A147" t="str">
        <f t="shared" si="8"/>
        <v>82017</v>
      </c>
      <c r="B147" s="1">
        <v>42949</v>
      </c>
      <c r="C147" s="10">
        <v>42774.645833333336</v>
      </c>
      <c r="D147">
        <v>25190.400000000001</v>
      </c>
      <c r="E147">
        <v>25198.799999999999</v>
      </c>
      <c r="F147">
        <v>24926.25</v>
      </c>
      <c r="G147">
        <v>25055.200000000001</v>
      </c>
      <c r="H147">
        <v>0</v>
      </c>
      <c r="I147" s="8">
        <f t="shared" si="9"/>
        <v>-2.6907828745202922E-3</v>
      </c>
      <c r="J147" s="8">
        <f t="shared" si="10"/>
        <v>-2.6944095379292776E-3</v>
      </c>
      <c r="K147" s="8">
        <f t="shared" si="7"/>
        <v>0.10048819910968998</v>
      </c>
    </row>
    <row r="148" spans="1:11" x14ac:dyDescent="0.25">
      <c r="A148" t="str">
        <f t="shared" si="8"/>
        <v>82017</v>
      </c>
      <c r="B148" s="1">
        <v>42950</v>
      </c>
      <c r="C148" s="10">
        <v>42802.645833333336</v>
      </c>
      <c r="D148">
        <v>25002.85</v>
      </c>
      <c r="E148">
        <v>25005.15</v>
      </c>
      <c r="F148">
        <v>24619.599999999999</v>
      </c>
      <c r="G148">
        <v>24675.05</v>
      </c>
      <c r="H148">
        <v>0</v>
      </c>
      <c r="I148" s="8">
        <f t="shared" si="9"/>
        <v>-1.5172499121938854E-2</v>
      </c>
      <c r="J148" s="8">
        <f t="shared" si="10"/>
        <v>-1.528877915851945E-2</v>
      </c>
      <c r="K148" s="8">
        <f t="shared" si="7"/>
        <v>8.665715430720522E-2</v>
      </c>
    </row>
    <row r="149" spans="1:11" x14ac:dyDescent="0.25">
      <c r="A149" t="str">
        <f t="shared" si="8"/>
        <v>82017</v>
      </c>
      <c r="B149" s="1">
        <v>42951</v>
      </c>
      <c r="C149" s="10">
        <v>42833.645833333336</v>
      </c>
      <c r="D149">
        <v>24629.5</v>
      </c>
      <c r="E149">
        <v>24879.7</v>
      </c>
      <c r="F149">
        <v>24591.8</v>
      </c>
      <c r="G149">
        <v>24827.45</v>
      </c>
      <c r="H149">
        <v>0</v>
      </c>
      <c r="I149" s="8">
        <f t="shared" si="9"/>
        <v>6.1762792780561959E-3</v>
      </c>
      <c r="J149" s="8">
        <f t="shared" si="10"/>
        <v>6.1572842375229898E-3</v>
      </c>
      <c r="K149" s="8">
        <f t="shared" si="7"/>
        <v>8.7475662878580662E-2</v>
      </c>
    </row>
    <row r="150" spans="1:11" x14ac:dyDescent="0.25">
      <c r="A150" t="str">
        <f t="shared" si="8"/>
        <v>82017</v>
      </c>
      <c r="B150" s="1">
        <v>42954</v>
      </c>
      <c r="C150" s="10">
        <v>42924.645833333336</v>
      </c>
      <c r="D150">
        <v>24854.15</v>
      </c>
      <c r="E150">
        <v>24979.35</v>
      </c>
      <c r="F150">
        <v>24844.45</v>
      </c>
      <c r="G150">
        <v>24906.35</v>
      </c>
      <c r="H150">
        <v>0</v>
      </c>
      <c r="I150" s="8">
        <f t="shared" si="9"/>
        <v>3.1779341011661799E-3</v>
      </c>
      <c r="J150" s="8">
        <f t="shared" si="10"/>
        <v>3.1728951414227427E-3</v>
      </c>
      <c r="K150" s="8">
        <f t="shared" si="7"/>
        <v>9.1500518221000915E-2</v>
      </c>
    </row>
    <row r="151" spans="1:11" x14ac:dyDescent="0.25">
      <c r="A151" t="str">
        <f t="shared" si="8"/>
        <v>82017</v>
      </c>
      <c r="B151" s="1">
        <v>42955</v>
      </c>
      <c r="C151" s="10">
        <v>42955.645833333336</v>
      </c>
      <c r="D151">
        <v>24942.2</v>
      </c>
      <c r="E151">
        <v>24966.05</v>
      </c>
      <c r="F151">
        <v>24534.35</v>
      </c>
      <c r="G151">
        <v>24599.5</v>
      </c>
      <c r="H151">
        <v>0</v>
      </c>
      <c r="I151" s="8">
        <f t="shared" si="9"/>
        <v>-1.2320151286720038E-2</v>
      </c>
      <c r="J151" s="8">
        <f t="shared" si="10"/>
        <v>-1.2396673510384546E-2</v>
      </c>
      <c r="K151" s="8">
        <f t="shared" si="7"/>
        <v>8.503111808995345E-2</v>
      </c>
    </row>
    <row r="152" spans="1:11" x14ac:dyDescent="0.25">
      <c r="A152" t="str">
        <f t="shared" si="8"/>
        <v>82017</v>
      </c>
      <c r="B152" s="1">
        <v>42956</v>
      </c>
      <c r="C152" s="10">
        <v>42986.645833333336</v>
      </c>
      <c r="D152">
        <v>24519.25</v>
      </c>
      <c r="E152">
        <v>24532.400000000001</v>
      </c>
      <c r="F152">
        <v>24328.1</v>
      </c>
      <c r="G152">
        <v>24374.6</v>
      </c>
      <c r="H152">
        <v>0</v>
      </c>
      <c r="I152" s="8">
        <f t="shared" si="9"/>
        <v>-9.1424622451676818E-3</v>
      </c>
      <c r="J152" s="8">
        <f t="shared" si="10"/>
        <v>-9.1845110356545568E-3</v>
      </c>
      <c r="K152" s="8">
        <f t="shared" si="7"/>
        <v>6.8054247091558384E-2</v>
      </c>
    </row>
    <row r="153" spans="1:11" x14ac:dyDescent="0.25">
      <c r="A153" t="str">
        <f t="shared" si="8"/>
        <v>82017</v>
      </c>
      <c r="B153" s="1">
        <v>42957</v>
      </c>
      <c r="C153" s="10">
        <v>43016.645833333336</v>
      </c>
      <c r="D153">
        <v>24300.45</v>
      </c>
      <c r="E153">
        <v>24326.9</v>
      </c>
      <c r="F153">
        <v>23822.2</v>
      </c>
      <c r="G153">
        <v>24217.35</v>
      </c>
      <c r="H153">
        <v>0</v>
      </c>
      <c r="I153" s="8">
        <f t="shared" si="9"/>
        <v>-6.4513879202120483E-3</v>
      </c>
      <c r="J153" s="8">
        <f t="shared" si="10"/>
        <v>-6.4722880617006815E-3</v>
      </c>
      <c r="K153" s="8">
        <f t="shared" si="7"/>
        <v>5.6207095069040314E-2</v>
      </c>
    </row>
    <row r="154" spans="1:11" x14ac:dyDescent="0.25">
      <c r="A154" t="str">
        <f t="shared" si="8"/>
        <v>82017</v>
      </c>
      <c r="B154" s="1">
        <v>42958</v>
      </c>
      <c r="C154" s="10">
        <v>43047.645833333336</v>
      </c>
      <c r="D154">
        <v>23958.25</v>
      </c>
      <c r="E154">
        <v>24191.200000000001</v>
      </c>
      <c r="F154">
        <v>23868.3</v>
      </c>
      <c r="G154">
        <v>23985.75</v>
      </c>
      <c r="H154">
        <v>0</v>
      </c>
      <c r="I154" s="8">
        <f t="shared" si="9"/>
        <v>-9.5633915354074173E-3</v>
      </c>
      <c r="J154" s="8">
        <f t="shared" si="10"/>
        <v>-9.6094144225402529E-3</v>
      </c>
      <c r="K154" s="8">
        <f t="shared" si="7"/>
        <v>4.577094037962226E-2</v>
      </c>
    </row>
    <row r="155" spans="1:11" x14ac:dyDescent="0.25">
      <c r="A155" t="str">
        <f t="shared" si="8"/>
        <v>82017</v>
      </c>
      <c r="B155" s="1">
        <v>42961</v>
      </c>
      <c r="C155" t="s">
        <v>115</v>
      </c>
      <c r="D155">
        <v>24051.05</v>
      </c>
      <c r="E155">
        <v>24212.15</v>
      </c>
      <c r="F155">
        <v>24038.15</v>
      </c>
      <c r="G155">
        <v>24115.75</v>
      </c>
      <c r="H155">
        <v>0</v>
      </c>
      <c r="I155" s="8">
        <f t="shared" si="9"/>
        <v>5.419884723220969E-3</v>
      </c>
      <c r="J155" s="8">
        <f t="shared" si="10"/>
        <v>5.4052500031970818E-3</v>
      </c>
      <c r="K155" s="8">
        <f t="shared" si="7"/>
        <v>6.2433365934462914E-2</v>
      </c>
    </row>
    <row r="156" spans="1:11" x14ac:dyDescent="0.25">
      <c r="A156" t="str">
        <f t="shared" si="8"/>
        <v>82017</v>
      </c>
      <c r="B156" s="1">
        <v>42963</v>
      </c>
      <c r="C156" t="s">
        <v>116</v>
      </c>
      <c r="D156">
        <v>24188.75</v>
      </c>
      <c r="E156">
        <v>24461.200000000001</v>
      </c>
      <c r="F156">
        <v>23947.45</v>
      </c>
      <c r="G156">
        <v>24437.7</v>
      </c>
      <c r="H156">
        <v>0</v>
      </c>
      <c r="I156" s="8">
        <f t="shared" si="9"/>
        <v>1.3350196448379092E-2</v>
      </c>
      <c r="J156" s="8">
        <f t="shared" si="10"/>
        <v>1.3261867843509925E-2</v>
      </c>
      <c r="K156" s="8">
        <f t="shared" si="7"/>
        <v>7.3250533601525003E-2</v>
      </c>
    </row>
    <row r="157" spans="1:11" x14ac:dyDescent="0.25">
      <c r="A157" t="str">
        <f t="shared" si="8"/>
        <v>82017</v>
      </c>
      <c r="B157" s="1">
        <v>42964</v>
      </c>
      <c r="C157" t="s">
        <v>117</v>
      </c>
      <c r="D157">
        <v>24495.200000000001</v>
      </c>
      <c r="E157">
        <v>24496.2</v>
      </c>
      <c r="F157">
        <v>24121.55</v>
      </c>
      <c r="G157">
        <v>24237.25</v>
      </c>
      <c r="H157">
        <v>0</v>
      </c>
      <c r="I157" s="8">
        <f t="shared" si="9"/>
        <v>-8.2024904144006872E-3</v>
      </c>
      <c r="J157" s="8">
        <f t="shared" si="10"/>
        <v>-8.2363159348948587E-3</v>
      </c>
      <c r="K157" s="8">
        <f t="shared" si="7"/>
        <v>6.9942634149786853E-2</v>
      </c>
    </row>
    <row r="158" spans="1:11" x14ac:dyDescent="0.25">
      <c r="A158" t="str">
        <f t="shared" si="8"/>
        <v>82017</v>
      </c>
      <c r="B158" s="1">
        <v>42965</v>
      </c>
      <c r="C158" t="s">
        <v>118</v>
      </c>
      <c r="D158">
        <v>24125.3</v>
      </c>
      <c r="E158">
        <v>24130.15</v>
      </c>
      <c r="F158">
        <v>23925.95</v>
      </c>
      <c r="G158">
        <v>24074.45</v>
      </c>
      <c r="H158">
        <v>0</v>
      </c>
      <c r="I158" s="8">
        <f t="shared" si="9"/>
        <v>-6.7169336455249473E-3</v>
      </c>
      <c r="J158" s="8">
        <f t="shared" si="10"/>
        <v>-6.7395937723719749E-3</v>
      </c>
      <c r="K158" s="8">
        <f t="shared" si="7"/>
        <v>6.6052482420249081E-2</v>
      </c>
    </row>
    <row r="159" spans="1:11" x14ac:dyDescent="0.25">
      <c r="A159" t="str">
        <f t="shared" si="8"/>
        <v>82017</v>
      </c>
      <c r="B159" s="1">
        <v>42968</v>
      </c>
      <c r="C159" t="s">
        <v>119</v>
      </c>
      <c r="D159">
        <v>24140.55</v>
      </c>
      <c r="E159">
        <v>24258.95</v>
      </c>
      <c r="F159">
        <v>23882.25</v>
      </c>
      <c r="G159">
        <v>23936.5</v>
      </c>
      <c r="H159">
        <v>0</v>
      </c>
      <c r="I159" s="8">
        <f t="shared" si="9"/>
        <v>-5.7301412908706828E-3</v>
      </c>
      <c r="J159" s="8">
        <f t="shared" si="10"/>
        <v>-5.746621536723338E-3</v>
      </c>
      <c r="K159" s="8">
        <f t="shared" si="7"/>
        <v>6.2130873302183698E-2</v>
      </c>
    </row>
    <row r="160" spans="1:11" x14ac:dyDescent="0.25">
      <c r="A160" t="str">
        <f t="shared" si="8"/>
        <v>82017</v>
      </c>
      <c r="B160" s="1">
        <v>42969</v>
      </c>
      <c r="C160" t="s">
        <v>120</v>
      </c>
      <c r="D160">
        <v>24080.6</v>
      </c>
      <c r="E160">
        <v>24127.45</v>
      </c>
      <c r="F160">
        <v>23852.65</v>
      </c>
      <c r="G160">
        <v>23974.45</v>
      </c>
      <c r="H160">
        <v>0</v>
      </c>
      <c r="I160" s="8">
        <f t="shared" si="9"/>
        <v>1.5854448227603513E-3</v>
      </c>
      <c r="J160" s="8">
        <f t="shared" si="10"/>
        <v>1.5841893319497695E-3</v>
      </c>
      <c r="K160" s="8">
        <f t="shared" si="7"/>
        <v>3.3791417286165304E-2</v>
      </c>
    </row>
    <row r="161" spans="1:11" x14ac:dyDescent="0.25">
      <c r="A161" t="str">
        <f t="shared" si="8"/>
        <v>82017</v>
      </c>
      <c r="B161" s="1">
        <v>42970</v>
      </c>
      <c r="C161" t="s">
        <v>121</v>
      </c>
      <c r="D161">
        <v>24084.95</v>
      </c>
      <c r="E161">
        <v>24350</v>
      </c>
      <c r="F161">
        <v>24074.15</v>
      </c>
      <c r="G161">
        <v>24316.799999999999</v>
      </c>
      <c r="H161">
        <v>0</v>
      </c>
      <c r="I161" s="8">
        <f t="shared" si="9"/>
        <v>1.4279785354825547E-2</v>
      </c>
      <c r="J161" s="8">
        <f t="shared" si="10"/>
        <v>1.4178789550051987E-2</v>
      </c>
      <c r="K161" s="8">
        <f t="shared" si="7"/>
        <v>4.0860877828286624E-2</v>
      </c>
    </row>
    <row r="162" spans="1:11" x14ac:dyDescent="0.25">
      <c r="A162" t="str">
        <f t="shared" si="8"/>
        <v>82017</v>
      </c>
      <c r="B162" s="1">
        <v>42971</v>
      </c>
      <c r="C162" t="s">
        <v>122</v>
      </c>
      <c r="D162">
        <v>24374.75</v>
      </c>
      <c r="E162">
        <v>24411.05</v>
      </c>
      <c r="F162">
        <v>24224.85</v>
      </c>
      <c r="G162">
        <v>24274.2</v>
      </c>
      <c r="H162">
        <v>0</v>
      </c>
      <c r="I162" s="8">
        <f t="shared" si="9"/>
        <v>-1.7518752467429177E-3</v>
      </c>
      <c r="J162" s="8">
        <f t="shared" si="10"/>
        <v>-1.7534115747485236E-3</v>
      </c>
      <c r="K162" s="8">
        <f t="shared" si="7"/>
        <v>4.7080264420743978E-2</v>
      </c>
    </row>
    <row r="163" spans="1:11" x14ac:dyDescent="0.25">
      <c r="A163" t="str">
        <f t="shared" si="8"/>
        <v>82017</v>
      </c>
      <c r="B163" s="1">
        <v>42975</v>
      </c>
      <c r="C163" t="s">
        <v>123</v>
      </c>
      <c r="D163">
        <v>24351.25</v>
      </c>
      <c r="E163">
        <v>24422.45</v>
      </c>
      <c r="F163">
        <v>24301.35</v>
      </c>
      <c r="G163">
        <v>24377.1</v>
      </c>
      <c r="H163">
        <v>0</v>
      </c>
      <c r="I163" s="8">
        <f t="shared" si="9"/>
        <v>4.2390686407789424E-3</v>
      </c>
      <c r="J163" s="8">
        <f t="shared" si="10"/>
        <v>4.2301091004549804E-3</v>
      </c>
      <c r="K163" s="8">
        <f t="shared" si="7"/>
        <v>4.5902026193566314E-2</v>
      </c>
    </row>
    <row r="164" spans="1:11" x14ac:dyDescent="0.25">
      <c r="A164" t="str">
        <f t="shared" si="8"/>
        <v>82017</v>
      </c>
      <c r="B164" s="1">
        <v>42976</v>
      </c>
      <c r="C164" t="s">
        <v>124</v>
      </c>
      <c r="D164">
        <v>24302</v>
      </c>
      <c r="E164">
        <v>24320.95</v>
      </c>
      <c r="F164">
        <v>24103.3</v>
      </c>
      <c r="G164">
        <v>24128.95</v>
      </c>
      <c r="H164">
        <v>0</v>
      </c>
      <c r="I164" s="8">
        <f t="shared" si="9"/>
        <v>-1.0179635805735665E-2</v>
      </c>
      <c r="J164" s="8">
        <f t="shared" si="10"/>
        <v>-1.0231802626424272E-2</v>
      </c>
      <c r="K164" s="8">
        <f t="shared" si="7"/>
        <v>3.0060021857177155E-2</v>
      </c>
    </row>
    <row r="165" spans="1:11" x14ac:dyDescent="0.25">
      <c r="A165" t="str">
        <f t="shared" si="8"/>
        <v>82017</v>
      </c>
      <c r="B165" s="1">
        <v>42977</v>
      </c>
      <c r="C165" t="s">
        <v>125</v>
      </c>
      <c r="D165">
        <v>24253.05</v>
      </c>
      <c r="E165">
        <v>24384.1</v>
      </c>
      <c r="F165">
        <v>24241.3</v>
      </c>
      <c r="G165">
        <v>24308.7</v>
      </c>
      <c r="H165">
        <v>0</v>
      </c>
      <c r="I165" s="8">
        <f t="shared" si="9"/>
        <v>7.4495574817801113E-3</v>
      </c>
      <c r="J165" s="8">
        <f t="shared" si="10"/>
        <v>7.4219465697032659E-3</v>
      </c>
      <c r="K165" s="8">
        <f t="shared" si="7"/>
        <v>4.283756217784962E-2</v>
      </c>
    </row>
    <row r="166" spans="1:11" x14ac:dyDescent="0.25">
      <c r="A166" t="str">
        <f t="shared" si="8"/>
        <v>82017</v>
      </c>
      <c r="B166" s="1">
        <v>42978</v>
      </c>
      <c r="C166" t="s">
        <v>126</v>
      </c>
      <c r="D166">
        <v>24354.35</v>
      </c>
      <c r="E166">
        <v>24354.35</v>
      </c>
      <c r="F166">
        <v>24207.7</v>
      </c>
      <c r="G166">
        <v>24318.400000000001</v>
      </c>
      <c r="H166">
        <v>0</v>
      </c>
      <c r="I166" s="8">
        <f t="shared" si="9"/>
        <v>3.9903409067543194E-4</v>
      </c>
      <c r="J166" s="8">
        <f t="shared" si="10"/>
        <v>3.9895449774549573E-4</v>
      </c>
      <c r="K166" s="8">
        <f t="shared" si="7"/>
        <v>4.0319303213993907E-2</v>
      </c>
    </row>
    <row r="167" spans="1:11" x14ac:dyDescent="0.25">
      <c r="A167" t="str">
        <f t="shared" si="8"/>
        <v>92017</v>
      </c>
      <c r="B167" s="1">
        <v>42979</v>
      </c>
      <c r="C167" s="10">
        <v>42744.645833333336</v>
      </c>
      <c r="D167">
        <v>24389.200000000001</v>
      </c>
      <c r="E167">
        <v>24494.35</v>
      </c>
      <c r="F167">
        <v>24319.200000000001</v>
      </c>
      <c r="G167">
        <v>24434</v>
      </c>
      <c r="H167">
        <v>0</v>
      </c>
      <c r="I167" s="8">
        <f t="shared" si="9"/>
        <v>4.7536022106717812E-3</v>
      </c>
      <c r="J167" s="8">
        <f t="shared" si="10"/>
        <v>4.7423395218084297E-3</v>
      </c>
      <c r="K167" s="8">
        <f t="shared" si="7"/>
        <v>4.1533015198436329E-2</v>
      </c>
    </row>
    <row r="168" spans="1:11" x14ac:dyDescent="0.25">
      <c r="A168" t="str">
        <f t="shared" si="8"/>
        <v>92017</v>
      </c>
      <c r="B168" s="1">
        <v>42982</v>
      </c>
      <c r="C168" s="10">
        <v>42834.645833333336</v>
      </c>
      <c r="D168">
        <v>24456.3</v>
      </c>
      <c r="E168">
        <v>24459.35</v>
      </c>
      <c r="F168">
        <v>24156.400000000001</v>
      </c>
      <c r="G168">
        <v>24236.85</v>
      </c>
      <c r="H168">
        <v>0</v>
      </c>
      <c r="I168" s="8">
        <f t="shared" si="9"/>
        <v>-8.0686747974134665E-3</v>
      </c>
      <c r="J168" s="8">
        <f t="shared" si="10"/>
        <v>-8.1014027201010835E-3</v>
      </c>
      <c r="K168" s="8">
        <f t="shared" si="7"/>
        <v>3.5041829836481408E-2</v>
      </c>
    </row>
    <row r="169" spans="1:11" x14ac:dyDescent="0.25">
      <c r="A169" t="str">
        <f t="shared" si="8"/>
        <v>92017</v>
      </c>
      <c r="B169" s="1">
        <v>42983</v>
      </c>
      <c r="C169" s="10">
        <v>42864.645833333336</v>
      </c>
      <c r="D169">
        <v>24272.6</v>
      </c>
      <c r="E169">
        <v>24388.05</v>
      </c>
      <c r="F169">
        <v>24256.3</v>
      </c>
      <c r="G169">
        <v>24328.3</v>
      </c>
      <c r="H169">
        <v>0</v>
      </c>
      <c r="I169" s="8">
        <f t="shared" si="9"/>
        <v>3.7731800955982386E-3</v>
      </c>
      <c r="J169" s="8">
        <f t="shared" si="10"/>
        <v>3.7660795071757453E-3</v>
      </c>
      <c r="K169" s="8">
        <f t="shared" si="7"/>
        <v>3.2275173808164803E-2</v>
      </c>
    </row>
    <row r="170" spans="1:11" x14ac:dyDescent="0.25">
      <c r="A170" t="str">
        <f t="shared" si="8"/>
        <v>92017</v>
      </c>
      <c r="B170" s="1">
        <v>42984</v>
      </c>
      <c r="C170" s="10">
        <v>42895.645833333336</v>
      </c>
      <c r="D170">
        <v>24192.400000000001</v>
      </c>
      <c r="E170">
        <v>24331.3</v>
      </c>
      <c r="F170">
        <v>24151.1</v>
      </c>
      <c r="G170">
        <v>24279.15</v>
      </c>
      <c r="H170">
        <v>0</v>
      </c>
      <c r="I170" s="8">
        <f t="shared" si="9"/>
        <v>-2.0202809074204575E-3</v>
      </c>
      <c r="J170" s="8">
        <f t="shared" si="10"/>
        <v>-2.022324427680083E-3</v>
      </c>
      <c r="K170" s="8">
        <f t="shared" si="7"/>
        <v>3.1570651042441389E-2</v>
      </c>
    </row>
    <row r="171" spans="1:11" x14ac:dyDescent="0.25">
      <c r="A171" t="str">
        <f t="shared" si="8"/>
        <v>92017</v>
      </c>
      <c r="B171" s="1">
        <v>42985</v>
      </c>
      <c r="C171" s="10">
        <v>42925.645833333336</v>
      </c>
      <c r="D171">
        <v>24324.85</v>
      </c>
      <c r="E171">
        <v>24413.1</v>
      </c>
      <c r="F171">
        <v>24246.9</v>
      </c>
      <c r="G171">
        <v>24304.9</v>
      </c>
      <c r="H171">
        <v>0</v>
      </c>
      <c r="I171" s="8">
        <f t="shared" si="9"/>
        <v>1.0605807863948158E-3</v>
      </c>
      <c r="J171" s="8">
        <f t="shared" si="10"/>
        <v>1.0600187679348E-3</v>
      </c>
      <c r="K171" s="8">
        <f t="shared" si="7"/>
        <v>2.5917124296670924E-2</v>
      </c>
    </row>
    <row r="172" spans="1:11" x14ac:dyDescent="0.25">
      <c r="A172" t="str">
        <f t="shared" si="8"/>
        <v>92017</v>
      </c>
      <c r="B172" s="1">
        <v>42986</v>
      </c>
      <c r="C172" s="10">
        <v>42956.645833333336</v>
      </c>
      <c r="D172">
        <v>24409.5</v>
      </c>
      <c r="E172">
        <v>24419.25</v>
      </c>
      <c r="F172">
        <v>24273</v>
      </c>
      <c r="G172">
        <v>24370.799999999999</v>
      </c>
      <c r="H172">
        <v>0</v>
      </c>
      <c r="I172" s="8">
        <f t="shared" si="9"/>
        <v>2.7113874157063123E-3</v>
      </c>
      <c r="J172" s="8">
        <f t="shared" si="10"/>
        <v>2.7077182357298142E-3</v>
      </c>
      <c r="K172" s="8">
        <f t="shared" si="7"/>
        <v>3.8361002878086969E-2</v>
      </c>
    </row>
    <row r="173" spans="1:11" x14ac:dyDescent="0.25">
      <c r="A173" t="str">
        <f t="shared" si="8"/>
        <v>92017</v>
      </c>
      <c r="B173" s="1">
        <v>42989</v>
      </c>
      <c r="C173" s="10">
        <v>43048.645833333336</v>
      </c>
      <c r="D173">
        <v>24468.5</v>
      </c>
      <c r="E173">
        <v>24735.35</v>
      </c>
      <c r="F173">
        <v>24458.25</v>
      </c>
      <c r="G173">
        <v>24672.25</v>
      </c>
      <c r="H173">
        <v>0</v>
      </c>
      <c r="I173" s="8">
        <f t="shared" si="9"/>
        <v>1.236931081458148E-2</v>
      </c>
      <c r="J173" s="8">
        <f t="shared" si="10"/>
        <v>1.2293435928882143E-2</v>
      </c>
      <c r="K173" s="8">
        <f t="shared" si="7"/>
        <v>5.0873482878543097E-2</v>
      </c>
    </row>
    <row r="174" spans="1:11" x14ac:dyDescent="0.25">
      <c r="A174" t="str">
        <f t="shared" si="8"/>
        <v>92017</v>
      </c>
      <c r="B174" s="1">
        <v>42990</v>
      </c>
      <c r="C174" s="10">
        <v>43078.645833333336</v>
      </c>
      <c r="D174">
        <v>24779.15</v>
      </c>
      <c r="E174">
        <v>24821.35</v>
      </c>
      <c r="F174">
        <v>24653.599999999999</v>
      </c>
      <c r="G174">
        <v>24784.7</v>
      </c>
      <c r="H174">
        <v>0</v>
      </c>
      <c r="I174" s="8">
        <f t="shared" si="9"/>
        <v>4.5577521304298596E-3</v>
      </c>
      <c r="J174" s="8">
        <f t="shared" si="10"/>
        <v>4.5473970302537759E-3</v>
      </c>
      <c r="K174" s="8">
        <f t="shared" si="7"/>
        <v>5.4726431674943621E-2</v>
      </c>
    </row>
    <row r="175" spans="1:11" x14ac:dyDescent="0.25">
      <c r="A175" t="str">
        <f t="shared" si="8"/>
        <v>92017</v>
      </c>
      <c r="B175" s="1">
        <v>42991</v>
      </c>
      <c r="C175" t="s">
        <v>127</v>
      </c>
      <c r="D175">
        <v>24818.35</v>
      </c>
      <c r="E175">
        <v>24948.799999999999</v>
      </c>
      <c r="F175">
        <v>24737.8</v>
      </c>
      <c r="G175">
        <v>24831.8</v>
      </c>
      <c r="H175">
        <v>0</v>
      </c>
      <c r="I175" s="8">
        <f t="shared" si="9"/>
        <v>1.9003659515748339E-3</v>
      </c>
      <c r="J175" s="8">
        <f t="shared" si="10"/>
        <v>1.8985625405989678E-3</v>
      </c>
      <c r="K175" s="8">
        <f t="shared" si="7"/>
        <v>6.156230294868914E-2</v>
      </c>
    </row>
    <row r="176" spans="1:11" x14ac:dyDescent="0.25">
      <c r="A176" t="str">
        <f t="shared" si="8"/>
        <v>92017</v>
      </c>
      <c r="B176" s="1">
        <v>42992</v>
      </c>
      <c r="C176" t="s">
        <v>128</v>
      </c>
      <c r="D176">
        <v>24857.25</v>
      </c>
      <c r="E176">
        <v>24994.3</v>
      </c>
      <c r="F176">
        <v>24815.5</v>
      </c>
      <c r="G176">
        <v>24912.25</v>
      </c>
      <c r="H176">
        <v>0</v>
      </c>
      <c r="I176" s="8">
        <f t="shared" si="9"/>
        <v>3.2397973566153926E-3</v>
      </c>
      <c r="J176" s="8">
        <f t="shared" si="10"/>
        <v>3.2345605209684754E-3</v>
      </c>
      <c r="K176" s="8">
        <f t="shared" si="7"/>
        <v>5.9971705438725209E-2</v>
      </c>
    </row>
    <row r="177" spans="1:11" x14ac:dyDescent="0.25">
      <c r="A177" t="str">
        <f t="shared" si="8"/>
        <v>92017</v>
      </c>
      <c r="B177" s="1">
        <v>42993</v>
      </c>
      <c r="C177" t="s">
        <v>129</v>
      </c>
      <c r="D177">
        <v>24840.3</v>
      </c>
      <c r="E177">
        <v>24916.85</v>
      </c>
      <c r="F177">
        <v>24791.55</v>
      </c>
      <c r="G177">
        <v>24844.3</v>
      </c>
      <c r="H177">
        <v>0</v>
      </c>
      <c r="I177" s="8">
        <f t="shared" si="9"/>
        <v>-2.7275737839818071E-3</v>
      </c>
      <c r="J177" s="8">
        <f t="shared" si="10"/>
        <v>-2.7313003912954525E-3</v>
      </c>
      <c r="K177" s="8">
        <f t="shared" si="7"/>
        <v>4.642165936951792E-2</v>
      </c>
    </row>
    <row r="178" spans="1:11" x14ac:dyDescent="0.25">
      <c r="A178" t="str">
        <f t="shared" si="8"/>
        <v>92017</v>
      </c>
      <c r="B178" s="1">
        <v>42996</v>
      </c>
      <c r="C178" t="s">
        <v>130</v>
      </c>
      <c r="D178">
        <v>24948.15</v>
      </c>
      <c r="E178">
        <v>25105.35</v>
      </c>
      <c r="F178">
        <v>24941.75</v>
      </c>
      <c r="G178">
        <v>25046.9</v>
      </c>
      <c r="H178">
        <v>0</v>
      </c>
      <c r="I178" s="8">
        <f t="shared" si="9"/>
        <v>8.1547880197874179E-3</v>
      </c>
      <c r="J178" s="8">
        <f t="shared" si="10"/>
        <v>8.1217174035569471E-3</v>
      </c>
      <c r="K178" s="8">
        <f t="shared" si="7"/>
        <v>5.6922645207707845E-2</v>
      </c>
    </row>
    <row r="179" spans="1:11" x14ac:dyDescent="0.25">
      <c r="A179" t="str">
        <f t="shared" si="8"/>
        <v>92017</v>
      </c>
      <c r="B179" s="1">
        <v>42997</v>
      </c>
      <c r="C179" t="s">
        <v>131</v>
      </c>
      <c r="D179">
        <v>25059.75</v>
      </c>
      <c r="E179">
        <v>25103.45</v>
      </c>
      <c r="F179">
        <v>24993</v>
      </c>
      <c r="G179">
        <v>25041.55</v>
      </c>
      <c r="H179">
        <v>0</v>
      </c>
      <c r="I179" s="8">
        <f t="shared" si="9"/>
        <v>-2.1359928773634351E-4</v>
      </c>
      <c r="J179" s="8">
        <f t="shared" si="10"/>
        <v>-2.1362210331318939E-4</v>
      </c>
      <c r="K179" s="8">
        <f t="shared" si="7"/>
        <v>5.62155322402067E-2</v>
      </c>
    </row>
    <row r="180" spans="1:11" x14ac:dyDescent="0.25">
      <c r="A180" t="str">
        <f t="shared" si="8"/>
        <v>92017</v>
      </c>
      <c r="B180" s="1">
        <v>42998</v>
      </c>
      <c r="C180" t="s">
        <v>132</v>
      </c>
      <c r="D180">
        <v>24984.65</v>
      </c>
      <c r="E180">
        <v>25052.6</v>
      </c>
      <c r="F180">
        <v>24938.3</v>
      </c>
      <c r="G180">
        <v>24965.05</v>
      </c>
      <c r="H180">
        <v>0</v>
      </c>
      <c r="I180" s="8">
        <f t="shared" si="9"/>
        <v>-3.054922718441988E-3</v>
      </c>
      <c r="J180" s="8">
        <f t="shared" si="10"/>
        <v>-3.0595985200865066E-3</v>
      </c>
      <c r="K180" s="8">
        <f t="shared" si="7"/>
        <v>5.1775565488854536E-2</v>
      </c>
    </row>
    <row r="181" spans="1:11" x14ac:dyDescent="0.25">
      <c r="A181" t="str">
        <f t="shared" si="8"/>
        <v>92017</v>
      </c>
      <c r="B181" s="1">
        <v>42999</v>
      </c>
      <c r="C181" t="s">
        <v>133</v>
      </c>
      <c r="D181">
        <v>24934.1</v>
      </c>
      <c r="E181">
        <v>24992.5</v>
      </c>
      <c r="F181">
        <v>24706.45</v>
      </c>
      <c r="G181">
        <v>24799.25</v>
      </c>
      <c r="H181">
        <v>0</v>
      </c>
      <c r="I181" s="8">
        <f t="shared" si="9"/>
        <v>-6.6412845157529654E-3</v>
      </c>
      <c r="J181" s="8">
        <f t="shared" si="10"/>
        <v>-6.6634359763363656E-3</v>
      </c>
      <c r="K181" s="8">
        <f t="shared" si="7"/>
        <v>5.3370995317029601E-2</v>
      </c>
    </row>
    <row r="182" spans="1:11" x14ac:dyDescent="0.25">
      <c r="A182" t="str">
        <f t="shared" si="8"/>
        <v>92017</v>
      </c>
      <c r="B182" s="1">
        <v>43000</v>
      </c>
      <c r="C182" t="s">
        <v>134</v>
      </c>
      <c r="D182">
        <v>24704.55</v>
      </c>
      <c r="E182">
        <v>24709.7</v>
      </c>
      <c r="F182">
        <v>24340</v>
      </c>
      <c r="G182">
        <v>24368.85</v>
      </c>
      <c r="H182">
        <v>0</v>
      </c>
      <c r="I182" s="8">
        <f t="shared" si="9"/>
        <v>-1.7355363569462878E-2</v>
      </c>
      <c r="J182" s="8">
        <f t="shared" si="10"/>
        <v>-1.7507733421493692E-2</v>
      </c>
      <c r="K182" s="8">
        <f t="shared" si="7"/>
        <v>4.9646260701017519E-2</v>
      </c>
    </row>
    <row r="183" spans="1:11" x14ac:dyDescent="0.25">
      <c r="A183" t="str">
        <f t="shared" si="8"/>
        <v>92017</v>
      </c>
      <c r="B183" s="1">
        <v>43003</v>
      </c>
      <c r="C183" t="s">
        <v>135</v>
      </c>
      <c r="D183">
        <v>24361.55</v>
      </c>
      <c r="E183">
        <v>24363.8</v>
      </c>
      <c r="F183">
        <v>24015.45</v>
      </c>
      <c r="G183">
        <v>24165.05</v>
      </c>
      <c r="H183">
        <v>0</v>
      </c>
      <c r="I183" s="8">
        <f t="shared" si="9"/>
        <v>-8.3631357245007587E-3</v>
      </c>
      <c r="J183" s="8">
        <f t="shared" si="10"/>
        <v>-8.3983029535413325E-3</v>
      </c>
      <c r="K183" s="8">
        <f t="shared" si="7"/>
        <v>3.9989929354854681E-2</v>
      </c>
    </row>
    <row r="184" spans="1:11" x14ac:dyDescent="0.25">
      <c r="A184" t="str">
        <f t="shared" si="8"/>
        <v>92017</v>
      </c>
      <c r="B184" s="1">
        <v>43004</v>
      </c>
      <c r="C184" t="s">
        <v>136</v>
      </c>
      <c r="D184">
        <v>24105.599999999999</v>
      </c>
      <c r="E184">
        <v>24236.95</v>
      </c>
      <c r="F184">
        <v>24017.4</v>
      </c>
      <c r="G184">
        <v>24199.15</v>
      </c>
      <c r="H184">
        <v>0</v>
      </c>
      <c r="I184" s="8">
        <f t="shared" si="9"/>
        <v>1.4111288824150137E-3</v>
      </c>
      <c r="J184" s="8">
        <f t="shared" si="10"/>
        <v>1.4101341757165632E-3</v>
      </c>
      <c r="K184" s="8">
        <f t="shared" si="7"/>
        <v>4.1840851067493912E-2</v>
      </c>
    </row>
    <row r="185" spans="1:11" x14ac:dyDescent="0.25">
      <c r="A185" t="str">
        <f t="shared" si="8"/>
        <v>92017</v>
      </c>
      <c r="B185" s="1">
        <v>43005</v>
      </c>
      <c r="C185" t="s">
        <v>137</v>
      </c>
      <c r="D185">
        <v>24308.7</v>
      </c>
      <c r="E185">
        <v>24331.85</v>
      </c>
      <c r="F185">
        <v>23766.6</v>
      </c>
      <c r="G185">
        <v>23812.95</v>
      </c>
      <c r="H185">
        <v>0</v>
      </c>
      <c r="I185" s="8">
        <f t="shared" si="9"/>
        <v>-1.595923823770673E-2</v>
      </c>
      <c r="J185" s="8">
        <f t="shared" si="10"/>
        <v>-1.6087958232680732E-2</v>
      </c>
      <c r="K185" s="8">
        <f t="shared" si="7"/>
        <v>2.592498449024605E-2</v>
      </c>
    </row>
    <row r="186" spans="1:11" x14ac:dyDescent="0.25">
      <c r="A186" t="str">
        <f t="shared" si="8"/>
        <v>92017</v>
      </c>
      <c r="B186" s="1">
        <v>43006</v>
      </c>
      <c r="C186" t="s">
        <v>138</v>
      </c>
      <c r="D186">
        <v>23804.05</v>
      </c>
      <c r="E186">
        <v>24074.2</v>
      </c>
      <c r="F186">
        <v>23611.1</v>
      </c>
      <c r="G186">
        <v>24008.15</v>
      </c>
      <c r="H186">
        <v>0</v>
      </c>
      <c r="I186" s="8">
        <f t="shared" si="9"/>
        <v>8.1972204199816101E-3</v>
      </c>
      <c r="J186" s="8">
        <f t="shared" si="10"/>
        <v>8.1638056897518664E-3</v>
      </c>
      <c r="K186" s="8">
        <f t="shared" si="7"/>
        <v>3.159697157196395E-2</v>
      </c>
    </row>
    <row r="187" spans="1:11" x14ac:dyDescent="0.25">
      <c r="A187" t="str">
        <f t="shared" si="8"/>
        <v>92017</v>
      </c>
      <c r="B187" s="1">
        <v>43007</v>
      </c>
      <c r="C187" t="s">
        <v>139</v>
      </c>
      <c r="D187">
        <v>24114</v>
      </c>
      <c r="E187">
        <v>24227.45</v>
      </c>
      <c r="F187">
        <v>24004.799999999999</v>
      </c>
      <c r="G187">
        <v>24053</v>
      </c>
      <c r="H187">
        <v>0</v>
      </c>
      <c r="I187" s="8">
        <f t="shared" si="9"/>
        <v>1.8681156190709647E-3</v>
      </c>
      <c r="J187" s="8">
        <f t="shared" si="10"/>
        <v>1.8663728611991056E-3</v>
      </c>
      <c r="K187" s="8">
        <f t="shared" si="7"/>
        <v>3.6133056491285398E-2</v>
      </c>
    </row>
    <row r="188" spans="1:11" x14ac:dyDescent="0.25">
      <c r="A188" t="str">
        <f t="shared" si="8"/>
        <v>102017</v>
      </c>
      <c r="B188" s="1">
        <v>43011</v>
      </c>
      <c r="C188" s="10">
        <v>42804.645833333336</v>
      </c>
      <c r="D188">
        <v>24200.6</v>
      </c>
      <c r="E188">
        <v>24226.799999999999</v>
      </c>
      <c r="F188">
        <v>24007.25</v>
      </c>
      <c r="G188">
        <v>24103.4</v>
      </c>
      <c r="H188">
        <v>0</v>
      </c>
      <c r="I188" s="8">
        <f t="shared" si="9"/>
        <v>2.0953727185799575E-3</v>
      </c>
      <c r="J188" s="8">
        <f t="shared" si="10"/>
        <v>2.0931804869924447E-3</v>
      </c>
      <c r="K188" s="8">
        <f t="shared" si="7"/>
        <v>3.2150595651019742E-2</v>
      </c>
    </row>
    <row r="189" spans="1:11" x14ac:dyDescent="0.25">
      <c r="A189" t="str">
        <f t="shared" si="8"/>
        <v>102017</v>
      </c>
      <c r="B189" s="1">
        <v>43012</v>
      </c>
      <c r="C189" s="10">
        <v>42835.645833333336</v>
      </c>
      <c r="D189">
        <v>24124.15</v>
      </c>
      <c r="E189">
        <v>24230.45</v>
      </c>
      <c r="F189">
        <v>24058.65</v>
      </c>
      <c r="G189">
        <v>24113.3</v>
      </c>
      <c r="H189">
        <v>0</v>
      </c>
      <c r="I189" s="8">
        <f t="shared" si="9"/>
        <v>4.1073043636985496E-4</v>
      </c>
      <c r="J189" s="8">
        <f t="shared" si="10"/>
        <v>4.1064610971373405E-4</v>
      </c>
      <c r="K189" s="8">
        <f t="shared" si="7"/>
        <v>2.7556127525658614E-2</v>
      </c>
    </row>
    <row r="190" spans="1:11" x14ac:dyDescent="0.25">
      <c r="A190" t="str">
        <f t="shared" si="8"/>
        <v>102017</v>
      </c>
      <c r="B190" s="1">
        <v>43013</v>
      </c>
      <c r="C190" s="10">
        <v>42865.645833333336</v>
      </c>
      <c r="D190">
        <v>24114.75</v>
      </c>
      <c r="E190">
        <v>24188.3</v>
      </c>
      <c r="F190">
        <v>24033.35</v>
      </c>
      <c r="G190">
        <v>24058.05</v>
      </c>
      <c r="H190">
        <v>0</v>
      </c>
      <c r="I190" s="8">
        <f t="shared" si="9"/>
        <v>-2.2912666453782649E-3</v>
      </c>
      <c r="J190" s="8">
        <f t="shared" si="10"/>
        <v>-2.2938956133438239E-3</v>
      </c>
      <c r="K190" s="8">
        <f t="shared" si="7"/>
        <v>2.5966826089644846E-2</v>
      </c>
    </row>
    <row r="191" spans="1:11" x14ac:dyDescent="0.25">
      <c r="A191" t="str">
        <f t="shared" si="8"/>
        <v>102017</v>
      </c>
      <c r="B191" s="1">
        <v>43014</v>
      </c>
      <c r="C191" s="10">
        <v>42896.645833333336</v>
      </c>
      <c r="D191">
        <v>24083.55</v>
      </c>
      <c r="E191">
        <v>24242.05</v>
      </c>
      <c r="F191">
        <v>24074.35</v>
      </c>
      <c r="G191">
        <v>24190</v>
      </c>
      <c r="H191">
        <v>0</v>
      </c>
      <c r="I191" s="8">
        <f t="shared" si="9"/>
        <v>5.4846506678638551E-3</v>
      </c>
      <c r="J191" s="8">
        <f t="shared" si="10"/>
        <v>5.4696647414657828E-3</v>
      </c>
      <c r="K191" s="8">
        <f t="shared" si="7"/>
        <v>2.1750746038551094E-2</v>
      </c>
    </row>
    <row r="192" spans="1:11" x14ac:dyDescent="0.25">
      <c r="A192" t="str">
        <f t="shared" si="8"/>
        <v>102017</v>
      </c>
      <c r="B192" s="1">
        <v>43017</v>
      </c>
      <c r="C192" s="10">
        <v>42988.645833333336</v>
      </c>
      <c r="D192">
        <v>24209.55</v>
      </c>
      <c r="E192">
        <v>24311.1</v>
      </c>
      <c r="F192">
        <v>24156.05</v>
      </c>
      <c r="G192">
        <v>24251.9</v>
      </c>
      <c r="H192">
        <v>0</v>
      </c>
      <c r="I192" s="8">
        <f t="shared" si="9"/>
        <v>2.5589086399340211E-3</v>
      </c>
      <c r="J192" s="8">
        <f t="shared" si="10"/>
        <v>2.5556402077790779E-3</v>
      </c>
      <c r="K192" s="8">
        <f t="shared" ref="K192:K255" si="11">+G192/G131-1</f>
        <v>2.8293886688771641E-2</v>
      </c>
    </row>
    <row r="193" spans="1:11" x14ac:dyDescent="0.25">
      <c r="A193" t="str">
        <f t="shared" si="8"/>
        <v>102017</v>
      </c>
      <c r="B193" s="1">
        <v>43018</v>
      </c>
      <c r="C193" s="10">
        <v>43018.645833333336</v>
      </c>
      <c r="D193">
        <v>24304.799999999999</v>
      </c>
      <c r="E193">
        <v>24379.75</v>
      </c>
      <c r="F193">
        <v>24273.65</v>
      </c>
      <c r="G193">
        <v>24347.45</v>
      </c>
      <c r="H193">
        <v>0</v>
      </c>
      <c r="I193" s="8">
        <f t="shared" si="9"/>
        <v>3.9398974925675123E-3</v>
      </c>
      <c r="J193" s="8">
        <f t="shared" si="10"/>
        <v>3.9321564224616109E-3</v>
      </c>
      <c r="K193" s="8">
        <f t="shared" si="11"/>
        <v>2.751583109837541E-2</v>
      </c>
    </row>
    <row r="194" spans="1:11" x14ac:dyDescent="0.25">
      <c r="A194" t="str">
        <f t="shared" si="8"/>
        <v>102017</v>
      </c>
      <c r="B194" s="1">
        <v>43019</v>
      </c>
      <c r="C194" s="10">
        <v>43049.645833333336</v>
      </c>
      <c r="D194">
        <v>24411.45</v>
      </c>
      <c r="E194">
        <v>24460.25</v>
      </c>
      <c r="F194">
        <v>24054.25</v>
      </c>
      <c r="G194">
        <v>24107.45</v>
      </c>
      <c r="H194">
        <v>0</v>
      </c>
      <c r="I194" s="8">
        <f t="shared" si="9"/>
        <v>-9.8572951171478351E-3</v>
      </c>
      <c r="J194" s="8">
        <f t="shared" si="10"/>
        <v>-9.9061998952724439E-3</v>
      </c>
      <c r="K194" s="8">
        <f t="shared" si="11"/>
        <v>9.1591613590553678E-3</v>
      </c>
    </row>
    <row r="195" spans="1:11" x14ac:dyDescent="0.25">
      <c r="A195" t="str">
        <f t="shared" ref="A195:A258" si="12">+MONTH(B195)&amp;YEAR(B195)</f>
        <v>102017</v>
      </c>
      <c r="B195" s="1">
        <v>43020</v>
      </c>
      <c r="C195" s="10">
        <v>43079.645833333336</v>
      </c>
      <c r="D195">
        <v>24151.45</v>
      </c>
      <c r="E195">
        <v>24393.4</v>
      </c>
      <c r="F195">
        <v>23978.400000000001</v>
      </c>
      <c r="G195">
        <v>24361.25</v>
      </c>
      <c r="H195">
        <v>0</v>
      </c>
      <c r="I195" s="8">
        <f t="shared" si="9"/>
        <v>1.0527865867190345E-2</v>
      </c>
      <c r="J195" s="8">
        <f t="shared" si="10"/>
        <v>1.0472833797192712E-2</v>
      </c>
      <c r="K195" s="8">
        <f t="shared" si="11"/>
        <v>1.7693846944359715E-2</v>
      </c>
    </row>
    <row r="196" spans="1:11" x14ac:dyDescent="0.25">
      <c r="A196" t="str">
        <f t="shared" si="12"/>
        <v>102017</v>
      </c>
      <c r="B196" s="1">
        <v>43021</v>
      </c>
      <c r="C196" t="s">
        <v>140</v>
      </c>
      <c r="D196">
        <v>24411.1</v>
      </c>
      <c r="E196">
        <v>24779.75</v>
      </c>
      <c r="F196">
        <v>24387.8</v>
      </c>
      <c r="G196">
        <v>24689.15</v>
      </c>
      <c r="H196">
        <v>0</v>
      </c>
      <c r="I196" s="8">
        <f t="shared" ref="I196:I259" si="13">+G196/G195-1</f>
        <v>1.3459900456668006E-2</v>
      </c>
      <c r="J196" s="8">
        <f t="shared" ref="J196:J259" si="14">+LN(1+I196)</f>
        <v>1.3370120716893145E-2</v>
      </c>
      <c r="K196" s="8">
        <f t="shared" si="11"/>
        <v>2.8069897834899438E-2</v>
      </c>
    </row>
    <row r="197" spans="1:11" x14ac:dyDescent="0.25">
      <c r="A197" t="str">
        <f t="shared" si="12"/>
        <v>102017</v>
      </c>
      <c r="B197" s="1">
        <v>43024</v>
      </c>
      <c r="C197" t="s">
        <v>141</v>
      </c>
      <c r="D197">
        <v>24815.4</v>
      </c>
      <c r="E197">
        <v>24878.65</v>
      </c>
      <c r="F197">
        <v>24516.55</v>
      </c>
      <c r="G197">
        <v>24703.05</v>
      </c>
      <c r="H197">
        <v>0</v>
      </c>
      <c r="I197" s="8">
        <f t="shared" si="13"/>
        <v>5.6300034630596407E-4</v>
      </c>
      <c r="J197" s="8">
        <f t="shared" si="14"/>
        <v>5.6284192107051306E-4</v>
      </c>
      <c r="K197" s="8">
        <f t="shared" si="11"/>
        <v>2.8348954398146775E-2</v>
      </c>
    </row>
    <row r="198" spans="1:11" x14ac:dyDescent="0.25">
      <c r="A198" t="str">
        <f t="shared" si="12"/>
        <v>102017</v>
      </c>
      <c r="B198" s="1">
        <v>43025</v>
      </c>
      <c r="C198" t="s">
        <v>142</v>
      </c>
      <c r="D198">
        <v>24697.25</v>
      </c>
      <c r="E198">
        <v>24809.15</v>
      </c>
      <c r="F198">
        <v>24571.85</v>
      </c>
      <c r="G198">
        <v>24645.599999999999</v>
      </c>
      <c r="H198">
        <v>0</v>
      </c>
      <c r="I198" s="8">
        <f t="shared" si="13"/>
        <v>-2.3256237590095763E-3</v>
      </c>
      <c r="J198" s="8">
        <f t="shared" si="14"/>
        <v>-2.3283322220025685E-3</v>
      </c>
      <c r="K198" s="8">
        <f t="shared" si="11"/>
        <v>2.0409768700328845E-2</v>
      </c>
    </row>
    <row r="199" spans="1:11" x14ac:dyDescent="0.25">
      <c r="A199" t="str">
        <f t="shared" si="12"/>
        <v>102017</v>
      </c>
      <c r="B199" s="1">
        <v>43026</v>
      </c>
      <c r="C199" t="s">
        <v>143</v>
      </c>
      <c r="D199">
        <v>24354.75</v>
      </c>
      <c r="E199">
        <v>24454.65</v>
      </c>
      <c r="F199">
        <v>24270.05</v>
      </c>
      <c r="G199">
        <v>24313.75</v>
      </c>
      <c r="H199">
        <v>0</v>
      </c>
      <c r="I199" s="8">
        <f t="shared" si="13"/>
        <v>-1.3464878112117273E-2</v>
      </c>
      <c r="J199" s="8">
        <f t="shared" si="14"/>
        <v>-1.3556351631292991E-2</v>
      </c>
      <c r="K199" s="8">
        <f t="shared" si="11"/>
        <v>4.146472916800148E-3</v>
      </c>
    </row>
    <row r="200" spans="1:11" x14ac:dyDescent="0.25">
      <c r="A200" t="str">
        <f t="shared" si="12"/>
        <v>102017</v>
      </c>
      <c r="B200" s="1">
        <v>43027</v>
      </c>
      <c r="C200" t="s">
        <v>144</v>
      </c>
      <c r="D200">
        <v>24238.400000000001</v>
      </c>
      <c r="E200">
        <v>24255.3</v>
      </c>
      <c r="F200">
        <v>23923.7</v>
      </c>
      <c r="G200">
        <v>24009.75</v>
      </c>
      <c r="H200">
        <v>0</v>
      </c>
      <c r="I200" s="8">
        <f t="shared" si="13"/>
        <v>-1.2503213202405994E-2</v>
      </c>
      <c r="J200" s="8">
        <f t="shared" si="14"/>
        <v>-1.2582036088008154E-2</v>
      </c>
      <c r="K200" s="8">
        <f t="shared" si="11"/>
        <v>-1.0194974244601029E-2</v>
      </c>
    </row>
    <row r="201" spans="1:11" x14ac:dyDescent="0.25">
      <c r="A201" t="str">
        <f t="shared" si="12"/>
        <v>102017</v>
      </c>
      <c r="B201" s="1">
        <v>43031</v>
      </c>
      <c r="C201" t="s">
        <v>145</v>
      </c>
      <c r="D201">
        <v>24085.45</v>
      </c>
      <c r="E201">
        <v>24151</v>
      </c>
      <c r="F201">
        <v>23912.55</v>
      </c>
      <c r="G201">
        <v>24088.9</v>
      </c>
      <c r="H201">
        <v>0</v>
      </c>
      <c r="I201" s="8">
        <f t="shared" si="13"/>
        <v>3.2965774320850016E-3</v>
      </c>
      <c r="J201" s="8">
        <f t="shared" si="14"/>
        <v>3.2911556330214469E-3</v>
      </c>
      <c r="K201" s="8">
        <f t="shared" si="11"/>
        <v>-1.3592892958271152E-2</v>
      </c>
    </row>
    <row r="202" spans="1:11" x14ac:dyDescent="0.25">
      <c r="A202" t="str">
        <f t="shared" si="12"/>
        <v>102017</v>
      </c>
      <c r="B202" s="1">
        <v>43032</v>
      </c>
      <c r="C202" t="s">
        <v>146</v>
      </c>
      <c r="D202">
        <v>24141.95</v>
      </c>
      <c r="E202">
        <v>24293.25</v>
      </c>
      <c r="F202">
        <v>24032.65</v>
      </c>
      <c r="G202">
        <v>24222.15</v>
      </c>
      <c r="H202">
        <v>0</v>
      </c>
      <c r="I202" s="8">
        <f t="shared" si="13"/>
        <v>5.5315933894863889E-3</v>
      </c>
      <c r="J202" s="8">
        <f t="shared" si="14"/>
        <v>5.5163503132703642E-3</v>
      </c>
      <c r="K202" s="8">
        <f t="shared" si="11"/>
        <v>-1.2175427292043017E-2</v>
      </c>
    </row>
    <row r="203" spans="1:11" x14ac:dyDescent="0.25">
      <c r="A203" t="str">
        <f t="shared" si="12"/>
        <v>102017</v>
      </c>
      <c r="B203" s="1">
        <v>43033</v>
      </c>
      <c r="C203" t="s">
        <v>147</v>
      </c>
      <c r="D203">
        <v>24980.65</v>
      </c>
      <c r="E203">
        <v>25157.8</v>
      </c>
      <c r="F203">
        <v>24560.75</v>
      </c>
      <c r="G203">
        <v>25035.9</v>
      </c>
      <c r="H203">
        <v>0</v>
      </c>
      <c r="I203" s="8">
        <f t="shared" si="13"/>
        <v>3.3595283655662334E-2</v>
      </c>
      <c r="J203" s="8">
        <f t="shared" si="14"/>
        <v>3.3043291009147234E-2</v>
      </c>
      <c r="K203" s="8">
        <f t="shared" si="11"/>
        <v>1.4802984917331008E-2</v>
      </c>
    </row>
    <row r="204" spans="1:11" x14ac:dyDescent="0.25">
      <c r="A204" t="str">
        <f t="shared" si="12"/>
        <v>102017</v>
      </c>
      <c r="B204" s="1">
        <v>43034</v>
      </c>
      <c r="C204" t="s">
        <v>148</v>
      </c>
      <c r="D204">
        <v>24953.95</v>
      </c>
      <c r="E204">
        <v>25186.05</v>
      </c>
      <c r="F204">
        <v>24864.6</v>
      </c>
      <c r="G204">
        <v>25022.2</v>
      </c>
      <c r="H204">
        <v>0</v>
      </c>
      <c r="I204" s="8">
        <f t="shared" si="13"/>
        <v>-5.4721420040826363E-4</v>
      </c>
      <c r="J204" s="8">
        <f t="shared" si="14"/>
        <v>-5.4736397674114438E-4</v>
      </c>
      <c r="K204" s="8">
        <f t="shared" si="11"/>
        <v>4.0044297499437498E-3</v>
      </c>
    </row>
    <row r="205" spans="1:11" x14ac:dyDescent="0.25">
      <c r="A205" t="str">
        <f t="shared" si="12"/>
        <v>102017</v>
      </c>
      <c r="B205" s="1">
        <v>43035</v>
      </c>
      <c r="C205" t="s">
        <v>149</v>
      </c>
      <c r="D205">
        <v>24887.599999999999</v>
      </c>
      <c r="E205">
        <v>24995.7</v>
      </c>
      <c r="F205">
        <v>24798.65</v>
      </c>
      <c r="G205">
        <v>24839.55</v>
      </c>
      <c r="H205">
        <v>0</v>
      </c>
      <c r="I205" s="8">
        <f t="shared" si="13"/>
        <v>-7.2995180279912253E-3</v>
      </c>
      <c r="J205" s="8">
        <f t="shared" si="14"/>
        <v>-7.3262898703011442E-3</v>
      </c>
      <c r="K205" s="8">
        <f t="shared" si="11"/>
        <v>1.1385941083297269E-3</v>
      </c>
    </row>
    <row r="206" spans="1:11" x14ac:dyDescent="0.25">
      <c r="A206" t="str">
        <f t="shared" si="12"/>
        <v>102017</v>
      </c>
      <c r="B206" s="1">
        <v>43038</v>
      </c>
      <c r="C206" t="s">
        <v>150</v>
      </c>
      <c r="D206">
        <v>24873.65</v>
      </c>
      <c r="E206">
        <v>25064.85</v>
      </c>
      <c r="F206">
        <v>24808.55</v>
      </c>
      <c r="G206">
        <v>24988.55</v>
      </c>
      <c r="H206">
        <v>0</v>
      </c>
      <c r="I206" s="8">
        <f t="shared" si="13"/>
        <v>5.9984983624905563E-3</v>
      </c>
      <c r="J206" s="8">
        <f t="shared" si="14"/>
        <v>5.9805789950124954E-3</v>
      </c>
      <c r="K206" s="8">
        <f t="shared" si="11"/>
        <v>-4.5849906288528697E-3</v>
      </c>
    </row>
    <row r="207" spans="1:11" x14ac:dyDescent="0.25">
      <c r="A207" t="str">
        <f t="shared" si="12"/>
        <v>102017</v>
      </c>
      <c r="B207" s="1">
        <v>43039</v>
      </c>
      <c r="C207" t="s">
        <v>151</v>
      </c>
      <c r="D207">
        <v>25042.1</v>
      </c>
      <c r="E207">
        <v>25078.65</v>
      </c>
      <c r="F207">
        <v>24948.1</v>
      </c>
      <c r="G207">
        <v>25019.35</v>
      </c>
      <c r="H207">
        <v>0</v>
      </c>
      <c r="I207" s="8">
        <f t="shared" si="13"/>
        <v>1.2325645145476738E-3</v>
      </c>
      <c r="J207" s="8">
        <f t="shared" si="14"/>
        <v>1.2318055305069265E-3</v>
      </c>
      <c r="K207" s="8">
        <f t="shared" si="11"/>
        <v>-4.1177734965848201E-3</v>
      </c>
    </row>
    <row r="208" spans="1:11" x14ac:dyDescent="0.25">
      <c r="A208" t="str">
        <f t="shared" si="12"/>
        <v>112017</v>
      </c>
      <c r="B208" s="1">
        <v>43040</v>
      </c>
      <c r="C208" s="10">
        <v>42746.645833333336</v>
      </c>
      <c r="D208">
        <v>25197.3</v>
      </c>
      <c r="E208">
        <v>25549.35</v>
      </c>
      <c r="F208">
        <v>25171.75</v>
      </c>
      <c r="G208">
        <v>25490.45</v>
      </c>
      <c r="H208">
        <v>0</v>
      </c>
      <c r="I208" s="8">
        <f t="shared" si="13"/>
        <v>1.8829426024257412E-2</v>
      </c>
      <c r="J208" s="8">
        <f t="shared" si="14"/>
        <v>1.8654346729475569E-2</v>
      </c>
      <c r="K208" s="8">
        <f t="shared" si="11"/>
        <v>1.7371643411347781E-2</v>
      </c>
    </row>
    <row r="209" spans="1:11" x14ac:dyDescent="0.25">
      <c r="A209" t="str">
        <f t="shared" si="12"/>
        <v>112017</v>
      </c>
      <c r="B209" s="1">
        <v>43041</v>
      </c>
      <c r="C209" s="10">
        <v>42777.645833333336</v>
      </c>
      <c r="D209">
        <v>25508.400000000001</v>
      </c>
      <c r="E209">
        <v>25598.75</v>
      </c>
      <c r="F209">
        <v>25405.5</v>
      </c>
      <c r="G209">
        <v>25427.3</v>
      </c>
      <c r="H209">
        <v>0</v>
      </c>
      <c r="I209" s="8">
        <f t="shared" si="13"/>
        <v>-2.4773983982236958E-3</v>
      </c>
      <c r="J209" s="8">
        <f t="shared" si="14"/>
        <v>-2.4804722274179491E-3</v>
      </c>
      <c r="K209" s="8">
        <f t="shared" si="11"/>
        <v>3.0486260412846189E-2</v>
      </c>
    </row>
    <row r="210" spans="1:11" x14ac:dyDescent="0.25">
      <c r="A210" t="str">
        <f t="shared" si="12"/>
        <v>112017</v>
      </c>
      <c r="B210" s="1">
        <v>43042</v>
      </c>
      <c r="C210" s="10">
        <v>42805.645833333336</v>
      </c>
      <c r="D210">
        <v>25531.4</v>
      </c>
      <c r="E210">
        <v>25695.5</v>
      </c>
      <c r="F210">
        <v>25394.95</v>
      </c>
      <c r="G210">
        <v>25650.7</v>
      </c>
      <c r="H210">
        <v>0</v>
      </c>
      <c r="I210" s="8">
        <f t="shared" si="13"/>
        <v>8.7858325500544954E-3</v>
      </c>
      <c r="J210" s="8">
        <f t="shared" si="14"/>
        <v>8.7474617060139623E-3</v>
      </c>
      <c r="K210" s="8">
        <f t="shared" si="11"/>
        <v>3.315886246875932E-2</v>
      </c>
    </row>
    <row r="211" spans="1:11" x14ac:dyDescent="0.25">
      <c r="A211" t="str">
        <f t="shared" si="12"/>
        <v>112017</v>
      </c>
      <c r="B211" s="1">
        <v>43045</v>
      </c>
      <c r="C211" s="10">
        <v>42897.645833333336</v>
      </c>
      <c r="D211">
        <v>25569</v>
      </c>
      <c r="E211">
        <v>25694.6</v>
      </c>
      <c r="F211">
        <v>25529.5</v>
      </c>
      <c r="G211">
        <v>25571.15</v>
      </c>
      <c r="H211">
        <v>0</v>
      </c>
      <c r="I211" s="8">
        <f t="shared" si="13"/>
        <v>-3.1012798870985181E-3</v>
      </c>
      <c r="J211" s="8">
        <f t="shared" si="14"/>
        <v>-3.106098821389409E-3</v>
      </c>
      <c r="K211" s="8">
        <f t="shared" si="11"/>
        <v>2.6691988187751425E-2</v>
      </c>
    </row>
    <row r="212" spans="1:11" x14ac:dyDescent="0.25">
      <c r="A212" t="str">
        <f t="shared" si="12"/>
        <v>112017</v>
      </c>
      <c r="B212" s="1">
        <v>43046</v>
      </c>
      <c r="C212" s="10">
        <v>42927.645833333336</v>
      </c>
      <c r="D212">
        <v>25669.1</v>
      </c>
      <c r="E212">
        <v>25695.75</v>
      </c>
      <c r="F212">
        <v>25248.95</v>
      </c>
      <c r="G212">
        <v>25300.799999999999</v>
      </c>
      <c r="H212">
        <v>0</v>
      </c>
      <c r="I212" s="8">
        <f t="shared" si="13"/>
        <v>-1.0572461543575606E-2</v>
      </c>
      <c r="J212" s="8">
        <f t="shared" si="14"/>
        <v>-1.0628747084439678E-2</v>
      </c>
      <c r="K212" s="8">
        <f t="shared" si="11"/>
        <v>2.8508709526616327E-2</v>
      </c>
    </row>
    <row r="213" spans="1:11" x14ac:dyDescent="0.25">
      <c r="A213" t="str">
        <f t="shared" si="12"/>
        <v>112017</v>
      </c>
      <c r="B213" s="1">
        <v>43047</v>
      </c>
      <c r="C213" s="10">
        <v>42958.645833333336</v>
      </c>
      <c r="D213">
        <v>25375.8</v>
      </c>
      <c r="E213">
        <v>25435.599999999999</v>
      </c>
      <c r="F213">
        <v>25119.5</v>
      </c>
      <c r="G213">
        <v>25184.35</v>
      </c>
      <c r="H213">
        <v>0</v>
      </c>
      <c r="I213" s="8">
        <f t="shared" si="13"/>
        <v>-4.6026212609878714E-3</v>
      </c>
      <c r="J213" s="8">
        <f t="shared" si="14"/>
        <v>-4.6132459356612015E-3</v>
      </c>
      <c r="K213" s="8">
        <f t="shared" si="11"/>
        <v>3.3221057986592584E-2</v>
      </c>
    </row>
    <row r="214" spans="1:11" x14ac:dyDescent="0.25">
      <c r="A214" t="str">
        <f t="shared" si="12"/>
        <v>112017</v>
      </c>
      <c r="B214" s="1">
        <v>43048</v>
      </c>
      <c r="C214" s="10">
        <v>42989.645833333336</v>
      </c>
      <c r="D214">
        <v>25281</v>
      </c>
      <c r="E214">
        <v>25385.200000000001</v>
      </c>
      <c r="F214">
        <v>25166.15</v>
      </c>
      <c r="G214">
        <v>25291.35</v>
      </c>
      <c r="H214">
        <v>0</v>
      </c>
      <c r="I214" s="8">
        <f t="shared" si="13"/>
        <v>4.2486703051696217E-3</v>
      </c>
      <c r="J214" s="8">
        <f t="shared" si="14"/>
        <v>4.2396701888346303E-3</v>
      </c>
      <c r="K214" s="8">
        <f t="shared" si="11"/>
        <v>4.4348370073521659E-2</v>
      </c>
    </row>
    <row r="215" spans="1:11" x14ac:dyDescent="0.25">
      <c r="A215" t="str">
        <f t="shared" si="12"/>
        <v>112017</v>
      </c>
      <c r="B215" s="1">
        <v>43049</v>
      </c>
      <c r="C215" s="10">
        <v>43019.645833333336</v>
      </c>
      <c r="D215">
        <v>25250.9</v>
      </c>
      <c r="E215">
        <v>25598.55</v>
      </c>
      <c r="F215">
        <v>25237.200000000001</v>
      </c>
      <c r="G215">
        <v>25498.95</v>
      </c>
      <c r="H215">
        <v>0</v>
      </c>
      <c r="I215" s="8">
        <f t="shared" si="13"/>
        <v>8.2083400055750211E-3</v>
      </c>
      <c r="J215" s="8">
        <f t="shared" si="14"/>
        <v>8.1748348059294436E-3</v>
      </c>
      <c r="K215" s="8">
        <f t="shared" si="11"/>
        <v>6.3087458178293421E-2</v>
      </c>
    </row>
    <row r="216" spans="1:11" x14ac:dyDescent="0.25">
      <c r="A216" t="str">
        <f t="shared" si="12"/>
        <v>112017</v>
      </c>
      <c r="B216" s="1">
        <v>43052</v>
      </c>
      <c r="C216" t="s">
        <v>152</v>
      </c>
      <c r="D216">
        <v>25570.25</v>
      </c>
      <c r="E216">
        <v>25611.55</v>
      </c>
      <c r="F216">
        <v>25337.25</v>
      </c>
      <c r="G216">
        <v>25358.3</v>
      </c>
      <c r="H216">
        <v>0</v>
      </c>
      <c r="I216" s="8">
        <f t="shared" si="13"/>
        <v>-5.515913400355732E-3</v>
      </c>
      <c r="J216" s="8">
        <f t="shared" si="14"/>
        <v>-5.531182224234342E-3</v>
      </c>
      <c r="K216" s="8">
        <f t="shared" si="11"/>
        <v>5.1524418689030904E-2</v>
      </c>
    </row>
    <row r="217" spans="1:11" x14ac:dyDescent="0.25">
      <c r="A217" t="str">
        <f t="shared" si="12"/>
        <v>112017</v>
      </c>
      <c r="B217" s="1">
        <v>43053</v>
      </c>
      <c r="C217" t="s">
        <v>153</v>
      </c>
      <c r="D217">
        <v>25352.55</v>
      </c>
      <c r="E217">
        <v>25404.799999999999</v>
      </c>
      <c r="F217">
        <v>25223.1</v>
      </c>
      <c r="G217">
        <v>25284.6</v>
      </c>
      <c r="H217">
        <v>0</v>
      </c>
      <c r="I217" s="8">
        <f t="shared" si="13"/>
        <v>-2.906346245607927E-3</v>
      </c>
      <c r="J217" s="8">
        <f t="shared" si="14"/>
        <v>-2.9105778708919672E-3</v>
      </c>
      <c r="K217" s="8">
        <f t="shared" si="11"/>
        <v>3.4655470850366354E-2</v>
      </c>
    </row>
    <row r="218" spans="1:11" x14ac:dyDescent="0.25">
      <c r="A218" t="str">
        <f t="shared" si="12"/>
        <v>112017</v>
      </c>
      <c r="B218" s="1">
        <v>43054</v>
      </c>
      <c r="C218" t="s">
        <v>154</v>
      </c>
      <c r="D218">
        <v>25241.65</v>
      </c>
      <c r="E218">
        <v>25318.05</v>
      </c>
      <c r="F218">
        <v>25166.35</v>
      </c>
      <c r="G218">
        <v>25218.9</v>
      </c>
      <c r="H218">
        <v>0</v>
      </c>
      <c r="I218" s="8">
        <f t="shared" si="13"/>
        <v>-2.5984195913717478E-3</v>
      </c>
      <c r="J218" s="8">
        <f t="shared" si="14"/>
        <v>-2.6018013429681473E-3</v>
      </c>
      <c r="K218" s="8">
        <f t="shared" si="11"/>
        <v>4.050170708310552E-2</v>
      </c>
    </row>
    <row r="219" spans="1:11" x14ac:dyDescent="0.25">
      <c r="A219" t="str">
        <f t="shared" si="12"/>
        <v>112017</v>
      </c>
      <c r="B219" s="1">
        <v>43055</v>
      </c>
      <c r="C219" t="s">
        <v>155</v>
      </c>
      <c r="D219">
        <v>25292.9</v>
      </c>
      <c r="E219">
        <v>25496.05</v>
      </c>
      <c r="F219">
        <v>25273.7</v>
      </c>
      <c r="G219">
        <v>25446.6</v>
      </c>
      <c r="H219">
        <v>0</v>
      </c>
      <c r="I219" s="8">
        <f t="shared" si="13"/>
        <v>9.0289425787801747E-3</v>
      </c>
      <c r="J219" s="8">
        <f t="shared" si="14"/>
        <v>8.9884253790909179E-3</v>
      </c>
      <c r="K219" s="8">
        <f t="shared" si="11"/>
        <v>5.6996109983820986E-2</v>
      </c>
    </row>
    <row r="220" spans="1:11" x14ac:dyDescent="0.25">
      <c r="A220" t="str">
        <f t="shared" si="12"/>
        <v>112017</v>
      </c>
      <c r="B220" s="1">
        <v>43056</v>
      </c>
      <c r="C220" t="s">
        <v>156</v>
      </c>
      <c r="D220">
        <v>25875.7</v>
      </c>
      <c r="E220">
        <v>25924.9</v>
      </c>
      <c r="F220">
        <v>25679.55</v>
      </c>
      <c r="G220">
        <v>25728.400000000001</v>
      </c>
      <c r="H220">
        <v>0</v>
      </c>
      <c r="I220" s="8">
        <f t="shared" si="13"/>
        <v>1.1074171009093581E-2</v>
      </c>
      <c r="J220" s="8">
        <f t="shared" si="14"/>
        <v>1.1013301352365522E-2</v>
      </c>
      <c r="K220" s="8">
        <f t="shared" si="11"/>
        <v>7.4860568587721721E-2</v>
      </c>
    </row>
    <row r="221" spans="1:11" x14ac:dyDescent="0.25">
      <c r="A221" t="str">
        <f t="shared" si="12"/>
        <v>112017</v>
      </c>
      <c r="B221" s="1">
        <v>43059</v>
      </c>
      <c r="C221" t="s">
        <v>157</v>
      </c>
      <c r="D221">
        <v>25733.7</v>
      </c>
      <c r="E221">
        <v>25803.15</v>
      </c>
      <c r="F221">
        <v>25681.7</v>
      </c>
      <c r="G221">
        <v>25768.6</v>
      </c>
      <c r="H221">
        <v>0</v>
      </c>
      <c r="I221" s="8">
        <f t="shared" si="13"/>
        <v>1.5624757077781215E-3</v>
      </c>
      <c r="J221" s="8">
        <f t="shared" si="14"/>
        <v>1.5612563126277087E-3</v>
      </c>
      <c r="K221" s="8">
        <f t="shared" si="11"/>
        <v>7.4835919072178791E-2</v>
      </c>
    </row>
    <row r="222" spans="1:11" x14ac:dyDescent="0.25">
      <c r="A222" t="str">
        <f t="shared" si="12"/>
        <v>112017</v>
      </c>
      <c r="B222" s="1">
        <v>43060</v>
      </c>
      <c r="C222" t="s">
        <v>158</v>
      </c>
      <c r="D222">
        <v>25829.3</v>
      </c>
      <c r="E222">
        <v>25871.1</v>
      </c>
      <c r="F222">
        <v>25726.5</v>
      </c>
      <c r="G222">
        <v>25757.5</v>
      </c>
      <c r="H222">
        <v>0</v>
      </c>
      <c r="I222" s="8">
        <f t="shared" si="13"/>
        <v>-4.3075681255477782E-4</v>
      </c>
      <c r="J222" s="8">
        <f t="shared" si="14"/>
        <v>-4.3084961492168369E-4</v>
      </c>
      <c r="K222" s="8">
        <f t="shared" si="11"/>
        <v>5.9247104882221402E-2</v>
      </c>
    </row>
    <row r="223" spans="1:11" x14ac:dyDescent="0.25">
      <c r="A223" t="str">
        <f t="shared" si="12"/>
        <v>112017</v>
      </c>
      <c r="B223" s="1">
        <v>43061</v>
      </c>
      <c r="C223" t="s">
        <v>159</v>
      </c>
      <c r="D223">
        <v>25805.65</v>
      </c>
      <c r="E223">
        <v>25831.95</v>
      </c>
      <c r="F223">
        <v>25665.85</v>
      </c>
      <c r="G223">
        <v>25766.65</v>
      </c>
      <c r="H223">
        <v>0</v>
      </c>
      <c r="I223" s="8">
        <f t="shared" si="13"/>
        <v>3.552363389305313E-4</v>
      </c>
      <c r="J223" s="8">
        <f t="shared" si="14"/>
        <v>3.5517325744106567E-4</v>
      </c>
      <c r="K223" s="8">
        <f t="shared" si="11"/>
        <v>6.1482973692232878E-2</v>
      </c>
    </row>
    <row r="224" spans="1:11" x14ac:dyDescent="0.25">
      <c r="A224" t="str">
        <f t="shared" si="12"/>
        <v>112017</v>
      </c>
      <c r="B224" s="1">
        <v>43062</v>
      </c>
      <c r="C224" t="s">
        <v>160</v>
      </c>
      <c r="D224">
        <v>25826.3</v>
      </c>
      <c r="E224">
        <v>25838.55</v>
      </c>
      <c r="F224">
        <v>25620.95</v>
      </c>
      <c r="G224">
        <v>25736.25</v>
      </c>
      <c r="H224">
        <v>0</v>
      </c>
      <c r="I224" s="8">
        <f t="shared" si="13"/>
        <v>-1.1798196505948821E-3</v>
      </c>
      <c r="J224" s="8">
        <f t="shared" si="14"/>
        <v>-1.180516185709956E-3</v>
      </c>
      <c r="K224" s="8">
        <f t="shared" si="11"/>
        <v>5.5755196475380631E-2</v>
      </c>
    </row>
    <row r="225" spans="1:11" x14ac:dyDescent="0.25">
      <c r="A225" t="str">
        <f t="shared" si="12"/>
        <v>112017</v>
      </c>
      <c r="B225" s="1">
        <v>43063</v>
      </c>
      <c r="C225" t="s">
        <v>161</v>
      </c>
      <c r="D225">
        <v>25776.6</v>
      </c>
      <c r="E225">
        <v>25849</v>
      </c>
      <c r="F225">
        <v>25749.1</v>
      </c>
      <c r="G225">
        <v>25779.65</v>
      </c>
      <c r="H225">
        <v>0</v>
      </c>
      <c r="I225" s="8">
        <f t="shared" si="13"/>
        <v>1.6863373646123225E-3</v>
      </c>
      <c r="J225" s="8">
        <f t="shared" si="14"/>
        <v>1.6849170942378321E-3</v>
      </c>
      <c r="K225" s="8">
        <f t="shared" si="11"/>
        <v>6.8411596857716583E-2</v>
      </c>
    </row>
    <row r="226" spans="1:11" x14ac:dyDescent="0.25">
      <c r="A226" t="str">
        <f t="shared" si="12"/>
        <v>112017</v>
      </c>
      <c r="B226" s="1">
        <v>43066</v>
      </c>
      <c r="C226" t="s">
        <v>162</v>
      </c>
      <c r="D226">
        <v>25693.05</v>
      </c>
      <c r="E226">
        <v>25931.85</v>
      </c>
      <c r="F226">
        <v>25673.5</v>
      </c>
      <c r="G226">
        <v>25891.95</v>
      </c>
      <c r="H226">
        <v>0</v>
      </c>
      <c r="I226" s="8">
        <f t="shared" si="13"/>
        <v>4.3561491331340907E-3</v>
      </c>
      <c r="J226" s="8">
        <f t="shared" si="14"/>
        <v>4.3466885799356772E-3</v>
      </c>
      <c r="K226" s="8">
        <f t="shared" si="11"/>
        <v>6.5131002480593336E-2</v>
      </c>
    </row>
    <row r="227" spans="1:11" x14ac:dyDescent="0.25">
      <c r="A227" t="str">
        <f t="shared" si="12"/>
        <v>112017</v>
      </c>
      <c r="B227" s="1">
        <v>43067</v>
      </c>
      <c r="C227" t="s">
        <v>163</v>
      </c>
      <c r="D227">
        <v>25830.45</v>
      </c>
      <c r="E227">
        <v>25953.5</v>
      </c>
      <c r="F227">
        <v>25795.5</v>
      </c>
      <c r="G227">
        <v>25846.400000000001</v>
      </c>
      <c r="H227">
        <v>0</v>
      </c>
      <c r="I227" s="8">
        <f t="shared" si="13"/>
        <v>-1.7592340476479951E-3</v>
      </c>
      <c r="J227" s="8">
        <f t="shared" si="14"/>
        <v>-1.7607833171502656E-3</v>
      </c>
      <c r="K227" s="8">
        <f t="shared" si="11"/>
        <v>6.2833081123758072E-2</v>
      </c>
    </row>
    <row r="228" spans="1:11" x14ac:dyDescent="0.25">
      <c r="A228" t="str">
        <f t="shared" si="12"/>
        <v>112017</v>
      </c>
      <c r="B228" s="1">
        <v>43068</v>
      </c>
      <c r="C228" t="s">
        <v>164</v>
      </c>
      <c r="D228">
        <v>25829.65</v>
      </c>
      <c r="E228">
        <v>25877.75</v>
      </c>
      <c r="F228">
        <v>25746.799999999999</v>
      </c>
      <c r="G228">
        <v>25795.7</v>
      </c>
      <c r="H228">
        <v>0</v>
      </c>
      <c r="I228" s="8">
        <f t="shared" si="13"/>
        <v>-1.9615884610623135E-3</v>
      </c>
      <c r="J228" s="8">
        <f t="shared" si="14"/>
        <v>-1.9635148953673779E-3</v>
      </c>
      <c r="K228" s="8">
        <f t="shared" si="11"/>
        <v>5.5729720880739908E-2</v>
      </c>
    </row>
    <row r="229" spans="1:11" x14ac:dyDescent="0.25">
      <c r="A229" t="str">
        <f t="shared" si="12"/>
        <v>112017</v>
      </c>
      <c r="B229" s="1">
        <v>43069</v>
      </c>
      <c r="C229" t="s">
        <v>165</v>
      </c>
      <c r="D229">
        <v>25693.8</v>
      </c>
      <c r="E229">
        <v>25700.85</v>
      </c>
      <c r="F229">
        <v>25246.85</v>
      </c>
      <c r="G229">
        <v>25332.400000000001</v>
      </c>
      <c r="H229">
        <v>0</v>
      </c>
      <c r="I229" s="8">
        <f t="shared" si="13"/>
        <v>-1.7960357734040922E-2</v>
      </c>
      <c r="J229" s="8">
        <f t="shared" si="14"/>
        <v>-1.8123602536201558E-2</v>
      </c>
      <c r="K229" s="8">
        <f t="shared" si="11"/>
        <v>4.5201831096037814E-2</v>
      </c>
    </row>
    <row r="230" spans="1:11" x14ac:dyDescent="0.25">
      <c r="A230" t="str">
        <f t="shared" si="12"/>
        <v>122017</v>
      </c>
      <c r="B230" s="1">
        <v>43070</v>
      </c>
      <c r="C230" s="10">
        <v>42747.645833333336</v>
      </c>
      <c r="D230">
        <v>25409.55</v>
      </c>
      <c r="E230">
        <v>25441.35</v>
      </c>
      <c r="F230">
        <v>25152.65</v>
      </c>
      <c r="G230">
        <v>25191.95</v>
      </c>
      <c r="H230">
        <v>0</v>
      </c>
      <c r="I230" s="8">
        <f t="shared" si="13"/>
        <v>-5.5442832104340978E-3</v>
      </c>
      <c r="J230" s="8">
        <f t="shared" si="14"/>
        <v>-5.5597097945830742E-3</v>
      </c>
      <c r="K230" s="8">
        <f t="shared" si="11"/>
        <v>3.549980886457349E-2</v>
      </c>
    </row>
    <row r="231" spans="1:11" x14ac:dyDescent="0.25">
      <c r="A231" t="str">
        <f t="shared" si="12"/>
        <v>122017</v>
      </c>
      <c r="B231" s="1">
        <v>43073</v>
      </c>
      <c r="C231" s="10">
        <v>42837.645833333336</v>
      </c>
      <c r="D231">
        <v>25295.05</v>
      </c>
      <c r="E231">
        <v>25297.200000000001</v>
      </c>
      <c r="F231">
        <v>24993.35</v>
      </c>
      <c r="G231">
        <v>25075.1</v>
      </c>
      <c r="H231">
        <v>0</v>
      </c>
      <c r="I231" s="8">
        <f t="shared" si="13"/>
        <v>-4.6383864686934118E-3</v>
      </c>
      <c r="J231" s="8">
        <f t="shared" si="14"/>
        <v>-4.6491771637488374E-3</v>
      </c>
      <c r="K231" s="8">
        <f t="shared" si="11"/>
        <v>3.2783272890525295E-2</v>
      </c>
    </row>
    <row r="232" spans="1:11" x14ac:dyDescent="0.25">
      <c r="A232" t="str">
        <f t="shared" si="12"/>
        <v>122017</v>
      </c>
      <c r="B232" s="1">
        <v>43074</v>
      </c>
      <c r="C232" s="10">
        <v>42867.645833333336</v>
      </c>
      <c r="D232">
        <v>25030.75</v>
      </c>
      <c r="E232">
        <v>25217.7</v>
      </c>
      <c r="F232">
        <v>24921.3</v>
      </c>
      <c r="G232">
        <v>25124.85</v>
      </c>
      <c r="H232">
        <v>0</v>
      </c>
      <c r="I232" s="8">
        <f t="shared" si="13"/>
        <v>1.984039944008309E-3</v>
      </c>
      <c r="J232" s="8">
        <f t="shared" si="14"/>
        <v>1.9820743362254319E-3</v>
      </c>
      <c r="K232" s="8">
        <f t="shared" si="11"/>
        <v>3.37359956222818E-2</v>
      </c>
    </row>
    <row r="233" spans="1:11" x14ac:dyDescent="0.25">
      <c r="A233" t="str">
        <f t="shared" si="12"/>
        <v>122017</v>
      </c>
      <c r="B233" s="1">
        <v>43075</v>
      </c>
      <c r="C233" s="10">
        <v>42898.645833333336</v>
      </c>
      <c r="D233">
        <v>25066.3</v>
      </c>
      <c r="E233">
        <v>25077.45</v>
      </c>
      <c r="F233">
        <v>24813.599999999999</v>
      </c>
      <c r="G233">
        <v>24851.8</v>
      </c>
      <c r="H233">
        <v>0</v>
      </c>
      <c r="I233" s="8">
        <f t="shared" si="13"/>
        <v>-1.0867726573491998E-2</v>
      </c>
      <c r="J233" s="8">
        <f t="shared" si="14"/>
        <v>-1.0927211685140605E-2</v>
      </c>
      <c r="K233" s="8">
        <f t="shared" si="11"/>
        <v>1.97367341244441E-2</v>
      </c>
    </row>
    <row r="234" spans="1:11" x14ac:dyDescent="0.25">
      <c r="A234" t="str">
        <f t="shared" si="12"/>
        <v>122017</v>
      </c>
      <c r="B234" s="1">
        <v>43076</v>
      </c>
      <c r="C234" s="10">
        <v>42928.645833333336</v>
      </c>
      <c r="D234">
        <v>24935.3</v>
      </c>
      <c r="E234">
        <v>25097.4</v>
      </c>
      <c r="F234">
        <v>24875.35</v>
      </c>
      <c r="G234">
        <v>25057.25</v>
      </c>
      <c r="H234">
        <v>0</v>
      </c>
      <c r="I234" s="8">
        <f t="shared" si="13"/>
        <v>8.2670068164076849E-3</v>
      </c>
      <c r="J234" s="8">
        <f t="shared" si="14"/>
        <v>8.2330222873104354E-3</v>
      </c>
      <c r="K234" s="8">
        <f t="shared" si="11"/>
        <v>1.5604575991245317E-2</v>
      </c>
    </row>
    <row r="235" spans="1:11" x14ac:dyDescent="0.25">
      <c r="A235" t="str">
        <f t="shared" si="12"/>
        <v>122017</v>
      </c>
      <c r="B235" s="1">
        <v>43077</v>
      </c>
      <c r="C235" s="10">
        <v>42959.645833333336</v>
      </c>
      <c r="D235">
        <v>25145.5</v>
      </c>
      <c r="E235">
        <v>25367.7</v>
      </c>
      <c r="F235">
        <v>25145.5</v>
      </c>
      <c r="G235">
        <v>25321.15</v>
      </c>
      <c r="H235">
        <v>0</v>
      </c>
      <c r="I235" s="8">
        <f t="shared" si="13"/>
        <v>1.0531881990242464E-2</v>
      </c>
      <c r="J235" s="8">
        <f t="shared" si="14"/>
        <v>1.0476808071635991E-2</v>
      </c>
      <c r="K235" s="8">
        <f t="shared" si="11"/>
        <v>2.1644401586462747E-2</v>
      </c>
    </row>
    <row r="236" spans="1:11" x14ac:dyDescent="0.25">
      <c r="A236" t="str">
        <f t="shared" si="12"/>
        <v>122017</v>
      </c>
      <c r="B236" s="1">
        <v>43080</v>
      </c>
      <c r="C236" s="10">
        <v>43051.645833333336</v>
      </c>
      <c r="D236">
        <v>25434.75</v>
      </c>
      <c r="E236">
        <v>25448.85</v>
      </c>
      <c r="F236">
        <v>25318.7</v>
      </c>
      <c r="G236">
        <v>25404.85</v>
      </c>
      <c r="H236">
        <v>0</v>
      </c>
      <c r="I236" s="8">
        <f t="shared" si="13"/>
        <v>3.3055370707886222E-3</v>
      </c>
      <c r="J236" s="8">
        <f t="shared" si="14"/>
        <v>3.3000857927565769E-3</v>
      </c>
      <c r="K236" s="8">
        <f t="shared" si="11"/>
        <v>2.3077263831055239E-2</v>
      </c>
    </row>
    <row r="237" spans="1:11" x14ac:dyDescent="0.25">
      <c r="A237" t="str">
        <f t="shared" si="12"/>
        <v>122017</v>
      </c>
      <c r="B237" s="1">
        <v>43081</v>
      </c>
      <c r="C237" s="10">
        <v>43081.645833333336</v>
      </c>
      <c r="D237">
        <v>25413.4</v>
      </c>
      <c r="E237">
        <v>25416.2</v>
      </c>
      <c r="F237">
        <v>25108.6</v>
      </c>
      <c r="G237">
        <v>25125.45</v>
      </c>
      <c r="H237">
        <v>0</v>
      </c>
      <c r="I237" s="8">
        <f t="shared" si="13"/>
        <v>-1.0997900007281958E-2</v>
      </c>
      <c r="J237" s="8">
        <f t="shared" si="14"/>
        <v>-1.1058824012116003E-2</v>
      </c>
      <c r="K237" s="8">
        <f t="shared" si="11"/>
        <v>8.5580387158927795E-3</v>
      </c>
    </row>
    <row r="238" spans="1:11" x14ac:dyDescent="0.25">
      <c r="A238" t="str">
        <f t="shared" si="12"/>
        <v>122017</v>
      </c>
      <c r="B238" s="1">
        <v>43082</v>
      </c>
      <c r="C238" t="s">
        <v>166</v>
      </c>
      <c r="D238">
        <v>25118.2</v>
      </c>
      <c r="E238">
        <v>25270.75</v>
      </c>
      <c r="F238">
        <v>24938.55</v>
      </c>
      <c r="G238">
        <v>25000.35</v>
      </c>
      <c r="H238">
        <v>0</v>
      </c>
      <c r="I238" s="8">
        <f t="shared" si="13"/>
        <v>-4.9790153012185812E-3</v>
      </c>
      <c r="J238" s="8">
        <f t="shared" si="14"/>
        <v>-4.9914518964092949E-3</v>
      </c>
      <c r="K238" s="8">
        <f t="shared" si="11"/>
        <v>6.2811188079356928E-3</v>
      </c>
    </row>
    <row r="239" spans="1:11" x14ac:dyDescent="0.25">
      <c r="A239" t="str">
        <f t="shared" si="12"/>
        <v>122017</v>
      </c>
      <c r="B239" s="1">
        <v>43083</v>
      </c>
      <c r="C239" t="s">
        <v>167</v>
      </c>
      <c r="D239">
        <v>25062.400000000001</v>
      </c>
      <c r="E239">
        <v>25205.9</v>
      </c>
      <c r="F239">
        <v>24888.65</v>
      </c>
      <c r="G239">
        <v>25168.2</v>
      </c>
      <c r="H239">
        <v>0</v>
      </c>
      <c r="I239" s="8">
        <f t="shared" si="13"/>
        <v>6.7139060053160726E-3</v>
      </c>
      <c r="J239" s="8">
        <f t="shared" si="14"/>
        <v>6.6914681130021327E-3</v>
      </c>
      <c r="K239" s="8">
        <f t="shared" si="11"/>
        <v>4.8429146920376809E-3</v>
      </c>
    </row>
    <row r="240" spans="1:11" x14ac:dyDescent="0.25">
      <c r="A240" t="str">
        <f t="shared" si="12"/>
        <v>122017</v>
      </c>
      <c r="B240" s="1">
        <v>43084</v>
      </c>
      <c r="C240" t="s">
        <v>168</v>
      </c>
      <c r="D240">
        <v>25487.15</v>
      </c>
      <c r="E240">
        <v>25559.05</v>
      </c>
      <c r="F240">
        <v>25411.25</v>
      </c>
      <c r="G240">
        <v>25440.3</v>
      </c>
      <c r="H240">
        <v>0</v>
      </c>
      <c r="I240" s="8">
        <f t="shared" si="13"/>
        <v>1.0811261830405039E-2</v>
      </c>
      <c r="J240" s="8">
        <f t="shared" si="14"/>
        <v>1.0753237972017512E-2</v>
      </c>
      <c r="K240" s="8">
        <f t="shared" si="11"/>
        <v>1.5923535084689355E-2</v>
      </c>
    </row>
    <row r="241" spans="1:11" x14ac:dyDescent="0.25">
      <c r="A241" t="str">
        <f t="shared" si="12"/>
        <v>122017</v>
      </c>
      <c r="B241" s="1">
        <v>43087</v>
      </c>
      <c r="C241" t="s">
        <v>169</v>
      </c>
      <c r="D241">
        <v>25181.75</v>
      </c>
      <c r="E241">
        <v>25759.9</v>
      </c>
      <c r="F241">
        <v>24617.15</v>
      </c>
      <c r="G241">
        <v>25594.55</v>
      </c>
      <c r="H241">
        <v>0</v>
      </c>
      <c r="I241" s="8">
        <f t="shared" si="13"/>
        <v>6.0632146633490258E-3</v>
      </c>
      <c r="J241" s="8">
        <f t="shared" si="14"/>
        <v>6.0449073408697035E-3</v>
      </c>
      <c r="K241" s="8">
        <f t="shared" si="11"/>
        <v>2.5215250920787247E-2</v>
      </c>
    </row>
    <row r="242" spans="1:11" x14ac:dyDescent="0.25">
      <c r="A242" t="str">
        <f t="shared" si="12"/>
        <v>122017</v>
      </c>
      <c r="B242" s="1">
        <v>43088</v>
      </c>
      <c r="C242" t="s">
        <v>170</v>
      </c>
      <c r="D242">
        <v>25640.9</v>
      </c>
      <c r="E242">
        <v>25757.95</v>
      </c>
      <c r="F242">
        <v>25619.599999999999</v>
      </c>
      <c r="G242">
        <v>25716.2</v>
      </c>
      <c r="H242">
        <v>0</v>
      </c>
      <c r="I242" s="8">
        <f t="shared" si="13"/>
        <v>4.7529649866866475E-3</v>
      </c>
      <c r="J242" s="8">
        <f t="shared" si="14"/>
        <v>4.7417053124004733E-3</v>
      </c>
      <c r="K242" s="8">
        <f t="shared" si="11"/>
        <v>3.6974908515378546E-2</v>
      </c>
    </row>
    <row r="243" spans="1:11" x14ac:dyDescent="0.25">
      <c r="A243" t="str">
        <f t="shared" si="12"/>
        <v>122017</v>
      </c>
      <c r="B243" s="1">
        <v>43089</v>
      </c>
      <c r="C243" t="s">
        <v>171</v>
      </c>
      <c r="D243">
        <v>25779.05</v>
      </c>
      <c r="E243">
        <v>25780.05</v>
      </c>
      <c r="F243">
        <v>25566.05</v>
      </c>
      <c r="G243">
        <v>25591.7</v>
      </c>
      <c r="H243">
        <v>0</v>
      </c>
      <c r="I243" s="8">
        <f t="shared" si="13"/>
        <v>-4.8413062583119171E-3</v>
      </c>
      <c r="J243" s="8">
        <f t="shared" si="14"/>
        <v>-4.8530633432366972E-3</v>
      </c>
      <c r="K243" s="8">
        <f t="shared" si="11"/>
        <v>5.0180866146740666E-2</v>
      </c>
    </row>
    <row r="244" spans="1:11" x14ac:dyDescent="0.25">
      <c r="A244" t="str">
        <f t="shared" si="12"/>
        <v>122017</v>
      </c>
      <c r="B244" s="1">
        <v>43090</v>
      </c>
      <c r="C244" t="s">
        <v>172</v>
      </c>
      <c r="D244">
        <v>25608.25</v>
      </c>
      <c r="E244">
        <v>25629.95</v>
      </c>
      <c r="F244">
        <v>25508.9</v>
      </c>
      <c r="G244">
        <v>25554.3</v>
      </c>
      <c r="H244">
        <v>0</v>
      </c>
      <c r="I244" s="8">
        <f t="shared" si="13"/>
        <v>-1.4614113169504339E-3</v>
      </c>
      <c r="J244" s="8">
        <f t="shared" si="14"/>
        <v>-1.4624802200006912E-3</v>
      </c>
      <c r="K244" s="8">
        <f t="shared" si="11"/>
        <v>5.749005278284125E-2</v>
      </c>
    </row>
    <row r="245" spans="1:11" x14ac:dyDescent="0.25">
      <c r="A245" t="str">
        <f t="shared" si="12"/>
        <v>122017</v>
      </c>
      <c r="B245" s="1">
        <v>43091</v>
      </c>
      <c r="C245" t="s">
        <v>173</v>
      </c>
      <c r="D245">
        <v>25615.599999999999</v>
      </c>
      <c r="E245">
        <v>25694.5</v>
      </c>
      <c r="F245">
        <v>25560.5</v>
      </c>
      <c r="G245">
        <v>25648.55</v>
      </c>
      <c r="H245">
        <v>0</v>
      </c>
      <c r="I245" s="8">
        <f t="shared" si="13"/>
        <v>3.6882246823430886E-3</v>
      </c>
      <c r="J245" s="8">
        <f t="shared" si="14"/>
        <v>3.6814398592067573E-3</v>
      </c>
      <c r="K245" s="8">
        <f t="shared" si="11"/>
        <v>5.9894665721729856E-2</v>
      </c>
    </row>
    <row r="246" spans="1:11" x14ac:dyDescent="0.25">
      <c r="A246" t="str">
        <f t="shared" si="12"/>
        <v>122017</v>
      </c>
      <c r="B246" s="1">
        <v>43095</v>
      </c>
      <c r="C246" t="s">
        <v>174</v>
      </c>
      <c r="D246">
        <v>25659.75</v>
      </c>
      <c r="E246">
        <v>25712.95</v>
      </c>
      <c r="F246">
        <v>25545.599999999999</v>
      </c>
      <c r="G246">
        <v>25675.25</v>
      </c>
      <c r="H246">
        <v>0</v>
      </c>
      <c r="I246" s="8">
        <f t="shared" si="13"/>
        <v>1.0409945201581561E-3</v>
      </c>
      <c r="J246" s="8">
        <f t="shared" si="14"/>
        <v>1.0404530611006844E-3</v>
      </c>
      <c r="K246" s="8">
        <f t="shared" si="11"/>
        <v>7.8205346250674435E-2</v>
      </c>
    </row>
    <row r="247" spans="1:11" x14ac:dyDescent="0.25">
      <c r="A247" t="str">
        <f t="shared" si="12"/>
        <v>122017</v>
      </c>
      <c r="B247" s="1">
        <v>43096</v>
      </c>
      <c r="C247" t="s">
        <v>175</v>
      </c>
      <c r="D247">
        <v>25652.85</v>
      </c>
      <c r="E247">
        <v>25733.200000000001</v>
      </c>
      <c r="F247">
        <v>25429.55</v>
      </c>
      <c r="G247">
        <v>25496.05</v>
      </c>
      <c r="H247">
        <v>0</v>
      </c>
      <c r="I247" s="8">
        <f t="shared" si="13"/>
        <v>-6.9794841335527602E-3</v>
      </c>
      <c r="J247" s="8">
        <f t="shared" si="14"/>
        <v>-7.0039546605130667E-3</v>
      </c>
      <c r="K247" s="8">
        <f t="shared" si="11"/>
        <v>6.1974787728333869E-2</v>
      </c>
    </row>
    <row r="248" spans="1:11" x14ac:dyDescent="0.25">
      <c r="A248" t="str">
        <f t="shared" si="12"/>
        <v>122017</v>
      </c>
      <c r="B248" s="1">
        <v>43097</v>
      </c>
      <c r="C248" t="s">
        <v>176</v>
      </c>
      <c r="D248">
        <v>25463.599999999999</v>
      </c>
      <c r="E248">
        <v>25561.95</v>
      </c>
      <c r="F248">
        <v>25417.4</v>
      </c>
      <c r="G248">
        <v>25490</v>
      </c>
      <c r="H248">
        <v>0</v>
      </c>
      <c r="I248" s="8">
        <f t="shared" si="13"/>
        <v>-2.3729165890395976E-4</v>
      </c>
      <c r="J248" s="8">
        <f t="shared" si="14"/>
        <v>-2.3731981702419859E-4</v>
      </c>
      <c r="K248" s="8">
        <f t="shared" si="11"/>
        <v>5.9743067392840743E-2</v>
      </c>
    </row>
    <row r="249" spans="1:11" x14ac:dyDescent="0.25">
      <c r="A249" t="str">
        <f t="shared" si="12"/>
        <v>122017</v>
      </c>
      <c r="B249" s="1">
        <v>43098</v>
      </c>
      <c r="C249" t="s">
        <v>177</v>
      </c>
      <c r="D249">
        <v>25484.85</v>
      </c>
      <c r="E249">
        <v>25566.400000000001</v>
      </c>
      <c r="F249">
        <v>25450.25</v>
      </c>
      <c r="G249">
        <v>25539.45</v>
      </c>
      <c r="H249">
        <v>0</v>
      </c>
      <c r="I249" s="8">
        <f t="shared" si="13"/>
        <v>1.9399764613574622E-3</v>
      </c>
      <c r="J249" s="8">
        <f t="shared" si="14"/>
        <v>1.9380971371927168E-3</v>
      </c>
      <c r="K249" s="8">
        <f t="shared" si="11"/>
        <v>5.9578731631222182E-2</v>
      </c>
    </row>
    <row r="250" spans="1:11" x14ac:dyDescent="0.25">
      <c r="A250" t="str">
        <f t="shared" si="12"/>
        <v>12018</v>
      </c>
      <c r="B250" s="1">
        <v>43101</v>
      </c>
      <c r="C250" s="10">
        <v>43101.645833333336</v>
      </c>
      <c r="D250">
        <v>25565.75</v>
      </c>
      <c r="E250">
        <v>25588</v>
      </c>
      <c r="F250">
        <v>25271.55</v>
      </c>
      <c r="G250">
        <v>25318.1</v>
      </c>
      <c r="H250">
        <v>0</v>
      </c>
      <c r="I250" s="8">
        <f t="shared" si="13"/>
        <v>-8.6669838230659657E-3</v>
      </c>
      <c r="J250" s="8">
        <f t="shared" si="14"/>
        <v>-8.7047605593158633E-3</v>
      </c>
      <c r="K250" s="8">
        <f t="shared" si="11"/>
        <v>4.9964127680574677E-2</v>
      </c>
    </row>
    <row r="251" spans="1:11" x14ac:dyDescent="0.25">
      <c r="A251" t="str">
        <f t="shared" si="12"/>
        <v>12018</v>
      </c>
      <c r="B251" s="1">
        <v>43102</v>
      </c>
      <c r="C251" s="10">
        <v>43132.645833333336</v>
      </c>
      <c r="D251">
        <v>25382.2</v>
      </c>
      <c r="E251">
        <v>25425.5</v>
      </c>
      <c r="F251">
        <v>25232.799999999999</v>
      </c>
      <c r="G251">
        <v>25338.25</v>
      </c>
      <c r="H251">
        <v>0</v>
      </c>
      <c r="I251" s="8">
        <f t="shared" si="13"/>
        <v>7.9587330802866063E-4</v>
      </c>
      <c r="J251" s="8">
        <f t="shared" si="14"/>
        <v>7.9555676880638888E-4</v>
      </c>
      <c r="K251" s="8">
        <f t="shared" si="11"/>
        <v>5.3212957824927631E-2</v>
      </c>
    </row>
    <row r="252" spans="1:11" x14ac:dyDescent="0.25">
      <c r="A252" t="str">
        <f t="shared" si="12"/>
        <v>12018</v>
      </c>
      <c r="B252" s="1">
        <v>43103</v>
      </c>
      <c r="C252" s="10">
        <v>43160.645833333336</v>
      </c>
      <c r="D252">
        <v>25425.75</v>
      </c>
      <c r="E252">
        <v>25454.9</v>
      </c>
      <c r="F252">
        <v>25300.9</v>
      </c>
      <c r="G252">
        <v>25318.6</v>
      </c>
      <c r="H252">
        <v>0</v>
      </c>
      <c r="I252" s="8">
        <f t="shared" si="13"/>
        <v>-7.7550738507992101E-4</v>
      </c>
      <c r="J252" s="8">
        <f t="shared" si="14"/>
        <v>-7.7580824648896391E-4</v>
      </c>
      <c r="K252" s="8">
        <f t="shared" si="11"/>
        <v>4.6655642827614585E-2</v>
      </c>
    </row>
    <row r="253" spans="1:11" x14ac:dyDescent="0.25">
      <c r="A253" t="str">
        <f t="shared" si="12"/>
        <v>12018</v>
      </c>
      <c r="B253" s="1">
        <v>43104</v>
      </c>
      <c r="C253" s="10">
        <v>43191.645833333336</v>
      </c>
      <c r="D253">
        <v>25367.65</v>
      </c>
      <c r="E253">
        <v>25490.35</v>
      </c>
      <c r="F253">
        <v>25310.3</v>
      </c>
      <c r="G253">
        <v>25462.6</v>
      </c>
      <c r="H253">
        <v>0</v>
      </c>
      <c r="I253" s="8">
        <f t="shared" si="13"/>
        <v>5.6875182672027069E-3</v>
      </c>
      <c r="J253" s="8">
        <f t="shared" si="14"/>
        <v>5.6714054011272764E-3</v>
      </c>
      <c r="K253" s="8">
        <f t="shared" si="11"/>
        <v>4.9921861792271871E-2</v>
      </c>
    </row>
    <row r="254" spans="1:11" x14ac:dyDescent="0.25">
      <c r="A254" t="str">
        <f t="shared" si="12"/>
        <v>12018</v>
      </c>
      <c r="B254" s="1">
        <v>43105</v>
      </c>
      <c r="C254" s="10">
        <v>43221.645833333336</v>
      </c>
      <c r="D254">
        <v>25524.45</v>
      </c>
      <c r="E254">
        <v>25643.35</v>
      </c>
      <c r="F254">
        <v>25499.55</v>
      </c>
      <c r="G254">
        <v>25601.85</v>
      </c>
      <c r="H254">
        <v>0</v>
      </c>
      <c r="I254" s="8">
        <f t="shared" si="13"/>
        <v>5.4688052280600363E-3</v>
      </c>
      <c r="J254" s="8">
        <f t="shared" si="14"/>
        <v>5.453905610136622E-3</v>
      </c>
      <c r="K254" s="8">
        <f t="shared" si="11"/>
        <v>5.1520795812292297E-2</v>
      </c>
    </row>
    <row r="255" spans="1:11" x14ac:dyDescent="0.25">
      <c r="A255" t="str">
        <f t="shared" si="12"/>
        <v>12018</v>
      </c>
      <c r="B255" s="1">
        <v>43108</v>
      </c>
      <c r="C255" s="10">
        <v>43313.645833333336</v>
      </c>
      <c r="D255">
        <v>25690.25</v>
      </c>
      <c r="E255">
        <v>25771.5</v>
      </c>
      <c r="F255">
        <v>25643.8</v>
      </c>
      <c r="G255">
        <v>25676.1</v>
      </c>
      <c r="H255">
        <v>0</v>
      </c>
      <c r="I255" s="8">
        <f t="shared" si="13"/>
        <v>2.9001810416044993E-3</v>
      </c>
      <c r="J255" s="8">
        <f t="shared" si="14"/>
        <v>2.8959836301112752E-3</v>
      </c>
      <c r="K255" s="8">
        <f t="shared" si="11"/>
        <v>6.5069096897432122E-2</v>
      </c>
    </row>
    <row r="256" spans="1:11" x14ac:dyDescent="0.25">
      <c r="A256" t="str">
        <f t="shared" si="12"/>
        <v>12018</v>
      </c>
      <c r="B256" s="1">
        <v>43109</v>
      </c>
      <c r="C256" s="10">
        <v>43344.645833333336</v>
      </c>
      <c r="D256">
        <v>25727.95</v>
      </c>
      <c r="E256">
        <v>25803.8</v>
      </c>
      <c r="F256">
        <v>25617.25</v>
      </c>
      <c r="G256">
        <v>25703.8</v>
      </c>
      <c r="H256">
        <v>0</v>
      </c>
      <c r="I256" s="8">
        <f t="shared" si="13"/>
        <v>1.0788242762724831E-3</v>
      </c>
      <c r="J256" s="8">
        <f t="shared" si="14"/>
        <v>1.0782427635587224E-3</v>
      </c>
      <c r="K256" s="8">
        <f t="shared" ref="K256:K319" si="15">+G256/G195-1</f>
        <v>5.5110062086304978E-2</v>
      </c>
    </row>
    <row r="257" spans="1:11" x14ac:dyDescent="0.25">
      <c r="A257" t="str">
        <f t="shared" si="12"/>
        <v>12018</v>
      </c>
      <c r="B257" s="1">
        <v>43110</v>
      </c>
      <c r="C257" s="10">
        <v>43374.645833333336</v>
      </c>
      <c r="D257">
        <v>25709.9</v>
      </c>
      <c r="E257">
        <v>25717.599999999999</v>
      </c>
      <c r="F257">
        <v>25527.5</v>
      </c>
      <c r="G257">
        <v>25617.3</v>
      </c>
      <c r="H257">
        <v>0</v>
      </c>
      <c r="I257" s="8">
        <f t="shared" si="13"/>
        <v>-3.3652611676094901E-3</v>
      </c>
      <c r="J257" s="8">
        <f t="shared" si="14"/>
        <v>-3.3709363949645048E-3</v>
      </c>
      <c r="K257" s="8">
        <f t="shared" si="15"/>
        <v>3.7593436793085022E-2</v>
      </c>
    </row>
    <row r="258" spans="1:11" x14ac:dyDescent="0.25">
      <c r="A258" t="str">
        <f t="shared" si="12"/>
        <v>12018</v>
      </c>
      <c r="B258" s="1">
        <v>43111</v>
      </c>
      <c r="C258" s="10">
        <v>43405.645833333336</v>
      </c>
      <c r="D258">
        <v>25628.2</v>
      </c>
      <c r="E258">
        <v>25694.65</v>
      </c>
      <c r="F258">
        <v>25532.25</v>
      </c>
      <c r="G258">
        <v>25660.9</v>
      </c>
      <c r="H258">
        <v>0</v>
      </c>
      <c r="I258" s="8">
        <f t="shared" si="13"/>
        <v>1.701974837317044E-3</v>
      </c>
      <c r="J258" s="8">
        <f t="shared" si="14"/>
        <v>1.7005281194293008E-3</v>
      </c>
      <c r="K258" s="8">
        <f t="shared" si="15"/>
        <v>3.8774564274452139E-2</v>
      </c>
    </row>
    <row r="259" spans="1:11" x14ac:dyDescent="0.25">
      <c r="A259" t="str">
        <f t="shared" ref="A259:A322" si="16">+MONTH(B259)&amp;YEAR(B259)</f>
        <v>12018</v>
      </c>
      <c r="B259" s="1">
        <v>43112</v>
      </c>
      <c r="C259" s="10">
        <v>43435.645833333336</v>
      </c>
      <c r="D259">
        <v>25732.400000000001</v>
      </c>
      <c r="E259">
        <v>25775.15</v>
      </c>
      <c r="F259">
        <v>25557.599999999999</v>
      </c>
      <c r="G259">
        <v>25749.05</v>
      </c>
      <c r="H259">
        <v>0</v>
      </c>
      <c r="I259" s="8">
        <f t="shared" si="13"/>
        <v>3.4351873862568105E-3</v>
      </c>
      <c r="J259" s="8">
        <f t="shared" si="14"/>
        <v>3.4293006076735952E-3</v>
      </c>
      <c r="K259" s="8">
        <f t="shared" si="15"/>
        <v>4.4772697763495239E-2</v>
      </c>
    </row>
    <row r="260" spans="1:11" x14ac:dyDescent="0.25">
      <c r="A260" t="str">
        <f t="shared" si="16"/>
        <v>12018</v>
      </c>
      <c r="B260" s="1">
        <v>43115</v>
      </c>
      <c r="C260" t="s">
        <v>178</v>
      </c>
      <c r="D260">
        <v>25858.15</v>
      </c>
      <c r="E260">
        <v>26091.8</v>
      </c>
      <c r="F260">
        <v>25842.95</v>
      </c>
      <c r="G260">
        <v>26069.200000000001</v>
      </c>
      <c r="H260">
        <v>0</v>
      </c>
      <c r="I260" s="8">
        <f t="shared" ref="I260:I323" si="17">+G260/G259-1</f>
        <v>1.2433468419223326E-2</v>
      </c>
      <c r="J260" s="8">
        <f t="shared" ref="J260:J323" si="18">+LN(1+I260)</f>
        <v>1.2356807636310948E-2</v>
      </c>
      <c r="K260" s="8">
        <f t="shared" si="15"/>
        <v>7.2199886895275345E-2</v>
      </c>
    </row>
    <row r="261" spans="1:11" x14ac:dyDescent="0.25">
      <c r="A261" t="str">
        <f t="shared" si="16"/>
        <v>12018</v>
      </c>
      <c r="B261" s="1">
        <v>43116</v>
      </c>
      <c r="C261" t="s">
        <v>179</v>
      </c>
      <c r="D261">
        <v>26129.15</v>
      </c>
      <c r="E261">
        <v>26136.400000000001</v>
      </c>
      <c r="F261">
        <v>25931.7</v>
      </c>
      <c r="G261">
        <v>25974.9</v>
      </c>
      <c r="H261">
        <v>0</v>
      </c>
      <c r="I261" s="8">
        <f t="shared" si="17"/>
        <v>-3.6172955058075829E-3</v>
      </c>
      <c r="J261" s="8">
        <f t="shared" si="18"/>
        <v>-3.6238537393515277E-3</v>
      </c>
      <c r="K261" s="8">
        <f t="shared" si="15"/>
        <v>8.1847999250304726E-2</v>
      </c>
    </row>
    <row r="262" spans="1:11" x14ac:dyDescent="0.25">
      <c r="A262" t="str">
        <f t="shared" si="16"/>
        <v>12018</v>
      </c>
      <c r="B262" s="1">
        <v>43117</v>
      </c>
      <c r="C262" t="s">
        <v>180</v>
      </c>
      <c r="D262">
        <v>25946.15</v>
      </c>
      <c r="E262">
        <v>26335.85</v>
      </c>
      <c r="F262">
        <v>25922.3</v>
      </c>
      <c r="G262">
        <v>26289.1</v>
      </c>
      <c r="H262">
        <v>0</v>
      </c>
      <c r="I262" s="8">
        <f t="shared" si="17"/>
        <v>1.2096292959741684E-2</v>
      </c>
      <c r="J262" s="8">
        <f t="shared" si="18"/>
        <v>1.2023717484680453E-2</v>
      </c>
      <c r="K262" s="8">
        <f t="shared" si="15"/>
        <v>9.1336673737696383E-2</v>
      </c>
    </row>
    <row r="263" spans="1:11" x14ac:dyDescent="0.25">
      <c r="A263" t="str">
        <f t="shared" si="16"/>
        <v>12018</v>
      </c>
      <c r="B263" s="1">
        <v>43118</v>
      </c>
      <c r="C263" t="s">
        <v>181</v>
      </c>
      <c r="D263">
        <v>26762.25</v>
      </c>
      <c r="E263">
        <v>26887.65</v>
      </c>
      <c r="F263">
        <v>26423.75</v>
      </c>
      <c r="G263">
        <v>26537.4</v>
      </c>
      <c r="H263">
        <v>0</v>
      </c>
      <c r="I263" s="8">
        <f t="shared" si="17"/>
        <v>9.444979097801065E-3</v>
      </c>
      <c r="J263" s="8">
        <f t="shared" si="18"/>
        <v>9.4006541628711259E-3</v>
      </c>
      <c r="K263" s="8">
        <f t="shared" si="15"/>
        <v>9.5584000594497232E-2</v>
      </c>
    </row>
    <row r="264" spans="1:11" x14ac:dyDescent="0.25">
      <c r="A264" t="str">
        <f t="shared" si="16"/>
        <v>12018</v>
      </c>
      <c r="B264" s="1">
        <v>43119</v>
      </c>
      <c r="C264" t="s">
        <v>182</v>
      </c>
      <c r="D264">
        <v>26615.65</v>
      </c>
      <c r="E264">
        <v>26957.85</v>
      </c>
      <c r="F264">
        <v>26433.55</v>
      </c>
      <c r="G264">
        <v>26909.5</v>
      </c>
      <c r="H264">
        <v>0</v>
      </c>
      <c r="I264" s="8">
        <f t="shared" si="17"/>
        <v>1.4021720289101314E-2</v>
      </c>
      <c r="J264" s="8">
        <f t="shared" si="18"/>
        <v>1.3924325343030827E-2</v>
      </c>
      <c r="K264" s="8">
        <f t="shared" si="15"/>
        <v>7.4836534736118843E-2</v>
      </c>
    </row>
    <row r="265" spans="1:11" x14ac:dyDescent="0.25">
      <c r="A265" t="str">
        <f t="shared" si="16"/>
        <v>12018</v>
      </c>
      <c r="B265" s="1">
        <v>43122</v>
      </c>
      <c r="C265" t="s">
        <v>183</v>
      </c>
      <c r="D265">
        <v>26940.5</v>
      </c>
      <c r="E265">
        <v>27074.9</v>
      </c>
      <c r="F265">
        <v>26841.200000000001</v>
      </c>
      <c r="G265">
        <v>27041.200000000001</v>
      </c>
      <c r="H265">
        <v>0</v>
      </c>
      <c r="I265" s="8">
        <f t="shared" si="17"/>
        <v>4.8941823519574879E-3</v>
      </c>
      <c r="J265" s="8">
        <f t="shared" si="18"/>
        <v>4.8822447754502821E-3</v>
      </c>
      <c r="K265" s="8">
        <f t="shared" si="15"/>
        <v>8.0688348746313254E-2</v>
      </c>
    </row>
    <row r="266" spans="1:11" x14ac:dyDescent="0.25">
      <c r="A266" t="str">
        <f t="shared" si="16"/>
        <v>12018</v>
      </c>
      <c r="B266" s="1">
        <v>43123</v>
      </c>
      <c r="C266" t="s">
        <v>184</v>
      </c>
      <c r="D266">
        <v>27089.95</v>
      </c>
      <c r="E266">
        <v>27422.05</v>
      </c>
      <c r="F266">
        <v>27066.15</v>
      </c>
      <c r="G266">
        <v>27390.6</v>
      </c>
      <c r="H266">
        <v>0</v>
      </c>
      <c r="I266" s="8">
        <f t="shared" si="17"/>
        <v>1.29210242149016E-2</v>
      </c>
      <c r="J266" s="8">
        <f t="shared" si="18"/>
        <v>1.283825995181348E-2</v>
      </c>
      <c r="K266" s="8">
        <f t="shared" si="15"/>
        <v>0.10270113589014285</v>
      </c>
    </row>
    <row r="267" spans="1:11" x14ac:dyDescent="0.25">
      <c r="A267" t="str">
        <f t="shared" si="16"/>
        <v>12018</v>
      </c>
      <c r="B267" s="1">
        <v>43124</v>
      </c>
      <c r="C267" t="s">
        <v>185</v>
      </c>
      <c r="D267">
        <v>27310.15</v>
      </c>
      <c r="E267">
        <v>27479.25</v>
      </c>
      <c r="F267">
        <v>27219.45</v>
      </c>
      <c r="G267">
        <v>27398.55</v>
      </c>
      <c r="H267">
        <v>0</v>
      </c>
      <c r="I267" s="8">
        <f t="shared" si="17"/>
        <v>2.9024555869527902E-4</v>
      </c>
      <c r="J267" s="8">
        <f t="shared" si="18"/>
        <v>2.9020344560166971E-4</v>
      </c>
      <c r="K267" s="8">
        <f t="shared" si="15"/>
        <v>9.6444171430515091E-2</v>
      </c>
    </row>
    <row r="268" spans="1:11" x14ac:dyDescent="0.25">
      <c r="A268" t="str">
        <f t="shared" si="16"/>
        <v>12018</v>
      </c>
      <c r="B268" s="1">
        <v>43125</v>
      </c>
      <c r="C268" t="s">
        <v>186</v>
      </c>
      <c r="D268">
        <v>27414.1</v>
      </c>
      <c r="E268">
        <v>27522.85</v>
      </c>
      <c r="F268">
        <v>27151.75</v>
      </c>
      <c r="G268">
        <v>27445.65</v>
      </c>
      <c r="H268">
        <v>0</v>
      </c>
      <c r="I268" s="8">
        <f t="shared" si="17"/>
        <v>1.7190690748234427E-3</v>
      </c>
      <c r="J268" s="8">
        <f t="shared" si="18"/>
        <v>1.7175931667979089E-3</v>
      </c>
      <c r="K268" s="8">
        <f t="shared" si="15"/>
        <v>9.6976939848557375E-2</v>
      </c>
    </row>
    <row r="269" spans="1:11" x14ac:dyDescent="0.25">
      <c r="A269" t="str">
        <f t="shared" si="16"/>
        <v>12018</v>
      </c>
      <c r="B269" s="1">
        <v>43129</v>
      </c>
      <c r="C269" t="s">
        <v>187</v>
      </c>
      <c r="D269">
        <v>27446.1</v>
      </c>
      <c r="E269">
        <v>27652.05</v>
      </c>
      <c r="F269">
        <v>27407.4</v>
      </c>
      <c r="G269">
        <v>27498.45</v>
      </c>
      <c r="H269">
        <v>0</v>
      </c>
      <c r="I269" s="8">
        <f t="shared" si="17"/>
        <v>1.9238021325782562E-3</v>
      </c>
      <c r="J269" s="8">
        <f t="shared" si="18"/>
        <v>1.9219539951764401E-3</v>
      </c>
      <c r="K269" s="8">
        <f t="shared" si="15"/>
        <v>7.8774599899178011E-2</v>
      </c>
    </row>
    <row r="270" spans="1:11" x14ac:dyDescent="0.25">
      <c r="A270" t="str">
        <f t="shared" si="16"/>
        <v>12018</v>
      </c>
      <c r="B270" s="1">
        <v>43130</v>
      </c>
      <c r="C270" t="s">
        <v>188</v>
      </c>
      <c r="D270">
        <v>27466.85</v>
      </c>
      <c r="E270">
        <v>27470.25</v>
      </c>
      <c r="F270">
        <v>27242.05</v>
      </c>
      <c r="G270">
        <v>27269.05</v>
      </c>
      <c r="H270">
        <v>0</v>
      </c>
      <c r="I270" s="8">
        <f t="shared" si="17"/>
        <v>-8.34228838352713E-3</v>
      </c>
      <c r="J270" s="8">
        <f t="shared" si="18"/>
        <v>-8.3772800140064722E-3</v>
      </c>
      <c r="K270" s="8">
        <f t="shared" si="15"/>
        <v>7.2431992386136068E-2</v>
      </c>
    </row>
    <row r="271" spans="1:11" x14ac:dyDescent="0.25">
      <c r="A271" t="str">
        <f t="shared" si="16"/>
        <v>12018</v>
      </c>
      <c r="B271" s="1">
        <v>43131</v>
      </c>
      <c r="C271" t="s">
        <v>189</v>
      </c>
      <c r="D271">
        <v>27136.25</v>
      </c>
      <c r="E271">
        <v>27455.75</v>
      </c>
      <c r="F271">
        <v>27116.95</v>
      </c>
      <c r="G271">
        <v>27379.45</v>
      </c>
      <c r="H271">
        <v>0</v>
      </c>
      <c r="I271" s="8">
        <f t="shared" si="17"/>
        <v>4.0485458789361051E-3</v>
      </c>
      <c r="J271" s="8">
        <f t="shared" si="18"/>
        <v>4.0403725696543675E-3</v>
      </c>
      <c r="K271" s="8">
        <f t="shared" si="15"/>
        <v>6.739582155652668E-2</v>
      </c>
    </row>
    <row r="272" spans="1:11" x14ac:dyDescent="0.25">
      <c r="A272" t="str">
        <f t="shared" si="16"/>
        <v>22018</v>
      </c>
      <c r="B272" s="1">
        <v>43132</v>
      </c>
      <c r="C272" s="10">
        <v>43102.645833333336</v>
      </c>
      <c r="D272">
        <v>27334.85</v>
      </c>
      <c r="E272">
        <v>27613.5</v>
      </c>
      <c r="F272">
        <v>27046.35</v>
      </c>
      <c r="G272">
        <v>27220.7</v>
      </c>
      <c r="H272">
        <v>0</v>
      </c>
      <c r="I272" s="8">
        <f t="shared" si="17"/>
        <v>-5.7981442286093587E-3</v>
      </c>
      <c r="J272" s="8">
        <f t="shared" si="18"/>
        <v>-5.8150187256498622E-3</v>
      </c>
      <c r="K272" s="8">
        <f t="shared" si="15"/>
        <v>6.4508244642888624E-2</v>
      </c>
    </row>
    <row r="273" spans="1:11" x14ac:dyDescent="0.25">
      <c r="A273" t="str">
        <f t="shared" si="16"/>
        <v>22018</v>
      </c>
      <c r="B273" s="1">
        <v>43133</v>
      </c>
      <c r="C273" s="10">
        <v>43133.645833333336</v>
      </c>
      <c r="D273">
        <v>27017.4</v>
      </c>
      <c r="E273">
        <v>27017.55</v>
      </c>
      <c r="F273">
        <v>26364.05</v>
      </c>
      <c r="G273">
        <v>26451.15</v>
      </c>
      <c r="H273">
        <v>0</v>
      </c>
      <c r="I273" s="8">
        <f t="shared" si="17"/>
        <v>-2.8270764528465442E-2</v>
      </c>
      <c r="J273" s="8">
        <f t="shared" si="18"/>
        <v>-2.8678077657644682E-2</v>
      </c>
      <c r="K273" s="8">
        <f t="shared" si="15"/>
        <v>4.5466941756782564E-2</v>
      </c>
    </row>
    <row r="274" spans="1:11" x14ac:dyDescent="0.25">
      <c r="A274" t="str">
        <f t="shared" si="16"/>
        <v>22018</v>
      </c>
      <c r="B274" s="1">
        <v>43136</v>
      </c>
      <c r="C274" s="10">
        <v>43222.645833333336</v>
      </c>
      <c r="D274">
        <v>25968.15</v>
      </c>
      <c r="E274">
        <v>26215.1</v>
      </c>
      <c r="F274">
        <v>25917.55</v>
      </c>
      <c r="G274">
        <v>26098.75</v>
      </c>
      <c r="H274">
        <v>0</v>
      </c>
      <c r="I274" s="8">
        <f t="shared" si="17"/>
        <v>-1.3322672171153238E-2</v>
      </c>
      <c r="J274" s="8">
        <f t="shared" si="18"/>
        <v>-1.34122151585775E-2</v>
      </c>
      <c r="K274" s="8">
        <f t="shared" si="15"/>
        <v>3.630826286959965E-2</v>
      </c>
    </row>
    <row r="275" spans="1:11" x14ac:dyDescent="0.25">
      <c r="A275" t="str">
        <f t="shared" si="16"/>
        <v>22018</v>
      </c>
      <c r="B275" s="1">
        <v>43137</v>
      </c>
      <c r="C275" s="10">
        <v>43253.645833333336</v>
      </c>
      <c r="D275">
        <v>25140.1</v>
      </c>
      <c r="E275">
        <v>26140.6</v>
      </c>
      <c r="F275">
        <v>25023.85</v>
      </c>
      <c r="G275">
        <v>25811.3</v>
      </c>
      <c r="H275">
        <v>0</v>
      </c>
      <c r="I275" s="8">
        <f t="shared" si="17"/>
        <v>-1.101393744911161E-2</v>
      </c>
      <c r="J275" s="8">
        <f t="shared" si="18"/>
        <v>-1.1075039924964926E-2</v>
      </c>
      <c r="K275" s="8">
        <f t="shared" si="15"/>
        <v>2.0558412263481429E-2</v>
      </c>
    </row>
    <row r="276" spans="1:11" x14ac:dyDescent="0.25">
      <c r="A276" t="str">
        <f t="shared" si="16"/>
        <v>22018</v>
      </c>
      <c r="B276" s="1">
        <v>43138</v>
      </c>
      <c r="C276" s="10">
        <v>43283.645833333336</v>
      </c>
      <c r="D276">
        <v>26065.4</v>
      </c>
      <c r="E276">
        <v>26078.400000000001</v>
      </c>
      <c r="F276">
        <v>25558.05</v>
      </c>
      <c r="G276">
        <v>25670</v>
      </c>
      <c r="H276">
        <v>0</v>
      </c>
      <c r="I276" s="8">
        <f t="shared" si="17"/>
        <v>-5.474346507149952E-3</v>
      </c>
      <c r="J276" s="8">
        <f t="shared" si="18"/>
        <v>-5.4893856534343434E-3</v>
      </c>
      <c r="K276" s="8">
        <f t="shared" si="15"/>
        <v>6.7081193539342276E-3</v>
      </c>
    </row>
    <row r="277" spans="1:11" x14ac:dyDescent="0.25">
      <c r="A277" t="str">
        <f t="shared" si="16"/>
        <v>22018</v>
      </c>
      <c r="B277" s="1">
        <v>43139</v>
      </c>
      <c r="C277" s="10">
        <v>43314.645833333336</v>
      </c>
      <c r="D277">
        <v>25759.85</v>
      </c>
      <c r="E277">
        <v>26126.400000000001</v>
      </c>
      <c r="F277">
        <v>25637.4</v>
      </c>
      <c r="G277">
        <v>25920.65</v>
      </c>
      <c r="H277">
        <v>0</v>
      </c>
      <c r="I277" s="8">
        <f t="shared" si="17"/>
        <v>9.7643163225555885E-3</v>
      </c>
      <c r="J277" s="8">
        <f t="shared" si="18"/>
        <v>9.7169534470920738E-3</v>
      </c>
      <c r="K277" s="8">
        <f t="shared" si="15"/>
        <v>2.2176171115571686E-2</v>
      </c>
    </row>
    <row r="278" spans="1:11" x14ac:dyDescent="0.25">
      <c r="A278" t="str">
        <f t="shared" si="16"/>
        <v>22018</v>
      </c>
      <c r="B278" s="1">
        <v>43140</v>
      </c>
      <c r="C278" s="10">
        <v>43345.645833333336</v>
      </c>
      <c r="D278">
        <v>25466.3</v>
      </c>
      <c r="E278">
        <v>25598.3</v>
      </c>
      <c r="F278">
        <v>25371</v>
      </c>
      <c r="G278">
        <v>25463.65</v>
      </c>
      <c r="H278">
        <v>0</v>
      </c>
      <c r="I278" s="8">
        <f t="shared" si="17"/>
        <v>-1.7630730710842535E-2</v>
      </c>
      <c r="J278" s="8">
        <f t="shared" si="18"/>
        <v>-1.7788003339564668E-2</v>
      </c>
      <c r="K278" s="8">
        <f t="shared" si="15"/>
        <v>7.0813855073841303E-3</v>
      </c>
    </row>
    <row r="279" spans="1:11" x14ac:dyDescent="0.25">
      <c r="A279" t="str">
        <f t="shared" si="16"/>
        <v>22018</v>
      </c>
      <c r="B279" s="1">
        <v>43143</v>
      </c>
      <c r="C279" s="10">
        <v>43436.645833333336</v>
      </c>
      <c r="D279">
        <v>25530.1</v>
      </c>
      <c r="E279">
        <v>25757.85</v>
      </c>
      <c r="F279">
        <v>25485.4</v>
      </c>
      <c r="G279">
        <v>25701.599999999999</v>
      </c>
      <c r="H279">
        <v>0</v>
      </c>
      <c r="I279" s="8">
        <f t="shared" si="17"/>
        <v>9.3446933177292468E-3</v>
      </c>
      <c r="J279" s="8">
        <f t="shared" si="18"/>
        <v>9.3013017820613754E-3</v>
      </c>
      <c r="K279" s="8">
        <f t="shared" si="15"/>
        <v>1.9140406599811977E-2</v>
      </c>
    </row>
    <row r="280" spans="1:11" x14ac:dyDescent="0.25">
      <c r="A280" t="str">
        <f t="shared" si="16"/>
        <v>22018</v>
      </c>
      <c r="B280" s="1">
        <v>43145</v>
      </c>
      <c r="C280" t="s">
        <v>190</v>
      </c>
      <c r="D280">
        <v>25810.25</v>
      </c>
      <c r="E280">
        <v>25810.25</v>
      </c>
      <c r="F280">
        <v>25212.35</v>
      </c>
      <c r="G280">
        <v>25341.25</v>
      </c>
      <c r="H280">
        <v>0</v>
      </c>
      <c r="I280" s="8">
        <f t="shared" si="17"/>
        <v>-1.4020527904877511E-2</v>
      </c>
      <c r="J280" s="8">
        <f t="shared" si="18"/>
        <v>-1.4119743972371375E-2</v>
      </c>
      <c r="K280" s="8">
        <f t="shared" si="15"/>
        <v>-4.1400422846273877E-3</v>
      </c>
    </row>
    <row r="281" spans="1:11" x14ac:dyDescent="0.25">
      <c r="A281" t="str">
        <f t="shared" si="16"/>
        <v>22018</v>
      </c>
      <c r="B281" s="1">
        <v>43146</v>
      </c>
      <c r="C281" t="s">
        <v>191</v>
      </c>
      <c r="D281">
        <v>25360.9</v>
      </c>
      <c r="E281">
        <v>25615.15</v>
      </c>
      <c r="F281">
        <v>25295.15</v>
      </c>
      <c r="G281">
        <v>25424.35</v>
      </c>
      <c r="H281">
        <v>0</v>
      </c>
      <c r="I281" s="8">
        <f t="shared" si="17"/>
        <v>3.2792383958959448E-3</v>
      </c>
      <c r="J281" s="8">
        <f t="shared" si="18"/>
        <v>3.2738734191596858E-3</v>
      </c>
      <c r="K281" s="8">
        <f t="shared" si="15"/>
        <v>-1.181768007338202E-2</v>
      </c>
    </row>
    <row r="282" spans="1:11" x14ac:dyDescent="0.25">
      <c r="A282" t="str">
        <f t="shared" si="16"/>
        <v>22018</v>
      </c>
      <c r="B282" s="1">
        <v>43147</v>
      </c>
      <c r="C282" t="s">
        <v>192</v>
      </c>
      <c r="D282">
        <v>25511.95</v>
      </c>
      <c r="E282">
        <v>25601</v>
      </c>
      <c r="F282">
        <v>25100.9</v>
      </c>
      <c r="G282">
        <v>25163.9</v>
      </c>
      <c r="H282">
        <v>0</v>
      </c>
      <c r="I282" s="8">
        <f t="shared" si="17"/>
        <v>-1.0244116368756662E-2</v>
      </c>
      <c r="J282" s="8">
        <f t="shared" si="18"/>
        <v>-1.0296948450551664E-2</v>
      </c>
      <c r="K282" s="8">
        <f t="shared" si="15"/>
        <v>-2.3466544554224811E-2</v>
      </c>
    </row>
    <row r="283" spans="1:11" x14ac:dyDescent="0.25">
      <c r="A283" t="str">
        <f t="shared" si="16"/>
        <v>22018</v>
      </c>
      <c r="B283" s="1">
        <v>43150</v>
      </c>
      <c r="C283" t="s">
        <v>193</v>
      </c>
      <c r="D283">
        <v>25324.6</v>
      </c>
      <c r="E283">
        <v>25326.05</v>
      </c>
      <c r="F283">
        <v>24824.55</v>
      </c>
      <c r="G283">
        <v>25058.55</v>
      </c>
      <c r="H283">
        <v>0</v>
      </c>
      <c r="I283" s="8">
        <f t="shared" si="17"/>
        <v>-4.1865529588022143E-3</v>
      </c>
      <c r="J283" s="8">
        <f t="shared" si="18"/>
        <v>-4.1953411082525163E-3</v>
      </c>
      <c r="K283" s="8">
        <f t="shared" si="15"/>
        <v>-2.7135785693487402E-2</v>
      </c>
    </row>
    <row r="284" spans="1:11" x14ac:dyDescent="0.25">
      <c r="A284" t="str">
        <f t="shared" si="16"/>
        <v>22018</v>
      </c>
      <c r="B284" s="1">
        <v>43151</v>
      </c>
      <c r="C284" t="s">
        <v>194</v>
      </c>
      <c r="D284">
        <v>25105.55</v>
      </c>
      <c r="E284">
        <v>25158.1</v>
      </c>
      <c r="F284">
        <v>24829</v>
      </c>
      <c r="G284">
        <v>24874.400000000001</v>
      </c>
      <c r="H284">
        <v>0</v>
      </c>
      <c r="I284" s="8">
        <f t="shared" si="17"/>
        <v>-7.3487891358438029E-3</v>
      </c>
      <c r="J284" s="8">
        <f t="shared" si="18"/>
        <v>-7.3759245098871488E-3</v>
      </c>
      <c r="K284" s="8">
        <f t="shared" si="15"/>
        <v>-3.4628094843528356E-2</v>
      </c>
    </row>
    <row r="285" spans="1:11" x14ac:dyDescent="0.25">
      <c r="A285" t="str">
        <f t="shared" si="16"/>
        <v>22018</v>
      </c>
      <c r="B285" s="1">
        <v>43152</v>
      </c>
      <c r="C285" t="s">
        <v>195</v>
      </c>
      <c r="D285">
        <v>24996.6</v>
      </c>
      <c r="E285">
        <v>24999.7</v>
      </c>
      <c r="F285">
        <v>24796.35</v>
      </c>
      <c r="G285">
        <v>24936.7</v>
      </c>
      <c r="H285">
        <v>0</v>
      </c>
      <c r="I285" s="8">
        <f t="shared" si="17"/>
        <v>2.5045830251182455E-3</v>
      </c>
      <c r="J285" s="8">
        <f t="shared" si="18"/>
        <v>2.5014517842654109E-3</v>
      </c>
      <c r="K285" s="8">
        <f t="shared" si="15"/>
        <v>-3.1067074651512927E-2</v>
      </c>
    </row>
    <row r="286" spans="1:11" x14ac:dyDescent="0.25">
      <c r="A286" t="str">
        <f t="shared" si="16"/>
        <v>22018</v>
      </c>
      <c r="B286" s="1">
        <v>43153</v>
      </c>
      <c r="C286" t="s">
        <v>196</v>
      </c>
      <c r="D286">
        <v>24812.7</v>
      </c>
      <c r="E286">
        <v>24987.05</v>
      </c>
      <c r="F286">
        <v>24781.7</v>
      </c>
      <c r="G286">
        <v>24955.200000000001</v>
      </c>
      <c r="H286">
        <v>0</v>
      </c>
      <c r="I286" s="8">
        <f t="shared" si="17"/>
        <v>7.4187843620054927E-4</v>
      </c>
      <c r="J286" s="8">
        <f t="shared" si="18"/>
        <v>7.4160338042372558E-4</v>
      </c>
      <c r="K286" s="8">
        <f t="shared" si="15"/>
        <v>-3.1980651405275062E-2</v>
      </c>
    </row>
    <row r="287" spans="1:11" x14ac:dyDescent="0.25">
      <c r="A287" t="str">
        <f t="shared" si="16"/>
        <v>22018</v>
      </c>
      <c r="B287" s="1">
        <v>43154</v>
      </c>
      <c r="C287" t="s">
        <v>197</v>
      </c>
      <c r="D287">
        <v>25002.25</v>
      </c>
      <c r="E287">
        <v>25345.15</v>
      </c>
      <c r="F287">
        <v>24962.85</v>
      </c>
      <c r="G287">
        <v>25302.5</v>
      </c>
      <c r="H287">
        <v>0</v>
      </c>
      <c r="I287" s="8">
        <f t="shared" si="17"/>
        <v>1.3916939154965613E-2</v>
      </c>
      <c r="J287" s="8">
        <f t="shared" si="18"/>
        <v>1.3820987765495155E-2</v>
      </c>
      <c r="K287" s="8">
        <f t="shared" si="15"/>
        <v>-2.2765763103976377E-2</v>
      </c>
    </row>
    <row r="288" spans="1:11" x14ac:dyDescent="0.25">
      <c r="A288" t="str">
        <f t="shared" si="16"/>
        <v>22018</v>
      </c>
      <c r="B288" s="1">
        <v>43157</v>
      </c>
      <c r="C288" t="s">
        <v>198</v>
      </c>
      <c r="D288">
        <v>25452</v>
      </c>
      <c r="E288">
        <v>25722.15</v>
      </c>
      <c r="F288">
        <v>25381.200000000001</v>
      </c>
      <c r="G288">
        <v>25687.9</v>
      </c>
      <c r="H288">
        <v>0</v>
      </c>
      <c r="I288" s="8">
        <f t="shared" si="17"/>
        <v>1.5231696472680634E-2</v>
      </c>
      <c r="J288" s="8">
        <f t="shared" si="18"/>
        <v>1.5116858830451102E-2</v>
      </c>
      <c r="K288" s="8">
        <f t="shared" si="15"/>
        <v>-6.1323820725517342E-3</v>
      </c>
    </row>
    <row r="289" spans="1:11" x14ac:dyDescent="0.25">
      <c r="A289" t="str">
        <f t="shared" si="16"/>
        <v>22018</v>
      </c>
      <c r="B289" s="1">
        <v>43158</v>
      </c>
      <c r="C289" t="s">
        <v>199</v>
      </c>
      <c r="D289">
        <v>25684.6</v>
      </c>
      <c r="E289">
        <v>25723.55</v>
      </c>
      <c r="F289">
        <v>25356.400000000001</v>
      </c>
      <c r="G289">
        <v>25383.599999999999</v>
      </c>
      <c r="H289">
        <v>0</v>
      </c>
      <c r="I289" s="8">
        <f t="shared" si="17"/>
        <v>-1.1846044246513032E-2</v>
      </c>
      <c r="J289" s="8">
        <f t="shared" si="18"/>
        <v>-1.1916767712402474E-2</v>
      </c>
      <c r="K289" s="8">
        <f t="shared" si="15"/>
        <v>-1.5975530805521942E-2</v>
      </c>
    </row>
    <row r="290" spans="1:11" x14ac:dyDescent="0.25">
      <c r="A290" t="str">
        <f t="shared" si="16"/>
        <v>22018</v>
      </c>
      <c r="B290" s="1">
        <v>43159</v>
      </c>
      <c r="C290" t="s">
        <v>200</v>
      </c>
      <c r="D290">
        <v>25116.25</v>
      </c>
      <c r="E290">
        <v>25192.95</v>
      </c>
      <c r="F290">
        <v>24942</v>
      </c>
      <c r="G290">
        <v>25107.4</v>
      </c>
      <c r="H290">
        <v>0</v>
      </c>
      <c r="I290" s="8">
        <f t="shared" si="17"/>
        <v>-1.0881041302258088E-2</v>
      </c>
      <c r="J290" s="8">
        <f t="shared" si="18"/>
        <v>-1.0940672795185756E-2</v>
      </c>
      <c r="K290" s="8">
        <f t="shared" si="15"/>
        <v>-8.8819061754906725E-3</v>
      </c>
    </row>
    <row r="291" spans="1:11" x14ac:dyDescent="0.25">
      <c r="A291" t="str">
        <f t="shared" si="16"/>
        <v>32018</v>
      </c>
      <c r="B291" s="1">
        <v>43160</v>
      </c>
      <c r="C291" s="10">
        <v>43103.645833333336</v>
      </c>
      <c r="D291">
        <v>25022.35</v>
      </c>
      <c r="E291">
        <v>25226.05</v>
      </c>
      <c r="F291">
        <v>24854.400000000001</v>
      </c>
      <c r="G291">
        <v>24902.55</v>
      </c>
      <c r="H291">
        <v>0</v>
      </c>
      <c r="I291" s="8">
        <f t="shared" si="17"/>
        <v>-8.1589491544326043E-3</v>
      </c>
      <c r="J291" s="8">
        <f t="shared" si="18"/>
        <v>-8.192415538074975E-3</v>
      </c>
      <c r="K291" s="8">
        <f t="shared" si="15"/>
        <v>-1.1487796696960761E-2</v>
      </c>
    </row>
    <row r="292" spans="1:11" x14ac:dyDescent="0.25">
      <c r="A292" t="str">
        <f t="shared" si="16"/>
        <v>32018</v>
      </c>
      <c r="B292" s="1">
        <v>43164</v>
      </c>
      <c r="C292" s="10">
        <v>43223.645833333336</v>
      </c>
      <c r="D292">
        <v>24831.35</v>
      </c>
      <c r="E292">
        <v>24873.05</v>
      </c>
      <c r="F292">
        <v>24682</v>
      </c>
      <c r="G292">
        <v>24818.7</v>
      </c>
      <c r="H292">
        <v>0</v>
      </c>
      <c r="I292" s="8">
        <f t="shared" si="17"/>
        <v>-3.3671250534583752E-3</v>
      </c>
      <c r="J292" s="8">
        <f t="shared" si="18"/>
        <v>-3.3728065762045961E-3</v>
      </c>
      <c r="K292" s="8">
        <f t="shared" si="15"/>
        <v>-1.0225283249119532E-2</v>
      </c>
    </row>
    <row r="293" spans="1:11" x14ac:dyDescent="0.25">
      <c r="A293" t="str">
        <f t="shared" si="16"/>
        <v>32018</v>
      </c>
      <c r="B293" s="1">
        <v>43165</v>
      </c>
      <c r="C293" s="10">
        <v>43254.645833333336</v>
      </c>
      <c r="D293">
        <v>24964.1</v>
      </c>
      <c r="E293">
        <v>25040.25</v>
      </c>
      <c r="F293">
        <v>24362.05</v>
      </c>
      <c r="G293">
        <v>24448.45</v>
      </c>
      <c r="H293">
        <v>0</v>
      </c>
      <c r="I293" s="8">
        <f t="shared" si="17"/>
        <v>-1.491818668987499E-2</v>
      </c>
      <c r="J293" s="8">
        <f t="shared" si="18"/>
        <v>-1.5030582061175917E-2</v>
      </c>
      <c r="K293" s="8">
        <f t="shared" si="15"/>
        <v>-2.6921553760519856E-2</v>
      </c>
    </row>
    <row r="294" spans="1:11" x14ac:dyDescent="0.25">
      <c r="A294" t="str">
        <f t="shared" si="16"/>
        <v>32018</v>
      </c>
      <c r="B294" s="1">
        <v>43166</v>
      </c>
      <c r="C294" s="10">
        <v>43284.645833333336</v>
      </c>
      <c r="D294">
        <v>24333.85</v>
      </c>
      <c r="E294">
        <v>24373.4</v>
      </c>
      <c r="F294">
        <v>24096.75</v>
      </c>
      <c r="G294">
        <v>24134.1</v>
      </c>
      <c r="H294">
        <v>0</v>
      </c>
      <c r="I294" s="8">
        <f t="shared" si="17"/>
        <v>-1.285766582339587E-2</v>
      </c>
      <c r="J294" s="8">
        <f t="shared" si="18"/>
        <v>-1.294104105355544E-2</v>
      </c>
      <c r="K294" s="8">
        <f t="shared" si="15"/>
        <v>-2.8879195873136032E-2</v>
      </c>
    </row>
    <row r="295" spans="1:11" x14ac:dyDescent="0.25">
      <c r="A295" t="str">
        <f t="shared" si="16"/>
        <v>32018</v>
      </c>
      <c r="B295" s="1">
        <v>43167</v>
      </c>
      <c r="C295" s="10">
        <v>43315.645833333336</v>
      </c>
      <c r="D295">
        <v>24273.9</v>
      </c>
      <c r="E295">
        <v>24534.5</v>
      </c>
      <c r="F295">
        <v>24048.55</v>
      </c>
      <c r="G295">
        <v>24477.65</v>
      </c>
      <c r="H295">
        <v>0</v>
      </c>
      <c r="I295" s="8">
        <f t="shared" si="17"/>
        <v>1.4235045019288073E-2</v>
      </c>
      <c r="J295" s="8">
        <f t="shared" si="18"/>
        <v>1.4134678129346743E-2</v>
      </c>
      <c r="K295" s="8">
        <f t="shared" si="15"/>
        <v>-2.3131029941434011E-2</v>
      </c>
    </row>
    <row r="296" spans="1:11" x14ac:dyDescent="0.25">
      <c r="A296" t="str">
        <f t="shared" si="16"/>
        <v>32018</v>
      </c>
      <c r="B296" s="1">
        <v>43168</v>
      </c>
      <c r="C296" s="10">
        <v>43346.645833333336</v>
      </c>
      <c r="D296">
        <v>24556.95</v>
      </c>
      <c r="E296">
        <v>24564.75</v>
      </c>
      <c r="F296">
        <v>24259.7</v>
      </c>
      <c r="G296">
        <v>24296.45</v>
      </c>
      <c r="H296">
        <v>0</v>
      </c>
      <c r="I296" s="8">
        <f t="shared" si="17"/>
        <v>-7.4026714165780216E-3</v>
      </c>
      <c r="J296" s="8">
        <f t="shared" si="18"/>
        <v>-7.4302071648563277E-3</v>
      </c>
      <c r="K296" s="8">
        <f t="shared" si="15"/>
        <v>-4.0468146193991972E-2</v>
      </c>
    </row>
    <row r="297" spans="1:11" x14ac:dyDescent="0.25">
      <c r="A297" t="str">
        <f t="shared" si="16"/>
        <v>32018</v>
      </c>
      <c r="B297" s="1">
        <v>43171</v>
      </c>
      <c r="C297" s="10">
        <v>43437.645833333336</v>
      </c>
      <c r="D297">
        <v>24443.599999999999</v>
      </c>
      <c r="E297">
        <v>24716.05</v>
      </c>
      <c r="F297">
        <v>24358.5</v>
      </c>
      <c r="G297">
        <v>24664.2</v>
      </c>
      <c r="H297">
        <v>0</v>
      </c>
      <c r="I297" s="8">
        <f t="shared" si="17"/>
        <v>1.5135956075887691E-2</v>
      </c>
      <c r="J297" s="8">
        <f t="shared" si="18"/>
        <v>1.5022550396465044E-2</v>
      </c>
      <c r="K297" s="8">
        <f t="shared" si="15"/>
        <v>-2.9153882034335887E-2</v>
      </c>
    </row>
    <row r="298" spans="1:11" x14ac:dyDescent="0.25">
      <c r="A298" t="str">
        <f t="shared" si="16"/>
        <v>32018</v>
      </c>
      <c r="B298" s="1">
        <v>43172</v>
      </c>
      <c r="C298" t="s">
        <v>201</v>
      </c>
      <c r="D298">
        <v>24624.6</v>
      </c>
      <c r="E298">
        <v>25009.65</v>
      </c>
      <c r="F298">
        <v>24597.55</v>
      </c>
      <c r="G298">
        <v>24738.65</v>
      </c>
      <c r="H298">
        <v>0</v>
      </c>
      <c r="I298" s="8">
        <f t="shared" si="17"/>
        <v>3.0185450977531225E-3</v>
      </c>
      <c r="J298" s="8">
        <f t="shared" si="18"/>
        <v>3.0139984377339211E-3</v>
      </c>
      <c r="K298" s="8">
        <f t="shared" si="15"/>
        <v>-1.539474914877148E-2</v>
      </c>
    </row>
    <row r="299" spans="1:11" x14ac:dyDescent="0.25">
      <c r="A299" t="str">
        <f t="shared" si="16"/>
        <v>32018</v>
      </c>
      <c r="B299" s="1">
        <v>43173</v>
      </c>
      <c r="C299" t="s">
        <v>202</v>
      </c>
      <c r="D299">
        <v>24629.65</v>
      </c>
      <c r="E299">
        <v>24894.3</v>
      </c>
      <c r="F299">
        <v>24487</v>
      </c>
      <c r="G299">
        <v>24851.65</v>
      </c>
      <c r="H299">
        <v>0</v>
      </c>
      <c r="I299" s="8">
        <f t="shared" si="17"/>
        <v>4.5677512717954283E-3</v>
      </c>
      <c r="J299" s="8">
        <f t="shared" si="18"/>
        <v>4.5573507552437963E-3</v>
      </c>
      <c r="K299" s="8">
        <f t="shared" si="15"/>
        <v>-5.9479167291657253E-3</v>
      </c>
    </row>
    <row r="300" spans="1:11" x14ac:dyDescent="0.25">
      <c r="A300" t="str">
        <f t="shared" si="16"/>
        <v>32018</v>
      </c>
      <c r="B300" s="1">
        <v>43174</v>
      </c>
      <c r="C300" t="s">
        <v>203</v>
      </c>
      <c r="D300">
        <v>24854.3</v>
      </c>
      <c r="E300">
        <v>24939.85</v>
      </c>
      <c r="F300">
        <v>24732</v>
      </c>
      <c r="G300">
        <v>24791.85</v>
      </c>
      <c r="H300">
        <v>0</v>
      </c>
      <c r="I300" s="8">
        <f t="shared" si="17"/>
        <v>-2.40627885874789E-3</v>
      </c>
      <c r="J300" s="8">
        <f t="shared" si="18"/>
        <v>-2.4091786003795526E-3</v>
      </c>
      <c r="K300" s="8">
        <f t="shared" si="15"/>
        <v>-1.4953393568074125E-2</v>
      </c>
    </row>
    <row r="301" spans="1:11" x14ac:dyDescent="0.25">
      <c r="A301" t="str">
        <f t="shared" si="16"/>
        <v>32018</v>
      </c>
      <c r="B301" s="1">
        <v>43175</v>
      </c>
      <c r="C301" t="s">
        <v>204</v>
      </c>
      <c r="D301">
        <v>24753.65</v>
      </c>
      <c r="E301">
        <v>24785.35</v>
      </c>
      <c r="F301">
        <v>24439.15</v>
      </c>
      <c r="G301">
        <v>24489.55</v>
      </c>
      <c r="H301">
        <v>0</v>
      </c>
      <c r="I301" s="8">
        <f t="shared" si="17"/>
        <v>-1.2193523274785845E-2</v>
      </c>
      <c r="J301" s="8">
        <f t="shared" si="18"/>
        <v>-1.2268474179944215E-2</v>
      </c>
      <c r="K301" s="8">
        <f t="shared" si="15"/>
        <v>-3.7371807722393235E-2</v>
      </c>
    </row>
    <row r="302" spans="1:11" x14ac:dyDescent="0.25">
      <c r="A302" t="str">
        <f t="shared" si="16"/>
        <v>32018</v>
      </c>
      <c r="B302" s="1">
        <v>43178</v>
      </c>
      <c r="C302" t="s">
        <v>205</v>
      </c>
      <c r="D302">
        <v>24530.15</v>
      </c>
      <c r="E302">
        <v>24588.05</v>
      </c>
      <c r="F302">
        <v>24186.95</v>
      </c>
      <c r="G302">
        <v>24245.1</v>
      </c>
      <c r="H302">
        <v>0</v>
      </c>
      <c r="I302" s="8">
        <f t="shared" si="17"/>
        <v>-9.9818085673277768E-3</v>
      </c>
      <c r="J302" s="8">
        <f t="shared" si="18"/>
        <v>-1.0031960837805678E-2</v>
      </c>
      <c r="K302" s="8">
        <f t="shared" si="15"/>
        <v>-5.2724115094815116E-2</v>
      </c>
    </row>
    <row r="303" spans="1:11" x14ac:dyDescent="0.25">
      <c r="A303" t="str">
        <f t="shared" si="16"/>
        <v>32018</v>
      </c>
      <c r="B303" s="1">
        <v>43179</v>
      </c>
      <c r="C303" t="s">
        <v>206</v>
      </c>
      <c r="D303">
        <v>24133.95</v>
      </c>
      <c r="E303">
        <v>24355.65</v>
      </c>
      <c r="F303">
        <v>24082.95</v>
      </c>
      <c r="G303">
        <v>24168.2</v>
      </c>
      <c r="H303">
        <v>0</v>
      </c>
      <c r="I303" s="8">
        <f t="shared" si="17"/>
        <v>-3.1717749153435948E-3</v>
      </c>
      <c r="J303" s="8">
        <f t="shared" si="18"/>
        <v>-3.1768156549500546E-3</v>
      </c>
      <c r="K303" s="8">
        <f t="shared" si="15"/>
        <v>-6.019551877804652E-2</v>
      </c>
    </row>
    <row r="304" spans="1:11" x14ac:dyDescent="0.25">
      <c r="A304" t="str">
        <f t="shared" si="16"/>
        <v>32018</v>
      </c>
      <c r="B304" s="1">
        <v>43180</v>
      </c>
      <c r="C304" t="s">
        <v>207</v>
      </c>
      <c r="D304">
        <v>24331.3</v>
      </c>
      <c r="E304">
        <v>24459.75</v>
      </c>
      <c r="F304">
        <v>24208.65</v>
      </c>
      <c r="G304">
        <v>24255.599999999999</v>
      </c>
      <c r="H304">
        <v>0</v>
      </c>
      <c r="I304" s="8">
        <f t="shared" si="17"/>
        <v>3.6163222747245261E-3</v>
      </c>
      <c r="J304" s="8">
        <f t="shared" si="18"/>
        <v>3.6097991031906218E-3</v>
      </c>
      <c r="K304" s="8">
        <f t="shared" si="15"/>
        <v>-5.2208333170520205E-2</v>
      </c>
    </row>
    <row r="305" spans="1:11" x14ac:dyDescent="0.25">
      <c r="A305" t="str">
        <f t="shared" si="16"/>
        <v>32018</v>
      </c>
      <c r="B305" s="1">
        <v>43181</v>
      </c>
      <c r="C305" t="s">
        <v>208</v>
      </c>
      <c r="D305">
        <v>24252.95</v>
      </c>
      <c r="E305">
        <v>24314.400000000001</v>
      </c>
      <c r="F305">
        <v>24094.85</v>
      </c>
      <c r="G305">
        <v>24141.5</v>
      </c>
      <c r="H305">
        <v>0</v>
      </c>
      <c r="I305" s="8">
        <f t="shared" si="17"/>
        <v>-4.7040683388577254E-3</v>
      </c>
      <c r="J305" s="8">
        <f t="shared" si="18"/>
        <v>-4.7151672888175863E-3</v>
      </c>
      <c r="K305" s="8">
        <f t="shared" si="15"/>
        <v>-5.5286194495642538E-2</v>
      </c>
    </row>
    <row r="306" spans="1:11" x14ac:dyDescent="0.25">
      <c r="A306" t="str">
        <f t="shared" si="16"/>
        <v>32018</v>
      </c>
      <c r="B306" s="1">
        <v>43182</v>
      </c>
      <c r="C306" t="s">
        <v>209</v>
      </c>
      <c r="D306">
        <v>23785.65</v>
      </c>
      <c r="E306">
        <v>23796.3</v>
      </c>
      <c r="F306">
        <v>23605.599999999999</v>
      </c>
      <c r="G306">
        <v>23670.400000000001</v>
      </c>
      <c r="H306">
        <v>0</v>
      </c>
      <c r="I306" s="8">
        <f t="shared" si="17"/>
        <v>-1.9514114698755192E-2</v>
      </c>
      <c r="J306" s="8">
        <f t="shared" si="18"/>
        <v>-1.9707028858586259E-2</v>
      </c>
      <c r="K306" s="8">
        <f t="shared" si="15"/>
        <v>-7.712521760489377E-2</v>
      </c>
    </row>
    <row r="307" spans="1:11" x14ac:dyDescent="0.25">
      <c r="A307" t="str">
        <f t="shared" si="16"/>
        <v>32018</v>
      </c>
      <c r="B307" s="1">
        <v>43185</v>
      </c>
      <c r="C307" t="s">
        <v>210</v>
      </c>
      <c r="D307">
        <v>23674.9</v>
      </c>
      <c r="E307">
        <v>24290.65</v>
      </c>
      <c r="F307">
        <v>23657.05</v>
      </c>
      <c r="G307">
        <v>24244.35</v>
      </c>
      <c r="H307">
        <v>0</v>
      </c>
      <c r="I307" s="8">
        <f t="shared" si="17"/>
        <v>2.4247583479789059E-2</v>
      </c>
      <c r="J307" s="8">
        <f t="shared" si="18"/>
        <v>2.3958278135044427E-2</v>
      </c>
      <c r="K307" s="8">
        <f t="shared" si="15"/>
        <v>-5.5730713430249046E-2</v>
      </c>
    </row>
    <row r="308" spans="1:11" x14ac:dyDescent="0.25">
      <c r="A308" t="str">
        <f t="shared" si="16"/>
        <v>32018</v>
      </c>
      <c r="B308" s="1">
        <v>43186</v>
      </c>
      <c r="C308" t="s">
        <v>211</v>
      </c>
      <c r="D308">
        <v>24396.400000000001</v>
      </c>
      <c r="E308">
        <v>24496.95</v>
      </c>
      <c r="F308">
        <v>24266.400000000001</v>
      </c>
      <c r="G308">
        <v>24434.15</v>
      </c>
      <c r="H308">
        <v>0</v>
      </c>
      <c r="I308" s="8">
        <f t="shared" si="17"/>
        <v>7.8286281133543856E-3</v>
      </c>
      <c r="J308" s="8">
        <f t="shared" si="18"/>
        <v>7.798143403226738E-3</v>
      </c>
      <c r="K308" s="8">
        <f t="shared" si="15"/>
        <v>-4.1649588857881836E-2</v>
      </c>
    </row>
    <row r="309" spans="1:11" x14ac:dyDescent="0.25">
      <c r="A309" t="str">
        <f t="shared" si="16"/>
        <v>32018</v>
      </c>
      <c r="B309" s="1">
        <v>43187</v>
      </c>
      <c r="C309" t="s">
        <v>212</v>
      </c>
      <c r="D309">
        <v>24299.5</v>
      </c>
      <c r="E309">
        <v>24361</v>
      </c>
      <c r="F309">
        <v>24203.4</v>
      </c>
      <c r="G309">
        <v>24263.35</v>
      </c>
      <c r="H309">
        <v>0</v>
      </c>
      <c r="I309" s="8">
        <f t="shared" si="17"/>
        <v>-6.9902165616566592E-3</v>
      </c>
      <c r="J309" s="8">
        <f t="shared" si="18"/>
        <v>-7.0147625803194868E-3</v>
      </c>
      <c r="K309" s="8">
        <f t="shared" si="15"/>
        <v>-4.812279325225588E-2</v>
      </c>
    </row>
    <row r="310" spans="1:11" x14ac:dyDescent="0.25">
      <c r="A310" t="str">
        <f t="shared" si="16"/>
        <v>42018</v>
      </c>
      <c r="B310" s="1">
        <v>43192</v>
      </c>
      <c r="C310" s="10">
        <v>43135.645833333336</v>
      </c>
      <c r="D310">
        <v>24235.65</v>
      </c>
      <c r="E310">
        <v>24373.4</v>
      </c>
      <c r="F310">
        <v>24062.95</v>
      </c>
      <c r="G310">
        <v>24328.5</v>
      </c>
      <c r="H310">
        <v>0</v>
      </c>
      <c r="I310" s="8">
        <f t="shared" si="17"/>
        <v>2.6851197382060654E-3</v>
      </c>
      <c r="J310" s="8">
        <f t="shared" si="18"/>
        <v>2.6815212443537509E-3</v>
      </c>
      <c r="K310" s="8">
        <f t="shared" si="15"/>
        <v>-4.7414881683043308E-2</v>
      </c>
    </row>
    <row r="311" spans="1:11" x14ac:dyDescent="0.25">
      <c r="A311" t="str">
        <f t="shared" si="16"/>
        <v>42018</v>
      </c>
      <c r="B311" s="1">
        <v>43193</v>
      </c>
      <c r="C311" s="10">
        <v>43163.645833333336</v>
      </c>
      <c r="D311">
        <v>24285.95</v>
      </c>
      <c r="E311">
        <v>24538</v>
      </c>
      <c r="F311">
        <v>24254.35</v>
      </c>
      <c r="G311">
        <v>24510.6</v>
      </c>
      <c r="H311">
        <v>0</v>
      </c>
      <c r="I311" s="8">
        <f t="shared" si="17"/>
        <v>7.4850484000246187E-3</v>
      </c>
      <c r="J311" s="8">
        <f t="shared" si="18"/>
        <v>7.4571744308403734E-3</v>
      </c>
      <c r="K311" s="8">
        <f t="shared" si="15"/>
        <v>-3.1894178473108159E-2</v>
      </c>
    </row>
    <row r="312" spans="1:11" x14ac:dyDescent="0.25">
      <c r="A312" t="str">
        <f t="shared" si="16"/>
        <v>42018</v>
      </c>
      <c r="B312" s="1">
        <v>43194</v>
      </c>
      <c r="C312" s="10">
        <v>43194.645833333336</v>
      </c>
      <c r="D312">
        <v>24502.5</v>
      </c>
      <c r="E312">
        <v>24666.3</v>
      </c>
      <c r="F312">
        <v>24087.8</v>
      </c>
      <c r="G312">
        <v>24129.5</v>
      </c>
      <c r="H312">
        <v>0</v>
      </c>
      <c r="I312" s="8">
        <f t="shared" si="17"/>
        <v>-1.5548374988780256E-2</v>
      </c>
      <c r="J312" s="8">
        <f t="shared" si="18"/>
        <v>-1.5670518716375384E-2</v>
      </c>
      <c r="K312" s="8">
        <f t="shared" si="15"/>
        <v>-4.7704557339200648E-2</v>
      </c>
    </row>
    <row r="313" spans="1:11" x14ac:dyDescent="0.25">
      <c r="A313" t="str">
        <f t="shared" si="16"/>
        <v>42018</v>
      </c>
      <c r="B313" s="1">
        <v>43195</v>
      </c>
      <c r="C313" s="10">
        <v>43224.645833333336</v>
      </c>
      <c r="D313">
        <v>24394.45</v>
      </c>
      <c r="E313">
        <v>24824.9</v>
      </c>
      <c r="F313">
        <v>24380.85</v>
      </c>
      <c r="G313">
        <v>24759.8</v>
      </c>
      <c r="H313">
        <v>0</v>
      </c>
      <c r="I313" s="8">
        <f t="shared" si="17"/>
        <v>2.6121552456536579E-2</v>
      </c>
      <c r="J313" s="8">
        <f t="shared" si="18"/>
        <v>2.5786211911163533E-2</v>
      </c>
      <c r="K313" s="8">
        <f t="shared" si="15"/>
        <v>-2.2070730609117351E-2</v>
      </c>
    </row>
    <row r="314" spans="1:11" x14ac:dyDescent="0.25">
      <c r="A314" t="str">
        <f t="shared" si="16"/>
        <v>42018</v>
      </c>
      <c r="B314" s="1">
        <v>43196</v>
      </c>
      <c r="C314" s="10">
        <v>43255.645833333336</v>
      </c>
      <c r="D314">
        <v>24776.35</v>
      </c>
      <c r="E314">
        <v>24933.599999999999</v>
      </c>
      <c r="F314">
        <v>24626.400000000001</v>
      </c>
      <c r="G314">
        <v>24873.15</v>
      </c>
      <c r="H314">
        <v>0</v>
      </c>
      <c r="I314" s="8">
        <f t="shared" si="17"/>
        <v>4.5779852825953427E-3</v>
      </c>
      <c r="J314" s="8">
        <f t="shared" si="18"/>
        <v>4.5675381802909743E-3</v>
      </c>
      <c r="K314" s="8">
        <f t="shared" si="15"/>
        <v>-2.3149639078491435E-2</v>
      </c>
    </row>
    <row r="315" spans="1:11" x14ac:dyDescent="0.25">
      <c r="A315" t="str">
        <f t="shared" si="16"/>
        <v>42018</v>
      </c>
      <c r="B315" s="1">
        <v>43199</v>
      </c>
      <c r="C315" s="10">
        <v>43347.645833333336</v>
      </c>
      <c r="D315">
        <v>24848.85</v>
      </c>
      <c r="E315">
        <v>25152.85</v>
      </c>
      <c r="F315">
        <v>24828</v>
      </c>
      <c r="G315">
        <v>25093.8</v>
      </c>
      <c r="H315">
        <v>0</v>
      </c>
      <c r="I315" s="8">
        <f t="shared" si="17"/>
        <v>8.8710115124139843E-3</v>
      </c>
      <c r="J315" s="8">
        <f t="shared" si="18"/>
        <v>8.8318952534338375E-3</v>
      </c>
      <c r="K315" s="8">
        <f t="shared" si="15"/>
        <v>-1.984426906649317E-2</v>
      </c>
    </row>
    <row r="316" spans="1:11" x14ac:dyDescent="0.25">
      <c r="A316" t="str">
        <f t="shared" si="16"/>
        <v>42018</v>
      </c>
      <c r="B316" s="1">
        <v>43200</v>
      </c>
      <c r="C316" s="10">
        <v>43377.645833333336</v>
      </c>
      <c r="D316">
        <v>25153.599999999999</v>
      </c>
      <c r="E316">
        <v>25279.9</v>
      </c>
      <c r="F316">
        <v>25120.2</v>
      </c>
      <c r="G316">
        <v>25226.799999999999</v>
      </c>
      <c r="H316">
        <v>0</v>
      </c>
      <c r="I316" s="8">
        <f t="shared" si="17"/>
        <v>5.3001139723756197E-3</v>
      </c>
      <c r="J316" s="8">
        <f t="shared" si="18"/>
        <v>5.286117800737563E-3</v>
      </c>
      <c r="K316" s="8">
        <f t="shared" si="15"/>
        <v>-1.7498763441488374E-2</v>
      </c>
    </row>
    <row r="317" spans="1:11" x14ac:dyDescent="0.25">
      <c r="A317" t="str">
        <f t="shared" si="16"/>
        <v>42018</v>
      </c>
      <c r="B317" s="1">
        <v>43201</v>
      </c>
      <c r="C317" s="10">
        <v>43408.645833333336</v>
      </c>
      <c r="D317">
        <v>25198.35</v>
      </c>
      <c r="E317">
        <v>25207.05</v>
      </c>
      <c r="F317">
        <v>24950.3</v>
      </c>
      <c r="G317">
        <v>25098.25</v>
      </c>
      <c r="H317">
        <v>0</v>
      </c>
      <c r="I317" s="8">
        <f t="shared" si="17"/>
        <v>-5.0957711640001735E-3</v>
      </c>
      <c r="J317" s="8">
        <f t="shared" si="18"/>
        <v>-5.1087988822371439E-3</v>
      </c>
      <c r="K317" s="8">
        <f t="shared" si="15"/>
        <v>-2.3558773410935374E-2</v>
      </c>
    </row>
    <row r="318" spans="1:11" x14ac:dyDescent="0.25">
      <c r="A318" t="str">
        <f t="shared" si="16"/>
        <v>42018</v>
      </c>
      <c r="B318" s="1">
        <v>43202</v>
      </c>
      <c r="C318" s="10">
        <v>43438.645833333336</v>
      </c>
      <c r="D318">
        <v>25076.9</v>
      </c>
      <c r="E318">
        <v>25244.799999999999</v>
      </c>
      <c r="F318">
        <v>24969.4</v>
      </c>
      <c r="G318">
        <v>25195.1</v>
      </c>
      <c r="H318">
        <v>0</v>
      </c>
      <c r="I318" s="8">
        <f t="shared" si="17"/>
        <v>3.858834779317144E-3</v>
      </c>
      <c r="J318" s="8">
        <f t="shared" si="18"/>
        <v>3.851408574590735E-3</v>
      </c>
      <c r="K318" s="8">
        <f t="shared" si="15"/>
        <v>-1.6481049915486823E-2</v>
      </c>
    </row>
    <row r="319" spans="1:11" x14ac:dyDescent="0.25">
      <c r="A319" t="str">
        <f t="shared" si="16"/>
        <v>42018</v>
      </c>
      <c r="B319" s="1">
        <v>43203</v>
      </c>
      <c r="C319" t="s">
        <v>213</v>
      </c>
      <c r="D319">
        <v>25239.65</v>
      </c>
      <c r="E319">
        <v>25411.3</v>
      </c>
      <c r="F319">
        <v>25076.85</v>
      </c>
      <c r="G319">
        <v>25200.6</v>
      </c>
      <c r="H319">
        <v>0</v>
      </c>
      <c r="I319" s="8">
        <f t="shared" si="17"/>
        <v>2.1829641477899564E-4</v>
      </c>
      <c r="J319" s="8">
        <f t="shared" si="18"/>
        <v>2.18272591583592E-4</v>
      </c>
      <c r="K319" s="8">
        <f t="shared" si="15"/>
        <v>-1.7937796413999618E-2</v>
      </c>
    </row>
    <row r="320" spans="1:11" x14ac:dyDescent="0.25">
      <c r="A320" t="str">
        <f t="shared" si="16"/>
        <v>42018</v>
      </c>
      <c r="B320" s="1">
        <v>43206</v>
      </c>
      <c r="C320" t="s">
        <v>214</v>
      </c>
      <c r="D320">
        <v>25082.1</v>
      </c>
      <c r="E320">
        <v>25348.55</v>
      </c>
      <c r="F320">
        <v>25067.35</v>
      </c>
      <c r="G320">
        <v>25320.85</v>
      </c>
      <c r="H320">
        <v>0</v>
      </c>
      <c r="I320" s="8">
        <f t="shared" si="17"/>
        <v>4.7717117846399759E-3</v>
      </c>
      <c r="J320" s="8">
        <f t="shared" si="18"/>
        <v>4.7603632549184944E-3</v>
      </c>
      <c r="K320" s="8">
        <f t="shared" ref="K320:K383" si="19">+G320/G259-1</f>
        <v>-1.6629739737970994E-2</v>
      </c>
    </row>
    <row r="321" spans="1:11" x14ac:dyDescent="0.25">
      <c r="A321" t="str">
        <f t="shared" si="16"/>
        <v>42018</v>
      </c>
      <c r="B321" s="1">
        <v>43207</v>
      </c>
      <c r="C321" t="s">
        <v>215</v>
      </c>
      <c r="D321">
        <v>25383.75</v>
      </c>
      <c r="E321">
        <v>25402.55</v>
      </c>
      <c r="F321">
        <v>25224</v>
      </c>
      <c r="G321">
        <v>25334.45</v>
      </c>
      <c r="H321">
        <v>0</v>
      </c>
      <c r="I321" s="8">
        <f t="shared" si="17"/>
        <v>5.3710677169216403E-4</v>
      </c>
      <c r="J321" s="8">
        <f t="shared" si="18"/>
        <v>5.3696258147811521E-4</v>
      </c>
      <c r="K321" s="8">
        <f t="shared" si="19"/>
        <v>-2.8184600985070474E-2</v>
      </c>
    </row>
    <row r="322" spans="1:11" x14ac:dyDescent="0.25">
      <c r="A322" t="str">
        <f t="shared" si="16"/>
        <v>42018</v>
      </c>
      <c r="B322" s="1">
        <v>43208</v>
      </c>
      <c r="C322" t="s">
        <v>216</v>
      </c>
      <c r="D322">
        <v>25426.75</v>
      </c>
      <c r="E322">
        <v>25426.75</v>
      </c>
      <c r="F322">
        <v>25058.75</v>
      </c>
      <c r="G322">
        <v>25102.3</v>
      </c>
      <c r="H322">
        <v>0</v>
      </c>
      <c r="I322" s="8">
        <f t="shared" si="17"/>
        <v>-9.1634118759239547E-3</v>
      </c>
      <c r="J322" s="8">
        <f t="shared" si="18"/>
        <v>-9.2056541883575628E-3</v>
      </c>
      <c r="K322" s="8">
        <f t="shared" si="19"/>
        <v>-3.3593969562924264E-2</v>
      </c>
    </row>
    <row r="323" spans="1:11" x14ac:dyDescent="0.25">
      <c r="A323" t="str">
        <f t="shared" ref="A323:A386" si="20">+MONTH(B323)&amp;YEAR(B323)</f>
        <v>42018</v>
      </c>
      <c r="B323" s="1">
        <v>43209</v>
      </c>
      <c r="C323" t="s">
        <v>217</v>
      </c>
      <c r="D323">
        <v>25206.45</v>
      </c>
      <c r="E323">
        <v>25207.3</v>
      </c>
      <c r="F323">
        <v>25049.7</v>
      </c>
      <c r="G323">
        <v>25126.15</v>
      </c>
      <c r="H323">
        <v>0</v>
      </c>
      <c r="I323" s="8">
        <f t="shared" si="17"/>
        <v>9.5011214111861975E-4</v>
      </c>
      <c r="J323" s="8">
        <f t="shared" si="18"/>
        <v>9.4966107026758719E-4</v>
      </c>
      <c r="K323" s="8">
        <f t="shared" si="19"/>
        <v>-4.4236965130034722E-2</v>
      </c>
    </row>
    <row r="324" spans="1:11" x14ac:dyDescent="0.25">
      <c r="A324" t="str">
        <f t="shared" si="20"/>
        <v>42018</v>
      </c>
      <c r="B324" s="1">
        <v>43210</v>
      </c>
      <c r="C324" t="s">
        <v>218</v>
      </c>
      <c r="D324">
        <v>25126.799999999999</v>
      </c>
      <c r="E324">
        <v>25126.799999999999</v>
      </c>
      <c r="F324">
        <v>24839.3</v>
      </c>
      <c r="G324">
        <v>24943.85</v>
      </c>
      <c r="H324">
        <v>0</v>
      </c>
      <c r="I324" s="8">
        <f t="shared" ref="I324:I387" si="21">+G324/G323-1</f>
        <v>-7.2553893055642416E-3</v>
      </c>
      <c r="J324" s="8">
        <f t="shared" ref="J324:J387" si="22">+LN(1+I324)</f>
        <v>-7.2818376488851541E-3</v>
      </c>
      <c r="K324" s="8">
        <f t="shared" si="19"/>
        <v>-6.0049213562745507E-2</v>
      </c>
    </row>
    <row r="325" spans="1:11" x14ac:dyDescent="0.25">
      <c r="A325" t="str">
        <f t="shared" si="20"/>
        <v>42018</v>
      </c>
      <c r="B325" s="1">
        <v>43213</v>
      </c>
      <c r="C325" t="s">
        <v>219</v>
      </c>
      <c r="D325">
        <v>25065.5</v>
      </c>
      <c r="E325">
        <v>25084.15</v>
      </c>
      <c r="F325">
        <v>24466.1</v>
      </c>
      <c r="G325">
        <v>24960.65</v>
      </c>
      <c r="H325">
        <v>0</v>
      </c>
      <c r="I325" s="8">
        <f t="shared" si="21"/>
        <v>6.7351270954585374E-4</v>
      </c>
      <c r="J325" s="8">
        <f t="shared" si="22"/>
        <v>6.7328600164894925E-4</v>
      </c>
      <c r="K325" s="8">
        <f t="shared" si="19"/>
        <v>-7.2422378713837054E-2</v>
      </c>
    </row>
    <row r="326" spans="1:11" x14ac:dyDescent="0.25">
      <c r="A326" t="str">
        <f t="shared" si="20"/>
        <v>42018</v>
      </c>
      <c r="B326" s="1">
        <v>43214</v>
      </c>
      <c r="C326" t="s">
        <v>220</v>
      </c>
      <c r="D326">
        <v>24972.2</v>
      </c>
      <c r="E326">
        <v>25123.45</v>
      </c>
      <c r="F326">
        <v>24955</v>
      </c>
      <c r="G326">
        <v>25042.1</v>
      </c>
      <c r="H326">
        <v>0</v>
      </c>
      <c r="I326" s="8">
        <f t="shared" si="21"/>
        <v>3.2631361763415523E-3</v>
      </c>
      <c r="J326" s="8">
        <f t="shared" si="22"/>
        <v>3.2578237012381582E-3</v>
      </c>
      <c r="K326" s="8">
        <f t="shared" si="19"/>
        <v>-7.3927932192358381E-2</v>
      </c>
    </row>
    <row r="327" spans="1:11" x14ac:dyDescent="0.25">
      <c r="A327" t="str">
        <f t="shared" si="20"/>
        <v>42018</v>
      </c>
      <c r="B327" s="1">
        <v>43215</v>
      </c>
      <c r="C327" t="s">
        <v>221</v>
      </c>
      <c r="D327">
        <v>24993.4</v>
      </c>
      <c r="E327">
        <v>24993.4</v>
      </c>
      <c r="F327">
        <v>24734.6</v>
      </c>
      <c r="G327">
        <v>24814.400000000001</v>
      </c>
      <c r="H327">
        <v>0</v>
      </c>
      <c r="I327" s="8">
        <f t="shared" si="21"/>
        <v>-9.0926879135534433E-3</v>
      </c>
      <c r="J327" s="8">
        <f t="shared" si="22"/>
        <v>-9.1342787070019509E-3</v>
      </c>
      <c r="K327" s="8">
        <f t="shared" si="19"/>
        <v>-9.4054164567406229E-2</v>
      </c>
    </row>
    <row r="328" spans="1:11" x14ac:dyDescent="0.25">
      <c r="A328" t="str">
        <f t="shared" si="20"/>
        <v>42018</v>
      </c>
      <c r="B328" s="1">
        <v>43216</v>
      </c>
      <c r="C328" t="s">
        <v>222</v>
      </c>
      <c r="D328">
        <v>24833.200000000001</v>
      </c>
      <c r="E328">
        <v>25064</v>
      </c>
      <c r="F328">
        <v>24753.4</v>
      </c>
      <c r="G328">
        <v>25010.9</v>
      </c>
      <c r="H328">
        <v>0</v>
      </c>
      <c r="I328" s="8">
        <f t="shared" si="21"/>
        <v>7.9187890902057134E-3</v>
      </c>
      <c r="J328" s="8">
        <f t="shared" si="22"/>
        <v>7.887600024767679E-3</v>
      </c>
      <c r="K328" s="8">
        <f t="shared" si="19"/>
        <v>-8.7145122643351502E-2</v>
      </c>
    </row>
    <row r="329" spans="1:11" x14ac:dyDescent="0.25">
      <c r="A329" t="str">
        <f t="shared" si="20"/>
        <v>42018</v>
      </c>
      <c r="B329" s="1">
        <v>43217</v>
      </c>
      <c r="C329" t="s">
        <v>223</v>
      </c>
      <c r="D329">
        <v>25030.15</v>
      </c>
      <c r="E329">
        <v>25441.5</v>
      </c>
      <c r="F329">
        <v>25029.65</v>
      </c>
      <c r="G329">
        <v>25394.6</v>
      </c>
      <c r="H329">
        <v>0</v>
      </c>
      <c r="I329" s="8">
        <f t="shared" si="21"/>
        <v>1.5341311188321827E-2</v>
      </c>
      <c r="J329" s="8">
        <f t="shared" si="22"/>
        <v>1.5224823149226257E-2</v>
      </c>
      <c r="K329" s="8">
        <f t="shared" si="19"/>
        <v>-7.4731332651986837E-2</v>
      </c>
    </row>
    <row r="330" spans="1:11" x14ac:dyDescent="0.25">
      <c r="A330" t="str">
        <f t="shared" si="20"/>
        <v>42018</v>
      </c>
      <c r="B330" s="1">
        <v>43220</v>
      </c>
      <c r="C330" t="s">
        <v>224</v>
      </c>
      <c r="D330">
        <v>25490.15</v>
      </c>
      <c r="E330">
        <v>25617.5</v>
      </c>
      <c r="F330">
        <v>25464.799999999999</v>
      </c>
      <c r="G330">
        <v>25531.599999999999</v>
      </c>
      <c r="H330">
        <v>0</v>
      </c>
      <c r="I330" s="8">
        <f t="shared" si="21"/>
        <v>5.3948477235317149E-3</v>
      </c>
      <c r="J330" s="8">
        <f t="shared" si="22"/>
        <v>5.3803476595981935E-3</v>
      </c>
      <c r="K330" s="8">
        <f t="shared" si="19"/>
        <v>-7.1525849638797934E-2</v>
      </c>
    </row>
    <row r="331" spans="1:11" x14ac:dyDescent="0.25">
      <c r="A331" t="str">
        <f t="shared" si="20"/>
        <v>52018</v>
      </c>
      <c r="B331" s="1">
        <v>43222</v>
      </c>
      <c r="C331" s="10">
        <v>43136.645833333336</v>
      </c>
      <c r="D331">
        <v>25607.05</v>
      </c>
      <c r="E331">
        <v>25716.75</v>
      </c>
      <c r="F331">
        <v>25499.35</v>
      </c>
      <c r="G331">
        <v>25568.3</v>
      </c>
      <c r="H331">
        <v>0</v>
      </c>
      <c r="I331" s="8">
        <f t="shared" si="21"/>
        <v>1.4374343950243063E-3</v>
      </c>
      <c r="J331" s="8">
        <f t="shared" si="22"/>
        <v>1.4364022751556533E-3</v>
      </c>
      <c r="K331" s="8">
        <f t="shared" si="19"/>
        <v>-6.2369242786235679E-2</v>
      </c>
    </row>
    <row r="332" spans="1:11" x14ac:dyDescent="0.25">
      <c r="A332" t="str">
        <f t="shared" si="20"/>
        <v>52018</v>
      </c>
      <c r="B332" s="1">
        <v>43223</v>
      </c>
      <c r="C332" s="10">
        <v>43164.645833333336</v>
      </c>
      <c r="D332">
        <v>25547.9</v>
      </c>
      <c r="E332">
        <v>25653.45</v>
      </c>
      <c r="F332">
        <v>25469.05</v>
      </c>
      <c r="G332">
        <v>25605.25</v>
      </c>
      <c r="H332">
        <v>0</v>
      </c>
      <c r="I332" s="8">
        <f t="shared" si="21"/>
        <v>1.445148875756308E-3</v>
      </c>
      <c r="J332" s="8">
        <f t="shared" si="22"/>
        <v>1.444105653073536E-3</v>
      </c>
      <c r="K332" s="8">
        <f t="shared" si="19"/>
        <v>-6.4800425136370521E-2</v>
      </c>
    </row>
    <row r="333" spans="1:11" x14ac:dyDescent="0.25">
      <c r="A333" t="str">
        <f t="shared" si="20"/>
        <v>52018</v>
      </c>
      <c r="B333" s="1">
        <v>43224</v>
      </c>
      <c r="C333" s="10">
        <v>43195.645833333336</v>
      </c>
      <c r="D333">
        <v>25632.3</v>
      </c>
      <c r="E333">
        <v>25680.400000000001</v>
      </c>
      <c r="F333">
        <v>25537.7</v>
      </c>
      <c r="G333">
        <v>25645.4</v>
      </c>
      <c r="H333">
        <v>0</v>
      </c>
      <c r="I333" s="8">
        <f t="shared" si="21"/>
        <v>1.5680378047471244E-3</v>
      </c>
      <c r="J333" s="8">
        <f t="shared" si="22"/>
        <v>1.5668097170928666E-3</v>
      </c>
      <c r="K333" s="8">
        <f t="shared" si="19"/>
        <v>-5.7871399339473273E-2</v>
      </c>
    </row>
    <row r="334" spans="1:11" x14ac:dyDescent="0.25">
      <c r="A334" t="str">
        <f t="shared" si="20"/>
        <v>52018</v>
      </c>
      <c r="B334" s="1">
        <v>43227</v>
      </c>
      <c r="C334" s="10">
        <v>43286.645833333336</v>
      </c>
      <c r="D334">
        <v>25676.25</v>
      </c>
      <c r="E334">
        <v>25913.5</v>
      </c>
      <c r="F334">
        <v>25675.15</v>
      </c>
      <c r="G334">
        <v>25852.05</v>
      </c>
      <c r="H334">
        <v>0</v>
      </c>
      <c r="I334" s="8">
        <f t="shared" si="21"/>
        <v>8.057975309412102E-3</v>
      </c>
      <c r="J334" s="8">
        <f t="shared" si="22"/>
        <v>8.0256831831507017E-3</v>
      </c>
      <c r="K334" s="8">
        <f t="shared" si="19"/>
        <v>-2.2649298801753481E-2</v>
      </c>
    </row>
    <row r="335" spans="1:11" x14ac:dyDescent="0.25">
      <c r="A335" t="str">
        <f t="shared" si="20"/>
        <v>52018</v>
      </c>
      <c r="B335" s="1">
        <v>43228</v>
      </c>
      <c r="C335" s="10">
        <v>43317.645833333336</v>
      </c>
      <c r="D335">
        <v>26074.15</v>
      </c>
      <c r="E335">
        <v>26116.25</v>
      </c>
      <c r="F335">
        <v>25954.6</v>
      </c>
      <c r="G335">
        <v>26090.5</v>
      </c>
      <c r="H335">
        <v>0</v>
      </c>
      <c r="I335" s="8">
        <f t="shared" si="21"/>
        <v>9.2236399047658235E-3</v>
      </c>
      <c r="J335" s="8">
        <f t="shared" si="22"/>
        <v>9.1813619107018671E-3</v>
      </c>
      <c r="K335" s="8">
        <f t="shared" si="19"/>
        <v>-3.1610709325158304E-4</v>
      </c>
    </row>
    <row r="336" spans="1:11" x14ac:dyDescent="0.25">
      <c r="A336" t="str">
        <f t="shared" si="20"/>
        <v>52018</v>
      </c>
      <c r="B336" s="1">
        <v>43229</v>
      </c>
      <c r="C336" s="10">
        <v>43348.645833333336</v>
      </c>
      <c r="D336">
        <v>25988.1</v>
      </c>
      <c r="E336">
        <v>26206.5</v>
      </c>
      <c r="F336">
        <v>25946.3</v>
      </c>
      <c r="G336">
        <v>26154.45</v>
      </c>
      <c r="H336">
        <v>0</v>
      </c>
      <c r="I336" s="8">
        <f t="shared" si="21"/>
        <v>2.4510837277935682E-3</v>
      </c>
      <c r="J336" s="8">
        <f t="shared" si="22"/>
        <v>2.4480847216170696E-3</v>
      </c>
      <c r="K336" s="8">
        <f t="shared" si="19"/>
        <v>1.3294564783641327E-2</v>
      </c>
    </row>
    <row r="337" spans="1:11" x14ac:dyDescent="0.25">
      <c r="A337" t="str">
        <f t="shared" si="20"/>
        <v>52018</v>
      </c>
      <c r="B337" s="1">
        <v>43230</v>
      </c>
      <c r="C337" s="10">
        <v>43378.645833333336</v>
      </c>
      <c r="D337">
        <v>26216.1</v>
      </c>
      <c r="E337">
        <v>26266.400000000001</v>
      </c>
      <c r="F337">
        <v>26057.200000000001</v>
      </c>
      <c r="G337">
        <v>26131</v>
      </c>
      <c r="H337">
        <v>0</v>
      </c>
      <c r="I337" s="8">
        <f t="shared" si="21"/>
        <v>-8.9659694621757602E-4</v>
      </c>
      <c r="J337" s="8">
        <f t="shared" si="22"/>
        <v>-8.9699912967516958E-4</v>
      </c>
      <c r="K337" s="8">
        <f t="shared" si="19"/>
        <v>1.795870666147259E-2</v>
      </c>
    </row>
    <row r="338" spans="1:11" x14ac:dyDescent="0.25">
      <c r="A338" t="str">
        <f t="shared" si="20"/>
        <v>52018</v>
      </c>
      <c r="B338" s="1">
        <v>43231</v>
      </c>
      <c r="C338" s="10">
        <v>43409.645833333336</v>
      </c>
      <c r="D338">
        <v>26173.7</v>
      </c>
      <c r="E338">
        <v>26437.25</v>
      </c>
      <c r="F338">
        <v>26099.85</v>
      </c>
      <c r="G338">
        <v>26413.15</v>
      </c>
      <c r="H338">
        <v>0</v>
      </c>
      <c r="I338" s="8">
        <f t="shared" si="21"/>
        <v>1.0797520186751397E-2</v>
      </c>
      <c r="J338" s="8">
        <f t="shared" si="22"/>
        <v>1.0739643211472258E-2</v>
      </c>
      <c r="K338" s="8">
        <f t="shared" si="19"/>
        <v>1.9000295131487821E-2</v>
      </c>
    </row>
    <row r="339" spans="1:11" x14ac:dyDescent="0.25">
      <c r="A339" t="str">
        <f t="shared" si="20"/>
        <v>52018</v>
      </c>
      <c r="B339" s="1">
        <v>43234</v>
      </c>
      <c r="C339" t="s">
        <v>225</v>
      </c>
      <c r="D339">
        <v>26404.45</v>
      </c>
      <c r="E339">
        <v>26565.4</v>
      </c>
      <c r="F339">
        <v>26338.05</v>
      </c>
      <c r="G339">
        <v>26475.15</v>
      </c>
      <c r="H339">
        <v>0</v>
      </c>
      <c r="I339" s="8">
        <f t="shared" si="21"/>
        <v>2.3473156363402747E-3</v>
      </c>
      <c r="J339" s="8">
        <f t="shared" si="22"/>
        <v>2.3445649945673338E-3</v>
      </c>
      <c r="K339" s="8">
        <f t="shared" si="19"/>
        <v>3.9723291829725893E-2</v>
      </c>
    </row>
    <row r="340" spans="1:11" x14ac:dyDescent="0.25">
      <c r="A340" t="str">
        <f t="shared" si="20"/>
        <v>52018</v>
      </c>
      <c r="B340" s="1">
        <v>43235</v>
      </c>
      <c r="C340" t="s">
        <v>226</v>
      </c>
      <c r="D340">
        <v>26494.9</v>
      </c>
      <c r="E340">
        <v>26972.05</v>
      </c>
      <c r="F340">
        <v>26407.3</v>
      </c>
      <c r="G340">
        <v>26474</v>
      </c>
      <c r="H340">
        <v>0</v>
      </c>
      <c r="I340" s="8">
        <f t="shared" si="21"/>
        <v>-4.3436958808595882E-5</v>
      </c>
      <c r="J340" s="8">
        <f t="shared" si="22"/>
        <v>-4.3437902220610549E-5</v>
      </c>
      <c r="K340" s="8">
        <f t="shared" si="19"/>
        <v>3.00526037289508E-2</v>
      </c>
    </row>
    <row r="341" spans="1:11" x14ac:dyDescent="0.25">
      <c r="A341" t="str">
        <f t="shared" si="20"/>
        <v>52018</v>
      </c>
      <c r="B341" s="1">
        <v>43236</v>
      </c>
      <c r="C341" t="s">
        <v>227</v>
      </c>
      <c r="D341">
        <v>26269.35</v>
      </c>
      <c r="E341">
        <v>26428.35</v>
      </c>
      <c r="F341">
        <v>26102.15</v>
      </c>
      <c r="G341">
        <v>26182.15</v>
      </c>
      <c r="H341">
        <v>0</v>
      </c>
      <c r="I341" s="8">
        <f t="shared" si="21"/>
        <v>-1.1024023570295305E-2</v>
      </c>
      <c r="J341" s="8">
        <f t="shared" si="22"/>
        <v>-1.1085238423202011E-2</v>
      </c>
      <c r="K341" s="8">
        <f t="shared" si="19"/>
        <v>3.3183051349084947E-2</v>
      </c>
    </row>
    <row r="342" spans="1:11" x14ac:dyDescent="0.25">
      <c r="A342" t="str">
        <f t="shared" si="20"/>
        <v>52018</v>
      </c>
      <c r="B342" s="1">
        <v>43237</v>
      </c>
      <c r="C342" t="s">
        <v>228</v>
      </c>
      <c r="D342">
        <v>26233.200000000001</v>
      </c>
      <c r="E342">
        <v>26283.55</v>
      </c>
      <c r="F342">
        <v>26012</v>
      </c>
      <c r="G342">
        <v>26073.8</v>
      </c>
      <c r="H342">
        <v>0</v>
      </c>
      <c r="I342" s="8">
        <f t="shared" si="21"/>
        <v>-4.1383156081529204E-3</v>
      </c>
      <c r="J342" s="8">
        <f t="shared" si="22"/>
        <v>-4.1469021335448107E-3</v>
      </c>
      <c r="K342" s="8">
        <f t="shared" si="19"/>
        <v>2.5544409198268614E-2</v>
      </c>
    </row>
    <row r="343" spans="1:11" x14ac:dyDescent="0.25">
      <c r="A343" t="str">
        <f t="shared" si="20"/>
        <v>52018</v>
      </c>
      <c r="B343" s="1">
        <v>43238</v>
      </c>
      <c r="C343" t="s">
        <v>229</v>
      </c>
      <c r="D343">
        <v>26025.599999999999</v>
      </c>
      <c r="E343">
        <v>26032</v>
      </c>
      <c r="F343">
        <v>25839</v>
      </c>
      <c r="G343">
        <v>25875.599999999999</v>
      </c>
      <c r="H343">
        <v>0</v>
      </c>
      <c r="I343" s="8">
        <f t="shared" si="21"/>
        <v>-7.6015003566799466E-3</v>
      </c>
      <c r="J343" s="8">
        <f t="shared" si="22"/>
        <v>-7.6305390123489331E-3</v>
      </c>
      <c r="K343" s="8">
        <f t="shared" si="19"/>
        <v>2.8282579409391939E-2</v>
      </c>
    </row>
    <row r="344" spans="1:11" x14ac:dyDescent="0.25">
      <c r="A344" t="str">
        <f t="shared" si="20"/>
        <v>52018</v>
      </c>
      <c r="B344" s="1">
        <v>43241</v>
      </c>
      <c r="C344" t="s">
        <v>230</v>
      </c>
      <c r="D344">
        <v>26017.5</v>
      </c>
      <c r="E344">
        <v>26066.75</v>
      </c>
      <c r="F344">
        <v>25685.35</v>
      </c>
      <c r="G344">
        <v>25750.799999999999</v>
      </c>
      <c r="H344">
        <v>0</v>
      </c>
      <c r="I344" s="8">
        <f t="shared" si="21"/>
        <v>-4.8230765663405117E-3</v>
      </c>
      <c r="J344" s="8">
        <f t="shared" si="22"/>
        <v>-4.834745134172252E-3</v>
      </c>
      <c r="K344" s="8">
        <f t="shared" si="19"/>
        <v>2.7625301543784397E-2</v>
      </c>
    </row>
    <row r="345" spans="1:11" x14ac:dyDescent="0.25">
      <c r="A345" t="str">
        <f t="shared" si="20"/>
        <v>52018</v>
      </c>
      <c r="B345" s="1">
        <v>43242</v>
      </c>
      <c r="C345" t="s">
        <v>231</v>
      </c>
      <c r="D345">
        <v>25780.25</v>
      </c>
      <c r="E345">
        <v>25945.65</v>
      </c>
      <c r="F345">
        <v>25701.35</v>
      </c>
      <c r="G345">
        <v>25777.7</v>
      </c>
      <c r="H345">
        <v>0</v>
      </c>
      <c r="I345" s="8">
        <f t="shared" si="21"/>
        <v>1.0446277397206938E-3</v>
      </c>
      <c r="J345" s="8">
        <f t="shared" si="22"/>
        <v>1.0440824958482758E-3</v>
      </c>
      <c r="K345" s="8">
        <f t="shared" si="19"/>
        <v>3.6314443765477655E-2</v>
      </c>
    </row>
    <row r="346" spans="1:11" x14ac:dyDescent="0.25">
      <c r="A346" t="str">
        <f t="shared" si="20"/>
        <v>52018</v>
      </c>
      <c r="B346" s="1">
        <v>43243</v>
      </c>
      <c r="C346" t="s">
        <v>232</v>
      </c>
      <c r="D346">
        <v>25726.95</v>
      </c>
      <c r="E346">
        <v>25903.9</v>
      </c>
      <c r="F346">
        <v>25622.15</v>
      </c>
      <c r="G346">
        <v>25684.95</v>
      </c>
      <c r="H346">
        <v>0</v>
      </c>
      <c r="I346" s="8">
        <f t="shared" si="21"/>
        <v>-3.5980712010769134E-3</v>
      </c>
      <c r="J346" s="8">
        <f t="shared" si="22"/>
        <v>-3.6045598282985333E-3</v>
      </c>
      <c r="K346" s="8">
        <f t="shared" si="19"/>
        <v>3.0005975129026696E-2</v>
      </c>
    </row>
    <row r="347" spans="1:11" x14ac:dyDescent="0.25">
      <c r="A347" t="str">
        <f t="shared" si="20"/>
        <v>52018</v>
      </c>
      <c r="B347" s="1">
        <v>43244</v>
      </c>
      <c r="C347" t="s">
        <v>233</v>
      </c>
      <c r="D347">
        <v>25722.9</v>
      </c>
      <c r="E347">
        <v>26073.1</v>
      </c>
      <c r="F347">
        <v>25658.400000000001</v>
      </c>
      <c r="G347">
        <v>26016.799999999999</v>
      </c>
      <c r="H347">
        <v>0</v>
      </c>
      <c r="I347" s="8">
        <f t="shared" si="21"/>
        <v>1.2920017364254077E-2</v>
      </c>
      <c r="J347" s="8">
        <f t="shared" si="22"/>
        <v>1.2837265944261201E-2</v>
      </c>
      <c r="K347" s="8">
        <f t="shared" si="19"/>
        <v>4.2540232095915842E-2</v>
      </c>
    </row>
    <row r="348" spans="1:11" x14ac:dyDescent="0.25">
      <c r="A348" t="str">
        <f t="shared" si="20"/>
        <v>52018</v>
      </c>
      <c r="B348" s="1">
        <v>43245</v>
      </c>
      <c r="C348" t="s">
        <v>234</v>
      </c>
      <c r="D348">
        <v>26066.75</v>
      </c>
      <c r="E348">
        <v>26325.55</v>
      </c>
      <c r="F348">
        <v>26031.45</v>
      </c>
      <c r="G348">
        <v>26273.55</v>
      </c>
      <c r="H348">
        <v>0</v>
      </c>
      <c r="I348" s="8">
        <f t="shared" si="21"/>
        <v>9.8686233510654198E-3</v>
      </c>
      <c r="J348" s="8">
        <f t="shared" si="22"/>
        <v>9.8202465025315731E-3</v>
      </c>
      <c r="K348" s="8">
        <f t="shared" si="19"/>
        <v>3.8377630668906315E-2</v>
      </c>
    </row>
    <row r="349" spans="1:11" x14ac:dyDescent="0.25">
      <c r="A349" t="str">
        <f t="shared" si="20"/>
        <v>52018</v>
      </c>
      <c r="B349" s="1">
        <v>43248</v>
      </c>
      <c r="C349" t="s">
        <v>235</v>
      </c>
      <c r="D349">
        <v>26291.65</v>
      </c>
      <c r="E349">
        <v>26713.65</v>
      </c>
      <c r="F349">
        <v>26273.9</v>
      </c>
      <c r="G349">
        <v>26614.25</v>
      </c>
      <c r="H349">
        <v>0</v>
      </c>
      <c r="I349" s="8">
        <f t="shared" si="21"/>
        <v>1.2967413996205268E-2</v>
      </c>
      <c r="J349" s="8">
        <f t="shared" si="22"/>
        <v>1.2884056927043506E-2</v>
      </c>
      <c r="K349" s="8">
        <f t="shared" si="19"/>
        <v>3.6061725559504598E-2</v>
      </c>
    </row>
    <row r="350" spans="1:11" x14ac:dyDescent="0.25">
      <c r="A350" t="str">
        <f t="shared" si="20"/>
        <v>52018</v>
      </c>
      <c r="B350" s="1">
        <v>43249</v>
      </c>
      <c r="C350" t="s">
        <v>236</v>
      </c>
      <c r="D350">
        <v>26567.25</v>
      </c>
      <c r="E350">
        <v>26570.95</v>
      </c>
      <c r="F350">
        <v>26221.1</v>
      </c>
      <c r="G350">
        <v>26254.799999999999</v>
      </c>
      <c r="H350">
        <v>0</v>
      </c>
      <c r="I350" s="8">
        <f t="shared" si="21"/>
        <v>-1.3505922579069463E-2</v>
      </c>
      <c r="J350" s="8">
        <f t="shared" si="22"/>
        <v>-1.3597957165536974E-2</v>
      </c>
      <c r="K350" s="8">
        <f t="shared" si="19"/>
        <v>3.4321372854914323E-2</v>
      </c>
    </row>
    <row r="351" spans="1:11" x14ac:dyDescent="0.25">
      <c r="A351" t="str">
        <f t="shared" si="20"/>
        <v>52018</v>
      </c>
      <c r="B351" s="1">
        <v>43250</v>
      </c>
      <c r="C351" t="s">
        <v>237</v>
      </c>
      <c r="D351">
        <v>26039.9</v>
      </c>
      <c r="E351">
        <v>26405.45</v>
      </c>
      <c r="F351">
        <v>25980.85</v>
      </c>
      <c r="G351">
        <v>26327.8</v>
      </c>
      <c r="H351">
        <v>0</v>
      </c>
      <c r="I351" s="8">
        <f t="shared" si="21"/>
        <v>2.7804439569145689E-3</v>
      </c>
      <c r="J351" s="8">
        <f t="shared" si="22"/>
        <v>2.7765856727896649E-3</v>
      </c>
      <c r="K351" s="8">
        <f t="shared" si="19"/>
        <v>4.8607183539514098E-2</v>
      </c>
    </row>
    <row r="352" spans="1:11" x14ac:dyDescent="0.25">
      <c r="A352" t="str">
        <f t="shared" si="20"/>
        <v>52018</v>
      </c>
      <c r="B352" s="1">
        <v>43251</v>
      </c>
      <c r="C352" t="s">
        <v>238</v>
      </c>
      <c r="D352">
        <v>26587</v>
      </c>
      <c r="E352">
        <v>27164.55</v>
      </c>
      <c r="F352">
        <v>26354.55</v>
      </c>
      <c r="G352">
        <v>26956.2</v>
      </c>
      <c r="H352">
        <v>0</v>
      </c>
      <c r="I352" s="8">
        <f t="shared" si="21"/>
        <v>2.386830650491123E-2</v>
      </c>
      <c r="J352" s="8">
        <f t="shared" si="22"/>
        <v>2.3587911417938236E-2</v>
      </c>
      <c r="K352" s="8">
        <f t="shared" si="19"/>
        <v>8.2467458151876061E-2</v>
      </c>
    </row>
    <row r="353" spans="1:11" x14ac:dyDescent="0.25">
      <c r="A353" t="str">
        <f t="shared" si="20"/>
        <v>62018</v>
      </c>
      <c r="B353" s="1">
        <v>43252</v>
      </c>
      <c r="C353" s="10">
        <v>43106.645833333336</v>
      </c>
      <c r="D353">
        <v>26913.4</v>
      </c>
      <c r="E353">
        <v>26996.799999999999</v>
      </c>
      <c r="F353">
        <v>26658.55</v>
      </c>
      <c r="G353">
        <v>26692.799999999999</v>
      </c>
      <c r="H353">
        <v>0</v>
      </c>
      <c r="I353" s="8">
        <f t="shared" si="21"/>
        <v>-9.7714069490507649E-3</v>
      </c>
      <c r="J353" s="8">
        <f t="shared" si="22"/>
        <v>-9.8194604356160332E-3</v>
      </c>
      <c r="K353" s="8">
        <f t="shared" si="19"/>
        <v>7.5511610197149581E-2</v>
      </c>
    </row>
    <row r="354" spans="1:11" x14ac:dyDescent="0.25">
      <c r="A354" t="str">
        <f t="shared" si="20"/>
        <v>62018</v>
      </c>
      <c r="B354" s="1">
        <v>43255</v>
      </c>
      <c r="C354" s="10">
        <v>43196.645833333336</v>
      </c>
      <c r="D354">
        <v>27023.7</v>
      </c>
      <c r="E354">
        <v>27047.55</v>
      </c>
      <c r="F354">
        <v>26205.9</v>
      </c>
      <c r="G354">
        <v>26257.55</v>
      </c>
      <c r="H354">
        <v>0</v>
      </c>
      <c r="I354" s="8">
        <f t="shared" si="21"/>
        <v>-1.6305895222681777E-2</v>
      </c>
      <c r="J354" s="8">
        <f t="shared" si="22"/>
        <v>-1.6440299388449299E-2</v>
      </c>
      <c r="K354" s="8">
        <f t="shared" si="19"/>
        <v>7.3996511026261258E-2</v>
      </c>
    </row>
    <row r="355" spans="1:11" x14ac:dyDescent="0.25">
      <c r="A355" t="str">
        <f t="shared" si="20"/>
        <v>62018</v>
      </c>
      <c r="B355" s="1">
        <v>43256</v>
      </c>
      <c r="C355" s="10">
        <v>43226.645833333336</v>
      </c>
      <c r="D355">
        <v>26263</v>
      </c>
      <c r="E355">
        <v>26342.400000000001</v>
      </c>
      <c r="F355">
        <v>26069.55</v>
      </c>
      <c r="G355">
        <v>26251</v>
      </c>
      <c r="H355">
        <v>0</v>
      </c>
      <c r="I355" s="8">
        <f t="shared" si="21"/>
        <v>-2.4945206235915673E-4</v>
      </c>
      <c r="J355" s="8">
        <f t="shared" si="22"/>
        <v>-2.4948318069999479E-4</v>
      </c>
      <c r="K355" s="8">
        <f t="shared" si="19"/>
        <v>8.7714064332210517E-2</v>
      </c>
    </row>
    <row r="356" spans="1:11" x14ac:dyDescent="0.25">
      <c r="A356" t="str">
        <f t="shared" si="20"/>
        <v>62018</v>
      </c>
      <c r="B356" s="1">
        <v>43257</v>
      </c>
      <c r="C356" s="10">
        <v>43257.645833333336</v>
      </c>
      <c r="D356">
        <v>26266.9</v>
      </c>
      <c r="E356">
        <v>26425.200000000001</v>
      </c>
      <c r="F356">
        <v>26147.8</v>
      </c>
      <c r="G356">
        <v>26367.599999999999</v>
      </c>
      <c r="H356">
        <v>0</v>
      </c>
      <c r="I356" s="8">
        <f t="shared" si="21"/>
        <v>4.4417355529313696E-3</v>
      </c>
      <c r="J356" s="8">
        <f t="shared" si="22"/>
        <v>4.4319001589616484E-3</v>
      </c>
      <c r="K356" s="8">
        <f t="shared" si="19"/>
        <v>7.7211251897138622E-2</v>
      </c>
    </row>
    <row r="357" spans="1:11" x14ac:dyDescent="0.25">
      <c r="A357" t="str">
        <f t="shared" si="20"/>
        <v>62018</v>
      </c>
      <c r="B357" s="1">
        <v>43258</v>
      </c>
      <c r="C357" s="10">
        <v>43287.645833333336</v>
      </c>
      <c r="D357">
        <v>26577.95</v>
      </c>
      <c r="E357">
        <v>26766.95</v>
      </c>
      <c r="F357">
        <v>26483.9</v>
      </c>
      <c r="G357">
        <v>26517.8</v>
      </c>
      <c r="H357">
        <v>0</v>
      </c>
      <c r="I357" s="8">
        <f t="shared" si="21"/>
        <v>5.6963849572961855E-3</v>
      </c>
      <c r="J357" s="8">
        <f t="shared" si="22"/>
        <v>5.6802219080897927E-3</v>
      </c>
      <c r="K357" s="8">
        <f t="shared" si="19"/>
        <v>9.1426936857030405E-2</v>
      </c>
    </row>
    <row r="358" spans="1:11" x14ac:dyDescent="0.25">
      <c r="A358" t="str">
        <f t="shared" si="20"/>
        <v>62018</v>
      </c>
      <c r="B358" s="1">
        <v>43259</v>
      </c>
      <c r="C358" s="10">
        <v>43318.645833333336</v>
      </c>
      <c r="D358">
        <v>26457.25</v>
      </c>
      <c r="E358">
        <v>26481</v>
      </c>
      <c r="F358">
        <v>26284.2</v>
      </c>
      <c r="G358">
        <v>26451.35</v>
      </c>
      <c r="H358">
        <v>0</v>
      </c>
      <c r="I358" s="8">
        <f t="shared" si="21"/>
        <v>-2.5058639857001852E-3</v>
      </c>
      <c r="J358" s="8">
        <f t="shared" si="22"/>
        <v>-2.5090089178042524E-3</v>
      </c>
      <c r="K358" s="8">
        <f t="shared" si="19"/>
        <v>7.2459272954322307E-2</v>
      </c>
    </row>
    <row r="359" spans="1:11" x14ac:dyDescent="0.25">
      <c r="A359" t="str">
        <f t="shared" si="20"/>
        <v>62018</v>
      </c>
      <c r="B359" s="1">
        <v>43262</v>
      </c>
      <c r="C359" s="10">
        <v>43410.645833333336</v>
      </c>
      <c r="D359">
        <v>26473.200000000001</v>
      </c>
      <c r="E359">
        <v>26653</v>
      </c>
      <c r="F359">
        <v>26421.95</v>
      </c>
      <c r="G359">
        <v>26453.55</v>
      </c>
      <c r="H359">
        <v>0</v>
      </c>
      <c r="I359" s="8">
        <f t="shared" si="21"/>
        <v>8.3171558351580188E-5</v>
      </c>
      <c r="J359" s="8">
        <f t="shared" si="22"/>
        <v>8.3168099789288893E-5</v>
      </c>
      <c r="K359" s="8">
        <f t="shared" si="19"/>
        <v>6.9320678371697531E-2</v>
      </c>
    </row>
    <row r="360" spans="1:11" x14ac:dyDescent="0.25">
      <c r="A360" t="str">
        <f t="shared" si="20"/>
        <v>62018</v>
      </c>
      <c r="B360" s="1">
        <v>43263</v>
      </c>
      <c r="C360" s="10">
        <v>43440.645833333336</v>
      </c>
      <c r="D360">
        <v>26566.6</v>
      </c>
      <c r="E360">
        <v>26656.45</v>
      </c>
      <c r="F360">
        <v>26449.85</v>
      </c>
      <c r="G360">
        <v>26607.1</v>
      </c>
      <c r="H360">
        <v>0</v>
      </c>
      <c r="I360" s="8">
        <f t="shared" si="21"/>
        <v>5.8045139499234288E-3</v>
      </c>
      <c r="J360" s="8">
        <f t="shared" si="22"/>
        <v>5.7877326656441521E-3</v>
      </c>
      <c r="K360" s="8">
        <f t="shared" si="19"/>
        <v>7.0637160912856878E-2</v>
      </c>
    </row>
    <row r="361" spans="1:11" x14ac:dyDescent="0.25">
      <c r="A361" t="str">
        <f t="shared" si="20"/>
        <v>62018</v>
      </c>
      <c r="B361" s="1">
        <v>43264</v>
      </c>
      <c r="C361" t="s">
        <v>239</v>
      </c>
      <c r="D361">
        <v>26721.95</v>
      </c>
      <c r="E361">
        <v>26765.45</v>
      </c>
      <c r="F361">
        <v>26598.2</v>
      </c>
      <c r="G361">
        <v>26642.799999999999</v>
      </c>
      <c r="H361">
        <v>0</v>
      </c>
      <c r="I361" s="8">
        <f t="shared" si="21"/>
        <v>1.3417471276464532E-3</v>
      </c>
      <c r="J361" s="8">
        <f t="shared" si="22"/>
        <v>1.3408477893356926E-3</v>
      </c>
      <c r="K361" s="8">
        <f t="shared" si="19"/>
        <v>7.4659615962503922E-2</v>
      </c>
    </row>
    <row r="362" spans="1:11" x14ac:dyDescent="0.25">
      <c r="A362" t="str">
        <f t="shared" si="20"/>
        <v>62018</v>
      </c>
      <c r="B362" s="1">
        <v>43265</v>
      </c>
      <c r="C362" t="s">
        <v>240</v>
      </c>
      <c r="D362">
        <v>26612.3</v>
      </c>
      <c r="E362">
        <v>26623.25</v>
      </c>
      <c r="F362">
        <v>26503.1</v>
      </c>
      <c r="G362">
        <v>26562.25</v>
      </c>
      <c r="H362">
        <v>0</v>
      </c>
      <c r="I362" s="8">
        <f t="shared" si="21"/>
        <v>-3.0233308811385973E-3</v>
      </c>
      <c r="J362" s="8">
        <f t="shared" si="22"/>
        <v>-3.0279103785001414E-3</v>
      </c>
      <c r="K362" s="8">
        <f t="shared" si="19"/>
        <v>8.4636099887503091E-2</v>
      </c>
    </row>
    <row r="363" spans="1:11" x14ac:dyDescent="0.25">
      <c r="A363" t="str">
        <f t="shared" si="20"/>
        <v>62018</v>
      </c>
      <c r="B363" s="1">
        <v>43266</v>
      </c>
      <c r="C363" t="s">
        <v>241</v>
      </c>
      <c r="D363">
        <v>26513.7</v>
      </c>
      <c r="E363">
        <v>26586.400000000001</v>
      </c>
      <c r="F363">
        <v>26344.95</v>
      </c>
      <c r="G363">
        <v>26417.4</v>
      </c>
      <c r="H363">
        <v>0</v>
      </c>
      <c r="I363" s="8">
        <f t="shared" si="21"/>
        <v>-5.4532277950850583E-3</v>
      </c>
      <c r="J363" s="8">
        <f t="shared" si="22"/>
        <v>-5.4681509193011419E-3</v>
      </c>
      <c r="K363" s="8">
        <f t="shared" si="19"/>
        <v>8.9597485677518574E-2</v>
      </c>
    </row>
    <row r="364" spans="1:11" x14ac:dyDescent="0.25">
      <c r="A364" t="str">
        <f t="shared" si="20"/>
        <v>62018</v>
      </c>
      <c r="B364" s="1">
        <v>43269</v>
      </c>
      <c r="C364" t="s">
        <v>242</v>
      </c>
      <c r="D364">
        <v>26444.3</v>
      </c>
      <c r="E364">
        <v>26477.5</v>
      </c>
      <c r="F364">
        <v>26322.45</v>
      </c>
      <c r="G364">
        <v>26409.3</v>
      </c>
      <c r="H364">
        <v>0</v>
      </c>
      <c r="I364" s="8">
        <f t="shared" si="21"/>
        <v>-3.0661609393811684E-4</v>
      </c>
      <c r="J364" s="8">
        <f t="shared" si="22"/>
        <v>-3.0666311026353473E-4</v>
      </c>
      <c r="K364" s="8">
        <f t="shared" si="19"/>
        <v>9.2729288900290419E-2</v>
      </c>
    </row>
    <row r="365" spans="1:11" x14ac:dyDescent="0.25">
      <c r="A365" t="str">
        <f t="shared" si="20"/>
        <v>62018</v>
      </c>
      <c r="B365" s="1">
        <v>43270</v>
      </c>
      <c r="C365" t="s">
        <v>243</v>
      </c>
      <c r="D365">
        <v>26448.1</v>
      </c>
      <c r="E365">
        <v>26448.1</v>
      </c>
      <c r="F365">
        <v>26224.75</v>
      </c>
      <c r="G365">
        <v>26265.75</v>
      </c>
      <c r="H365">
        <v>0</v>
      </c>
      <c r="I365" s="8">
        <f t="shared" si="21"/>
        <v>-5.4355851915801612E-3</v>
      </c>
      <c r="J365" s="8">
        <f t="shared" si="22"/>
        <v>-5.45041173647361E-3</v>
      </c>
      <c r="K365" s="8">
        <f t="shared" si="19"/>
        <v>8.2873645673576579E-2</v>
      </c>
    </row>
    <row r="366" spans="1:11" x14ac:dyDescent="0.25">
      <c r="A366" t="str">
        <f t="shared" si="20"/>
        <v>62018</v>
      </c>
      <c r="B366" s="1">
        <v>43271</v>
      </c>
      <c r="C366" t="s">
        <v>244</v>
      </c>
      <c r="D366">
        <v>26320.45</v>
      </c>
      <c r="E366">
        <v>26574.75</v>
      </c>
      <c r="F366">
        <v>26309.95</v>
      </c>
      <c r="G366">
        <v>26557.7</v>
      </c>
      <c r="H366">
        <v>0</v>
      </c>
      <c r="I366" s="8">
        <f t="shared" si="21"/>
        <v>1.1115235620532404E-2</v>
      </c>
      <c r="J366" s="8">
        <f t="shared" si="22"/>
        <v>1.1053915363407059E-2</v>
      </c>
      <c r="K366" s="8">
        <f t="shared" si="19"/>
        <v>0.10008491601598912</v>
      </c>
    </row>
    <row r="367" spans="1:11" x14ac:dyDescent="0.25">
      <c r="A367" t="str">
        <f t="shared" si="20"/>
        <v>62018</v>
      </c>
      <c r="B367" s="1">
        <v>43272</v>
      </c>
      <c r="C367" t="s">
        <v>245</v>
      </c>
      <c r="D367">
        <v>26645.3</v>
      </c>
      <c r="E367">
        <v>26682.95</v>
      </c>
      <c r="F367">
        <v>26454.95</v>
      </c>
      <c r="G367">
        <v>26496.95</v>
      </c>
      <c r="H367">
        <v>0</v>
      </c>
      <c r="I367" s="8">
        <f t="shared" si="21"/>
        <v>-2.2874721832086831E-3</v>
      </c>
      <c r="J367" s="8">
        <f t="shared" si="22"/>
        <v>-2.2900924443153862E-3</v>
      </c>
      <c r="K367" s="8">
        <f t="shared" si="19"/>
        <v>0.11941285318372308</v>
      </c>
    </row>
    <row r="368" spans="1:11" x14ac:dyDescent="0.25">
      <c r="A368" t="str">
        <f t="shared" si="20"/>
        <v>62018</v>
      </c>
      <c r="B368" s="1">
        <v>43273</v>
      </c>
      <c r="C368" t="s">
        <v>246</v>
      </c>
      <c r="D368">
        <v>26518.400000000001</v>
      </c>
      <c r="E368">
        <v>26806.55</v>
      </c>
      <c r="F368">
        <v>26364.25</v>
      </c>
      <c r="G368">
        <v>26766.85</v>
      </c>
      <c r="H368">
        <v>0</v>
      </c>
      <c r="I368" s="8">
        <f t="shared" si="21"/>
        <v>1.0186078020300471E-2</v>
      </c>
      <c r="J368" s="8">
        <f t="shared" si="22"/>
        <v>1.0134549547526234E-2</v>
      </c>
      <c r="K368" s="8">
        <f t="shared" si="19"/>
        <v>0.10404485993643875</v>
      </c>
    </row>
    <row r="369" spans="1:11" x14ac:dyDescent="0.25">
      <c r="A369" t="str">
        <f t="shared" si="20"/>
        <v>62018</v>
      </c>
      <c r="B369" s="1">
        <v>43276</v>
      </c>
      <c r="C369" t="s">
        <v>247</v>
      </c>
      <c r="D369">
        <v>26718.15</v>
      </c>
      <c r="E369">
        <v>26804.9</v>
      </c>
      <c r="F369">
        <v>26573</v>
      </c>
      <c r="G369">
        <v>26609.7</v>
      </c>
      <c r="H369">
        <v>0</v>
      </c>
      <c r="I369" s="8">
        <f t="shared" si="21"/>
        <v>-5.8710681309155355E-3</v>
      </c>
      <c r="J369" s="8">
        <f t="shared" si="22"/>
        <v>-5.88837060733089E-3</v>
      </c>
      <c r="K369" s="8">
        <f t="shared" si="19"/>
        <v>8.9037269559202992E-2</v>
      </c>
    </row>
    <row r="370" spans="1:11" x14ac:dyDescent="0.25">
      <c r="A370" t="str">
        <f t="shared" si="20"/>
        <v>62018</v>
      </c>
      <c r="B370" s="1">
        <v>43277</v>
      </c>
      <c r="C370" t="s">
        <v>248</v>
      </c>
      <c r="D370">
        <v>26495.65</v>
      </c>
      <c r="E370">
        <v>26712.6</v>
      </c>
      <c r="F370">
        <v>26479.65</v>
      </c>
      <c r="G370">
        <v>26601.7</v>
      </c>
      <c r="H370">
        <v>0</v>
      </c>
      <c r="I370" s="8">
        <f t="shared" si="21"/>
        <v>-3.0064224700010467E-4</v>
      </c>
      <c r="J370" s="8">
        <f t="shared" si="22"/>
        <v>-3.0068744894041425E-4</v>
      </c>
      <c r="K370" s="8">
        <f t="shared" si="19"/>
        <v>9.6373748884634791E-2</v>
      </c>
    </row>
    <row r="371" spans="1:11" x14ac:dyDescent="0.25">
      <c r="A371" t="str">
        <f t="shared" si="20"/>
        <v>62018</v>
      </c>
      <c r="B371" s="1">
        <v>43278</v>
      </c>
      <c r="C371" t="s">
        <v>249</v>
      </c>
      <c r="D371">
        <v>26616.3</v>
      </c>
      <c r="E371">
        <v>26634.3</v>
      </c>
      <c r="F371">
        <v>26336.5</v>
      </c>
      <c r="G371">
        <v>26423.4</v>
      </c>
      <c r="H371">
        <v>0</v>
      </c>
      <c r="I371" s="8">
        <f t="shared" si="21"/>
        <v>-6.7025791584748307E-3</v>
      </c>
      <c r="J371" s="8">
        <f t="shared" si="22"/>
        <v>-6.7251423195938114E-3</v>
      </c>
      <c r="K371" s="8">
        <f t="shared" si="19"/>
        <v>8.6108884641469929E-2</v>
      </c>
    </row>
    <row r="372" spans="1:11" x14ac:dyDescent="0.25">
      <c r="A372" t="str">
        <f t="shared" si="20"/>
        <v>62018</v>
      </c>
      <c r="B372" s="1">
        <v>43279</v>
      </c>
      <c r="C372" t="s">
        <v>250</v>
      </c>
      <c r="D372">
        <v>26398.1</v>
      </c>
      <c r="E372">
        <v>26487.85</v>
      </c>
      <c r="F372">
        <v>26161</v>
      </c>
      <c r="G372">
        <v>26324.6</v>
      </c>
      <c r="H372">
        <v>0</v>
      </c>
      <c r="I372" s="8">
        <f t="shared" si="21"/>
        <v>-3.7391100312602621E-3</v>
      </c>
      <c r="J372" s="8">
        <f t="shared" si="22"/>
        <v>-3.7461179776156284E-3</v>
      </c>
      <c r="K372" s="8">
        <f t="shared" si="19"/>
        <v>7.4008796194299675E-2</v>
      </c>
    </row>
    <row r="373" spans="1:11" x14ac:dyDescent="0.25">
      <c r="A373" t="str">
        <f t="shared" si="20"/>
        <v>62018</v>
      </c>
      <c r="B373" s="1">
        <v>43280</v>
      </c>
      <c r="C373" t="s">
        <v>251</v>
      </c>
      <c r="D373">
        <v>26312.7</v>
      </c>
      <c r="E373">
        <v>26465</v>
      </c>
      <c r="F373">
        <v>26291.35</v>
      </c>
      <c r="G373">
        <v>26364.2</v>
      </c>
      <c r="H373">
        <v>0</v>
      </c>
      <c r="I373" s="8">
        <f t="shared" si="21"/>
        <v>1.5042963615781169E-3</v>
      </c>
      <c r="J373" s="8">
        <f t="shared" si="22"/>
        <v>1.5031660412222674E-3</v>
      </c>
      <c r="K373" s="8">
        <f t="shared" si="19"/>
        <v>9.2612776891357163E-2</v>
      </c>
    </row>
    <row r="374" spans="1:11" x14ac:dyDescent="0.25">
      <c r="A374" t="str">
        <f t="shared" si="20"/>
        <v>72018</v>
      </c>
      <c r="B374" s="1">
        <v>43283</v>
      </c>
      <c r="C374" s="10">
        <v>43138.645833333336</v>
      </c>
      <c r="D374">
        <v>26364.45</v>
      </c>
      <c r="E374">
        <v>26371.599999999999</v>
      </c>
      <c r="F374">
        <v>26060.6</v>
      </c>
      <c r="G374">
        <v>26230.3</v>
      </c>
      <c r="H374">
        <v>0</v>
      </c>
      <c r="I374" s="8">
        <f t="shared" si="21"/>
        <v>-5.0788569347828272E-3</v>
      </c>
      <c r="J374" s="8">
        <f t="shared" si="22"/>
        <v>-5.091798165031902E-3</v>
      </c>
      <c r="K374" s="8">
        <f t="shared" si="19"/>
        <v>5.9390625126212626E-2</v>
      </c>
    </row>
    <row r="375" spans="1:11" x14ac:dyDescent="0.25">
      <c r="A375" t="str">
        <f t="shared" si="20"/>
        <v>72018</v>
      </c>
      <c r="B375" s="1">
        <v>43284</v>
      </c>
      <c r="C375" s="10">
        <v>43166.645833333336</v>
      </c>
      <c r="D375">
        <v>26210.1</v>
      </c>
      <c r="E375">
        <v>26316.1</v>
      </c>
      <c r="F375">
        <v>26142</v>
      </c>
      <c r="G375">
        <v>26204.1</v>
      </c>
      <c r="H375">
        <v>0</v>
      </c>
      <c r="I375" s="8">
        <f t="shared" si="21"/>
        <v>-9.9884484737122747E-4</v>
      </c>
      <c r="J375" s="8">
        <f t="shared" si="22"/>
        <v>-9.9934402531434794E-4</v>
      </c>
      <c r="K375" s="8">
        <f t="shared" si="19"/>
        <v>5.3509507239734244E-2</v>
      </c>
    </row>
    <row r="376" spans="1:11" x14ac:dyDescent="0.25">
      <c r="A376" t="str">
        <f t="shared" si="20"/>
        <v>72018</v>
      </c>
      <c r="B376" s="1">
        <v>43285</v>
      </c>
      <c r="C376" s="10">
        <v>43197.645833333336</v>
      </c>
      <c r="D376">
        <v>26249.25</v>
      </c>
      <c r="E376">
        <v>26480.5</v>
      </c>
      <c r="F376">
        <v>26132.9</v>
      </c>
      <c r="G376">
        <v>26433.95</v>
      </c>
      <c r="H376">
        <v>0</v>
      </c>
      <c r="I376" s="8">
        <f t="shared" si="21"/>
        <v>8.7715281196454331E-3</v>
      </c>
      <c r="J376" s="8">
        <f t="shared" si="22"/>
        <v>8.733281756845573E-3</v>
      </c>
      <c r="K376" s="8">
        <f t="shared" si="19"/>
        <v>5.3405622105858974E-2</v>
      </c>
    </row>
    <row r="377" spans="1:11" x14ac:dyDescent="0.25">
      <c r="A377" t="str">
        <f t="shared" si="20"/>
        <v>72018</v>
      </c>
      <c r="B377" s="1">
        <v>43286</v>
      </c>
      <c r="C377" s="10">
        <v>43227.645833333336</v>
      </c>
      <c r="D377">
        <v>26481.55</v>
      </c>
      <c r="E377">
        <v>26598.45</v>
      </c>
      <c r="F377">
        <v>26415.200000000001</v>
      </c>
      <c r="G377">
        <v>26503.3</v>
      </c>
      <c r="H377">
        <v>0</v>
      </c>
      <c r="I377" s="8">
        <f t="shared" si="21"/>
        <v>2.6235201322541979E-3</v>
      </c>
      <c r="J377" s="8">
        <f t="shared" si="22"/>
        <v>2.620084710598805E-3</v>
      </c>
      <c r="K377" s="8">
        <f t="shared" si="19"/>
        <v>5.0600948197948137E-2</v>
      </c>
    </row>
    <row r="378" spans="1:11" x14ac:dyDescent="0.25">
      <c r="A378" t="str">
        <f t="shared" si="20"/>
        <v>72018</v>
      </c>
      <c r="B378" s="1">
        <v>43287</v>
      </c>
      <c r="C378" s="10">
        <v>43258.645833333336</v>
      </c>
      <c r="D378">
        <v>26427.55</v>
      </c>
      <c r="E378">
        <v>26609.85</v>
      </c>
      <c r="F378">
        <v>26410</v>
      </c>
      <c r="G378">
        <v>26493.85</v>
      </c>
      <c r="H378">
        <v>0</v>
      </c>
      <c r="I378" s="8">
        <f t="shared" si="21"/>
        <v>-3.5655937185186115E-4</v>
      </c>
      <c r="J378" s="8">
        <f t="shared" si="22"/>
        <v>-3.5662295425907347E-4</v>
      </c>
      <c r="K378" s="8">
        <f t="shared" si="19"/>
        <v>5.5605470500931231E-2</v>
      </c>
    </row>
    <row r="379" spans="1:11" x14ac:dyDescent="0.25">
      <c r="A379" t="str">
        <f t="shared" si="20"/>
        <v>72018</v>
      </c>
      <c r="B379" s="1">
        <v>43290</v>
      </c>
      <c r="C379" s="10">
        <v>43350.645833333336</v>
      </c>
      <c r="D379">
        <v>26642.35</v>
      </c>
      <c r="E379">
        <v>26781.200000000001</v>
      </c>
      <c r="F379">
        <v>26611.55</v>
      </c>
      <c r="G379">
        <v>26753.3</v>
      </c>
      <c r="H379">
        <v>0</v>
      </c>
      <c r="I379" s="8">
        <f t="shared" si="21"/>
        <v>9.7928387154000429E-3</v>
      </c>
      <c r="J379" s="8">
        <f t="shared" si="22"/>
        <v>9.7451996324255264E-3</v>
      </c>
      <c r="K379" s="8">
        <f t="shared" si="19"/>
        <v>6.1845358819770491E-2</v>
      </c>
    </row>
    <row r="380" spans="1:11" x14ac:dyDescent="0.25">
      <c r="A380" t="str">
        <f t="shared" si="20"/>
        <v>72018</v>
      </c>
      <c r="B380" s="1">
        <v>43291</v>
      </c>
      <c r="C380" s="10">
        <v>43380.645833333336</v>
      </c>
      <c r="D380">
        <v>26844.55</v>
      </c>
      <c r="E380">
        <v>26939.55</v>
      </c>
      <c r="F380">
        <v>26778.5</v>
      </c>
      <c r="G380">
        <v>26894.55</v>
      </c>
      <c r="H380">
        <v>0</v>
      </c>
      <c r="I380" s="8">
        <f t="shared" si="21"/>
        <v>5.2797225015230875E-3</v>
      </c>
      <c r="J380" s="8">
        <f t="shared" si="22"/>
        <v>5.2658336314812025E-3</v>
      </c>
      <c r="K380" s="8">
        <f t="shared" si="19"/>
        <v>6.7218637651484503E-2</v>
      </c>
    </row>
    <row r="381" spans="1:11" x14ac:dyDescent="0.25">
      <c r="A381" t="str">
        <f t="shared" si="20"/>
        <v>72018</v>
      </c>
      <c r="B381" s="1">
        <v>43292</v>
      </c>
      <c r="C381" s="10">
        <v>43411.645833333336</v>
      </c>
      <c r="D381">
        <v>26900.65</v>
      </c>
      <c r="E381">
        <v>26938.85</v>
      </c>
      <c r="F381">
        <v>26774.6</v>
      </c>
      <c r="G381">
        <v>26816.2</v>
      </c>
      <c r="H381">
        <v>0</v>
      </c>
      <c r="I381" s="8">
        <f t="shared" si="21"/>
        <v>-2.9132296320257822E-3</v>
      </c>
      <c r="J381" s="8">
        <f t="shared" si="22"/>
        <v>-2.9174813449554158E-3</v>
      </c>
      <c r="K381" s="8">
        <f t="shared" si="19"/>
        <v>5.9056074341896192E-2</v>
      </c>
    </row>
    <row r="382" spans="1:11" x14ac:dyDescent="0.25">
      <c r="A382" t="str">
        <f t="shared" si="20"/>
        <v>72018</v>
      </c>
      <c r="B382" s="1">
        <v>43293</v>
      </c>
      <c r="C382" s="10">
        <v>43441.645833333336</v>
      </c>
      <c r="D382">
        <v>26937.5</v>
      </c>
      <c r="E382">
        <v>27164.799999999999</v>
      </c>
      <c r="F382">
        <v>26936.05</v>
      </c>
      <c r="G382">
        <v>27026.55</v>
      </c>
      <c r="H382">
        <v>0</v>
      </c>
      <c r="I382" s="8">
        <f t="shared" si="21"/>
        <v>7.8441389906100945E-3</v>
      </c>
      <c r="J382" s="8">
        <f t="shared" si="22"/>
        <v>7.8135336763992033E-3</v>
      </c>
      <c r="K382" s="8">
        <f t="shared" si="19"/>
        <v>6.6790476998711101E-2</v>
      </c>
    </row>
    <row r="383" spans="1:11" x14ac:dyDescent="0.25">
      <c r="A383" t="str">
        <f t="shared" si="20"/>
        <v>72018</v>
      </c>
      <c r="B383" s="1">
        <v>43294</v>
      </c>
      <c r="C383" t="s">
        <v>252</v>
      </c>
      <c r="D383">
        <v>27046.85</v>
      </c>
      <c r="E383">
        <v>27102.35</v>
      </c>
      <c r="F383">
        <v>26902.3</v>
      </c>
      <c r="G383">
        <v>26935.95</v>
      </c>
      <c r="H383">
        <v>0</v>
      </c>
      <c r="I383" s="8">
        <f t="shared" si="21"/>
        <v>-3.3522591673742497E-3</v>
      </c>
      <c r="J383" s="8">
        <f t="shared" si="22"/>
        <v>-3.3578905769551981E-3</v>
      </c>
      <c r="K383" s="8">
        <f t="shared" si="19"/>
        <v>7.3047091302390621E-2</v>
      </c>
    </row>
    <row r="384" spans="1:11" x14ac:dyDescent="0.25">
      <c r="A384" t="str">
        <f t="shared" si="20"/>
        <v>72018</v>
      </c>
      <c r="B384" s="1">
        <v>43297</v>
      </c>
      <c r="C384" t="s">
        <v>253</v>
      </c>
      <c r="D384">
        <v>26914.5</v>
      </c>
      <c r="E384">
        <v>26939.05</v>
      </c>
      <c r="F384">
        <v>26643.95</v>
      </c>
      <c r="G384">
        <v>26679.8</v>
      </c>
      <c r="H384">
        <v>0</v>
      </c>
      <c r="I384" s="8">
        <f t="shared" si="21"/>
        <v>-9.5095959117833528E-3</v>
      </c>
      <c r="J384" s="8">
        <f t="shared" si="22"/>
        <v>-9.5551008377424331E-3</v>
      </c>
      <c r="K384" s="8">
        <f t="shared" ref="K384:K447" si="23">+G384/G323-1</f>
        <v>6.1833985708116712E-2</v>
      </c>
    </row>
    <row r="385" spans="1:11" x14ac:dyDescent="0.25">
      <c r="A385" t="str">
        <f t="shared" si="20"/>
        <v>72018</v>
      </c>
      <c r="B385" s="1">
        <v>43298</v>
      </c>
      <c r="C385" t="s">
        <v>254</v>
      </c>
      <c r="D385">
        <v>26662.85</v>
      </c>
      <c r="E385">
        <v>27041.35</v>
      </c>
      <c r="F385">
        <v>26653.65</v>
      </c>
      <c r="G385">
        <v>27008.1</v>
      </c>
      <c r="H385">
        <v>0</v>
      </c>
      <c r="I385" s="8">
        <f t="shared" si="21"/>
        <v>1.2305189694075569E-2</v>
      </c>
      <c r="J385" s="8">
        <f t="shared" si="22"/>
        <v>1.2230096245875084E-2</v>
      </c>
      <c r="K385" s="8">
        <f t="shared" si="23"/>
        <v>8.2755869683308614E-2</v>
      </c>
    </row>
    <row r="386" spans="1:11" x14ac:dyDescent="0.25">
      <c r="A386" t="str">
        <f t="shared" si="20"/>
        <v>72018</v>
      </c>
      <c r="B386" s="1">
        <v>43299</v>
      </c>
      <c r="C386" t="s">
        <v>255</v>
      </c>
      <c r="D386">
        <v>27107.35</v>
      </c>
      <c r="E386">
        <v>27187.15</v>
      </c>
      <c r="F386">
        <v>26834.45</v>
      </c>
      <c r="G386">
        <v>26880.9</v>
      </c>
      <c r="H386">
        <v>0</v>
      </c>
      <c r="I386" s="8">
        <f t="shared" si="21"/>
        <v>-4.7096982016504585E-3</v>
      </c>
      <c r="J386" s="8">
        <f t="shared" si="22"/>
        <v>-4.7208237760353877E-3</v>
      </c>
      <c r="K386" s="8">
        <f t="shared" si="23"/>
        <v>7.6931089534927999E-2</v>
      </c>
    </row>
    <row r="387" spans="1:11" x14ac:dyDescent="0.25">
      <c r="A387" t="str">
        <f t="shared" ref="A387:A450" si="24">+MONTH(B387)&amp;YEAR(B387)</f>
        <v>72018</v>
      </c>
      <c r="B387" s="1">
        <v>43300</v>
      </c>
      <c r="C387" t="s">
        <v>256</v>
      </c>
      <c r="D387">
        <v>26960.2</v>
      </c>
      <c r="E387">
        <v>27025.45</v>
      </c>
      <c r="F387">
        <v>26730.1</v>
      </c>
      <c r="G387">
        <v>26789.65</v>
      </c>
      <c r="H387">
        <v>0</v>
      </c>
      <c r="I387" s="8">
        <f t="shared" si="21"/>
        <v>-3.3946036033020155E-3</v>
      </c>
      <c r="J387" s="8">
        <f t="shared" si="22"/>
        <v>-3.4003783424509499E-3</v>
      </c>
      <c r="K387" s="8">
        <f t="shared" si="23"/>
        <v>6.9784482930744796E-2</v>
      </c>
    </row>
    <row r="388" spans="1:11" x14ac:dyDescent="0.25">
      <c r="A388" t="str">
        <f t="shared" si="24"/>
        <v>72018</v>
      </c>
      <c r="B388" s="1">
        <v>43301</v>
      </c>
      <c r="C388" t="s">
        <v>257</v>
      </c>
      <c r="D388">
        <v>26764.400000000001</v>
      </c>
      <c r="E388">
        <v>26946.55</v>
      </c>
      <c r="F388">
        <v>26718.6</v>
      </c>
      <c r="G388">
        <v>26873.200000000001</v>
      </c>
      <c r="H388">
        <v>0</v>
      </c>
      <c r="I388" s="8">
        <f t="shared" ref="I388:I451" si="25">+G388/G387-1</f>
        <v>3.1187417528784067E-3</v>
      </c>
      <c r="J388" s="8">
        <f t="shared" ref="J388:J451" si="26">+LN(1+I388)</f>
        <v>3.1138885657579041E-3</v>
      </c>
      <c r="K388" s="8">
        <f t="shared" si="23"/>
        <v>8.2967954091172746E-2</v>
      </c>
    </row>
    <row r="389" spans="1:11" x14ac:dyDescent="0.25">
      <c r="A389" t="str">
        <f t="shared" si="24"/>
        <v>72018</v>
      </c>
      <c r="B389" s="1">
        <v>43304</v>
      </c>
      <c r="C389" t="s">
        <v>258</v>
      </c>
      <c r="D389">
        <v>26701.3</v>
      </c>
      <c r="E389">
        <v>27040.1</v>
      </c>
      <c r="F389">
        <v>26671.35</v>
      </c>
      <c r="G389">
        <v>27008.15</v>
      </c>
      <c r="H389">
        <v>0</v>
      </c>
      <c r="I389" s="8">
        <f t="shared" si="25"/>
        <v>5.0217316880758478E-3</v>
      </c>
      <c r="J389" s="8">
        <f t="shared" si="26"/>
        <v>5.0091648474777737E-3</v>
      </c>
      <c r="K389" s="8">
        <f t="shared" si="23"/>
        <v>7.9855183140150832E-2</v>
      </c>
    </row>
    <row r="390" spans="1:11" x14ac:dyDescent="0.25">
      <c r="A390" t="str">
        <f t="shared" si="24"/>
        <v>72018</v>
      </c>
      <c r="B390" s="1">
        <v>43305</v>
      </c>
      <c r="C390" t="s">
        <v>259</v>
      </c>
      <c r="D390">
        <v>26984.15</v>
      </c>
      <c r="E390">
        <v>27128</v>
      </c>
      <c r="F390">
        <v>26868.15</v>
      </c>
      <c r="G390">
        <v>26974.400000000001</v>
      </c>
      <c r="H390">
        <v>0</v>
      </c>
      <c r="I390" s="8">
        <f t="shared" si="25"/>
        <v>-1.2496227990439479E-3</v>
      </c>
      <c r="J390" s="8">
        <f t="shared" si="26"/>
        <v>-1.2504042286765864E-3</v>
      </c>
      <c r="K390" s="8">
        <f t="shared" si="23"/>
        <v>6.22100761579234E-2</v>
      </c>
    </row>
    <row r="391" spans="1:11" x14ac:dyDescent="0.25">
      <c r="A391" t="str">
        <f t="shared" si="24"/>
        <v>72018</v>
      </c>
      <c r="B391" s="1">
        <v>43306</v>
      </c>
      <c r="C391" t="s">
        <v>260</v>
      </c>
      <c r="D391">
        <v>26992.55</v>
      </c>
      <c r="E391">
        <v>27074</v>
      </c>
      <c r="F391">
        <v>26939.35</v>
      </c>
      <c r="G391">
        <v>27031.3</v>
      </c>
      <c r="H391">
        <v>0</v>
      </c>
      <c r="I391" s="8">
        <f t="shared" si="25"/>
        <v>2.1094074381635686E-3</v>
      </c>
      <c r="J391" s="8">
        <f t="shared" si="26"/>
        <v>2.1071857620250118E-3</v>
      </c>
      <c r="K391" s="8">
        <f t="shared" si="23"/>
        <v>5.8738974447351655E-2</v>
      </c>
    </row>
    <row r="392" spans="1:11" x14ac:dyDescent="0.25">
      <c r="A392" t="str">
        <f t="shared" si="24"/>
        <v>72018</v>
      </c>
      <c r="B392" s="1">
        <v>43307</v>
      </c>
      <c r="C392" t="s">
        <v>261</v>
      </c>
      <c r="D392">
        <v>27054.7</v>
      </c>
      <c r="E392">
        <v>27455.1</v>
      </c>
      <c r="F392">
        <v>27045.05</v>
      </c>
      <c r="G392">
        <v>27406.400000000001</v>
      </c>
      <c r="H392">
        <v>0</v>
      </c>
      <c r="I392" s="8">
        <f t="shared" si="25"/>
        <v>1.3876506124381738E-2</v>
      </c>
      <c r="J392" s="8">
        <f t="shared" si="26"/>
        <v>1.3781108920158752E-2</v>
      </c>
      <c r="K392" s="8">
        <f t="shared" si="23"/>
        <v>7.1889801042697599E-2</v>
      </c>
    </row>
    <row r="393" spans="1:11" x14ac:dyDescent="0.25">
      <c r="A393" t="str">
        <f t="shared" si="24"/>
        <v>72018</v>
      </c>
      <c r="B393" s="1">
        <v>43308</v>
      </c>
      <c r="C393" t="s">
        <v>262</v>
      </c>
      <c r="D393">
        <v>27497.8</v>
      </c>
      <c r="E393">
        <v>27661.05</v>
      </c>
      <c r="F393">
        <v>27455</v>
      </c>
      <c r="G393">
        <v>27634.400000000001</v>
      </c>
      <c r="H393">
        <v>0</v>
      </c>
      <c r="I393" s="8">
        <f t="shared" si="25"/>
        <v>8.3192247066379288E-3</v>
      </c>
      <c r="J393" s="8">
        <f t="shared" si="26"/>
        <v>8.2848106903309973E-3</v>
      </c>
      <c r="K393" s="8">
        <f t="shared" si="23"/>
        <v>7.9247419962703125E-2</v>
      </c>
    </row>
    <row r="394" spans="1:11" x14ac:dyDescent="0.25">
      <c r="A394" t="str">
        <f t="shared" si="24"/>
        <v>72018</v>
      </c>
      <c r="B394" s="1">
        <v>43311</v>
      </c>
      <c r="C394" t="s">
        <v>263</v>
      </c>
      <c r="D394">
        <v>27767.65</v>
      </c>
      <c r="E394">
        <v>27873.7</v>
      </c>
      <c r="F394">
        <v>27607.95</v>
      </c>
      <c r="G394">
        <v>27842.6</v>
      </c>
      <c r="H394">
        <v>0</v>
      </c>
      <c r="I394" s="8">
        <f t="shared" si="25"/>
        <v>7.5340879483540846E-3</v>
      </c>
      <c r="J394" s="8">
        <f t="shared" si="26"/>
        <v>7.5058484582523587E-3</v>
      </c>
      <c r="K394" s="8">
        <f t="shared" si="23"/>
        <v>8.5676183643070392E-2</v>
      </c>
    </row>
    <row r="395" spans="1:11" x14ac:dyDescent="0.25">
      <c r="A395" t="str">
        <f t="shared" si="24"/>
        <v>72018</v>
      </c>
      <c r="B395" s="1">
        <v>43312</v>
      </c>
      <c r="C395" t="s">
        <v>264</v>
      </c>
      <c r="D395">
        <v>27797.200000000001</v>
      </c>
      <c r="E395">
        <v>27839.200000000001</v>
      </c>
      <c r="F395">
        <v>27651.3</v>
      </c>
      <c r="G395">
        <v>27764.15</v>
      </c>
      <c r="H395">
        <v>0</v>
      </c>
      <c r="I395" s="8">
        <f t="shared" si="25"/>
        <v>-2.8176247907880647E-3</v>
      </c>
      <c r="J395" s="8">
        <f t="shared" si="26"/>
        <v>-2.8216017676947567E-3</v>
      </c>
      <c r="K395" s="8">
        <f t="shared" si="23"/>
        <v>7.3963186671850201E-2</v>
      </c>
    </row>
    <row r="396" spans="1:11" x14ac:dyDescent="0.25">
      <c r="A396" t="str">
        <f t="shared" si="24"/>
        <v>82018</v>
      </c>
      <c r="B396" s="1">
        <v>43313</v>
      </c>
      <c r="C396" s="10">
        <v>43108.645833333336</v>
      </c>
      <c r="D396">
        <v>27684.799999999999</v>
      </c>
      <c r="E396">
        <v>27820.15</v>
      </c>
      <c r="F396">
        <v>27477.9</v>
      </c>
      <c r="G396">
        <v>27596.6</v>
      </c>
      <c r="H396">
        <v>0</v>
      </c>
      <c r="I396" s="8">
        <f t="shared" si="25"/>
        <v>-6.0347606535767762E-3</v>
      </c>
      <c r="J396" s="8">
        <f t="shared" si="26"/>
        <v>-6.0530434134797714E-3</v>
      </c>
      <c r="K396" s="8">
        <f t="shared" si="23"/>
        <v>5.7725992219390232E-2</v>
      </c>
    </row>
    <row r="397" spans="1:11" x14ac:dyDescent="0.25">
      <c r="A397" t="str">
        <f t="shared" si="24"/>
        <v>82018</v>
      </c>
      <c r="B397" s="1">
        <v>43314</v>
      </c>
      <c r="C397" s="10">
        <v>43139.645833333336</v>
      </c>
      <c r="D397">
        <v>27469.5</v>
      </c>
      <c r="E397">
        <v>27487.9</v>
      </c>
      <c r="F397">
        <v>27327.95</v>
      </c>
      <c r="G397">
        <v>27355.95</v>
      </c>
      <c r="H397">
        <v>0</v>
      </c>
      <c r="I397" s="8">
        <f t="shared" si="25"/>
        <v>-8.720277135589094E-3</v>
      </c>
      <c r="J397" s="8">
        <f t="shared" si="26"/>
        <v>-8.7585212474084184E-3</v>
      </c>
      <c r="K397" s="8">
        <f t="shared" si="23"/>
        <v>4.5938645240102494E-2</v>
      </c>
    </row>
    <row r="398" spans="1:11" x14ac:dyDescent="0.25">
      <c r="A398" t="str">
        <f t="shared" si="24"/>
        <v>82018</v>
      </c>
      <c r="B398" s="1">
        <v>43315</v>
      </c>
      <c r="C398" s="10">
        <v>43167.645833333336</v>
      </c>
      <c r="D398">
        <v>27471.95</v>
      </c>
      <c r="E398">
        <v>27723</v>
      </c>
      <c r="F398">
        <v>27448.15</v>
      </c>
      <c r="G398">
        <v>27695.5</v>
      </c>
      <c r="H398">
        <v>0</v>
      </c>
      <c r="I398" s="8">
        <f t="shared" si="25"/>
        <v>1.2412290562016537E-2</v>
      </c>
      <c r="J398" s="8">
        <f t="shared" si="26"/>
        <v>1.2335889640840304E-2</v>
      </c>
      <c r="K398" s="8">
        <f t="shared" si="23"/>
        <v>5.9871417090811674E-2</v>
      </c>
    </row>
    <row r="399" spans="1:11" x14ac:dyDescent="0.25">
      <c r="A399" t="str">
        <f t="shared" si="24"/>
        <v>82018</v>
      </c>
      <c r="B399" s="1">
        <v>43318</v>
      </c>
      <c r="C399" s="10">
        <v>43259.645833333336</v>
      </c>
      <c r="D399">
        <v>27769.55</v>
      </c>
      <c r="E399">
        <v>27994</v>
      </c>
      <c r="F399">
        <v>27766.05</v>
      </c>
      <c r="G399">
        <v>27898.5</v>
      </c>
      <c r="H399">
        <v>0</v>
      </c>
      <c r="I399" s="8">
        <f t="shared" si="25"/>
        <v>7.329710602805406E-3</v>
      </c>
      <c r="J399" s="8">
        <f t="shared" si="26"/>
        <v>7.3029788187297376E-3</v>
      </c>
      <c r="K399" s="8">
        <f t="shared" si="23"/>
        <v>5.6235246458676835E-2</v>
      </c>
    </row>
    <row r="400" spans="1:11" x14ac:dyDescent="0.25">
      <c r="A400" t="str">
        <f t="shared" si="24"/>
        <v>82018</v>
      </c>
      <c r="B400" s="1">
        <v>43319</v>
      </c>
      <c r="C400" s="10">
        <v>43289.645833333336</v>
      </c>
      <c r="D400">
        <v>27972.95</v>
      </c>
      <c r="E400">
        <v>27988.2</v>
      </c>
      <c r="F400">
        <v>27827.3</v>
      </c>
      <c r="G400">
        <v>27875.9</v>
      </c>
      <c r="H400">
        <v>0</v>
      </c>
      <c r="I400" s="8">
        <f t="shared" si="25"/>
        <v>-8.1007939494948111E-4</v>
      </c>
      <c r="J400" s="8">
        <f t="shared" si="26"/>
        <v>-8.1040768656936697E-4</v>
      </c>
      <c r="K400" s="8">
        <f t="shared" si="23"/>
        <v>5.2908104392231925E-2</v>
      </c>
    </row>
    <row r="401" spans="1:11" x14ac:dyDescent="0.25">
      <c r="A401" t="str">
        <f t="shared" si="24"/>
        <v>82018</v>
      </c>
      <c r="B401" s="1">
        <v>43320</v>
      </c>
      <c r="C401" s="10">
        <v>43320.645833333336</v>
      </c>
      <c r="D401">
        <v>27930.55</v>
      </c>
      <c r="E401">
        <v>28128.65</v>
      </c>
      <c r="F401">
        <v>27858.75</v>
      </c>
      <c r="G401">
        <v>28062.45</v>
      </c>
      <c r="H401">
        <v>0</v>
      </c>
      <c r="I401" s="8">
        <f t="shared" si="25"/>
        <v>6.6921606118546251E-3</v>
      </c>
      <c r="J401" s="8">
        <f t="shared" si="26"/>
        <v>6.6698675091072324E-3</v>
      </c>
      <c r="K401" s="8">
        <f t="shared" si="23"/>
        <v>6.0000377729092724E-2</v>
      </c>
    </row>
    <row r="402" spans="1:11" x14ac:dyDescent="0.25">
      <c r="A402" t="str">
        <f t="shared" si="24"/>
        <v>82018</v>
      </c>
      <c r="B402" s="1">
        <v>43321</v>
      </c>
      <c r="C402" s="10">
        <v>43351.645833333336</v>
      </c>
      <c r="D402">
        <v>28173.65</v>
      </c>
      <c r="E402">
        <v>28363.4</v>
      </c>
      <c r="F402">
        <v>28132</v>
      </c>
      <c r="G402">
        <v>28320</v>
      </c>
      <c r="H402">
        <v>0</v>
      </c>
      <c r="I402" s="8">
        <f t="shared" si="25"/>
        <v>9.1777446374068372E-3</v>
      </c>
      <c r="J402" s="8">
        <f t="shared" si="26"/>
        <v>9.1358850618269271E-3</v>
      </c>
      <c r="K402" s="8">
        <f t="shared" si="23"/>
        <v>8.1652958217717009E-2</v>
      </c>
    </row>
    <row r="403" spans="1:11" x14ac:dyDescent="0.25">
      <c r="A403" t="str">
        <f t="shared" si="24"/>
        <v>82018</v>
      </c>
      <c r="B403" s="1">
        <v>43322</v>
      </c>
      <c r="C403" s="10">
        <v>43381.645833333336</v>
      </c>
      <c r="D403">
        <v>28348.95</v>
      </c>
      <c r="E403">
        <v>28377.9</v>
      </c>
      <c r="F403">
        <v>28087.65</v>
      </c>
      <c r="G403">
        <v>28124.25</v>
      </c>
      <c r="H403">
        <v>0</v>
      </c>
      <c r="I403" s="8">
        <f t="shared" si="25"/>
        <v>-6.9120762711863959E-3</v>
      </c>
      <c r="J403" s="8">
        <f t="shared" si="26"/>
        <v>-6.9360753231633059E-3</v>
      </c>
      <c r="K403" s="8">
        <f t="shared" si="23"/>
        <v>7.8640244229839951E-2</v>
      </c>
    </row>
    <row r="404" spans="1:11" x14ac:dyDescent="0.25">
      <c r="A404" t="str">
        <f t="shared" si="24"/>
        <v>82018</v>
      </c>
      <c r="B404" s="1">
        <v>43325</v>
      </c>
      <c r="C404" t="s">
        <v>265</v>
      </c>
      <c r="D404">
        <v>27760.799999999999</v>
      </c>
      <c r="E404">
        <v>27911.85</v>
      </c>
      <c r="F404">
        <v>27739.5</v>
      </c>
      <c r="G404">
        <v>27794.400000000001</v>
      </c>
      <c r="H404">
        <v>0</v>
      </c>
      <c r="I404" s="8">
        <f t="shared" si="25"/>
        <v>-1.1728312755006742E-2</v>
      </c>
      <c r="J404" s="8">
        <f t="shared" si="26"/>
        <v>-1.1797631946215057E-2</v>
      </c>
      <c r="K404" s="8">
        <f t="shared" si="23"/>
        <v>7.415480220748516E-2</v>
      </c>
    </row>
    <row r="405" spans="1:11" x14ac:dyDescent="0.25">
      <c r="A405" t="str">
        <f t="shared" si="24"/>
        <v>82018</v>
      </c>
      <c r="B405" s="1">
        <v>43326</v>
      </c>
      <c r="C405" t="s">
        <v>266</v>
      </c>
      <c r="D405">
        <v>27864.400000000001</v>
      </c>
      <c r="E405">
        <v>28053.05</v>
      </c>
      <c r="F405">
        <v>27854.9</v>
      </c>
      <c r="G405">
        <v>28021.7</v>
      </c>
      <c r="H405">
        <v>0</v>
      </c>
      <c r="I405" s="8">
        <f t="shared" si="25"/>
        <v>8.1779063408455865E-3</v>
      </c>
      <c r="J405" s="8">
        <f t="shared" si="26"/>
        <v>8.144648461634655E-3</v>
      </c>
      <c r="K405" s="8">
        <f t="shared" si="23"/>
        <v>8.8187551454712132E-2</v>
      </c>
    </row>
    <row r="406" spans="1:11" x14ac:dyDescent="0.25">
      <c r="A406" t="str">
        <f t="shared" si="24"/>
        <v>82018</v>
      </c>
      <c r="B406" s="1">
        <v>43328</v>
      </c>
      <c r="C406" t="s">
        <v>267</v>
      </c>
      <c r="D406">
        <v>27836.15</v>
      </c>
      <c r="E406">
        <v>28013.1</v>
      </c>
      <c r="F406">
        <v>27779.5</v>
      </c>
      <c r="G406">
        <v>27826.55</v>
      </c>
      <c r="H406">
        <v>0</v>
      </c>
      <c r="I406" s="8">
        <f t="shared" si="25"/>
        <v>-6.9642455668286196E-3</v>
      </c>
      <c r="J406" s="8">
        <f t="shared" si="26"/>
        <v>-6.9886091066611198E-3</v>
      </c>
      <c r="K406" s="8">
        <f t="shared" si="23"/>
        <v>7.9481489814839934E-2</v>
      </c>
    </row>
    <row r="407" spans="1:11" x14ac:dyDescent="0.25">
      <c r="A407" t="str">
        <f t="shared" si="24"/>
        <v>82018</v>
      </c>
      <c r="B407" s="1">
        <v>43329</v>
      </c>
      <c r="C407" t="s">
        <v>268</v>
      </c>
      <c r="D407">
        <v>27991.75</v>
      </c>
      <c r="E407">
        <v>28178.15</v>
      </c>
      <c r="F407">
        <v>27953.8</v>
      </c>
      <c r="G407">
        <v>28128.55</v>
      </c>
      <c r="H407">
        <v>0</v>
      </c>
      <c r="I407" s="8">
        <f t="shared" si="25"/>
        <v>1.0852944400222109E-2</v>
      </c>
      <c r="J407" s="8">
        <f t="shared" si="26"/>
        <v>1.079447387033783E-2</v>
      </c>
      <c r="K407" s="8">
        <f t="shared" si="23"/>
        <v>9.5137424834387474E-2</v>
      </c>
    </row>
    <row r="408" spans="1:11" x14ac:dyDescent="0.25">
      <c r="A408" t="str">
        <f t="shared" si="24"/>
        <v>82018</v>
      </c>
      <c r="B408" s="1">
        <v>43332</v>
      </c>
      <c r="C408" t="s">
        <v>269</v>
      </c>
      <c r="D408">
        <v>28171.65</v>
      </c>
      <c r="E408">
        <v>28322.3</v>
      </c>
      <c r="F408">
        <v>28171.65</v>
      </c>
      <c r="G408">
        <v>28274.25</v>
      </c>
      <c r="H408">
        <v>0</v>
      </c>
      <c r="I408" s="8">
        <f t="shared" si="25"/>
        <v>5.179790639759263E-3</v>
      </c>
      <c r="J408" s="8">
        <f t="shared" si="26"/>
        <v>5.1664216699938668E-3</v>
      </c>
      <c r="K408" s="8">
        <f t="shared" si="23"/>
        <v>8.676893391962115E-2</v>
      </c>
    </row>
    <row r="409" spans="1:11" x14ac:dyDescent="0.25">
      <c r="A409" t="str">
        <f t="shared" si="24"/>
        <v>82018</v>
      </c>
      <c r="B409" s="1">
        <v>43333</v>
      </c>
      <c r="C409" t="s">
        <v>270</v>
      </c>
      <c r="D409">
        <v>28295.85</v>
      </c>
      <c r="E409">
        <v>28305.95</v>
      </c>
      <c r="F409">
        <v>28151.9</v>
      </c>
      <c r="G409">
        <v>28257.9</v>
      </c>
      <c r="H409">
        <v>0</v>
      </c>
      <c r="I409" s="8">
        <f t="shared" si="25"/>
        <v>-5.7826467545551985E-4</v>
      </c>
      <c r="J409" s="8">
        <f t="shared" si="26"/>
        <v>-5.7843193495624179E-4</v>
      </c>
      <c r="K409" s="8">
        <f t="shared" si="23"/>
        <v>7.5526527629498297E-2</v>
      </c>
    </row>
    <row r="410" spans="1:11" x14ac:dyDescent="0.25">
      <c r="A410" t="str">
        <f t="shared" si="24"/>
        <v>82018</v>
      </c>
      <c r="B410" s="1">
        <v>43335</v>
      </c>
      <c r="C410" t="s">
        <v>271</v>
      </c>
      <c r="D410">
        <v>28321.95</v>
      </c>
      <c r="E410">
        <v>28325.45</v>
      </c>
      <c r="F410">
        <v>27965.35</v>
      </c>
      <c r="G410">
        <v>28027.9</v>
      </c>
      <c r="H410">
        <v>0</v>
      </c>
      <c r="I410" s="8">
        <f t="shared" si="25"/>
        <v>-8.1393167928260901E-3</v>
      </c>
      <c r="J410" s="8">
        <f t="shared" si="26"/>
        <v>-8.1726218752776487E-3</v>
      </c>
      <c r="K410" s="8">
        <f t="shared" si="23"/>
        <v>5.3116281691199418E-2</v>
      </c>
    </row>
    <row r="411" spans="1:11" x14ac:dyDescent="0.25">
      <c r="A411" t="str">
        <f t="shared" si="24"/>
        <v>82018</v>
      </c>
      <c r="B411" s="1">
        <v>43336</v>
      </c>
      <c r="C411" t="s">
        <v>272</v>
      </c>
      <c r="D411">
        <v>27954.25</v>
      </c>
      <c r="E411">
        <v>28122.75</v>
      </c>
      <c r="F411">
        <v>27782.799999999999</v>
      </c>
      <c r="G411">
        <v>27834.7</v>
      </c>
      <c r="H411">
        <v>0</v>
      </c>
      <c r="I411" s="8">
        <f t="shared" si="25"/>
        <v>-6.8931314868398985E-3</v>
      </c>
      <c r="J411" s="8">
        <f t="shared" si="26"/>
        <v>-6.9169988615583617E-3</v>
      </c>
      <c r="K411" s="8">
        <f t="shared" si="23"/>
        <v>6.017566311683975E-2</v>
      </c>
    </row>
    <row r="412" spans="1:11" x14ac:dyDescent="0.25">
      <c r="A412" t="str">
        <f t="shared" si="24"/>
        <v>82018</v>
      </c>
      <c r="B412" s="1">
        <v>43339</v>
      </c>
      <c r="C412" t="s">
        <v>273</v>
      </c>
      <c r="D412">
        <v>27971.25</v>
      </c>
      <c r="E412">
        <v>28317.75</v>
      </c>
      <c r="F412">
        <v>27958.2</v>
      </c>
      <c r="G412">
        <v>28264.2</v>
      </c>
      <c r="H412">
        <v>0</v>
      </c>
      <c r="I412" s="8">
        <f t="shared" si="25"/>
        <v>1.5430380065170501E-2</v>
      </c>
      <c r="J412" s="8">
        <f t="shared" si="26"/>
        <v>1.5312542391413261E-2</v>
      </c>
      <c r="K412" s="8">
        <f t="shared" si="23"/>
        <v>7.3549631947978922E-2</v>
      </c>
    </row>
    <row r="413" spans="1:11" x14ac:dyDescent="0.25">
      <c r="A413" t="str">
        <f t="shared" si="24"/>
        <v>82018</v>
      </c>
      <c r="B413" s="1">
        <v>43340</v>
      </c>
      <c r="C413" t="s">
        <v>274</v>
      </c>
      <c r="D413">
        <v>28379.9</v>
      </c>
      <c r="E413">
        <v>28388.65</v>
      </c>
      <c r="F413">
        <v>28152.7</v>
      </c>
      <c r="G413">
        <v>28269.65</v>
      </c>
      <c r="H413">
        <v>0</v>
      </c>
      <c r="I413" s="8">
        <f t="shared" si="25"/>
        <v>1.9282343034654481E-4</v>
      </c>
      <c r="J413" s="8">
        <f t="shared" si="26"/>
        <v>1.9280484229833525E-4</v>
      </c>
      <c r="K413" s="8">
        <f t="shared" si="23"/>
        <v>4.8725339625021347E-2</v>
      </c>
    </row>
    <row r="414" spans="1:11" x14ac:dyDescent="0.25">
      <c r="A414" t="str">
        <f t="shared" si="24"/>
        <v>82018</v>
      </c>
      <c r="B414" s="1">
        <v>43341</v>
      </c>
      <c r="C414" t="s">
        <v>275</v>
      </c>
      <c r="D414">
        <v>28233.4</v>
      </c>
      <c r="E414">
        <v>28344.1</v>
      </c>
      <c r="F414">
        <v>28167.8</v>
      </c>
      <c r="G414">
        <v>28224.1</v>
      </c>
      <c r="H414">
        <v>0</v>
      </c>
      <c r="I414" s="8">
        <f t="shared" si="25"/>
        <v>-1.6112686220028927E-3</v>
      </c>
      <c r="J414" s="8">
        <f t="shared" si="26"/>
        <v>-1.6125681113608929E-3</v>
      </c>
      <c r="K414" s="8">
        <f t="shared" si="23"/>
        <v>5.7367529820775642E-2</v>
      </c>
    </row>
    <row r="415" spans="1:11" x14ac:dyDescent="0.25">
      <c r="A415" t="str">
        <f t="shared" si="24"/>
        <v>82018</v>
      </c>
      <c r="B415" s="1">
        <v>43342</v>
      </c>
      <c r="C415" t="s">
        <v>276</v>
      </c>
      <c r="D415">
        <v>28233.7</v>
      </c>
      <c r="E415">
        <v>28233.7</v>
      </c>
      <c r="F415">
        <v>27961.75</v>
      </c>
      <c r="G415">
        <v>28103.25</v>
      </c>
      <c r="H415">
        <v>0</v>
      </c>
      <c r="I415" s="8">
        <f t="shared" si="25"/>
        <v>-4.2818017226412541E-3</v>
      </c>
      <c r="J415" s="8">
        <f t="shared" si="26"/>
        <v>-4.2909948872276718E-3</v>
      </c>
      <c r="K415" s="8">
        <f t="shared" si="23"/>
        <v>7.029216358723489E-2</v>
      </c>
    </row>
    <row r="416" spans="1:11" x14ac:dyDescent="0.25">
      <c r="A416" t="str">
        <f t="shared" si="24"/>
        <v>82018</v>
      </c>
      <c r="B416" s="1">
        <v>43343</v>
      </c>
      <c r="C416" t="s">
        <v>277</v>
      </c>
      <c r="D416">
        <v>27998</v>
      </c>
      <c r="E416">
        <v>28157.35</v>
      </c>
      <c r="F416">
        <v>27940.95</v>
      </c>
      <c r="G416">
        <v>28061.75</v>
      </c>
      <c r="H416">
        <v>0</v>
      </c>
      <c r="I416" s="8">
        <f t="shared" si="25"/>
        <v>-1.476697534982585E-3</v>
      </c>
      <c r="J416" s="8">
        <f t="shared" si="26"/>
        <v>-1.4777889273574392E-3</v>
      </c>
      <c r="K416" s="8">
        <f t="shared" si="23"/>
        <v>6.8978324635251997E-2</v>
      </c>
    </row>
    <row r="417" spans="1:11" x14ac:dyDescent="0.25">
      <c r="A417" t="str">
        <f t="shared" si="24"/>
        <v>92018</v>
      </c>
      <c r="B417" s="1">
        <v>43346</v>
      </c>
      <c r="C417" s="10">
        <v>43168.645833333336</v>
      </c>
      <c r="D417">
        <v>28199.45</v>
      </c>
      <c r="E417">
        <v>28203.200000000001</v>
      </c>
      <c r="F417">
        <v>27777.4</v>
      </c>
      <c r="G417">
        <v>27819.5</v>
      </c>
      <c r="H417">
        <v>0</v>
      </c>
      <c r="I417" s="8">
        <f t="shared" si="25"/>
        <v>-8.6327474230937229E-3</v>
      </c>
      <c r="J417" s="8">
        <f t="shared" si="26"/>
        <v>-8.6702254351569662E-3</v>
      </c>
      <c r="K417" s="8">
        <f t="shared" si="23"/>
        <v>5.5063790409441982E-2</v>
      </c>
    </row>
    <row r="418" spans="1:11" x14ac:dyDescent="0.25">
      <c r="A418" t="str">
        <f t="shared" si="24"/>
        <v>92018</v>
      </c>
      <c r="B418" s="1">
        <v>43347</v>
      </c>
      <c r="C418" s="10">
        <v>43199.645833333336</v>
      </c>
      <c r="D418">
        <v>27845.55</v>
      </c>
      <c r="E418">
        <v>27875.15</v>
      </c>
      <c r="F418">
        <v>27385.85</v>
      </c>
      <c r="G418">
        <v>27430.75</v>
      </c>
      <c r="H418">
        <v>0</v>
      </c>
      <c r="I418" s="8">
        <f t="shared" si="25"/>
        <v>-1.3974011035424838E-2</v>
      </c>
      <c r="J418" s="8">
        <f t="shared" si="26"/>
        <v>-1.4072566750624429E-2</v>
      </c>
      <c r="K418" s="8">
        <f t="shared" si="23"/>
        <v>3.4427818295635459E-2</v>
      </c>
    </row>
    <row r="419" spans="1:11" x14ac:dyDescent="0.25">
      <c r="A419" t="str">
        <f t="shared" si="24"/>
        <v>92018</v>
      </c>
      <c r="B419" s="1">
        <v>43348</v>
      </c>
      <c r="C419" s="10">
        <v>43229.645833333336</v>
      </c>
      <c r="D419">
        <v>27409.3</v>
      </c>
      <c r="E419">
        <v>27506.3</v>
      </c>
      <c r="F419">
        <v>27136.05</v>
      </c>
      <c r="G419">
        <v>27376.05</v>
      </c>
      <c r="H419">
        <v>0</v>
      </c>
      <c r="I419" s="8">
        <f t="shared" si="25"/>
        <v>-1.9941124467979243E-3</v>
      </c>
      <c r="J419" s="8">
        <f t="shared" si="26"/>
        <v>-1.996103336168298E-3</v>
      </c>
      <c r="K419" s="8">
        <f t="shared" si="23"/>
        <v>3.4958518185272291E-2</v>
      </c>
    </row>
    <row r="420" spans="1:11" x14ac:dyDescent="0.25">
      <c r="A420" t="str">
        <f t="shared" si="24"/>
        <v>92018</v>
      </c>
      <c r="B420" s="1">
        <v>43349</v>
      </c>
      <c r="C420" s="10">
        <v>43260.645833333336</v>
      </c>
      <c r="D420">
        <v>27464.25</v>
      </c>
      <c r="E420">
        <v>27552.799999999999</v>
      </c>
      <c r="F420">
        <v>27246.25</v>
      </c>
      <c r="G420">
        <v>27468.7</v>
      </c>
      <c r="H420">
        <v>0</v>
      </c>
      <c r="I420" s="8">
        <f t="shared" si="25"/>
        <v>3.3843450753487936E-3</v>
      </c>
      <c r="J420" s="8">
        <f t="shared" si="26"/>
        <v>3.3786310680398736E-3</v>
      </c>
      <c r="K420" s="8">
        <f t="shared" si="23"/>
        <v>3.8374811698240974E-2</v>
      </c>
    </row>
    <row r="421" spans="1:11" x14ac:dyDescent="0.25">
      <c r="A421" t="str">
        <f t="shared" si="24"/>
        <v>92018</v>
      </c>
      <c r="B421" s="1">
        <v>43350</v>
      </c>
      <c r="C421" s="10">
        <v>43290.645833333336</v>
      </c>
      <c r="D421">
        <v>27439.25</v>
      </c>
      <c r="E421">
        <v>27512.5</v>
      </c>
      <c r="F421">
        <v>27232.799999999999</v>
      </c>
      <c r="G421">
        <v>27481.45</v>
      </c>
      <c r="H421">
        <v>0</v>
      </c>
      <c r="I421" s="8">
        <f t="shared" si="25"/>
        <v>4.6416466742149609E-4</v>
      </c>
      <c r="J421" s="8">
        <f t="shared" si="26"/>
        <v>4.6405697632523405E-4</v>
      </c>
      <c r="K421" s="8">
        <f t="shared" si="23"/>
        <v>3.286152944138987E-2</v>
      </c>
    </row>
    <row r="422" spans="1:11" x14ac:dyDescent="0.25">
      <c r="A422" t="str">
        <f t="shared" si="24"/>
        <v>92018</v>
      </c>
      <c r="B422" s="1">
        <v>43353</v>
      </c>
      <c r="C422" s="10">
        <v>43382.645833333336</v>
      </c>
      <c r="D422">
        <v>27395.200000000001</v>
      </c>
      <c r="E422">
        <v>27404.85</v>
      </c>
      <c r="F422">
        <v>27142.55</v>
      </c>
      <c r="G422">
        <v>27201.75</v>
      </c>
      <c r="H422">
        <v>0</v>
      </c>
      <c r="I422" s="8">
        <f t="shared" si="25"/>
        <v>-1.0177774462410083E-2</v>
      </c>
      <c r="J422" s="8">
        <f t="shared" si="26"/>
        <v>-1.0229922142204305E-2</v>
      </c>
      <c r="K422" s="8">
        <f t="shared" si="23"/>
        <v>2.0979401564400257E-2</v>
      </c>
    </row>
    <row r="423" spans="1:11" x14ac:dyDescent="0.25">
      <c r="A423" t="str">
        <f t="shared" si="24"/>
        <v>92018</v>
      </c>
      <c r="B423" s="1">
        <v>43354</v>
      </c>
      <c r="C423" s="10">
        <v>43413.645833333336</v>
      </c>
      <c r="D423">
        <v>27295.200000000001</v>
      </c>
      <c r="E423">
        <v>27318.45</v>
      </c>
      <c r="F423">
        <v>26772.25</v>
      </c>
      <c r="G423">
        <v>26807.5</v>
      </c>
      <c r="H423">
        <v>0</v>
      </c>
      <c r="I423" s="8">
        <f t="shared" si="25"/>
        <v>-1.4493552804507037E-2</v>
      </c>
      <c r="J423" s="8">
        <f t="shared" si="26"/>
        <v>-1.4599610355466572E-2</v>
      </c>
      <c r="K423" s="8">
        <f t="shared" si="23"/>
        <v>9.2330280755583694E-3</v>
      </c>
    </row>
    <row r="424" spans="1:11" x14ac:dyDescent="0.25">
      <c r="A424" t="str">
        <f t="shared" si="24"/>
        <v>92018</v>
      </c>
      <c r="B424" s="1">
        <v>43355</v>
      </c>
      <c r="C424" s="10">
        <v>43443.645833333336</v>
      </c>
      <c r="D424">
        <v>26895.15</v>
      </c>
      <c r="E424">
        <v>26895.15</v>
      </c>
      <c r="F424">
        <v>26555.15</v>
      </c>
      <c r="G424">
        <v>26819.200000000001</v>
      </c>
      <c r="H424">
        <v>0</v>
      </c>
      <c r="I424" s="8">
        <f t="shared" si="25"/>
        <v>4.3644502471318347E-4</v>
      </c>
      <c r="J424" s="8">
        <f t="shared" si="26"/>
        <v>4.3634981028628625E-4</v>
      </c>
      <c r="K424" s="8">
        <f t="shared" si="23"/>
        <v>1.5209672412879405E-2</v>
      </c>
    </row>
    <row r="425" spans="1:11" x14ac:dyDescent="0.25">
      <c r="A425" t="str">
        <f t="shared" si="24"/>
        <v>92018</v>
      </c>
      <c r="B425" s="1">
        <v>43357</v>
      </c>
      <c r="C425" t="s">
        <v>278</v>
      </c>
      <c r="D425">
        <v>27059.85</v>
      </c>
      <c r="E425">
        <v>27205.75</v>
      </c>
      <c r="F425">
        <v>26989.8</v>
      </c>
      <c r="G425">
        <v>27163.85</v>
      </c>
      <c r="H425">
        <v>0</v>
      </c>
      <c r="I425" s="8">
        <f t="shared" si="25"/>
        <v>1.2850868034840701E-2</v>
      </c>
      <c r="J425" s="8">
        <f t="shared" si="26"/>
        <v>1.2768996299417718E-2</v>
      </c>
      <c r="K425" s="8">
        <f t="shared" si="23"/>
        <v>2.8571374477930123E-2</v>
      </c>
    </row>
    <row r="426" spans="1:11" x14ac:dyDescent="0.25">
      <c r="A426" t="str">
        <f t="shared" si="24"/>
        <v>92018</v>
      </c>
      <c r="B426" s="1">
        <v>43360</v>
      </c>
      <c r="C426" t="s">
        <v>279</v>
      </c>
      <c r="D426">
        <v>27002.6</v>
      </c>
      <c r="E426">
        <v>27002.6</v>
      </c>
      <c r="F426">
        <v>26743.4</v>
      </c>
      <c r="G426">
        <v>26820.3</v>
      </c>
      <c r="H426">
        <v>0</v>
      </c>
      <c r="I426" s="8">
        <f t="shared" si="25"/>
        <v>-1.2647323556859602E-2</v>
      </c>
      <c r="J426" s="8">
        <f t="shared" si="26"/>
        <v>-1.2727981748567943E-2</v>
      </c>
      <c r="K426" s="8">
        <f t="shared" si="23"/>
        <v>2.1113046457839513E-2</v>
      </c>
    </row>
    <row r="427" spans="1:11" x14ac:dyDescent="0.25">
      <c r="A427" t="str">
        <f t="shared" si="24"/>
        <v>92018</v>
      </c>
      <c r="B427" s="1">
        <v>43361</v>
      </c>
      <c r="C427" t="s">
        <v>280</v>
      </c>
      <c r="D427">
        <v>26757</v>
      </c>
      <c r="E427">
        <v>26901.05</v>
      </c>
      <c r="F427">
        <v>26407.45</v>
      </c>
      <c r="G427">
        <v>26441.45</v>
      </c>
      <c r="H427">
        <v>0</v>
      </c>
      <c r="I427" s="8">
        <f t="shared" si="25"/>
        <v>-1.4125494494841573E-2</v>
      </c>
      <c r="J427" s="8">
        <f t="shared" si="26"/>
        <v>-1.4226208843762057E-2</v>
      </c>
      <c r="K427" s="8">
        <f t="shared" si="23"/>
        <v>-4.3772615851522811E-3</v>
      </c>
    </row>
    <row r="428" spans="1:11" x14ac:dyDescent="0.25">
      <c r="A428" t="str">
        <f t="shared" si="24"/>
        <v>92018</v>
      </c>
      <c r="B428" s="1">
        <v>43362</v>
      </c>
      <c r="C428" t="s">
        <v>281</v>
      </c>
      <c r="D428">
        <v>26532</v>
      </c>
      <c r="E428">
        <v>26611.599999999999</v>
      </c>
      <c r="F428">
        <v>26235.7</v>
      </c>
      <c r="G428">
        <v>26277.35</v>
      </c>
      <c r="H428">
        <v>0</v>
      </c>
      <c r="I428" s="8">
        <f t="shared" si="25"/>
        <v>-6.2061649417866072E-3</v>
      </c>
      <c r="J428" s="8">
        <f t="shared" si="26"/>
        <v>-6.2255032360425235E-3</v>
      </c>
      <c r="K428" s="8">
        <f t="shared" si="23"/>
        <v>-8.2877463255205397E-3</v>
      </c>
    </row>
    <row r="429" spans="1:11" x14ac:dyDescent="0.25">
      <c r="A429" t="str">
        <f t="shared" si="24"/>
        <v>92018</v>
      </c>
      <c r="B429" s="1">
        <v>43364</v>
      </c>
      <c r="C429" t="s">
        <v>282</v>
      </c>
      <c r="D429">
        <v>26331.05</v>
      </c>
      <c r="E429">
        <v>26490.400000000001</v>
      </c>
      <c r="F429">
        <v>25053.35</v>
      </c>
      <c r="G429">
        <v>25596.9</v>
      </c>
      <c r="H429">
        <v>0</v>
      </c>
      <c r="I429" s="8">
        <f t="shared" si="25"/>
        <v>-2.5894924716533319E-2</v>
      </c>
      <c r="J429" s="8">
        <f t="shared" si="26"/>
        <v>-2.6236100990418516E-2</v>
      </c>
      <c r="K429" s="8">
        <f t="shared" si="23"/>
        <v>-4.3708916065954617E-2</v>
      </c>
    </row>
    <row r="430" spans="1:11" x14ac:dyDescent="0.25">
      <c r="A430" t="str">
        <f t="shared" si="24"/>
        <v>92018</v>
      </c>
      <c r="B430" s="1">
        <v>43367</v>
      </c>
      <c r="C430" t="s">
        <v>283</v>
      </c>
      <c r="D430">
        <v>25645.05</v>
      </c>
      <c r="E430">
        <v>25649.7</v>
      </c>
      <c r="F430">
        <v>24904.5</v>
      </c>
      <c r="G430">
        <v>24970.35</v>
      </c>
      <c r="H430">
        <v>0</v>
      </c>
      <c r="I430" s="8">
        <f t="shared" si="25"/>
        <v>-2.4477573456160862E-2</v>
      </c>
      <c r="J430" s="8">
        <f t="shared" si="26"/>
        <v>-2.4782129389445493E-2</v>
      </c>
      <c r="K430" s="8">
        <f t="shared" si="23"/>
        <v>-6.1607233452462884E-2</v>
      </c>
    </row>
    <row r="431" spans="1:11" x14ac:dyDescent="0.25">
      <c r="A431" t="str">
        <f t="shared" si="24"/>
        <v>92018</v>
      </c>
      <c r="B431" s="1">
        <v>43368</v>
      </c>
      <c r="C431" t="s">
        <v>284</v>
      </c>
      <c r="D431">
        <v>24947.7</v>
      </c>
      <c r="E431">
        <v>25406.95</v>
      </c>
      <c r="F431">
        <v>24678.25</v>
      </c>
      <c r="G431">
        <v>25330.35</v>
      </c>
      <c r="H431">
        <v>0</v>
      </c>
      <c r="I431" s="8">
        <f t="shared" si="25"/>
        <v>1.4417098679033291E-2</v>
      </c>
      <c r="J431" s="8">
        <f t="shared" si="26"/>
        <v>1.431416051207013E-2</v>
      </c>
      <c r="K431" s="8">
        <f t="shared" si="23"/>
        <v>-4.7792058402282622E-2</v>
      </c>
    </row>
    <row r="432" spans="1:11" x14ac:dyDescent="0.25">
      <c r="A432" t="str">
        <f t="shared" si="24"/>
        <v>92018</v>
      </c>
      <c r="B432" s="1">
        <v>43369</v>
      </c>
      <c r="C432" t="s">
        <v>285</v>
      </c>
      <c r="D432">
        <v>25525.1</v>
      </c>
      <c r="E432">
        <v>25525.1</v>
      </c>
      <c r="F432">
        <v>25197.35</v>
      </c>
      <c r="G432">
        <v>25376.3</v>
      </c>
      <c r="H432">
        <v>0</v>
      </c>
      <c r="I432" s="8">
        <f t="shared" si="25"/>
        <v>1.8140294153061731E-3</v>
      </c>
      <c r="J432" s="8">
        <f t="shared" si="26"/>
        <v>1.8123860510536269E-3</v>
      </c>
      <c r="K432" s="8">
        <f t="shared" si="23"/>
        <v>-3.9627754187576247E-2</v>
      </c>
    </row>
    <row r="433" spans="1:11" x14ac:dyDescent="0.25">
      <c r="A433" t="str">
        <f t="shared" si="24"/>
        <v>92018</v>
      </c>
      <c r="B433" s="1">
        <v>43370</v>
      </c>
      <c r="C433" t="s">
        <v>286</v>
      </c>
      <c r="D433">
        <v>25442.1</v>
      </c>
      <c r="E433">
        <v>25452.5</v>
      </c>
      <c r="F433">
        <v>25007.05</v>
      </c>
      <c r="G433">
        <v>25042.15</v>
      </c>
      <c r="H433">
        <v>0</v>
      </c>
      <c r="I433" s="8">
        <f t="shared" si="25"/>
        <v>-1.3167798299988487E-2</v>
      </c>
      <c r="J433" s="8">
        <f t="shared" si="26"/>
        <v>-1.3255262411032715E-2</v>
      </c>
      <c r="K433" s="8">
        <f t="shared" si="23"/>
        <v>-4.8716789618835521E-2</v>
      </c>
    </row>
    <row r="434" spans="1:11" x14ac:dyDescent="0.25">
      <c r="A434" t="str">
        <f t="shared" si="24"/>
        <v>92018</v>
      </c>
      <c r="B434" s="1">
        <v>43371</v>
      </c>
      <c r="C434" t="s">
        <v>287</v>
      </c>
      <c r="D434">
        <v>25135.8</v>
      </c>
      <c r="E434">
        <v>25354.7</v>
      </c>
      <c r="F434">
        <v>24919.25</v>
      </c>
      <c r="G434">
        <v>25119.85</v>
      </c>
      <c r="H434">
        <v>0</v>
      </c>
      <c r="I434" s="8">
        <f t="shared" si="25"/>
        <v>3.1027687319178376E-3</v>
      </c>
      <c r="J434" s="8">
        <f t="shared" si="26"/>
        <v>3.0979650788673196E-3</v>
      </c>
      <c r="K434" s="8">
        <f t="shared" si="23"/>
        <v>-4.7198473687803943E-2</v>
      </c>
    </row>
    <row r="435" spans="1:11" x14ac:dyDescent="0.25">
      <c r="A435" t="str">
        <f t="shared" si="24"/>
        <v>102018</v>
      </c>
      <c r="B435" s="1">
        <v>43374</v>
      </c>
      <c r="C435" s="10">
        <v>43110.645833333336</v>
      </c>
      <c r="D435">
        <v>24943.9</v>
      </c>
      <c r="E435">
        <v>25412.15</v>
      </c>
      <c r="F435">
        <v>24707.65</v>
      </c>
      <c r="G435">
        <v>25367</v>
      </c>
      <c r="H435">
        <v>0</v>
      </c>
      <c r="I435" s="8">
        <f t="shared" si="25"/>
        <v>9.8388326363414436E-3</v>
      </c>
      <c r="J435" s="8">
        <f t="shared" si="26"/>
        <v>9.7907464730715415E-3</v>
      </c>
      <c r="K435" s="8">
        <f t="shared" si="23"/>
        <v>-3.2912318959371412E-2</v>
      </c>
    </row>
    <row r="436" spans="1:11" x14ac:dyDescent="0.25">
      <c r="A436" t="str">
        <f t="shared" si="24"/>
        <v>102018</v>
      </c>
      <c r="B436" s="1">
        <v>43376</v>
      </c>
      <c r="C436" s="10">
        <v>43169.645833333336</v>
      </c>
      <c r="D436">
        <v>25290.55</v>
      </c>
      <c r="E436">
        <v>25470.05</v>
      </c>
      <c r="F436">
        <v>25026.35</v>
      </c>
      <c r="G436">
        <v>25069.9</v>
      </c>
      <c r="H436">
        <v>0</v>
      </c>
      <c r="I436" s="8">
        <f t="shared" si="25"/>
        <v>-1.171206685851689E-2</v>
      </c>
      <c r="J436" s="8">
        <f t="shared" si="26"/>
        <v>-1.178119338668702E-2</v>
      </c>
      <c r="K436" s="8">
        <f t="shared" si="23"/>
        <v>-4.3283302994569395E-2</v>
      </c>
    </row>
    <row r="437" spans="1:11" x14ac:dyDescent="0.25">
      <c r="A437" t="str">
        <f t="shared" si="24"/>
        <v>102018</v>
      </c>
      <c r="B437" s="1">
        <v>43377</v>
      </c>
      <c r="C437" s="10">
        <v>43200.645833333336</v>
      </c>
      <c r="D437">
        <v>24735.15</v>
      </c>
      <c r="E437">
        <v>24893.4</v>
      </c>
      <c r="F437">
        <v>24501.05</v>
      </c>
      <c r="G437">
        <v>24819.3</v>
      </c>
      <c r="H437">
        <v>0</v>
      </c>
      <c r="I437" s="8">
        <f t="shared" si="25"/>
        <v>-9.996051041288645E-3</v>
      </c>
      <c r="J437" s="8">
        <f t="shared" si="26"/>
        <v>-1.0046347014273684E-2</v>
      </c>
      <c r="K437" s="8">
        <f t="shared" si="23"/>
        <v>-6.1082433764155564E-2</v>
      </c>
    </row>
    <row r="438" spans="1:11" x14ac:dyDescent="0.25">
      <c r="A438" t="str">
        <f t="shared" si="24"/>
        <v>102018</v>
      </c>
      <c r="B438" s="1">
        <v>43378</v>
      </c>
      <c r="C438" s="10">
        <v>43230.645833333336</v>
      </c>
      <c r="D438">
        <v>24741.65</v>
      </c>
      <c r="E438">
        <v>25080.2</v>
      </c>
      <c r="F438">
        <v>24250.65</v>
      </c>
      <c r="G438">
        <v>24443.45</v>
      </c>
      <c r="H438">
        <v>0</v>
      </c>
      <c r="I438" s="8">
        <f t="shared" si="25"/>
        <v>-1.5143456906520303E-2</v>
      </c>
      <c r="J438" s="8">
        <f t="shared" si="26"/>
        <v>-1.5259289946267829E-2</v>
      </c>
      <c r="K438" s="8">
        <f t="shared" si="23"/>
        <v>-7.7720510276078736E-2</v>
      </c>
    </row>
    <row r="439" spans="1:11" x14ac:dyDescent="0.25">
      <c r="A439" t="str">
        <f t="shared" si="24"/>
        <v>102018</v>
      </c>
      <c r="B439" s="1">
        <v>43381</v>
      </c>
      <c r="C439" s="10">
        <v>43322.645833333336</v>
      </c>
      <c r="D439">
        <v>24470.75</v>
      </c>
      <c r="E439">
        <v>24745.35</v>
      </c>
      <c r="F439">
        <v>24240.05</v>
      </c>
      <c r="G439">
        <v>24618.35</v>
      </c>
      <c r="H439">
        <v>0</v>
      </c>
      <c r="I439" s="8">
        <f t="shared" si="25"/>
        <v>7.1552910902510369E-3</v>
      </c>
      <c r="J439" s="8">
        <f t="shared" si="26"/>
        <v>7.1298134560254939E-3</v>
      </c>
      <c r="K439" s="8">
        <f t="shared" si="23"/>
        <v>-7.0790013531442209E-2</v>
      </c>
    </row>
    <row r="440" spans="1:11" x14ac:dyDescent="0.25">
      <c r="A440" t="str">
        <f t="shared" si="24"/>
        <v>102018</v>
      </c>
      <c r="B440" s="1">
        <v>43382</v>
      </c>
      <c r="C440" s="10">
        <v>43353.645833333336</v>
      </c>
      <c r="D440">
        <v>24703.65</v>
      </c>
      <c r="E440">
        <v>24759.9</v>
      </c>
      <c r="F440">
        <v>24464.9</v>
      </c>
      <c r="G440">
        <v>24527.65</v>
      </c>
      <c r="H440">
        <v>0</v>
      </c>
      <c r="I440" s="8">
        <f t="shared" si="25"/>
        <v>-3.6842436637709586E-3</v>
      </c>
      <c r="J440" s="8">
        <f t="shared" si="26"/>
        <v>-3.691047205201514E-3</v>
      </c>
      <c r="K440" s="8">
        <f t="shared" si="23"/>
        <v>-8.3191606269133023E-2</v>
      </c>
    </row>
    <row r="441" spans="1:11" x14ac:dyDescent="0.25">
      <c r="A441" t="str">
        <f t="shared" si="24"/>
        <v>102018</v>
      </c>
      <c r="B441" s="1">
        <v>43383</v>
      </c>
      <c r="C441" s="10">
        <v>43383.645833333336</v>
      </c>
      <c r="D441">
        <v>24596.6</v>
      </c>
      <c r="E441">
        <v>25371.15</v>
      </c>
      <c r="F441">
        <v>24559.9</v>
      </c>
      <c r="G441">
        <v>25321.7</v>
      </c>
      <c r="H441">
        <v>0</v>
      </c>
      <c r="I441" s="8">
        <f t="shared" si="25"/>
        <v>3.2373668084794138E-2</v>
      </c>
      <c r="J441" s="8">
        <f t="shared" si="26"/>
        <v>3.1860683001205536E-2</v>
      </c>
      <c r="K441" s="8">
        <f t="shared" si="23"/>
        <v>-5.8482108828740387E-2</v>
      </c>
    </row>
    <row r="442" spans="1:11" x14ac:dyDescent="0.25">
      <c r="A442" t="str">
        <f t="shared" si="24"/>
        <v>102018</v>
      </c>
      <c r="B442" s="1">
        <v>43384</v>
      </c>
      <c r="C442" s="10">
        <v>43414.645833333336</v>
      </c>
      <c r="D442">
        <v>24541.75</v>
      </c>
      <c r="E442">
        <v>24940.1</v>
      </c>
      <c r="F442">
        <v>24493.7</v>
      </c>
      <c r="G442">
        <v>24783.95</v>
      </c>
      <c r="H442">
        <v>0</v>
      </c>
      <c r="I442" s="8">
        <f t="shared" si="25"/>
        <v>-2.1236725812248003E-2</v>
      </c>
      <c r="J442" s="8">
        <f t="shared" si="26"/>
        <v>-2.1465469380584766E-2</v>
      </c>
      <c r="K442" s="8">
        <f t="shared" si="23"/>
        <v>-7.5784413899060987E-2</v>
      </c>
    </row>
    <row r="443" spans="1:11" x14ac:dyDescent="0.25">
      <c r="A443" t="str">
        <f t="shared" si="24"/>
        <v>102018</v>
      </c>
      <c r="B443" s="1">
        <v>43385</v>
      </c>
      <c r="C443" s="10">
        <v>43444.645833333336</v>
      </c>
      <c r="D443">
        <v>25001.95</v>
      </c>
      <c r="E443">
        <v>25484.2</v>
      </c>
      <c r="F443">
        <v>24975.45</v>
      </c>
      <c r="G443">
        <v>25395.85</v>
      </c>
      <c r="H443">
        <v>0</v>
      </c>
      <c r="I443" s="8">
        <f t="shared" si="25"/>
        <v>2.4689365496621818E-2</v>
      </c>
      <c r="J443" s="8">
        <f t="shared" si="26"/>
        <v>2.4389508606923613E-2</v>
      </c>
      <c r="K443" s="8">
        <f t="shared" si="23"/>
        <v>-6.0336964947431349E-2</v>
      </c>
    </row>
    <row r="444" spans="1:11" x14ac:dyDescent="0.25">
      <c r="A444" t="str">
        <f t="shared" si="24"/>
        <v>102018</v>
      </c>
      <c r="B444" s="1">
        <v>43388</v>
      </c>
      <c r="C444" t="s">
        <v>288</v>
      </c>
      <c r="D444">
        <v>25444</v>
      </c>
      <c r="E444">
        <v>25466.2</v>
      </c>
      <c r="F444">
        <v>25147.8</v>
      </c>
      <c r="G444">
        <v>25388.05</v>
      </c>
      <c r="H444">
        <v>0</v>
      </c>
      <c r="I444" s="8">
        <f t="shared" si="25"/>
        <v>-3.0713679597249577E-4</v>
      </c>
      <c r="J444" s="8">
        <f t="shared" si="26"/>
        <v>-3.0718397213815409E-4</v>
      </c>
      <c r="K444" s="8">
        <f t="shared" si="23"/>
        <v>-5.7465951637124424E-2</v>
      </c>
    </row>
    <row r="445" spans="1:11" x14ac:dyDescent="0.25">
      <c r="A445" t="str">
        <f t="shared" si="24"/>
        <v>102018</v>
      </c>
      <c r="B445" s="1">
        <v>43389</v>
      </c>
      <c r="C445" t="s">
        <v>289</v>
      </c>
      <c r="D445">
        <v>25414.2</v>
      </c>
      <c r="E445">
        <v>25707.05</v>
      </c>
      <c r="F445">
        <v>25351.8</v>
      </c>
      <c r="G445">
        <v>25589.65</v>
      </c>
      <c r="H445">
        <v>0</v>
      </c>
      <c r="I445" s="8">
        <f t="shared" si="25"/>
        <v>7.9407437751226606E-3</v>
      </c>
      <c r="J445" s="8">
        <f t="shared" si="26"/>
        <v>7.9093819838376243E-3</v>
      </c>
      <c r="K445" s="8">
        <f t="shared" si="23"/>
        <v>-4.0860501203157318E-2</v>
      </c>
    </row>
    <row r="446" spans="1:11" x14ac:dyDescent="0.25">
      <c r="A446" t="str">
        <f t="shared" si="24"/>
        <v>102018</v>
      </c>
      <c r="B446" s="1">
        <v>43390</v>
      </c>
      <c r="C446" t="s">
        <v>290</v>
      </c>
      <c r="D446">
        <v>25839.1</v>
      </c>
      <c r="E446">
        <v>25915.35</v>
      </c>
      <c r="F446">
        <v>25101.95</v>
      </c>
      <c r="G446">
        <v>25188.6</v>
      </c>
      <c r="H446">
        <v>0</v>
      </c>
      <c r="I446" s="8">
        <f t="shared" si="25"/>
        <v>-1.5672351907900395E-2</v>
      </c>
      <c r="J446" s="8">
        <f t="shared" si="26"/>
        <v>-1.5796461650636969E-2</v>
      </c>
      <c r="K446" s="8">
        <f t="shared" si="23"/>
        <v>-6.7368678285403272E-2</v>
      </c>
    </row>
    <row r="447" spans="1:11" x14ac:dyDescent="0.25">
      <c r="A447" t="str">
        <f t="shared" si="24"/>
        <v>102018</v>
      </c>
      <c r="B447" s="1">
        <v>43392</v>
      </c>
      <c r="C447" t="s">
        <v>291</v>
      </c>
      <c r="D447">
        <v>24966.5</v>
      </c>
      <c r="E447">
        <v>25277.9</v>
      </c>
      <c r="F447">
        <v>24922.65</v>
      </c>
      <c r="G447">
        <v>25085.8</v>
      </c>
      <c r="H447">
        <v>0</v>
      </c>
      <c r="I447" s="8">
        <f t="shared" si="25"/>
        <v>-4.0812113416386353E-3</v>
      </c>
      <c r="J447" s="8">
        <f t="shared" si="26"/>
        <v>-4.0895622135058507E-3</v>
      </c>
      <c r="K447" s="8">
        <f t="shared" si="23"/>
        <v>-6.6779758118217791E-2</v>
      </c>
    </row>
    <row r="448" spans="1:11" x14ac:dyDescent="0.25">
      <c r="A448" t="str">
        <f t="shared" si="24"/>
        <v>102018</v>
      </c>
      <c r="B448" s="1">
        <v>43395</v>
      </c>
      <c r="C448" t="s">
        <v>292</v>
      </c>
      <c r="D448">
        <v>25484.25</v>
      </c>
      <c r="E448">
        <v>25504.75</v>
      </c>
      <c r="F448">
        <v>25021.35</v>
      </c>
      <c r="G448">
        <v>25078.6</v>
      </c>
      <c r="H448">
        <v>0</v>
      </c>
      <c r="I448" s="8">
        <f t="shared" si="25"/>
        <v>-2.8701496464134113E-4</v>
      </c>
      <c r="J448" s="8">
        <f t="shared" si="26"/>
        <v>-2.8705616131920241E-4</v>
      </c>
      <c r="K448" s="8">
        <f t="shared" ref="K448:K511" si="27">+G448/G387-1</f>
        <v>-6.3869815395124707E-2</v>
      </c>
    </row>
    <row r="449" spans="1:11" x14ac:dyDescent="0.25">
      <c r="A449" t="str">
        <f t="shared" si="24"/>
        <v>102018</v>
      </c>
      <c r="B449" s="1">
        <v>43396</v>
      </c>
      <c r="C449" t="s">
        <v>293</v>
      </c>
      <c r="D449">
        <v>24786.9</v>
      </c>
      <c r="E449">
        <v>25124.6</v>
      </c>
      <c r="F449">
        <v>24784.9</v>
      </c>
      <c r="G449">
        <v>24972.45</v>
      </c>
      <c r="H449">
        <v>0</v>
      </c>
      <c r="I449" s="8">
        <f t="shared" si="25"/>
        <v>-4.2326924150469791E-3</v>
      </c>
      <c r="J449" s="8">
        <f t="shared" si="26"/>
        <v>-4.2416756152975806E-3</v>
      </c>
      <c r="K449" s="8">
        <f t="shared" si="27"/>
        <v>-7.0730318681809345E-2</v>
      </c>
    </row>
    <row r="450" spans="1:11" x14ac:dyDescent="0.25">
      <c r="A450" t="str">
        <f t="shared" si="24"/>
        <v>102018</v>
      </c>
      <c r="B450" s="1">
        <v>43397</v>
      </c>
      <c r="C450" t="s">
        <v>294</v>
      </c>
      <c r="D450">
        <v>25312.7</v>
      </c>
      <c r="E450">
        <v>25356.9</v>
      </c>
      <c r="F450">
        <v>24839.65</v>
      </c>
      <c r="G450">
        <v>25064.2</v>
      </c>
      <c r="H450">
        <v>0</v>
      </c>
      <c r="I450" s="8">
        <f t="shared" si="25"/>
        <v>3.6740488017794615E-3</v>
      </c>
      <c r="J450" s="8">
        <f t="shared" si="26"/>
        <v>3.6673159706081555E-3</v>
      </c>
      <c r="K450" s="8">
        <f t="shared" si="27"/>
        <v>-7.1976421931898349E-2</v>
      </c>
    </row>
    <row r="451" spans="1:11" x14ac:dyDescent="0.25">
      <c r="A451" t="str">
        <f t="shared" ref="A451:A514" si="28">+MONTH(B451)&amp;YEAR(B451)</f>
        <v>102018</v>
      </c>
      <c r="B451" s="1">
        <v>43398</v>
      </c>
      <c r="C451" t="s">
        <v>295</v>
      </c>
      <c r="D451">
        <v>24841.5</v>
      </c>
      <c r="E451">
        <v>24977.35</v>
      </c>
      <c r="F451">
        <v>24696.85</v>
      </c>
      <c r="G451">
        <v>24817.45</v>
      </c>
      <c r="H451">
        <v>0</v>
      </c>
      <c r="I451" s="8">
        <f t="shared" si="25"/>
        <v>-9.8447187622185961E-3</v>
      </c>
      <c r="J451" s="8">
        <f t="shared" si="26"/>
        <v>-9.8934984180023035E-3</v>
      </c>
      <c r="K451" s="8">
        <f t="shared" si="27"/>
        <v>-7.9962853668663625E-2</v>
      </c>
    </row>
    <row r="452" spans="1:11" x14ac:dyDescent="0.25">
      <c r="A452" t="str">
        <f t="shared" si="28"/>
        <v>102018</v>
      </c>
      <c r="B452" s="1">
        <v>43399</v>
      </c>
      <c r="C452" t="s">
        <v>296</v>
      </c>
      <c r="D452">
        <v>24771.85</v>
      </c>
      <c r="E452">
        <v>24771.95</v>
      </c>
      <c r="F452">
        <v>24353.1</v>
      </c>
      <c r="G452">
        <v>24421.05</v>
      </c>
      <c r="H452">
        <v>0</v>
      </c>
      <c r="I452" s="8">
        <f t="shared" ref="I452:I515" si="29">+G452/G451-1</f>
        <v>-1.597263216003264E-2</v>
      </c>
      <c r="J452" s="8">
        <f t="shared" ref="J452:J515" si="30">+LN(1+I452)</f>
        <v>-1.6101569471158362E-2</v>
      </c>
      <c r="K452" s="8">
        <f t="shared" si="27"/>
        <v>-9.6563983234250639E-2</v>
      </c>
    </row>
    <row r="453" spans="1:11" x14ac:dyDescent="0.25">
      <c r="A453" t="str">
        <f t="shared" si="28"/>
        <v>102018</v>
      </c>
      <c r="B453" s="1">
        <v>43402</v>
      </c>
      <c r="C453" t="s">
        <v>297</v>
      </c>
      <c r="D453">
        <v>24647.95</v>
      </c>
      <c r="E453">
        <v>25023.75</v>
      </c>
      <c r="F453">
        <v>24404.55</v>
      </c>
      <c r="G453">
        <v>24959.7</v>
      </c>
      <c r="H453">
        <v>0</v>
      </c>
      <c r="I453" s="8">
        <f t="shared" si="29"/>
        <v>2.2056791169912993E-2</v>
      </c>
      <c r="J453" s="8">
        <f t="shared" si="30"/>
        <v>2.1817058897037989E-2</v>
      </c>
      <c r="K453" s="8">
        <f t="shared" si="27"/>
        <v>-8.9274767937416066E-2</v>
      </c>
    </row>
    <row r="454" spans="1:11" x14ac:dyDescent="0.25">
      <c r="A454" t="str">
        <f t="shared" si="28"/>
        <v>102018</v>
      </c>
      <c r="B454" s="1">
        <v>43403</v>
      </c>
      <c r="C454" t="s">
        <v>298</v>
      </c>
      <c r="D454">
        <v>24924.75</v>
      </c>
      <c r="E454">
        <v>25121.5</v>
      </c>
      <c r="F454">
        <v>24686.85</v>
      </c>
      <c r="G454">
        <v>24807.75</v>
      </c>
      <c r="H454">
        <v>0</v>
      </c>
      <c r="I454" s="8">
        <f t="shared" si="29"/>
        <v>-6.0878135554514046E-3</v>
      </c>
      <c r="J454" s="8">
        <f t="shared" si="30"/>
        <v>-6.1064198452445368E-3</v>
      </c>
      <c r="K454" s="8">
        <f t="shared" si="27"/>
        <v>-0.10228736647077563</v>
      </c>
    </row>
    <row r="455" spans="1:11" x14ac:dyDescent="0.25">
      <c r="A455" t="str">
        <f t="shared" si="28"/>
        <v>102018</v>
      </c>
      <c r="B455" s="1">
        <v>43404</v>
      </c>
      <c r="C455" t="s">
        <v>299</v>
      </c>
      <c r="D455">
        <v>24823.8</v>
      </c>
      <c r="E455">
        <v>25201.3</v>
      </c>
      <c r="F455">
        <v>24528.35</v>
      </c>
      <c r="G455">
        <v>25153.25</v>
      </c>
      <c r="H455">
        <v>0</v>
      </c>
      <c r="I455" s="8">
        <f t="shared" si="29"/>
        <v>1.3927099394342557E-2</v>
      </c>
      <c r="J455" s="8">
        <f t="shared" si="30"/>
        <v>1.3831008496068003E-2</v>
      </c>
      <c r="K455" s="8">
        <f t="shared" si="27"/>
        <v>-9.659119478784306E-2</v>
      </c>
    </row>
    <row r="456" spans="1:11" x14ac:dyDescent="0.25">
      <c r="A456" t="str">
        <f t="shared" si="28"/>
        <v>112018</v>
      </c>
      <c r="B456" s="1">
        <v>43405</v>
      </c>
      <c r="C456" s="10">
        <v>43111.645833333336</v>
      </c>
      <c r="D456">
        <v>25285.200000000001</v>
      </c>
      <c r="E456">
        <v>25401.599999999999</v>
      </c>
      <c r="F456">
        <v>25129.45</v>
      </c>
      <c r="G456">
        <v>25323.65</v>
      </c>
      <c r="H456">
        <v>0</v>
      </c>
      <c r="I456" s="8">
        <f t="shared" si="29"/>
        <v>6.7744724836751313E-3</v>
      </c>
      <c r="J456" s="8">
        <f t="shared" si="30"/>
        <v>6.7516288559439693E-3</v>
      </c>
      <c r="K456" s="8">
        <f t="shared" si="27"/>
        <v>-8.7901124291577482E-2</v>
      </c>
    </row>
    <row r="457" spans="1:11" x14ac:dyDescent="0.25">
      <c r="A457" t="str">
        <f t="shared" si="28"/>
        <v>112018</v>
      </c>
      <c r="B457" s="1">
        <v>43406</v>
      </c>
      <c r="C457" s="10">
        <v>43142.645833333336</v>
      </c>
      <c r="D457">
        <v>25545.35</v>
      </c>
      <c r="E457">
        <v>25856.25</v>
      </c>
      <c r="F457">
        <v>25499.15</v>
      </c>
      <c r="G457">
        <v>25701.65</v>
      </c>
      <c r="H457">
        <v>0</v>
      </c>
      <c r="I457" s="8">
        <f t="shared" si="29"/>
        <v>1.4926758188491762E-2</v>
      </c>
      <c r="J457" s="8">
        <f t="shared" si="30"/>
        <v>1.4816450469929281E-2</v>
      </c>
      <c r="K457" s="8">
        <f t="shared" si="27"/>
        <v>-6.8666067559047028E-2</v>
      </c>
    </row>
    <row r="458" spans="1:11" x14ac:dyDescent="0.25">
      <c r="A458" t="str">
        <f t="shared" si="28"/>
        <v>112018</v>
      </c>
      <c r="B458" s="1">
        <v>43409</v>
      </c>
      <c r="C458" s="10">
        <v>43231.791666666664</v>
      </c>
      <c r="D458">
        <v>25731.55</v>
      </c>
      <c r="E458">
        <v>25788.2</v>
      </c>
      <c r="F458">
        <v>25534.400000000001</v>
      </c>
      <c r="G458">
        <v>25732.2</v>
      </c>
      <c r="H458">
        <v>0</v>
      </c>
      <c r="I458" s="8">
        <f t="shared" si="29"/>
        <v>1.1886396398674837E-3</v>
      </c>
      <c r="J458" s="8">
        <f t="shared" si="30"/>
        <v>1.1879337670676414E-3</v>
      </c>
      <c r="K458" s="8">
        <f t="shared" si="27"/>
        <v>-5.9356374024663761E-2</v>
      </c>
    </row>
    <row r="459" spans="1:11" x14ac:dyDescent="0.25">
      <c r="A459" t="str">
        <f t="shared" si="28"/>
        <v>112018</v>
      </c>
      <c r="B459" s="1">
        <v>43410</v>
      </c>
      <c r="C459" s="10">
        <v>43262.645833333336</v>
      </c>
      <c r="D459">
        <v>25747.4</v>
      </c>
      <c r="E459">
        <v>25860.75</v>
      </c>
      <c r="F459">
        <v>25558.35</v>
      </c>
      <c r="G459">
        <v>25598</v>
      </c>
      <c r="H459">
        <v>0</v>
      </c>
      <c r="I459" s="8">
        <f t="shared" si="29"/>
        <v>-5.2152555941583634E-3</v>
      </c>
      <c r="J459" s="8">
        <f t="shared" si="30"/>
        <v>-5.2289025083904718E-3</v>
      </c>
      <c r="K459" s="8">
        <f t="shared" si="27"/>
        <v>-7.5734325070859865E-2</v>
      </c>
    </row>
    <row r="460" spans="1:11" x14ac:dyDescent="0.25">
      <c r="A460" t="str">
        <f t="shared" si="28"/>
        <v>112018</v>
      </c>
      <c r="B460" s="1">
        <v>43413</v>
      </c>
      <c r="C460" s="10">
        <v>43354.645833333336</v>
      </c>
      <c r="D460">
        <v>25742.55</v>
      </c>
      <c r="E460">
        <v>25822.75</v>
      </c>
      <c r="F460">
        <v>25598.75</v>
      </c>
      <c r="G460">
        <v>25771</v>
      </c>
      <c r="H460">
        <v>0</v>
      </c>
      <c r="I460" s="8">
        <f t="shared" si="29"/>
        <v>6.7583404953512893E-3</v>
      </c>
      <c r="J460" s="8">
        <f t="shared" si="30"/>
        <v>6.7356052895831912E-3</v>
      </c>
      <c r="K460" s="8">
        <f t="shared" si="27"/>
        <v>-7.6258580210405547E-2</v>
      </c>
    </row>
    <row r="461" spans="1:11" x14ac:dyDescent="0.25">
      <c r="A461" t="str">
        <f t="shared" si="28"/>
        <v>112018</v>
      </c>
      <c r="B461" s="1">
        <v>43416</v>
      </c>
      <c r="C461" s="10">
        <v>43445.645833333336</v>
      </c>
      <c r="D461">
        <v>25816.15</v>
      </c>
      <c r="E461">
        <v>25907.200000000001</v>
      </c>
      <c r="F461">
        <v>25495.1</v>
      </c>
      <c r="G461">
        <v>25539.75</v>
      </c>
      <c r="H461">
        <v>0</v>
      </c>
      <c r="I461" s="8">
        <f t="shared" si="29"/>
        <v>-8.9732645221373142E-3</v>
      </c>
      <c r="J461" s="8">
        <f t="shared" si="30"/>
        <v>-9.0137667336520535E-3</v>
      </c>
      <c r="K461" s="8">
        <f t="shared" si="27"/>
        <v>-8.3805365925405106E-2</v>
      </c>
    </row>
    <row r="462" spans="1:11" x14ac:dyDescent="0.25">
      <c r="A462" t="str">
        <f t="shared" si="28"/>
        <v>112018</v>
      </c>
      <c r="B462" s="1">
        <v>43417</v>
      </c>
      <c r="C462" t="s">
        <v>300</v>
      </c>
      <c r="D462">
        <v>25422</v>
      </c>
      <c r="E462">
        <v>25796.5</v>
      </c>
      <c r="F462">
        <v>25384.55</v>
      </c>
      <c r="G462">
        <v>25768.6</v>
      </c>
      <c r="H462">
        <v>0</v>
      </c>
      <c r="I462" s="8">
        <f t="shared" si="29"/>
        <v>8.9605419003708775E-3</v>
      </c>
      <c r="J462" s="8">
        <f t="shared" si="30"/>
        <v>8.9206344624765555E-3</v>
      </c>
      <c r="K462" s="8">
        <f t="shared" si="27"/>
        <v>-8.1740902879114286E-2</v>
      </c>
    </row>
    <row r="463" spans="1:11" x14ac:dyDescent="0.25">
      <c r="A463" t="str">
        <f t="shared" si="28"/>
        <v>112018</v>
      </c>
      <c r="B463" s="1">
        <v>43418</v>
      </c>
      <c r="C463" t="s">
        <v>301</v>
      </c>
      <c r="D463">
        <v>25952.400000000001</v>
      </c>
      <c r="E463">
        <v>26045.05</v>
      </c>
      <c r="F463">
        <v>25806.7</v>
      </c>
      <c r="G463">
        <v>25930.15</v>
      </c>
      <c r="H463">
        <v>0</v>
      </c>
      <c r="I463" s="8">
        <f t="shared" si="29"/>
        <v>6.2692579340748456E-3</v>
      </c>
      <c r="J463" s="8">
        <f t="shared" si="30"/>
        <v>6.2496878870782592E-3</v>
      </c>
      <c r="K463" s="8">
        <f t="shared" si="27"/>
        <v>-8.4387358757062048E-2</v>
      </c>
    </row>
    <row r="464" spans="1:11" x14ac:dyDescent="0.25">
      <c r="A464" t="str">
        <f t="shared" si="28"/>
        <v>112018</v>
      </c>
      <c r="B464" s="1">
        <v>43419</v>
      </c>
      <c r="C464" t="s">
        <v>302</v>
      </c>
      <c r="D464">
        <v>25946.2</v>
      </c>
      <c r="E464">
        <v>26197.599999999999</v>
      </c>
      <c r="F464">
        <v>25728</v>
      </c>
      <c r="G464">
        <v>26154.75</v>
      </c>
      <c r="H464">
        <v>0</v>
      </c>
      <c r="I464" s="8">
        <f t="shared" si="29"/>
        <v>8.6617316135848554E-3</v>
      </c>
      <c r="J464" s="8">
        <f t="shared" si="30"/>
        <v>8.6244340359712783E-3</v>
      </c>
      <c r="K464" s="8">
        <f t="shared" si="27"/>
        <v>-7.0028534094242478E-2</v>
      </c>
    </row>
    <row r="465" spans="1:11" x14ac:dyDescent="0.25">
      <c r="A465" t="str">
        <f t="shared" si="28"/>
        <v>112018</v>
      </c>
      <c r="B465" s="1">
        <v>43420</v>
      </c>
      <c r="C465" t="s">
        <v>303</v>
      </c>
      <c r="D465">
        <v>26205.35</v>
      </c>
      <c r="E465">
        <v>26332.75</v>
      </c>
      <c r="F465">
        <v>26122.55</v>
      </c>
      <c r="G465">
        <v>26245.55</v>
      </c>
      <c r="H465">
        <v>0</v>
      </c>
      <c r="I465" s="8">
        <f t="shared" si="29"/>
        <v>3.4716447299247832E-3</v>
      </c>
      <c r="J465" s="8">
        <f t="shared" si="30"/>
        <v>3.4656324822664388E-3</v>
      </c>
      <c r="K465" s="8">
        <f t="shared" si="27"/>
        <v>-5.5725254008001657E-2</v>
      </c>
    </row>
    <row r="466" spans="1:11" x14ac:dyDescent="0.25">
      <c r="A466" t="str">
        <f t="shared" si="28"/>
        <v>112018</v>
      </c>
      <c r="B466" s="1">
        <v>43423</v>
      </c>
      <c r="C466" t="s">
        <v>304</v>
      </c>
      <c r="D466">
        <v>26364.6</v>
      </c>
      <c r="E466">
        <v>26379.1</v>
      </c>
      <c r="F466">
        <v>26204.35</v>
      </c>
      <c r="G466">
        <v>26300.7</v>
      </c>
      <c r="H466">
        <v>0</v>
      </c>
      <c r="I466" s="8">
        <f t="shared" si="29"/>
        <v>2.1013086027916739E-3</v>
      </c>
      <c r="J466" s="8">
        <f t="shared" si="30"/>
        <v>2.09910394177815E-3</v>
      </c>
      <c r="K466" s="8">
        <f t="shared" si="27"/>
        <v>-6.1416687781255197E-2</v>
      </c>
    </row>
    <row r="467" spans="1:11" x14ac:dyDescent="0.25">
      <c r="A467" t="str">
        <f t="shared" si="28"/>
        <v>112018</v>
      </c>
      <c r="B467" s="1">
        <v>43424</v>
      </c>
      <c r="C467" t="s">
        <v>305</v>
      </c>
      <c r="D467">
        <v>26211.5</v>
      </c>
      <c r="E467">
        <v>26259.4</v>
      </c>
      <c r="F467">
        <v>26041.8</v>
      </c>
      <c r="G467">
        <v>26113.35</v>
      </c>
      <c r="H467">
        <v>0</v>
      </c>
      <c r="I467" s="8">
        <f t="shared" si="29"/>
        <v>-7.1233845487003178E-3</v>
      </c>
      <c r="J467" s="8">
        <f t="shared" si="30"/>
        <v>-7.1488769861764584E-3</v>
      </c>
      <c r="K467" s="8">
        <f t="shared" si="27"/>
        <v>-6.1567100484968496E-2</v>
      </c>
    </row>
    <row r="468" spans="1:11" x14ac:dyDescent="0.25">
      <c r="A468" t="str">
        <f t="shared" si="28"/>
        <v>112018</v>
      </c>
      <c r="B468" s="1">
        <v>43425</v>
      </c>
      <c r="C468" t="s">
        <v>306</v>
      </c>
      <c r="D468">
        <v>26105.45</v>
      </c>
      <c r="E468">
        <v>26342.05</v>
      </c>
      <c r="F468">
        <v>26060.55</v>
      </c>
      <c r="G468">
        <v>26262.05</v>
      </c>
      <c r="H468">
        <v>0</v>
      </c>
      <c r="I468" s="8">
        <f t="shared" si="29"/>
        <v>5.6944053520517901E-3</v>
      </c>
      <c r="J468" s="8">
        <f t="shared" si="30"/>
        <v>5.6782535136296677E-3</v>
      </c>
      <c r="K468" s="8">
        <f t="shared" si="27"/>
        <v>-6.6356068833978266E-2</v>
      </c>
    </row>
    <row r="469" spans="1:11" x14ac:dyDescent="0.25">
      <c r="A469" t="str">
        <f t="shared" si="28"/>
        <v>112018</v>
      </c>
      <c r="B469" s="1">
        <v>43426</v>
      </c>
      <c r="C469" t="s">
        <v>307</v>
      </c>
      <c r="D469">
        <v>26233.65</v>
      </c>
      <c r="E469">
        <v>26323.95</v>
      </c>
      <c r="F469">
        <v>25947.85</v>
      </c>
      <c r="G469">
        <v>25999.45</v>
      </c>
      <c r="H469">
        <v>0</v>
      </c>
      <c r="I469" s="8">
        <f t="shared" si="29"/>
        <v>-9.9992194059488337E-3</v>
      </c>
      <c r="J469" s="8">
        <f t="shared" si="30"/>
        <v>-1.0049547374972729E-2</v>
      </c>
      <c r="K469" s="8">
        <f t="shared" si="27"/>
        <v>-8.045483080895155E-2</v>
      </c>
    </row>
    <row r="470" spans="1:11" x14ac:dyDescent="0.25">
      <c r="A470" t="str">
        <f t="shared" si="28"/>
        <v>112018</v>
      </c>
      <c r="B470" s="1">
        <v>43430</v>
      </c>
      <c r="C470" t="s">
        <v>308</v>
      </c>
      <c r="D470">
        <v>26096</v>
      </c>
      <c r="E470">
        <v>26396.6</v>
      </c>
      <c r="F470">
        <v>26025.05</v>
      </c>
      <c r="G470">
        <v>26365.599999999999</v>
      </c>
      <c r="H470">
        <v>0</v>
      </c>
      <c r="I470" s="8">
        <f t="shared" si="29"/>
        <v>1.4082990217100688E-2</v>
      </c>
      <c r="J470" s="8">
        <f t="shared" si="30"/>
        <v>1.3984746215484421E-2</v>
      </c>
      <c r="K470" s="8">
        <f t="shared" si="27"/>
        <v>-6.6965344204629629E-2</v>
      </c>
    </row>
    <row r="471" spans="1:11" x14ac:dyDescent="0.25">
      <c r="A471" t="str">
        <f t="shared" si="28"/>
        <v>112018</v>
      </c>
      <c r="B471" s="1">
        <v>43431</v>
      </c>
      <c r="C471" t="s">
        <v>309</v>
      </c>
      <c r="D471">
        <v>26286.1</v>
      </c>
      <c r="E471">
        <v>26491.25</v>
      </c>
      <c r="F471">
        <v>26268.65</v>
      </c>
      <c r="G471">
        <v>26443.1</v>
      </c>
      <c r="H471">
        <v>0</v>
      </c>
      <c r="I471" s="8">
        <f t="shared" si="29"/>
        <v>2.9394362350942949E-3</v>
      </c>
      <c r="J471" s="8">
        <f t="shared" si="30"/>
        <v>2.9351245396403267E-3</v>
      </c>
      <c r="K471" s="8">
        <f t="shared" si="27"/>
        <v>-5.6543658283353504E-2</v>
      </c>
    </row>
    <row r="472" spans="1:11" x14ac:dyDescent="0.25">
      <c r="A472" t="str">
        <f t="shared" si="28"/>
        <v>112018</v>
      </c>
      <c r="B472" s="1">
        <v>43432</v>
      </c>
      <c r="C472" t="s">
        <v>310</v>
      </c>
      <c r="D472">
        <v>26489.65</v>
      </c>
      <c r="E472">
        <v>26584.95</v>
      </c>
      <c r="F472">
        <v>26419.65</v>
      </c>
      <c r="G472">
        <v>26457.95</v>
      </c>
      <c r="H472">
        <v>0</v>
      </c>
      <c r="I472" s="8">
        <f t="shared" si="29"/>
        <v>5.6158317292620552E-4</v>
      </c>
      <c r="J472" s="8">
        <f t="shared" si="30"/>
        <v>5.6142554410784889E-4</v>
      </c>
      <c r="K472" s="8">
        <f t="shared" si="27"/>
        <v>-4.9461643200752969E-2</v>
      </c>
    </row>
    <row r="473" spans="1:11" x14ac:dyDescent="0.25">
      <c r="A473" t="str">
        <f t="shared" si="28"/>
        <v>112018</v>
      </c>
      <c r="B473" s="1">
        <v>43433</v>
      </c>
      <c r="C473" t="s">
        <v>311</v>
      </c>
      <c r="D473">
        <v>26641.599999999999</v>
      </c>
      <c r="E473">
        <v>27003.75</v>
      </c>
      <c r="F473">
        <v>26577.15</v>
      </c>
      <c r="G473">
        <v>26939.599999999999</v>
      </c>
      <c r="H473">
        <v>0</v>
      </c>
      <c r="I473" s="8">
        <f t="shared" si="29"/>
        <v>1.8204358236371121E-2</v>
      </c>
      <c r="J473" s="8">
        <f t="shared" si="30"/>
        <v>1.8040642811225072E-2</v>
      </c>
      <c r="K473" s="8">
        <f t="shared" si="27"/>
        <v>-4.6864938685687307E-2</v>
      </c>
    </row>
    <row r="474" spans="1:11" x14ac:dyDescent="0.25">
      <c r="A474" t="str">
        <f t="shared" si="28"/>
        <v>112018</v>
      </c>
      <c r="B474" s="1">
        <v>43434</v>
      </c>
      <c r="C474" t="s">
        <v>312</v>
      </c>
      <c r="D474">
        <v>27009.3</v>
      </c>
      <c r="E474">
        <v>27012.7</v>
      </c>
      <c r="F474">
        <v>26764.9</v>
      </c>
      <c r="G474">
        <v>26862.95</v>
      </c>
      <c r="H474">
        <v>0</v>
      </c>
      <c r="I474" s="8">
        <f t="shared" si="29"/>
        <v>-2.8452538270797856E-3</v>
      </c>
      <c r="J474" s="8">
        <f t="shared" si="30"/>
        <v>-2.8493092560599544E-3</v>
      </c>
      <c r="K474" s="8">
        <f t="shared" si="27"/>
        <v>-4.9760078387953155E-2</v>
      </c>
    </row>
    <row r="475" spans="1:11" x14ac:dyDescent="0.25">
      <c r="A475" t="str">
        <f t="shared" si="28"/>
        <v>122018</v>
      </c>
      <c r="B475" s="1">
        <v>43437</v>
      </c>
      <c r="C475" s="10">
        <v>43171.645833333336</v>
      </c>
      <c r="D475">
        <v>27032.9</v>
      </c>
      <c r="E475">
        <v>27037.1</v>
      </c>
      <c r="F475">
        <v>26791.65</v>
      </c>
      <c r="G475">
        <v>26857.55</v>
      </c>
      <c r="H475">
        <v>0</v>
      </c>
      <c r="I475" s="8">
        <f t="shared" si="29"/>
        <v>-2.0102036447977589E-4</v>
      </c>
      <c r="J475" s="8">
        <f t="shared" si="30"/>
        <v>-2.010405717813418E-4</v>
      </c>
      <c r="K475" s="8">
        <f t="shared" si="27"/>
        <v>-4.8417841490074109E-2</v>
      </c>
    </row>
    <row r="476" spans="1:11" x14ac:dyDescent="0.25">
      <c r="A476" t="str">
        <f t="shared" si="28"/>
        <v>122018</v>
      </c>
      <c r="B476" s="1">
        <v>43438</v>
      </c>
      <c r="C476" s="10">
        <v>43202.645833333336</v>
      </c>
      <c r="D476">
        <v>26809.5</v>
      </c>
      <c r="E476">
        <v>26843.8</v>
      </c>
      <c r="F476">
        <v>26644.75</v>
      </c>
      <c r="G476">
        <v>26693.8</v>
      </c>
      <c r="H476">
        <v>0</v>
      </c>
      <c r="I476" s="8">
        <f t="shared" si="29"/>
        <v>-6.0969820404318531E-3</v>
      </c>
      <c r="J476" s="8">
        <f t="shared" si="30"/>
        <v>-6.115644530678273E-3</v>
      </c>
      <c r="K476" s="8">
        <f t="shared" si="27"/>
        <v>-5.0152562426053926E-2</v>
      </c>
    </row>
    <row r="477" spans="1:11" x14ac:dyDescent="0.25">
      <c r="A477" t="str">
        <f t="shared" si="28"/>
        <v>122018</v>
      </c>
      <c r="B477" s="1">
        <v>43439</v>
      </c>
      <c r="C477" s="10">
        <v>43232.645833333336</v>
      </c>
      <c r="D477">
        <v>26572.1</v>
      </c>
      <c r="E477">
        <v>26627.35</v>
      </c>
      <c r="F477">
        <v>26443.65</v>
      </c>
      <c r="G477">
        <v>26519.599999999999</v>
      </c>
      <c r="H477">
        <v>0</v>
      </c>
      <c r="I477" s="8">
        <f t="shared" si="29"/>
        <v>-6.525859937513645E-3</v>
      </c>
      <c r="J477" s="8">
        <f t="shared" si="30"/>
        <v>-6.5472464558672065E-3</v>
      </c>
      <c r="K477" s="8">
        <f t="shared" si="27"/>
        <v>-5.4955589013514938E-2</v>
      </c>
    </row>
    <row r="478" spans="1:11" x14ac:dyDescent="0.25">
      <c r="A478" t="str">
        <f t="shared" si="28"/>
        <v>122018</v>
      </c>
      <c r="B478" s="1">
        <v>43440</v>
      </c>
      <c r="C478" s="10">
        <v>43263.645833333336</v>
      </c>
      <c r="D478">
        <v>26339.1</v>
      </c>
      <c r="E478">
        <v>26359.9</v>
      </c>
      <c r="F478">
        <v>26149.45</v>
      </c>
      <c r="G478">
        <v>26198.3</v>
      </c>
      <c r="H478">
        <v>0</v>
      </c>
      <c r="I478" s="8">
        <f t="shared" si="29"/>
        <v>-1.2115567353957024E-2</v>
      </c>
      <c r="J478" s="8">
        <f t="shared" si="30"/>
        <v>-1.2189559081940261E-2</v>
      </c>
      <c r="K478" s="8">
        <f t="shared" si="27"/>
        <v>-5.8275669943744557E-2</v>
      </c>
    </row>
    <row r="479" spans="1:11" x14ac:dyDescent="0.25">
      <c r="A479" t="str">
        <f t="shared" si="28"/>
        <v>122018</v>
      </c>
      <c r="B479" s="1">
        <v>43441</v>
      </c>
      <c r="C479" s="10">
        <v>43293.645833333336</v>
      </c>
      <c r="D479">
        <v>26307.4</v>
      </c>
      <c r="E479">
        <v>26659.7</v>
      </c>
      <c r="F479">
        <v>26252.1</v>
      </c>
      <c r="G479">
        <v>26594.3</v>
      </c>
      <c r="H479">
        <v>0</v>
      </c>
      <c r="I479" s="8">
        <f t="shared" si="29"/>
        <v>1.5115484592511663E-2</v>
      </c>
      <c r="J479" s="8">
        <f t="shared" si="30"/>
        <v>1.5002383945190436E-2</v>
      </c>
      <c r="K479" s="8">
        <f t="shared" si="27"/>
        <v>-3.0493150934626345E-2</v>
      </c>
    </row>
    <row r="480" spans="1:11" x14ac:dyDescent="0.25">
      <c r="A480" t="str">
        <f t="shared" si="28"/>
        <v>122018</v>
      </c>
      <c r="B480" s="1">
        <v>43444</v>
      </c>
      <c r="C480" s="10">
        <v>43385.645833333336</v>
      </c>
      <c r="D480">
        <v>26073.65</v>
      </c>
      <c r="E480">
        <v>26336.2</v>
      </c>
      <c r="F480">
        <v>26072</v>
      </c>
      <c r="G480">
        <v>26102.65</v>
      </c>
      <c r="H480">
        <v>0</v>
      </c>
      <c r="I480" s="8">
        <f t="shared" si="29"/>
        <v>-1.8487044216241699E-2</v>
      </c>
      <c r="J480" s="8">
        <f t="shared" si="30"/>
        <v>-1.8660065369288145E-2</v>
      </c>
      <c r="K480" s="8">
        <f t="shared" si="27"/>
        <v>-4.6515110835931295E-2</v>
      </c>
    </row>
    <row r="481" spans="1:11" x14ac:dyDescent="0.25">
      <c r="A481" t="str">
        <f t="shared" si="28"/>
        <v>122018</v>
      </c>
      <c r="B481" s="1">
        <v>43445</v>
      </c>
      <c r="C481" s="10">
        <v>43416.645833333336</v>
      </c>
      <c r="D481">
        <v>25602.25</v>
      </c>
      <c r="E481">
        <v>26227.9</v>
      </c>
      <c r="F481">
        <v>25598.95</v>
      </c>
      <c r="G481">
        <v>26163.4</v>
      </c>
      <c r="H481">
        <v>0</v>
      </c>
      <c r="I481" s="8">
        <f t="shared" si="29"/>
        <v>2.3273499050862068E-3</v>
      </c>
      <c r="J481" s="8">
        <f t="shared" si="30"/>
        <v>2.3246458210496343E-3</v>
      </c>
      <c r="K481" s="8">
        <f t="shared" si="27"/>
        <v>-4.7519540422371609E-2</v>
      </c>
    </row>
    <row r="482" spans="1:11" x14ac:dyDescent="0.25">
      <c r="A482" t="str">
        <f t="shared" si="28"/>
        <v>122018</v>
      </c>
      <c r="B482" s="1">
        <v>43446</v>
      </c>
      <c r="C482" s="10">
        <v>43446.645833333336</v>
      </c>
      <c r="D482">
        <v>26286.25</v>
      </c>
      <c r="E482">
        <v>26672.7</v>
      </c>
      <c r="F482">
        <v>26214.75</v>
      </c>
      <c r="G482">
        <v>26643.85</v>
      </c>
      <c r="H482">
        <v>0</v>
      </c>
      <c r="I482" s="8">
        <f t="shared" si="29"/>
        <v>1.8363439002575976E-2</v>
      </c>
      <c r="J482" s="8">
        <f t="shared" si="30"/>
        <v>1.819686718710303E-2</v>
      </c>
      <c r="K482" s="8">
        <f t="shared" si="27"/>
        <v>-3.0478741114460917E-2</v>
      </c>
    </row>
    <row r="483" spans="1:11" x14ac:dyDescent="0.25">
      <c r="A483" t="str">
        <f t="shared" si="28"/>
        <v>122018</v>
      </c>
      <c r="B483" s="1">
        <v>43447</v>
      </c>
      <c r="C483" t="s">
        <v>313</v>
      </c>
      <c r="D483">
        <v>26844.15</v>
      </c>
      <c r="E483">
        <v>26951.45</v>
      </c>
      <c r="F483">
        <v>26723.65</v>
      </c>
      <c r="G483">
        <v>26816.35</v>
      </c>
      <c r="H483">
        <v>0</v>
      </c>
      <c r="I483" s="8">
        <f t="shared" si="29"/>
        <v>6.4742895640081954E-3</v>
      </c>
      <c r="J483" s="8">
        <f t="shared" si="30"/>
        <v>6.4534213740367989E-3</v>
      </c>
      <c r="K483" s="8">
        <f t="shared" si="27"/>
        <v>-1.4168206089681834E-2</v>
      </c>
    </row>
    <row r="484" spans="1:11" x14ac:dyDescent="0.25">
      <c r="A484" t="str">
        <f t="shared" si="28"/>
        <v>122018</v>
      </c>
      <c r="B484" s="1">
        <v>43448</v>
      </c>
      <c r="C484" t="s">
        <v>314</v>
      </c>
      <c r="D484">
        <v>26810.85</v>
      </c>
      <c r="E484">
        <v>26909</v>
      </c>
      <c r="F484">
        <v>26732.7</v>
      </c>
      <c r="G484">
        <v>26826</v>
      </c>
      <c r="H484">
        <v>0</v>
      </c>
      <c r="I484" s="8">
        <f t="shared" si="29"/>
        <v>3.5985508840696845E-4</v>
      </c>
      <c r="J484" s="8">
        <f t="shared" si="30"/>
        <v>3.5979035609367822E-4</v>
      </c>
      <c r="K484" s="8">
        <f t="shared" si="27"/>
        <v>6.9010538095692908E-4</v>
      </c>
    </row>
    <row r="485" spans="1:11" x14ac:dyDescent="0.25">
      <c r="A485" t="str">
        <f t="shared" si="28"/>
        <v>122018</v>
      </c>
      <c r="B485" s="1">
        <v>43451</v>
      </c>
      <c r="C485" t="s">
        <v>315</v>
      </c>
      <c r="D485">
        <v>26915.45</v>
      </c>
      <c r="E485">
        <v>27051.4</v>
      </c>
      <c r="F485">
        <v>26908.6</v>
      </c>
      <c r="G485">
        <v>27015.8</v>
      </c>
      <c r="H485">
        <v>0</v>
      </c>
      <c r="I485" s="8">
        <f t="shared" si="29"/>
        <v>7.0752255274733056E-3</v>
      </c>
      <c r="J485" s="8">
        <f t="shared" si="30"/>
        <v>7.0503135555331255E-3</v>
      </c>
      <c r="K485" s="8">
        <f t="shared" si="27"/>
        <v>7.3305691444933707E-3</v>
      </c>
    </row>
    <row r="486" spans="1:11" x14ac:dyDescent="0.25">
      <c r="A486" t="str">
        <f t="shared" si="28"/>
        <v>122018</v>
      </c>
      <c r="B486" s="1">
        <v>43452</v>
      </c>
      <c r="C486" t="s">
        <v>316</v>
      </c>
      <c r="D486">
        <v>26917.3</v>
      </c>
      <c r="E486">
        <v>27210.05</v>
      </c>
      <c r="F486">
        <v>26840.799999999999</v>
      </c>
      <c r="G486">
        <v>27174.7</v>
      </c>
      <c r="H486">
        <v>0</v>
      </c>
      <c r="I486" s="8">
        <f t="shared" si="29"/>
        <v>5.88174327615687E-3</v>
      </c>
      <c r="J486" s="8">
        <f t="shared" si="30"/>
        <v>5.8645133524873119E-3</v>
      </c>
      <c r="K486" s="8">
        <f t="shared" si="27"/>
        <v>3.9942791614588913E-4</v>
      </c>
    </row>
    <row r="487" spans="1:11" x14ac:dyDescent="0.25">
      <c r="A487" t="str">
        <f t="shared" si="28"/>
        <v>122018</v>
      </c>
      <c r="B487" s="1">
        <v>43453</v>
      </c>
      <c r="C487" t="s">
        <v>317</v>
      </c>
      <c r="D487">
        <v>27229.05</v>
      </c>
      <c r="E487">
        <v>27364.35</v>
      </c>
      <c r="F487">
        <v>27214.3</v>
      </c>
      <c r="G487">
        <v>27298.400000000001</v>
      </c>
      <c r="H487">
        <v>0</v>
      </c>
      <c r="I487" s="8">
        <f t="shared" si="29"/>
        <v>4.5520281732640555E-3</v>
      </c>
      <c r="J487" s="8">
        <f t="shared" si="30"/>
        <v>4.5416990268674655E-3</v>
      </c>
      <c r="K487" s="8">
        <f t="shared" si="27"/>
        <v>1.7826049671331168E-2</v>
      </c>
    </row>
    <row r="488" spans="1:11" x14ac:dyDescent="0.25">
      <c r="A488" t="str">
        <f t="shared" si="28"/>
        <v>122018</v>
      </c>
      <c r="B488" s="1">
        <v>43454</v>
      </c>
      <c r="C488" t="s">
        <v>318</v>
      </c>
      <c r="D488">
        <v>27128.65</v>
      </c>
      <c r="E488">
        <v>27309.1</v>
      </c>
      <c r="F488">
        <v>27084.5</v>
      </c>
      <c r="G488">
        <v>27275.1</v>
      </c>
      <c r="H488">
        <v>0</v>
      </c>
      <c r="I488" s="8">
        <f t="shared" si="29"/>
        <v>-8.5352987720899165E-4</v>
      </c>
      <c r="J488" s="8">
        <f t="shared" si="30"/>
        <v>-8.5389434123668475E-4</v>
      </c>
      <c r="K488" s="8">
        <f t="shared" si="27"/>
        <v>3.1528149931263183E-2</v>
      </c>
    </row>
    <row r="489" spans="1:11" x14ac:dyDescent="0.25">
      <c r="A489" t="str">
        <f t="shared" si="28"/>
        <v>122018</v>
      </c>
      <c r="B489" s="1">
        <v>43455</v>
      </c>
      <c r="C489" t="s">
        <v>319</v>
      </c>
      <c r="D489">
        <v>27261.25</v>
      </c>
      <c r="E489">
        <v>27369.1</v>
      </c>
      <c r="F489">
        <v>26823.1</v>
      </c>
      <c r="G489">
        <v>26869.65</v>
      </c>
      <c r="H489">
        <v>0</v>
      </c>
      <c r="I489" s="8">
        <f t="shared" si="29"/>
        <v>-1.4865206727014635E-2</v>
      </c>
      <c r="J489" s="8">
        <f t="shared" si="30"/>
        <v>-1.4976801210181053E-2</v>
      </c>
      <c r="K489" s="8">
        <f t="shared" si="27"/>
        <v>2.2540324652219557E-2</v>
      </c>
    </row>
    <row r="490" spans="1:11" x14ac:dyDescent="0.25">
      <c r="A490" t="str">
        <f t="shared" si="28"/>
        <v>122018</v>
      </c>
      <c r="B490" s="1">
        <v>43458</v>
      </c>
      <c r="C490" t="s">
        <v>320</v>
      </c>
      <c r="D490">
        <v>26877.05</v>
      </c>
      <c r="E490">
        <v>26934.85</v>
      </c>
      <c r="F490">
        <v>26676.95</v>
      </c>
      <c r="G490">
        <v>26714.75</v>
      </c>
      <c r="H490">
        <v>0</v>
      </c>
      <c r="I490" s="8">
        <f t="shared" si="29"/>
        <v>-5.7648685412724499E-3</v>
      </c>
      <c r="J490" s="8">
        <f t="shared" si="30"/>
        <v>-5.7815495359760495E-3</v>
      </c>
      <c r="K490" s="8">
        <f t="shared" si="27"/>
        <v>4.3671303946962281E-2</v>
      </c>
    </row>
    <row r="491" spans="1:11" x14ac:dyDescent="0.25">
      <c r="A491" t="str">
        <f t="shared" si="28"/>
        <v>122018</v>
      </c>
      <c r="B491" s="1">
        <v>43460</v>
      </c>
      <c r="C491" t="s">
        <v>321</v>
      </c>
      <c r="D491">
        <v>26634</v>
      </c>
      <c r="E491">
        <v>27029.15</v>
      </c>
      <c r="F491">
        <v>26408.15</v>
      </c>
      <c r="G491">
        <v>26986.799999999999</v>
      </c>
      <c r="H491">
        <v>0</v>
      </c>
      <c r="I491" s="8">
        <f t="shared" si="29"/>
        <v>1.0183512853386256E-2</v>
      </c>
      <c r="J491" s="8">
        <f t="shared" si="30"/>
        <v>1.0132010242910086E-2</v>
      </c>
      <c r="K491" s="8">
        <f t="shared" si="27"/>
        <v>8.0753773975935417E-2</v>
      </c>
    </row>
    <row r="492" spans="1:11" x14ac:dyDescent="0.25">
      <c r="A492" t="str">
        <f t="shared" si="28"/>
        <v>122018</v>
      </c>
      <c r="B492" s="1">
        <v>43461</v>
      </c>
      <c r="C492" t="s">
        <v>322</v>
      </c>
      <c r="D492">
        <v>27200.65</v>
      </c>
      <c r="E492">
        <v>27239.95</v>
      </c>
      <c r="F492">
        <v>26845.1</v>
      </c>
      <c r="G492">
        <v>26878.55</v>
      </c>
      <c r="H492">
        <v>0</v>
      </c>
      <c r="I492" s="8">
        <f t="shared" si="29"/>
        <v>-4.0112203002949931E-3</v>
      </c>
      <c r="J492" s="8">
        <f t="shared" si="30"/>
        <v>-4.0192868227354435E-3</v>
      </c>
      <c r="K492" s="8">
        <f t="shared" si="27"/>
        <v>6.1120355620826405E-2</v>
      </c>
    </row>
    <row r="493" spans="1:11" x14ac:dyDescent="0.25">
      <c r="A493" t="str">
        <f t="shared" si="28"/>
        <v>122018</v>
      </c>
      <c r="B493" s="1">
        <v>43462</v>
      </c>
      <c r="C493" t="s">
        <v>323</v>
      </c>
      <c r="D493">
        <v>27048.400000000001</v>
      </c>
      <c r="E493">
        <v>27213.45</v>
      </c>
      <c r="F493">
        <v>27039.599999999999</v>
      </c>
      <c r="G493">
        <v>27125.25</v>
      </c>
      <c r="H493">
        <v>0</v>
      </c>
      <c r="I493" s="8">
        <f t="shared" si="29"/>
        <v>9.1783224913546402E-3</v>
      </c>
      <c r="J493" s="8">
        <f t="shared" si="30"/>
        <v>9.1364576604453917E-3</v>
      </c>
      <c r="K493" s="8">
        <f t="shared" si="27"/>
        <v>6.8920607023088554E-2</v>
      </c>
    </row>
    <row r="494" spans="1:11" x14ac:dyDescent="0.25">
      <c r="A494" t="str">
        <f t="shared" si="28"/>
        <v>122018</v>
      </c>
      <c r="B494" s="1">
        <v>43465</v>
      </c>
      <c r="C494" t="s">
        <v>324</v>
      </c>
      <c r="D494">
        <v>27267.8</v>
      </c>
      <c r="E494">
        <v>27286.5</v>
      </c>
      <c r="F494">
        <v>27105</v>
      </c>
      <c r="G494">
        <v>27160.2</v>
      </c>
      <c r="H494">
        <v>0</v>
      </c>
      <c r="I494" s="8">
        <f t="shared" si="29"/>
        <v>1.2884673873974073E-3</v>
      </c>
      <c r="J494" s="8">
        <f t="shared" si="30"/>
        <v>1.2876380256205086E-3</v>
      </c>
      <c r="K494" s="8">
        <f t="shared" si="27"/>
        <v>8.4579399133061672E-2</v>
      </c>
    </row>
    <row r="495" spans="1:11" x14ac:dyDescent="0.25">
      <c r="A495" t="str">
        <f t="shared" si="28"/>
        <v>12019</v>
      </c>
      <c r="B495" s="1">
        <v>43466</v>
      </c>
      <c r="C495" s="10">
        <v>43466.645833333336</v>
      </c>
      <c r="D495">
        <v>27231.4</v>
      </c>
      <c r="E495">
        <v>27430.55</v>
      </c>
      <c r="F495">
        <v>27019.05</v>
      </c>
      <c r="G495">
        <v>27392.400000000001</v>
      </c>
      <c r="H495">
        <v>0</v>
      </c>
      <c r="I495" s="8">
        <f t="shared" si="29"/>
        <v>8.5492743057857812E-3</v>
      </c>
      <c r="J495" s="8">
        <f t="shared" si="30"/>
        <v>8.5129362228167985E-3</v>
      </c>
      <c r="K495" s="8">
        <f t="shared" si="27"/>
        <v>9.0468294993799825E-2</v>
      </c>
    </row>
    <row r="496" spans="1:11" x14ac:dyDescent="0.25">
      <c r="A496" t="str">
        <f t="shared" si="28"/>
        <v>12019</v>
      </c>
      <c r="B496" s="1">
        <v>43467</v>
      </c>
      <c r="C496" s="10">
        <v>43497.645833333336</v>
      </c>
      <c r="D496">
        <v>27297</v>
      </c>
      <c r="E496">
        <v>27397.55</v>
      </c>
      <c r="F496">
        <v>27077.599999999999</v>
      </c>
      <c r="G496">
        <v>27174.7</v>
      </c>
      <c r="H496">
        <v>0</v>
      </c>
      <c r="I496" s="8">
        <f t="shared" si="29"/>
        <v>-7.9474598793826123E-3</v>
      </c>
      <c r="J496" s="8">
        <f t="shared" si="30"/>
        <v>-7.9792092685309207E-3</v>
      </c>
      <c r="K496" s="8">
        <f t="shared" si="27"/>
        <v>7.1261875665234342E-2</v>
      </c>
    </row>
    <row r="497" spans="1:11" x14ac:dyDescent="0.25">
      <c r="A497" t="str">
        <f t="shared" si="28"/>
        <v>12019</v>
      </c>
      <c r="B497" s="1">
        <v>43468</v>
      </c>
      <c r="C497" s="10">
        <v>43525.645833333336</v>
      </c>
      <c r="D497">
        <v>27181.599999999999</v>
      </c>
      <c r="E497">
        <v>27206.2</v>
      </c>
      <c r="F497">
        <v>26923.75</v>
      </c>
      <c r="G497">
        <v>26959.85</v>
      </c>
      <c r="H497">
        <v>0</v>
      </c>
      <c r="I497" s="8">
        <f t="shared" si="29"/>
        <v>-7.9062510349701132E-3</v>
      </c>
      <c r="J497" s="8">
        <f t="shared" si="30"/>
        <v>-7.937671157510472E-3</v>
      </c>
      <c r="K497" s="8">
        <f t="shared" si="27"/>
        <v>7.5387217340316282E-2</v>
      </c>
    </row>
    <row r="498" spans="1:11" x14ac:dyDescent="0.25">
      <c r="A498" t="str">
        <f t="shared" si="28"/>
        <v>12019</v>
      </c>
      <c r="B498" s="1">
        <v>43469</v>
      </c>
      <c r="C498" s="10">
        <v>43556.645833333336</v>
      </c>
      <c r="D498">
        <v>26999.7</v>
      </c>
      <c r="E498">
        <v>27274.5</v>
      </c>
      <c r="F498">
        <v>26926.1</v>
      </c>
      <c r="G498">
        <v>27195</v>
      </c>
      <c r="H498">
        <v>0</v>
      </c>
      <c r="I498" s="8">
        <f t="shared" si="29"/>
        <v>8.7222295376272463E-3</v>
      </c>
      <c r="J498" s="8">
        <f t="shared" si="30"/>
        <v>8.6844106445153474E-3</v>
      </c>
      <c r="K498" s="8">
        <f t="shared" si="27"/>
        <v>9.5719863171000119E-2</v>
      </c>
    </row>
    <row r="499" spans="1:11" x14ac:dyDescent="0.25">
      <c r="A499" t="str">
        <f t="shared" si="28"/>
        <v>12019</v>
      </c>
      <c r="B499" s="1">
        <v>43472</v>
      </c>
      <c r="C499" s="10">
        <v>43647.645833333336</v>
      </c>
      <c r="D499">
        <v>27378.65</v>
      </c>
      <c r="E499">
        <v>27477.8</v>
      </c>
      <c r="F499">
        <v>27279.55</v>
      </c>
      <c r="G499">
        <v>27304.55</v>
      </c>
      <c r="H499">
        <v>0</v>
      </c>
      <c r="I499" s="8">
        <f t="shared" si="29"/>
        <v>4.0283140283139396E-3</v>
      </c>
      <c r="J499" s="8">
        <f t="shared" si="30"/>
        <v>4.0202220953106868E-3</v>
      </c>
      <c r="K499" s="8">
        <f t="shared" si="27"/>
        <v>0.11704976179712756</v>
      </c>
    </row>
    <row r="500" spans="1:11" x14ac:dyDescent="0.25">
      <c r="A500" t="str">
        <f t="shared" si="28"/>
        <v>12019</v>
      </c>
      <c r="B500" s="1">
        <v>43473</v>
      </c>
      <c r="C500" s="10">
        <v>43678.645833333336</v>
      </c>
      <c r="D500">
        <v>27301.9</v>
      </c>
      <c r="E500">
        <v>27542.400000000001</v>
      </c>
      <c r="F500">
        <v>27161.95</v>
      </c>
      <c r="G500">
        <v>27509.5</v>
      </c>
      <c r="H500">
        <v>0</v>
      </c>
      <c r="I500" s="8">
        <f t="shared" si="29"/>
        <v>7.5060749948268057E-3</v>
      </c>
      <c r="J500" s="8">
        <f t="shared" si="30"/>
        <v>7.4780445920622496E-3</v>
      </c>
      <c r="K500" s="8">
        <f t="shared" si="27"/>
        <v>0.11743882104202763</v>
      </c>
    </row>
    <row r="501" spans="1:11" x14ac:dyDescent="0.25">
      <c r="A501" t="str">
        <f t="shared" si="28"/>
        <v>12019</v>
      </c>
      <c r="B501" s="1">
        <v>43474</v>
      </c>
      <c r="C501" s="10">
        <v>43709.645833333336</v>
      </c>
      <c r="D501">
        <v>27651.25</v>
      </c>
      <c r="E501">
        <v>27754.45</v>
      </c>
      <c r="F501">
        <v>27409.5</v>
      </c>
      <c r="G501">
        <v>27720.400000000001</v>
      </c>
      <c r="H501">
        <v>0</v>
      </c>
      <c r="I501" s="8">
        <f t="shared" si="29"/>
        <v>7.6664425016812476E-3</v>
      </c>
      <c r="J501" s="8">
        <f t="shared" si="30"/>
        <v>7.6372046697236948E-3</v>
      </c>
      <c r="K501" s="8">
        <f t="shared" si="27"/>
        <v>0.13016942104115148</v>
      </c>
    </row>
    <row r="502" spans="1:11" x14ac:dyDescent="0.25">
      <c r="A502" t="str">
        <f t="shared" si="28"/>
        <v>12019</v>
      </c>
      <c r="B502" s="1">
        <v>43475</v>
      </c>
      <c r="C502" s="10">
        <v>43739.645833333336</v>
      </c>
      <c r="D502">
        <v>27713.55</v>
      </c>
      <c r="E502">
        <v>27713.55</v>
      </c>
      <c r="F502">
        <v>27488.2</v>
      </c>
      <c r="G502">
        <v>27528.55</v>
      </c>
      <c r="H502">
        <v>0</v>
      </c>
      <c r="I502" s="8">
        <f t="shared" si="29"/>
        <v>-6.9208958023694311E-3</v>
      </c>
      <c r="J502" s="8">
        <f t="shared" si="30"/>
        <v>-6.944956279355899E-3</v>
      </c>
      <c r="K502" s="8">
        <f t="shared" si="27"/>
        <v>8.7152521355201129E-2</v>
      </c>
    </row>
    <row r="503" spans="1:11" x14ac:dyDescent="0.25">
      <c r="A503" t="str">
        <f t="shared" si="28"/>
        <v>12019</v>
      </c>
      <c r="B503" s="1">
        <v>43476</v>
      </c>
      <c r="C503" s="10">
        <v>43770.645833333336</v>
      </c>
      <c r="D503">
        <v>27602.799999999999</v>
      </c>
      <c r="E503">
        <v>27612.45</v>
      </c>
      <c r="F503">
        <v>27382.45</v>
      </c>
      <c r="G503">
        <v>27453.9</v>
      </c>
      <c r="H503">
        <v>0</v>
      </c>
      <c r="I503" s="8">
        <f t="shared" si="29"/>
        <v>-2.7117301855709153E-3</v>
      </c>
      <c r="J503" s="8">
        <f t="shared" si="30"/>
        <v>-2.7154135863034991E-3</v>
      </c>
      <c r="K503" s="8">
        <f t="shared" si="27"/>
        <v>0.107728993965853</v>
      </c>
    </row>
    <row r="504" spans="1:11" x14ac:dyDescent="0.25">
      <c r="A504" t="str">
        <f t="shared" si="28"/>
        <v>12019</v>
      </c>
      <c r="B504" s="1">
        <v>43479</v>
      </c>
      <c r="C504" t="s">
        <v>325</v>
      </c>
      <c r="D504">
        <v>27389.200000000001</v>
      </c>
      <c r="E504">
        <v>27389.8</v>
      </c>
      <c r="F504">
        <v>27182.2</v>
      </c>
      <c r="G504">
        <v>27248.25</v>
      </c>
      <c r="H504">
        <v>0</v>
      </c>
      <c r="I504" s="8">
        <f t="shared" si="29"/>
        <v>-7.4907390206856439E-3</v>
      </c>
      <c r="J504" s="8">
        <f t="shared" si="30"/>
        <v>-7.5189355027989249E-3</v>
      </c>
      <c r="K504" s="8">
        <f t="shared" si="27"/>
        <v>7.2941051392255041E-2</v>
      </c>
    </row>
    <row r="505" spans="1:11" x14ac:dyDescent="0.25">
      <c r="A505" t="str">
        <f t="shared" si="28"/>
        <v>12019</v>
      </c>
      <c r="B505" s="1">
        <v>43480</v>
      </c>
      <c r="C505" t="s">
        <v>326</v>
      </c>
      <c r="D505">
        <v>27317.55</v>
      </c>
      <c r="E505">
        <v>27447.55</v>
      </c>
      <c r="F505">
        <v>27317.1</v>
      </c>
      <c r="G505">
        <v>27400.75</v>
      </c>
      <c r="H505">
        <v>0</v>
      </c>
      <c r="I505" s="8">
        <f t="shared" si="29"/>
        <v>5.5966896956685108E-3</v>
      </c>
      <c r="J505" s="8">
        <f t="shared" si="30"/>
        <v>5.5810864186221273E-3</v>
      </c>
      <c r="K505" s="8">
        <f t="shared" si="27"/>
        <v>7.9277455338239822E-2</v>
      </c>
    </row>
    <row r="506" spans="1:11" x14ac:dyDescent="0.25">
      <c r="A506" t="str">
        <f t="shared" si="28"/>
        <v>12019</v>
      </c>
      <c r="B506" s="1">
        <v>43481</v>
      </c>
      <c r="C506" t="s">
        <v>327</v>
      </c>
      <c r="D506">
        <v>27405.65</v>
      </c>
      <c r="E506">
        <v>27554.75</v>
      </c>
      <c r="F506">
        <v>27403.05</v>
      </c>
      <c r="G506">
        <v>27483.7</v>
      </c>
      <c r="H506">
        <v>0</v>
      </c>
      <c r="I506" s="8">
        <f t="shared" si="29"/>
        <v>3.0272893990128669E-3</v>
      </c>
      <c r="J506" s="8">
        <f t="shared" si="30"/>
        <v>3.022716385359473E-3</v>
      </c>
      <c r="K506" s="8">
        <f t="shared" si="27"/>
        <v>7.4016252664651505E-2</v>
      </c>
    </row>
    <row r="507" spans="1:11" x14ac:dyDescent="0.25">
      <c r="A507" t="str">
        <f t="shared" si="28"/>
        <v>12019</v>
      </c>
      <c r="B507" s="1">
        <v>43482</v>
      </c>
      <c r="C507" t="s">
        <v>328</v>
      </c>
      <c r="D507">
        <v>27568.6</v>
      </c>
      <c r="E507">
        <v>27611.55</v>
      </c>
      <c r="F507">
        <v>27335.15</v>
      </c>
      <c r="G507">
        <v>27528.75</v>
      </c>
      <c r="H507">
        <v>0</v>
      </c>
      <c r="I507" s="8">
        <f t="shared" si="29"/>
        <v>1.6391533890995902E-3</v>
      </c>
      <c r="J507" s="8">
        <f t="shared" si="30"/>
        <v>1.637811443419497E-3</v>
      </c>
      <c r="K507" s="8">
        <f t="shared" si="27"/>
        <v>9.2905123746456875E-2</v>
      </c>
    </row>
    <row r="508" spans="1:11" x14ac:dyDescent="0.25">
      <c r="A508" t="str">
        <f t="shared" si="28"/>
        <v>12019</v>
      </c>
      <c r="B508" s="1">
        <v>43483</v>
      </c>
      <c r="C508" t="s">
        <v>329</v>
      </c>
      <c r="D508">
        <v>27550.05</v>
      </c>
      <c r="E508">
        <v>27576.45</v>
      </c>
      <c r="F508">
        <v>27410.65</v>
      </c>
      <c r="G508">
        <v>27456.7</v>
      </c>
      <c r="H508">
        <v>0</v>
      </c>
      <c r="I508" s="8">
        <f t="shared" si="29"/>
        <v>-2.6172637696952883E-3</v>
      </c>
      <c r="J508" s="8">
        <f t="shared" si="30"/>
        <v>-2.6206947924172106E-3</v>
      </c>
      <c r="K508" s="8">
        <f t="shared" si="27"/>
        <v>9.4511636065024884E-2</v>
      </c>
    </row>
    <row r="509" spans="1:11" x14ac:dyDescent="0.25">
      <c r="A509" t="str">
        <f t="shared" si="28"/>
        <v>12019</v>
      </c>
      <c r="B509" s="1">
        <v>43486</v>
      </c>
      <c r="C509" t="s">
        <v>330</v>
      </c>
      <c r="D509">
        <v>27514.55</v>
      </c>
      <c r="E509">
        <v>27622.2</v>
      </c>
      <c r="F509">
        <v>27388.5</v>
      </c>
      <c r="G509">
        <v>27533.599999999999</v>
      </c>
      <c r="H509">
        <v>0</v>
      </c>
      <c r="I509" s="8">
        <f t="shared" si="29"/>
        <v>2.8007735816757418E-3</v>
      </c>
      <c r="J509" s="8">
        <f t="shared" si="30"/>
        <v>2.7968587233987243E-3</v>
      </c>
      <c r="K509" s="8">
        <f t="shared" si="27"/>
        <v>9.7892226838818708E-2</v>
      </c>
    </row>
    <row r="510" spans="1:11" x14ac:dyDescent="0.25">
      <c r="A510" t="str">
        <f t="shared" si="28"/>
        <v>12019</v>
      </c>
      <c r="B510" s="1">
        <v>43487</v>
      </c>
      <c r="C510" t="s">
        <v>331</v>
      </c>
      <c r="D510">
        <v>27526.55</v>
      </c>
      <c r="E510">
        <v>27533.35</v>
      </c>
      <c r="F510">
        <v>27385.4</v>
      </c>
      <c r="G510">
        <v>27482.25</v>
      </c>
      <c r="H510">
        <v>0</v>
      </c>
      <c r="I510" s="8">
        <f t="shared" si="29"/>
        <v>-1.864994043641155E-3</v>
      </c>
      <c r="J510" s="8">
        <f t="shared" si="30"/>
        <v>-1.8667353103373808E-3</v>
      </c>
      <c r="K510" s="8">
        <f t="shared" si="27"/>
        <v>0.10050275403494657</v>
      </c>
    </row>
    <row r="511" spans="1:11" x14ac:dyDescent="0.25">
      <c r="A511" t="str">
        <f t="shared" si="28"/>
        <v>12019</v>
      </c>
      <c r="B511" s="1">
        <v>43488</v>
      </c>
      <c r="C511" t="s">
        <v>332</v>
      </c>
      <c r="D511">
        <v>27493.1</v>
      </c>
      <c r="E511">
        <v>27564.7</v>
      </c>
      <c r="F511">
        <v>27189.599999999999</v>
      </c>
      <c r="G511">
        <v>27250.75</v>
      </c>
      <c r="H511">
        <v>0</v>
      </c>
      <c r="I511" s="8">
        <f t="shared" si="29"/>
        <v>-8.4236188812779611E-3</v>
      </c>
      <c r="J511" s="8">
        <f t="shared" si="30"/>
        <v>-8.4592980653241112E-3</v>
      </c>
      <c r="K511" s="8">
        <f t="shared" si="27"/>
        <v>8.7237972885629622E-2</v>
      </c>
    </row>
    <row r="512" spans="1:11" x14ac:dyDescent="0.25">
      <c r="A512" t="str">
        <f t="shared" si="28"/>
        <v>12019</v>
      </c>
      <c r="B512" s="1">
        <v>43489</v>
      </c>
      <c r="C512" t="s">
        <v>333</v>
      </c>
      <c r="D512">
        <v>27273.5</v>
      </c>
      <c r="E512">
        <v>27342.35</v>
      </c>
      <c r="F512">
        <v>27142.799999999999</v>
      </c>
      <c r="G512">
        <v>27266.400000000001</v>
      </c>
      <c r="H512">
        <v>0</v>
      </c>
      <c r="I512" s="8">
        <f t="shared" si="29"/>
        <v>5.7429612029036292E-4</v>
      </c>
      <c r="J512" s="8">
        <f t="shared" si="30"/>
        <v>5.7413127538364663E-4</v>
      </c>
      <c r="K512" s="8">
        <f t="shared" ref="K512:K575" si="31">+G512/G451-1</f>
        <v>9.8678550777779428E-2</v>
      </c>
    </row>
    <row r="513" spans="1:11" x14ac:dyDescent="0.25">
      <c r="A513" t="str">
        <f t="shared" si="28"/>
        <v>12019</v>
      </c>
      <c r="B513" s="1">
        <v>43490</v>
      </c>
      <c r="C513" t="s">
        <v>334</v>
      </c>
      <c r="D513">
        <v>27261.45</v>
      </c>
      <c r="E513">
        <v>27433.55</v>
      </c>
      <c r="F513">
        <v>27045.200000000001</v>
      </c>
      <c r="G513">
        <v>27115.3</v>
      </c>
      <c r="H513">
        <v>0</v>
      </c>
      <c r="I513" s="8">
        <f t="shared" si="29"/>
        <v>-5.5416189889389011E-3</v>
      </c>
      <c r="J513" s="8">
        <f t="shared" si="30"/>
        <v>-5.5570307231257964E-3</v>
      </c>
      <c r="K513" s="8">
        <f t="shared" si="31"/>
        <v>0.11032490412983886</v>
      </c>
    </row>
    <row r="514" spans="1:11" x14ac:dyDescent="0.25">
      <c r="A514" t="str">
        <f t="shared" si="28"/>
        <v>12019</v>
      </c>
      <c r="B514" s="1">
        <v>43493</v>
      </c>
      <c r="C514" t="s">
        <v>335</v>
      </c>
      <c r="D514">
        <v>27041.45</v>
      </c>
      <c r="E514">
        <v>27134.2</v>
      </c>
      <c r="F514">
        <v>26587.95</v>
      </c>
      <c r="G514">
        <v>26653.05</v>
      </c>
      <c r="H514">
        <v>0</v>
      </c>
      <c r="I514" s="8">
        <f t="shared" si="29"/>
        <v>-1.7047570928590106E-2</v>
      </c>
      <c r="J514" s="8">
        <f t="shared" si="30"/>
        <v>-1.7194553626111869E-2</v>
      </c>
      <c r="K514" s="8">
        <f t="shared" si="31"/>
        <v>6.784336350196507E-2</v>
      </c>
    </row>
    <row r="515" spans="1:11" x14ac:dyDescent="0.25">
      <c r="A515" t="str">
        <f t="shared" ref="A515:A578" si="32">+MONTH(B515)&amp;YEAR(B515)</f>
        <v>12019</v>
      </c>
      <c r="B515" s="1">
        <v>43494</v>
      </c>
      <c r="C515" t="s">
        <v>336</v>
      </c>
      <c r="D515">
        <v>26616.25</v>
      </c>
      <c r="E515">
        <v>26743.85</v>
      </c>
      <c r="F515">
        <v>26441.55</v>
      </c>
      <c r="G515">
        <v>26573.4</v>
      </c>
      <c r="H515">
        <v>0</v>
      </c>
      <c r="I515" s="8">
        <f t="shared" si="29"/>
        <v>-2.988400952236181E-3</v>
      </c>
      <c r="J515" s="8">
        <f t="shared" si="30"/>
        <v>-2.9928751383599319E-3</v>
      </c>
      <c r="K515" s="8">
        <f t="shared" si="31"/>
        <v>7.1173322852737586E-2</v>
      </c>
    </row>
    <row r="516" spans="1:11" x14ac:dyDescent="0.25">
      <c r="A516" t="str">
        <f t="shared" si="32"/>
        <v>12019</v>
      </c>
      <c r="B516" s="1">
        <v>43495</v>
      </c>
      <c r="C516" t="s">
        <v>337</v>
      </c>
      <c r="D516">
        <v>26789.75</v>
      </c>
      <c r="E516">
        <v>26916.25</v>
      </c>
      <c r="F516">
        <v>26693.7</v>
      </c>
      <c r="G516">
        <v>26825.5</v>
      </c>
      <c r="H516">
        <v>0</v>
      </c>
      <c r="I516" s="8">
        <f t="shared" ref="I516:I579" si="33">+G516/G515-1</f>
        <v>9.4869305395619552E-3</v>
      </c>
      <c r="J516" s="8">
        <f t="shared" ref="J516:J579" si="34">+LN(1+I516)</f>
        <v>9.4422122179661731E-3</v>
      </c>
      <c r="K516" s="8">
        <f t="shared" si="31"/>
        <v>6.6482462504845241E-2</v>
      </c>
    </row>
    <row r="517" spans="1:11" x14ac:dyDescent="0.25">
      <c r="A517" t="str">
        <f t="shared" si="32"/>
        <v>12019</v>
      </c>
      <c r="B517" s="1">
        <v>43496</v>
      </c>
      <c r="C517" t="s">
        <v>338</v>
      </c>
      <c r="D517">
        <v>26969.15</v>
      </c>
      <c r="E517">
        <v>27325.05</v>
      </c>
      <c r="F517">
        <v>26891.05</v>
      </c>
      <c r="G517">
        <v>27295.45</v>
      </c>
      <c r="H517">
        <v>0</v>
      </c>
      <c r="I517" s="8">
        <f t="shared" si="33"/>
        <v>1.7518778773927712E-2</v>
      </c>
      <c r="J517" s="8">
        <f t="shared" si="34"/>
        <v>1.736709396177882E-2</v>
      </c>
      <c r="K517" s="8">
        <f t="shared" si="31"/>
        <v>7.7863973005471099E-2</v>
      </c>
    </row>
    <row r="518" spans="1:11" x14ac:dyDescent="0.25">
      <c r="A518" t="str">
        <f t="shared" si="32"/>
        <v>22019</v>
      </c>
      <c r="B518" s="1">
        <v>43497</v>
      </c>
      <c r="C518" s="10">
        <v>43467.645833333336</v>
      </c>
      <c r="D518">
        <v>27334.55</v>
      </c>
      <c r="E518">
        <v>27533.05</v>
      </c>
      <c r="F518">
        <v>26930.45</v>
      </c>
      <c r="G518">
        <v>27085.95</v>
      </c>
      <c r="H518">
        <v>0</v>
      </c>
      <c r="I518" s="8">
        <f t="shared" si="33"/>
        <v>-7.6752718859737223E-3</v>
      </c>
      <c r="J518" s="8">
        <f t="shared" si="34"/>
        <v>-7.7048783744282576E-3</v>
      </c>
      <c r="K518" s="8">
        <f t="shared" si="31"/>
        <v>5.3860355269019555E-2</v>
      </c>
    </row>
    <row r="519" spans="1:11" x14ac:dyDescent="0.25">
      <c r="A519" t="str">
        <f t="shared" si="32"/>
        <v>22019</v>
      </c>
      <c r="B519" s="1">
        <v>43500</v>
      </c>
      <c r="C519" s="10">
        <v>43557.645833333336</v>
      </c>
      <c r="D519">
        <v>26974</v>
      </c>
      <c r="E519">
        <v>27243.8</v>
      </c>
      <c r="F519">
        <v>26825.55</v>
      </c>
      <c r="G519">
        <v>27186.6</v>
      </c>
      <c r="H519">
        <v>0</v>
      </c>
      <c r="I519" s="8">
        <f t="shared" si="33"/>
        <v>3.7159486744973158E-3</v>
      </c>
      <c r="J519" s="8">
        <f t="shared" si="34"/>
        <v>3.7090615933088929E-3</v>
      </c>
      <c r="K519" s="8">
        <f t="shared" si="31"/>
        <v>5.6520623965303995E-2</v>
      </c>
    </row>
    <row r="520" spans="1:11" x14ac:dyDescent="0.25">
      <c r="A520" t="str">
        <f t="shared" si="32"/>
        <v>22019</v>
      </c>
      <c r="B520" s="1">
        <v>43501</v>
      </c>
      <c r="C520" s="10">
        <v>43587.645833333336</v>
      </c>
      <c r="D520">
        <v>27226.05</v>
      </c>
      <c r="E520">
        <v>27348.25</v>
      </c>
      <c r="F520">
        <v>27153.200000000001</v>
      </c>
      <c r="G520">
        <v>27271.7</v>
      </c>
      <c r="H520">
        <v>0</v>
      </c>
      <c r="I520" s="8">
        <f t="shared" si="33"/>
        <v>3.1302185635571078E-3</v>
      </c>
      <c r="J520" s="8">
        <f t="shared" si="34"/>
        <v>3.1253296290614497E-3</v>
      </c>
      <c r="K520" s="8">
        <f t="shared" si="31"/>
        <v>6.5384014376123067E-2</v>
      </c>
    </row>
    <row r="521" spans="1:11" x14ac:dyDescent="0.25">
      <c r="A521" t="str">
        <f t="shared" si="32"/>
        <v>22019</v>
      </c>
      <c r="B521" s="1">
        <v>43502</v>
      </c>
      <c r="C521" s="10">
        <v>43618.645833333336</v>
      </c>
      <c r="D521">
        <v>27326.2</v>
      </c>
      <c r="E521">
        <v>27428.65</v>
      </c>
      <c r="F521">
        <v>27294.1</v>
      </c>
      <c r="G521">
        <v>27402.35</v>
      </c>
      <c r="H521">
        <v>0</v>
      </c>
      <c r="I521" s="8">
        <f t="shared" si="33"/>
        <v>4.7906804489634691E-3</v>
      </c>
      <c r="J521" s="8">
        <f t="shared" si="34"/>
        <v>4.7792416578955454E-3</v>
      </c>
      <c r="K521" s="8">
        <f t="shared" si="31"/>
        <v>6.3301773311086107E-2</v>
      </c>
    </row>
    <row r="522" spans="1:11" x14ac:dyDescent="0.25">
      <c r="A522" t="str">
        <f t="shared" si="32"/>
        <v>22019</v>
      </c>
      <c r="B522" s="1">
        <v>43503</v>
      </c>
      <c r="C522" s="10">
        <v>43648.645833333336</v>
      </c>
      <c r="D522">
        <v>27424.1</v>
      </c>
      <c r="E522">
        <v>27589.75</v>
      </c>
      <c r="F522">
        <v>27322.95</v>
      </c>
      <c r="G522">
        <v>27387.15</v>
      </c>
      <c r="H522">
        <v>0</v>
      </c>
      <c r="I522" s="8">
        <f t="shared" si="33"/>
        <v>-5.5469695117382756E-4</v>
      </c>
      <c r="J522" s="8">
        <f t="shared" si="34"/>
        <v>-5.5485085244265625E-4</v>
      </c>
      <c r="K522" s="8">
        <f t="shared" si="31"/>
        <v>7.2334302410947737E-2</v>
      </c>
    </row>
    <row r="523" spans="1:11" x14ac:dyDescent="0.25">
      <c r="A523" t="str">
        <f t="shared" si="32"/>
        <v>22019</v>
      </c>
      <c r="B523" s="1">
        <v>43504</v>
      </c>
      <c r="C523" s="10">
        <v>43679.645833333336</v>
      </c>
      <c r="D523">
        <v>27302.65</v>
      </c>
      <c r="E523">
        <v>27482.1</v>
      </c>
      <c r="F523">
        <v>27221.25</v>
      </c>
      <c r="G523">
        <v>27294.400000000001</v>
      </c>
      <c r="H523">
        <v>0</v>
      </c>
      <c r="I523" s="8">
        <f t="shared" si="33"/>
        <v>-3.3866247491980417E-3</v>
      </c>
      <c r="J523" s="8">
        <f t="shared" si="34"/>
        <v>-3.3923723430920121E-3</v>
      </c>
      <c r="K523" s="8">
        <f t="shared" si="31"/>
        <v>5.9211598612264549E-2</v>
      </c>
    </row>
    <row r="524" spans="1:11" x14ac:dyDescent="0.25">
      <c r="A524" t="str">
        <f t="shared" si="32"/>
        <v>22019</v>
      </c>
      <c r="B524" s="1">
        <v>43507</v>
      </c>
      <c r="C524" s="10">
        <v>43771.645833333336</v>
      </c>
      <c r="D524">
        <v>27240.5</v>
      </c>
      <c r="E524">
        <v>27305.9</v>
      </c>
      <c r="F524">
        <v>27151.55</v>
      </c>
      <c r="G524">
        <v>27227.8</v>
      </c>
      <c r="H524">
        <v>0</v>
      </c>
      <c r="I524" s="8">
        <f t="shared" si="33"/>
        <v>-2.4400609648866922E-3</v>
      </c>
      <c r="J524" s="8">
        <f t="shared" si="34"/>
        <v>-2.4430427651467358E-3</v>
      </c>
      <c r="K524" s="8">
        <f t="shared" si="31"/>
        <v>5.0044060678399394E-2</v>
      </c>
    </row>
    <row r="525" spans="1:11" x14ac:dyDescent="0.25">
      <c r="A525" t="str">
        <f t="shared" si="32"/>
        <v>22019</v>
      </c>
      <c r="B525" s="1">
        <v>43508</v>
      </c>
      <c r="C525" s="10">
        <v>43801.645833333336</v>
      </c>
      <c r="D525">
        <v>27166.9</v>
      </c>
      <c r="E525">
        <v>27286.65</v>
      </c>
      <c r="F525">
        <v>26988.9</v>
      </c>
      <c r="G525">
        <v>27010.75</v>
      </c>
      <c r="H525">
        <v>0</v>
      </c>
      <c r="I525" s="8">
        <f t="shared" si="33"/>
        <v>-7.9716319350076059E-3</v>
      </c>
      <c r="J525" s="8">
        <f t="shared" si="34"/>
        <v>-8.0035752664360093E-3</v>
      </c>
      <c r="K525" s="8">
        <f t="shared" si="31"/>
        <v>3.2728280713828273E-2</v>
      </c>
    </row>
    <row r="526" spans="1:11" x14ac:dyDescent="0.25">
      <c r="A526" t="str">
        <f t="shared" si="32"/>
        <v>22019</v>
      </c>
      <c r="B526" s="1">
        <v>43509</v>
      </c>
      <c r="C526" t="s">
        <v>339</v>
      </c>
      <c r="D526">
        <v>27068.85</v>
      </c>
      <c r="E526">
        <v>27108</v>
      </c>
      <c r="F526">
        <v>26839.05</v>
      </c>
      <c r="G526">
        <v>26885.4</v>
      </c>
      <c r="H526">
        <v>0</v>
      </c>
      <c r="I526" s="8">
        <f t="shared" si="33"/>
        <v>-4.6407448886091052E-3</v>
      </c>
      <c r="J526" s="8">
        <f t="shared" si="34"/>
        <v>-4.651546576711592E-3</v>
      </c>
      <c r="K526" s="8">
        <f t="shared" si="31"/>
        <v>2.4379370979080273E-2</v>
      </c>
    </row>
    <row r="527" spans="1:11" x14ac:dyDescent="0.25">
      <c r="A527" t="str">
        <f t="shared" si="32"/>
        <v>22019</v>
      </c>
      <c r="B527" s="1">
        <v>43510</v>
      </c>
      <c r="C527" t="s">
        <v>340</v>
      </c>
      <c r="D527">
        <v>26978</v>
      </c>
      <c r="E527">
        <v>27030</v>
      </c>
      <c r="F527">
        <v>26818.05</v>
      </c>
      <c r="G527">
        <v>26970.6</v>
      </c>
      <c r="H527">
        <v>0</v>
      </c>
      <c r="I527" s="8">
        <f t="shared" si="33"/>
        <v>3.1690062264275731E-3</v>
      </c>
      <c r="J527" s="8">
        <f t="shared" si="34"/>
        <v>3.1639955094007674E-3</v>
      </c>
      <c r="K527" s="8">
        <f t="shared" si="31"/>
        <v>2.5470804959563775E-2</v>
      </c>
    </row>
    <row r="528" spans="1:11" x14ac:dyDescent="0.25">
      <c r="A528" t="str">
        <f t="shared" si="32"/>
        <v>22019</v>
      </c>
      <c r="B528" s="1">
        <v>43511</v>
      </c>
      <c r="C528" t="s">
        <v>341</v>
      </c>
      <c r="D528">
        <v>27017.200000000001</v>
      </c>
      <c r="E528">
        <v>27029.95</v>
      </c>
      <c r="F528">
        <v>26635.25</v>
      </c>
      <c r="G528">
        <v>26794.25</v>
      </c>
      <c r="H528">
        <v>0</v>
      </c>
      <c r="I528" s="8">
        <f t="shared" si="33"/>
        <v>-6.5386012917769687E-3</v>
      </c>
      <c r="J528" s="8">
        <f t="shared" si="34"/>
        <v>-6.5600715868439075E-3</v>
      </c>
      <c r="K528" s="8">
        <f t="shared" si="31"/>
        <v>2.6074785502434583E-2</v>
      </c>
    </row>
    <row r="529" spans="1:11" x14ac:dyDescent="0.25">
      <c r="A529" t="str">
        <f t="shared" si="32"/>
        <v>22019</v>
      </c>
      <c r="B529" s="1">
        <v>43514</v>
      </c>
      <c r="C529" t="s">
        <v>342</v>
      </c>
      <c r="D529">
        <v>26754.6</v>
      </c>
      <c r="E529">
        <v>26829.95</v>
      </c>
      <c r="F529">
        <v>26617.7</v>
      </c>
      <c r="G529">
        <v>26654.25</v>
      </c>
      <c r="H529">
        <v>0</v>
      </c>
      <c r="I529" s="8">
        <f t="shared" si="33"/>
        <v>-5.2250016328130311E-3</v>
      </c>
      <c r="J529" s="8">
        <f t="shared" si="34"/>
        <v>-5.2386996895911345E-3</v>
      </c>
      <c r="K529" s="8">
        <f t="shared" si="31"/>
        <v>1.4934096919319018E-2</v>
      </c>
    </row>
    <row r="530" spans="1:11" x14ac:dyDescent="0.25">
      <c r="A530" t="str">
        <f t="shared" si="32"/>
        <v>22019</v>
      </c>
      <c r="B530" s="1">
        <v>43515</v>
      </c>
      <c r="C530" t="s">
        <v>343</v>
      </c>
      <c r="D530">
        <v>26666.55</v>
      </c>
      <c r="E530">
        <v>26996.45</v>
      </c>
      <c r="F530">
        <v>26625.599999999999</v>
      </c>
      <c r="G530">
        <v>26684.85</v>
      </c>
      <c r="H530">
        <v>0</v>
      </c>
      <c r="I530" s="8">
        <f t="shared" si="33"/>
        <v>1.148034553589028E-3</v>
      </c>
      <c r="J530" s="8">
        <f t="shared" si="34"/>
        <v>1.1473760658505096E-3</v>
      </c>
      <c r="K530" s="8">
        <f t="shared" si="31"/>
        <v>2.6362096121264056E-2</v>
      </c>
    </row>
    <row r="531" spans="1:11" x14ac:dyDescent="0.25">
      <c r="A531" t="str">
        <f t="shared" si="32"/>
        <v>22019</v>
      </c>
      <c r="B531" s="1">
        <v>43516</v>
      </c>
      <c r="C531" t="s">
        <v>344</v>
      </c>
      <c r="D531">
        <v>26786</v>
      </c>
      <c r="E531">
        <v>26985.5</v>
      </c>
      <c r="F531">
        <v>26732.65</v>
      </c>
      <c r="G531">
        <v>26955.5</v>
      </c>
      <c r="H531">
        <v>0</v>
      </c>
      <c r="I531" s="8">
        <f t="shared" si="33"/>
        <v>1.0142459110694002E-2</v>
      </c>
      <c r="J531" s="8">
        <f t="shared" si="34"/>
        <v>1.0091369531195635E-2</v>
      </c>
      <c r="K531" s="8">
        <f t="shared" si="31"/>
        <v>2.2373850775252668E-2</v>
      </c>
    </row>
    <row r="532" spans="1:11" x14ac:dyDescent="0.25">
      <c r="A532" t="str">
        <f t="shared" si="32"/>
        <v>22019</v>
      </c>
      <c r="B532" s="1">
        <v>43517</v>
      </c>
      <c r="C532" t="s">
        <v>345</v>
      </c>
      <c r="D532">
        <v>26994.75</v>
      </c>
      <c r="E532">
        <v>27100.9</v>
      </c>
      <c r="F532">
        <v>26973</v>
      </c>
      <c r="G532">
        <v>27052.400000000001</v>
      </c>
      <c r="H532">
        <v>0</v>
      </c>
      <c r="I532" s="8">
        <f t="shared" si="33"/>
        <v>3.5948136743892967E-3</v>
      </c>
      <c r="J532" s="8">
        <f t="shared" si="34"/>
        <v>3.5883677749652706E-3</v>
      </c>
      <c r="K532" s="8">
        <f t="shared" si="31"/>
        <v>2.3041927761873637E-2</v>
      </c>
    </row>
    <row r="533" spans="1:11" x14ac:dyDescent="0.25">
      <c r="A533" t="str">
        <f t="shared" si="32"/>
        <v>22019</v>
      </c>
      <c r="B533" s="1">
        <v>43518</v>
      </c>
      <c r="C533" t="s">
        <v>346</v>
      </c>
      <c r="D533">
        <v>26960.05</v>
      </c>
      <c r="E533">
        <v>26997.35</v>
      </c>
      <c r="F533">
        <v>26847.8</v>
      </c>
      <c r="G533">
        <v>26867.55</v>
      </c>
      <c r="H533">
        <v>0</v>
      </c>
      <c r="I533" s="8">
        <f t="shared" si="33"/>
        <v>-6.8330351466044936E-3</v>
      </c>
      <c r="J533" s="8">
        <f t="shared" si="34"/>
        <v>-6.8564872249006065E-3</v>
      </c>
      <c r="K533" s="8">
        <f t="shared" si="31"/>
        <v>1.5481169175994403E-2</v>
      </c>
    </row>
    <row r="534" spans="1:11" x14ac:dyDescent="0.25">
      <c r="A534" t="str">
        <f t="shared" si="32"/>
        <v>22019</v>
      </c>
      <c r="B534" s="1">
        <v>43521</v>
      </c>
      <c r="C534" t="s">
        <v>347</v>
      </c>
      <c r="D534">
        <v>26934.2</v>
      </c>
      <c r="E534">
        <v>27197.1</v>
      </c>
      <c r="F534">
        <v>26932.65</v>
      </c>
      <c r="G534">
        <v>27159.25</v>
      </c>
      <c r="H534">
        <v>0</v>
      </c>
      <c r="I534" s="8">
        <f t="shared" si="33"/>
        <v>1.0856963139549425E-2</v>
      </c>
      <c r="J534" s="8">
        <f t="shared" si="34"/>
        <v>1.0798449454878753E-2</v>
      </c>
      <c r="K534" s="8">
        <f t="shared" si="31"/>
        <v>8.1534246982137848E-3</v>
      </c>
    </row>
    <row r="535" spans="1:11" x14ac:dyDescent="0.25">
      <c r="A535" t="str">
        <f t="shared" si="32"/>
        <v>22019</v>
      </c>
      <c r="B535" s="1">
        <v>43522</v>
      </c>
      <c r="C535" t="s">
        <v>348</v>
      </c>
      <c r="D535">
        <v>26853.8</v>
      </c>
      <c r="E535">
        <v>27127.25</v>
      </c>
      <c r="F535">
        <v>26736.6</v>
      </c>
      <c r="G535">
        <v>26952.95</v>
      </c>
      <c r="H535">
        <v>0</v>
      </c>
      <c r="I535" s="8">
        <f t="shared" si="33"/>
        <v>-7.5959387685594626E-3</v>
      </c>
      <c r="J535" s="8">
        <f t="shared" si="34"/>
        <v>-7.6249348396920345E-3</v>
      </c>
      <c r="K535" s="8">
        <f t="shared" si="31"/>
        <v>3.3503394079950066E-3</v>
      </c>
    </row>
    <row r="536" spans="1:11" x14ac:dyDescent="0.25">
      <c r="A536" t="str">
        <f t="shared" si="32"/>
        <v>22019</v>
      </c>
      <c r="B536" s="1">
        <v>43523</v>
      </c>
      <c r="C536" t="s">
        <v>349</v>
      </c>
      <c r="D536">
        <v>27078.1</v>
      </c>
      <c r="E536">
        <v>27189.45</v>
      </c>
      <c r="F536">
        <v>26719.4</v>
      </c>
      <c r="G536">
        <v>26799.3</v>
      </c>
      <c r="H536">
        <v>0</v>
      </c>
      <c r="I536" s="8">
        <f t="shared" si="33"/>
        <v>-5.7006746942357411E-3</v>
      </c>
      <c r="J536" s="8">
        <f t="shared" si="34"/>
        <v>-5.7169855583787425E-3</v>
      </c>
      <c r="K536" s="8">
        <f t="shared" si="31"/>
        <v>-2.1688500998787719E-3</v>
      </c>
    </row>
    <row r="537" spans="1:11" x14ac:dyDescent="0.25">
      <c r="A537" t="str">
        <f t="shared" si="32"/>
        <v>22019</v>
      </c>
      <c r="B537" s="1">
        <v>43524</v>
      </c>
      <c r="C537" t="s">
        <v>350</v>
      </c>
      <c r="D537">
        <v>26878</v>
      </c>
      <c r="E537">
        <v>26920.5</v>
      </c>
      <c r="F537">
        <v>26762.55</v>
      </c>
      <c r="G537">
        <v>26789.9</v>
      </c>
      <c r="H537">
        <v>0</v>
      </c>
      <c r="I537" s="8">
        <f t="shared" si="33"/>
        <v>-3.5075543017903943E-4</v>
      </c>
      <c r="J537" s="8">
        <f t="shared" si="34"/>
        <v>-3.5081695925313135E-4</v>
      </c>
      <c r="K537" s="8">
        <f t="shared" si="31"/>
        <v>3.600086911567546E-3</v>
      </c>
    </row>
    <row r="538" spans="1:11" x14ac:dyDescent="0.25">
      <c r="A538" t="str">
        <f t="shared" si="32"/>
        <v>32019</v>
      </c>
      <c r="B538" s="1">
        <v>43525</v>
      </c>
      <c r="C538" s="10">
        <v>43468.645833333336</v>
      </c>
      <c r="D538">
        <v>26941</v>
      </c>
      <c r="E538">
        <v>27076.55</v>
      </c>
      <c r="F538">
        <v>26928.9</v>
      </c>
      <c r="G538">
        <v>27043.9</v>
      </c>
      <c r="H538">
        <v>0</v>
      </c>
      <c r="I538" s="8">
        <f t="shared" si="33"/>
        <v>9.4811850734792813E-3</v>
      </c>
      <c r="J538" s="8">
        <f t="shared" si="34"/>
        <v>9.4365207302816879E-3</v>
      </c>
      <c r="K538" s="8">
        <f t="shared" si="31"/>
        <v>1.977028311135931E-2</v>
      </c>
    </row>
    <row r="539" spans="1:11" x14ac:dyDescent="0.25">
      <c r="A539" t="str">
        <f t="shared" si="32"/>
        <v>32019</v>
      </c>
      <c r="B539" s="1">
        <v>43529</v>
      </c>
      <c r="C539" s="10">
        <v>43588.645833333336</v>
      </c>
      <c r="D539">
        <v>27068.15</v>
      </c>
      <c r="E539">
        <v>27580.75</v>
      </c>
      <c r="F539">
        <v>26958.1</v>
      </c>
      <c r="G539">
        <v>27554.05</v>
      </c>
      <c r="H539">
        <v>0</v>
      </c>
      <c r="I539" s="8">
        <f t="shared" si="33"/>
        <v>1.8863773346299739E-2</v>
      </c>
      <c r="J539" s="8">
        <f t="shared" si="34"/>
        <v>1.8688058695591165E-2</v>
      </c>
      <c r="K539" s="8">
        <f t="shared" si="31"/>
        <v>5.174954100075202E-2</v>
      </c>
    </row>
    <row r="540" spans="1:11" x14ac:dyDescent="0.25">
      <c r="A540" t="str">
        <f t="shared" si="32"/>
        <v>32019</v>
      </c>
      <c r="B540" s="1">
        <v>43530</v>
      </c>
      <c r="C540" s="10">
        <v>43619.645833333336</v>
      </c>
      <c r="D540">
        <v>27618.1</v>
      </c>
      <c r="E540">
        <v>27681.65</v>
      </c>
      <c r="F540">
        <v>27492.05</v>
      </c>
      <c r="G540">
        <v>27625.65</v>
      </c>
      <c r="H540">
        <v>0</v>
      </c>
      <c r="I540" s="8">
        <f t="shared" si="33"/>
        <v>2.5985290728587351E-3</v>
      </c>
      <c r="J540" s="8">
        <f t="shared" si="34"/>
        <v>2.595158733541388E-3</v>
      </c>
      <c r="K540" s="8">
        <f t="shared" si="31"/>
        <v>3.8780866576672457E-2</v>
      </c>
    </row>
    <row r="541" spans="1:11" x14ac:dyDescent="0.25">
      <c r="A541" t="str">
        <f t="shared" si="32"/>
        <v>32019</v>
      </c>
      <c r="B541" s="1">
        <v>43531</v>
      </c>
      <c r="C541" s="10">
        <v>43649.645833333336</v>
      </c>
      <c r="D541">
        <v>27661</v>
      </c>
      <c r="E541">
        <v>27815.5</v>
      </c>
      <c r="F541">
        <v>27560</v>
      </c>
      <c r="G541">
        <v>27764.6</v>
      </c>
      <c r="H541">
        <v>0</v>
      </c>
      <c r="I541" s="8">
        <f t="shared" si="33"/>
        <v>5.0297459064310157E-3</v>
      </c>
      <c r="J541" s="8">
        <f t="shared" si="34"/>
        <v>5.0171389898761576E-3</v>
      </c>
      <c r="K541" s="8">
        <f t="shared" si="31"/>
        <v>6.3669780654454611E-2</v>
      </c>
    </row>
    <row r="542" spans="1:11" x14ac:dyDescent="0.25">
      <c r="A542" t="str">
        <f t="shared" si="32"/>
        <v>32019</v>
      </c>
      <c r="B542" s="1">
        <v>43532</v>
      </c>
      <c r="C542" s="10">
        <v>43680.645833333336</v>
      </c>
      <c r="D542">
        <v>27686.15</v>
      </c>
      <c r="E542">
        <v>27811.35</v>
      </c>
      <c r="F542">
        <v>27645.4</v>
      </c>
      <c r="G542">
        <v>27761.8</v>
      </c>
      <c r="H542">
        <v>0</v>
      </c>
      <c r="I542" s="8">
        <f t="shared" si="33"/>
        <v>-1.0084784221631171E-4</v>
      </c>
      <c r="J542" s="8">
        <f t="shared" si="34"/>
        <v>-1.0085292770186126E-4</v>
      </c>
      <c r="K542" s="8">
        <f t="shared" si="31"/>
        <v>6.1092977212441779E-2</v>
      </c>
    </row>
    <row r="543" spans="1:11" x14ac:dyDescent="0.25">
      <c r="A543" t="str">
        <f t="shared" si="32"/>
        <v>32019</v>
      </c>
      <c r="B543" s="1">
        <v>43535</v>
      </c>
      <c r="C543" s="10">
        <v>43772.645833333336</v>
      </c>
      <c r="D543">
        <v>27840.1</v>
      </c>
      <c r="E543">
        <v>28035.599999999999</v>
      </c>
      <c r="F543">
        <v>27791.25</v>
      </c>
      <c r="G543">
        <v>27966.65</v>
      </c>
      <c r="H543">
        <v>0</v>
      </c>
      <c r="I543" s="8">
        <f t="shared" si="33"/>
        <v>7.3788443112479118E-3</v>
      </c>
      <c r="J543" s="8">
        <f t="shared" si="34"/>
        <v>7.3517538222729597E-3</v>
      </c>
      <c r="K543" s="8">
        <f t="shared" si="31"/>
        <v>4.9647479624754132E-2</v>
      </c>
    </row>
    <row r="544" spans="1:11" x14ac:dyDescent="0.25">
      <c r="A544" t="str">
        <f t="shared" si="32"/>
        <v>32019</v>
      </c>
      <c r="B544" s="1">
        <v>43536</v>
      </c>
      <c r="C544" s="10">
        <v>43802.645833333336</v>
      </c>
      <c r="D544">
        <v>28168.2</v>
      </c>
      <c r="E544">
        <v>28488.1</v>
      </c>
      <c r="F544">
        <v>28142.25</v>
      </c>
      <c r="G544">
        <v>28443.7</v>
      </c>
      <c r="H544">
        <v>0</v>
      </c>
      <c r="I544" s="8">
        <f t="shared" si="33"/>
        <v>1.7057817078556026E-2</v>
      </c>
      <c r="J544" s="8">
        <f t="shared" si="34"/>
        <v>1.6913966068536946E-2</v>
      </c>
      <c r="K544" s="8">
        <f t="shared" si="31"/>
        <v>6.0684992551186312E-2</v>
      </c>
    </row>
    <row r="545" spans="1:11" x14ac:dyDescent="0.25">
      <c r="A545" t="str">
        <f t="shared" si="32"/>
        <v>32019</v>
      </c>
      <c r="B545" s="1">
        <v>43537</v>
      </c>
      <c r="C545" t="s">
        <v>351</v>
      </c>
      <c r="D545">
        <v>28480.3</v>
      </c>
      <c r="E545">
        <v>28927.7</v>
      </c>
      <c r="F545">
        <v>28353.65</v>
      </c>
      <c r="G545">
        <v>28884.3</v>
      </c>
      <c r="H545">
        <v>0</v>
      </c>
      <c r="I545" s="8">
        <f t="shared" si="33"/>
        <v>1.5490249158864655E-2</v>
      </c>
      <c r="J545" s="8">
        <f t="shared" si="34"/>
        <v>1.5371499982222085E-2</v>
      </c>
      <c r="K545" s="8">
        <f t="shared" si="31"/>
        <v>7.6727801386714312E-2</v>
      </c>
    </row>
    <row r="546" spans="1:11" x14ac:dyDescent="0.25">
      <c r="A546" t="str">
        <f t="shared" si="32"/>
        <v>32019</v>
      </c>
      <c r="B546" s="1">
        <v>43538</v>
      </c>
      <c r="C546" t="s">
        <v>352</v>
      </c>
      <c r="D546">
        <v>29028.9</v>
      </c>
      <c r="E546">
        <v>29070.35</v>
      </c>
      <c r="F546">
        <v>28819.75</v>
      </c>
      <c r="G546">
        <v>28923.1</v>
      </c>
      <c r="H546">
        <v>0</v>
      </c>
      <c r="I546" s="8">
        <f t="shared" si="33"/>
        <v>1.3432902995744733E-3</v>
      </c>
      <c r="J546" s="8">
        <f t="shared" si="34"/>
        <v>1.3423888923041383E-3</v>
      </c>
      <c r="K546" s="8">
        <f t="shared" si="31"/>
        <v>7.0599427001976522E-2</v>
      </c>
    </row>
    <row r="547" spans="1:11" x14ac:dyDescent="0.25">
      <c r="A547" t="str">
        <f t="shared" si="32"/>
        <v>32019</v>
      </c>
      <c r="B547" s="1">
        <v>43539</v>
      </c>
      <c r="C547" t="s">
        <v>353</v>
      </c>
      <c r="D547">
        <v>29007</v>
      </c>
      <c r="E547">
        <v>29520.7</v>
      </c>
      <c r="F547">
        <v>28990.85</v>
      </c>
      <c r="G547">
        <v>29381.45</v>
      </c>
      <c r="H547">
        <v>0</v>
      </c>
      <c r="I547" s="8">
        <f t="shared" si="33"/>
        <v>1.5847194802770082E-2</v>
      </c>
      <c r="J547" s="8">
        <f t="shared" si="34"/>
        <v>1.5722939029082891E-2</v>
      </c>
      <c r="K547" s="8">
        <f t="shared" si="31"/>
        <v>8.1206048272842057E-2</v>
      </c>
    </row>
    <row r="548" spans="1:11" x14ac:dyDescent="0.25">
      <c r="A548" t="str">
        <f t="shared" si="32"/>
        <v>32019</v>
      </c>
      <c r="B548" s="1">
        <v>43542</v>
      </c>
      <c r="C548" t="s">
        <v>354</v>
      </c>
      <c r="D548">
        <v>29521.599999999999</v>
      </c>
      <c r="E548">
        <v>29812</v>
      </c>
      <c r="F548">
        <v>29361.65</v>
      </c>
      <c r="G548">
        <v>29596.1</v>
      </c>
      <c r="H548">
        <v>0</v>
      </c>
      <c r="I548" s="8">
        <f t="shared" si="33"/>
        <v>7.3056299127509661E-3</v>
      </c>
      <c r="J548" s="8">
        <f t="shared" si="34"/>
        <v>7.2790730631110316E-3</v>
      </c>
      <c r="K548" s="8">
        <f t="shared" si="31"/>
        <v>8.4169768191542316E-2</v>
      </c>
    </row>
    <row r="549" spans="1:11" x14ac:dyDescent="0.25">
      <c r="A549" t="str">
        <f t="shared" si="32"/>
        <v>32019</v>
      </c>
      <c r="B549" s="1">
        <v>43543</v>
      </c>
      <c r="C549" t="s">
        <v>355</v>
      </c>
      <c r="D549">
        <v>29702.6</v>
      </c>
      <c r="E549">
        <v>29799.75</v>
      </c>
      <c r="F549">
        <v>29547.7</v>
      </c>
      <c r="G549">
        <v>29767.85</v>
      </c>
      <c r="H549">
        <v>0</v>
      </c>
      <c r="I549" s="8">
        <f t="shared" si="33"/>
        <v>5.8031294663825062E-3</v>
      </c>
      <c r="J549" s="8">
        <f t="shared" si="34"/>
        <v>5.7863561710325374E-3</v>
      </c>
      <c r="K549" s="8">
        <f t="shared" si="31"/>
        <v>9.1392882152586008E-2</v>
      </c>
    </row>
    <row r="550" spans="1:11" x14ac:dyDescent="0.25">
      <c r="A550" t="str">
        <f t="shared" si="32"/>
        <v>32019</v>
      </c>
      <c r="B550" s="1">
        <v>43544</v>
      </c>
      <c r="C550" t="s">
        <v>356</v>
      </c>
      <c r="D550">
        <v>29769.65</v>
      </c>
      <c r="E550">
        <v>29885.200000000001</v>
      </c>
      <c r="F550">
        <v>29633.5</v>
      </c>
      <c r="G550">
        <v>29832.2</v>
      </c>
      <c r="H550">
        <v>0</v>
      </c>
      <c r="I550" s="8">
        <f t="shared" si="33"/>
        <v>2.1617281731802773E-3</v>
      </c>
      <c r="J550" s="8">
        <f t="shared" si="34"/>
        <v>2.1593950006843659E-3</v>
      </c>
      <c r="K550" s="8">
        <f t="shared" si="31"/>
        <v>0.11025636731405131</v>
      </c>
    </row>
    <row r="551" spans="1:11" x14ac:dyDescent="0.25">
      <c r="A551" t="str">
        <f t="shared" si="32"/>
        <v>32019</v>
      </c>
      <c r="B551" s="1">
        <v>43546</v>
      </c>
      <c r="C551" t="s">
        <v>357</v>
      </c>
      <c r="D551">
        <v>29920.75</v>
      </c>
      <c r="E551">
        <v>30008.1</v>
      </c>
      <c r="F551">
        <v>29508.7</v>
      </c>
      <c r="G551">
        <v>29582.5</v>
      </c>
      <c r="H551">
        <v>0</v>
      </c>
      <c r="I551" s="8">
        <f t="shared" si="33"/>
        <v>-8.3701503744276762E-3</v>
      </c>
      <c r="J551" s="8">
        <f t="shared" si="34"/>
        <v>-8.4053767877137909E-3</v>
      </c>
      <c r="K551" s="8">
        <f t="shared" si="31"/>
        <v>0.10734706482373979</v>
      </c>
    </row>
    <row r="552" spans="1:11" x14ac:dyDescent="0.25">
      <c r="A552" t="str">
        <f t="shared" si="32"/>
        <v>32019</v>
      </c>
      <c r="B552" s="1">
        <v>43549</v>
      </c>
      <c r="C552" t="s">
        <v>358</v>
      </c>
      <c r="D552">
        <v>29329.4</v>
      </c>
      <c r="E552">
        <v>29329.4</v>
      </c>
      <c r="F552">
        <v>29156.25</v>
      </c>
      <c r="G552">
        <v>29281.200000000001</v>
      </c>
      <c r="H552">
        <v>0</v>
      </c>
      <c r="I552" s="8">
        <f t="shared" si="33"/>
        <v>-1.0185075635933405E-2</v>
      </c>
      <c r="J552" s="8">
        <f t="shared" si="34"/>
        <v>-1.023729841671372E-2</v>
      </c>
      <c r="K552" s="8">
        <f t="shared" si="31"/>
        <v>8.5019342789808494E-2</v>
      </c>
    </row>
    <row r="553" spans="1:11" x14ac:dyDescent="0.25">
      <c r="A553" t="str">
        <f t="shared" si="32"/>
        <v>32019</v>
      </c>
      <c r="B553" s="1">
        <v>43550</v>
      </c>
      <c r="C553" t="s">
        <v>359</v>
      </c>
      <c r="D553">
        <v>29300.400000000001</v>
      </c>
      <c r="E553">
        <v>29950.15</v>
      </c>
      <c r="F553">
        <v>29278.5</v>
      </c>
      <c r="G553">
        <v>29882.15</v>
      </c>
      <c r="H553">
        <v>0</v>
      </c>
      <c r="I553" s="8">
        <f t="shared" si="33"/>
        <v>2.0523407510621094E-2</v>
      </c>
      <c r="J553" s="8">
        <f t="shared" si="34"/>
        <v>2.0315640300758709E-2</v>
      </c>
      <c r="K553" s="8">
        <f t="shared" si="31"/>
        <v>0.1117470994529095</v>
      </c>
    </row>
    <row r="554" spans="1:11" x14ac:dyDescent="0.25">
      <c r="A554" t="str">
        <f t="shared" si="32"/>
        <v>32019</v>
      </c>
      <c r="B554" s="1">
        <v>43551</v>
      </c>
      <c r="C554" t="s">
        <v>360</v>
      </c>
      <c r="D554">
        <v>30034.15</v>
      </c>
      <c r="E554">
        <v>30262.55</v>
      </c>
      <c r="F554">
        <v>29790.25</v>
      </c>
      <c r="G554">
        <v>30019.8</v>
      </c>
      <c r="H554">
        <v>0</v>
      </c>
      <c r="I554" s="8">
        <f t="shared" si="33"/>
        <v>4.60642892161367E-3</v>
      </c>
      <c r="J554" s="8">
        <f t="shared" si="34"/>
        <v>4.5958517973180048E-3</v>
      </c>
      <c r="K554" s="8">
        <f t="shared" si="31"/>
        <v>0.10671053723007162</v>
      </c>
    </row>
    <row r="555" spans="1:11" x14ac:dyDescent="0.25">
      <c r="A555" t="str">
        <f t="shared" si="32"/>
        <v>32019</v>
      </c>
      <c r="B555" s="1">
        <v>43552</v>
      </c>
      <c r="C555" t="s">
        <v>361</v>
      </c>
      <c r="D555">
        <v>30064.799999999999</v>
      </c>
      <c r="E555">
        <v>30496.05</v>
      </c>
      <c r="F555">
        <v>29969.1</v>
      </c>
      <c r="G555">
        <v>30420.55</v>
      </c>
      <c r="H555">
        <v>0</v>
      </c>
      <c r="I555" s="8">
        <f t="shared" si="33"/>
        <v>1.3349522648385292E-2</v>
      </c>
      <c r="J555" s="8">
        <f t="shared" si="34"/>
        <v>1.3261202920149597E-2</v>
      </c>
      <c r="K555" s="8">
        <f t="shared" si="31"/>
        <v>0.12004145772122432</v>
      </c>
    </row>
    <row r="556" spans="1:11" x14ac:dyDescent="0.25">
      <c r="A556" t="str">
        <f t="shared" si="32"/>
        <v>32019</v>
      </c>
      <c r="B556" s="1">
        <v>43553</v>
      </c>
      <c r="C556" t="s">
        <v>362</v>
      </c>
      <c r="D556">
        <v>30480.35</v>
      </c>
      <c r="E556">
        <v>30499.15</v>
      </c>
      <c r="F556">
        <v>30235.9</v>
      </c>
      <c r="G556">
        <v>30426.799999999999</v>
      </c>
      <c r="H556">
        <v>0</v>
      </c>
      <c r="I556" s="8">
        <f t="shared" si="33"/>
        <v>2.0545322158871393E-4</v>
      </c>
      <c r="J556" s="8">
        <f t="shared" si="34"/>
        <v>2.0543211896593508E-4</v>
      </c>
      <c r="K556" s="8">
        <f t="shared" si="31"/>
        <v>0.1107752515296212</v>
      </c>
    </row>
    <row r="557" spans="1:11" x14ac:dyDescent="0.25">
      <c r="A557" t="str">
        <f t="shared" si="32"/>
        <v>42019</v>
      </c>
      <c r="B557" s="1">
        <v>43556</v>
      </c>
      <c r="C557" s="10">
        <v>43469.645833333336</v>
      </c>
      <c r="D557">
        <v>30537.599999999999</v>
      </c>
      <c r="E557">
        <v>30648.1</v>
      </c>
      <c r="F557">
        <v>30218.35</v>
      </c>
      <c r="G557">
        <v>30326.5</v>
      </c>
      <c r="H557">
        <v>0</v>
      </c>
      <c r="I557" s="8">
        <f t="shared" si="33"/>
        <v>-3.2964360366518619E-3</v>
      </c>
      <c r="J557" s="8">
        <f t="shared" si="34"/>
        <v>-3.3018812517522883E-3</v>
      </c>
      <c r="K557" s="8">
        <f t="shared" si="31"/>
        <v>0.11598288113576238</v>
      </c>
    </row>
    <row r="558" spans="1:11" x14ac:dyDescent="0.25">
      <c r="A558" t="str">
        <f t="shared" si="32"/>
        <v>42019</v>
      </c>
      <c r="B558" s="1">
        <v>43557</v>
      </c>
      <c r="C558" s="10">
        <v>43500.645833333336</v>
      </c>
      <c r="D558">
        <v>30450.1</v>
      </c>
      <c r="E558">
        <v>30452.9</v>
      </c>
      <c r="F558">
        <v>30155.85</v>
      </c>
      <c r="G558">
        <v>30354.25</v>
      </c>
      <c r="H558">
        <v>0</v>
      </c>
      <c r="I558" s="8">
        <f t="shared" si="33"/>
        <v>9.1504130051278665E-4</v>
      </c>
      <c r="J558" s="8">
        <f t="shared" si="34"/>
        <v>9.1462290543502906E-4</v>
      </c>
      <c r="K558" s="8">
        <f t="shared" si="31"/>
        <v>0.12590574502454577</v>
      </c>
    </row>
    <row r="559" spans="1:11" x14ac:dyDescent="0.25">
      <c r="A559" t="str">
        <f t="shared" si="32"/>
        <v>42019</v>
      </c>
      <c r="B559" s="1">
        <v>43558</v>
      </c>
      <c r="C559" s="10">
        <v>43528.645833333336</v>
      </c>
      <c r="D559">
        <v>30440.85</v>
      </c>
      <c r="E559">
        <v>30602.55</v>
      </c>
      <c r="F559">
        <v>30036.25</v>
      </c>
      <c r="G559">
        <v>30093.3</v>
      </c>
      <c r="H559">
        <v>0</v>
      </c>
      <c r="I559" s="8">
        <f t="shared" si="33"/>
        <v>-8.5968192263027321E-3</v>
      </c>
      <c r="J559" s="8">
        <f t="shared" si="34"/>
        <v>-8.633985035168542E-3</v>
      </c>
      <c r="K559" s="8">
        <f t="shared" si="31"/>
        <v>0.1065747380033093</v>
      </c>
    </row>
    <row r="560" spans="1:11" x14ac:dyDescent="0.25">
      <c r="A560" t="str">
        <f t="shared" si="32"/>
        <v>42019</v>
      </c>
      <c r="B560" s="1">
        <v>43559</v>
      </c>
      <c r="C560" s="10">
        <v>43559.645833333336</v>
      </c>
      <c r="D560">
        <v>30147.3</v>
      </c>
      <c r="E560">
        <v>30245.7</v>
      </c>
      <c r="F560">
        <v>29809.9</v>
      </c>
      <c r="G560">
        <v>29904.9</v>
      </c>
      <c r="H560">
        <v>0</v>
      </c>
      <c r="I560" s="8">
        <f t="shared" si="33"/>
        <v>-6.2605297524697123E-3</v>
      </c>
      <c r="J560" s="8">
        <f t="shared" si="34"/>
        <v>-6.2802090470611728E-3</v>
      </c>
      <c r="K560" s="8">
        <f t="shared" si="31"/>
        <v>9.5235043243708573E-2</v>
      </c>
    </row>
    <row r="561" spans="1:11" x14ac:dyDescent="0.25">
      <c r="A561" t="str">
        <f t="shared" si="32"/>
        <v>42019</v>
      </c>
      <c r="B561" s="1">
        <v>43560</v>
      </c>
      <c r="C561" s="10">
        <v>43589.645833333336</v>
      </c>
      <c r="D561">
        <v>30002.85</v>
      </c>
      <c r="E561">
        <v>30174</v>
      </c>
      <c r="F561">
        <v>29850</v>
      </c>
      <c r="G561">
        <v>30084.65</v>
      </c>
      <c r="H561">
        <v>0</v>
      </c>
      <c r="I561" s="8">
        <f t="shared" si="33"/>
        <v>6.0107206511308409E-3</v>
      </c>
      <c r="J561" s="8">
        <f t="shared" si="34"/>
        <v>5.9927283316307707E-3</v>
      </c>
      <c r="K561" s="8">
        <f t="shared" si="31"/>
        <v>9.3609480361329878E-2</v>
      </c>
    </row>
    <row r="562" spans="1:11" x14ac:dyDescent="0.25">
      <c r="A562" t="str">
        <f t="shared" si="32"/>
        <v>42019</v>
      </c>
      <c r="B562" s="1">
        <v>43563</v>
      </c>
      <c r="C562" s="10">
        <v>43681.645833333336</v>
      </c>
      <c r="D562">
        <v>30201.5</v>
      </c>
      <c r="E562">
        <v>30232.05</v>
      </c>
      <c r="F562">
        <v>29716.6</v>
      </c>
      <c r="G562">
        <v>29845.3</v>
      </c>
      <c r="H562">
        <v>0</v>
      </c>
      <c r="I562" s="8">
        <f t="shared" si="33"/>
        <v>-7.9558844792942951E-3</v>
      </c>
      <c r="J562" s="8">
        <f t="shared" si="34"/>
        <v>-7.9877013950488303E-3</v>
      </c>
      <c r="K562" s="8">
        <f t="shared" si="31"/>
        <v>7.6654738026868285E-2</v>
      </c>
    </row>
    <row r="563" spans="1:11" x14ac:dyDescent="0.25">
      <c r="A563" t="str">
        <f t="shared" si="32"/>
        <v>42019</v>
      </c>
      <c r="B563" s="1">
        <v>43564</v>
      </c>
      <c r="C563" s="10">
        <v>43712.645833333336</v>
      </c>
      <c r="D563">
        <v>29901.5</v>
      </c>
      <c r="E563">
        <v>30165.05</v>
      </c>
      <c r="F563">
        <v>29703.55</v>
      </c>
      <c r="G563">
        <v>30113.85</v>
      </c>
      <c r="H563">
        <v>0</v>
      </c>
      <c r="I563" s="8">
        <f t="shared" si="33"/>
        <v>8.9980666972688805E-3</v>
      </c>
      <c r="J563" s="8">
        <f t="shared" si="34"/>
        <v>8.9578253114290084E-3</v>
      </c>
      <c r="K563" s="8">
        <f t="shared" si="31"/>
        <v>9.3913409896271283E-2</v>
      </c>
    </row>
    <row r="564" spans="1:11" x14ac:dyDescent="0.25">
      <c r="A564" t="str">
        <f t="shared" si="32"/>
        <v>42019</v>
      </c>
      <c r="B564" s="1">
        <v>43565</v>
      </c>
      <c r="C564" s="10">
        <v>43742.645833333336</v>
      </c>
      <c r="D564">
        <v>29916.6</v>
      </c>
      <c r="E564">
        <v>30155.75</v>
      </c>
      <c r="F564">
        <v>29768.1</v>
      </c>
      <c r="G564">
        <v>29803.5</v>
      </c>
      <c r="H564">
        <v>0</v>
      </c>
      <c r="I564" s="8">
        <f t="shared" si="33"/>
        <v>-1.0305889150673098E-2</v>
      </c>
      <c r="J564" s="8">
        <f t="shared" si="34"/>
        <v>-1.0359362537402793E-2</v>
      </c>
      <c r="K564" s="8">
        <f t="shared" si="31"/>
        <v>8.5583469015331204E-2</v>
      </c>
    </row>
    <row r="565" spans="1:11" x14ac:dyDescent="0.25">
      <c r="A565" t="str">
        <f t="shared" si="32"/>
        <v>42019</v>
      </c>
      <c r="B565" s="1">
        <v>43566</v>
      </c>
      <c r="C565" s="10">
        <v>43773.645833333336</v>
      </c>
      <c r="D565">
        <v>29841.85</v>
      </c>
      <c r="E565">
        <v>29852.25</v>
      </c>
      <c r="F565">
        <v>29640.25</v>
      </c>
      <c r="G565">
        <v>29786.1</v>
      </c>
      <c r="H565">
        <v>0</v>
      </c>
      <c r="I565" s="8">
        <f t="shared" si="33"/>
        <v>-5.8382404751122774E-4</v>
      </c>
      <c r="J565" s="8">
        <f t="shared" si="34"/>
        <v>-5.8399453913175541E-4</v>
      </c>
      <c r="K565" s="8">
        <f t="shared" si="31"/>
        <v>9.3138091437064752E-2</v>
      </c>
    </row>
    <row r="566" spans="1:11" x14ac:dyDescent="0.25">
      <c r="A566" t="str">
        <f t="shared" si="32"/>
        <v>42019</v>
      </c>
      <c r="B566" s="1">
        <v>43567</v>
      </c>
      <c r="C566" s="10">
        <v>43803.645833333336</v>
      </c>
      <c r="D566">
        <v>29780.55</v>
      </c>
      <c r="E566">
        <v>30000.95</v>
      </c>
      <c r="F566">
        <v>29707</v>
      </c>
      <c r="G566">
        <v>29938.55</v>
      </c>
      <c r="H566">
        <v>0</v>
      </c>
      <c r="I566" s="8">
        <f t="shared" si="33"/>
        <v>5.1181591413445027E-3</v>
      </c>
      <c r="J566" s="8">
        <f t="shared" si="34"/>
        <v>5.1051058849971393E-3</v>
      </c>
      <c r="K566" s="8">
        <f t="shared" si="31"/>
        <v>9.2617902794631446E-2</v>
      </c>
    </row>
    <row r="567" spans="1:11" x14ac:dyDescent="0.25">
      <c r="A567" t="str">
        <f t="shared" si="32"/>
        <v>42019</v>
      </c>
      <c r="B567" s="1">
        <v>43570</v>
      </c>
      <c r="C567" t="s">
        <v>363</v>
      </c>
      <c r="D567">
        <v>29983.5</v>
      </c>
      <c r="E567">
        <v>30163.1</v>
      </c>
      <c r="F567">
        <v>29919.1</v>
      </c>
      <c r="G567">
        <v>30104.25</v>
      </c>
      <c r="H567">
        <v>0</v>
      </c>
      <c r="I567" s="8">
        <f t="shared" si="33"/>
        <v>5.5346701827576616E-3</v>
      </c>
      <c r="J567" s="8">
        <f t="shared" si="34"/>
        <v>5.5194101759183604E-3</v>
      </c>
      <c r="K567" s="8">
        <f t="shared" si="31"/>
        <v>9.5349243369706294E-2</v>
      </c>
    </row>
    <row r="568" spans="1:11" x14ac:dyDescent="0.25">
      <c r="A568" t="str">
        <f t="shared" si="32"/>
        <v>42019</v>
      </c>
      <c r="B568" s="1">
        <v>43571</v>
      </c>
      <c r="C568" t="s">
        <v>364</v>
      </c>
      <c r="D568">
        <v>30236.25</v>
      </c>
      <c r="E568">
        <v>30590.95</v>
      </c>
      <c r="F568">
        <v>30228.2</v>
      </c>
      <c r="G568">
        <v>30531.35</v>
      </c>
      <c r="H568">
        <v>0</v>
      </c>
      <c r="I568" s="8">
        <f t="shared" si="33"/>
        <v>1.4187365571306287E-2</v>
      </c>
      <c r="J568" s="8">
        <f t="shared" si="34"/>
        <v>1.408766676944298E-2</v>
      </c>
      <c r="K568" s="8">
        <f t="shared" si="31"/>
        <v>0.10907142532806602</v>
      </c>
    </row>
    <row r="569" spans="1:11" x14ac:dyDescent="0.25">
      <c r="A569" t="str">
        <f t="shared" si="32"/>
        <v>42019</v>
      </c>
      <c r="B569" s="1">
        <v>43573</v>
      </c>
      <c r="C569" t="s">
        <v>365</v>
      </c>
      <c r="D569">
        <v>30656.5</v>
      </c>
      <c r="E569">
        <v>30669.8</v>
      </c>
      <c r="F569">
        <v>30142.2</v>
      </c>
      <c r="G569">
        <v>30223.4</v>
      </c>
      <c r="H569">
        <v>0</v>
      </c>
      <c r="I569" s="8">
        <f t="shared" si="33"/>
        <v>-1.0086353862505115E-2</v>
      </c>
      <c r="J569" s="8">
        <f t="shared" si="34"/>
        <v>-1.0137565781663544E-2</v>
      </c>
      <c r="K569" s="8">
        <f t="shared" si="31"/>
        <v>0.10076593326947525</v>
      </c>
    </row>
    <row r="570" spans="1:11" x14ac:dyDescent="0.25">
      <c r="A570" t="str">
        <f t="shared" si="32"/>
        <v>42019</v>
      </c>
      <c r="B570" s="1">
        <v>43577</v>
      </c>
      <c r="C570" t="s">
        <v>366</v>
      </c>
      <c r="D570">
        <v>30282.5</v>
      </c>
      <c r="E570">
        <v>30289.9</v>
      </c>
      <c r="F570">
        <v>29647.55</v>
      </c>
      <c r="G570">
        <v>29687.95</v>
      </c>
      <c r="H570">
        <v>0</v>
      </c>
      <c r="I570" s="8">
        <f t="shared" si="33"/>
        <v>-1.7716405169504457E-2</v>
      </c>
      <c r="J570" s="8">
        <f t="shared" si="34"/>
        <v>-1.7875219213962529E-2</v>
      </c>
      <c r="K570" s="8">
        <f t="shared" si="31"/>
        <v>7.8244399569979972E-2</v>
      </c>
    </row>
    <row r="571" spans="1:11" x14ac:dyDescent="0.25">
      <c r="A571" t="str">
        <f t="shared" si="32"/>
        <v>42019</v>
      </c>
      <c r="B571" s="1">
        <v>43578</v>
      </c>
      <c r="C571" t="s">
        <v>367</v>
      </c>
      <c r="D571">
        <v>29761.95</v>
      </c>
      <c r="E571">
        <v>29906.5</v>
      </c>
      <c r="F571">
        <v>29455.45</v>
      </c>
      <c r="G571">
        <v>29479.7</v>
      </c>
      <c r="H571">
        <v>0</v>
      </c>
      <c r="I571" s="8">
        <f t="shared" si="33"/>
        <v>-7.0146305150743382E-3</v>
      </c>
      <c r="J571" s="8">
        <f t="shared" si="34"/>
        <v>-7.0393486961344955E-3</v>
      </c>
      <c r="K571" s="8">
        <f t="shared" si="31"/>
        <v>7.2681458032002544E-2</v>
      </c>
    </row>
    <row r="572" spans="1:11" x14ac:dyDescent="0.25">
      <c r="A572" t="str">
        <f t="shared" si="32"/>
        <v>42019</v>
      </c>
      <c r="B572" s="1">
        <v>43579</v>
      </c>
      <c r="C572" t="s">
        <v>368</v>
      </c>
      <c r="D572">
        <v>29550.5</v>
      </c>
      <c r="E572">
        <v>29914.85</v>
      </c>
      <c r="F572">
        <v>29435.05</v>
      </c>
      <c r="G572">
        <v>29860.799999999999</v>
      </c>
      <c r="H572">
        <v>0</v>
      </c>
      <c r="I572" s="8">
        <f t="shared" si="33"/>
        <v>1.2927539968181412E-2</v>
      </c>
      <c r="J572" s="8">
        <f t="shared" si="34"/>
        <v>1.2844692568145256E-2</v>
      </c>
      <c r="K572" s="8">
        <f t="shared" si="31"/>
        <v>9.577901525646082E-2</v>
      </c>
    </row>
    <row r="573" spans="1:11" x14ac:dyDescent="0.25">
      <c r="A573" t="str">
        <f t="shared" si="32"/>
        <v>42019</v>
      </c>
      <c r="B573" s="1">
        <v>43580</v>
      </c>
      <c r="C573" t="s">
        <v>369</v>
      </c>
      <c r="D573">
        <v>29927.05</v>
      </c>
      <c r="E573">
        <v>30057.7</v>
      </c>
      <c r="F573">
        <v>29511.95</v>
      </c>
      <c r="G573">
        <v>29561.35</v>
      </c>
      <c r="H573">
        <v>0</v>
      </c>
      <c r="I573" s="8">
        <f t="shared" si="33"/>
        <v>-1.0028197503081038E-2</v>
      </c>
      <c r="J573" s="8">
        <f t="shared" si="34"/>
        <v>-1.0078818585475083E-2</v>
      </c>
      <c r="K573" s="8">
        <f t="shared" si="31"/>
        <v>8.4167693571575164E-2</v>
      </c>
    </row>
    <row r="574" spans="1:11" x14ac:dyDescent="0.25">
      <c r="A574" t="str">
        <f t="shared" si="32"/>
        <v>42019</v>
      </c>
      <c r="B574" s="1">
        <v>43581</v>
      </c>
      <c r="C574" t="s">
        <v>370</v>
      </c>
      <c r="D574">
        <v>29764.85</v>
      </c>
      <c r="E574">
        <v>30048.2</v>
      </c>
      <c r="F574">
        <v>29563.15</v>
      </c>
      <c r="G574">
        <v>30013.5</v>
      </c>
      <c r="H574">
        <v>0</v>
      </c>
      <c r="I574" s="8">
        <f t="shared" si="33"/>
        <v>1.5295309584981709E-2</v>
      </c>
      <c r="J574" s="8">
        <f t="shared" si="34"/>
        <v>1.5179515581267133E-2</v>
      </c>
      <c r="K574" s="8">
        <f t="shared" si="31"/>
        <v>0.10688430517088143</v>
      </c>
    </row>
    <row r="575" spans="1:11" x14ac:dyDescent="0.25">
      <c r="A575" t="str">
        <f t="shared" si="32"/>
        <v>42019</v>
      </c>
      <c r="B575" s="1">
        <v>43585</v>
      </c>
      <c r="C575" t="s">
        <v>371</v>
      </c>
      <c r="D575">
        <v>29920.400000000001</v>
      </c>
      <c r="E575">
        <v>29920.400000000001</v>
      </c>
      <c r="F575">
        <v>29550.05</v>
      </c>
      <c r="G575">
        <v>29764.799999999999</v>
      </c>
      <c r="H575">
        <v>0</v>
      </c>
      <c r="I575" s="8">
        <f t="shared" si="33"/>
        <v>-8.2862711779699838E-3</v>
      </c>
      <c r="J575" s="8">
        <f t="shared" si="34"/>
        <v>-8.3207931609340525E-3</v>
      </c>
      <c r="K575" s="8">
        <f t="shared" si="31"/>
        <v>0.11675024059160211</v>
      </c>
    </row>
    <row r="576" spans="1:11" x14ac:dyDescent="0.25">
      <c r="A576" t="str">
        <f t="shared" si="32"/>
        <v>52019</v>
      </c>
      <c r="B576" s="1">
        <v>43587</v>
      </c>
      <c r="C576" s="10">
        <v>43501.645833333336</v>
      </c>
      <c r="D576">
        <v>29699.8</v>
      </c>
      <c r="E576">
        <v>29919.35</v>
      </c>
      <c r="F576">
        <v>29638.799999999999</v>
      </c>
      <c r="G576">
        <v>29708.6</v>
      </c>
      <c r="H576">
        <v>0</v>
      </c>
      <c r="I576" s="8">
        <f t="shared" si="33"/>
        <v>-1.8881363220986103E-3</v>
      </c>
      <c r="J576" s="8">
        <f t="shared" si="34"/>
        <v>-1.8899210984385608E-3</v>
      </c>
      <c r="K576" s="8">
        <f t="shared" ref="K576:K639" si="35">+G576/G515-1</f>
        <v>0.11798264429843375</v>
      </c>
    </row>
    <row r="577" spans="1:11" x14ac:dyDescent="0.25">
      <c r="A577" t="str">
        <f t="shared" si="32"/>
        <v>52019</v>
      </c>
      <c r="B577" s="1">
        <v>43588</v>
      </c>
      <c r="C577" s="10">
        <v>43529.645833333336</v>
      </c>
      <c r="D577">
        <v>29811.65</v>
      </c>
      <c r="E577">
        <v>30121.75</v>
      </c>
      <c r="F577">
        <v>29795.1</v>
      </c>
      <c r="G577">
        <v>29954.15</v>
      </c>
      <c r="H577">
        <v>0</v>
      </c>
      <c r="I577" s="8">
        <f t="shared" si="33"/>
        <v>8.265283453276151E-3</v>
      </c>
      <c r="J577" s="8">
        <f t="shared" si="34"/>
        <v>8.231313052958128E-3</v>
      </c>
      <c r="K577" s="8">
        <f t="shared" si="35"/>
        <v>0.11662969935322742</v>
      </c>
    </row>
    <row r="578" spans="1:11" x14ac:dyDescent="0.25">
      <c r="A578" t="str">
        <f t="shared" si="32"/>
        <v>52019</v>
      </c>
      <c r="B578" s="1">
        <v>43591</v>
      </c>
      <c r="C578" s="10">
        <v>43621.645833333336</v>
      </c>
      <c r="D578">
        <v>29626.5</v>
      </c>
      <c r="E578">
        <v>29757.4</v>
      </c>
      <c r="F578">
        <v>29528.6</v>
      </c>
      <c r="G578">
        <v>29618.45</v>
      </c>
      <c r="H578">
        <v>0</v>
      </c>
      <c r="I578" s="8">
        <f t="shared" si="33"/>
        <v>-1.120712822764125E-2</v>
      </c>
      <c r="J578" s="8">
        <f t="shared" si="34"/>
        <v>-1.127040127277925E-2</v>
      </c>
      <c r="K578" s="8">
        <f t="shared" si="35"/>
        <v>8.5105759384805912E-2</v>
      </c>
    </row>
    <row r="579" spans="1:11" x14ac:dyDescent="0.25">
      <c r="A579" t="str">
        <f t="shared" ref="A579:A642" si="36">+MONTH(B579)&amp;YEAR(B579)</f>
        <v>52019</v>
      </c>
      <c r="B579" s="1">
        <v>43592</v>
      </c>
      <c r="C579" s="10">
        <v>43651.791666666664</v>
      </c>
      <c r="D579">
        <v>29749.55</v>
      </c>
      <c r="E579">
        <v>29835.5</v>
      </c>
      <c r="F579">
        <v>29244.25</v>
      </c>
      <c r="G579">
        <v>29288.2</v>
      </c>
      <c r="H579">
        <v>0</v>
      </c>
      <c r="I579" s="8">
        <f t="shared" si="33"/>
        <v>-1.1150144588930155E-2</v>
      </c>
      <c r="J579" s="8">
        <f t="shared" si="34"/>
        <v>-1.1212773433388846E-2</v>
      </c>
      <c r="K579" s="8">
        <f t="shared" si="35"/>
        <v>8.13059907442788E-2</v>
      </c>
    </row>
    <row r="580" spans="1:11" x14ac:dyDescent="0.25">
      <c r="A580" t="str">
        <f t="shared" si="36"/>
        <v>52019</v>
      </c>
      <c r="B580" s="1">
        <v>43593</v>
      </c>
      <c r="C580" s="10">
        <v>43682.645833333336</v>
      </c>
      <c r="D580">
        <v>29261.3</v>
      </c>
      <c r="E580">
        <v>29261.3</v>
      </c>
      <c r="F580">
        <v>28951.35</v>
      </c>
      <c r="G580">
        <v>28994.400000000001</v>
      </c>
      <c r="H580">
        <v>0</v>
      </c>
      <c r="I580" s="8">
        <f t="shared" ref="I580:I643" si="37">+G580/G579-1</f>
        <v>-1.0031343681072946E-2</v>
      </c>
      <c r="J580" s="8">
        <f t="shared" ref="J580:J643" si="38">+LN(1+I580)</f>
        <v>-1.0081996638610875E-2</v>
      </c>
      <c r="K580" s="8">
        <f t="shared" si="35"/>
        <v>6.6495994350157961E-2</v>
      </c>
    </row>
    <row r="581" spans="1:11" x14ac:dyDescent="0.25">
      <c r="A581" t="str">
        <f t="shared" si="36"/>
        <v>52019</v>
      </c>
      <c r="B581" s="1">
        <v>43594</v>
      </c>
      <c r="C581" s="10">
        <v>43713.645833333336</v>
      </c>
      <c r="D581">
        <v>28893.95</v>
      </c>
      <c r="E581">
        <v>29040.3</v>
      </c>
      <c r="F581">
        <v>28784.65</v>
      </c>
      <c r="G581">
        <v>28884.6</v>
      </c>
      <c r="H581">
        <v>0</v>
      </c>
      <c r="I581" s="8">
        <f t="shared" si="37"/>
        <v>-3.7869381673703018E-3</v>
      </c>
      <c r="J581" s="8">
        <f t="shared" si="38"/>
        <v>-3.7941267719850459E-3</v>
      </c>
      <c r="K581" s="8">
        <f t="shared" si="35"/>
        <v>5.9141894344686863E-2</v>
      </c>
    </row>
    <row r="582" spans="1:11" x14ac:dyDescent="0.25">
      <c r="A582" t="str">
        <f t="shared" si="36"/>
        <v>52019</v>
      </c>
      <c r="B582" s="1">
        <v>43595</v>
      </c>
      <c r="C582" s="10">
        <v>43743.645833333336</v>
      </c>
      <c r="D582">
        <v>28927.599999999999</v>
      </c>
      <c r="E582">
        <v>29202.85</v>
      </c>
      <c r="F582">
        <v>28900.1</v>
      </c>
      <c r="G582">
        <v>29040.5</v>
      </c>
      <c r="H582">
        <v>0</v>
      </c>
      <c r="I582" s="8">
        <f t="shared" si="37"/>
        <v>5.3973397589026639E-3</v>
      </c>
      <c r="J582" s="8">
        <f t="shared" si="38"/>
        <v>5.3828263198858785E-3</v>
      </c>
      <c r="K582" s="8">
        <f t="shared" si="35"/>
        <v>5.9781369116152394E-2</v>
      </c>
    </row>
    <row r="583" spans="1:11" x14ac:dyDescent="0.25">
      <c r="A583" t="str">
        <f t="shared" si="36"/>
        <v>52019</v>
      </c>
      <c r="B583" s="1">
        <v>43598</v>
      </c>
      <c r="C583" t="s">
        <v>372</v>
      </c>
      <c r="D583">
        <v>29026.65</v>
      </c>
      <c r="E583">
        <v>29049.05</v>
      </c>
      <c r="F583">
        <v>28621.1</v>
      </c>
      <c r="G583">
        <v>28659.95</v>
      </c>
      <c r="H583">
        <v>0</v>
      </c>
      <c r="I583" s="8">
        <f t="shared" si="37"/>
        <v>-1.3104113221191094E-2</v>
      </c>
      <c r="J583" s="8">
        <f t="shared" si="38"/>
        <v>-1.3190729632489165E-2</v>
      </c>
      <c r="K583" s="8">
        <f t="shared" si="35"/>
        <v>4.647435019708146E-2</v>
      </c>
    </row>
    <row r="584" spans="1:11" x14ac:dyDescent="0.25">
      <c r="A584" t="str">
        <f t="shared" si="36"/>
        <v>52019</v>
      </c>
      <c r="B584" s="1">
        <v>43599</v>
      </c>
      <c r="C584" t="s">
        <v>373</v>
      </c>
      <c r="D584">
        <v>28718.75</v>
      </c>
      <c r="E584">
        <v>29058.3</v>
      </c>
      <c r="F584">
        <v>28582.6</v>
      </c>
      <c r="G584">
        <v>28829.200000000001</v>
      </c>
      <c r="H584">
        <v>0</v>
      </c>
      <c r="I584" s="8">
        <f t="shared" si="37"/>
        <v>5.9054534289137983E-3</v>
      </c>
      <c r="J584" s="8">
        <f t="shared" si="38"/>
        <v>5.8880845858631471E-3</v>
      </c>
      <c r="K584" s="8">
        <f t="shared" si="35"/>
        <v>5.6231314848466996E-2</v>
      </c>
    </row>
    <row r="585" spans="1:11" x14ac:dyDescent="0.25">
      <c r="A585" t="str">
        <f t="shared" si="36"/>
        <v>52019</v>
      </c>
      <c r="B585" s="1">
        <v>43600</v>
      </c>
      <c r="C585" t="s">
        <v>374</v>
      </c>
      <c r="D585">
        <v>28925.45</v>
      </c>
      <c r="E585">
        <v>28983.15</v>
      </c>
      <c r="F585">
        <v>28555.15</v>
      </c>
      <c r="G585">
        <v>28616.45</v>
      </c>
      <c r="H585">
        <v>0</v>
      </c>
      <c r="I585" s="8">
        <f t="shared" si="37"/>
        <v>-7.3796706117408295E-3</v>
      </c>
      <c r="J585" s="8">
        <f t="shared" si="38"/>
        <v>-7.4070350912593987E-3</v>
      </c>
      <c r="K585" s="8">
        <f t="shared" si="35"/>
        <v>5.1001182614827556E-2</v>
      </c>
    </row>
    <row r="586" spans="1:11" x14ac:dyDescent="0.25">
      <c r="A586" t="str">
        <f t="shared" si="36"/>
        <v>52019</v>
      </c>
      <c r="B586" s="1">
        <v>43601</v>
      </c>
      <c r="C586" t="s">
        <v>375</v>
      </c>
      <c r="D586">
        <v>28625.9</v>
      </c>
      <c r="E586">
        <v>28947.599999999999</v>
      </c>
      <c r="F586">
        <v>28525.45</v>
      </c>
      <c r="G586">
        <v>28855.3</v>
      </c>
      <c r="H586">
        <v>0</v>
      </c>
      <c r="I586" s="8">
        <f t="shared" si="37"/>
        <v>8.3465978484402736E-3</v>
      </c>
      <c r="J586" s="8">
        <f t="shared" si="38"/>
        <v>8.3119576191854217E-3</v>
      </c>
      <c r="K586" s="8">
        <f t="shared" si="35"/>
        <v>6.8289477337726723E-2</v>
      </c>
    </row>
    <row r="587" spans="1:11" x14ac:dyDescent="0.25">
      <c r="A587" t="str">
        <f t="shared" si="36"/>
        <v>52019</v>
      </c>
      <c r="B587" s="1">
        <v>43602</v>
      </c>
      <c r="C587" t="s">
        <v>376</v>
      </c>
      <c r="D587">
        <v>28881.4</v>
      </c>
      <c r="E587">
        <v>29559.45</v>
      </c>
      <c r="F587">
        <v>28856</v>
      </c>
      <c r="G587">
        <v>29450.15</v>
      </c>
      <c r="H587">
        <v>0</v>
      </c>
      <c r="I587" s="8">
        <f t="shared" si="37"/>
        <v>2.0614930359414085E-2</v>
      </c>
      <c r="J587" s="8">
        <f t="shared" si="38"/>
        <v>2.0405318542704654E-2</v>
      </c>
      <c r="K587" s="8">
        <f t="shared" si="35"/>
        <v>9.5395642244489487E-2</v>
      </c>
    </row>
    <row r="588" spans="1:11" x14ac:dyDescent="0.25">
      <c r="A588" t="str">
        <f t="shared" si="36"/>
        <v>52019</v>
      </c>
      <c r="B588" s="1">
        <v>43605</v>
      </c>
      <c r="C588" t="s">
        <v>377</v>
      </c>
      <c r="D588">
        <v>30230.400000000001</v>
      </c>
      <c r="E588">
        <v>30827.85</v>
      </c>
      <c r="F588">
        <v>30111.200000000001</v>
      </c>
      <c r="G588">
        <v>30759.7</v>
      </c>
      <c r="H588">
        <v>0</v>
      </c>
      <c r="I588" s="8">
        <f t="shared" si="37"/>
        <v>4.4466666553480971E-2</v>
      </c>
      <c r="J588" s="8">
        <f t="shared" si="38"/>
        <v>4.3506388200772982E-2</v>
      </c>
      <c r="K588" s="8">
        <f t="shared" si="35"/>
        <v>0.14049001505342873</v>
      </c>
    </row>
    <row r="589" spans="1:11" x14ac:dyDescent="0.25">
      <c r="A589" t="str">
        <f t="shared" si="36"/>
        <v>52019</v>
      </c>
      <c r="B589" s="1">
        <v>43606</v>
      </c>
      <c r="C589" t="s">
        <v>378</v>
      </c>
      <c r="D589">
        <v>30862.1</v>
      </c>
      <c r="E589">
        <v>30926.7</v>
      </c>
      <c r="F589">
        <v>30265.1</v>
      </c>
      <c r="G589">
        <v>30308.400000000001</v>
      </c>
      <c r="H589">
        <v>0</v>
      </c>
      <c r="I589" s="8">
        <f t="shared" si="37"/>
        <v>-1.4671794588373754E-2</v>
      </c>
      <c r="J589" s="8">
        <f t="shared" si="38"/>
        <v>-1.4780489846414124E-2</v>
      </c>
      <c r="K589" s="8">
        <f t="shared" si="35"/>
        <v>0.13115313919964167</v>
      </c>
    </row>
    <row r="590" spans="1:11" x14ac:dyDescent="0.25">
      <c r="A590" t="str">
        <f t="shared" si="36"/>
        <v>52019</v>
      </c>
      <c r="B590" s="1">
        <v>43607</v>
      </c>
      <c r="C590" t="s">
        <v>379</v>
      </c>
      <c r="D590">
        <v>30410.65</v>
      </c>
      <c r="E590">
        <v>30675.1</v>
      </c>
      <c r="F590">
        <v>30268.6</v>
      </c>
      <c r="G590">
        <v>30526.799999999999</v>
      </c>
      <c r="H590">
        <v>0</v>
      </c>
      <c r="I590" s="8">
        <f t="shared" si="37"/>
        <v>7.2059231104246724E-3</v>
      </c>
      <c r="J590" s="8">
        <f t="shared" si="38"/>
        <v>7.1800844995973789E-3</v>
      </c>
      <c r="K590" s="8">
        <f t="shared" si="35"/>
        <v>0.14528827485297846</v>
      </c>
    </row>
    <row r="591" spans="1:11" x14ac:dyDescent="0.25">
      <c r="A591" t="str">
        <f t="shared" si="36"/>
        <v>52019</v>
      </c>
      <c r="B591" s="1">
        <v>43608</v>
      </c>
      <c r="C591" t="s">
        <v>380</v>
      </c>
      <c r="D591">
        <v>30962.799999999999</v>
      </c>
      <c r="E591">
        <v>31705</v>
      </c>
      <c r="F591">
        <v>30292.35</v>
      </c>
      <c r="G591">
        <v>30409.1</v>
      </c>
      <c r="H591">
        <v>0</v>
      </c>
      <c r="I591" s="8">
        <f t="shared" si="37"/>
        <v>-3.8556284969273324E-3</v>
      </c>
      <c r="J591" s="8">
        <f t="shared" si="38"/>
        <v>-3.8630805936587425E-3</v>
      </c>
      <c r="K591" s="8">
        <f t="shared" si="35"/>
        <v>0.13956420965454175</v>
      </c>
    </row>
    <row r="592" spans="1:11" x14ac:dyDescent="0.25">
      <c r="A592" t="str">
        <f t="shared" si="36"/>
        <v>52019</v>
      </c>
      <c r="B592" s="1">
        <v>43609</v>
      </c>
      <c r="C592" t="s">
        <v>381</v>
      </c>
      <c r="D592">
        <v>30685.5</v>
      </c>
      <c r="E592">
        <v>31275.4</v>
      </c>
      <c r="F592">
        <v>30564.400000000001</v>
      </c>
      <c r="G592">
        <v>31212.55</v>
      </c>
      <c r="H592">
        <v>0</v>
      </c>
      <c r="I592" s="8">
        <f t="shared" si="37"/>
        <v>2.6421367288081532E-2</v>
      </c>
      <c r="J592" s="8">
        <f t="shared" si="38"/>
        <v>2.6078351803385209E-2</v>
      </c>
      <c r="K592" s="8">
        <f t="shared" si="35"/>
        <v>0.15792880859193859</v>
      </c>
    </row>
    <row r="593" spans="1:11" x14ac:dyDescent="0.25">
      <c r="A593" t="str">
        <f t="shared" si="36"/>
        <v>52019</v>
      </c>
      <c r="B593" s="1">
        <v>43612</v>
      </c>
      <c r="C593" t="s">
        <v>382</v>
      </c>
      <c r="D593">
        <v>31234.9</v>
      </c>
      <c r="E593">
        <v>31700.75</v>
      </c>
      <c r="F593">
        <v>31142.5</v>
      </c>
      <c r="G593">
        <v>31647.65</v>
      </c>
      <c r="H593">
        <v>0</v>
      </c>
      <c r="I593" s="8">
        <f t="shared" si="37"/>
        <v>1.3939905582850631E-2</v>
      </c>
      <c r="J593" s="8">
        <f t="shared" si="38"/>
        <v>1.3843638701576365E-2</v>
      </c>
      <c r="K593" s="8">
        <f t="shared" si="35"/>
        <v>0.16986478094364998</v>
      </c>
    </row>
    <row r="594" spans="1:11" x14ac:dyDescent="0.25">
      <c r="A594" t="str">
        <f t="shared" si="36"/>
        <v>52019</v>
      </c>
      <c r="B594" s="1">
        <v>43613</v>
      </c>
      <c r="C594" t="s">
        <v>383</v>
      </c>
      <c r="D594">
        <v>31711.3</v>
      </c>
      <c r="E594">
        <v>31712.400000000001</v>
      </c>
      <c r="F594">
        <v>31328.6</v>
      </c>
      <c r="G594">
        <v>31597.9</v>
      </c>
      <c r="H594">
        <v>0</v>
      </c>
      <c r="I594" s="8">
        <f t="shared" si="37"/>
        <v>-1.5719966569397448E-3</v>
      </c>
      <c r="J594" s="8">
        <f t="shared" si="38"/>
        <v>-1.5732335401052115E-3</v>
      </c>
      <c r="K594" s="8">
        <f t="shared" si="35"/>
        <v>0.17606182923266189</v>
      </c>
    </row>
    <row r="595" spans="1:11" x14ac:dyDescent="0.25">
      <c r="A595" t="str">
        <f t="shared" si="36"/>
        <v>52019</v>
      </c>
      <c r="B595" s="1">
        <v>43614</v>
      </c>
      <c r="C595" t="s">
        <v>384</v>
      </c>
      <c r="D595">
        <v>31459.25</v>
      </c>
      <c r="E595">
        <v>31546.75</v>
      </c>
      <c r="F595">
        <v>31257.9</v>
      </c>
      <c r="G595">
        <v>31295.55</v>
      </c>
      <c r="H595">
        <v>0</v>
      </c>
      <c r="I595" s="8">
        <f t="shared" si="37"/>
        <v>-9.5686738675672123E-3</v>
      </c>
      <c r="J595" s="8">
        <f t="shared" si="38"/>
        <v>-9.6147477737117751E-3</v>
      </c>
      <c r="K595" s="8">
        <f t="shared" si="35"/>
        <v>0.1522980200115982</v>
      </c>
    </row>
    <row r="596" spans="1:11" x14ac:dyDescent="0.25">
      <c r="A596" t="str">
        <f t="shared" si="36"/>
        <v>52019</v>
      </c>
      <c r="B596" s="1">
        <v>43615</v>
      </c>
      <c r="C596" t="s">
        <v>385</v>
      </c>
      <c r="D596">
        <v>31256.85</v>
      </c>
      <c r="E596">
        <v>31619.25</v>
      </c>
      <c r="F596">
        <v>31236.1</v>
      </c>
      <c r="G596">
        <v>31537.1</v>
      </c>
      <c r="H596">
        <v>0</v>
      </c>
      <c r="I596" s="8">
        <f t="shared" si="37"/>
        <v>7.7183497334285533E-3</v>
      </c>
      <c r="J596" s="8">
        <f t="shared" si="38"/>
        <v>7.6887156585520033E-3</v>
      </c>
      <c r="K596" s="8">
        <f t="shared" si="35"/>
        <v>0.17007971298132474</v>
      </c>
    </row>
    <row r="597" spans="1:11" x14ac:dyDescent="0.25">
      <c r="A597" t="str">
        <f t="shared" si="36"/>
        <v>52019</v>
      </c>
      <c r="B597" s="1">
        <v>43616</v>
      </c>
      <c r="C597" t="s">
        <v>386</v>
      </c>
      <c r="D597">
        <v>31678.9</v>
      </c>
      <c r="E597">
        <v>31783.599999999999</v>
      </c>
      <c r="F597">
        <v>30623.05</v>
      </c>
      <c r="G597">
        <v>31375.4</v>
      </c>
      <c r="H597">
        <v>0</v>
      </c>
      <c r="I597" s="8">
        <f t="shared" si="37"/>
        <v>-5.1272945197876618E-3</v>
      </c>
      <c r="J597" s="8">
        <f t="shared" si="38"/>
        <v>-5.1404841985622706E-3</v>
      </c>
      <c r="K597" s="8">
        <f t="shared" si="35"/>
        <v>0.17075446000455252</v>
      </c>
    </row>
    <row r="598" spans="1:11" x14ac:dyDescent="0.25">
      <c r="A598" t="str">
        <f t="shared" si="36"/>
        <v>62019</v>
      </c>
      <c r="B598" s="1">
        <v>43619</v>
      </c>
      <c r="C598" s="10">
        <v>43530.645833333336</v>
      </c>
      <c r="D598">
        <v>31406.05</v>
      </c>
      <c r="E598">
        <v>31674.6</v>
      </c>
      <c r="F598">
        <v>31284.7</v>
      </c>
      <c r="G598">
        <v>31653.65</v>
      </c>
      <c r="H598">
        <v>0</v>
      </c>
      <c r="I598" s="8">
        <f t="shared" si="37"/>
        <v>8.8684128329838963E-3</v>
      </c>
      <c r="J598" s="8">
        <f t="shared" si="38"/>
        <v>8.8293194208969548E-3</v>
      </c>
      <c r="K598" s="8">
        <f t="shared" si="35"/>
        <v>0.18155162953202519</v>
      </c>
    </row>
    <row r="599" spans="1:11" x14ac:dyDescent="0.25">
      <c r="A599" t="str">
        <f t="shared" si="36"/>
        <v>62019</v>
      </c>
      <c r="B599" s="1">
        <v>43620</v>
      </c>
      <c r="C599" s="10">
        <v>43561.645833333336</v>
      </c>
      <c r="D599">
        <v>31532.9</v>
      </c>
      <c r="E599">
        <v>31752.7</v>
      </c>
      <c r="F599">
        <v>31512.95</v>
      </c>
      <c r="G599">
        <v>31589.05</v>
      </c>
      <c r="H599">
        <v>0</v>
      </c>
      <c r="I599" s="8">
        <f t="shared" si="37"/>
        <v>-2.0408388921973053E-3</v>
      </c>
      <c r="J599" s="8">
        <f t="shared" si="38"/>
        <v>-2.0429242416137752E-3</v>
      </c>
      <c r="K599" s="8">
        <f t="shared" si="35"/>
        <v>0.16806562662929525</v>
      </c>
    </row>
    <row r="600" spans="1:11" x14ac:dyDescent="0.25">
      <c r="A600" t="str">
        <f t="shared" si="36"/>
        <v>62019</v>
      </c>
      <c r="B600" s="1">
        <v>43622</v>
      </c>
      <c r="C600" s="10">
        <v>43622.645833333336</v>
      </c>
      <c r="D600">
        <v>31523.95</v>
      </c>
      <c r="E600">
        <v>31541.5</v>
      </c>
      <c r="F600">
        <v>30800.799999999999</v>
      </c>
      <c r="G600">
        <v>30857.4</v>
      </c>
      <c r="H600">
        <v>0</v>
      </c>
      <c r="I600" s="8">
        <f t="shared" si="37"/>
        <v>-2.3161506914579522E-2</v>
      </c>
      <c r="J600" s="8">
        <f t="shared" si="38"/>
        <v>-2.3433949626484228E-2</v>
      </c>
      <c r="K600" s="8">
        <f t="shared" si="35"/>
        <v>0.11988618732999323</v>
      </c>
    </row>
    <row r="601" spans="1:11" x14ac:dyDescent="0.25">
      <c r="A601" t="str">
        <f t="shared" si="36"/>
        <v>62019</v>
      </c>
      <c r="B601" s="1">
        <v>43623</v>
      </c>
      <c r="C601" s="10">
        <v>43652.645833333336</v>
      </c>
      <c r="D601">
        <v>30943.15</v>
      </c>
      <c r="E601">
        <v>31139.599999999999</v>
      </c>
      <c r="F601">
        <v>30627.05</v>
      </c>
      <c r="G601">
        <v>31066.55</v>
      </c>
      <c r="H601">
        <v>0</v>
      </c>
      <c r="I601" s="8">
        <f t="shared" si="37"/>
        <v>6.7779527763194292E-3</v>
      </c>
      <c r="J601" s="8">
        <f t="shared" si="38"/>
        <v>6.7550857241145132E-3</v>
      </c>
      <c r="K601" s="8">
        <f t="shared" si="35"/>
        <v>0.12455453536839856</v>
      </c>
    </row>
    <row r="602" spans="1:11" x14ac:dyDescent="0.25">
      <c r="A602" t="str">
        <f t="shared" si="36"/>
        <v>62019</v>
      </c>
      <c r="B602" s="1">
        <v>43626</v>
      </c>
      <c r="C602" s="10">
        <v>43744.645833333336</v>
      </c>
      <c r="D602">
        <v>31259.200000000001</v>
      </c>
      <c r="E602">
        <v>31367.4</v>
      </c>
      <c r="F602">
        <v>30861.3</v>
      </c>
      <c r="G602">
        <v>31034</v>
      </c>
      <c r="H602">
        <v>0</v>
      </c>
      <c r="I602" s="8">
        <f t="shared" si="37"/>
        <v>-1.0477507158019872E-3</v>
      </c>
      <c r="J602" s="8">
        <f t="shared" si="38"/>
        <v>-1.0482999902852255E-3</v>
      </c>
      <c r="K602" s="8">
        <f t="shared" si="35"/>
        <v>0.11775426262218813</v>
      </c>
    </row>
    <row r="603" spans="1:11" x14ac:dyDescent="0.25">
      <c r="A603" t="str">
        <f t="shared" si="36"/>
        <v>62019</v>
      </c>
      <c r="B603" s="1">
        <v>43627</v>
      </c>
      <c r="C603" s="10">
        <v>43775.645833333336</v>
      </c>
      <c r="D603">
        <v>31172.25</v>
      </c>
      <c r="E603">
        <v>31399.35</v>
      </c>
      <c r="F603">
        <v>30973.35</v>
      </c>
      <c r="G603">
        <v>31265.45</v>
      </c>
      <c r="H603">
        <v>0</v>
      </c>
      <c r="I603" s="8">
        <f t="shared" si="37"/>
        <v>7.4579493458788448E-3</v>
      </c>
      <c r="J603" s="8">
        <f t="shared" si="38"/>
        <v>7.4302763457057336E-3</v>
      </c>
      <c r="K603" s="8">
        <f t="shared" si="35"/>
        <v>0.12620399253650705</v>
      </c>
    </row>
    <row r="604" spans="1:11" x14ac:dyDescent="0.25">
      <c r="A604" t="str">
        <f t="shared" si="36"/>
        <v>62019</v>
      </c>
      <c r="B604" s="1">
        <v>43628</v>
      </c>
      <c r="C604" s="10">
        <v>43805.645833333336</v>
      </c>
      <c r="D604">
        <v>31219.3</v>
      </c>
      <c r="E604">
        <v>31222.3</v>
      </c>
      <c r="F604">
        <v>30911.45</v>
      </c>
      <c r="G604">
        <v>30965.7</v>
      </c>
      <c r="H604">
        <v>0</v>
      </c>
      <c r="I604" s="8">
        <f t="shared" si="37"/>
        <v>-9.5872600586269785E-3</v>
      </c>
      <c r="J604" s="8">
        <f t="shared" si="38"/>
        <v>-9.6335137042346669E-3</v>
      </c>
      <c r="K604" s="8">
        <f t="shared" si="35"/>
        <v>0.10723665508739866</v>
      </c>
    </row>
    <row r="605" spans="1:11" x14ac:dyDescent="0.25">
      <c r="A605" t="str">
        <f t="shared" si="36"/>
        <v>62019</v>
      </c>
      <c r="B605" s="1">
        <v>43629</v>
      </c>
      <c r="C605" t="s">
        <v>387</v>
      </c>
      <c r="D605">
        <v>30876.75</v>
      </c>
      <c r="E605">
        <v>31036.9</v>
      </c>
      <c r="F605">
        <v>30638.25</v>
      </c>
      <c r="G605">
        <v>30976.1</v>
      </c>
      <c r="H605">
        <v>0</v>
      </c>
      <c r="I605" s="8">
        <f t="shared" si="37"/>
        <v>3.3585547880399247E-4</v>
      </c>
      <c r="J605" s="8">
        <f t="shared" si="38"/>
        <v>3.3579909197753427E-4</v>
      </c>
      <c r="K605" s="8">
        <f t="shared" si="35"/>
        <v>8.903201763483648E-2</v>
      </c>
    </row>
    <row r="606" spans="1:11" x14ac:dyDescent="0.25">
      <c r="A606" t="str">
        <f t="shared" si="36"/>
        <v>62019</v>
      </c>
      <c r="B606" s="1">
        <v>43630</v>
      </c>
      <c r="C606" t="s">
        <v>388</v>
      </c>
      <c r="D606">
        <v>30983.45</v>
      </c>
      <c r="E606">
        <v>31032.65</v>
      </c>
      <c r="F606">
        <v>30508.95</v>
      </c>
      <c r="G606">
        <v>30614.35</v>
      </c>
      <c r="H606">
        <v>0</v>
      </c>
      <c r="I606" s="8">
        <f t="shared" si="37"/>
        <v>-1.1678358476373774E-2</v>
      </c>
      <c r="J606" s="8">
        <f t="shared" si="38"/>
        <v>-1.1747086112718063E-2</v>
      </c>
      <c r="K606" s="8">
        <f t="shared" si="35"/>
        <v>5.9895860380899002E-2</v>
      </c>
    </row>
    <row r="607" spans="1:11" x14ac:dyDescent="0.25">
      <c r="A607" t="str">
        <f t="shared" si="36"/>
        <v>62019</v>
      </c>
      <c r="B607" s="1">
        <v>43633</v>
      </c>
      <c r="C607" t="s">
        <v>389</v>
      </c>
      <c r="D607">
        <v>30652</v>
      </c>
      <c r="E607">
        <v>30684.05</v>
      </c>
      <c r="F607">
        <v>30249.4</v>
      </c>
      <c r="G607">
        <v>30273.25</v>
      </c>
      <c r="H607">
        <v>0</v>
      </c>
      <c r="I607" s="8">
        <f t="shared" si="37"/>
        <v>-1.1141833813228086E-2</v>
      </c>
      <c r="J607" s="8">
        <f t="shared" si="38"/>
        <v>-1.1204368981759626E-2</v>
      </c>
      <c r="K607" s="8">
        <f t="shared" si="35"/>
        <v>4.6680680839882305E-2</v>
      </c>
    </row>
    <row r="608" spans="1:11" x14ac:dyDescent="0.25">
      <c r="A608" t="str">
        <f t="shared" si="36"/>
        <v>62019</v>
      </c>
      <c r="B608" s="1">
        <v>43634</v>
      </c>
      <c r="C608" t="s">
        <v>390</v>
      </c>
      <c r="D608">
        <v>30299.45</v>
      </c>
      <c r="E608">
        <v>30550.65</v>
      </c>
      <c r="F608">
        <v>30222.85</v>
      </c>
      <c r="G608">
        <v>30351</v>
      </c>
      <c r="H608">
        <v>0</v>
      </c>
      <c r="I608" s="8">
        <f t="shared" si="37"/>
        <v>2.5682739712451497E-3</v>
      </c>
      <c r="J608" s="8">
        <f t="shared" si="38"/>
        <v>2.5649815915999292E-3</v>
      </c>
      <c r="K608" s="8">
        <f t="shared" si="35"/>
        <v>3.2998711772223688E-2</v>
      </c>
    </row>
    <row r="609" spans="1:11" x14ac:dyDescent="0.25">
      <c r="A609" t="str">
        <f t="shared" si="36"/>
        <v>62019</v>
      </c>
      <c r="B609" s="1">
        <v>43635</v>
      </c>
      <c r="C609" t="s">
        <v>391</v>
      </c>
      <c r="D609">
        <v>30526.5</v>
      </c>
      <c r="E609">
        <v>30699.15</v>
      </c>
      <c r="F609">
        <v>30242</v>
      </c>
      <c r="G609">
        <v>30362.1</v>
      </c>
      <c r="H609">
        <v>0</v>
      </c>
      <c r="I609" s="8">
        <f t="shared" si="37"/>
        <v>3.6572106355636791E-4</v>
      </c>
      <c r="J609" s="8">
        <f t="shared" si="38"/>
        <v>3.6565420390902766E-4</v>
      </c>
      <c r="K609" s="8">
        <f t="shared" si="35"/>
        <v>2.5881788478887335E-2</v>
      </c>
    </row>
    <row r="610" spans="1:11" x14ac:dyDescent="0.25">
      <c r="A610" t="str">
        <f t="shared" si="36"/>
        <v>62019</v>
      </c>
      <c r="B610" s="1">
        <v>43636</v>
      </c>
      <c r="C610" t="s">
        <v>392</v>
      </c>
      <c r="D610">
        <v>30390.2</v>
      </c>
      <c r="E610">
        <v>30824.55</v>
      </c>
      <c r="F610">
        <v>30220.7</v>
      </c>
      <c r="G610">
        <v>30781.1</v>
      </c>
      <c r="H610">
        <v>0</v>
      </c>
      <c r="I610" s="8">
        <f t="shared" si="37"/>
        <v>1.3800099466110716E-2</v>
      </c>
      <c r="J610" s="8">
        <f t="shared" si="38"/>
        <v>1.3705745168269988E-2</v>
      </c>
      <c r="K610" s="8">
        <f t="shared" si="35"/>
        <v>3.4038400489118326E-2</v>
      </c>
    </row>
    <row r="611" spans="1:11" x14ac:dyDescent="0.25">
      <c r="A611" t="str">
        <f t="shared" si="36"/>
        <v>62019</v>
      </c>
      <c r="B611" s="1">
        <v>43637</v>
      </c>
      <c r="C611" t="s">
        <v>393</v>
      </c>
      <c r="D611">
        <v>30804.95</v>
      </c>
      <c r="E611">
        <v>30804.95</v>
      </c>
      <c r="F611">
        <v>30541.5</v>
      </c>
      <c r="G611">
        <v>30628.35</v>
      </c>
      <c r="H611">
        <v>0</v>
      </c>
      <c r="I611" s="8">
        <f t="shared" si="37"/>
        <v>-4.9624607307731106E-3</v>
      </c>
      <c r="J611" s="8">
        <f t="shared" si="38"/>
        <v>-4.9748146264531889E-3</v>
      </c>
      <c r="K611" s="8">
        <f t="shared" si="35"/>
        <v>2.6687606009613729E-2</v>
      </c>
    </row>
    <row r="612" spans="1:11" x14ac:dyDescent="0.25">
      <c r="A612" t="str">
        <f t="shared" si="36"/>
        <v>62019</v>
      </c>
      <c r="B612" s="1">
        <v>43640</v>
      </c>
      <c r="C612" t="s">
        <v>394</v>
      </c>
      <c r="D612">
        <v>30680.95</v>
      </c>
      <c r="E612">
        <v>30783.65</v>
      </c>
      <c r="F612">
        <v>30528</v>
      </c>
      <c r="G612">
        <v>30602.05</v>
      </c>
      <c r="H612">
        <v>0</v>
      </c>
      <c r="I612" s="8">
        <f t="shared" si="37"/>
        <v>-8.5868158095359082E-4</v>
      </c>
      <c r="J612" s="8">
        <f t="shared" si="38"/>
        <v>-8.5905045916339219E-4</v>
      </c>
      <c r="K612" s="8">
        <f t="shared" si="35"/>
        <v>3.4464632806557871E-2</v>
      </c>
    </row>
    <row r="613" spans="1:11" x14ac:dyDescent="0.25">
      <c r="A613" t="str">
        <f t="shared" si="36"/>
        <v>62019</v>
      </c>
      <c r="B613" s="1">
        <v>43641</v>
      </c>
      <c r="C613" t="s">
        <v>395</v>
      </c>
      <c r="D613">
        <v>30567.65</v>
      </c>
      <c r="E613">
        <v>30913.25</v>
      </c>
      <c r="F613">
        <v>30451.4</v>
      </c>
      <c r="G613">
        <v>30847.05</v>
      </c>
      <c r="H613">
        <v>0</v>
      </c>
      <c r="I613" s="8">
        <f t="shared" si="37"/>
        <v>8.005999598066138E-3</v>
      </c>
      <c r="J613" s="8">
        <f t="shared" si="38"/>
        <v>7.9741216136723688E-3</v>
      </c>
      <c r="K613" s="8">
        <f t="shared" si="35"/>
        <v>5.3476291955247612E-2</v>
      </c>
    </row>
    <row r="614" spans="1:11" x14ac:dyDescent="0.25">
      <c r="A614" t="str">
        <f t="shared" si="36"/>
        <v>62019</v>
      </c>
      <c r="B614" s="1">
        <v>43642</v>
      </c>
      <c r="C614" t="s">
        <v>396</v>
      </c>
      <c r="D614">
        <v>30809.200000000001</v>
      </c>
      <c r="E614">
        <v>31202.7</v>
      </c>
      <c r="F614">
        <v>30766.65</v>
      </c>
      <c r="G614">
        <v>31162.35</v>
      </c>
      <c r="H614">
        <v>0</v>
      </c>
      <c r="I614" s="8">
        <f t="shared" si="37"/>
        <v>1.0221398804747928E-2</v>
      </c>
      <c r="J614" s="8">
        <f t="shared" si="38"/>
        <v>1.0169513568255914E-2</v>
      </c>
      <c r="K614" s="8">
        <f t="shared" si="35"/>
        <v>4.284162953468873E-2</v>
      </c>
    </row>
    <row r="615" spans="1:11" x14ac:dyDescent="0.25">
      <c r="A615" t="str">
        <f t="shared" si="36"/>
        <v>62019</v>
      </c>
      <c r="B615" s="1">
        <v>43643</v>
      </c>
      <c r="C615" t="s">
        <v>397</v>
      </c>
      <c r="D615">
        <v>31192.1</v>
      </c>
      <c r="E615">
        <v>31490.6</v>
      </c>
      <c r="F615">
        <v>31158.799999999999</v>
      </c>
      <c r="G615">
        <v>31269.5</v>
      </c>
      <c r="H615">
        <v>0</v>
      </c>
      <c r="I615" s="8">
        <f t="shared" si="37"/>
        <v>3.4384441481467576E-3</v>
      </c>
      <c r="J615" s="8">
        <f t="shared" si="38"/>
        <v>3.4325462150090803E-3</v>
      </c>
      <c r="K615" s="8">
        <f t="shared" si="35"/>
        <v>4.162919140034238E-2</v>
      </c>
    </row>
    <row r="616" spans="1:11" x14ac:dyDescent="0.25">
      <c r="A616" t="str">
        <f t="shared" si="36"/>
        <v>62019</v>
      </c>
      <c r="B616" s="1">
        <v>43644</v>
      </c>
      <c r="C616" t="s">
        <v>398</v>
      </c>
      <c r="D616">
        <v>31281</v>
      </c>
      <c r="E616">
        <v>31308.9</v>
      </c>
      <c r="F616">
        <v>31060.6</v>
      </c>
      <c r="G616">
        <v>31105.200000000001</v>
      </c>
      <c r="H616">
        <v>0</v>
      </c>
      <c r="I616" s="8">
        <f t="shared" si="37"/>
        <v>-5.2543213035065595E-3</v>
      </c>
      <c r="J616" s="8">
        <f t="shared" si="38"/>
        <v>-5.26817379461921E-3</v>
      </c>
      <c r="K616" s="8">
        <f t="shared" si="35"/>
        <v>2.2506167705712121E-2</v>
      </c>
    </row>
    <row r="617" spans="1:11" x14ac:dyDescent="0.25">
      <c r="A617" t="str">
        <f t="shared" si="36"/>
        <v>72019</v>
      </c>
      <c r="B617" s="1">
        <v>43647</v>
      </c>
      <c r="C617" s="10">
        <v>43472.645833333336</v>
      </c>
      <c r="D617">
        <v>31271</v>
      </c>
      <c r="E617">
        <v>31450.35</v>
      </c>
      <c r="F617">
        <v>31246.45</v>
      </c>
      <c r="G617">
        <v>31372.2</v>
      </c>
      <c r="H617">
        <v>0</v>
      </c>
      <c r="I617" s="8">
        <f t="shared" si="37"/>
        <v>8.5837737741598641E-3</v>
      </c>
      <c r="J617" s="8">
        <f t="shared" si="38"/>
        <v>8.5471426609199132E-3</v>
      </c>
      <c r="K617" s="8">
        <f t="shared" si="35"/>
        <v>3.1071292413267226E-2</v>
      </c>
    </row>
    <row r="618" spans="1:11" x14ac:dyDescent="0.25">
      <c r="A618" t="str">
        <f t="shared" si="36"/>
        <v>72019</v>
      </c>
      <c r="B618" s="1">
        <v>43648</v>
      </c>
      <c r="C618" s="10">
        <v>43503.645833333336</v>
      </c>
      <c r="D618">
        <v>31414.65</v>
      </c>
      <c r="E618">
        <v>31431.35</v>
      </c>
      <c r="F618">
        <v>31105.1</v>
      </c>
      <c r="G618">
        <v>31283.3</v>
      </c>
      <c r="H618">
        <v>0</v>
      </c>
      <c r="I618" s="8">
        <f t="shared" si="37"/>
        <v>-2.8337190251241928E-3</v>
      </c>
      <c r="J618" s="8">
        <f t="shared" si="38"/>
        <v>-2.8377416079243701E-3</v>
      </c>
      <c r="K618" s="8">
        <f t="shared" si="35"/>
        <v>3.1549964552454179E-2</v>
      </c>
    </row>
    <row r="619" spans="1:11" x14ac:dyDescent="0.25">
      <c r="A619" t="str">
        <f t="shared" si="36"/>
        <v>72019</v>
      </c>
      <c r="B619" s="1">
        <v>43649</v>
      </c>
      <c r="C619" s="10">
        <v>43531.645833333336</v>
      </c>
      <c r="D619">
        <v>31347.7</v>
      </c>
      <c r="E619">
        <v>31467.15</v>
      </c>
      <c r="F619">
        <v>31238.5</v>
      </c>
      <c r="G619">
        <v>31382.3</v>
      </c>
      <c r="H619">
        <v>0</v>
      </c>
      <c r="I619" s="8">
        <f t="shared" si="37"/>
        <v>3.1646277726453675E-3</v>
      </c>
      <c r="J619" s="8">
        <f t="shared" si="38"/>
        <v>3.1596308776087106E-3</v>
      </c>
      <c r="K619" s="8">
        <f t="shared" si="35"/>
        <v>3.3868403930256807E-2</v>
      </c>
    </row>
    <row r="620" spans="1:11" x14ac:dyDescent="0.25">
      <c r="A620" t="str">
        <f t="shared" si="36"/>
        <v>72019</v>
      </c>
      <c r="B620" s="1">
        <v>43650</v>
      </c>
      <c r="C620" s="10">
        <v>43562.645833333336</v>
      </c>
      <c r="D620">
        <v>31471</v>
      </c>
      <c r="E620">
        <v>31608.35</v>
      </c>
      <c r="F620">
        <v>31428.05</v>
      </c>
      <c r="G620">
        <v>31471.85</v>
      </c>
      <c r="H620">
        <v>0</v>
      </c>
      <c r="I620" s="8">
        <f t="shared" si="37"/>
        <v>2.8535193405199166E-3</v>
      </c>
      <c r="J620" s="8">
        <f t="shared" si="38"/>
        <v>2.8494557826650897E-3</v>
      </c>
      <c r="K620" s="8">
        <f t="shared" si="35"/>
        <v>4.5809200054497179E-2</v>
      </c>
    </row>
    <row r="621" spans="1:11" x14ac:dyDescent="0.25">
      <c r="A621" t="str">
        <f t="shared" si="36"/>
        <v>72019</v>
      </c>
      <c r="B621" s="1">
        <v>43651</v>
      </c>
      <c r="C621" s="10">
        <v>43592.645833333336</v>
      </c>
      <c r="D621">
        <v>31523.05</v>
      </c>
      <c r="E621">
        <v>31660.75</v>
      </c>
      <c r="F621">
        <v>31323.25</v>
      </c>
      <c r="G621">
        <v>31475.8</v>
      </c>
      <c r="H621">
        <v>0</v>
      </c>
      <c r="I621" s="8">
        <f t="shared" si="37"/>
        <v>1.2550898660235177E-4</v>
      </c>
      <c r="J621" s="8">
        <f t="shared" si="38"/>
        <v>1.2550111100845777E-4</v>
      </c>
      <c r="K621" s="8">
        <f t="shared" si="35"/>
        <v>5.2529852967239332E-2</v>
      </c>
    </row>
    <row r="622" spans="1:11" x14ac:dyDescent="0.25">
      <c r="A622" t="str">
        <f t="shared" si="36"/>
        <v>72019</v>
      </c>
      <c r="B622" s="1">
        <v>43654</v>
      </c>
      <c r="C622" s="10">
        <v>43684.645833333336</v>
      </c>
      <c r="D622">
        <v>31346.85</v>
      </c>
      <c r="E622">
        <v>31370.400000000001</v>
      </c>
      <c r="F622">
        <v>30536.75</v>
      </c>
      <c r="G622">
        <v>30603.85</v>
      </c>
      <c r="H622">
        <v>0</v>
      </c>
      <c r="I622" s="8">
        <f t="shared" si="37"/>
        <v>-2.770223473271527E-2</v>
      </c>
      <c r="J622" s="8">
        <f t="shared" si="38"/>
        <v>-2.8093178567516541E-2</v>
      </c>
      <c r="K622" s="8">
        <f t="shared" si="35"/>
        <v>1.7257970426779012E-2</v>
      </c>
    </row>
    <row r="623" spans="1:11" x14ac:dyDescent="0.25">
      <c r="A623" t="str">
        <f t="shared" si="36"/>
        <v>72019</v>
      </c>
      <c r="B623" s="1">
        <v>43655</v>
      </c>
      <c r="C623" s="10">
        <v>43715.645833333336</v>
      </c>
      <c r="D623">
        <v>30533.4</v>
      </c>
      <c r="E623">
        <v>30702.1</v>
      </c>
      <c r="F623">
        <v>30346.7</v>
      </c>
      <c r="G623">
        <v>30569.15</v>
      </c>
      <c r="H623">
        <v>0</v>
      </c>
      <c r="I623" s="8">
        <f t="shared" si="37"/>
        <v>-1.1338442712272023E-3</v>
      </c>
      <c r="J623" s="8">
        <f t="shared" si="38"/>
        <v>-1.1344875589476037E-3</v>
      </c>
      <c r="K623" s="8">
        <f t="shared" si="35"/>
        <v>2.4253400032836048E-2</v>
      </c>
    </row>
    <row r="624" spans="1:11" x14ac:dyDescent="0.25">
      <c r="A624" t="str">
        <f t="shared" si="36"/>
        <v>72019</v>
      </c>
      <c r="B624" s="1">
        <v>43656</v>
      </c>
      <c r="C624" s="10">
        <v>43745.645833333336</v>
      </c>
      <c r="D624">
        <v>30618.05</v>
      </c>
      <c r="E624">
        <v>30728.35</v>
      </c>
      <c r="F624">
        <v>30428.6</v>
      </c>
      <c r="G624">
        <v>30522.1</v>
      </c>
      <c r="H624">
        <v>0</v>
      </c>
      <c r="I624" s="8">
        <f t="shared" si="37"/>
        <v>-1.5391334073732166E-3</v>
      </c>
      <c r="J624" s="8">
        <f t="shared" si="38"/>
        <v>-1.5403190899680303E-3</v>
      </c>
      <c r="K624" s="8">
        <f t="shared" si="35"/>
        <v>1.355688495492946E-2</v>
      </c>
    </row>
    <row r="625" spans="1:11" x14ac:dyDescent="0.25">
      <c r="A625" t="str">
        <f t="shared" si="36"/>
        <v>72019</v>
      </c>
      <c r="B625" s="1">
        <v>43657</v>
      </c>
      <c r="C625" s="10">
        <v>43776.645833333336</v>
      </c>
      <c r="D625">
        <v>30707</v>
      </c>
      <c r="E625">
        <v>30788.05</v>
      </c>
      <c r="F625">
        <v>30565.35</v>
      </c>
      <c r="G625">
        <v>30716.55</v>
      </c>
      <c r="H625">
        <v>0</v>
      </c>
      <c r="I625" s="8">
        <f t="shared" si="37"/>
        <v>6.3707936216708116E-3</v>
      </c>
      <c r="J625" s="8">
        <f t="shared" si="38"/>
        <v>6.3505858967383769E-3</v>
      </c>
      <c r="K625" s="8">
        <f t="shared" si="35"/>
        <v>3.063566359655745E-2</v>
      </c>
    </row>
    <row r="626" spans="1:11" x14ac:dyDescent="0.25">
      <c r="A626" t="str">
        <f t="shared" si="36"/>
        <v>72019</v>
      </c>
      <c r="B626" s="1">
        <v>43658</v>
      </c>
      <c r="C626" s="10">
        <v>43806.645833333336</v>
      </c>
      <c r="D626">
        <v>30789.75</v>
      </c>
      <c r="E626">
        <v>30870.95</v>
      </c>
      <c r="F626">
        <v>30548.3</v>
      </c>
      <c r="G626">
        <v>30601.45</v>
      </c>
      <c r="H626">
        <v>0</v>
      </c>
      <c r="I626" s="8">
        <f t="shared" si="37"/>
        <v>-3.747165615930137E-3</v>
      </c>
      <c r="J626" s="8">
        <f t="shared" si="38"/>
        <v>-3.7542038287407295E-3</v>
      </c>
      <c r="K626" s="8">
        <f t="shared" si="35"/>
        <v>2.7373506434209327E-2</v>
      </c>
    </row>
    <row r="627" spans="1:11" x14ac:dyDescent="0.25">
      <c r="A627" t="str">
        <f t="shared" si="36"/>
        <v>72019</v>
      </c>
      <c r="B627" s="1">
        <v>43661</v>
      </c>
      <c r="C627" t="s">
        <v>399</v>
      </c>
      <c r="D627">
        <v>30688.85</v>
      </c>
      <c r="E627">
        <v>30695.7</v>
      </c>
      <c r="F627">
        <v>30334.2</v>
      </c>
      <c r="G627">
        <v>30445.95</v>
      </c>
      <c r="H627">
        <v>0</v>
      </c>
      <c r="I627" s="8">
        <f t="shared" si="37"/>
        <v>-5.0814585583363048E-3</v>
      </c>
      <c r="J627" s="8">
        <f t="shared" si="38"/>
        <v>-5.0944130727289746E-3</v>
      </c>
      <c r="K627" s="8">
        <f t="shared" si="35"/>
        <v>1.6948048586187481E-2</v>
      </c>
    </row>
    <row r="628" spans="1:11" x14ac:dyDescent="0.25">
      <c r="A628" t="str">
        <f t="shared" si="36"/>
        <v>72019</v>
      </c>
      <c r="B628" s="1">
        <v>43662</v>
      </c>
      <c r="C628" t="s">
        <v>400</v>
      </c>
      <c r="D628">
        <v>30532.65</v>
      </c>
      <c r="E628">
        <v>30635</v>
      </c>
      <c r="F628">
        <v>30429.9</v>
      </c>
      <c r="G628">
        <v>30570.799999999999</v>
      </c>
      <c r="H628">
        <v>0</v>
      </c>
      <c r="I628" s="8">
        <f t="shared" si="37"/>
        <v>4.1007096181921998E-3</v>
      </c>
      <c r="J628" s="8">
        <f t="shared" si="38"/>
        <v>4.0923246236414237E-3</v>
      </c>
      <c r="K628" s="8">
        <f t="shared" si="35"/>
        <v>1.5497811770763148E-2</v>
      </c>
    </row>
    <row r="629" spans="1:11" x14ac:dyDescent="0.25">
      <c r="A629" t="str">
        <f t="shared" si="36"/>
        <v>72019</v>
      </c>
      <c r="B629" s="1">
        <v>43663</v>
      </c>
      <c r="C629" t="s">
        <v>401</v>
      </c>
      <c r="D629">
        <v>30622.25</v>
      </c>
      <c r="E629">
        <v>30799.7</v>
      </c>
      <c r="F629">
        <v>30568.3</v>
      </c>
      <c r="G629">
        <v>30735.5</v>
      </c>
      <c r="H629">
        <v>0</v>
      </c>
      <c r="I629" s="8">
        <f t="shared" si="37"/>
        <v>5.3874939484737094E-3</v>
      </c>
      <c r="J629" s="8">
        <f t="shared" si="38"/>
        <v>5.373033317408453E-3</v>
      </c>
      <c r="K629" s="8">
        <f t="shared" si="35"/>
        <v>6.686569706219947E-3</v>
      </c>
    </row>
    <row r="630" spans="1:11" x14ac:dyDescent="0.25">
      <c r="A630" t="str">
        <f t="shared" si="36"/>
        <v>72019</v>
      </c>
      <c r="B630" s="1">
        <v>43664</v>
      </c>
      <c r="C630" t="s">
        <v>402</v>
      </c>
      <c r="D630">
        <v>30705.8</v>
      </c>
      <c r="E630">
        <v>30769.35</v>
      </c>
      <c r="F630">
        <v>30378.6</v>
      </c>
      <c r="G630">
        <v>30430.6</v>
      </c>
      <c r="H630">
        <v>0</v>
      </c>
      <c r="I630" s="8">
        <f t="shared" si="37"/>
        <v>-9.9201249369621491E-3</v>
      </c>
      <c r="J630" s="8">
        <f t="shared" si="38"/>
        <v>-9.9696572262529988E-3</v>
      </c>
      <c r="K630" s="8">
        <f t="shared" si="35"/>
        <v>6.8556151855845293E-3</v>
      </c>
    </row>
    <row r="631" spans="1:11" x14ac:dyDescent="0.25">
      <c r="A631" t="str">
        <f t="shared" si="36"/>
        <v>72019</v>
      </c>
      <c r="B631" s="1">
        <v>43665</v>
      </c>
      <c r="C631" t="s">
        <v>403</v>
      </c>
      <c r="D631">
        <v>30515.1</v>
      </c>
      <c r="E631">
        <v>30543.75</v>
      </c>
      <c r="F631">
        <v>29705.75</v>
      </c>
      <c r="G631">
        <v>29770.35</v>
      </c>
      <c r="H631">
        <v>0</v>
      </c>
      <c r="I631" s="8">
        <f t="shared" si="37"/>
        <v>-2.1696910346821974E-2</v>
      </c>
      <c r="J631" s="8">
        <f t="shared" si="38"/>
        <v>-2.1935749337930861E-2</v>
      </c>
      <c r="K631" s="8">
        <f t="shared" si="35"/>
        <v>2.7755368760724597E-3</v>
      </c>
    </row>
    <row r="632" spans="1:11" x14ac:dyDescent="0.25">
      <c r="A632" t="str">
        <f t="shared" si="36"/>
        <v>72019</v>
      </c>
      <c r="B632" s="1">
        <v>43668</v>
      </c>
      <c r="C632" t="s">
        <v>404</v>
      </c>
      <c r="D632">
        <v>29617.05</v>
      </c>
      <c r="E632">
        <v>29635.15</v>
      </c>
      <c r="F632">
        <v>29194.1</v>
      </c>
      <c r="G632">
        <v>29284.95</v>
      </c>
      <c r="H632">
        <v>0</v>
      </c>
      <c r="I632" s="8">
        <f t="shared" si="37"/>
        <v>-1.6304813346164848E-2</v>
      </c>
      <c r="J632" s="8">
        <f t="shared" si="38"/>
        <v>-1.6439199579152138E-2</v>
      </c>
      <c r="K632" s="8">
        <f t="shared" si="35"/>
        <v>-6.6062409047581427E-3</v>
      </c>
    </row>
    <row r="633" spans="1:11" x14ac:dyDescent="0.25">
      <c r="A633" t="str">
        <f t="shared" si="36"/>
        <v>72019</v>
      </c>
      <c r="B633" s="1">
        <v>43669</v>
      </c>
      <c r="C633" t="s">
        <v>405</v>
      </c>
      <c r="D633">
        <v>29342.45</v>
      </c>
      <c r="E633">
        <v>29365.8</v>
      </c>
      <c r="F633">
        <v>29078.15</v>
      </c>
      <c r="G633">
        <v>29128.1</v>
      </c>
      <c r="H633">
        <v>0</v>
      </c>
      <c r="I633" s="8">
        <f t="shared" si="37"/>
        <v>-5.3559934369019624E-3</v>
      </c>
      <c r="J633" s="8">
        <f t="shared" si="38"/>
        <v>-5.3703881915644286E-3</v>
      </c>
      <c r="K633" s="8">
        <f t="shared" si="35"/>
        <v>-2.4537185875797007E-2</v>
      </c>
    </row>
    <row r="634" spans="1:11" x14ac:dyDescent="0.25">
      <c r="A634" t="str">
        <f t="shared" si="36"/>
        <v>72019</v>
      </c>
      <c r="B634" s="1">
        <v>43670</v>
      </c>
      <c r="C634" t="s">
        <v>406</v>
      </c>
      <c r="D634">
        <v>29085.45</v>
      </c>
      <c r="E634">
        <v>29252.400000000001</v>
      </c>
      <c r="F634">
        <v>28871</v>
      </c>
      <c r="G634">
        <v>28952.25</v>
      </c>
      <c r="H634">
        <v>0</v>
      </c>
      <c r="I634" s="8">
        <f t="shared" si="37"/>
        <v>-6.0371256621611913E-3</v>
      </c>
      <c r="J634" s="8">
        <f t="shared" si="38"/>
        <v>-6.0554227838082418E-3</v>
      </c>
      <c r="K634" s="8">
        <f t="shared" si="35"/>
        <v>-2.06046070291106E-2</v>
      </c>
    </row>
    <row r="635" spans="1:11" x14ac:dyDescent="0.25">
      <c r="A635" t="str">
        <f t="shared" si="36"/>
        <v>72019</v>
      </c>
      <c r="B635" s="1">
        <v>43671</v>
      </c>
      <c r="C635" t="s">
        <v>407</v>
      </c>
      <c r="D635">
        <v>28981.05</v>
      </c>
      <c r="E635">
        <v>29240.799999999999</v>
      </c>
      <c r="F635">
        <v>28931.05</v>
      </c>
      <c r="G635">
        <v>29043.05</v>
      </c>
      <c r="H635">
        <v>0</v>
      </c>
      <c r="I635" s="8">
        <f t="shared" si="37"/>
        <v>3.136198395634171E-3</v>
      </c>
      <c r="J635" s="8">
        <f t="shared" si="38"/>
        <v>3.1312907835985867E-3</v>
      </c>
      <c r="K635" s="8">
        <f t="shared" si="35"/>
        <v>-3.2333783130924387E-2</v>
      </c>
    </row>
    <row r="636" spans="1:11" x14ac:dyDescent="0.25">
      <c r="A636" t="str">
        <f t="shared" si="36"/>
        <v>72019</v>
      </c>
      <c r="B636" s="1">
        <v>43672</v>
      </c>
      <c r="C636" t="s">
        <v>408</v>
      </c>
      <c r="D636">
        <v>29062.5</v>
      </c>
      <c r="E636">
        <v>29379.1</v>
      </c>
      <c r="F636">
        <v>28994.5</v>
      </c>
      <c r="G636">
        <v>29325.3</v>
      </c>
      <c r="H636">
        <v>0</v>
      </c>
      <c r="I636" s="8">
        <f t="shared" si="37"/>
        <v>9.7183319245051081E-3</v>
      </c>
      <c r="J636" s="8">
        <f t="shared" si="38"/>
        <v>9.6714126764413898E-3</v>
      </c>
      <c r="K636" s="8">
        <f t="shared" si="35"/>
        <v>-1.4765763586518266E-2</v>
      </c>
    </row>
    <row r="637" spans="1:11" x14ac:dyDescent="0.25">
      <c r="A637" t="str">
        <f t="shared" si="36"/>
        <v>72019</v>
      </c>
      <c r="B637" s="1">
        <v>43675</v>
      </c>
      <c r="C637" t="s">
        <v>409</v>
      </c>
      <c r="D637">
        <v>29583.45</v>
      </c>
      <c r="E637">
        <v>29592.95</v>
      </c>
      <c r="F637">
        <v>29104.85</v>
      </c>
      <c r="G637">
        <v>29295.9</v>
      </c>
      <c r="H637">
        <v>0</v>
      </c>
      <c r="I637" s="8">
        <f t="shared" si="37"/>
        <v>-1.0025472885186737E-3</v>
      </c>
      <c r="J637" s="8">
        <f t="shared" si="38"/>
        <v>-1.0030501751914075E-3</v>
      </c>
      <c r="K637" s="8">
        <f t="shared" si="35"/>
        <v>-1.389160041200177E-2</v>
      </c>
    </row>
    <row r="638" spans="1:11" x14ac:dyDescent="0.25">
      <c r="A638" t="str">
        <f t="shared" si="36"/>
        <v>72019</v>
      </c>
      <c r="B638" s="1">
        <v>43676</v>
      </c>
      <c r="C638" t="s">
        <v>410</v>
      </c>
      <c r="D638">
        <v>29434.85</v>
      </c>
      <c r="E638">
        <v>29530.3</v>
      </c>
      <c r="F638">
        <v>28737.8</v>
      </c>
      <c r="G638">
        <v>28791.599999999999</v>
      </c>
      <c r="H638">
        <v>0</v>
      </c>
      <c r="I638" s="8">
        <f t="shared" si="37"/>
        <v>-1.7214012882348806E-2</v>
      </c>
      <c r="J638" s="8">
        <f t="shared" si="38"/>
        <v>-1.7363896558809024E-2</v>
      </c>
      <c r="K638" s="8">
        <f t="shared" si="35"/>
        <v>-3.8810982785356996E-2</v>
      </c>
    </row>
    <row r="639" spans="1:11" x14ac:dyDescent="0.25">
      <c r="A639" t="str">
        <f t="shared" si="36"/>
        <v>72019</v>
      </c>
      <c r="B639" s="1">
        <v>43677</v>
      </c>
      <c r="C639" t="s">
        <v>411</v>
      </c>
      <c r="D639">
        <v>28575.45</v>
      </c>
      <c r="E639">
        <v>28979.75</v>
      </c>
      <c r="F639">
        <v>28529.75</v>
      </c>
      <c r="G639">
        <v>28876</v>
      </c>
      <c r="H639">
        <v>0</v>
      </c>
      <c r="I639" s="8">
        <f t="shared" si="37"/>
        <v>2.9314105502995513E-3</v>
      </c>
      <c r="J639" s="8">
        <f t="shared" si="38"/>
        <v>2.927122344675832E-3</v>
      </c>
      <c r="K639" s="8">
        <f t="shared" si="35"/>
        <v>-2.5067145647392097E-2</v>
      </c>
    </row>
    <row r="640" spans="1:11" x14ac:dyDescent="0.25">
      <c r="A640" t="str">
        <f t="shared" si="36"/>
        <v>82019</v>
      </c>
      <c r="B640" s="1">
        <v>43678</v>
      </c>
      <c r="C640" s="10">
        <v>43473.645833333336</v>
      </c>
      <c r="D640">
        <v>28660.5</v>
      </c>
      <c r="E640">
        <v>28819.7</v>
      </c>
      <c r="F640">
        <v>28047.35</v>
      </c>
      <c r="G640">
        <v>28367.25</v>
      </c>
      <c r="H640">
        <v>0</v>
      </c>
      <c r="I640" s="8">
        <f t="shared" si="37"/>
        <v>-1.7618437456711433E-2</v>
      </c>
      <c r="J640" s="8">
        <f t="shared" si="38"/>
        <v>-1.7775489534829644E-2</v>
      </c>
      <c r="K640" s="8">
        <f t="shared" ref="K640:K703" si="39">+G640/G579-1</f>
        <v>-3.1444404231055545E-2</v>
      </c>
    </row>
    <row r="641" spans="1:11" x14ac:dyDescent="0.25">
      <c r="A641" t="str">
        <f t="shared" si="36"/>
        <v>82019</v>
      </c>
      <c r="B641" s="1">
        <v>43679</v>
      </c>
      <c r="C641" s="10">
        <v>43504.645833333336</v>
      </c>
      <c r="D641">
        <v>28224.25</v>
      </c>
      <c r="E641">
        <v>28544.55</v>
      </c>
      <c r="F641">
        <v>27936.35</v>
      </c>
      <c r="G641">
        <v>28204.95</v>
      </c>
      <c r="H641">
        <v>0</v>
      </c>
      <c r="I641" s="8">
        <f t="shared" si="37"/>
        <v>-5.7213864579752638E-3</v>
      </c>
      <c r="J641" s="8">
        <f t="shared" si="38"/>
        <v>-5.7378162870473631E-3</v>
      </c>
      <c r="K641" s="8">
        <f t="shared" si="39"/>
        <v>-2.7227671550368315E-2</v>
      </c>
    </row>
    <row r="642" spans="1:11" x14ac:dyDescent="0.25">
      <c r="A642" t="str">
        <f t="shared" si="36"/>
        <v>82019</v>
      </c>
      <c r="B642" s="1">
        <v>43682</v>
      </c>
      <c r="C642" s="10">
        <v>43593.645833333336</v>
      </c>
      <c r="D642">
        <v>27841.200000000001</v>
      </c>
      <c r="E642">
        <v>27866.55</v>
      </c>
      <c r="F642">
        <v>27389.5</v>
      </c>
      <c r="G642">
        <v>27648.05</v>
      </c>
      <c r="H642">
        <v>0</v>
      </c>
      <c r="I642" s="8">
        <f t="shared" si="37"/>
        <v>-1.9744761114627085E-2</v>
      </c>
      <c r="J642" s="8">
        <f t="shared" si="38"/>
        <v>-1.9942293385953602E-2</v>
      </c>
      <c r="K642" s="8">
        <f t="shared" si="39"/>
        <v>-4.2810009486023648E-2</v>
      </c>
    </row>
    <row r="643" spans="1:11" x14ac:dyDescent="0.25">
      <c r="A643" t="str">
        <f t="shared" ref="A643:A706" si="40">+MONTH(B643)&amp;YEAR(B643)</f>
        <v>82019</v>
      </c>
      <c r="B643" s="1">
        <v>43683</v>
      </c>
      <c r="C643" s="10">
        <v>43624.645833333336</v>
      </c>
      <c r="D643">
        <v>27518.5</v>
      </c>
      <c r="E643">
        <v>28148.400000000001</v>
      </c>
      <c r="F643">
        <v>27503.9</v>
      </c>
      <c r="G643">
        <v>28022.1</v>
      </c>
      <c r="H643">
        <v>0</v>
      </c>
      <c r="I643" s="8">
        <f t="shared" si="37"/>
        <v>1.3528983056671162E-2</v>
      </c>
      <c r="J643" s="8">
        <f t="shared" si="38"/>
        <v>1.3438283498240187E-2</v>
      </c>
      <c r="K643" s="8">
        <f t="shared" si="39"/>
        <v>-3.5068266730944764E-2</v>
      </c>
    </row>
    <row r="644" spans="1:11" x14ac:dyDescent="0.25">
      <c r="A644" t="str">
        <f t="shared" si="40"/>
        <v>82019</v>
      </c>
      <c r="B644" s="1">
        <v>43684</v>
      </c>
      <c r="C644" s="10">
        <v>43654.645833333336</v>
      </c>
      <c r="D644">
        <v>28053.85</v>
      </c>
      <c r="E644">
        <v>28175.55</v>
      </c>
      <c r="F644">
        <v>27641.85</v>
      </c>
      <c r="G644">
        <v>27702.05</v>
      </c>
      <c r="H644">
        <v>0</v>
      </c>
      <c r="I644" s="8">
        <f t="shared" ref="I644:I707" si="41">+G644/G643-1</f>
        <v>-1.1421342440430915E-2</v>
      </c>
      <c r="J644" s="8">
        <f t="shared" ref="J644:J707" si="42">+LN(1+I644)</f>
        <v>-1.1487066892214001E-2</v>
      </c>
      <c r="K644" s="8">
        <f t="shared" si="39"/>
        <v>-3.3422947353362487E-2</v>
      </c>
    </row>
    <row r="645" spans="1:11" x14ac:dyDescent="0.25">
      <c r="A645" t="str">
        <f t="shared" si="40"/>
        <v>82019</v>
      </c>
      <c r="B645" s="1">
        <v>43685</v>
      </c>
      <c r="C645" s="10">
        <v>43685.645833333336</v>
      </c>
      <c r="D645">
        <v>27840.1</v>
      </c>
      <c r="E645">
        <v>28227.55</v>
      </c>
      <c r="F645">
        <v>27531.05</v>
      </c>
      <c r="G645">
        <v>28110.45</v>
      </c>
      <c r="H645">
        <v>0</v>
      </c>
      <c r="I645" s="8">
        <f t="shared" si="41"/>
        <v>1.4742591252272064E-2</v>
      </c>
      <c r="J645" s="8">
        <f t="shared" si="42"/>
        <v>1.463497565308202E-2</v>
      </c>
      <c r="K645" s="8">
        <f t="shared" si="39"/>
        <v>-2.4931319634259763E-2</v>
      </c>
    </row>
    <row r="646" spans="1:11" x14ac:dyDescent="0.25">
      <c r="A646" t="str">
        <f t="shared" si="40"/>
        <v>82019</v>
      </c>
      <c r="B646" s="1">
        <v>43686</v>
      </c>
      <c r="C646" s="10">
        <v>43716.645833333336</v>
      </c>
      <c r="D646">
        <v>28293.65</v>
      </c>
      <c r="E646">
        <v>28602.75</v>
      </c>
      <c r="F646">
        <v>28251.75</v>
      </c>
      <c r="G646">
        <v>28431.9</v>
      </c>
      <c r="H646">
        <v>0</v>
      </c>
      <c r="I646" s="8">
        <f t="shared" si="41"/>
        <v>1.1435249168903372E-2</v>
      </c>
      <c r="J646" s="8">
        <f t="shared" si="42"/>
        <v>1.1370360914159022E-2</v>
      </c>
      <c r="K646" s="8">
        <f t="shared" si="39"/>
        <v>-6.4490878498205673E-3</v>
      </c>
    </row>
    <row r="647" spans="1:11" x14ac:dyDescent="0.25">
      <c r="A647" t="str">
        <f t="shared" si="40"/>
        <v>82019</v>
      </c>
      <c r="B647" s="1">
        <v>43690</v>
      </c>
      <c r="C647" t="s">
        <v>412</v>
      </c>
      <c r="D647">
        <v>28356.799999999999</v>
      </c>
      <c r="E647">
        <v>28358.85</v>
      </c>
      <c r="F647">
        <v>27683.5</v>
      </c>
      <c r="G647">
        <v>27729.1</v>
      </c>
      <c r="H647">
        <v>0</v>
      </c>
      <c r="I647" s="8">
        <f t="shared" si="41"/>
        <v>-2.4718713839033013E-2</v>
      </c>
      <c r="J647" s="8">
        <f t="shared" si="42"/>
        <v>-2.5029350965383529E-2</v>
      </c>
      <c r="K647" s="8">
        <f t="shared" si="39"/>
        <v>-3.9029225133684342E-2</v>
      </c>
    </row>
    <row r="648" spans="1:11" x14ac:dyDescent="0.25">
      <c r="A648" t="str">
        <f t="shared" si="40"/>
        <v>82019</v>
      </c>
      <c r="B648" s="1">
        <v>43691</v>
      </c>
      <c r="C648" t="s">
        <v>413</v>
      </c>
      <c r="D648">
        <v>27885.5</v>
      </c>
      <c r="E648">
        <v>28107.05</v>
      </c>
      <c r="F648">
        <v>27726.65</v>
      </c>
      <c r="G648">
        <v>28019.200000000001</v>
      </c>
      <c r="H648">
        <v>0</v>
      </c>
      <c r="I648" s="8">
        <f t="shared" si="41"/>
        <v>1.0461933492251996E-2</v>
      </c>
      <c r="J648" s="8">
        <f t="shared" si="42"/>
        <v>1.0407586189329835E-2</v>
      </c>
      <c r="K648" s="8">
        <f t="shared" si="39"/>
        <v>-4.8588886644040929E-2</v>
      </c>
    </row>
    <row r="649" spans="1:11" x14ac:dyDescent="0.25">
      <c r="A649" t="str">
        <f t="shared" si="40"/>
        <v>82019</v>
      </c>
      <c r="B649" s="1">
        <v>43693</v>
      </c>
      <c r="C649" t="s">
        <v>414</v>
      </c>
      <c r="D649">
        <v>27920.3</v>
      </c>
      <c r="E649">
        <v>28251.05</v>
      </c>
      <c r="F649">
        <v>27720.95</v>
      </c>
      <c r="G649">
        <v>28217</v>
      </c>
      <c r="H649">
        <v>0</v>
      </c>
      <c r="I649" s="8">
        <f t="shared" si="41"/>
        <v>7.0594449520329228E-3</v>
      </c>
      <c r="J649" s="8">
        <f t="shared" si="42"/>
        <v>7.0346437240446993E-3</v>
      </c>
      <c r="K649" s="8">
        <f t="shared" si="39"/>
        <v>-8.2663354974203296E-2</v>
      </c>
    </row>
    <row r="650" spans="1:11" x14ac:dyDescent="0.25">
      <c r="A650" t="str">
        <f t="shared" si="40"/>
        <v>82019</v>
      </c>
      <c r="B650" s="1">
        <v>43696</v>
      </c>
      <c r="C650" t="s">
        <v>415</v>
      </c>
      <c r="D650">
        <v>28331.25</v>
      </c>
      <c r="E650">
        <v>28468.9</v>
      </c>
      <c r="F650">
        <v>28146.5</v>
      </c>
      <c r="G650">
        <v>28186.1</v>
      </c>
      <c r="H650">
        <v>0</v>
      </c>
      <c r="I650" s="8">
        <f t="shared" si="41"/>
        <v>-1.0950845235142559E-3</v>
      </c>
      <c r="J650" s="8">
        <f t="shared" si="42"/>
        <v>-1.0956845666763963E-3</v>
      </c>
      <c r="K650" s="8">
        <f t="shared" si="39"/>
        <v>-7.0023491837246543E-2</v>
      </c>
    </row>
    <row r="651" spans="1:11" x14ac:dyDescent="0.25">
      <c r="A651" t="str">
        <f t="shared" si="40"/>
        <v>82019</v>
      </c>
      <c r="B651" s="1">
        <v>43697</v>
      </c>
      <c r="C651" t="s">
        <v>416</v>
      </c>
      <c r="D651">
        <v>28163.55</v>
      </c>
      <c r="E651">
        <v>28215.4</v>
      </c>
      <c r="F651">
        <v>27839.65</v>
      </c>
      <c r="G651">
        <v>27982.45</v>
      </c>
      <c r="H651">
        <v>0</v>
      </c>
      <c r="I651" s="8">
        <f t="shared" si="41"/>
        <v>-7.2251925594529753E-3</v>
      </c>
      <c r="J651" s="8">
        <f t="shared" si="42"/>
        <v>-7.2514206750315729E-3</v>
      </c>
      <c r="K651" s="8">
        <f t="shared" si="39"/>
        <v>-8.3348074478818535E-2</v>
      </c>
    </row>
    <row r="652" spans="1:11" x14ac:dyDescent="0.25">
      <c r="A652" t="str">
        <f t="shared" si="40"/>
        <v>82019</v>
      </c>
      <c r="B652" s="1">
        <v>43698</v>
      </c>
      <c r="C652" t="s">
        <v>417</v>
      </c>
      <c r="D652">
        <v>28021</v>
      </c>
      <c r="E652">
        <v>28098.9</v>
      </c>
      <c r="F652">
        <v>27666.2</v>
      </c>
      <c r="G652">
        <v>27719.05</v>
      </c>
      <c r="H652">
        <v>0</v>
      </c>
      <c r="I652" s="8">
        <f t="shared" si="41"/>
        <v>-9.4130428179091119E-3</v>
      </c>
      <c r="J652" s="8">
        <f t="shared" si="42"/>
        <v>-9.4576254984767537E-3</v>
      </c>
      <c r="K652" s="8">
        <f t="shared" si="39"/>
        <v>-8.846200643886204E-2</v>
      </c>
    </row>
    <row r="653" spans="1:11" x14ac:dyDescent="0.25">
      <c r="A653" t="str">
        <f t="shared" si="40"/>
        <v>82019</v>
      </c>
      <c r="B653" s="1">
        <v>43699</v>
      </c>
      <c r="C653" t="s">
        <v>418</v>
      </c>
      <c r="D653">
        <v>27690.05</v>
      </c>
      <c r="E653">
        <v>27690.05</v>
      </c>
      <c r="F653">
        <v>26975.55</v>
      </c>
      <c r="G653">
        <v>27034.2</v>
      </c>
      <c r="H653">
        <v>0</v>
      </c>
      <c r="I653" s="8">
        <f t="shared" si="41"/>
        <v>-2.470683519096073E-2</v>
      </c>
      <c r="J653" s="8">
        <f t="shared" si="42"/>
        <v>-2.5017171324594609E-2</v>
      </c>
      <c r="K653" s="8">
        <f t="shared" si="39"/>
        <v>-0.13386762696415377</v>
      </c>
    </row>
    <row r="654" spans="1:11" x14ac:dyDescent="0.25">
      <c r="A654" t="str">
        <f t="shared" si="40"/>
        <v>82019</v>
      </c>
      <c r="B654" s="1">
        <v>43700</v>
      </c>
      <c r="C654" t="s">
        <v>419</v>
      </c>
      <c r="D654">
        <v>26835.35</v>
      </c>
      <c r="E654">
        <v>27207.3</v>
      </c>
      <c r="F654">
        <v>26560.6</v>
      </c>
      <c r="G654">
        <v>26958.65</v>
      </c>
      <c r="H654">
        <v>0</v>
      </c>
      <c r="I654" s="8">
        <f t="shared" si="41"/>
        <v>-2.7946083109542386E-3</v>
      </c>
      <c r="J654" s="8">
        <f t="shared" si="42"/>
        <v>-2.7985205191864548E-3</v>
      </c>
      <c r="K654" s="8">
        <f t="shared" si="39"/>
        <v>-0.14816265978674559</v>
      </c>
    </row>
    <row r="655" spans="1:11" x14ac:dyDescent="0.25">
      <c r="A655" t="str">
        <f t="shared" si="40"/>
        <v>82019</v>
      </c>
      <c r="B655" s="1">
        <v>43703</v>
      </c>
      <c r="C655" t="s">
        <v>420</v>
      </c>
      <c r="D655">
        <v>27663.95</v>
      </c>
      <c r="E655">
        <v>27995.25</v>
      </c>
      <c r="F655">
        <v>26859.35</v>
      </c>
      <c r="G655">
        <v>27951.35</v>
      </c>
      <c r="H655">
        <v>0</v>
      </c>
      <c r="I655" s="8">
        <f t="shared" si="41"/>
        <v>3.6823060501916638E-2</v>
      </c>
      <c r="J655" s="8">
        <f t="shared" si="42"/>
        <v>3.6161288364971032E-2</v>
      </c>
      <c r="K655" s="8">
        <f t="shared" si="39"/>
        <v>-0.11540482120647266</v>
      </c>
    </row>
    <row r="656" spans="1:11" x14ac:dyDescent="0.25">
      <c r="A656" t="str">
        <f t="shared" si="40"/>
        <v>82019</v>
      </c>
      <c r="B656" s="1">
        <v>43704</v>
      </c>
      <c r="C656" t="s">
        <v>421</v>
      </c>
      <c r="D656">
        <v>28106.3</v>
      </c>
      <c r="E656">
        <v>28277.7</v>
      </c>
      <c r="F656">
        <v>27960.799999999999</v>
      </c>
      <c r="G656">
        <v>28126.15</v>
      </c>
      <c r="H656">
        <v>0</v>
      </c>
      <c r="I656" s="8">
        <f t="shared" si="41"/>
        <v>6.2537229865464727E-3</v>
      </c>
      <c r="J656" s="8">
        <f t="shared" si="42"/>
        <v>6.2342496061980326E-3</v>
      </c>
      <c r="K656" s="8">
        <f t="shared" si="39"/>
        <v>-0.10127318420670028</v>
      </c>
    </row>
    <row r="657" spans="1:11" x14ac:dyDescent="0.25">
      <c r="A657" t="str">
        <f t="shared" si="40"/>
        <v>82019</v>
      </c>
      <c r="B657" s="1">
        <v>43705</v>
      </c>
      <c r="C657" t="s">
        <v>422</v>
      </c>
      <c r="D657">
        <v>28080.25</v>
      </c>
      <c r="E657">
        <v>28095.55</v>
      </c>
      <c r="F657">
        <v>27634.65</v>
      </c>
      <c r="G657">
        <v>27804.3</v>
      </c>
      <c r="H657">
        <v>0</v>
      </c>
      <c r="I657" s="8">
        <f t="shared" si="41"/>
        <v>-1.1443087660415685E-2</v>
      </c>
      <c r="J657" s="8">
        <f t="shared" si="42"/>
        <v>-1.1509063583100257E-2</v>
      </c>
      <c r="K657" s="8">
        <f t="shared" si="39"/>
        <v>-0.11836218295277623</v>
      </c>
    </row>
    <row r="658" spans="1:11" x14ac:dyDescent="0.25">
      <c r="A658" t="str">
        <f t="shared" si="40"/>
        <v>82019</v>
      </c>
      <c r="B658" s="1">
        <v>43706</v>
      </c>
      <c r="C658" t="s">
        <v>423</v>
      </c>
      <c r="D658">
        <v>27694.95</v>
      </c>
      <c r="E658">
        <v>27719.05</v>
      </c>
      <c r="F658">
        <v>27239.95</v>
      </c>
      <c r="G658">
        <v>27305.200000000001</v>
      </c>
      <c r="H658">
        <v>0</v>
      </c>
      <c r="I658" s="8">
        <f t="shared" si="41"/>
        <v>-1.7950460899932685E-2</v>
      </c>
      <c r="J658" s="8">
        <f t="shared" si="42"/>
        <v>-1.8113524751341061E-2</v>
      </c>
      <c r="K658" s="8">
        <f t="shared" si="39"/>
        <v>-0.12972583616463851</v>
      </c>
    </row>
    <row r="659" spans="1:11" x14ac:dyDescent="0.25">
      <c r="A659" t="str">
        <f t="shared" si="40"/>
        <v>82019</v>
      </c>
      <c r="B659" s="1">
        <v>43707</v>
      </c>
      <c r="C659" t="s">
        <v>424</v>
      </c>
      <c r="D659">
        <v>27407.9</v>
      </c>
      <c r="E659">
        <v>27586.5</v>
      </c>
      <c r="F659">
        <v>27121.95</v>
      </c>
      <c r="G659">
        <v>27427.85</v>
      </c>
      <c r="H659">
        <v>0</v>
      </c>
      <c r="I659" s="8">
        <f t="shared" si="41"/>
        <v>4.4918184082152202E-3</v>
      </c>
      <c r="J659" s="8">
        <f t="shared" si="42"/>
        <v>4.481760300125078E-3</v>
      </c>
      <c r="K659" s="8">
        <f t="shared" si="39"/>
        <v>-0.13350119180568443</v>
      </c>
    </row>
    <row r="660" spans="1:11" x14ac:dyDescent="0.25">
      <c r="A660" t="str">
        <f t="shared" si="40"/>
        <v>92019</v>
      </c>
      <c r="B660" s="1">
        <v>43711</v>
      </c>
      <c r="C660" s="10">
        <v>43533.645833333336</v>
      </c>
      <c r="D660">
        <v>27239.200000000001</v>
      </c>
      <c r="E660">
        <v>27247.05</v>
      </c>
      <c r="F660">
        <v>26742.6</v>
      </c>
      <c r="G660">
        <v>26824.15</v>
      </c>
      <c r="H660">
        <v>0</v>
      </c>
      <c r="I660" s="8">
        <f t="shared" si="41"/>
        <v>-2.2010474754674436E-2</v>
      </c>
      <c r="J660" s="8">
        <f t="shared" si="42"/>
        <v>-2.2256319387778976E-2</v>
      </c>
      <c r="K660" s="8">
        <f t="shared" si="39"/>
        <v>-0.15084024369203874</v>
      </c>
    </row>
    <row r="661" spans="1:11" x14ac:dyDescent="0.25">
      <c r="A661" t="str">
        <f t="shared" si="40"/>
        <v>92019</v>
      </c>
      <c r="B661" s="1">
        <v>43712</v>
      </c>
      <c r="C661" s="10">
        <v>43564.645833333336</v>
      </c>
      <c r="D661">
        <v>26785.95</v>
      </c>
      <c r="E661">
        <v>27278.7</v>
      </c>
      <c r="F661">
        <v>26641.35</v>
      </c>
      <c r="G661">
        <v>27123.85</v>
      </c>
      <c r="H661">
        <v>0</v>
      </c>
      <c r="I661" s="8">
        <f t="shared" si="41"/>
        <v>1.117276782302512E-2</v>
      </c>
      <c r="J661" s="8">
        <f t="shared" si="42"/>
        <v>1.1110813493060473E-2</v>
      </c>
      <c r="K661" s="8">
        <f t="shared" si="39"/>
        <v>-0.12099366764536235</v>
      </c>
    </row>
    <row r="662" spans="1:11" x14ac:dyDescent="0.25">
      <c r="A662" t="str">
        <f t="shared" si="40"/>
        <v>92019</v>
      </c>
      <c r="B662" s="1">
        <v>43713</v>
      </c>
      <c r="C662" s="10">
        <v>43594.645833333336</v>
      </c>
      <c r="D662">
        <v>27086.95</v>
      </c>
      <c r="E662">
        <v>27243.95</v>
      </c>
      <c r="F662">
        <v>26815.4</v>
      </c>
      <c r="G662">
        <v>26919.7</v>
      </c>
      <c r="H662">
        <v>0</v>
      </c>
      <c r="I662" s="8">
        <f t="shared" si="41"/>
        <v>-7.5265863806206479E-3</v>
      </c>
      <c r="J662" s="8">
        <f t="shared" si="42"/>
        <v>-7.5550540648374057E-3</v>
      </c>
      <c r="K662" s="8">
        <f t="shared" si="39"/>
        <v>-0.13348279741393876</v>
      </c>
    </row>
    <row r="663" spans="1:11" x14ac:dyDescent="0.25">
      <c r="A663" t="str">
        <f t="shared" si="40"/>
        <v>92019</v>
      </c>
      <c r="B663" s="1">
        <v>43714</v>
      </c>
      <c r="C663" s="10">
        <v>43625.645833333336</v>
      </c>
      <c r="D663">
        <v>26986.5</v>
      </c>
      <c r="E663">
        <v>27311.05</v>
      </c>
      <c r="F663">
        <v>26950.55</v>
      </c>
      <c r="G663">
        <v>27247.9</v>
      </c>
      <c r="H663">
        <v>0</v>
      </c>
      <c r="I663" s="8">
        <f t="shared" si="41"/>
        <v>1.2191814916213906E-2</v>
      </c>
      <c r="J663" s="8">
        <f t="shared" si="42"/>
        <v>1.2118093335797171E-2</v>
      </c>
      <c r="K663" s="8">
        <f t="shared" si="39"/>
        <v>-0.12199845330927361</v>
      </c>
    </row>
    <row r="664" spans="1:11" x14ac:dyDescent="0.25">
      <c r="A664" t="str">
        <f t="shared" si="40"/>
        <v>92019</v>
      </c>
      <c r="B664" s="1">
        <v>43717</v>
      </c>
      <c r="C664" s="10">
        <v>43717.645833333336</v>
      </c>
      <c r="D664">
        <v>27240.35</v>
      </c>
      <c r="E664">
        <v>27565.55</v>
      </c>
      <c r="F664">
        <v>26993.9</v>
      </c>
      <c r="G664">
        <v>27504.65</v>
      </c>
      <c r="H664">
        <v>0</v>
      </c>
      <c r="I664" s="8">
        <f t="shared" si="41"/>
        <v>9.422744505081182E-3</v>
      </c>
      <c r="J664" s="8">
        <f t="shared" si="42"/>
        <v>9.3786273678901234E-3</v>
      </c>
      <c r="K664" s="8">
        <f t="shared" si="39"/>
        <v>-0.1202861305370625</v>
      </c>
    </row>
    <row r="665" spans="1:11" x14ac:dyDescent="0.25">
      <c r="A665" t="str">
        <f t="shared" si="40"/>
        <v>92019</v>
      </c>
      <c r="B665" s="1">
        <v>43719</v>
      </c>
      <c r="C665" s="10">
        <v>43778.645833333336</v>
      </c>
      <c r="D665">
        <v>27639.05</v>
      </c>
      <c r="E665">
        <v>27829.65</v>
      </c>
      <c r="F665">
        <v>27551.65</v>
      </c>
      <c r="G665">
        <v>27776.2</v>
      </c>
      <c r="H665">
        <v>0</v>
      </c>
      <c r="I665" s="8">
        <f t="shared" si="41"/>
        <v>9.8728760409603211E-3</v>
      </c>
      <c r="J665" s="8">
        <f t="shared" si="42"/>
        <v>9.8244576254858593E-3</v>
      </c>
      <c r="K665" s="8">
        <f t="shared" si="39"/>
        <v>-0.10300106246588969</v>
      </c>
    </row>
    <row r="666" spans="1:11" x14ac:dyDescent="0.25">
      <c r="A666" t="str">
        <f t="shared" si="40"/>
        <v>92019</v>
      </c>
      <c r="B666" s="1">
        <v>43720</v>
      </c>
      <c r="C666" s="10">
        <v>43808.645833333336</v>
      </c>
      <c r="D666">
        <v>27870.799999999999</v>
      </c>
      <c r="E666">
        <v>28062.3</v>
      </c>
      <c r="F666">
        <v>27764.7</v>
      </c>
      <c r="G666">
        <v>27818.5</v>
      </c>
      <c r="H666">
        <v>0</v>
      </c>
      <c r="I666" s="8">
        <f t="shared" si="41"/>
        <v>1.5228864999532465E-3</v>
      </c>
      <c r="J666" s="8">
        <f t="shared" si="42"/>
        <v>1.5217280842486686E-3</v>
      </c>
      <c r="K666" s="8">
        <f t="shared" si="39"/>
        <v>-0.10193665438838329</v>
      </c>
    </row>
    <row r="667" spans="1:11" x14ac:dyDescent="0.25">
      <c r="A667" t="str">
        <f t="shared" si="40"/>
        <v>92019</v>
      </c>
      <c r="B667" s="1">
        <v>43721</v>
      </c>
      <c r="C667" t="s">
        <v>425</v>
      </c>
      <c r="D667">
        <v>27772</v>
      </c>
      <c r="E667">
        <v>28126.85</v>
      </c>
      <c r="F667">
        <v>27573.45</v>
      </c>
      <c r="G667">
        <v>28098.75</v>
      </c>
      <c r="H667">
        <v>0</v>
      </c>
      <c r="I667" s="8">
        <f t="shared" si="41"/>
        <v>1.0074231177094273E-2</v>
      </c>
      <c r="J667" s="8">
        <f t="shared" si="42"/>
        <v>1.0023824367398428E-2</v>
      </c>
      <c r="K667" s="8">
        <f t="shared" si="39"/>
        <v>-8.2170616067301694E-2</v>
      </c>
    </row>
    <row r="668" spans="1:11" x14ac:dyDescent="0.25">
      <c r="A668" t="str">
        <f t="shared" si="40"/>
        <v>92019</v>
      </c>
      <c r="B668" s="1">
        <v>43724</v>
      </c>
      <c r="C668" t="s">
        <v>426</v>
      </c>
      <c r="D668">
        <v>27868</v>
      </c>
      <c r="E668">
        <v>28066.7</v>
      </c>
      <c r="F668">
        <v>27798.85</v>
      </c>
      <c r="G668">
        <v>27855</v>
      </c>
      <c r="H668">
        <v>0</v>
      </c>
      <c r="I668" s="8">
        <f t="shared" si="41"/>
        <v>-8.6747631122381375E-3</v>
      </c>
      <c r="J668" s="8">
        <f t="shared" si="42"/>
        <v>-8.712607891714361E-3</v>
      </c>
      <c r="K668" s="8">
        <f t="shared" si="39"/>
        <v>-7.9880752809823874E-2</v>
      </c>
    </row>
    <row r="669" spans="1:11" x14ac:dyDescent="0.25">
      <c r="A669" t="str">
        <f t="shared" si="40"/>
        <v>92019</v>
      </c>
      <c r="B669" s="1">
        <v>43725</v>
      </c>
      <c r="C669" t="s">
        <v>427</v>
      </c>
      <c r="D669">
        <v>27765.1</v>
      </c>
      <c r="E669">
        <v>27851.4</v>
      </c>
      <c r="F669">
        <v>27047.95</v>
      </c>
      <c r="G669">
        <v>27131.75</v>
      </c>
      <c r="H669">
        <v>0</v>
      </c>
      <c r="I669" s="8">
        <f t="shared" si="41"/>
        <v>-2.5964817806497953E-2</v>
      </c>
      <c r="J669" s="8">
        <f t="shared" si="42"/>
        <v>-2.6307854643397424E-2</v>
      </c>
      <c r="K669" s="8">
        <f t="shared" si="39"/>
        <v>-0.10606734539224405</v>
      </c>
    </row>
    <row r="670" spans="1:11" x14ac:dyDescent="0.25">
      <c r="A670" t="str">
        <f t="shared" si="40"/>
        <v>92019</v>
      </c>
      <c r="B670" s="1">
        <v>43726</v>
      </c>
      <c r="C670" t="s">
        <v>428</v>
      </c>
      <c r="D670">
        <v>27304.7</v>
      </c>
      <c r="E670">
        <v>27414.45</v>
      </c>
      <c r="F670">
        <v>27088.799999999999</v>
      </c>
      <c r="G670">
        <v>27172.65</v>
      </c>
      <c r="H670">
        <v>0</v>
      </c>
      <c r="I670" s="8">
        <f t="shared" si="41"/>
        <v>1.5074589733430344E-3</v>
      </c>
      <c r="J670" s="8">
        <f t="shared" si="42"/>
        <v>1.5063238976417285E-3</v>
      </c>
      <c r="K670" s="8">
        <f t="shared" si="39"/>
        <v>-0.10504708172359611</v>
      </c>
    </row>
    <row r="671" spans="1:11" x14ac:dyDescent="0.25">
      <c r="A671" t="str">
        <f t="shared" si="40"/>
        <v>92019</v>
      </c>
      <c r="B671" s="1">
        <v>43727</v>
      </c>
      <c r="C671" t="s">
        <v>429</v>
      </c>
      <c r="D671">
        <v>27175.45</v>
      </c>
      <c r="E671">
        <v>27175.45</v>
      </c>
      <c r="F671">
        <v>26643</v>
      </c>
      <c r="G671">
        <v>26757.65</v>
      </c>
      <c r="H671">
        <v>0</v>
      </c>
      <c r="I671" s="8">
        <f t="shared" si="41"/>
        <v>-1.5272709875555068E-2</v>
      </c>
      <c r="J671" s="8">
        <f t="shared" si="42"/>
        <v>-1.5390538961456115E-2</v>
      </c>
      <c r="K671" s="8">
        <f t="shared" si="39"/>
        <v>-0.13071170296058288</v>
      </c>
    </row>
    <row r="672" spans="1:11" x14ac:dyDescent="0.25">
      <c r="A672" t="str">
        <f t="shared" si="40"/>
        <v>92019</v>
      </c>
      <c r="B672" s="1">
        <v>43728</v>
      </c>
      <c r="C672" t="s">
        <v>430</v>
      </c>
      <c r="D672">
        <v>26878.65</v>
      </c>
      <c r="E672">
        <v>29418.95</v>
      </c>
      <c r="F672">
        <v>26727.55</v>
      </c>
      <c r="G672">
        <v>28981.55</v>
      </c>
      <c r="H672">
        <v>0</v>
      </c>
      <c r="I672" s="8">
        <f t="shared" si="41"/>
        <v>8.3112679925180233E-2</v>
      </c>
      <c r="J672" s="8">
        <f t="shared" si="42"/>
        <v>7.9839006858869729E-2</v>
      </c>
      <c r="K672" s="8">
        <f t="shared" si="39"/>
        <v>-5.3767179753398398E-2</v>
      </c>
    </row>
    <row r="673" spans="1:11" x14ac:dyDescent="0.25">
      <c r="A673" t="str">
        <f t="shared" si="40"/>
        <v>92019</v>
      </c>
      <c r="B673" s="1">
        <v>43731</v>
      </c>
      <c r="C673" t="s">
        <v>431</v>
      </c>
      <c r="D673">
        <v>30039.4</v>
      </c>
      <c r="E673">
        <v>30801.3</v>
      </c>
      <c r="F673">
        <v>29776.3</v>
      </c>
      <c r="G673">
        <v>30566.2</v>
      </c>
      <c r="H673">
        <v>0</v>
      </c>
      <c r="I673" s="8">
        <f t="shared" si="41"/>
        <v>5.4677889898918419E-2</v>
      </c>
      <c r="J673" s="8">
        <f t="shared" si="42"/>
        <v>5.3235402677755568E-2</v>
      </c>
      <c r="K673" s="8">
        <f t="shared" si="39"/>
        <v>-1.1714901452679616E-3</v>
      </c>
    </row>
    <row r="674" spans="1:11" x14ac:dyDescent="0.25">
      <c r="A674" t="str">
        <f t="shared" si="40"/>
        <v>92019</v>
      </c>
      <c r="B674" s="1">
        <v>43732</v>
      </c>
      <c r="C674" t="s">
        <v>432</v>
      </c>
      <c r="D674">
        <v>30432</v>
      </c>
      <c r="E674">
        <v>30668.1</v>
      </c>
      <c r="F674">
        <v>29889.55</v>
      </c>
      <c r="G674">
        <v>30183.1</v>
      </c>
      <c r="H674">
        <v>0</v>
      </c>
      <c r="I674" s="8">
        <f t="shared" si="41"/>
        <v>-1.2533451982909338E-2</v>
      </c>
      <c r="J674" s="8">
        <f t="shared" si="42"/>
        <v>-1.2612658206376286E-2</v>
      </c>
      <c r="K674" s="8">
        <f t="shared" si="39"/>
        <v>-2.1523938269623843E-2</v>
      </c>
    </row>
    <row r="675" spans="1:11" x14ac:dyDescent="0.25">
      <c r="A675" t="str">
        <f t="shared" si="40"/>
        <v>92019</v>
      </c>
      <c r="B675" s="1">
        <v>43733</v>
      </c>
      <c r="C675" t="s">
        <v>433</v>
      </c>
      <c r="D675">
        <v>30029.05</v>
      </c>
      <c r="E675">
        <v>30067.599999999999</v>
      </c>
      <c r="F675">
        <v>29470.1</v>
      </c>
      <c r="G675">
        <v>29586.05</v>
      </c>
      <c r="H675">
        <v>0</v>
      </c>
      <c r="I675" s="8">
        <f t="shared" si="41"/>
        <v>-1.9780937014421962E-2</v>
      </c>
      <c r="J675" s="8">
        <f t="shared" si="42"/>
        <v>-1.9979198638692144E-2</v>
      </c>
      <c r="K675" s="8">
        <f t="shared" si="39"/>
        <v>-5.0583476534985294E-2</v>
      </c>
    </row>
    <row r="676" spans="1:11" x14ac:dyDescent="0.25">
      <c r="A676" t="str">
        <f t="shared" si="40"/>
        <v>92019</v>
      </c>
      <c r="B676" s="1">
        <v>43734</v>
      </c>
      <c r="C676" t="s">
        <v>434</v>
      </c>
      <c r="D676">
        <v>29640.55</v>
      </c>
      <c r="E676">
        <v>30718.35</v>
      </c>
      <c r="F676">
        <v>29627</v>
      </c>
      <c r="G676">
        <v>30002.6</v>
      </c>
      <c r="H676">
        <v>0</v>
      </c>
      <c r="I676" s="8">
        <f t="shared" si="41"/>
        <v>1.4079270466993643E-2</v>
      </c>
      <c r="J676" s="8">
        <f t="shared" si="42"/>
        <v>1.398107811635926E-2</v>
      </c>
      <c r="K676" s="8">
        <f t="shared" si="39"/>
        <v>-4.051551831657052E-2</v>
      </c>
    </row>
    <row r="677" spans="1:11" x14ac:dyDescent="0.25">
      <c r="A677" t="str">
        <f t="shared" si="40"/>
        <v>92019</v>
      </c>
      <c r="B677" s="1">
        <v>43735</v>
      </c>
      <c r="C677" t="s">
        <v>435</v>
      </c>
      <c r="D677">
        <v>29974.95</v>
      </c>
      <c r="E677">
        <v>30112.65</v>
      </c>
      <c r="F677">
        <v>29711.35</v>
      </c>
      <c r="G677">
        <v>29876.65</v>
      </c>
      <c r="H677">
        <v>0</v>
      </c>
      <c r="I677" s="8">
        <f t="shared" si="41"/>
        <v>-4.197969509309063E-3</v>
      </c>
      <c r="J677" s="8">
        <f t="shared" si="42"/>
        <v>-4.2068057214128055E-3</v>
      </c>
      <c r="K677" s="8">
        <f t="shared" si="39"/>
        <v>-3.9496611499041934E-2</v>
      </c>
    </row>
    <row r="678" spans="1:11" x14ac:dyDescent="0.25">
      <c r="A678" t="str">
        <f t="shared" si="40"/>
        <v>92019</v>
      </c>
      <c r="B678" s="1">
        <v>43738</v>
      </c>
      <c r="C678" t="s">
        <v>436</v>
      </c>
      <c r="D678">
        <v>29674.799999999999</v>
      </c>
      <c r="E678">
        <v>29754.400000000001</v>
      </c>
      <c r="F678">
        <v>28943.45</v>
      </c>
      <c r="G678">
        <v>29103.15</v>
      </c>
      <c r="H678">
        <v>0</v>
      </c>
      <c r="I678" s="8">
        <f t="shared" si="41"/>
        <v>-2.5889783493129204E-2</v>
      </c>
      <c r="J678" s="8">
        <f t="shared" si="42"/>
        <v>-2.6230823110272732E-2</v>
      </c>
      <c r="K678" s="8">
        <f t="shared" si="39"/>
        <v>-7.2326773385353871E-2</v>
      </c>
    </row>
    <row r="679" spans="1:11" x14ac:dyDescent="0.25">
      <c r="A679" t="str">
        <f t="shared" si="40"/>
        <v>102019</v>
      </c>
      <c r="B679" s="1">
        <v>43739</v>
      </c>
      <c r="C679" s="10">
        <v>43475.645833333336</v>
      </c>
      <c r="D679">
        <v>29226.15</v>
      </c>
      <c r="E679">
        <v>29526.400000000001</v>
      </c>
      <c r="F679">
        <v>28077.35</v>
      </c>
      <c r="G679">
        <v>28725.5</v>
      </c>
      <c r="H679">
        <v>0</v>
      </c>
      <c r="I679" s="8">
        <f t="shared" si="41"/>
        <v>-1.297625858369289E-2</v>
      </c>
      <c r="J679" s="8">
        <f t="shared" si="42"/>
        <v>-1.3061185718085811E-2</v>
      </c>
      <c r="K679" s="8">
        <f t="shared" si="39"/>
        <v>-8.1762473907803779E-2</v>
      </c>
    </row>
    <row r="680" spans="1:11" x14ac:dyDescent="0.25">
      <c r="A680" t="str">
        <f t="shared" si="40"/>
        <v>102019</v>
      </c>
      <c r="B680" s="1">
        <v>43741</v>
      </c>
      <c r="C680" s="10">
        <v>43534.645833333336</v>
      </c>
      <c r="D680">
        <v>28606.7</v>
      </c>
      <c r="E680">
        <v>28769.1</v>
      </c>
      <c r="F680">
        <v>28240.799999999999</v>
      </c>
      <c r="G680">
        <v>28414.1</v>
      </c>
      <c r="H680">
        <v>0</v>
      </c>
      <c r="I680" s="8">
        <f t="shared" si="41"/>
        <v>-1.0840542375241569E-2</v>
      </c>
      <c r="J680" s="8">
        <f t="shared" si="42"/>
        <v>-1.0899729188170662E-2</v>
      </c>
      <c r="K680" s="8">
        <f t="shared" si="39"/>
        <v>-9.4581977739043976E-2</v>
      </c>
    </row>
    <row r="681" spans="1:11" x14ac:dyDescent="0.25">
      <c r="A681" t="str">
        <f t="shared" si="40"/>
        <v>102019</v>
      </c>
      <c r="B681" s="1">
        <v>43742</v>
      </c>
      <c r="C681" s="10">
        <v>43565.645833333336</v>
      </c>
      <c r="D681">
        <v>28681.9</v>
      </c>
      <c r="E681">
        <v>28730.3</v>
      </c>
      <c r="F681">
        <v>27653.7</v>
      </c>
      <c r="G681">
        <v>27731.85</v>
      </c>
      <c r="H681">
        <v>0</v>
      </c>
      <c r="I681" s="8">
        <f t="shared" si="41"/>
        <v>-2.4010966386406762E-2</v>
      </c>
      <c r="J681" s="8">
        <f t="shared" si="42"/>
        <v>-2.4303928683815739E-2</v>
      </c>
      <c r="K681" s="8">
        <f t="shared" si="39"/>
        <v>-0.11883635693484818</v>
      </c>
    </row>
    <row r="682" spans="1:11" x14ac:dyDescent="0.25">
      <c r="A682" t="str">
        <f t="shared" si="40"/>
        <v>102019</v>
      </c>
      <c r="B682" s="1">
        <v>43745</v>
      </c>
      <c r="C682" s="10">
        <v>43656.645833333336</v>
      </c>
      <c r="D682">
        <v>27909.9</v>
      </c>
      <c r="E682">
        <v>28185.15</v>
      </c>
      <c r="F682">
        <v>27568.35</v>
      </c>
      <c r="G682">
        <v>27767.55</v>
      </c>
      <c r="H682">
        <v>0</v>
      </c>
      <c r="I682" s="8">
        <f t="shared" si="41"/>
        <v>1.2873284688905695E-3</v>
      </c>
      <c r="J682" s="8">
        <f t="shared" si="42"/>
        <v>1.2865005720377833E-3</v>
      </c>
      <c r="K682" s="8">
        <f t="shared" si="39"/>
        <v>-0.11781273232133893</v>
      </c>
    </row>
    <row r="683" spans="1:11" x14ac:dyDescent="0.25">
      <c r="A683" t="str">
        <f t="shared" si="40"/>
        <v>102019</v>
      </c>
      <c r="B683" s="1">
        <v>43747</v>
      </c>
      <c r="C683" s="10">
        <v>43718.645833333336</v>
      </c>
      <c r="D683">
        <v>27901.65</v>
      </c>
      <c r="E683">
        <v>28857.7</v>
      </c>
      <c r="F683">
        <v>27702.05</v>
      </c>
      <c r="G683">
        <v>28785.85</v>
      </c>
      <c r="H683">
        <v>0</v>
      </c>
      <c r="I683" s="8">
        <f t="shared" si="41"/>
        <v>3.6672302741869611E-2</v>
      </c>
      <c r="J683" s="8">
        <f t="shared" si="42"/>
        <v>3.601587423674571E-2</v>
      </c>
      <c r="K683" s="8">
        <f t="shared" si="39"/>
        <v>-5.9404290636635548E-2</v>
      </c>
    </row>
    <row r="684" spans="1:11" x14ac:dyDescent="0.25">
      <c r="A684" t="str">
        <f t="shared" si="40"/>
        <v>102019</v>
      </c>
      <c r="B684" s="1">
        <v>43748</v>
      </c>
      <c r="C684" s="10">
        <v>43748.645833333336</v>
      </c>
      <c r="D684">
        <v>28542.95</v>
      </c>
      <c r="E684">
        <v>28552.75</v>
      </c>
      <c r="F684">
        <v>27914.15</v>
      </c>
      <c r="G684">
        <v>28013.45</v>
      </c>
      <c r="H684">
        <v>0</v>
      </c>
      <c r="I684" s="8">
        <f t="shared" si="41"/>
        <v>-2.6832627836245848E-2</v>
      </c>
      <c r="J684" s="8">
        <f t="shared" si="42"/>
        <v>-2.7199194977007148E-2</v>
      </c>
      <c r="K684" s="8">
        <f t="shared" si="39"/>
        <v>-8.3603894776269505E-2</v>
      </c>
    </row>
    <row r="685" spans="1:11" x14ac:dyDescent="0.25">
      <c r="A685" t="str">
        <f t="shared" si="40"/>
        <v>102019</v>
      </c>
      <c r="B685" s="1">
        <v>43749</v>
      </c>
      <c r="C685" s="10">
        <v>43779.645833333336</v>
      </c>
      <c r="D685">
        <v>28245.55</v>
      </c>
      <c r="E685">
        <v>28604.05</v>
      </c>
      <c r="F685">
        <v>27736.799999999999</v>
      </c>
      <c r="G685">
        <v>28042.5</v>
      </c>
      <c r="H685">
        <v>0</v>
      </c>
      <c r="I685" s="8">
        <f t="shared" si="41"/>
        <v>1.0370018687451132E-3</v>
      </c>
      <c r="J685" s="8">
        <f t="shared" si="42"/>
        <v>1.036464553739583E-3</v>
      </c>
      <c r="K685" s="8">
        <f t="shared" si="39"/>
        <v>-8.1239495316508314E-2</v>
      </c>
    </row>
    <row r="686" spans="1:11" x14ac:dyDescent="0.25">
      <c r="A686" t="str">
        <f t="shared" si="40"/>
        <v>102019</v>
      </c>
      <c r="B686" s="1">
        <v>43752</v>
      </c>
      <c r="C686" t="s">
        <v>437</v>
      </c>
      <c r="D686">
        <v>28238.5</v>
      </c>
      <c r="E686">
        <v>28553.4</v>
      </c>
      <c r="F686">
        <v>28043.25</v>
      </c>
      <c r="G686">
        <v>28181.95</v>
      </c>
      <c r="H686">
        <v>0</v>
      </c>
      <c r="I686" s="8">
        <f t="shared" si="41"/>
        <v>4.972809129000666E-3</v>
      </c>
      <c r="J686" s="8">
        <f t="shared" si="42"/>
        <v>4.9604855519957518E-3</v>
      </c>
      <c r="K686" s="8">
        <f t="shared" si="39"/>
        <v>-8.2515777325252948E-2</v>
      </c>
    </row>
    <row r="687" spans="1:11" x14ac:dyDescent="0.25">
      <c r="A687" t="str">
        <f t="shared" si="40"/>
        <v>102019</v>
      </c>
      <c r="B687" s="1">
        <v>43753</v>
      </c>
      <c r="C687" t="s">
        <v>438</v>
      </c>
      <c r="D687">
        <v>28257.85</v>
      </c>
      <c r="E687">
        <v>28694.85</v>
      </c>
      <c r="F687">
        <v>28186.25</v>
      </c>
      <c r="G687">
        <v>28555.1</v>
      </c>
      <c r="H687">
        <v>0</v>
      </c>
      <c r="I687" s="8">
        <f t="shared" si="41"/>
        <v>1.3240744519098069E-2</v>
      </c>
      <c r="J687" s="8">
        <f t="shared" si="42"/>
        <v>1.3153852035114778E-2</v>
      </c>
      <c r="K687" s="8">
        <f t="shared" si="39"/>
        <v>-6.6871014282003038E-2</v>
      </c>
    </row>
    <row r="688" spans="1:11" x14ac:dyDescent="0.25">
      <c r="A688" t="str">
        <f t="shared" si="40"/>
        <v>102019</v>
      </c>
      <c r="B688" s="1">
        <v>43754</v>
      </c>
      <c r="C688" t="s">
        <v>439</v>
      </c>
      <c r="D688">
        <v>28689.45</v>
      </c>
      <c r="E688">
        <v>28759.35</v>
      </c>
      <c r="F688">
        <v>28305.4</v>
      </c>
      <c r="G688">
        <v>28538.799999999999</v>
      </c>
      <c r="H688">
        <v>0</v>
      </c>
      <c r="I688" s="8">
        <f t="shared" si="41"/>
        <v>-5.7082622718884757E-4</v>
      </c>
      <c r="J688" s="8">
        <f t="shared" si="42"/>
        <v>-5.7098921050605686E-4</v>
      </c>
      <c r="K688" s="8">
        <f t="shared" si="39"/>
        <v>-6.2640515405168906E-2</v>
      </c>
    </row>
    <row r="689" spans="1:11" x14ac:dyDescent="0.25">
      <c r="A689" t="str">
        <f t="shared" si="40"/>
        <v>102019</v>
      </c>
      <c r="B689" s="1">
        <v>43755</v>
      </c>
      <c r="C689" t="s">
        <v>440</v>
      </c>
      <c r="D689">
        <v>28596.35</v>
      </c>
      <c r="E689">
        <v>29049.05</v>
      </c>
      <c r="F689">
        <v>28487.95</v>
      </c>
      <c r="G689">
        <v>28989.45</v>
      </c>
      <c r="H689">
        <v>0</v>
      </c>
      <c r="I689" s="8">
        <f t="shared" si="41"/>
        <v>1.5790783074270953E-2</v>
      </c>
      <c r="J689" s="8">
        <f t="shared" si="42"/>
        <v>1.5667405780415655E-2</v>
      </c>
      <c r="K689" s="8">
        <f t="shared" si="39"/>
        <v>-5.1727465424522667E-2</v>
      </c>
    </row>
    <row r="690" spans="1:11" x14ac:dyDescent="0.25">
      <c r="A690" t="str">
        <f t="shared" si="40"/>
        <v>102019</v>
      </c>
      <c r="B690" s="1">
        <v>43756</v>
      </c>
      <c r="C690" t="s">
        <v>441</v>
      </c>
      <c r="D690">
        <v>28954.799999999999</v>
      </c>
      <c r="E690">
        <v>29249.5</v>
      </c>
      <c r="F690">
        <v>28864.1</v>
      </c>
      <c r="G690">
        <v>29120.25</v>
      </c>
      <c r="H690">
        <v>0</v>
      </c>
      <c r="I690" s="8">
        <f t="shared" si="41"/>
        <v>4.5119862570692781E-3</v>
      </c>
      <c r="J690" s="8">
        <f t="shared" si="42"/>
        <v>4.5018377622064358E-3</v>
      </c>
      <c r="K690" s="8">
        <f t="shared" si="39"/>
        <v>-5.2553236485497257E-2</v>
      </c>
    </row>
    <row r="691" spans="1:11" x14ac:dyDescent="0.25">
      <c r="A691" t="str">
        <f t="shared" si="40"/>
        <v>102019</v>
      </c>
      <c r="B691" s="1">
        <v>43760</v>
      </c>
      <c r="C691" t="s">
        <v>442</v>
      </c>
      <c r="D691">
        <v>29416.25</v>
      </c>
      <c r="E691">
        <v>29690</v>
      </c>
      <c r="F691">
        <v>29231.200000000001</v>
      </c>
      <c r="G691">
        <v>29411.15</v>
      </c>
      <c r="H691">
        <v>0</v>
      </c>
      <c r="I691" s="8">
        <f t="shared" si="41"/>
        <v>9.98961203973181E-3</v>
      </c>
      <c r="J691" s="8">
        <f t="shared" si="42"/>
        <v>9.9400456910995593E-3</v>
      </c>
      <c r="K691" s="8">
        <f t="shared" si="39"/>
        <v>-3.3500818255308706E-2</v>
      </c>
    </row>
    <row r="692" spans="1:11" x14ac:dyDescent="0.25">
      <c r="A692" t="str">
        <f t="shared" si="40"/>
        <v>102019</v>
      </c>
      <c r="B692" s="1">
        <v>43761</v>
      </c>
      <c r="C692" t="s">
        <v>443</v>
      </c>
      <c r="D692">
        <v>29478.85</v>
      </c>
      <c r="E692">
        <v>29643.8</v>
      </c>
      <c r="F692">
        <v>29214.05</v>
      </c>
      <c r="G692">
        <v>29459.599999999999</v>
      </c>
      <c r="H692">
        <v>0</v>
      </c>
      <c r="I692" s="8">
        <f t="shared" si="41"/>
        <v>1.6473344292895487E-3</v>
      </c>
      <c r="J692" s="8">
        <f t="shared" si="42"/>
        <v>1.6459790622196549E-3</v>
      </c>
      <c r="K692" s="8">
        <f t="shared" si="39"/>
        <v>-1.0438238045572201E-2</v>
      </c>
    </row>
    <row r="693" spans="1:11" x14ac:dyDescent="0.25">
      <c r="A693" t="str">
        <f t="shared" si="40"/>
        <v>102019</v>
      </c>
      <c r="B693" s="1">
        <v>43762</v>
      </c>
      <c r="C693" t="s">
        <v>444</v>
      </c>
      <c r="D693">
        <v>29604.35</v>
      </c>
      <c r="E693">
        <v>29693.25</v>
      </c>
      <c r="F693">
        <v>28994.2</v>
      </c>
      <c r="G693">
        <v>29107.95</v>
      </c>
      <c r="H693">
        <v>0</v>
      </c>
      <c r="I693" s="8">
        <f t="shared" si="41"/>
        <v>-1.1936686173607214E-2</v>
      </c>
      <c r="J693" s="8">
        <f t="shared" si="42"/>
        <v>-1.2008500467249831E-2</v>
      </c>
      <c r="K693" s="8">
        <f t="shared" si="39"/>
        <v>-6.0440601742532962E-3</v>
      </c>
    </row>
    <row r="694" spans="1:11" x14ac:dyDescent="0.25">
      <c r="A694" t="str">
        <f t="shared" si="40"/>
        <v>102019</v>
      </c>
      <c r="B694" s="1">
        <v>43763</v>
      </c>
      <c r="C694" t="s">
        <v>445</v>
      </c>
      <c r="D694">
        <v>29228.65</v>
      </c>
      <c r="E694">
        <v>29452.1</v>
      </c>
      <c r="F694">
        <v>28923.8</v>
      </c>
      <c r="G694">
        <v>29395.95</v>
      </c>
      <c r="H694">
        <v>0</v>
      </c>
      <c r="I694" s="8">
        <f t="shared" si="41"/>
        <v>9.8942041607190667E-3</v>
      </c>
      <c r="J694" s="8">
        <f t="shared" si="42"/>
        <v>9.8455770109522351E-3</v>
      </c>
      <c r="K694" s="8">
        <f t="shared" si="39"/>
        <v>9.1955877657656782E-3</v>
      </c>
    </row>
    <row r="695" spans="1:11" x14ac:dyDescent="0.25">
      <c r="A695" t="str">
        <f t="shared" si="40"/>
        <v>102019</v>
      </c>
      <c r="B695" s="1">
        <v>43765</v>
      </c>
      <c r="C695" t="s">
        <v>446</v>
      </c>
      <c r="D695">
        <v>29605.4</v>
      </c>
      <c r="E695">
        <v>29644.45</v>
      </c>
      <c r="F695">
        <v>29446.799999999999</v>
      </c>
      <c r="G695">
        <v>29516.3</v>
      </c>
      <c r="H695">
        <v>0</v>
      </c>
      <c r="I695" s="8">
        <f t="shared" si="41"/>
        <v>4.0941013983217811E-3</v>
      </c>
      <c r="J695" s="8">
        <f t="shared" si="42"/>
        <v>4.085743369836573E-3</v>
      </c>
      <c r="K695" s="8">
        <f t="shared" si="39"/>
        <v>1.948207824953152E-2</v>
      </c>
    </row>
    <row r="696" spans="1:11" x14ac:dyDescent="0.25">
      <c r="A696" t="str">
        <f t="shared" si="40"/>
        <v>102019</v>
      </c>
      <c r="B696" s="1">
        <v>43767</v>
      </c>
      <c r="C696" t="s">
        <v>447</v>
      </c>
      <c r="D696">
        <v>29527.599999999999</v>
      </c>
      <c r="E696">
        <v>29997.65</v>
      </c>
      <c r="F696">
        <v>29385.45</v>
      </c>
      <c r="G696">
        <v>29873.05</v>
      </c>
      <c r="H696">
        <v>0</v>
      </c>
      <c r="I696" s="8">
        <f t="shared" si="41"/>
        <v>1.2086542012379686E-2</v>
      </c>
      <c r="J696" s="8">
        <f t="shared" si="42"/>
        <v>1.2014083031513868E-2</v>
      </c>
      <c r="K696" s="8">
        <f t="shared" si="39"/>
        <v>2.8578265712450923E-2</v>
      </c>
    </row>
    <row r="697" spans="1:11" x14ac:dyDescent="0.25">
      <c r="A697" t="str">
        <f t="shared" si="40"/>
        <v>102019</v>
      </c>
      <c r="B697" s="1">
        <v>43768</v>
      </c>
      <c r="C697" t="s">
        <v>448</v>
      </c>
      <c r="D697">
        <v>30005.7</v>
      </c>
      <c r="E697">
        <v>30151.1</v>
      </c>
      <c r="F697">
        <v>29753</v>
      </c>
      <c r="G697">
        <v>29987.5</v>
      </c>
      <c r="H697">
        <v>0</v>
      </c>
      <c r="I697" s="8">
        <f t="shared" si="41"/>
        <v>3.8312124138646375E-3</v>
      </c>
      <c r="J697" s="8">
        <f t="shared" si="42"/>
        <v>3.8238920109728933E-3</v>
      </c>
      <c r="K697" s="8">
        <f t="shared" si="39"/>
        <v>2.2581184165208823E-2</v>
      </c>
    </row>
    <row r="698" spans="1:11" x14ac:dyDescent="0.25">
      <c r="A698" t="str">
        <f t="shared" si="40"/>
        <v>102019</v>
      </c>
      <c r="B698" s="1">
        <v>43769</v>
      </c>
      <c r="C698" t="s">
        <v>449</v>
      </c>
      <c r="D698">
        <v>30168.65</v>
      </c>
      <c r="E698">
        <v>30415.65</v>
      </c>
      <c r="F698">
        <v>29987.15</v>
      </c>
      <c r="G698">
        <v>30066.25</v>
      </c>
      <c r="H698">
        <v>0</v>
      </c>
      <c r="I698" s="8">
        <f t="shared" si="41"/>
        <v>2.6260942059190828E-3</v>
      </c>
      <c r="J698" s="8">
        <f t="shared" si="42"/>
        <v>2.6226520455046253E-3</v>
      </c>
      <c r="K698" s="8">
        <f t="shared" si="39"/>
        <v>2.6295488447188875E-2</v>
      </c>
    </row>
    <row r="699" spans="1:11" x14ac:dyDescent="0.25">
      <c r="A699" t="str">
        <f t="shared" si="40"/>
        <v>112019</v>
      </c>
      <c r="B699" s="1">
        <v>43770</v>
      </c>
      <c r="C699" s="10">
        <v>43476.645833333336</v>
      </c>
      <c r="D699">
        <v>30196.15</v>
      </c>
      <c r="E699">
        <v>30409</v>
      </c>
      <c r="F699">
        <v>30028.9</v>
      </c>
      <c r="G699">
        <v>30330.55</v>
      </c>
      <c r="H699">
        <v>0</v>
      </c>
      <c r="I699" s="8">
        <f t="shared" si="41"/>
        <v>8.7905874527085537E-3</v>
      </c>
      <c r="J699" s="8">
        <f t="shared" si="42"/>
        <v>8.7521751856194183E-3</v>
      </c>
      <c r="K699" s="8">
        <f t="shared" si="39"/>
        <v>5.3451353867100204E-2</v>
      </c>
    </row>
    <row r="700" spans="1:11" x14ac:dyDescent="0.25">
      <c r="A700" t="str">
        <f t="shared" si="40"/>
        <v>112019</v>
      </c>
      <c r="B700" s="1">
        <v>43773</v>
      </c>
      <c r="C700" s="10">
        <v>43566.645833333336</v>
      </c>
      <c r="D700">
        <v>30415.9</v>
      </c>
      <c r="E700">
        <v>30607.05</v>
      </c>
      <c r="F700">
        <v>30227.25</v>
      </c>
      <c r="G700">
        <v>30333.1</v>
      </c>
      <c r="H700">
        <v>0</v>
      </c>
      <c r="I700" s="8">
        <f t="shared" si="41"/>
        <v>8.4073648516147514E-5</v>
      </c>
      <c r="J700" s="8">
        <f t="shared" si="42"/>
        <v>8.4070114525035736E-5</v>
      </c>
      <c r="K700" s="8">
        <f t="shared" si="39"/>
        <v>5.046059010943349E-2</v>
      </c>
    </row>
    <row r="701" spans="1:11" x14ac:dyDescent="0.25">
      <c r="A701" t="str">
        <f t="shared" si="40"/>
        <v>112019</v>
      </c>
      <c r="B701" s="1">
        <v>43774</v>
      </c>
      <c r="C701" s="10">
        <v>43596.645833333336</v>
      </c>
      <c r="D701">
        <v>30403.25</v>
      </c>
      <c r="E701">
        <v>30452.7</v>
      </c>
      <c r="F701">
        <v>30091.35</v>
      </c>
      <c r="G701">
        <v>30219.85</v>
      </c>
      <c r="H701">
        <v>0</v>
      </c>
      <c r="I701" s="8">
        <f t="shared" si="41"/>
        <v>-3.7335452030949901E-3</v>
      </c>
      <c r="J701" s="8">
        <f t="shared" si="42"/>
        <v>-3.7405322794520322E-3</v>
      </c>
      <c r="K701" s="8">
        <f t="shared" si="39"/>
        <v>6.5307705188201171E-2</v>
      </c>
    </row>
    <row r="702" spans="1:11" x14ac:dyDescent="0.25">
      <c r="A702" t="str">
        <f t="shared" si="40"/>
        <v>112019</v>
      </c>
      <c r="B702" s="1">
        <v>43775</v>
      </c>
      <c r="C702" s="10">
        <v>43627.645833333336</v>
      </c>
      <c r="D702">
        <v>30225.200000000001</v>
      </c>
      <c r="E702">
        <v>30699</v>
      </c>
      <c r="F702">
        <v>30013.65</v>
      </c>
      <c r="G702">
        <v>30609.599999999999</v>
      </c>
      <c r="H702">
        <v>0</v>
      </c>
      <c r="I702" s="8">
        <f t="shared" si="41"/>
        <v>1.2897152037485204E-2</v>
      </c>
      <c r="J702" s="8">
        <f t="shared" si="42"/>
        <v>1.2814692014969648E-2</v>
      </c>
      <c r="K702" s="8">
        <f t="shared" si="39"/>
        <v>8.5256311392149176E-2</v>
      </c>
    </row>
    <row r="703" spans="1:11" x14ac:dyDescent="0.25">
      <c r="A703" t="str">
        <f t="shared" si="40"/>
        <v>112019</v>
      </c>
      <c r="B703" s="1">
        <v>43776</v>
      </c>
      <c r="C703" s="10">
        <v>43657.645833333336</v>
      </c>
      <c r="D703">
        <v>30722.6</v>
      </c>
      <c r="E703">
        <v>30821.35</v>
      </c>
      <c r="F703">
        <v>30462.55</v>
      </c>
      <c r="G703">
        <v>30633.15</v>
      </c>
      <c r="H703">
        <v>0</v>
      </c>
      <c r="I703" s="8">
        <f t="shared" si="41"/>
        <v>7.6936647326331098E-4</v>
      </c>
      <c r="J703" s="8">
        <f t="shared" si="42"/>
        <v>7.690706625930379E-4</v>
      </c>
      <c r="K703" s="8">
        <f t="shared" si="39"/>
        <v>0.10796783136604571</v>
      </c>
    </row>
    <row r="704" spans="1:11" x14ac:dyDescent="0.25">
      <c r="A704" t="str">
        <f t="shared" si="40"/>
        <v>112019</v>
      </c>
      <c r="B704" s="1">
        <v>43777</v>
      </c>
      <c r="C704" s="10">
        <v>43688.645833333336</v>
      </c>
      <c r="D704">
        <v>30571.3</v>
      </c>
      <c r="E704">
        <v>31108.400000000001</v>
      </c>
      <c r="F704">
        <v>30504.05</v>
      </c>
      <c r="G704">
        <v>30749.4</v>
      </c>
      <c r="H704">
        <v>0</v>
      </c>
      <c r="I704" s="8">
        <f t="shared" si="41"/>
        <v>3.7949084570148006E-3</v>
      </c>
      <c r="J704" s="8">
        <f t="shared" si="42"/>
        <v>3.7877259574668294E-3</v>
      </c>
      <c r="K704" s="8">
        <f t="shared" ref="K704:K767" si="43">+G704/G643-1</f>
        <v>9.7326752812958439E-2</v>
      </c>
    </row>
    <row r="705" spans="1:11" x14ac:dyDescent="0.25">
      <c r="A705" t="str">
        <f t="shared" si="40"/>
        <v>112019</v>
      </c>
      <c r="B705" s="1">
        <v>43780</v>
      </c>
      <c r="C705" s="10">
        <v>43780.645833333336</v>
      </c>
      <c r="D705">
        <v>30664.65</v>
      </c>
      <c r="E705">
        <v>31205.200000000001</v>
      </c>
      <c r="F705">
        <v>30625.8</v>
      </c>
      <c r="G705">
        <v>31115.55</v>
      </c>
      <c r="H705">
        <v>0</v>
      </c>
      <c r="I705" s="8">
        <f t="shared" si="41"/>
        <v>1.190754941559824E-2</v>
      </c>
      <c r="J705" s="8">
        <f t="shared" si="42"/>
        <v>1.1837212359799816E-2</v>
      </c>
      <c r="K705" s="8">
        <f t="shared" si="43"/>
        <v>0.12322192761907513</v>
      </c>
    </row>
    <row r="706" spans="1:11" x14ac:dyDescent="0.25">
      <c r="A706" t="str">
        <f t="shared" si="40"/>
        <v>112019</v>
      </c>
      <c r="B706" s="1">
        <v>43782</v>
      </c>
      <c r="C706" t="s">
        <v>450</v>
      </c>
      <c r="D706">
        <v>31084.75</v>
      </c>
      <c r="E706">
        <v>31198.5</v>
      </c>
      <c r="F706">
        <v>30488.1</v>
      </c>
      <c r="G706">
        <v>30541.55</v>
      </c>
      <c r="H706">
        <v>0</v>
      </c>
      <c r="I706" s="8">
        <f t="shared" si="41"/>
        <v>-1.8447367955893412E-2</v>
      </c>
      <c r="J706" s="8">
        <f t="shared" si="42"/>
        <v>-1.8619642613574117E-2</v>
      </c>
      <c r="K706" s="8">
        <f t="shared" si="43"/>
        <v>8.6483852090592617E-2</v>
      </c>
    </row>
    <row r="707" spans="1:11" x14ac:dyDescent="0.25">
      <c r="A707" t="str">
        <f t="shared" ref="A707:A770" si="44">+MONTH(B707)&amp;YEAR(B707)</f>
        <v>112019</v>
      </c>
      <c r="B707" s="1">
        <v>43783</v>
      </c>
      <c r="C707" t="s">
        <v>451</v>
      </c>
      <c r="D707">
        <v>30615.8</v>
      </c>
      <c r="E707">
        <v>30789.200000000001</v>
      </c>
      <c r="F707">
        <v>30338.35</v>
      </c>
      <c r="G707">
        <v>30749.95</v>
      </c>
      <c r="H707">
        <v>0</v>
      </c>
      <c r="I707" s="8">
        <f t="shared" si="41"/>
        <v>6.8234912766378386E-3</v>
      </c>
      <c r="J707" s="8">
        <f t="shared" si="42"/>
        <v>6.8003166216793398E-3</v>
      </c>
      <c r="K707" s="8">
        <f t="shared" si="43"/>
        <v>8.1529901272866079E-2</v>
      </c>
    </row>
    <row r="708" spans="1:11" x14ac:dyDescent="0.25">
      <c r="A708" t="str">
        <f t="shared" si="44"/>
        <v>112019</v>
      </c>
      <c r="B708" s="1">
        <v>43784</v>
      </c>
      <c r="C708" t="s">
        <v>452</v>
      </c>
      <c r="D708">
        <v>30912.400000000001</v>
      </c>
      <c r="E708">
        <v>31165.45</v>
      </c>
      <c r="F708">
        <v>30860.7</v>
      </c>
      <c r="G708">
        <v>31008.400000000001</v>
      </c>
      <c r="H708">
        <v>0</v>
      </c>
      <c r="I708" s="8">
        <f t="shared" ref="I708:I771" si="45">+G708/G707-1</f>
        <v>8.4048917152710345E-3</v>
      </c>
      <c r="J708" s="8">
        <f t="shared" ref="J708:J771" si="46">+LN(1+I708)</f>
        <v>8.3697672870088041E-3</v>
      </c>
      <c r="K708" s="8">
        <f t="shared" si="43"/>
        <v>0.11826204240310734</v>
      </c>
    </row>
    <row r="709" spans="1:11" x14ac:dyDescent="0.25">
      <c r="A709" t="str">
        <f t="shared" si="44"/>
        <v>112019</v>
      </c>
      <c r="B709" s="1">
        <v>43787</v>
      </c>
      <c r="C709" t="s">
        <v>453</v>
      </c>
      <c r="D709">
        <v>31036.799999999999</v>
      </c>
      <c r="E709">
        <v>31203.55</v>
      </c>
      <c r="F709">
        <v>30901.85</v>
      </c>
      <c r="G709">
        <v>30992.1</v>
      </c>
      <c r="H709">
        <v>0</v>
      </c>
      <c r="I709" s="8">
        <f t="shared" si="45"/>
        <v>-5.2566401362219572E-4</v>
      </c>
      <c r="J709" s="8">
        <f t="shared" si="46"/>
        <v>-5.2580222338652631E-4</v>
      </c>
      <c r="K709" s="8">
        <f t="shared" si="43"/>
        <v>0.10610224417542247</v>
      </c>
    </row>
    <row r="710" spans="1:11" x14ac:dyDescent="0.25">
      <c r="A710" t="str">
        <f t="shared" si="44"/>
        <v>112019</v>
      </c>
      <c r="B710" s="1">
        <v>43788</v>
      </c>
      <c r="C710" t="s">
        <v>454</v>
      </c>
      <c r="D710">
        <v>31045.15</v>
      </c>
      <c r="E710">
        <v>31298.05</v>
      </c>
      <c r="F710">
        <v>30974.3</v>
      </c>
      <c r="G710">
        <v>31236.25</v>
      </c>
      <c r="H710">
        <v>0</v>
      </c>
      <c r="I710" s="8">
        <f t="shared" si="45"/>
        <v>7.8778140235737926E-3</v>
      </c>
      <c r="J710" s="8">
        <f t="shared" si="46"/>
        <v>7.846946055439355E-3</v>
      </c>
      <c r="K710" s="8">
        <f t="shared" si="43"/>
        <v>0.10700109862848639</v>
      </c>
    </row>
    <row r="711" spans="1:11" x14ac:dyDescent="0.25">
      <c r="A711" t="str">
        <f t="shared" si="44"/>
        <v>112019</v>
      </c>
      <c r="B711" s="1">
        <v>43789</v>
      </c>
      <c r="C711" t="s">
        <v>455</v>
      </c>
      <c r="D711">
        <v>31292.35</v>
      </c>
      <c r="E711">
        <v>31471.65</v>
      </c>
      <c r="F711">
        <v>31205.55</v>
      </c>
      <c r="G711">
        <v>31353.85</v>
      </c>
      <c r="H711">
        <v>0</v>
      </c>
      <c r="I711" s="8">
        <f t="shared" si="45"/>
        <v>3.7648565368761933E-3</v>
      </c>
      <c r="J711" s="8">
        <f t="shared" si="46"/>
        <v>3.7577872023026029E-3</v>
      </c>
      <c r="K711" s="8">
        <f t="shared" si="43"/>
        <v>0.11238695669141885</v>
      </c>
    </row>
    <row r="712" spans="1:11" x14ac:dyDescent="0.25">
      <c r="A712" t="str">
        <f t="shared" si="44"/>
        <v>112019</v>
      </c>
      <c r="B712" s="1">
        <v>43790</v>
      </c>
      <c r="C712" t="s">
        <v>456</v>
      </c>
      <c r="D712">
        <v>31413.25</v>
      </c>
      <c r="E712">
        <v>31463.15</v>
      </c>
      <c r="F712">
        <v>31243</v>
      </c>
      <c r="G712">
        <v>31349.95</v>
      </c>
      <c r="H712">
        <v>0</v>
      </c>
      <c r="I712" s="8">
        <f t="shared" si="45"/>
        <v>-1.2438663832348151E-4</v>
      </c>
      <c r="J712" s="8">
        <f t="shared" si="46"/>
        <v>-1.2439437498294292E-4</v>
      </c>
      <c r="K712" s="8">
        <f t="shared" si="43"/>
        <v>0.12034328659570548</v>
      </c>
    </row>
    <row r="713" spans="1:11" x14ac:dyDescent="0.25">
      <c r="A713" t="str">
        <f t="shared" si="44"/>
        <v>112019</v>
      </c>
      <c r="B713" s="1">
        <v>43791</v>
      </c>
      <c r="C713" t="s">
        <v>457</v>
      </c>
      <c r="D713">
        <v>31389.599999999999</v>
      </c>
      <c r="E713">
        <v>31394.2</v>
      </c>
      <c r="F713">
        <v>31055.200000000001</v>
      </c>
      <c r="G713">
        <v>31111.599999999999</v>
      </c>
      <c r="H713">
        <v>0</v>
      </c>
      <c r="I713" s="8">
        <f t="shared" si="45"/>
        <v>-7.6028829392073005E-3</v>
      </c>
      <c r="J713" s="8">
        <f t="shared" si="46"/>
        <v>-7.6319321860497599E-3</v>
      </c>
      <c r="K713" s="8">
        <f t="shared" si="43"/>
        <v>0.12239055811797295</v>
      </c>
    </row>
    <row r="714" spans="1:11" x14ac:dyDescent="0.25">
      <c r="A714" t="str">
        <f t="shared" si="44"/>
        <v>112019</v>
      </c>
      <c r="B714" s="1">
        <v>43794</v>
      </c>
      <c r="C714" t="s">
        <v>458</v>
      </c>
      <c r="D714">
        <v>31065.1</v>
      </c>
      <c r="E714">
        <v>31591.599999999999</v>
      </c>
      <c r="F714">
        <v>31049.75</v>
      </c>
      <c r="G714">
        <v>31555.9</v>
      </c>
      <c r="H714">
        <v>0</v>
      </c>
      <c r="I714" s="8">
        <f t="shared" si="45"/>
        <v>1.4280847015261333E-2</v>
      </c>
      <c r="J714" s="8">
        <f t="shared" si="46"/>
        <v>1.417983626309457E-2</v>
      </c>
      <c r="K714" s="8">
        <f t="shared" si="43"/>
        <v>0.16725850959155442</v>
      </c>
    </row>
    <row r="715" spans="1:11" x14ac:dyDescent="0.25">
      <c r="A715" t="str">
        <f t="shared" si="44"/>
        <v>112019</v>
      </c>
      <c r="B715" s="1">
        <v>43795</v>
      </c>
      <c r="C715" t="s">
        <v>459</v>
      </c>
      <c r="D715">
        <v>31692.85</v>
      </c>
      <c r="E715">
        <v>31850.35</v>
      </c>
      <c r="F715">
        <v>31465.85</v>
      </c>
      <c r="G715">
        <v>31718.35</v>
      </c>
      <c r="H715">
        <v>0</v>
      </c>
      <c r="I715" s="8">
        <f t="shared" si="45"/>
        <v>5.1480071872453959E-3</v>
      </c>
      <c r="J715" s="8">
        <f t="shared" si="46"/>
        <v>5.1348015008345184E-3</v>
      </c>
      <c r="K715" s="8">
        <f t="shared" si="43"/>
        <v>0.17655557678147815</v>
      </c>
    </row>
    <row r="716" spans="1:11" x14ac:dyDescent="0.25">
      <c r="A716" t="str">
        <f t="shared" si="44"/>
        <v>112019</v>
      </c>
      <c r="B716" s="1">
        <v>43796</v>
      </c>
      <c r="C716" t="s">
        <v>460</v>
      </c>
      <c r="D716">
        <v>31832.75</v>
      </c>
      <c r="E716">
        <v>31916.799999999999</v>
      </c>
      <c r="F716">
        <v>31734.5</v>
      </c>
      <c r="G716">
        <v>31875.95</v>
      </c>
      <c r="H716">
        <v>0</v>
      </c>
      <c r="I716" s="8">
        <f t="shared" si="45"/>
        <v>4.9687326106182539E-3</v>
      </c>
      <c r="J716" s="8">
        <f t="shared" si="46"/>
        <v>4.9564291968254518E-3</v>
      </c>
      <c r="K716" s="8">
        <f t="shared" si="43"/>
        <v>0.14040824504004279</v>
      </c>
    </row>
    <row r="717" spans="1:11" x14ac:dyDescent="0.25">
      <c r="A717" t="str">
        <f t="shared" si="44"/>
        <v>112019</v>
      </c>
      <c r="B717" s="1">
        <v>43797</v>
      </c>
      <c r="C717" t="s">
        <v>461</v>
      </c>
      <c r="D717">
        <v>31981.7</v>
      </c>
      <c r="E717">
        <v>32157.05</v>
      </c>
      <c r="F717">
        <v>31905.9</v>
      </c>
      <c r="G717">
        <v>32122.95</v>
      </c>
      <c r="H717">
        <v>0</v>
      </c>
      <c r="I717" s="8">
        <f t="shared" si="45"/>
        <v>7.7487886635536629E-3</v>
      </c>
      <c r="J717" s="8">
        <f t="shared" si="46"/>
        <v>7.7189209936304347E-3</v>
      </c>
      <c r="K717" s="8">
        <f t="shared" si="43"/>
        <v>0.14210263402563084</v>
      </c>
    </row>
    <row r="718" spans="1:11" x14ac:dyDescent="0.25">
      <c r="A718" t="str">
        <f t="shared" si="44"/>
        <v>112019</v>
      </c>
      <c r="B718" s="1">
        <v>43798</v>
      </c>
      <c r="C718" t="s">
        <v>462</v>
      </c>
      <c r="D718">
        <v>32074.15</v>
      </c>
      <c r="E718">
        <v>32086.95</v>
      </c>
      <c r="F718">
        <v>31770.799999999999</v>
      </c>
      <c r="G718">
        <v>31946.1</v>
      </c>
      <c r="H718">
        <v>0</v>
      </c>
      <c r="I718" s="8">
        <f t="shared" si="45"/>
        <v>-5.5054096837308109E-3</v>
      </c>
      <c r="J718" s="8">
        <f t="shared" si="46"/>
        <v>-5.5206203044441257E-3</v>
      </c>
      <c r="K718" s="8">
        <f t="shared" si="43"/>
        <v>0.14896257053765072</v>
      </c>
    </row>
    <row r="719" spans="1:11" x14ac:dyDescent="0.25">
      <c r="A719" t="str">
        <f t="shared" si="44"/>
        <v>122019</v>
      </c>
      <c r="B719" s="1">
        <v>43801</v>
      </c>
      <c r="C719" s="10">
        <v>43508.645833333336</v>
      </c>
      <c r="D719">
        <v>32008.3</v>
      </c>
      <c r="E719">
        <v>32024.1</v>
      </c>
      <c r="F719">
        <v>31720.6</v>
      </c>
      <c r="G719">
        <v>31863.05</v>
      </c>
      <c r="H719">
        <v>0</v>
      </c>
      <c r="I719" s="8">
        <f t="shared" si="45"/>
        <v>-2.5996913551262768E-3</v>
      </c>
      <c r="J719" s="8">
        <f t="shared" si="46"/>
        <v>-2.6030764207204873E-3</v>
      </c>
      <c r="K719" s="8">
        <f t="shared" si="43"/>
        <v>0.16692241770798222</v>
      </c>
    </row>
    <row r="720" spans="1:11" x14ac:dyDescent="0.25">
      <c r="A720" t="str">
        <f t="shared" si="44"/>
        <v>122019</v>
      </c>
      <c r="B720" s="1">
        <v>43802</v>
      </c>
      <c r="C720" s="10">
        <v>43536.645833333336</v>
      </c>
      <c r="D720">
        <v>31920.1</v>
      </c>
      <c r="E720">
        <v>31936.6</v>
      </c>
      <c r="F720">
        <v>31502.95</v>
      </c>
      <c r="G720">
        <v>31613.35</v>
      </c>
      <c r="H720">
        <v>0</v>
      </c>
      <c r="I720" s="8">
        <f t="shared" si="45"/>
        <v>-7.8366634706972249E-3</v>
      </c>
      <c r="J720" s="8">
        <f t="shared" si="46"/>
        <v>-7.8675314918289149E-3</v>
      </c>
      <c r="K720" s="8">
        <f t="shared" si="43"/>
        <v>0.15260036787425912</v>
      </c>
    </row>
    <row r="721" spans="1:11" x14ac:dyDescent="0.25">
      <c r="A721" t="str">
        <f t="shared" si="44"/>
        <v>122019</v>
      </c>
      <c r="B721" s="1">
        <v>43803</v>
      </c>
      <c r="C721" s="10">
        <v>43567.645833333336</v>
      </c>
      <c r="D721">
        <v>31549.3</v>
      </c>
      <c r="E721">
        <v>32017.75</v>
      </c>
      <c r="F721">
        <v>31444</v>
      </c>
      <c r="G721">
        <v>31979.3</v>
      </c>
      <c r="H721">
        <v>0</v>
      </c>
      <c r="I721" s="8">
        <f t="shared" si="45"/>
        <v>1.1575805790907889E-2</v>
      </c>
      <c r="J721" s="8">
        <f t="shared" si="46"/>
        <v>1.1509318753154599E-2</v>
      </c>
      <c r="K721" s="8">
        <f t="shared" si="43"/>
        <v>0.19218316330619967</v>
      </c>
    </row>
    <row r="722" spans="1:11" x14ac:dyDescent="0.25">
      <c r="A722" t="str">
        <f t="shared" si="44"/>
        <v>122019</v>
      </c>
      <c r="B722" s="1">
        <v>43804</v>
      </c>
      <c r="C722" s="10">
        <v>43597.645833333336</v>
      </c>
      <c r="D722">
        <v>32083.8</v>
      </c>
      <c r="E722">
        <v>32126.95</v>
      </c>
      <c r="F722">
        <v>31628.3</v>
      </c>
      <c r="G722">
        <v>31712.95</v>
      </c>
      <c r="H722">
        <v>0</v>
      </c>
      <c r="I722" s="8">
        <f t="shared" si="45"/>
        <v>-8.3288252088069559E-3</v>
      </c>
      <c r="J722" s="8">
        <f t="shared" si="46"/>
        <v>-8.3637036729239129E-3</v>
      </c>
      <c r="K722" s="8">
        <f t="shared" si="43"/>
        <v>0.16919058319523228</v>
      </c>
    </row>
    <row r="723" spans="1:11" x14ac:dyDescent="0.25">
      <c r="A723" t="str">
        <f t="shared" si="44"/>
        <v>122019</v>
      </c>
      <c r="B723" s="1">
        <v>43805</v>
      </c>
      <c r="C723" s="10">
        <v>43628.645833333336</v>
      </c>
      <c r="D723">
        <v>31797.15</v>
      </c>
      <c r="E723">
        <v>31883.7</v>
      </c>
      <c r="F723">
        <v>31250.65</v>
      </c>
      <c r="G723">
        <v>31341.55</v>
      </c>
      <c r="H723">
        <v>0</v>
      </c>
      <c r="I723" s="8">
        <f t="shared" si="45"/>
        <v>-1.1711304057175465E-2</v>
      </c>
      <c r="J723" s="8">
        <f t="shared" si="46"/>
        <v>-1.178042154578776E-2</v>
      </c>
      <c r="K723" s="8">
        <f t="shared" si="43"/>
        <v>0.16426074584783623</v>
      </c>
    </row>
    <row r="724" spans="1:11" x14ac:dyDescent="0.25">
      <c r="A724" t="str">
        <f t="shared" si="44"/>
        <v>122019</v>
      </c>
      <c r="B724" s="1">
        <v>43808</v>
      </c>
      <c r="C724" s="10">
        <v>43720.645833333336</v>
      </c>
      <c r="D724">
        <v>31321.4</v>
      </c>
      <c r="E724">
        <v>31537.65</v>
      </c>
      <c r="F724">
        <v>31122.05</v>
      </c>
      <c r="G724">
        <v>31316.65</v>
      </c>
      <c r="H724">
        <v>0</v>
      </c>
      <c r="I724" s="8">
        <f t="shared" si="45"/>
        <v>-7.9447251332487312E-4</v>
      </c>
      <c r="J724" s="8">
        <f t="shared" si="46"/>
        <v>-7.9478827386521137E-4</v>
      </c>
      <c r="K724" s="8">
        <f t="shared" si="43"/>
        <v>0.14932343409950866</v>
      </c>
    </row>
    <row r="725" spans="1:11" x14ac:dyDescent="0.25">
      <c r="A725" t="str">
        <f t="shared" si="44"/>
        <v>122019</v>
      </c>
      <c r="B725" s="1">
        <v>43809</v>
      </c>
      <c r="C725" s="10">
        <v>43750.645833333336</v>
      </c>
      <c r="D725">
        <v>31386.400000000001</v>
      </c>
      <c r="E725">
        <v>31412.799999999999</v>
      </c>
      <c r="F725">
        <v>31126</v>
      </c>
      <c r="G725">
        <v>31160.35</v>
      </c>
      <c r="H725">
        <v>0</v>
      </c>
      <c r="I725" s="8">
        <f t="shared" si="45"/>
        <v>-4.9909552905563759E-3</v>
      </c>
      <c r="J725" s="8">
        <f t="shared" si="46"/>
        <v>-5.0034517046146903E-3</v>
      </c>
      <c r="K725" s="8">
        <f t="shared" si="43"/>
        <v>0.13291207123159166</v>
      </c>
    </row>
    <row r="726" spans="1:11" x14ac:dyDescent="0.25">
      <c r="A726" t="str">
        <f t="shared" si="44"/>
        <v>122019</v>
      </c>
      <c r="B726" s="1">
        <v>43810</v>
      </c>
      <c r="C726" s="10">
        <v>43781.645833333336</v>
      </c>
      <c r="D726">
        <v>31151.65</v>
      </c>
      <c r="E726">
        <v>31337.85</v>
      </c>
      <c r="F726">
        <v>30996.400000000001</v>
      </c>
      <c r="G726">
        <v>31256.75</v>
      </c>
      <c r="H726">
        <v>0</v>
      </c>
      <c r="I726" s="8">
        <f t="shared" si="45"/>
        <v>3.0936751352279579E-3</v>
      </c>
      <c r="J726" s="8">
        <f t="shared" si="46"/>
        <v>3.0888995691384586E-3</v>
      </c>
      <c r="K726" s="8">
        <f t="shared" si="43"/>
        <v>0.12530691743291023</v>
      </c>
    </row>
    <row r="727" spans="1:11" x14ac:dyDescent="0.25">
      <c r="A727" t="str">
        <f t="shared" si="44"/>
        <v>122019</v>
      </c>
      <c r="B727" s="1">
        <v>43811</v>
      </c>
      <c r="C727" s="10">
        <v>43811.645833333336</v>
      </c>
      <c r="D727">
        <v>31356.799999999999</v>
      </c>
      <c r="E727">
        <v>31711.45</v>
      </c>
      <c r="F727">
        <v>31352.1</v>
      </c>
      <c r="G727">
        <v>31665.45</v>
      </c>
      <c r="H727">
        <v>0</v>
      </c>
      <c r="I727" s="8">
        <f t="shared" si="45"/>
        <v>1.3075575675653983E-2</v>
      </c>
      <c r="J727" s="8">
        <f t="shared" si="46"/>
        <v>1.2990828283922748E-2</v>
      </c>
      <c r="K727" s="8">
        <f t="shared" si="43"/>
        <v>0.13828747056814716</v>
      </c>
    </row>
    <row r="728" spans="1:11" x14ac:dyDescent="0.25">
      <c r="A728" t="str">
        <f t="shared" si="44"/>
        <v>122019</v>
      </c>
      <c r="B728" s="1">
        <v>43812</v>
      </c>
      <c r="C728" t="s">
        <v>463</v>
      </c>
      <c r="D728">
        <v>31775.55</v>
      </c>
      <c r="E728">
        <v>32105.05</v>
      </c>
      <c r="F728">
        <v>31770.5</v>
      </c>
      <c r="G728">
        <v>32014.25</v>
      </c>
      <c r="H728">
        <v>0</v>
      </c>
      <c r="I728" s="8">
        <f t="shared" si="45"/>
        <v>1.1015160056149442E-2</v>
      </c>
      <c r="J728" s="8">
        <f t="shared" si="46"/>
        <v>1.0954935035848927E-2</v>
      </c>
      <c r="K728" s="8">
        <f t="shared" si="43"/>
        <v>0.13934783575781839</v>
      </c>
    </row>
    <row r="729" spans="1:11" x14ac:dyDescent="0.25">
      <c r="A729" t="str">
        <f t="shared" si="44"/>
        <v>122019</v>
      </c>
      <c r="B729" s="1">
        <v>43815</v>
      </c>
      <c r="C729" t="s">
        <v>464</v>
      </c>
      <c r="D729">
        <v>32159</v>
      </c>
      <c r="E729">
        <v>32186.95</v>
      </c>
      <c r="F729">
        <v>31897.75</v>
      </c>
      <c r="G729">
        <v>31974.2</v>
      </c>
      <c r="H729">
        <v>0</v>
      </c>
      <c r="I729" s="8">
        <f t="shared" si="45"/>
        <v>-1.2510054116525726E-3</v>
      </c>
      <c r="J729" s="8">
        <f t="shared" si="46"/>
        <v>-1.2517885721493819E-3</v>
      </c>
      <c r="K729" s="8">
        <f t="shared" si="43"/>
        <v>0.14788009334051333</v>
      </c>
    </row>
    <row r="730" spans="1:11" x14ac:dyDescent="0.25">
      <c r="A730" t="str">
        <f t="shared" si="44"/>
        <v>122019</v>
      </c>
      <c r="B730" s="1">
        <v>43816</v>
      </c>
      <c r="C730" t="s">
        <v>465</v>
      </c>
      <c r="D730">
        <v>32082.400000000001</v>
      </c>
      <c r="E730">
        <v>32213.35</v>
      </c>
      <c r="F730">
        <v>31987.35</v>
      </c>
      <c r="G730">
        <v>32140.25</v>
      </c>
      <c r="H730">
        <v>0</v>
      </c>
      <c r="I730" s="8">
        <f t="shared" si="45"/>
        <v>5.1932495574555926E-3</v>
      </c>
      <c r="J730" s="8">
        <f t="shared" si="46"/>
        <v>5.1798111429199566E-3</v>
      </c>
      <c r="K730" s="8">
        <f t="shared" si="43"/>
        <v>0.18459922415620067</v>
      </c>
    </row>
    <row r="731" spans="1:11" x14ac:dyDescent="0.25">
      <c r="A731" t="str">
        <f t="shared" si="44"/>
        <v>122019</v>
      </c>
      <c r="B731" s="1">
        <v>43817</v>
      </c>
      <c r="C731" t="s">
        <v>466</v>
      </c>
      <c r="D731">
        <v>32292.25</v>
      </c>
      <c r="E731">
        <v>32293.65</v>
      </c>
      <c r="F731">
        <v>32017.3</v>
      </c>
      <c r="G731">
        <v>32244.25</v>
      </c>
      <c r="H731">
        <v>0</v>
      </c>
      <c r="I731" s="8">
        <f t="shared" si="45"/>
        <v>3.2358180163503114E-3</v>
      </c>
      <c r="J731" s="8">
        <f t="shared" si="46"/>
        <v>3.2305940234595119E-3</v>
      </c>
      <c r="K731" s="8">
        <f t="shared" si="43"/>
        <v>0.18664355519244524</v>
      </c>
    </row>
    <row r="732" spans="1:11" x14ac:dyDescent="0.25">
      <c r="A732" t="str">
        <f t="shared" si="44"/>
        <v>122019</v>
      </c>
      <c r="B732" s="1">
        <v>43818</v>
      </c>
      <c r="C732" t="s">
        <v>467</v>
      </c>
      <c r="D732">
        <v>32281.65</v>
      </c>
      <c r="E732">
        <v>32328.35</v>
      </c>
      <c r="F732">
        <v>32085.05</v>
      </c>
      <c r="G732">
        <v>32241.45</v>
      </c>
      <c r="H732">
        <v>0</v>
      </c>
      <c r="I732" s="8">
        <f t="shared" si="45"/>
        <v>-8.6837188025712386E-5</v>
      </c>
      <c r="J732" s="8">
        <f t="shared" si="46"/>
        <v>-8.6840958592609684E-5</v>
      </c>
      <c r="K732" s="8">
        <f t="shared" si="43"/>
        <v>0.20494325921745737</v>
      </c>
    </row>
    <row r="733" spans="1:11" x14ac:dyDescent="0.25">
      <c r="A733" t="str">
        <f t="shared" si="44"/>
        <v>122019</v>
      </c>
      <c r="B733" s="1">
        <v>43819</v>
      </c>
      <c r="C733" t="s">
        <v>468</v>
      </c>
      <c r="D733">
        <v>32266.85</v>
      </c>
      <c r="E733">
        <v>32443.35</v>
      </c>
      <c r="F733">
        <v>32199.45</v>
      </c>
      <c r="G733">
        <v>32384.95</v>
      </c>
      <c r="H733">
        <v>0</v>
      </c>
      <c r="I733" s="8">
        <f t="shared" si="45"/>
        <v>4.4507923806156313E-3</v>
      </c>
      <c r="J733" s="8">
        <f t="shared" si="46"/>
        <v>4.4409168958536313E-3</v>
      </c>
      <c r="K733" s="8">
        <f t="shared" si="43"/>
        <v>0.1174333325857313</v>
      </c>
    </row>
    <row r="734" spans="1:11" x14ac:dyDescent="0.25">
      <c r="A734" t="str">
        <f t="shared" si="44"/>
        <v>122019</v>
      </c>
      <c r="B734" s="1">
        <v>43822</v>
      </c>
      <c r="C734" t="s">
        <v>469</v>
      </c>
      <c r="D734">
        <v>32381</v>
      </c>
      <c r="E734">
        <v>32502.799999999999</v>
      </c>
      <c r="F734">
        <v>32196.85</v>
      </c>
      <c r="G734">
        <v>32339.45</v>
      </c>
      <c r="H734">
        <v>0</v>
      </c>
      <c r="I734" s="8">
        <f t="shared" si="45"/>
        <v>-1.4049736065672169E-3</v>
      </c>
      <c r="J734" s="8">
        <f t="shared" si="46"/>
        <v>-1.4059615074096168E-3</v>
      </c>
      <c r="K734" s="8">
        <f t="shared" si="43"/>
        <v>5.8013426595389772E-2</v>
      </c>
    </row>
    <row r="735" spans="1:11" x14ac:dyDescent="0.25">
      <c r="A735" t="str">
        <f t="shared" si="44"/>
        <v>122019</v>
      </c>
      <c r="B735" s="1">
        <v>43823</v>
      </c>
      <c r="C735" t="s">
        <v>470</v>
      </c>
      <c r="D735">
        <v>32337.8</v>
      </c>
      <c r="E735">
        <v>32390.35</v>
      </c>
      <c r="F735">
        <v>32246.05</v>
      </c>
      <c r="G735">
        <v>32280.75</v>
      </c>
      <c r="H735">
        <v>0</v>
      </c>
      <c r="I735" s="8">
        <f t="shared" si="45"/>
        <v>-1.8151205416294669E-3</v>
      </c>
      <c r="J735" s="8">
        <f t="shared" si="46"/>
        <v>-1.816769869040679E-3</v>
      </c>
      <c r="K735" s="8">
        <f t="shared" si="43"/>
        <v>6.9497500256766154E-2</v>
      </c>
    </row>
    <row r="736" spans="1:11" x14ac:dyDescent="0.25">
      <c r="A736" t="str">
        <f t="shared" si="44"/>
        <v>122019</v>
      </c>
      <c r="B736" s="1">
        <v>43825</v>
      </c>
      <c r="C736" t="s">
        <v>471</v>
      </c>
      <c r="D736">
        <v>32276.15</v>
      </c>
      <c r="E736">
        <v>32314.6</v>
      </c>
      <c r="F736">
        <v>31963.25</v>
      </c>
      <c r="G736">
        <v>31997.7</v>
      </c>
      <c r="H736">
        <v>0</v>
      </c>
      <c r="I736" s="8">
        <f t="shared" si="45"/>
        <v>-8.7683836342091759E-3</v>
      </c>
      <c r="J736" s="8">
        <f t="shared" si="46"/>
        <v>-8.8070521159866553E-3</v>
      </c>
      <c r="K736" s="8">
        <f t="shared" si="43"/>
        <v>8.1513077953968116E-2</v>
      </c>
    </row>
    <row r="737" spans="1:11" x14ac:dyDescent="0.25">
      <c r="A737" t="str">
        <f t="shared" si="44"/>
        <v>122019</v>
      </c>
      <c r="B737" s="1">
        <v>43826</v>
      </c>
      <c r="C737" t="s">
        <v>472</v>
      </c>
      <c r="D737">
        <v>32142.5</v>
      </c>
      <c r="E737">
        <v>32444.85</v>
      </c>
      <c r="F737">
        <v>32056.25</v>
      </c>
      <c r="G737">
        <v>32412.35</v>
      </c>
      <c r="H737">
        <v>0</v>
      </c>
      <c r="I737" s="8">
        <f t="shared" si="45"/>
        <v>1.2958743909718518E-2</v>
      </c>
      <c r="J737" s="8">
        <f t="shared" si="46"/>
        <v>1.2875497793283404E-2</v>
      </c>
      <c r="K737" s="8">
        <f t="shared" si="43"/>
        <v>8.0318039103277616E-2</v>
      </c>
    </row>
    <row r="738" spans="1:11" x14ac:dyDescent="0.25">
      <c r="A738" t="str">
        <f t="shared" si="44"/>
        <v>122019</v>
      </c>
      <c r="B738" s="1">
        <v>43829</v>
      </c>
      <c r="C738" t="s">
        <v>473</v>
      </c>
      <c r="D738">
        <v>32486.6</v>
      </c>
      <c r="E738">
        <v>32613.1</v>
      </c>
      <c r="F738">
        <v>32248.5</v>
      </c>
      <c r="G738">
        <v>32354.9</v>
      </c>
      <c r="H738">
        <v>0</v>
      </c>
      <c r="I738" s="8">
        <f t="shared" si="45"/>
        <v>-1.7724725297609822E-3</v>
      </c>
      <c r="J738" s="8">
        <f t="shared" si="46"/>
        <v>-1.7740452178343843E-3</v>
      </c>
      <c r="K738" s="8">
        <f t="shared" si="43"/>
        <v>8.2949393589977438E-2</v>
      </c>
    </row>
    <row r="739" spans="1:11" x14ac:dyDescent="0.25">
      <c r="A739" t="str">
        <f t="shared" si="44"/>
        <v>122019</v>
      </c>
      <c r="B739" s="1">
        <v>43830</v>
      </c>
      <c r="C739" t="s">
        <v>474</v>
      </c>
      <c r="D739">
        <v>32345.95</v>
      </c>
      <c r="E739">
        <v>32345.95</v>
      </c>
      <c r="F739">
        <v>32108.75</v>
      </c>
      <c r="G739">
        <v>32161.65</v>
      </c>
      <c r="H739">
        <v>0</v>
      </c>
      <c r="I739" s="8">
        <f t="shared" si="45"/>
        <v>-5.9728201910684842E-3</v>
      </c>
      <c r="J739" s="8">
        <f t="shared" si="46"/>
        <v>-5.9907288272353712E-3</v>
      </c>
      <c r="K739" s="8">
        <f t="shared" si="43"/>
        <v>0.10509171687600816</v>
      </c>
    </row>
    <row r="740" spans="1:11" x14ac:dyDescent="0.25">
      <c r="A740" t="str">
        <f t="shared" si="44"/>
        <v>12020</v>
      </c>
      <c r="B740" s="1">
        <v>43831</v>
      </c>
      <c r="C740" s="10">
        <v>43831.645833333336</v>
      </c>
      <c r="D740">
        <v>32237.9</v>
      </c>
      <c r="E740">
        <v>32348</v>
      </c>
      <c r="F740">
        <v>32057.200000000001</v>
      </c>
      <c r="G740">
        <v>32102.9</v>
      </c>
      <c r="H740">
        <v>0</v>
      </c>
      <c r="I740" s="8">
        <f t="shared" si="45"/>
        <v>-1.8267097614705907E-3</v>
      </c>
      <c r="J740" s="8">
        <f t="shared" si="46"/>
        <v>-1.8283802303647831E-3</v>
      </c>
      <c r="K740" s="8">
        <f t="shared" si="43"/>
        <v>0.11757497693686791</v>
      </c>
    </row>
    <row r="741" spans="1:11" x14ac:dyDescent="0.25">
      <c r="A741" t="str">
        <f t="shared" si="44"/>
        <v>12020</v>
      </c>
      <c r="B741" s="1">
        <v>43832</v>
      </c>
      <c r="C741" s="10">
        <v>43862.645833333336</v>
      </c>
      <c r="D741">
        <v>32133.15</v>
      </c>
      <c r="E741">
        <v>32465.45</v>
      </c>
      <c r="F741">
        <v>32121.4</v>
      </c>
      <c r="G741">
        <v>32443.85</v>
      </c>
      <c r="H741">
        <v>0</v>
      </c>
      <c r="I741" s="8">
        <f t="shared" si="45"/>
        <v>1.0620535839441114E-2</v>
      </c>
      <c r="J741" s="8">
        <f t="shared" si="46"/>
        <v>1.0564534111961739E-2</v>
      </c>
      <c r="K741" s="8">
        <f t="shared" si="43"/>
        <v>0.14182219391076956</v>
      </c>
    </row>
    <row r="742" spans="1:11" x14ac:dyDescent="0.25">
      <c r="A742" t="str">
        <f t="shared" si="44"/>
        <v>12020</v>
      </c>
      <c r="B742" s="1">
        <v>43833</v>
      </c>
      <c r="C742" s="10">
        <v>43891.645833333336</v>
      </c>
      <c r="D742">
        <v>32326.95</v>
      </c>
      <c r="E742">
        <v>32329.8</v>
      </c>
      <c r="F742">
        <v>31960.400000000001</v>
      </c>
      <c r="G742">
        <v>32069.25</v>
      </c>
      <c r="H742">
        <v>0</v>
      </c>
      <c r="I742" s="8">
        <f t="shared" si="45"/>
        <v>-1.1546101957689903E-2</v>
      </c>
      <c r="J742" s="8">
        <f t="shared" si="46"/>
        <v>-1.1613275757182955E-2</v>
      </c>
      <c r="K742" s="8">
        <f t="shared" si="43"/>
        <v>0.15640500002704472</v>
      </c>
    </row>
    <row r="743" spans="1:11" x14ac:dyDescent="0.25">
      <c r="A743" t="str">
        <f t="shared" si="44"/>
        <v>12020</v>
      </c>
      <c r="B743" s="1">
        <v>43836</v>
      </c>
      <c r="C743" s="10">
        <v>43983.645833333336</v>
      </c>
      <c r="D743">
        <v>31910.45</v>
      </c>
      <c r="E743">
        <v>31914.45</v>
      </c>
      <c r="F743">
        <v>31170.55</v>
      </c>
      <c r="G743">
        <v>31237.15</v>
      </c>
      <c r="H743">
        <v>0</v>
      </c>
      <c r="I743" s="8">
        <f t="shared" si="45"/>
        <v>-2.5946974126304756E-2</v>
      </c>
      <c r="J743" s="8">
        <f t="shared" si="46"/>
        <v>-2.6289535472715311E-2</v>
      </c>
      <c r="K743" s="8">
        <f t="shared" si="43"/>
        <v>0.12495160718176446</v>
      </c>
    </row>
    <row r="744" spans="1:11" x14ac:dyDescent="0.25">
      <c r="A744" t="str">
        <f t="shared" si="44"/>
        <v>12020</v>
      </c>
      <c r="B744" s="1">
        <v>43837</v>
      </c>
      <c r="C744" s="10">
        <v>44013.645833333336</v>
      </c>
      <c r="D744">
        <v>31598.05</v>
      </c>
      <c r="E744">
        <v>31851.45</v>
      </c>
      <c r="F744">
        <v>31200.9</v>
      </c>
      <c r="G744">
        <v>31399.4</v>
      </c>
      <c r="H744">
        <v>0</v>
      </c>
      <c r="I744" s="8">
        <f t="shared" si="45"/>
        <v>5.1941358286526906E-3</v>
      </c>
      <c r="J744" s="8">
        <f t="shared" si="46"/>
        <v>5.1806928348799644E-3</v>
      </c>
      <c r="K744" s="8">
        <f t="shared" si="43"/>
        <v>9.0792872192414054E-2</v>
      </c>
    </row>
    <row r="745" spans="1:11" x14ac:dyDescent="0.25">
      <c r="A745" t="str">
        <f t="shared" si="44"/>
        <v>12020</v>
      </c>
      <c r="B745" s="1">
        <v>43838</v>
      </c>
      <c r="C745" s="10">
        <v>44044.645833333336</v>
      </c>
      <c r="D745">
        <v>30995.5</v>
      </c>
      <c r="E745">
        <v>31451.85</v>
      </c>
      <c r="F745">
        <v>30899.55</v>
      </c>
      <c r="G745">
        <v>31373.65</v>
      </c>
      <c r="H745">
        <v>0</v>
      </c>
      <c r="I745" s="8">
        <f t="shared" si="45"/>
        <v>-8.2007936457384467E-4</v>
      </c>
      <c r="J745" s="8">
        <f t="shared" si="46"/>
        <v>-8.2041581361179622E-4</v>
      </c>
      <c r="K745" s="8">
        <f t="shared" si="43"/>
        <v>0.11994952424638883</v>
      </c>
    </row>
    <row r="746" spans="1:11" x14ac:dyDescent="0.25">
      <c r="A746" t="str">
        <f t="shared" si="44"/>
        <v>12020</v>
      </c>
      <c r="B746" s="1">
        <v>43839</v>
      </c>
      <c r="C746" s="10">
        <v>44075.645833333336</v>
      </c>
      <c r="D746">
        <v>31748.25</v>
      </c>
      <c r="E746">
        <v>32172.7</v>
      </c>
      <c r="F746">
        <v>31667.15</v>
      </c>
      <c r="G746">
        <v>32092.400000000001</v>
      </c>
      <c r="H746">
        <v>0</v>
      </c>
      <c r="I746" s="8">
        <f t="shared" si="45"/>
        <v>2.2909352274918637E-2</v>
      </c>
      <c r="J746" s="8">
        <f t="shared" si="46"/>
        <v>2.2650873341481047E-2</v>
      </c>
      <c r="K746" s="8">
        <f t="shared" si="43"/>
        <v>0.14442007666934131</v>
      </c>
    </row>
    <row r="747" spans="1:11" x14ac:dyDescent="0.25">
      <c r="A747" t="str">
        <f t="shared" si="44"/>
        <v>12020</v>
      </c>
      <c r="B747" s="1">
        <v>43840</v>
      </c>
      <c r="C747" s="10">
        <v>44105.645833333336</v>
      </c>
      <c r="D747">
        <v>32215.7</v>
      </c>
      <c r="E747">
        <v>32347.200000000001</v>
      </c>
      <c r="F747">
        <v>31953.4</v>
      </c>
      <c r="G747">
        <v>32097.4</v>
      </c>
      <c r="H747">
        <v>0</v>
      </c>
      <c r="I747" s="8">
        <f t="shared" si="45"/>
        <v>1.5580012713289904E-4</v>
      </c>
      <c r="J747" s="8">
        <f t="shared" si="46"/>
        <v>1.5578799155355856E-4</v>
      </c>
      <c r="K747" s="8">
        <f t="shared" si="43"/>
        <v>0.13893467272491788</v>
      </c>
    </row>
    <row r="748" spans="1:11" x14ac:dyDescent="0.25">
      <c r="A748" t="str">
        <f t="shared" si="44"/>
        <v>12020</v>
      </c>
      <c r="B748" s="1">
        <v>43843</v>
      </c>
      <c r="C748" t="s">
        <v>475</v>
      </c>
      <c r="D748">
        <v>32139.1</v>
      </c>
      <c r="E748">
        <v>32322.65</v>
      </c>
      <c r="F748">
        <v>32074.05</v>
      </c>
      <c r="G748">
        <v>32177.65</v>
      </c>
      <c r="H748">
        <v>0</v>
      </c>
      <c r="I748" s="8">
        <f t="shared" si="45"/>
        <v>2.5002025086144908E-3</v>
      </c>
      <c r="J748" s="8">
        <f t="shared" si="46"/>
        <v>2.4970822021722731E-3</v>
      </c>
      <c r="K748" s="8">
        <f t="shared" si="43"/>
        <v>0.12686175149097711</v>
      </c>
    </row>
    <row r="749" spans="1:11" x14ac:dyDescent="0.25">
      <c r="A749" t="str">
        <f t="shared" si="44"/>
        <v>12020</v>
      </c>
      <c r="B749" s="1">
        <v>43844</v>
      </c>
      <c r="C749" t="s">
        <v>476</v>
      </c>
      <c r="D749">
        <v>32196.45</v>
      </c>
      <c r="E749">
        <v>32196.45</v>
      </c>
      <c r="F749">
        <v>31989.200000000001</v>
      </c>
      <c r="G749">
        <v>32071.65</v>
      </c>
      <c r="H749">
        <v>0</v>
      </c>
      <c r="I749" s="8">
        <f t="shared" si="45"/>
        <v>-3.2942119763251787E-3</v>
      </c>
      <c r="J749" s="8">
        <f t="shared" si="46"/>
        <v>-3.2996498381949401E-3</v>
      </c>
      <c r="K749" s="8">
        <f t="shared" si="43"/>
        <v>0.12379111945842158</v>
      </c>
    </row>
    <row r="750" spans="1:11" x14ac:dyDescent="0.25">
      <c r="A750" t="str">
        <f t="shared" si="44"/>
        <v>12020</v>
      </c>
      <c r="B750" s="1">
        <v>43845</v>
      </c>
      <c r="C750" t="s">
        <v>477</v>
      </c>
      <c r="D750">
        <v>31994.75</v>
      </c>
      <c r="E750">
        <v>32000.9</v>
      </c>
      <c r="F750">
        <v>31670.35</v>
      </c>
      <c r="G750">
        <v>31824.9</v>
      </c>
      <c r="H750">
        <v>0</v>
      </c>
      <c r="I750" s="8">
        <f t="shared" si="45"/>
        <v>-7.6937108006603916E-3</v>
      </c>
      <c r="J750" s="8">
        <f t="shared" si="46"/>
        <v>-7.7234600800716183E-3</v>
      </c>
      <c r="K750" s="8">
        <f t="shared" si="43"/>
        <v>9.7809720432778136E-2</v>
      </c>
    </row>
    <row r="751" spans="1:11" x14ac:dyDescent="0.25">
      <c r="A751" t="str">
        <f t="shared" si="44"/>
        <v>12020</v>
      </c>
      <c r="B751" s="1">
        <v>43846</v>
      </c>
      <c r="C751" t="s">
        <v>478</v>
      </c>
      <c r="D751">
        <v>31810.55</v>
      </c>
      <c r="E751">
        <v>31988.9</v>
      </c>
      <c r="F751">
        <v>31692.400000000001</v>
      </c>
      <c r="G751">
        <v>31853.9</v>
      </c>
      <c r="H751">
        <v>0</v>
      </c>
      <c r="I751" s="8">
        <f t="shared" si="45"/>
        <v>9.1123617041999339E-4</v>
      </c>
      <c r="J751" s="8">
        <f t="shared" si="46"/>
        <v>9.108212467840045E-4</v>
      </c>
      <c r="K751" s="8">
        <f t="shared" si="43"/>
        <v>9.3874537478215281E-2</v>
      </c>
    </row>
    <row r="752" spans="1:11" x14ac:dyDescent="0.25">
      <c r="A752" t="str">
        <f t="shared" si="44"/>
        <v>12020</v>
      </c>
      <c r="B752" s="1">
        <v>43847</v>
      </c>
      <c r="C752" t="s">
        <v>479</v>
      </c>
      <c r="D752">
        <v>31571.65</v>
      </c>
      <c r="E752">
        <v>31773.55</v>
      </c>
      <c r="F752">
        <v>31445.5</v>
      </c>
      <c r="G752">
        <v>31590.65</v>
      </c>
      <c r="H752">
        <v>0</v>
      </c>
      <c r="I752" s="8">
        <f t="shared" si="45"/>
        <v>-8.2642941680610704E-3</v>
      </c>
      <c r="J752" s="8">
        <f t="shared" si="46"/>
        <v>-8.2986327675044647E-3</v>
      </c>
      <c r="K752" s="8">
        <f t="shared" si="43"/>
        <v>7.4104548785069557E-2</v>
      </c>
    </row>
    <row r="753" spans="1:11" x14ac:dyDescent="0.25">
      <c r="A753" t="str">
        <f t="shared" si="44"/>
        <v>12020</v>
      </c>
      <c r="B753" s="1">
        <v>43850</v>
      </c>
      <c r="C753" t="s">
        <v>480</v>
      </c>
      <c r="D753">
        <v>31923.95</v>
      </c>
      <c r="E753">
        <v>31923.95</v>
      </c>
      <c r="F753">
        <v>31050.95</v>
      </c>
      <c r="G753">
        <v>31080.65</v>
      </c>
      <c r="H753">
        <v>0</v>
      </c>
      <c r="I753" s="8">
        <f t="shared" si="45"/>
        <v>-1.6144017296256918E-2</v>
      </c>
      <c r="J753" s="8">
        <f t="shared" si="46"/>
        <v>-1.6275751682324726E-2</v>
      </c>
      <c r="K753" s="8">
        <f t="shared" si="43"/>
        <v>5.5026205379570703E-2</v>
      </c>
    </row>
    <row r="754" spans="1:11" x14ac:dyDescent="0.25">
      <c r="A754" t="str">
        <f t="shared" si="44"/>
        <v>12020</v>
      </c>
      <c r="B754" s="1">
        <v>43851</v>
      </c>
      <c r="C754" t="s">
        <v>481</v>
      </c>
      <c r="D754">
        <v>30978.85</v>
      </c>
      <c r="E754">
        <v>31171.25</v>
      </c>
      <c r="F754">
        <v>30858.6</v>
      </c>
      <c r="G754">
        <v>30947.55</v>
      </c>
      <c r="H754">
        <v>0</v>
      </c>
      <c r="I754" s="8">
        <f t="shared" si="45"/>
        <v>-4.2824072212133135E-3</v>
      </c>
      <c r="J754" s="8">
        <f t="shared" si="46"/>
        <v>-4.2916029897582973E-3</v>
      </c>
      <c r="K754" s="8">
        <f t="shared" si="43"/>
        <v>6.3199229076592367E-2</v>
      </c>
    </row>
    <row r="755" spans="1:11" x14ac:dyDescent="0.25">
      <c r="A755" t="str">
        <f t="shared" si="44"/>
        <v>12020</v>
      </c>
      <c r="B755" s="1">
        <v>43852</v>
      </c>
      <c r="C755" t="s">
        <v>482</v>
      </c>
      <c r="D755">
        <v>31061.599999999999</v>
      </c>
      <c r="E755">
        <v>31149.05</v>
      </c>
      <c r="F755">
        <v>30614</v>
      </c>
      <c r="G755">
        <v>30701.45</v>
      </c>
      <c r="H755">
        <v>0</v>
      </c>
      <c r="I755" s="8">
        <f t="shared" si="45"/>
        <v>-7.952164226247227E-3</v>
      </c>
      <c r="J755" s="8">
        <f t="shared" si="46"/>
        <v>-7.9839513137638912E-3</v>
      </c>
      <c r="K755" s="8">
        <f t="shared" si="43"/>
        <v>4.4410879730030883E-2</v>
      </c>
    </row>
    <row r="756" spans="1:11" x14ac:dyDescent="0.25">
      <c r="A756" t="str">
        <f t="shared" si="44"/>
        <v>12020</v>
      </c>
      <c r="B756" s="1">
        <v>43853</v>
      </c>
      <c r="C756" t="s">
        <v>483</v>
      </c>
      <c r="D756">
        <v>30742.2</v>
      </c>
      <c r="E756">
        <v>31087.25</v>
      </c>
      <c r="F756">
        <v>30621.35</v>
      </c>
      <c r="G756">
        <v>31004.05</v>
      </c>
      <c r="H756">
        <v>0</v>
      </c>
      <c r="I756" s="8">
        <f t="shared" si="45"/>
        <v>9.8562120030161182E-3</v>
      </c>
      <c r="J756" s="8">
        <f t="shared" si="46"/>
        <v>9.8079563649522312E-3</v>
      </c>
      <c r="K756" s="8">
        <f t="shared" si="43"/>
        <v>5.0404352849103606E-2</v>
      </c>
    </row>
    <row r="757" spans="1:11" x14ac:dyDescent="0.25">
      <c r="A757" t="str">
        <f t="shared" si="44"/>
        <v>12020</v>
      </c>
      <c r="B757" s="1">
        <v>43854</v>
      </c>
      <c r="C757" t="s">
        <v>484</v>
      </c>
      <c r="D757">
        <v>31040.1</v>
      </c>
      <c r="E757">
        <v>31375.45</v>
      </c>
      <c r="F757">
        <v>30879.05</v>
      </c>
      <c r="G757">
        <v>31241.75</v>
      </c>
      <c r="H757">
        <v>0</v>
      </c>
      <c r="I757" s="8">
        <f t="shared" si="45"/>
        <v>7.6667403129591083E-3</v>
      </c>
      <c r="J757" s="8">
        <f t="shared" si="46"/>
        <v>7.6375002151753352E-3</v>
      </c>
      <c r="K757" s="8">
        <f t="shared" si="43"/>
        <v>4.5817216521245818E-2</v>
      </c>
    </row>
    <row r="758" spans="1:11" x14ac:dyDescent="0.25">
      <c r="A758" t="str">
        <f t="shared" si="44"/>
        <v>12020</v>
      </c>
      <c r="B758" s="1">
        <v>43857</v>
      </c>
      <c r="C758" t="s">
        <v>485</v>
      </c>
      <c r="D758">
        <v>31110.55</v>
      </c>
      <c r="E758">
        <v>31227.05</v>
      </c>
      <c r="F758">
        <v>30808.55</v>
      </c>
      <c r="G758">
        <v>30837.4</v>
      </c>
      <c r="H758">
        <v>0</v>
      </c>
      <c r="I758" s="8">
        <f t="shared" si="45"/>
        <v>-1.2942616850848632E-2</v>
      </c>
      <c r="J758" s="8">
        <f t="shared" si="46"/>
        <v>-1.3027102283085215E-2</v>
      </c>
      <c r="K758" s="8">
        <f t="shared" si="43"/>
        <v>2.8341809087119696E-2</v>
      </c>
    </row>
    <row r="759" spans="1:11" x14ac:dyDescent="0.25">
      <c r="A759" t="str">
        <f t="shared" si="44"/>
        <v>12020</v>
      </c>
      <c r="B759" s="1">
        <v>43858</v>
      </c>
      <c r="C759" t="s">
        <v>486</v>
      </c>
      <c r="D759">
        <v>30922</v>
      </c>
      <c r="E759">
        <v>31048.45</v>
      </c>
      <c r="F759">
        <v>30656.35</v>
      </c>
      <c r="G759">
        <v>30761.4</v>
      </c>
      <c r="H759">
        <v>0</v>
      </c>
      <c r="I759" s="8">
        <f t="shared" si="45"/>
        <v>-2.4645398120464179E-3</v>
      </c>
      <c r="J759" s="8">
        <f t="shared" si="46"/>
        <v>-2.4675817893663162E-3</v>
      </c>
      <c r="K759" s="8">
        <f t="shared" si="43"/>
        <v>2.3120608655885055E-2</v>
      </c>
    </row>
    <row r="760" spans="1:11" x14ac:dyDescent="0.25">
      <c r="A760" t="str">
        <f t="shared" si="44"/>
        <v>12020</v>
      </c>
      <c r="B760" s="1">
        <v>43859</v>
      </c>
      <c r="C760" t="s">
        <v>487</v>
      </c>
      <c r="D760">
        <v>30915.1</v>
      </c>
      <c r="E760">
        <v>31082.85</v>
      </c>
      <c r="F760">
        <v>30835.8</v>
      </c>
      <c r="G760">
        <v>30877</v>
      </c>
      <c r="H760">
        <v>0</v>
      </c>
      <c r="I760" s="8">
        <f t="shared" si="45"/>
        <v>3.757956399903728E-3</v>
      </c>
      <c r="J760" s="8">
        <f t="shared" si="46"/>
        <v>3.7509129222914098E-3</v>
      </c>
      <c r="K760" s="8">
        <f t="shared" si="43"/>
        <v>1.8016488326126678E-2</v>
      </c>
    </row>
    <row r="761" spans="1:11" x14ac:dyDescent="0.25">
      <c r="A761" t="str">
        <f t="shared" si="44"/>
        <v>12020</v>
      </c>
      <c r="B761" s="1">
        <v>43860</v>
      </c>
      <c r="C761" t="s">
        <v>488</v>
      </c>
      <c r="D761">
        <v>30889.25</v>
      </c>
      <c r="E761">
        <v>30909.5</v>
      </c>
      <c r="F761">
        <v>30521.3</v>
      </c>
      <c r="G761">
        <v>30647.4</v>
      </c>
      <c r="H761">
        <v>0</v>
      </c>
      <c r="I761" s="8">
        <f t="shared" si="45"/>
        <v>-7.4359555656313692E-3</v>
      </c>
      <c r="J761" s="8">
        <f t="shared" si="46"/>
        <v>-7.4637401053103004E-3</v>
      </c>
      <c r="K761" s="8">
        <f t="shared" si="43"/>
        <v>1.0361618166293773E-2</v>
      </c>
    </row>
    <row r="762" spans="1:11" x14ac:dyDescent="0.25">
      <c r="A762" t="str">
        <f t="shared" si="44"/>
        <v>12020</v>
      </c>
      <c r="B762" s="1">
        <v>43861</v>
      </c>
      <c r="C762" t="s">
        <v>489</v>
      </c>
      <c r="D762">
        <v>30950.5</v>
      </c>
      <c r="E762">
        <v>31033.45</v>
      </c>
      <c r="F762">
        <v>30691.8</v>
      </c>
      <c r="G762">
        <v>30833.599999999999</v>
      </c>
      <c r="H762">
        <v>0</v>
      </c>
      <c r="I762" s="8">
        <f t="shared" si="45"/>
        <v>6.075556164633733E-3</v>
      </c>
      <c r="J762" s="8">
        <f t="shared" si="46"/>
        <v>6.0571743887133109E-3</v>
      </c>
      <c r="K762" s="8">
        <f t="shared" si="43"/>
        <v>2.0309498558066963E-2</v>
      </c>
    </row>
    <row r="763" spans="1:11" x14ac:dyDescent="0.25">
      <c r="A763" t="str">
        <f t="shared" si="44"/>
        <v>22020</v>
      </c>
      <c r="B763" s="1">
        <v>43862</v>
      </c>
      <c r="C763" s="10">
        <v>43832.708333333336</v>
      </c>
      <c r="D763">
        <v>30726.2</v>
      </c>
      <c r="E763">
        <v>30918.6</v>
      </c>
      <c r="F763">
        <v>29753</v>
      </c>
      <c r="G763">
        <v>29812.2</v>
      </c>
      <c r="H763">
        <v>0</v>
      </c>
      <c r="I763" s="8">
        <f t="shared" si="45"/>
        <v>-3.312619998962163E-2</v>
      </c>
      <c r="J763" s="8">
        <f t="shared" si="46"/>
        <v>-3.368729875667207E-2</v>
      </c>
      <c r="K763" s="8">
        <f t="shared" si="43"/>
        <v>-2.6050650776227036E-2</v>
      </c>
    </row>
    <row r="764" spans="1:11" x14ac:dyDescent="0.25">
      <c r="A764" t="str">
        <f t="shared" si="44"/>
        <v>22020</v>
      </c>
      <c r="B764" s="1">
        <v>43864</v>
      </c>
      <c r="C764" s="10">
        <v>43892.645833333336</v>
      </c>
      <c r="D764">
        <v>29811.75</v>
      </c>
      <c r="E764">
        <v>30105.8</v>
      </c>
      <c r="F764">
        <v>29612.55</v>
      </c>
      <c r="G764">
        <v>30023.25</v>
      </c>
      <c r="H764">
        <v>0</v>
      </c>
      <c r="I764" s="8">
        <f t="shared" si="45"/>
        <v>7.0793165214240172E-3</v>
      </c>
      <c r="J764" s="8">
        <f t="shared" si="46"/>
        <v>7.0543757998796346E-3</v>
      </c>
      <c r="K764" s="8">
        <f t="shared" si="43"/>
        <v>-1.9909803595124953E-2</v>
      </c>
    </row>
    <row r="765" spans="1:11" x14ac:dyDescent="0.25">
      <c r="A765" t="str">
        <f t="shared" si="44"/>
        <v>22020</v>
      </c>
      <c r="B765" s="1">
        <v>43865</v>
      </c>
      <c r="C765" s="10">
        <v>43923.645833333336</v>
      </c>
      <c r="D765">
        <v>30235.3</v>
      </c>
      <c r="E765">
        <v>30776.95</v>
      </c>
      <c r="F765">
        <v>30182.45</v>
      </c>
      <c r="G765">
        <v>30686.7</v>
      </c>
      <c r="H765">
        <v>0</v>
      </c>
      <c r="I765" s="8">
        <f t="shared" si="45"/>
        <v>2.2097874147535723E-2</v>
      </c>
      <c r="J765" s="8">
        <f t="shared" si="46"/>
        <v>2.1857254463768145E-2</v>
      </c>
      <c r="K765" s="8">
        <f t="shared" si="43"/>
        <v>-2.0390641768620599E-3</v>
      </c>
    </row>
    <row r="766" spans="1:11" x14ac:dyDescent="0.25">
      <c r="A766" t="str">
        <f t="shared" si="44"/>
        <v>22020</v>
      </c>
      <c r="B766" s="1">
        <v>43866</v>
      </c>
      <c r="C766" s="10">
        <v>43953.645833333336</v>
      </c>
      <c r="D766">
        <v>30761.95</v>
      </c>
      <c r="E766">
        <v>31065.85</v>
      </c>
      <c r="F766">
        <v>30630.85</v>
      </c>
      <c r="G766">
        <v>31001.95</v>
      </c>
      <c r="H766">
        <v>0</v>
      </c>
      <c r="I766" s="8">
        <f t="shared" si="45"/>
        <v>1.0273180237692525E-2</v>
      </c>
      <c r="J766" s="8">
        <f t="shared" si="46"/>
        <v>1.022076976413294E-2</v>
      </c>
      <c r="K766" s="8">
        <f t="shared" si="43"/>
        <v>-3.6509076651384254E-3</v>
      </c>
    </row>
    <row r="767" spans="1:11" x14ac:dyDescent="0.25">
      <c r="A767" t="str">
        <f t="shared" si="44"/>
        <v>22020</v>
      </c>
      <c r="B767" s="1">
        <v>43867</v>
      </c>
      <c r="C767" s="10">
        <v>43984.645833333336</v>
      </c>
      <c r="D767">
        <v>31070.75</v>
      </c>
      <c r="E767">
        <v>31470.65</v>
      </c>
      <c r="F767">
        <v>30917.25</v>
      </c>
      <c r="G767">
        <v>31304.05</v>
      </c>
      <c r="H767">
        <v>0</v>
      </c>
      <c r="I767" s="8">
        <f t="shared" si="45"/>
        <v>9.7445483267988298E-3</v>
      </c>
      <c r="J767" s="8">
        <f t="shared" si="46"/>
        <v>9.6973764141773684E-3</v>
      </c>
      <c r="K767" s="8">
        <f t="shared" si="43"/>
        <v>2.4965988956028751E-2</v>
      </c>
    </row>
    <row r="768" spans="1:11" x14ac:dyDescent="0.25">
      <c r="A768" t="str">
        <f t="shared" si="44"/>
        <v>22020</v>
      </c>
      <c r="B768" s="1">
        <v>43868</v>
      </c>
      <c r="C768" s="10">
        <v>44014.645833333336</v>
      </c>
      <c r="D768">
        <v>31367.05</v>
      </c>
      <c r="E768">
        <v>31368.2</v>
      </c>
      <c r="F768">
        <v>31111.05</v>
      </c>
      <c r="G768">
        <v>31201.95</v>
      </c>
      <c r="H768">
        <v>0</v>
      </c>
      <c r="I768" s="8">
        <f t="shared" si="45"/>
        <v>-3.2615588078858115E-3</v>
      </c>
      <c r="J768" s="8">
        <f t="shared" si="46"/>
        <v>-3.2668892844119699E-3</v>
      </c>
      <c r="K768" s="8">
        <f t="shared" ref="K768:K831" si="47">+G768/G707-1</f>
        <v>1.4699210893025949E-2</v>
      </c>
    </row>
    <row r="769" spans="1:11" x14ac:dyDescent="0.25">
      <c r="A769" t="str">
        <f t="shared" si="44"/>
        <v>22020</v>
      </c>
      <c r="B769" s="1">
        <v>43871</v>
      </c>
      <c r="C769" s="10">
        <v>44106.645833333336</v>
      </c>
      <c r="D769">
        <v>31248.65</v>
      </c>
      <c r="E769">
        <v>31248.799999999999</v>
      </c>
      <c r="F769">
        <v>30957.200000000001</v>
      </c>
      <c r="G769">
        <v>31058.15</v>
      </c>
      <c r="H769">
        <v>0</v>
      </c>
      <c r="I769" s="8">
        <f t="shared" si="45"/>
        <v>-4.6086863160795799E-3</v>
      </c>
      <c r="J769" s="8">
        <f t="shared" si="46"/>
        <v>-4.6193390535443912E-3</v>
      </c>
      <c r="K769" s="8">
        <f t="shared" si="47"/>
        <v>1.6044039679570243E-3</v>
      </c>
    </row>
    <row r="770" spans="1:11" x14ac:dyDescent="0.25">
      <c r="A770" t="str">
        <f t="shared" si="44"/>
        <v>22020</v>
      </c>
      <c r="B770" s="1">
        <v>43872</v>
      </c>
      <c r="C770" s="10">
        <v>44137.645833333336</v>
      </c>
      <c r="D770">
        <v>31230.2</v>
      </c>
      <c r="E770">
        <v>31505.95</v>
      </c>
      <c r="F770">
        <v>31225.9</v>
      </c>
      <c r="G770">
        <v>31300.6</v>
      </c>
      <c r="H770">
        <v>0</v>
      </c>
      <c r="I770" s="8">
        <f t="shared" si="45"/>
        <v>7.8063245879100851E-3</v>
      </c>
      <c r="J770" s="8">
        <f t="shared" si="46"/>
        <v>7.77601288260313E-3</v>
      </c>
      <c r="K770" s="8">
        <f t="shared" si="47"/>
        <v>9.9541496058672685E-3</v>
      </c>
    </row>
    <row r="771" spans="1:11" x14ac:dyDescent="0.25">
      <c r="A771" t="str">
        <f t="shared" ref="A771:A834" si="48">+MONTH(B771)&amp;YEAR(B771)</f>
        <v>22020</v>
      </c>
      <c r="B771" s="1">
        <v>43873</v>
      </c>
      <c r="C771" s="10">
        <v>44167.645833333336</v>
      </c>
      <c r="D771">
        <v>31441.15</v>
      </c>
      <c r="E771">
        <v>31588.6</v>
      </c>
      <c r="F771">
        <v>31398.15</v>
      </c>
      <c r="G771">
        <v>31492.9</v>
      </c>
      <c r="H771">
        <v>0</v>
      </c>
      <c r="I771" s="8">
        <f t="shared" si="45"/>
        <v>6.1436521983604386E-3</v>
      </c>
      <c r="J771" s="8">
        <f t="shared" si="46"/>
        <v>6.1248569090567081E-3</v>
      </c>
      <c r="K771" s="8">
        <f t="shared" si="47"/>
        <v>8.2164152226980036E-3</v>
      </c>
    </row>
    <row r="772" spans="1:11" x14ac:dyDescent="0.25">
      <c r="A772" t="str">
        <f t="shared" si="48"/>
        <v>22020</v>
      </c>
      <c r="B772" s="1">
        <v>43874</v>
      </c>
      <c r="C772" t="s">
        <v>490</v>
      </c>
      <c r="D772">
        <v>31586.55</v>
      </c>
      <c r="E772">
        <v>31649.45</v>
      </c>
      <c r="F772">
        <v>31180.6</v>
      </c>
      <c r="G772">
        <v>31230.25</v>
      </c>
      <c r="H772">
        <v>0</v>
      </c>
      <c r="I772" s="8">
        <f t="shared" ref="I772:I835" si="49">+G772/G771-1</f>
        <v>-8.3399750419936858E-3</v>
      </c>
      <c r="J772" s="8">
        <f t="shared" ref="J772:J835" si="50">+LN(1+I772)</f>
        <v>-8.3749472142832758E-3</v>
      </c>
      <c r="K772" s="8">
        <f t="shared" si="47"/>
        <v>-3.9420996145608234E-3</v>
      </c>
    </row>
    <row r="773" spans="1:11" x14ac:dyDescent="0.25">
      <c r="A773" t="str">
        <f t="shared" si="48"/>
        <v>22020</v>
      </c>
      <c r="B773" s="1">
        <v>43875</v>
      </c>
      <c r="C773" t="s">
        <v>491</v>
      </c>
      <c r="D773">
        <v>31281.85</v>
      </c>
      <c r="E773">
        <v>31436.65</v>
      </c>
      <c r="F773">
        <v>30776.1</v>
      </c>
      <c r="G773">
        <v>30834.799999999999</v>
      </c>
      <c r="H773">
        <v>0</v>
      </c>
      <c r="I773" s="8">
        <f t="shared" si="49"/>
        <v>-1.2662402638467518E-2</v>
      </c>
      <c r="J773" s="8">
        <f t="shared" si="50"/>
        <v>-1.2743254099688765E-2</v>
      </c>
      <c r="K773" s="8">
        <f t="shared" si="47"/>
        <v>-1.6432243113625455E-2</v>
      </c>
    </row>
    <row r="774" spans="1:11" x14ac:dyDescent="0.25">
      <c r="A774" t="str">
        <f t="shared" si="48"/>
        <v>22020</v>
      </c>
      <c r="B774" s="1">
        <v>43878</v>
      </c>
      <c r="C774" t="s">
        <v>492</v>
      </c>
      <c r="D774">
        <v>30873.85</v>
      </c>
      <c r="E774">
        <v>30998.15</v>
      </c>
      <c r="F774">
        <v>30630.5</v>
      </c>
      <c r="G774">
        <v>30680.7</v>
      </c>
      <c r="H774">
        <v>0</v>
      </c>
      <c r="I774" s="8">
        <f t="shared" si="49"/>
        <v>-4.9976001141567306E-3</v>
      </c>
      <c r="J774" s="8">
        <f t="shared" si="50"/>
        <v>-5.0101298808818929E-3</v>
      </c>
      <c r="K774" s="8">
        <f t="shared" si="47"/>
        <v>-1.3850139497807779E-2</v>
      </c>
    </row>
    <row r="775" spans="1:11" x14ac:dyDescent="0.25">
      <c r="A775" t="str">
        <f t="shared" si="48"/>
        <v>22020</v>
      </c>
      <c r="B775" s="1">
        <v>43879</v>
      </c>
      <c r="C775" t="s">
        <v>493</v>
      </c>
      <c r="D775">
        <v>30661.5</v>
      </c>
      <c r="E775">
        <v>30692.75</v>
      </c>
      <c r="F775">
        <v>30252.45</v>
      </c>
      <c r="G775">
        <v>30562.5</v>
      </c>
      <c r="H775">
        <v>0</v>
      </c>
      <c r="I775" s="8">
        <f t="shared" si="49"/>
        <v>-3.8525848497590331E-3</v>
      </c>
      <c r="J775" s="8">
        <f t="shared" si="50"/>
        <v>-3.8600251705639011E-3</v>
      </c>
      <c r="K775" s="8">
        <f t="shared" si="47"/>
        <v>-3.1480642288763794E-2</v>
      </c>
    </row>
    <row r="776" spans="1:11" x14ac:dyDescent="0.25">
      <c r="A776" t="str">
        <f t="shared" si="48"/>
        <v>22020</v>
      </c>
      <c r="B776" s="1">
        <v>43880</v>
      </c>
      <c r="C776" t="s">
        <v>494</v>
      </c>
      <c r="D776">
        <v>30905</v>
      </c>
      <c r="E776">
        <v>30947.15</v>
      </c>
      <c r="F776">
        <v>30606.15</v>
      </c>
      <c r="G776">
        <v>30838.2</v>
      </c>
      <c r="H776">
        <v>0</v>
      </c>
      <c r="I776" s="8">
        <f t="shared" si="49"/>
        <v>9.0208588957054747E-3</v>
      </c>
      <c r="J776" s="8">
        <f t="shared" si="50"/>
        <v>8.9804139979358672E-3</v>
      </c>
      <c r="K776" s="8">
        <f t="shared" si="47"/>
        <v>-2.7748921365707835E-2</v>
      </c>
    </row>
    <row r="777" spans="1:11" x14ac:dyDescent="0.25">
      <c r="A777" t="str">
        <f t="shared" si="48"/>
        <v>22020</v>
      </c>
      <c r="B777" s="1">
        <v>43881</v>
      </c>
      <c r="C777" t="s">
        <v>495</v>
      </c>
      <c r="D777">
        <v>30862.3</v>
      </c>
      <c r="E777">
        <v>31085.3</v>
      </c>
      <c r="F777">
        <v>30702.45</v>
      </c>
      <c r="G777">
        <v>30942.85</v>
      </c>
      <c r="H777">
        <v>0</v>
      </c>
      <c r="I777" s="8">
        <f t="shared" si="49"/>
        <v>3.393518428442599E-3</v>
      </c>
      <c r="J777" s="8">
        <f t="shared" si="50"/>
        <v>3.3877734382649996E-3</v>
      </c>
      <c r="K777" s="8">
        <f t="shared" si="47"/>
        <v>-2.9272853044379876E-2</v>
      </c>
    </row>
    <row r="778" spans="1:11" x14ac:dyDescent="0.25">
      <c r="A778" t="str">
        <f t="shared" si="48"/>
        <v>22020</v>
      </c>
      <c r="B778" s="1">
        <v>43885</v>
      </c>
      <c r="C778" t="s">
        <v>496</v>
      </c>
      <c r="D778">
        <v>30666.35</v>
      </c>
      <c r="E778">
        <v>30702.15</v>
      </c>
      <c r="F778">
        <v>30428</v>
      </c>
      <c r="G778">
        <v>30455.1</v>
      </c>
      <c r="H778">
        <v>0</v>
      </c>
      <c r="I778" s="8">
        <f t="shared" si="49"/>
        <v>-1.5762930693197341E-2</v>
      </c>
      <c r="J778" s="8">
        <f t="shared" si="50"/>
        <v>-1.5888486855153032E-2</v>
      </c>
      <c r="K778" s="8">
        <f t="shared" si="47"/>
        <v>-5.1920822963021807E-2</v>
      </c>
    </row>
    <row r="779" spans="1:11" x14ac:dyDescent="0.25">
      <c r="A779" t="str">
        <f t="shared" si="48"/>
        <v>22020</v>
      </c>
      <c r="B779" s="1">
        <v>43886</v>
      </c>
      <c r="C779" t="s">
        <v>497</v>
      </c>
      <c r="D779">
        <v>30517</v>
      </c>
      <c r="E779">
        <v>30610.7</v>
      </c>
      <c r="F779">
        <v>30329.95</v>
      </c>
      <c r="G779">
        <v>30432.7</v>
      </c>
      <c r="H779">
        <v>0</v>
      </c>
      <c r="I779" s="8">
        <f t="shared" si="49"/>
        <v>-7.3550899520924418E-4</v>
      </c>
      <c r="J779" s="8">
        <f t="shared" si="50"/>
        <v>-7.3577961465375453E-4</v>
      </c>
      <c r="K779" s="8">
        <f t="shared" si="47"/>
        <v>-4.737354481454692E-2</v>
      </c>
    </row>
    <row r="780" spans="1:11" x14ac:dyDescent="0.25">
      <c r="A780" t="str">
        <f t="shared" si="48"/>
        <v>22020</v>
      </c>
      <c r="B780" s="1">
        <v>43887</v>
      </c>
      <c r="C780" t="s">
        <v>498</v>
      </c>
      <c r="D780">
        <v>30279.95</v>
      </c>
      <c r="E780">
        <v>30515.35</v>
      </c>
      <c r="F780">
        <v>30131.75</v>
      </c>
      <c r="G780">
        <v>30306.85</v>
      </c>
      <c r="H780">
        <v>0</v>
      </c>
      <c r="I780" s="8">
        <f t="shared" si="49"/>
        <v>-4.1353544049658186E-3</v>
      </c>
      <c r="J780" s="8">
        <f t="shared" si="50"/>
        <v>-4.1439286294619251E-3</v>
      </c>
      <c r="K780" s="8">
        <f t="shared" si="47"/>
        <v>-4.8840271097713495E-2</v>
      </c>
    </row>
    <row r="781" spans="1:11" x14ac:dyDescent="0.25">
      <c r="A781" t="str">
        <f t="shared" si="48"/>
        <v>22020</v>
      </c>
      <c r="B781" s="1">
        <v>43888</v>
      </c>
      <c r="C781" t="s">
        <v>499</v>
      </c>
      <c r="D781">
        <v>30270</v>
      </c>
      <c r="E781">
        <v>30271.95</v>
      </c>
      <c r="F781">
        <v>29914.15</v>
      </c>
      <c r="G781">
        <v>30187</v>
      </c>
      <c r="H781">
        <v>0</v>
      </c>
      <c r="I781" s="8">
        <f t="shared" si="49"/>
        <v>-3.9545515287797706E-3</v>
      </c>
      <c r="J781" s="8">
        <f t="shared" si="50"/>
        <v>-3.9623914433999765E-3</v>
      </c>
      <c r="K781" s="8">
        <f t="shared" si="47"/>
        <v>-4.5118597048398823E-2</v>
      </c>
    </row>
    <row r="782" spans="1:11" x14ac:dyDescent="0.25">
      <c r="A782" t="str">
        <f t="shared" si="48"/>
        <v>22020</v>
      </c>
      <c r="B782" s="1">
        <v>43889</v>
      </c>
      <c r="C782" t="s">
        <v>500</v>
      </c>
      <c r="D782">
        <v>29501.55</v>
      </c>
      <c r="E782">
        <v>29564.1</v>
      </c>
      <c r="F782">
        <v>29051.5</v>
      </c>
      <c r="G782">
        <v>29147.15</v>
      </c>
      <c r="H782">
        <v>0</v>
      </c>
      <c r="I782" s="8">
        <f t="shared" si="49"/>
        <v>-3.4446947361446933E-2</v>
      </c>
      <c r="J782" s="8">
        <f t="shared" si="50"/>
        <v>-3.5054230266308675E-2</v>
      </c>
      <c r="K782" s="8">
        <f t="shared" si="47"/>
        <v>-8.8561976028243228E-2</v>
      </c>
    </row>
    <row r="783" spans="1:11" x14ac:dyDescent="0.25">
      <c r="A783" t="str">
        <f t="shared" si="48"/>
        <v>32020</v>
      </c>
      <c r="B783" s="1">
        <v>43892</v>
      </c>
      <c r="C783" s="10">
        <v>43864.645833333336</v>
      </c>
      <c r="D783">
        <v>29701</v>
      </c>
      <c r="E783">
        <v>29791.15</v>
      </c>
      <c r="F783">
        <v>28571.7</v>
      </c>
      <c r="G783">
        <v>28868.400000000001</v>
      </c>
      <c r="H783">
        <v>0</v>
      </c>
      <c r="I783" s="8">
        <f t="shared" si="49"/>
        <v>-9.5635422331171727E-3</v>
      </c>
      <c r="J783" s="8">
        <f t="shared" si="50"/>
        <v>-9.6095665753584466E-3</v>
      </c>
      <c r="K783" s="8">
        <f t="shared" si="47"/>
        <v>-8.9696795788471229E-2</v>
      </c>
    </row>
    <row r="784" spans="1:11" x14ac:dyDescent="0.25">
      <c r="A784" t="str">
        <f t="shared" si="48"/>
        <v>32020</v>
      </c>
      <c r="B784" s="1">
        <v>43893</v>
      </c>
      <c r="C784" s="10">
        <v>43893.645833333336</v>
      </c>
      <c r="D784">
        <v>29012.55</v>
      </c>
      <c r="E784">
        <v>29285.35</v>
      </c>
      <c r="F784">
        <v>28749.55</v>
      </c>
      <c r="G784">
        <v>29177.05</v>
      </c>
      <c r="H784">
        <v>0</v>
      </c>
      <c r="I784" s="8">
        <f t="shared" si="49"/>
        <v>1.0691621288329012E-2</v>
      </c>
      <c r="J784" s="8">
        <f t="shared" si="50"/>
        <v>1.0634870055538325E-2</v>
      </c>
      <c r="K784" s="8">
        <f t="shared" si="47"/>
        <v>-6.9061676911320591E-2</v>
      </c>
    </row>
    <row r="785" spans="1:11" x14ac:dyDescent="0.25">
      <c r="A785" t="str">
        <f t="shared" si="48"/>
        <v>32020</v>
      </c>
      <c r="B785" s="1">
        <v>43894</v>
      </c>
      <c r="C785" s="10">
        <v>43924.645833333336</v>
      </c>
      <c r="D785">
        <v>29252.95</v>
      </c>
      <c r="E785">
        <v>29273.65</v>
      </c>
      <c r="F785">
        <v>28125.15</v>
      </c>
      <c r="G785">
        <v>28653.7</v>
      </c>
      <c r="H785">
        <v>0</v>
      </c>
      <c r="I785" s="8">
        <f t="shared" si="49"/>
        <v>-1.7937042984126128E-2</v>
      </c>
      <c r="J785" s="8">
        <f t="shared" si="50"/>
        <v>-1.8099861668566218E-2</v>
      </c>
      <c r="K785" s="8">
        <f t="shared" si="47"/>
        <v>-8.5033041529026909E-2</v>
      </c>
    </row>
    <row r="786" spans="1:11" x14ac:dyDescent="0.25">
      <c r="A786" t="str">
        <f t="shared" si="48"/>
        <v>32020</v>
      </c>
      <c r="B786" s="1">
        <v>43895</v>
      </c>
      <c r="C786" s="10">
        <v>43954.645833333336</v>
      </c>
      <c r="D786">
        <v>28830.3</v>
      </c>
      <c r="E786">
        <v>29134.3</v>
      </c>
      <c r="F786">
        <v>28535.599999999999</v>
      </c>
      <c r="G786">
        <v>28815.35</v>
      </c>
      <c r="H786">
        <v>0</v>
      </c>
      <c r="I786" s="8">
        <f t="shared" si="49"/>
        <v>5.6415052855303127E-3</v>
      </c>
      <c r="J786" s="8">
        <f t="shared" si="50"/>
        <v>5.6256515924350062E-3</v>
      </c>
      <c r="K786" s="8">
        <f t="shared" si="47"/>
        <v>-7.5255894109020005E-2</v>
      </c>
    </row>
    <row r="787" spans="1:11" x14ac:dyDescent="0.25">
      <c r="A787" t="str">
        <f t="shared" si="48"/>
        <v>32020</v>
      </c>
      <c r="B787" s="1">
        <v>43896</v>
      </c>
      <c r="C787" s="10">
        <v>43985.645833333336</v>
      </c>
      <c r="D787">
        <v>27649.95</v>
      </c>
      <c r="E787">
        <v>28047.200000000001</v>
      </c>
      <c r="F787">
        <v>27162.3</v>
      </c>
      <c r="G787">
        <v>27801.45</v>
      </c>
      <c r="H787">
        <v>0</v>
      </c>
      <c r="I787" s="8">
        <f t="shared" si="49"/>
        <v>-3.5186107404560296E-2</v>
      </c>
      <c r="J787" s="8">
        <f t="shared" si="50"/>
        <v>-3.5820053656585714E-2</v>
      </c>
      <c r="K787" s="8">
        <f t="shared" si="47"/>
        <v>-0.11054572212402114</v>
      </c>
    </row>
    <row r="788" spans="1:11" x14ac:dyDescent="0.25">
      <c r="A788" t="str">
        <f t="shared" si="48"/>
        <v>32020</v>
      </c>
      <c r="B788" s="1">
        <v>43899</v>
      </c>
      <c r="C788" s="10">
        <v>44077.645833333336</v>
      </c>
      <c r="D788">
        <v>27031.45</v>
      </c>
      <c r="E788">
        <v>27091.599999999999</v>
      </c>
      <c r="F788">
        <v>25923.4</v>
      </c>
      <c r="G788">
        <v>26462.6</v>
      </c>
      <c r="H788">
        <v>0</v>
      </c>
      <c r="I788" s="8">
        <f t="shared" si="49"/>
        <v>-4.815756012725958E-2</v>
      </c>
      <c r="J788" s="8">
        <f t="shared" si="50"/>
        <v>-4.9355762223482286E-2</v>
      </c>
      <c r="K788" s="8">
        <f t="shared" si="47"/>
        <v>-0.16430683915750455</v>
      </c>
    </row>
    <row r="789" spans="1:11" x14ac:dyDescent="0.25">
      <c r="A789" t="str">
        <f t="shared" si="48"/>
        <v>32020</v>
      </c>
      <c r="B789" s="1">
        <v>43901</v>
      </c>
      <c r="C789" s="10">
        <v>44138.645833333336</v>
      </c>
      <c r="D789">
        <v>26272.75</v>
      </c>
      <c r="E789">
        <v>26791.45</v>
      </c>
      <c r="F789">
        <v>26234.1</v>
      </c>
      <c r="G789">
        <v>26487.8</v>
      </c>
      <c r="H789">
        <v>0</v>
      </c>
      <c r="I789" s="8">
        <f t="shared" si="49"/>
        <v>9.5228737916919215E-4</v>
      </c>
      <c r="J789" s="8">
        <f t="shared" si="50"/>
        <v>9.518342411984922E-4</v>
      </c>
      <c r="K789" s="8">
        <f t="shared" si="47"/>
        <v>-0.17262469056748164</v>
      </c>
    </row>
    <row r="790" spans="1:11" x14ac:dyDescent="0.25">
      <c r="A790" t="str">
        <f t="shared" si="48"/>
        <v>32020</v>
      </c>
      <c r="B790" s="1">
        <v>43902</v>
      </c>
      <c r="C790" s="10">
        <v>44168.645833333336</v>
      </c>
      <c r="D790">
        <v>25175.9</v>
      </c>
      <c r="E790">
        <v>25223.1</v>
      </c>
      <c r="F790">
        <v>23536.35</v>
      </c>
      <c r="G790">
        <v>23971.15</v>
      </c>
      <c r="H790">
        <v>0</v>
      </c>
      <c r="I790" s="8">
        <f t="shared" si="49"/>
        <v>-9.5011665748004681E-2</v>
      </c>
      <c r="J790" s="8">
        <f t="shared" si="50"/>
        <v>-9.9833225694578878E-2</v>
      </c>
      <c r="K790" s="8">
        <f t="shared" si="47"/>
        <v>-0.25029711454860482</v>
      </c>
    </row>
    <row r="791" spans="1:11" x14ac:dyDescent="0.25">
      <c r="A791" t="str">
        <f t="shared" si="48"/>
        <v>32020</v>
      </c>
      <c r="B791" s="1">
        <v>43903</v>
      </c>
      <c r="C791" t="s">
        <v>501</v>
      </c>
      <c r="D791">
        <v>22720.75</v>
      </c>
      <c r="E791">
        <v>25670.75</v>
      </c>
      <c r="F791">
        <v>21351.7</v>
      </c>
      <c r="G791">
        <v>25166.45</v>
      </c>
      <c r="H791">
        <v>0</v>
      </c>
      <c r="I791" s="8">
        <f t="shared" si="49"/>
        <v>4.9864107479199005E-2</v>
      </c>
      <c r="J791" s="8">
        <f t="shared" si="50"/>
        <v>4.8660734345371784E-2</v>
      </c>
      <c r="K791" s="8">
        <f t="shared" si="47"/>
        <v>-0.2169802661771455</v>
      </c>
    </row>
    <row r="792" spans="1:11" x14ac:dyDescent="0.25">
      <c r="A792" t="str">
        <f t="shared" si="48"/>
        <v>32020</v>
      </c>
      <c r="B792" s="1">
        <v>43906</v>
      </c>
      <c r="C792" t="s">
        <v>502</v>
      </c>
      <c r="D792">
        <v>24061.599999999999</v>
      </c>
      <c r="E792">
        <v>24074.15</v>
      </c>
      <c r="F792">
        <v>23008.25</v>
      </c>
      <c r="G792">
        <v>23101.15</v>
      </c>
      <c r="H792">
        <v>0</v>
      </c>
      <c r="I792" s="8">
        <f t="shared" si="49"/>
        <v>-8.2065607187346568E-2</v>
      </c>
      <c r="J792" s="8">
        <f t="shared" si="50"/>
        <v>-8.5629358439914455E-2</v>
      </c>
      <c r="K792" s="8">
        <f t="shared" si="47"/>
        <v>-0.28355753351372726</v>
      </c>
    </row>
    <row r="793" spans="1:11" x14ac:dyDescent="0.25">
      <c r="A793" t="str">
        <f t="shared" si="48"/>
        <v>32020</v>
      </c>
      <c r="B793" s="1">
        <v>43907</v>
      </c>
      <c r="C793" t="s">
        <v>503</v>
      </c>
      <c r="D793">
        <v>23348.05</v>
      </c>
      <c r="E793">
        <v>23449.5</v>
      </c>
      <c r="F793">
        <v>22002</v>
      </c>
      <c r="G793">
        <v>22155.15</v>
      </c>
      <c r="H793">
        <v>0</v>
      </c>
      <c r="I793" s="8">
        <f t="shared" si="49"/>
        <v>-4.0950342298976428E-2</v>
      </c>
      <c r="J793" s="8">
        <f t="shared" si="50"/>
        <v>-4.181242472913424E-2</v>
      </c>
      <c r="K793" s="8">
        <f t="shared" si="47"/>
        <v>-0.31283642640141807</v>
      </c>
    </row>
    <row r="794" spans="1:11" x14ac:dyDescent="0.25">
      <c r="A794" t="str">
        <f t="shared" si="48"/>
        <v>32020</v>
      </c>
      <c r="B794" s="1">
        <v>43908</v>
      </c>
      <c r="C794" t="s">
        <v>504</v>
      </c>
      <c r="D794">
        <v>22411.85</v>
      </c>
      <c r="E794">
        <v>22544.05</v>
      </c>
      <c r="F794">
        <v>20267.95</v>
      </c>
      <c r="G794">
        <v>20580.2</v>
      </c>
      <c r="H794">
        <v>0</v>
      </c>
      <c r="I794" s="8">
        <f t="shared" si="49"/>
        <v>-7.1087309271207877E-2</v>
      </c>
      <c r="J794" s="8">
        <f t="shared" si="50"/>
        <v>-7.3740526577571505E-2</v>
      </c>
      <c r="K794" s="8">
        <f t="shared" si="47"/>
        <v>-0.36451345455219164</v>
      </c>
    </row>
    <row r="795" spans="1:11" x14ac:dyDescent="0.25">
      <c r="A795" t="str">
        <f t="shared" si="48"/>
        <v>32020</v>
      </c>
      <c r="B795" s="1">
        <v>43909</v>
      </c>
      <c r="C795" t="s">
        <v>505</v>
      </c>
      <c r="D795">
        <v>19428.95</v>
      </c>
      <c r="E795">
        <v>21035.05</v>
      </c>
      <c r="F795">
        <v>18675.650000000001</v>
      </c>
      <c r="G795">
        <v>20083.5</v>
      </c>
      <c r="H795">
        <v>0</v>
      </c>
      <c r="I795" s="8">
        <f t="shared" si="49"/>
        <v>-2.4134848057842051E-2</v>
      </c>
      <c r="J795" s="8">
        <f t="shared" si="50"/>
        <v>-2.4430866108259008E-2</v>
      </c>
      <c r="K795" s="8">
        <f t="shared" si="47"/>
        <v>-0.37897830668115884</v>
      </c>
    </row>
    <row r="796" spans="1:11" x14ac:dyDescent="0.25">
      <c r="A796" t="str">
        <f t="shared" si="48"/>
        <v>32020</v>
      </c>
      <c r="B796" s="1">
        <v>43910</v>
      </c>
      <c r="C796" t="s">
        <v>506</v>
      </c>
      <c r="D796">
        <v>19898.3</v>
      </c>
      <c r="E796">
        <v>20924.55</v>
      </c>
      <c r="F796">
        <v>19265</v>
      </c>
      <c r="G796">
        <v>20317.599999999999</v>
      </c>
      <c r="H796">
        <v>0</v>
      </c>
      <c r="I796" s="8">
        <f t="shared" si="49"/>
        <v>1.1656334802200741E-2</v>
      </c>
      <c r="J796" s="8">
        <f t="shared" si="50"/>
        <v>1.1588923075090459E-2</v>
      </c>
      <c r="K796" s="8">
        <f t="shared" si="47"/>
        <v>-0.37059702764031199</v>
      </c>
    </row>
    <row r="797" spans="1:11" x14ac:dyDescent="0.25">
      <c r="A797" t="str">
        <f t="shared" si="48"/>
        <v>32020</v>
      </c>
      <c r="B797" s="1">
        <v>43913</v>
      </c>
      <c r="C797" t="s">
        <v>507</v>
      </c>
      <c r="D797">
        <v>18311.3</v>
      </c>
      <c r="E797">
        <v>18895.650000000001</v>
      </c>
      <c r="F797">
        <v>16791.05</v>
      </c>
      <c r="G797">
        <v>16917.650000000001</v>
      </c>
      <c r="H797">
        <v>0</v>
      </c>
      <c r="I797" s="8">
        <f t="shared" si="49"/>
        <v>-0.16734013859904695</v>
      </c>
      <c r="J797" s="8">
        <f t="shared" si="50"/>
        <v>-0.18313004985526379</v>
      </c>
      <c r="K797" s="8">
        <f t="shared" si="47"/>
        <v>-0.4712854361407226</v>
      </c>
    </row>
    <row r="798" spans="1:11" x14ac:dyDescent="0.25">
      <c r="A798" t="str">
        <f t="shared" si="48"/>
        <v>32020</v>
      </c>
      <c r="B798" s="1">
        <v>43914</v>
      </c>
      <c r="C798" t="s">
        <v>508</v>
      </c>
      <c r="D798">
        <v>17705.849999999999</v>
      </c>
      <c r="E798">
        <v>17841.400000000001</v>
      </c>
      <c r="F798">
        <v>16116.25</v>
      </c>
      <c r="G798">
        <v>17107.3</v>
      </c>
      <c r="H798">
        <v>0</v>
      </c>
      <c r="I798" s="8">
        <f t="shared" si="49"/>
        <v>1.1210185811859175E-2</v>
      </c>
      <c r="J798" s="8">
        <f t="shared" si="50"/>
        <v>1.1147817354046416E-2</v>
      </c>
      <c r="K798" s="8">
        <f t="shared" si="47"/>
        <v>-0.47219809733018436</v>
      </c>
    </row>
    <row r="799" spans="1:11" x14ac:dyDescent="0.25">
      <c r="A799" t="str">
        <f t="shared" si="48"/>
        <v>32020</v>
      </c>
      <c r="B799" s="1">
        <v>43915</v>
      </c>
      <c r="C799" t="s">
        <v>509</v>
      </c>
      <c r="D799">
        <v>16759.95</v>
      </c>
      <c r="E799">
        <v>18740.2</v>
      </c>
      <c r="F799">
        <v>16635.5</v>
      </c>
      <c r="G799">
        <v>18481.05</v>
      </c>
      <c r="H799">
        <v>0</v>
      </c>
      <c r="I799" s="8">
        <f t="shared" si="49"/>
        <v>8.0301976349277826E-2</v>
      </c>
      <c r="J799" s="8">
        <f t="shared" si="50"/>
        <v>7.7240609783984657E-2</v>
      </c>
      <c r="K799" s="8">
        <f t="shared" si="47"/>
        <v>-0.42880212888928726</v>
      </c>
    </row>
    <row r="800" spans="1:11" x14ac:dyDescent="0.25">
      <c r="A800" t="str">
        <f t="shared" si="48"/>
        <v>32020</v>
      </c>
      <c r="B800" s="1">
        <v>43916</v>
      </c>
      <c r="C800" t="s">
        <v>510</v>
      </c>
      <c r="D800">
        <v>18781.849999999999</v>
      </c>
      <c r="E800">
        <v>20409.349999999999</v>
      </c>
      <c r="F800">
        <v>18364.5</v>
      </c>
      <c r="G800">
        <v>19613.900000000001</v>
      </c>
      <c r="H800">
        <v>0</v>
      </c>
      <c r="I800" s="8">
        <f t="shared" si="49"/>
        <v>6.1297924089811051E-2</v>
      </c>
      <c r="J800" s="8">
        <f t="shared" si="50"/>
        <v>5.9492615776764603E-2</v>
      </c>
      <c r="K800" s="8">
        <f t="shared" si="47"/>
        <v>-0.3901463388849763</v>
      </c>
    </row>
    <row r="801" spans="1:11" x14ac:dyDescent="0.25">
      <c r="A801" t="str">
        <f t="shared" si="48"/>
        <v>32020</v>
      </c>
      <c r="B801" s="1">
        <v>43917</v>
      </c>
      <c r="C801" t="s">
        <v>511</v>
      </c>
      <c r="D801">
        <v>20801.599999999999</v>
      </c>
      <c r="E801">
        <v>21462.400000000001</v>
      </c>
      <c r="F801">
        <v>19580.099999999999</v>
      </c>
      <c r="G801">
        <v>19969</v>
      </c>
      <c r="H801">
        <v>0</v>
      </c>
      <c r="I801" s="8">
        <f t="shared" si="49"/>
        <v>1.8104507517627821E-2</v>
      </c>
      <c r="J801" s="8">
        <f t="shared" si="50"/>
        <v>1.7942572503225548E-2</v>
      </c>
      <c r="K801" s="8">
        <f t="shared" si="47"/>
        <v>-0.37796896853555284</v>
      </c>
    </row>
    <row r="802" spans="1:11" x14ac:dyDescent="0.25">
      <c r="A802" t="str">
        <f t="shared" si="48"/>
        <v>32020</v>
      </c>
      <c r="B802" s="1">
        <v>43920</v>
      </c>
      <c r="C802" t="s">
        <v>512</v>
      </c>
      <c r="D802">
        <v>19254.45</v>
      </c>
      <c r="E802">
        <v>19716.25</v>
      </c>
      <c r="F802">
        <v>18668.7</v>
      </c>
      <c r="G802">
        <v>18782.400000000001</v>
      </c>
      <c r="H802">
        <v>0</v>
      </c>
      <c r="I802" s="8">
        <f t="shared" si="49"/>
        <v>-5.9422104261605435E-2</v>
      </c>
      <c r="J802" s="8">
        <f t="shared" si="50"/>
        <v>-6.1260809919133817E-2</v>
      </c>
      <c r="K802" s="8">
        <f t="shared" si="47"/>
        <v>-0.42107980403065592</v>
      </c>
    </row>
    <row r="803" spans="1:11" x14ac:dyDescent="0.25">
      <c r="A803" t="str">
        <f t="shared" si="48"/>
        <v>32020</v>
      </c>
      <c r="B803" s="1">
        <v>43921</v>
      </c>
      <c r="C803" t="s">
        <v>513</v>
      </c>
      <c r="D803">
        <v>19307.650000000001</v>
      </c>
      <c r="E803">
        <v>19466.3</v>
      </c>
      <c r="F803">
        <v>18792.400000000001</v>
      </c>
      <c r="G803">
        <v>19144</v>
      </c>
      <c r="H803">
        <v>0</v>
      </c>
      <c r="I803" s="8">
        <f t="shared" si="49"/>
        <v>1.9252065763693649E-2</v>
      </c>
      <c r="J803" s="8">
        <f t="shared" si="50"/>
        <v>1.906908946395152E-2</v>
      </c>
      <c r="K803" s="8">
        <f t="shared" si="47"/>
        <v>-0.40304185473623488</v>
      </c>
    </row>
    <row r="804" spans="1:11" x14ac:dyDescent="0.25">
      <c r="A804" t="str">
        <f t="shared" si="48"/>
        <v>42020</v>
      </c>
      <c r="B804" s="1">
        <v>43922</v>
      </c>
      <c r="C804" s="10">
        <v>43834.645833333336</v>
      </c>
      <c r="D804">
        <v>19122.400000000001</v>
      </c>
      <c r="E804">
        <v>19154.75</v>
      </c>
      <c r="F804">
        <v>18042.25</v>
      </c>
      <c r="G804">
        <v>18208.349999999999</v>
      </c>
      <c r="H804">
        <v>0</v>
      </c>
      <c r="I804" s="8">
        <f t="shared" si="49"/>
        <v>-4.8874320936063587E-2</v>
      </c>
      <c r="J804" s="8">
        <f t="shared" si="50"/>
        <v>-5.0109070527038876E-2</v>
      </c>
      <c r="K804" s="8">
        <f t="shared" si="47"/>
        <v>-0.4170931086862919</v>
      </c>
    </row>
    <row r="805" spans="1:11" x14ac:dyDescent="0.25">
      <c r="A805" t="str">
        <f t="shared" si="48"/>
        <v>42020</v>
      </c>
      <c r="B805" s="1">
        <v>43924</v>
      </c>
      <c r="C805" s="10">
        <v>43894.645833333336</v>
      </c>
      <c r="D805">
        <v>18325.05</v>
      </c>
      <c r="E805">
        <v>18326.099999999999</v>
      </c>
      <c r="F805">
        <v>17143.2</v>
      </c>
      <c r="G805">
        <v>17249.3</v>
      </c>
      <c r="H805">
        <v>0</v>
      </c>
      <c r="I805" s="8">
        <f t="shared" si="49"/>
        <v>-5.2670890003762016E-2</v>
      </c>
      <c r="J805" s="8">
        <f t="shared" si="50"/>
        <v>-5.4108717135188278E-2</v>
      </c>
      <c r="K805" s="8">
        <f t="shared" si="47"/>
        <v>-0.45064873851092702</v>
      </c>
    </row>
    <row r="806" spans="1:11" x14ac:dyDescent="0.25">
      <c r="A806" t="str">
        <f t="shared" si="48"/>
        <v>42020</v>
      </c>
      <c r="B806" s="1">
        <v>43928</v>
      </c>
      <c r="C806" s="10">
        <v>44016.645833333336</v>
      </c>
      <c r="D806">
        <v>18454.55</v>
      </c>
      <c r="E806">
        <v>19190.55</v>
      </c>
      <c r="F806">
        <v>17953.75</v>
      </c>
      <c r="G806">
        <v>19062.5</v>
      </c>
      <c r="H806">
        <v>0</v>
      </c>
      <c r="I806" s="8">
        <f t="shared" si="49"/>
        <v>0.10511730910819583</v>
      </c>
      <c r="J806" s="8">
        <f t="shared" si="50"/>
        <v>9.9951491423785385E-2</v>
      </c>
      <c r="K806" s="8">
        <f t="shared" si="47"/>
        <v>-0.39240413531737628</v>
      </c>
    </row>
    <row r="807" spans="1:11" x14ac:dyDescent="0.25">
      <c r="A807" t="str">
        <f t="shared" si="48"/>
        <v>42020</v>
      </c>
      <c r="B807" s="1">
        <v>43929</v>
      </c>
      <c r="C807" s="10">
        <v>44047.645833333336</v>
      </c>
      <c r="D807">
        <v>18799.400000000001</v>
      </c>
      <c r="E807">
        <v>20324.099999999999</v>
      </c>
      <c r="F807">
        <v>18482.900000000001</v>
      </c>
      <c r="G807">
        <v>18946.45</v>
      </c>
      <c r="H807">
        <v>0</v>
      </c>
      <c r="I807" s="8">
        <f t="shared" si="49"/>
        <v>-6.0878688524589331E-3</v>
      </c>
      <c r="J807" s="8">
        <f t="shared" si="50"/>
        <v>-6.1064754809534265E-3</v>
      </c>
      <c r="K807" s="8">
        <f t="shared" si="47"/>
        <v>-0.40962813625655914</v>
      </c>
    </row>
    <row r="808" spans="1:11" x14ac:dyDescent="0.25">
      <c r="A808" t="str">
        <f t="shared" si="48"/>
        <v>42020</v>
      </c>
      <c r="B808" s="1">
        <v>43930</v>
      </c>
      <c r="C808" s="10">
        <v>44078.645833333336</v>
      </c>
      <c r="D808">
        <v>19553.150000000001</v>
      </c>
      <c r="E808">
        <v>19988.3</v>
      </c>
      <c r="F808">
        <v>19166.900000000001</v>
      </c>
      <c r="G808">
        <v>19913.599999999999</v>
      </c>
      <c r="H808">
        <v>0</v>
      </c>
      <c r="I808" s="8">
        <f t="shared" si="49"/>
        <v>5.104650211517181E-2</v>
      </c>
      <c r="J808" s="8">
        <f t="shared" si="50"/>
        <v>4.9786336506084668E-2</v>
      </c>
      <c r="K808" s="8">
        <f t="shared" si="47"/>
        <v>-0.37958837787484356</v>
      </c>
    </row>
    <row r="809" spans="1:11" x14ac:dyDescent="0.25">
      <c r="A809" t="str">
        <f t="shared" si="48"/>
        <v>42020</v>
      </c>
      <c r="B809" s="1">
        <v>43934</v>
      </c>
      <c r="C809" t="s">
        <v>514</v>
      </c>
      <c r="D809">
        <v>19854.900000000001</v>
      </c>
      <c r="E809">
        <v>19887.05</v>
      </c>
      <c r="F809">
        <v>19294</v>
      </c>
      <c r="G809">
        <v>19488</v>
      </c>
      <c r="H809">
        <v>0</v>
      </c>
      <c r="I809" s="8">
        <f t="shared" si="49"/>
        <v>-2.1372328458942547E-2</v>
      </c>
      <c r="J809" s="8">
        <f t="shared" si="50"/>
        <v>-2.1604023865275088E-2</v>
      </c>
      <c r="K809" s="8">
        <f t="shared" si="47"/>
        <v>-0.39436223589976271</v>
      </c>
    </row>
    <row r="810" spans="1:11" x14ac:dyDescent="0.25">
      <c r="A810" t="str">
        <f t="shared" si="48"/>
        <v>42020</v>
      </c>
      <c r="B810" s="1">
        <v>43936</v>
      </c>
      <c r="C810" t="s">
        <v>515</v>
      </c>
      <c r="D810">
        <v>20096.349999999999</v>
      </c>
      <c r="E810">
        <v>20184.099999999999</v>
      </c>
      <c r="F810">
        <v>18776.75</v>
      </c>
      <c r="G810">
        <v>19057.05</v>
      </c>
      <c r="H810">
        <v>0</v>
      </c>
      <c r="I810" s="8">
        <f t="shared" si="49"/>
        <v>-2.2113608374384253E-2</v>
      </c>
      <c r="J810" s="8">
        <f t="shared" si="50"/>
        <v>-2.2361779676865614E-2</v>
      </c>
      <c r="K810" s="8">
        <f t="shared" si="47"/>
        <v>-0.40579764371337312</v>
      </c>
    </row>
    <row r="811" spans="1:11" x14ac:dyDescent="0.25">
      <c r="A811" t="str">
        <f t="shared" si="48"/>
        <v>42020</v>
      </c>
      <c r="B811" s="1">
        <v>43937</v>
      </c>
      <c r="C811" t="s">
        <v>516</v>
      </c>
      <c r="D811">
        <v>18957.150000000001</v>
      </c>
      <c r="E811">
        <v>19520.3</v>
      </c>
      <c r="F811">
        <v>18703.45</v>
      </c>
      <c r="G811">
        <v>19400</v>
      </c>
      <c r="H811">
        <v>0</v>
      </c>
      <c r="I811" s="8">
        <f t="shared" si="49"/>
        <v>1.7995964747954174E-2</v>
      </c>
      <c r="J811" s="8">
        <f t="shared" si="50"/>
        <v>1.7835954218661531E-2</v>
      </c>
      <c r="K811" s="8">
        <f t="shared" si="47"/>
        <v>-0.39041442392591963</v>
      </c>
    </row>
    <row r="812" spans="1:11" x14ac:dyDescent="0.25">
      <c r="A812" t="str">
        <f t="shared" si="48"/>
        <v>42020</v>
      </c>
      <c r="B812" s="1">
        <v>43938</v>
      </c>
      <c r="C812" t="s">
        <v>517</v>
      </c>
      <c r="D812">
        <v>20394.75</v>
      </c>
      <c r="E812">
        <v>20866.55</v>
      </c>
      <c r="F812">
        <v>19729.3</v>
      </c>
      <c r="G812">
        <v>20681.45</v>
      </c>
      <c r="H812">
        <v>0</v>
      </c>
      <c r="I812" s="8">
        <f t="shared" si="49"/>
        <v>6.605412371134034E-2</v>
      </c>
      <c r="J812" s="8">
        <f t="shared" si="50"/>
        <v>6.3964097167089035E-2</v>
      </c>
      <c r="K812" s="8">
        <f t="shared" si="47"/>
        <v>-0.35074041169213188</v>
      </c>
    </row>
    <row r="813" spans="1:11" x14ac:dyDescent="0.25">
      <c r="A813" t="str">
        <f t="shared" si="48"/>
        <v>42020</v>
      </c>
      <c r="B813" s="1">
        <v>43941</v>
      </c>
      <c r="C813" t="s">
        <v>518</v>
      </c>
      <c r="D813">
        <v>21104.7</v>
      </c>
      <c r="E813">
        <v>21122.1</v>
      </c>
      <c r="F813">
        <v>20444.25</v>
      </c>
      <c r="G813">
        <v>20522.650000000001</v>
      </c>
      <c r="H813">
        <v>0</v>
      </c>
      <c r="I813" s="8">
        <f t="shared" si="49"/>
        <v>-7.6783784502536534E-3</v>
      </c>
      <c r="J813" s="8">
        <f t="shared" si="50"/>
        <v>-7.7080089717565525E-3</v>
      </c>
      <c r="K813" s="8">
        <f t="shared" si="47"/>
        <v>-0.35035683026465103</v>
      </c>
    </row>
    <row r="814" spans="1:11" x14ac:dyDescent="0.25">
      <c r="A814" t="str">
        <f t="shared" si="48"/>
        <v>42020</v>
      </c>
      <c r="B814" s="1">
        <v>43942</v>
      </c>
      <c r="C814" t="s">
        <v>519</v>
      </c>
      <c r="D814">
        <v>19812.05</v>
      </c>
      <c r="E814">
        <v>19891.45</v>
      </c>
      <c r="F814">
        <v>19247.95</v>
      </c>
      <c r="G814">
        <v>19409.349999999999</v>
      </c>
      <c r="H814">
        <v>0</v>
      </c>
      <c r="I814" s="8">
        <f t="shared" si="49"/>
        <v>-5.4247380333436568E-2</v>
      </c>
      <c r="J814" s="8">
        <f t="shared" si="50"/>
        <v>-5.577424553726669E-2</v>
      </c>
      <c r="K814" s="8">
        <f t="shared" si="47"/>
        <v>-0.37551659955631567</v>
      </c>
    </row>
    <row r="815" spans="1:11" x14ac:dyDescent="0.25">
      <c r="A815" t="str">
        <f t="shared" si="48"/>
        <v>42020</v>
      </c>
      <c r="B815" s="1">
        <v>43943</v>
      </c>
      <c r="C815" t="s">
        <v>520</v>
      </c>
      <c r="D815">
        <v>19306.95</v>
      </c>
      <c r="E815">
        <v>19806.349999999999</v>
      </c>
      <c r="F815">
        <v>19051.95</v>
      </c>
      <c r="G815">
        <v>19701.849999999999</v>
      </c>
      <c r="H815">
        <v>0</v>
      </c>
      <c r="I815" s="8">
        <f t="shared" si="49"/>
        <v>1.5070056441869539E-2</v>
      </c>
      <c r="J815" s="8">
        <f t="shared" si="50"/>
        <v>1.4957631236897025E-2</v>
      </c>
      <c r="K815" s="8">
        <f t="shared" si="47"/>
        <v>-0.36337933051243154</v>
      </c>
    </row>
    <row r="816" spans="1:11" x14ac:dyDescent="0.25">
      <c r="A816" t="str">
        <f t="shared" si="48"/>
        <v>42020</v>
      </c>
      <c r="B816" s="1">
        <v>43944</v>
      </c>
      <c r="C816" t="s">
        <v>521</v>
      </c>
      <c r="D816">
        <v>19871.349999999999</v>
      </c>
      <c r="E816">
        <v>20356.5</v>
      </c>
      <c r="F816">
        <v>19584.400000000001</v>
      </c>
      <c r="G816">
        <v>20267.95</v>
      </c>
      <c r="H816">
        <v>0</v>
      </c>
      <c r="I816" s="8">
        <f t="shared" si="49"/>
        <v>2.8733342300342413E-2</v>
      </c>
      <c r="J816" s="8">
        <f t="shared" si="50"/>
        <v>2.8328280703411059E-2</v>
      </c>
      <c r="K816" s="8">
        <f t="shared" si="47"/>
        <v>-0.33983736924477503</v>
      </c>
    </row>
    <row r="817" spans="1:11" x14ac:dyDescent="0.25">
      <c r="A817" t="str">
        <f t="shared" si="48"/>
        <v>42020</v>
      </c>
      <c r="B817" s="1">
        <v>43945</v>
      </c>
      <c r="C817" t="s">
        <v>522</v>
      </c>
      <c r="D817">
        <v>19697.650000000001</v>
      </c>
      <c r="E817">
        <v>19950.150000000001</v>
      </c>
      <c r="F817">
        <v>19515.400000000001</v>
      </c>
      <c r="G817">
        <v>19586.650000000001</v>
      </c>
      <c r="H817">
        <v>0</v>
      </c>
      <c r="I817" s="8">
        <f t="shared" si="49"/>
        <v>-3.3614647756679883E-2</v>
      </c>
      <c r="J817" s="8">
        <f t="shared" si="50"/>
        <v>-3.4192608949443828E-2</v>
      </c>
      <c r="K817" s="8">
        <f t="shared" si="47"/>
        <v>-0.36825511505754882</v>
      </c>
    </row>
    <row r="818" spans="1:11" x14ac:dyDescent="0.25">
      <c r="A818" t="str">
        <f t="shared" si="48"/>
        <v>42020</v>
      </c>
      <c r="B818" s="1">
        <v>43948</v>
      </c>
      <c r="C818" t="s">
        <v>523</v>
      </c>
      <c r="D818">
        <v>19870.8</v>
      </c>
      <c r="E818">
        <v>20224.75</v>
      </c>
      <c r="F818">
        <v>19847.650000000001</v>
      </c>
      <c r="G818">
        <v>20081.150000000001</v>
      </c>
      <c r="H818">
        <v>0</v>
      </c>
      <c r="I818" s="8">
        <f t="shared" si="49"/>
        <v>2.5246787990799824E-2</v>
      </c>
      <c r="J818" s="8">
        <f t="shared" si="50"/>
        <v>2.4933352381734438E-2</v>
      </c>
      <c r="K818" s="8">
        <f t="shared" si="47"/>
        <v>-0.35723350964654665</v>
      </c>
    </row>
    <row r="819" spans="1:11" x14ac:dyDescent="0.25">
      <c r="A819" t="str">
        <f t="shared" si="48"/>
        <v>42020</v>
      </c>
      <c r="B819" s="1">
        <v>43949</v>
      </c>
      <c r="C819" t="s">
        <v>524</v>
      </c>
      <c r="D819">
        <v>20436.599999999999</v>
      </c>
      <c r="E819">
        <v>20751.3</v>
      </c>
      <c r="F819">
        <v>20260.8</v>
      </c>
      <c r="G819">
        <v>20671.099999999999</v>
      </c>
      <c r="H819">
        <v>0</v>
      </c>
      <c r="I819" s="8">
        <f t="shared" si="49"/>
        <v>2.9378297557659749E-2</v>
      </c>
      <c r="J819" s="8">
        <f t="shared" si="50"/>
        <v>2.8955025400772424E-2</v>
      </c>
      <c r="K819" s="8">
        <f t="shared" si="47"/>
        <v>-0.32967435646325571</v>
      </c>
    </row>
    <row r="820" spans="1:11" x14ac:dyDescent="0.25">
      <c r="A820" t="str">
        <f t="shared" si="48"/>
        <v>42020</v>
      </c>
      <c r="B820" s="1">
        <v>43950</v>
      </c>
      <c r="C820" t="s">
        <v>525</v>
      </c>
      <c r="D820">
        <v>20440.400000000001</v>
      </c>
      <c r="E820">
        <v>21348.15</v>
      </c>
      <c r="F820">
        <v>20393.650000000001</v>
      </c>
      <c r="G820">
        <v>21090.2</v>
      </c>
      <c r="H820">
        <v>0</v>
      </c>
      <c r="I820" s="8">
        <f t="shared" si="49"/>
        <v>2.0274683011547667E-2</v>
      </c>
      <c r="J820" s="8">
        <f t="shared" si="50"/>
        <v>2.0071888112377066E-2</v>
      </c>
      <c r="K820" s="8">
        <f t="shared" si="47"/>
        <v>-0.31439401327637884</v>
      </c>
    </row>
    <row r="821" spans="1:11" x14ac:dyDescent="0.25">
      <c r="A821" t="str">
        <f t="shared" si="48"/>
        <v>42020</v>
      </c>
      <c r="B821" s="1">
        <v>43951</v>
      </c>
      <c r="C821" t="s">
        <v>526</v>
      </c>
      <c r="D821">
        <v>21589.200000000001</v>
      </c>
      <c r="E821">
        <v>21967</v>
      </c>
      <c r="F821">
        <v>21353.65</v>
      </c>
      <c r="G821">
        <v>21534.5</v>
      </c>
      <c r="H821">
        <v>0</v>
      </c>
      <c r="I821" s="8">
        <f t="shared" si="49"/>
        <v>2.1066656551383955E-2</v>
      </c>
      <c r="J821" s="8">
        <f t="shared" si="50"/>
        <v>2.0847822606253955E-2</v>
      </c>
      <c r="K821" s="8">
        <f t="shared" si="47"/>
        <v>-0.30257149334456068</v>
      </c>
    </row>
    <row r="822" spans="1:11" x14ac:dyDescent="0.25">
      <c r="A822" t="str">
        <f t="shared" si="48"/>
        <v>52020</v>
      </c>
      <c r="B822" s="1">
        <v>43955</v>
      </c>
      <c r="C822" s="10">
        <v>43926.645833333336</v>
      </c>
      <c r="D822">
        <v>20514.75</v>
      </c>
      <c r="E822">
        <v>20530.45</v>
      </c>
      <c r="F822">
        <v>19643.599999999999</v>
      </c>
      <c r="G822">
        <v>19743.75</v>
      </c>
      <c r="H822">
        <v>0</v>
      </c>
      <c r="I822" s="8">
        <f t="shared" si="49"/>
        <v>-8.3157259281617879E-2</v>
      </c>
      <c r="J822" s="8">
        <f t="shared" si="50"/>
        <v>-8.6819314651091981E-2</v>
      </c>
      <c r="K822" s="8">
        <f t="shared" si="47"/>
        <v>-0.35577732531960304</v>
      </c>
    </row>
    <row r="823" spans="1:11" x14ac:dyDescent="0.25">
      <c r="A823" t="str">
        <f t="shared" si="48"/>
        <v>52020</v>
      </c>
      <c r="B823" s="1">
        <v>43956</v>
      </c>
      <c r="C823" s="10">
        <v>43956.645833333336</v>
      </c>
      <c r="D823">
        <v>20147.3</v>
      </c>
      <c r="E823">
        <v>20223.150000000001</v>
      </c>
      <c r="F823">
        <v>19212.349999999999</v>
      </c>
      <c r="G823">
        <v>19271.75</v>
      </c>
      <c r="H823">
        <v>0</v>
      </c>
      <c r="I823" s="8">
        <f t="shared" si="49"/>
        <v>-2.3906299461854963E-2</v>
      </c>
      <c r="J823" s="8">
        <f t="shared" si="50"/>
        <v>-2.419669252745725E-2</v>
      </c>
      <c r="K823" s="8">
        <f t="shared" si="47"/>
        <v>-0.37497567588604641</v>
      </c>
    </row>
    <row r="824" spans="1:11" x14ac:dyDescent="0.25">
      <c r="A824" t="str">
        <f t="shared" si="48"/>
        <v>52020</v>
      </c>
      <c r="B824" s="1">
        <v>43957</v>
      </c>
      <c r="C824" s="10">
        <v>43987.645833333336</v>
      </c>
      <c r="D824">
        <v>19302.45</v>
      </c>
      <c r="E824">
        <v>19806.599999999999</v>
      </c>
      <c r="F824">
        <v>18941</v>
      </c>
      <c r="G824">
        <v>19694.55</v>
      </c>
      <c r="H824">
        <v>0</v>
      </c>
      <c r="I824" s="8">
        <f t="shared" si="49"/>
        <v>2.1938848314242421E-2</v>
      </c>
      <c r="J824" s="8">
        <f t="shared" si="50"/>
        <v>2.170165468234873E-2</v>
      </c>
      <c r="K824" s="8">
        <f t="shared" si="47"/>
        <v>-0.33937951576871217</v>
      </c>
    </row>
    <row r="825" spans="1:11" x14ac:dyDescent="0.25">
      <c r="A825" t="str">
        <f t="shared" si="48"/>
        <v>52020</v>
      </c>
      <c r="B825" s="1">
        <v>43958</v>
      </c>
      <c r="C825" s="10">
        <v>44017.645833333336</v>
      </c>
      <c r="D825">
        <v>19536.05</v>
      </c>
      <c r="E825">
        <v>19757.25</v>
      </c>
      <c r="F825">
        <v>19332.150000000001</v>
      </c>
      <c r="G825">
        <v>19491.8</v>
      </c>
      <c r="H825">
        <v>0</v>
      </c>
      <c r="I825" s="8">
        <f t="shared" si="49"/>
        <v>-1.029472620598082E-2</v>
      </c>
      <c r="J825" s="8">
        <f t="shared" si="50"/>
        <v>-1.0348083414271805E-2</v>
      </c>
      <c r="K825" s="8">
        <f t="shared" si="47"/>
        <v>-0.35077648156012431</v>
      </c>
    </row>
    <row r="826" spans="1:11" x14ac:dyDescent="0.25">
      <c r="A826" t="str">
        <f t="shared" si="48"/>
        <v>52020</v>
      </c>
      <c r="B826" s="1">
        <v>43959</v>
      </c>
      <c r="C826" s="10">
        <v>44048.645833333336</v>
      </c>
      <c r="D826">
        <v>19844</v>
      </c>
      <c r="E826">
        <v>19969.599999999999</v>
      </c>
      <c r="F826">
        <v>19285.05</v>
      </c>
      <c r="G826">
        <v>19352.900000000001</v>
      </c>
      <c r="H826">
        <v>0</v>
      </c>
      <c r="I826" s="8">
        <f t="shared" si="49"/>
        <v>-7.12607352835537E-3</v>
      </c>
      <c r="J826" s="8">
        <f t="shared" si="50"/>
        <v>-7.1515852615597801E-3</v>
      </c>
      <c r="K826" s="8">
        <f t="shared" si="47"/>
        <v>-0.36933915996180755</v>
      </c>
    </row>
    <row r="827" spans="1:11" x14ac:dyDescent="0.25">
      <c r="A827" t="str">
        <f t="shared" si="48"/>
        <v>52020</v>
      </c>
      <c r="B827" s="1">
        <v>43962</v>
      </c>
      <c r="C827" s="10">
        <v>44140.645833333336</v>
      </c>
      <c r="D827">
        <v>19610.45</v>
      </c>
      <c r="E827">
        <v>19733.400000000001</v>
      </c>
      <c r="F827">
        <v>18900.900000000001</v>
      </c>
      <c r="G827">
        <v>18950.5</v>
      </c>
      <c r="H827">
        <v>0</v>
      </c>
      <c r="I827" s="8">
        <f t="shared" si="49"/>
        <v>-2.0792749407065658E-2</v>
      </c>
      <c r="J827" s="8">
        <f t="shared" si="50"/>
        <v>-2.1011962642692072E-2</v>
      </c>
      <c r="K827" s="8">
        <f t="shared" si="47"/>
        <v>-0.38873199911618461</v>
      </c>
    </row>
    <row r="828" spans="1:11" x14ac:dyDescent="0.25">
      <c r="A828" t="str">
        <f t="shared" si="48"/>
        <v>52020</v>
      </c>
      <c r="B828" s="1">
        <v>43963</v>
      </c>
      <c r="C828" s="10">
        <v>44170.645833333336</v>
      </c>
      <c r="D828">
        <v>18751.400000000001</v>
      </c>
      <c r="E828">
        <v>18993.400000000001</v>
      </c>
      <c r="F828">
        <v>18287</v>
      </c>
      <c r="G828">
        <v>18862.849999999999</v>
      </c>
      <c r="H828">
        <v>0</v>
      </c>
      <c r="I828" s="8">
        <f t="shared" si="49"/>
        <v>-4.6252077781590017E-3</v>
      </c>
      <c r="J828" s="8">
        <f t="shared" si="50"/>
        <v>-4.6359371481480612E-3</v>
      </c>
      <c r="K828" s="8">
        <f t="shared" si="47"/>
        <v>-0.39743100333662895</v>
      </c>
    </row>
    <row r="829" spans="1:11" x14ac:dyDescent="0.25">
      <c r="A829" t="str">
        <f t="shared" si="48"/>
        <v>52020</v>
      </c>
      <c r="B829" s="1">
        <v>43964</v>
      </c>
      <c r="C829" t="s">
        <v>527</v>
      </c>
      <c r="D829">
        <v>20017.75</v>
      </c>
      <c r="E829">
        <v>20122.25</v>
      </c>
      <c r="F829">
        <v>19429.900000000001</v>
      </c>
      <c r="G829">
        <v>19634.95</v>
      </c>
      <c r="H829">
        <v>0</v>
      </c>
      <c r="I829" s="8">
        <f t="shared" si="49"/>
        <v>4.0932308744436874E-2</v>
      </c>
      <c r="J829" s="8">
        <f t="shared" si="50"/>
        <v>4.0116762297118115E-2</v>
      </c>
      <c r="K829" s="8">
        <f t="shared" si="47"/>
        <v>-0.37071400986156311</v>
      </c>
    </row>
    <row r="830" spans="1:11" x14ac:dyDescent="0.25">
      <c r="A830" t="str">
        <f t="shared" si="48"/>
        <v>52020</v>
      </c>
      <c r="B830" s="1">
        <v>43965</v>
      </c>
      <c r="C830" t="s">
        <v>528</v>
      </c>
      <c r="D830">
        <v>19197.7</v>
      </c>
      <c r="E830">
        <v>19380.099999999999</v>
      </c>
      <c r="F830">
        <v>19024.75</v>
      </c>
      <c r="G830">
        <v>19068.5</v>
      </c>
      <c r="H830">
        <v>0</v>
      </c>
      <c r="I830" s="8">
        <f t="shared" si="49"/>
        <v>-2.8849067606487422E-2</v>
      </c>
      <c r="J830" s="8">
        <f t="shared" si="50"/>
        <v>-2.9273382612284363E-2</v>
      </c>
      <c r="K830" s="8">
        <f t="shared" si="47"/>
        <v>-0.38603876921194602</v>
      </c>
    </row>
    <row r="831" spans="1:11" x14ac:dyDescent="0.25">
      <c r="A831" t="str">
        <f t="shared" si="48"/>
        <v>52020</v>
      </c>
      <c r="B831" s="1">
        <v>43966</v>
      </c>
      <c r="C831" t="s">
        <v>529</v>
      </c>
      <c r="D831">
        <v>19098.8</v>
      </c>
      <c r="E831">
        <v>19119.099999999999</v>
      </c>
      <c r="F831">
        <v>18683.650000000001</v>
      </c>
      <c r="G831">
        <v>18833.95</v>
      </c>
      <c r="H831">
        <v>0</v>
      </c>
      <c r="I831" s="8">
        <f t="shared" si="49"/>
        <v>-1.2300390696698749E-2</v>
      </c>
      <c r="J831" s="8">
        <f t="shared" si="50"/>
        <v>-1.2376666630246396E-2</v>
      </c>
      <c r="K831" s="8">
        <f t="shared" si="47"/>
        <v>-0.39828789224487704</v>
      </c>
    </row>
    <row r="832" spans="1:11" x14ac:dyDescent="0.25">
      <c r="A832" t="str">
        <f t="shared" si="48"/>
        <v>52020</v>
      </c>
      <c r="B832" s="1">
        <v>43969</v>
      </c>
      <c r="C832" t="s">
        <v>530</v>
      </c>
      <c r="D832">
        <v>18795.099999999999</v>
      </c>
      <c r="E832">
        <v>18795.099999999999</v>
      </c>
      <c r="F832">
        <v>17514.2</v>
      </c>
      <c r="G832">
        <v>17573.2</v>
      </c>
      <c r="H832">
        <v>0</v>
      </c>
      <c r="I832" s="8">
        <f t="shared" si="49"/>
        <v>-6.6940286026032747E-2</v>
      </c>
      <c r="J832" s="8">
        <f t="shared" si="50"/>
        <v>-6.9286078067120727E-2</v>
      </c>
      <c r="K832" s="8">
        <f t="shared" ref="K832:K895" si="51">+G832/G771-1</f>
        <v>-0.44199486233404994</v>
      </c>
    </row>
    <row r="833" spans="1:11" x14ac:dyDescent="0.25">
      <c r="A833" t="str">
        <f t="shared" si="48"/>
        <v>52020</v>
      </c>
      <c r="B833" s="1">
        <v>43970</v>
      </c>
      <c r="C833" t="s">
        <v>531</v>
      </c>
      <c r="D833">
        <v>18037.150000000001</v>
      </c>
      <c r="E833">
        <v>18175.3</v>
      </c>
      <c r="F833">
        <v>17390.650000000001</v>
      </c>
      <c r="G833">
        <v>17486.25</v>
      </c>
      <c r="H833">
        <v>0</v>
      </c>
      <c r="I833" s="8">
        <f t="shared" si="49"/>
        <v>-4.9478751735597681E-3</v>
      </c>
      <c r="J833" s="8">
        <f t="shared" si="50"/>
        <v>-4.9601564354412458E-3</v>
      </c>
      <c r="K833" s="8">
        <f t="shared" si="51"/>
        <v>-0.4400861344369642</v>
      </c>
    </row>
    <row r="834" spans="1:11" x14ac:dyDescent="0.25">
      <c r="A834" t="str">
        <f t="shared" si="48"/>
        <v>52020</v>
      </c>
      <c r="B834" s="1">
        <v>43971</v>
      </c>
      <c r="C834" t="s">
        <v>532</v>
      </c>
      <c r="D834">
        <v>17486.5</v>
      </c>
      <c r="E834">
        <v>18002.650000000001</v>
      </c>
      <c r="F834">
        <v>17407.7</v>
      </c>
      <c r="G834">
        <v>17840.2</v>
      </c>
      <c r="H834">
        <v>0</v>
      </c>
      <c r="I834" s="8">
        <f t="shared" si="49"/>
        <v>2.0241618414468476E-2</v>
      </c>
      <c r="J834" s="8">
        <f t="shared" si="50"/>
        <v>2.0039480042851741E-2</v>
      </c>
      <c r="K834" s="8">
        <f t="shared" si="51"/>
        <v>-0.42142644025581477</v>
      </c>
    </row>
    <row r="835" spans="1:11" x14ac:dyDescent="0.25">
      <c r="A835" t="str">
        <f t="shared" ref="A835:A898" si="52">+MONTH(B835)&amp;YEAR(B835)</f>
        <v>52020</v>
      </c>
      <c r="B835" s="1">
        <v>43972</v>
      </c>
      <c r="C835" t="s">
        <v>533</v>
      </c>
      <c r="D835">
        <v>17901.95</v>
      </c>
      <c r="E835">
        <v>18200.7</v>
      </c>
      <c r="F835">
        <v>17658.55</v>
      </c>
      <c r="G835">
        <v>17735.099999999999</v>
      </c>
      <c r="H835">
        <v>0</v>
      </c>
      <c r="I835" s="8">
        <f t="shared" si="49"/>
        <v>-5.8911895606552633E-3</v>
      </c>
      <c r="J835" s="8">
        <f t="shared" si="50"/>
        <v>-5.9086110738628779E-3</v>
      </c>
      <c r="K835" s="8">
        <f t="shared" si="51"/>
        <v>-0.42194604425583515</v>
      </c>
    </row>
    <row r="836" spans="1:11" x14ac:dyDescent="0.25">
      <c r="A836" t="str">
        <f t="shared" si="52"/>
        <v>52020</v>
      </c>
      <c r="B836" s="1">
        <v>43973</v>
      </c>
      <c r="C836" t="s">
        <v>534</v>
      </c>
      <c r="D836">
        <v>17554.25</v>
      </c>
      <c r="E836">
        <v>17952.25</v>
      </c>
      <c r="F836">
        <v>17105</v>
      </c>
      <c r="G836">
        <v>17278.900000000001</v>
      </c>
      <c r="H836">
        <v>0</v>
      </c>
      <c r="I836" s="8">
        <f t="shared" ref="I836:I899" si="53">+G836/G835-1</f>
        <v>-2.5723001279947533E-2</v>
      </c>
      <c r="J836" s="8">
        <f t="shared" ref="J836:J899" si="54">+LN(1+I836)</f>
        <v>-2.6059622835208716E-2</v>
      </c>
      <c r="K836" s="8">
        <f t="shared" si="51"/>
        <v>-0.43463721881390593</v>
      </c>
    </row>
    <row r="837" spans="1:11" x14ac:dyDescent="0.25">
      <c r="A837" t="str">
        <f t="shared" si="52"/>
        <v>52020</v>
      </c>
      <c r="B837" s="1">
        <v>43977</v>
      </c>
      <c r="C837" t="s">
        <v>535</v>
      </c>
      <c r="D837">
        <v>17537.650000000001</v>
      </c>
      <c r="E837">
        <v>17681.7</v>
      </c>
      <c r="F837">
        <v>17311.25</v>
      </c>
      <c r="G837">
        <v>17440.349999999999</v>
      </c>
      <c r="H837">
        <v>0</v>
      </c>
      <c r="I837" s="8">
        <f t="shared" si="53"/>
        <v>9.3437660962212288E-3</v>
      </c>
      <c r="J837" s="8">
        <f t="shared" si="54"/>
        <v>9.3003831445136204E-3</v>
      </c>
      <c r="K837" s="8">
        <f t="shared" si="51"/>
        <v>-0.43445629122322316</v>
      </c>
    </row>
    <row r="838" spans="1:11" x14ac:dyDescent="0.25">
      <c r="A838" t="str">
        <f t="shared" si="52"/>
        <v>52020</v>
      </c>
      <c r="B838" s="1">
        <v>43978</v>
      </c>
      <c r="C838" t="s">
        <v>536</v>
      </c>
      <c r="D838">
        <v>17603.400000000001</v>
      </c>
      <c r="E838">
        <v>18874.25</v>
      </c>
      <c r="F838">
        <v>17560.349999999999</v>
      </c>
      <c r="G838">
        <v>18710.55</v>
      </c>
      <c r="H838">
        <v>0</v>
      </c>
      <c r="I838" s="8">
        <f t="shared" si="53"/>
        <v>7.2831107173881415E-2</v>
      </c>
      <c r="J838" s="8">
        <f t="shared" si="54"/>
        <v>7.0301048812041717E-2</v>
      </c>
      <c r="K838" s="8">
        <f t="shared" si="51"/>
        <v>-0.39531911249286988</v>
      </c>
    </row>
    <row r="839" spans="1:11" x14ac:dyDescent="0.25">
      <c r="A839" t="str">
        <f t="shared" si="52"/>
        <v>52020</v>
      </c>
      <c r="B839" s="1">
        <v>43979</v>
      </c>
      <c r="C839" t="s">
        <v>537</v>
      </c>
      <c r="D839">
        <v>18924.45</v>
      </c>
      <c r="E839">
        <v>19455.55</v>
      </c>
      <c r="F839">
        <v>18818.95</v>
      </c>
      <c r="G839">
        <v>19169.8</v>
      </c>
      <c r="H839">
        <v>0</v>
      </c>
      <c r="I839" s="8">
        <f t="shared" si="53"/>
        <v>2.4544975962758953E-2</v>
      </c>
      <c r="J839" s="8">
        <f t="shared" si="54"/>
        <v>2.42485881361111E-2</v>
      </c>
      <c r="K839" s="8">
        <f t="shared" si="51"/>
        <v>-0.37055534212660601</v>
      </c>
    </row>
    <row r="840" spans="1:11" x14ac:dyDescent="0.25">
      <c r="A840" t="str">
        <f t="shared" si="52"/>
        <v>52020</v>
      </c>
      <c r="B840" s="1">
        <v>43980</v>
      </c>
      <c r="C840" t="s">
        <v>538</v>
      </c>
      <c r="D840">
        <v>18962</v>
      </c>
      <c r="E840">
        <v>19358.05</v>
      </c>
      <c r="F840">
        <v>18729.900000000001</v>
      </c>
      <c r="G840">
        <v>19297.25</v>
      </c>
      <c r="H840">
        <v>0</v>
      </c>
      <c r="I840" s="8">
        <f t="shared" si="53"/>
        <v>6.6484783357156907E-3</v>
      </c>
      <c r="J840" s="8">
        <f t="shared" si="54"/>
        <v>6.6264746770143754E-3</v>
      </c>
      <c r="K840" s="8">
        <f t="shared" si="51"/>
        <v>-0.36590410972407972</v>
      </c>
    </row>
    <row r="841" spans="1:11" x14ac:dyDescent="0.25">
      <c r="A841" t="str">
        <f t="shared" si="52"/>
        <v>62020</v>
      </c>
      <c r="B841" s="1">
        <v>43983</v>
      </c>
      <c r="C841" s="10">
        <v>43836.645833333336</v>
      </c>
      <c r="D841">
        <v>19728.900000000001</v>
      </c>
      <c r="E841">
        <v>20225.349999999999</v>
      </c>
      <c r="F841">
        <v>19632.900000000001</v>
      </c>
      <c r="G841">
        <v>19959.900000000001</v>
      </c>
      <c r="H841">
        <v>0</v>
      </c>
      <c r="I841" s="8">
        <f t="shared" si="53"/>
        <v>3.4339089766676656E-2</v>
      </c>
      <c r="J841" s="8">
        <f t="shared" si="54"/>
        <v>3.3762662138763569E-2</v>
      </c>
      <c r="K841" s="8">
        <f t="shared" si="51"/>
        <v>-0.34140631573390168</v>
      </c>
    </row>
    <row r="842" spans="1:11" x14ac:dyDescent="0.25">
      <c r="A842" t="str">
        <f t="shared" si="52"/>
        <v>62020</v>
      </c>
      <c r="B842" s="1">
        <v>43984</v>
      </c>
      <c r="C842" s="10">
        <v>43867.645833333336</v>
      </c>
      <c r="D842">
        <v>20120.599999999999</v>
      </c>
      <c r="E842">
        <v>20615.75</v>
      </c>
      <c r="F842">
        <v>19852.55</v>
      </c>
      <c r="G842">
        <v>20530.2</v>
      </c>
      <c r="H842">
        <v>0</v>
      </c>
      <c r="I842" s="8">
        <f t="shared" si="53"/>
        <v>2.8572287436309685E-2</v>
      </c>
      <c r="J842" s="8">
        <f t="shared" si="54"/>
        <v>2.8171711973871007E-2</v>
      </c>
      <c r="K842" s="8">
        <f t="shared" si="51"/>
        <v>-0.31989929439825093</v>
      </c>
    </row>
    <row r="843" spans="1:11" x14ac:dyDescent="0.25">
      <c r="A843" t="str">
        <f t="shared" si="52"/>
        <v>62020</v>
      </c>
      <c r="B843" s="1">
        <v>43985</v>
      </c>
      <c r="C843" s="10">
        <v>43896.645833333336</v>
      </c>
      <c r="D843">
        <v>20966.599999999999</v>
      </c>
      <c r="E843">
        <v>21619.55</v>
      </c>
      <c r="F843">
        <v>20822</v>
      </c>
      <c r="G843">
        <v>20940.7</v>
      </c>
      <c r="H843">
        <v>0</v>
      </c>
      <c r="I843" s="8">
        <f t="shared" si="53"/>
        <v>1.9994934291921229E-2</v>
      </c>
      <c r="J843" s="8">
        <f t="shared" si="54"/>
        <v>1.9797660903377822E-2</v>
      </c>
      <c r="K843" s="8">
        <f t="shared" si="51"/>
        <v>-0.2815523987765528</v>
      </c>
    </row>
    <row r="844" spans="1:11" x14ac:dyDescent="0.25">
      <c r="A844" t="str">
        <f t="shared" si="52"/>
        <v>62020</v>
      </c>
      <c r="B844" s="1">
        <v>43986</v>
      </c>
      <c r="C844" s="10">
        <v>43927.645833333336</v>
      </c>
      <c r="D844">
        <v>20932.349999999999</v>
      </c>
      <c r="E844">
        <v>21141.8</v>
      </c>
      <c r="F844">
        <v>20316.2</v>
      </c>
      <c r="G844">
        <v>20390.45</v>
      </c>
      <c r="H844">
        <v>0</v>
      </c>
      <c r="I844" s="8">
        <f t="shared" si="53"/>
        <v>-2.6276581012096067E-2</v>
      </c>
      <c r="J844" s="8">
        <f t="shared" si="54"/>
        <v>-2.662797974316233E-2</v>
      </c>
      <c r="K844" s="8">
        <f t="shared" si="51"/>
        <v>-0.29367578390212135</v>
      </c>
    </row>
    <row r="845" spans="1:11" x14ac:dyDescent="0.25">
      <c r="A845" t="str">
        <f t="shared" si="52"/>
        <v>62020</v>
      </c>
      <c r="B845" s="1">
        <v>43987</v>
      </c>
      <c r="C845" s="10">
        <v>43957.645833333336</v>
      </c>
      <c r="D845">
        <v>20516.400000000001</v>
      </c>
      <c r="E845">
        <v>21198.7</v>
      </c>
      <c r="F845">
        <v>20425.05</v>
      </c>
      <c r="G845">
        <v>21034.5</v>
      </c>
      <c r="H845">
        <v>0</v>
      </c>
      <c r="I845" s="8">
        <f t="shared" si="53"/>
        <v>3.1585864951484632E-2</v>
      </c>
      <c r="J845" s="8">
        <f t="shared" si="54"/>
        <v>3.1097292867863908E-2</v>
      </c>
      <c r="K845" s="8">
        <f t="shared" si="51"/>
        <v>-0.27907379258698184</v>
      </c>
    </row>
    <row r="846" spans="1:11" x14ac:dyDescent="0.25">
      <c r="A846" t="str">
        <f t="shared" si="52"/>
        <v>62020</v>
      </c>
      <c r="B846" s="1">
        <v>43990</v>
      </c>
      <c r="C846" s="10">
        <v>44049.645833333336</v>
      </c>
      <c r="D846">
        <v>21636.1</v>
      </c>
      <c r="E846">
        <v>21807.4</v>
      </c>
      <c r="F846">
        <v>20911.25</v>
      </c>
      <c r="G846">
        <v>21187.35</v>
      </c>
      <c r="H846">
        <v>0</v>
      </c>
      <c r="I846" s="8">
        <f t="shared" si="53"/>
        <v>7.2666333880053724E-3</v>
      </c>
      <c r="J846" s="8">
        <f t="shared" si="54"/>
        <v>7.2403586169123421E-3</v>
      </c>
      <c r="K846" s="8">
        <f t="shared" si="51"/>
        <v>-0.26057193311858506</v>
      </c>
    </row>
    <row r="847" spans="1:11" x14ac:dyDescent="0.25">
      <c r="A847" t="str">
        <f t="shared" si="52"/>
        <v>62020</v>
      </c>
      <c r="B847" s="1">
        <v>43991</v>
      </c>
      <c r="C847" s="10">
        <v>44080.645833333336</v>
      </c>
      <c r="D847">
        <v>21295.5</v>
      </c>
      <c r="E847">
        <v>21568.85</v>
      </c>
      <c r="F847">
        <v>20629.7</v>
      </c>
      <c r="G847">
        <v>20724.900000000001</v>
      </c>
      <c r="H847">
        <v>0</v>
      </c>
      <c r="I847" s="8">
        <f t="shared" si="53"/>
        <v>-2.1826703197898589E-2</v>
      </c>
      <c r="J847" s="8">
        <f t="shared" si="54"/>
        <v>-2.2068429550342911E-2</v>
      </c>
      <c r="K847" s="8">
        <f t="shared" si="51"/>
        <v>-0.28076875692990011</v>
      </c>
    </row>
    <row r="848" spans="1:11" x14ac:dyDescent="0.25">
      <c r="A848" t="str">
        <f t="shared" si="52"/>
        <v>62020</v>
      </c>
      <c r="B848" s="1">
        <v>43992</v>
      </c>
      <c r="C848" s="10">
        <v>44110.645833333336</v>
      </c>
      <c r="D848">
        <v>20760.95</v>
      </c>
      <c r="E848">
        <v>21251.45</v>
      </c>
      <c r="F848">
        <v>20671.55</v>
      </c>
      <c r="G848">
        <v>21100.1</v>
      </c>
      <c r="H848">
        <v>0</v>
      </c>
      <c r="I848" s="8">
        <f t="shared" si="53"/>
        <v>1.8103826797716716E-2</v>
      </c>
      <c r="J848" s="8">
        <f t="shared" si="54"/>
        <v>1.7941903888035605E-2</v>
      </c>
      <c r="K848" s="8">
        <f t="shared" si="51"/>
        <v>-0.24104318299944794</v>
      </c>
    </row>
    <row r="849" spans="1:11" x14ac:dyDescent="0.25">
      <c r="A849" t="str">
        <f t="shared" si="52"/>
        <v>62020</v>
      </c>
      <c r="B849" s="1">
        <v>43993</v>
      </c>
      <c r="C849" s="10">
        <v>44141.645833333336</v>
      </c>
      <c r="D849">
        <v>21084.7</v>
      </c>
      <c r="E849">
        <v>21244.45</v>
      </c>
      <c r="F849">
        <v>20458.3</v>
      </c>
      <c r="G849">
        <v>20525.150000000001</v>
      </c>
      <c r="H849">
        <v>0</v>
      </c>
      <c r="I849" s="8">
        <f t="shared" si="53"/>
        <v>-2.7248686025184599E-2</v>
      </c>
      <c r="J849" s="8">
        <f t="shared" si="54"/>
        <v>-2.7626816334715986E-2</v>
      </c>
      <c r="K849" s="8">
        <f t="shared" si="51"/>
        <v>-0.22437137696220322</v>
      </c>
    </row>
    <row r="850" spans="1:11" x14ac:dyDescent="0.25">
      <c r="A850" t="str">
        <f t="shared" si="52"/>
        <v>62020</v>
      </c>
      <c r="B850" s="1">
        <v>43994</v>
      </c>
      <c r="C850" s="10">
        <v>44171.645833333336</v>
      </c>
      <c r="D850">
        <v>19529.3</v>
      </c>
      <c r="E850">
        <v>20747.7</v>
      </c>
      <c r="F850">
        <v>19526.099999999999</v>
      </c>
      <c r="G850">
        <v>20654.55</v>
      </c>
      <c r="H850">
        <v>0</v>
      </c>
      <c r="I850" s="8">
        <f t="shared" si="53"/>
        <v>6.3044606251354551E-3</v>
      </c>
      <c r="J850" s="8">
        <f t="shared" si="54"/>
        <v>6.284670646457032E-3</v>
      </c>
      <c r="K850" s="8">
        <f t="shared" si="51"/>
        <v>-0.22022402766556681</v>
      </c>
    </row>
    <row r="851" spans="1:11" x14ac:dyDescent="0.25">
      <c r="A851" t="str">
        <f t="shared" si="52"/>
        <v>62020</v>
      </c>
      <c r="B851" s="1">
        <v>43997</v>
      </c>
      <c r="C851" t="s">
        <v>539</v>
      </c>
      <c r="D851">
        <v>20457.150000000001</v>
      </c>
      <c r="E851">
        <v>20470.849999999999</v>
      </c>
      <c r="F851">
        <v>19740.2</v>
      </c>
      <c r="G851">
        <v>19912.900000000001</v>
      </c>
      <c r="H851">
        <v>0</v>
      </c>
      <c r="I851" s="8">
        <f t="shared" si="53"/>
        <v>-3.5907342449968516E-2</v>
      </c>
      <c r="J851" s="8">
        <f t="shared" si="54"/>
        <v>-3.6567871200121192E-2</v>
      </c>
      <c r="K851" s="8">
        <f t="shared" si="51"/>
        <v>-0.16929725941392049</v>
      </c>
    </row>
    <row r="852" spans="1:11" x14ac:dyDescent="0.25">
      <c r="A852" t="str">
        <f t="shared" si="52"/>
        <v>62020</v>
      </c>
      <c r="B852" s="1">
        <v>43998</v>
      </c>
      <c r="C852" t="s">
        <v>540</v>
      </c>
      <c r="D852">
        <v>20500.650000000001</v>
      </c>
      <c r="E852">
        <v>20638.849999999999</v>
      </c>
      <c r="F852">
        <v>19507.05</v>
      </c>
      <c r="G852">
        <v>20296.7</v>
      </c>
      <c r="H852">
        <v>0</v>
      </c>
      <c r="I852" s="8">
        <f t="shared" si="53"/>
        <v>1.9273937999989998E-2</v>
      </c>
      <c r="J852" s="8">
        <f t="shared" si="54"/>
        <v>1.9090548337919091E-2</v>
      </c>
      <c r="K852" s="8">
        <f t="shared" si="51"/>
        <v>-0.19350166590838203</v>
      </c>
    </row>
    <row r="853" spans="1:11" x14ac:dyDescent="0.25">
      <c r="A853" t="str">
        <f t="shared" si="52"/>
        <v>62020</v>
      </c>
      <c r="B853" s="1">
        <v>43999</v>
      </c>
      <c r="C853" t="s">
        <v>541</v>
      </c>
      <c r="D853">
        <v>20137.45</v>
      </c>
      <c r="E853">
        <v>20627.900000000001</v>
      </c>
      <c r="F853">
        <v>19978.150000000001</v>
      </c>
      <c r="G853">
        <v>20201.75</v>
      </c>
      <c r="H853">
        <v>0</v>
      </c>
      <c r="I853" s="8">
        <f t="shared" si="53"/>
        <v>-4.6781003808501476E-3</v>
      </c>
      <c r="J853" s="8">
        <f t="shared" si="54"/>
        <v>-4.6890769387755099E-3</v>
      </c>
      <c r="K853" s="8">
        <f t="shared" si="51"/>
        <v>-0.12550890323641906</v>
      </c>
    </row>
    <row r="854" spans="1:11" x14ac:dyDescent="0.25">
      <c r="A854" t="str">
        <f t="shared" si="52"/>
        <v>62020</v>
      </c>
      <c r="B854" s="1">
        <v>44000</v>
      </c>
      <c r="C854" t="s">
        <v>542</v>
      </c>
      <c r="D854">
        <v>20137.599999999999</v>
      </c>
      <c r="E854">
        <v>21028.35</v>
      </c>
      <c r="F854">
        <v>20030.349999999999</v>
      </c>
      <c r="G854">
        <v>20956.3</v>
      </c>
      <c r="H854">
        <v>0</v>
      </c>
      <c r="I854" s="8">
        <f t="shared" si="53"/>
        <v>3.7350724565941018E-2</v>
      </c>
      <c r="J854" s="8">
        <f t="shared" si="54"/>
        <v>3.6670082834562918E-2</v>
      </c>
      <c r="K854" s="8">
        <f t="shared" si="51"/>
        <v>-5.41115722529526E-2</v>
      </c>
    </row>
    <row r="855" spans="1:11" x14ac:dyDescent="0.25">
      <c r="A855" t="str">
        <f t="shared" si="52"/>
        <v>62020</v>
      </c>
      <c r="B855" s="1">
        <v>44001</v>
      </c>
      <c r="C855" t="s">
        <v>543</v>
      </c>
      <c r="D855">
        <v>20970.099999999999</v>
      </c>
      <c r="E855">
        <v>21467.65</v>
      </c>
      <c r="F855">
        <v>20878.25</v>
      </c>
      <c r="G855">
        <v>21338.1</v>
      </c>
      <c r="H855">
        <v>0</v>
      </c>
      <c r="I855" s="8">
        <f t="shared" si="53"/>
        <v>1.8218864971392801E-2</v>
      </c>
      <c r="J855" s="8">
        <f t="shared" si="54"/>
        <v>1.805489008051232E-2</v>
      </c>
      <c r="K855" s="8">
        <f t="shared" si="51"/>
        <v>3.6826658633055009E-2</v>
      </c>
    </row>
    <row r="856" spans="1:11" x14ac:dyDescent="0.25">
      <c r="A856" t="str">
        <f t="shared" si="52"/>
        <v>62020</v>
      </c>
      <c r="B856" s="1">
        <v>44004</v>
      </c>
      <c r="C856" t="s">
        <v>544</v>
      </c>
      <c r="D856">
        <v>21491.55</v>
      </c>
      <c r="E856">
        <v>22078.25</v>
      </c>
      <c r="F856">
        <v>21425.55</v>
      </c>
      <c r="G856">
        <v>21708.35</v>
      </c>
      <c r="H856">
        <v>0</v>
      </c>
      <c r="I856" s="8">
        <f t="shared" si="53"/>
        <v>1.7351591753717477E-2</v>
      </c>
      <c r="J856" s="8">
        <f t="shared" si="54"/>
        <v>1.7202771926323482E-2</v>
      </c>
      <c r="K856" s="8">
        <f t="shared" si="51"/>
        <v>8.0904722782383587E-2</v>
      </c>
    </row>
    <row r="857" spans="1:11" x14ac:dyDescent="0.25">
      <c r="A857" t="str">
        <f t="shared" si="52"/>
        <v>62020</v>
      </c>
      <c r="B857" s="1">
        <v>44005</v>
      </c>
      <c r="C857" t="s">
        <v>545</v>
      </c>
      <c r="D857">
        <v>21859.25</v>
      </c>
      <c r="E857">
        <v>22322.3</v>
      </c>
      <c r="F857">
        <v>21647.8</v>
      </c>
      <c r="G857">
        <v>22264.9</v>
      </c>
      <c r="H857">
        <v>0</v>
      </c>
      <c r="I857" s="8">
        <f t="shared" si="53"/>
        <v>2.5637600278234141E-2</v>
      </c>
      <c r="J857" s="8">
        <f t="shared" si="54"/>
        <v>2.5314468249991257E-2</v>
      </c>
      <c r="K857" s="8">
        <f t="shared" si="51"/>
        <v>9.5843012954285989E-2</v>
      </c>
    </row>
    <row r="858" spans="1:11" x14ac:dyDescent="0.25">
      <c r="A858" t="str">
        <f t="shared" si="52"/>
        <v>62020</v>
      </c>
      <c r="B858" s="1">
        <v>44006</v>
      </c>
      <c r="C858" t="s">
        <v>546</v>
      </c>
      <c r="D858">
        <v>22479.35</v>
      </c>
      <c r="E858">
        <v>22479.55</v>
      </c>
      <c r="F858">
        <v>21336.35</v>
      </c>
      <c r="G858">
        <v>21426.799999999999</v>
      </c>
      <c r="H858">
        <v>0</v>
      </c>
      <c r="I858" s="8">
        <f t="shared" si="53"/>
        <v>-3.7642208139268662E-2</v>
      </c>
      <c r="J858" s="8">
        <f t="shared" si="54"/>
        <v>-3.8368972452237832E-2</v>
      </c>
      <c r="K858" s="8">
        <f t="shared" si="51"/>
        <v>0.26653524573448428</v>
      </c>
    </row>
    <row r="859" spans="1:11" x14ac:dyDescent="0.25">
      <c r="A859" t="str">
        <f t="shared" si="52"/>
        <v>62020</v>
      </c>
      <c r="B859" s="1">
        <v>44007</v>
      </c>
      <c r="C859" t="s">
        <v>547</v>
      </c>
      <c r="D859">
        <v>21218.05</v>
      </c>
      <c r="E859">
        <v>21703.5</v>
      </c>
      <c r="F859">
        <v>20926.45</v>
      </c>
      <c r="G859">
        <v>21506.15</v>
      </c>
      <c r="H859">
        <v>0</v>
      </c>
      <c r="I859" s="8">
        <f t="shared" si="53"/>
        <v>3.7033061399742717E-3</v>
      </c>
      <c r="J859" s="8">
        <f t="shared" si="54"/>
        <v>3.6964657845430953E-3</v>
      </c>
      <c r="K859" s="8">
        <f t="shared" si="51"/>
        <v>0.25713291986461928</v>
      </c>
    </row>
    <row r="860" spans="1:11" x14ac:dyDescent="0.25">
      <c r="A860" t="str">
        <f t="shared" si="52"/>
        <v>62020</v>
      </c>
      <c r="B860" s="1">
        <v>44008</v>
      </c>
      <c r="C860" t="s">
        <v>548</v>
      </c>
      <c r="D860">
        <v>21735.05</v>
      </c>
      <c r="E860">
        <v>21784.65</v>
      </c>
      <c r="F860">
        <v>21320.1</v>
      </c>
      <c r="G860">
        <v>21592.05</v>
      </c>
      <c r="H860">
        <v>0</v>
      </c>
      <c r="I860" s="8">
        <f t="shared" si="53"/>
        <v>3.99420630842795E-3</v>
      </c>
      <c r="J860" s="8">
        <f t="shared" si="54"/>
        <v>3.9862506437519157E-3</v>
      </c>
      <c r="K860" s="8">
        <f t="shared" si="51"/>
        <v>0.16833459137873663</v>
      </c>
    </row>
    <row r="861" spans="1:11" x14ac:dyDescent="0.25">
      <c r="A861" t="str">
        <f t="shared" si="52"/>
        <v>62020</v>
      </c>
      <c r="B861" s="1">
        <v>44011</v>
      </c>
      <c r="C861" t="s">
        <v>549</v>
      </c>
      <c r="D861">
        <v>21291.55</v>
      </c>
      <c r="E861">
        <v>21440.05</v>
      </c>
      <c r="F861">
        <v>21026.45</v>
      </c>
      <c r="G861">
        <v>21359</v>
      </c>
      <c r="H861">
        <v>0</v>
      </c>
      <c r="I861" s="8">
        <f t="shared" si="53"/>
        <v>-1.079332439485825E-2</v>
      </c>
      <c r="J861" s="8">
        <f t="shared" si="54"/>
        <v>-1.0851994868825843E-2</v>
      </c>
      <c r="K861" s="8">
        <f t="shared" si="51"/>
        <v>8.8972616358806711E-2</v>
      </c>
    </row>
    <row r="862" spans="1:11" x14ac:dyDescent="0.25">
      <c r="A862" t="str">
        <f t="shared" si="52"/>
        <v>62020</v>
      </c>
      <c r="B862" s="1">
        <v>44012</v>
      </c>
      <c r="C862" t="s">
        <v>550</v>
      </c>
      <c r="D862">
        <v>21524.3</v>
      </c>
      <c r="E862">
        <v>21650.5</v>
      </c>
      <c r="F862">
        <v>21212</v>
      </c>
      <c r="G862">
        <v>21370.15</v>
      </c>
      <c r="H862">
        <v>0</v>
      </c>
      <c r="I862" s="8">
        <f t="shared" si="53"/>
        <v>5.220281848401509E-4</v>
      </c>
      <c r="J862" s="8">
        <f t="shared" si="54"/>
        <v>5.2189197552860529E-4</v>
      </c>
      <c r="K862" s="8">
        <f t="shared" si="51"/>
        <v>7.0166257699434187E-2</v>
      </c>
    </row>
    <row r="863" spans="1:11" x14ac:dyDescent="0.25">
      <c r="A863" t="str">
        <f t="shared" si="52"/>
        <v>72020</v>
      </c>
      <c r="B863" s="1">
        <v>44013</v>
      </c>
      <c r="C863" s="10">
        <v>43837.645833333336</v>
      </c>
      <c r="D863">
        <v>21354.1</v>
      </c>
      <c r="E863">
        <v>22061.599999999999</v>
      </c>
      <c r="F863">
        <v>21281.85</v>
      </c>
      <c r="G863">
        <v>21977.599999999999</v>
      </c>
      <c r="H863">
        <v>0</v>
      </c>
      <c r="I863" s="8">
        <f t="shared" si="53"/>
        <v>2.8425163136430731E-2</v>
      </c>
      <c r="J863" s="8">
        <f t="shared" si="54"/>
        <v>2.8028664348713411E-2</v>
      </c>
      <c r="K863" s="8">
        <f t="shared" si="51"/>
        <v>0.17011670500042575</v>
      </c>
    </row>
    <row r="864" spans="1:11" x14ac:dyDescent="0.25">
      <c r="A864" t="str">
        <f t="shared" si="52"/>
        <v>72020</v>
      </c>
      <c r="B864" s="1">
        <v>44014</v>
      </c>
      <c r="C864" s="10">
        <v>43868.645833333336</v>
      </c>
      <c r="D864">
        <v>22133.8</v>
      </c>
      <c r="E864">
        <v>22344.85</v>
      </c>
      <c r="F864">
        <v>21890.5</v>
      </c>
      <c r="G864">
        <v>21953.200000000001</v>
      </c>
      <c r="H864">
        <v>0</v>
      </c>
      <c r="I864" s="8">
        <f t="shared" si="53"/>
        <v>-1.1102213162491603E-3</v>
      </c>
      <c r="J864" s="8">
        <f t="shared" si="54"/>
        <v>-1.1108380684645835E-3</v>
      </c>
      <c r="K864" s="8">
        <f t="shared" si="51"/>
        <v>0.14674049310488924</v>
      </c>
    </row>
    <row r="865" spans="1:11" x14ac:dyDescent="0.25">
      <c r="A865" t="str">
        <f t="shared" si="52"/>
        <v>72020</v>
      </c>
      <c r="B865" s="1">
        <v>44015</v>
      </c>
      <c r="C865" s="10">
        <v>43897.645833333336</v>
      </c>
      <c r="D865">
        <v>22101.75</v>
      </c>
      <c r="E865">
        <v>22130.3</v>
      </c>
      <c r="F865">
        <v>21768</v>
      </c>
      <c r="G865">
        <v>21852.400000000001</v>
      </c>
      <c r="H865">
        <v>0</v>
      </c>
      <c r="I865" s="8">
        <f t="shared" si="53"/>
        <v>-4.5915857369313029E-3</v>
      </c>
      <c r="J865" s="8">
        <f t="shared" si="54"/>
        <v>-4.6021594458634796E-3</v>
      </c>
      <c r="K865" s="8">
        <f t="shared" si="51"/>
        <v>0.20013070926250887</v>
      </c>
    </row>
    <row r="866" spans="1:11" x14ac:dyDescent="0.25">
      <c r="A866" t="str">
        <f t="shared" si="52"/>
        <v>72020</v>
      </c>
      <c r="B866" s="1">
        <v>44018</v>
      </c>
      <c r="C866" s="10">
        <v>43989.645833333336</v>
      </c>
      <c r="D866">
        <v>22270.95</v>
      </c>
      <c r="E866">
        <v>22399.25</v>
      </c>
      <c r="F866">
        <v>22171.05</v>
      </c>
      <c r="G866">
        <v>22198.95</v>
      </c>
      <c r="H866">
        <v>0</v>
      </c>
      <c r="I866" s="8">
        <f t="shared" si="53"/>
        <v>1.5858669985905349E-2</v>
      </c>
      <c r="J866" s="8">
        <f t="shared" si="54"/>
        <v>1.5734235135802143E-2</v>
      </c>
      <c r="K866" s="8">
        <f t="shared" si="51"/>
        <v>0.28694787614569872</v>
      </c>
    </row>
    <row r="867" spans="1:11" x14ac:dyDescent="0.25">
      <c r="A867" t="str">
        <f t="shared" si="52"/>
        <v>72020</v>
      </c>
      <c r="B867" s="1">
        <v>44019</v>
      </c>
      <c r="C867" s="10">
        <v>44019.645833333336</v>
      </c>
      <c r="D867">
        <v>22254.3</v>
      </c>
      <c r="E867">
        <v>22674.5</v>
      </c>
      <c r="F867">
        <v>22040.35</v>
      </c>
      <c r="G867">
        <v>22628</v>
      </c>
      <c r="H867">
        <v>0</v>
      </c>
      <c r="I867" s="8">
        <f t="shared" si="53"/>
        <v>1.9327490714650786E-2</v>
      </c>
      <c r="J867" s="8">
        <f t="shared" si="54"/>
        <v>1.9143087018525108E-2</v>
      </c>
      <c r="K867" s="8">
        <f t="shared" si="51"/>
        <v>0.18704262295081975</v>
      </c>
    </row>
    <row r="868" spans="1:11" x14ac:dyDescent="0.25">
      <c r="A868" t="str">
        <f t="shared" si="52"/>
        <v>72020</v>
      </c>
      <c r="B868" s="1">
        <v>44020</v>
      </c>
      <c r="C868" s="10">
        <v>44050.645833333336</v>
      </c>
      <c r="D868">
        <v>22700.9</v>
      </c>
      <c r="E868">
        <v>23080.6</v>
      </c>
      <c r="F868">
        <v>22499.5</v>
      </c>
      <c r="G868">
        <v>22584.65</v>
      </c>
      <c r="H868">
        <v>0</v>
      </c>
      <c r="I868" s="8">
        <f t="shared" si="53"/>
        <v>-1.9157680749513073E-3</v>
      </c>
      <c r="J868" s="8">
        <f t="shared" si="54"/>
        <v>-1.9176055057123019E-3</v>
      </c>
      <c r="K868" s="8">
        <f t="shared" si="51"/>
        <v>0.19202541900989378</v>
      </c>
    </row>
    <row r="869" spans="1:11" x14ac:dyDescent="0.25">
      <c r="A869" t="str">
        <f t="shared" si="52"/>
        <v>72020</v>
      </c>
      <c r="B869" s="1">
        <v>44021</v>
      </c>
      <c r="C869" s="10">
        <v>44081.645833333336</v>
      </c>
      <c r="D869">
        <v>22753.15</v>
      </c>
      <c r="E869">
        <v>22998.3</v>
      </c>
      <c r="F869">
        <v>22673.4</v>
      </c>
      <c r="G869">
        <v>22907.200000000001</v>
      </c>
      <c r="H869">
        <v>0</v>
      </c>
      <c r="I869" s="8">
        <f t="shared" si="53"/>
        <v>1.4281824159329437E-2</v>
      </c>
      <c r="J869" s="8">
        <f t="shared" si="54"/>
        <v>1.4180799648729127E-2</v>
      </c>
      <c r="K869" s="8">
        <f t="shared" si="51"/>
        <v>0.15032942310782582</v>
      </c>
    </row>
    <row r="870" spans="1:11" x14ac:dyDescent="0.25">
      <c r="A870" t="str">
        <f t="shared" si="52"/>
        <v>72020</v>
      </c>
      <c r="B870" s="1">
        <v>44022</v>
      </c>
      <c r="C870" s="10">
        <v>44111.645833333336</v>
      </c>
      <c r="D870">
        <v>22720.95</v>
      </c>
      <c r="E870">
        <v>22835.200000000001</v>
      </c>
      <c r="F870">
        <v>22320.05</v>
      </c>
      <c r="G870">
        <v>22398.45</v>
      </c>
      <c r="H870">
        <v>0</v>
      </c>
      <c r="I870" s="8">
        <f t="shared" si="53"/>
        <v>-2.2209174408046373E-2</v>
      </c>
      <c r="J870" s="8">
        <f t="shared" si="54"/>
        <v>-2.2459511585686594E-2</v>
      </c>
      <c r="K870" s="8">
        <f t="shared" si="51"/>
        <v>0.14934575123152705</v>
      </c>
    </row>
    <row r="871" spans="1:11" x14ac:dyDescent="0.25">
      <c r="A871" t="str">
        <f t="shared" si="52"/>
        <v>72020</v>
      </c>
      <c r="B871" s="1">
        <v>44025</v>
      </c>
      <c r="C871" t="s">
        <v>551</v>
      </c>
      <c r="D871">
        <v>22613.25</v>
      </c>
      <c r="E871">
        <v>22657.4</v>
      </c>
      <c r="F871">
        <v>21981.65</v>
      </c>
      <c r="G871">
        <v>22089.25</v>
      </c>
      <c r="H871">
        <v>0</v>
      </c>
      <c r="I871" s="8">
        <f t="shared" si="53"/>
        <v>-1.3804526652513971E-2</v>
      </c>
      <c r="J871" s="8">
        <f t="shared" si="54"/>
        <v>-1.3900695197082577E-2</v>
      </c>
      <c r="K871" s="8">
        <f t="shared" si="51"/>
        <v>0.15911171980972916</v>
      </c>
    </row>
    <row r="872" spans="1:11" x14ac:dyDescent="0.25">
      <c r="A872" t="str">
        <f t="shared" si="52"/>
        <v>72020</v>
      </c>
      <c r="B872" s="1">
        <v>44026</v>
      </c>
      <c r="C872" t="s">
        <v>552</v>
      </c>
      <c r="D872">
        <v>21877.599999999999</v>
      </c>
      <c r="E872">
        <v>21909.7</v>
      </c>
      <c r="F872">
        <v>21222.45</v>
      </c>
      <c r="G872">
        <v>21392.2</v>
      </c>
      <c r="H872">
        <v>0</v>
      </c>
      <c r="I872" s="8">
        <f t="shared" si="53"/>
        <v>-3.1556073655737538E-2</v>
      </c>
      <c r="J872" s="8">
        <f t="shared" si="54"/>
        <v>-3.2064695235819909E-2</v>
      </c>
      <c r="K872" s="8">
        <f t="shared" si="51"/>
        <v>0.10269072164948456</v>
      </c>
    </row>
    <row r="873" spans="1:11" x14ac:dyDescent="0.25">
      <c r="A873" t="str">
        <f t="shared" si="52"/>
        <v>72020</v>
      </c>
      <c r="B873" s="1">
        <v>44027</v>
      </c>
      <c r="C873" t="s">
        <v>553</v>
      </c>
      <c r="D873">
        <v>21634.25</v>
      </c>
      <c r="E873">
        <v>21935.5</v>
      </c>
      <c r="F873">
        <v>21230.55</v>
      </c>
      <c r="G873">
        <v>21340.75</v>
      </c>
      <c r="H873">
        <v>0</v>
      </c>
      <c r="I873" s="8">
        <f t="shared" si="53"/>
        <v>-2.4050822262320359E-3</v>
      </c>
      <c r="J873" s="8">
        <f t="shared" si="54"/>
        <v>-2.4079790822061683E-3</v>
      </c>
      <c r="K873" s="8">
        <f t="shared" si="51"/>
        <v>3.1878809271109976E-2</v>
      </c>
    </row>
    <row r="874" spans="1:11" x14ac:dyDescent="0.25">
      <c r="A874" t="str">
        <f t="shared" si="52"/>
        <v>72020</v>
      </c>
      <c r="B874" s="1">
        <v>44028</v>
      </c>
      <c r="C874" t="s">
        <v>554</v>
      </c>
      <c r="D874">
        <v>21453.25</v>
      </c>
      <c r="E874">
        <v>21671.25</v>
      </c>
      <c r="F874">
        <v>21027.85</v>
      </c>
      <c r="G874">
        <v>21597.15</v>
      </c>
      <c r="H874">
        <v>0</v>
      </c>
      <c r="I874" s="8">
        <f t="shared" si="53"/>
        <v>1.2014573058585221E-2</v>
      </c>
      <c r="J874" s="8">
        <f t="shared" si="54"/>
        <v>1.194297101711011E-2</v>
      </c>
      <c r="K874" s="8">
        <f t="shared" si="51"/>
        <v>5.23567862824732E-2</v>
      </c>
    </row>
    <row r="875" spans="1:11" x14ac:dyDescent="0.25">
      <c r="A875" t="str">
        <f t="shared" si="52"/>
        <v>72020</v>
      </c>
      <c r="B875" s="1">
        <v>44029</v>
      </c>
      <c r="C875" t="s">
        <v>555</v>
      </c>
      <c r="D875">
        <v>21608.05</v>
      </c>
      <c r="E875">
        <v>22065</v>
      </c>
      <c r="F875">
        <v>21550.799999999999</v>
      </c>
      <c r="G875">
        <v>21966.799999999999</v>
      </c>
      <c r="H875">
        <v>0</v>
      </c>
      <c r="I875" s="8">
        <f t="shared" si="53"/>
        <v>1.7115684245374796E-2</v>
      </c>
      <c r="J875" s="8">
        <f t="shared" si="54"/>
        <v>1.6970861084421009E-2</v>
      </c>
      <c r="K875" s="8">
        <f t="shared" si="51"/>
        <v>0.1317638148624245</v>
      </c>
    </row>
    <row r="876" spans="1:11" x14ac:dyDescent="0.25">
      <c r="A876" t="str">
        <f t="shared" si="52"/>
        <v>72020</v>
      </c>
      <c r="B876" s="1">
        <v>44032</v>
      </c>
      <c r="C876" t="s">
        <v>556</v>
      </c>
      <c r="D876">
        <v>22307.3</v>
      </c>
      <c r="E876">
        <v>22520.45</v>
      </c>
      <c r="F876">
        <v>22187.8</v>
      </c>
      <c r="G876">
        <v>22321.85</v>
      </c>
      <c r="H876">
        <v>0</v>
      </c>
      <c r="I876" s="8">
        <f t="shared" si="53"/>
        <v>1.6163027842016175E-2</v>
      </c>
      <c r="J876" s="8">
        <f t="shared" si="54"/>
        <v>1.603379675831058E-2</v>
      </c>
      <c r="K876" s="8">
        <f t="shared" si="51"/>
        <v>0.13298243565959544</v>
      </c>
    </row>
    <row r="877" spans="1:11" x14ac:dyDescent="0.25">
      <c r="A877" t="str">
        <f t="shared" si="52"/>
        <v>72020</v>
      </c>
      <c r="B877" s="1">
        <v>44033</v>
      </c>
      <c r="C877" t="s">
        <v>557</v>
      </c>
      <c r="D877">
        <v>22639.85</v>
      </c>
      <c r="E877">
        <v>22861.9</v>
      </c>
      <c r="F877">
        <v>22597.95</v>
      </c>
      <c r="G877">
        <v>22782</v>
      </c>
      <c r="H877">
        <v>0</v>
      </c>
      <c r="I877" s="8">
        <f t="shared" si="53"/>
        <v>2.0614330801434599E-2</v>
      </c>
      <c r="J877" s="8">
        <f t="shared" si="54"/>
        <v>2.0404731094747785E-2</v>
      </c>
      <c r="K877" s="8">
        <f t="shared" si="51"/>
        <v>0.12404066518814183</v>
      </c>
    </row>
    <row r="878" spans="1:11" x14ac:dyDescent="0.25">
      <c r="A878" t="str">
        <f t="shared" si="52"/>
        <v>72020</v>
      </c>
      <c r="B878" s="1">
        <v>44034</v>
      </c>
      <c r="C878" t="s">
        <v>558</v>
      </c>
      <c r="D878">
        <v>23159</v>
      </c>
      <c r="E878">
        <v>23211.35</v>
      </c>
      <c r="F878">
        <v>22658.2</v>
      </c>
      <c r="G878">
        <v>22882.6</v>
      </c>
      <c r="H878">
        <v>0</v>
      </c>
      <c r="I878" s="8">
        <f t="shared" si="53"/>
        <v>4.4157668334650069E-3</v>
      </c>
      <c r="J878" s="8">
        <f t="shared" si="54"/>
        <v>4.4060459413907561E-3</v>
      </c>
      <c r="K878" s="8">
        <f t="shared" si="51"/>
        <v>0.16827533039085285</v>
      </c>
    </row>
    <row r="879" spans="1:11" x14ac:dyDescent="0.25">
      <c r="A879" t="str">
        <f t="shared" si="52"/>
        <v>72020</v>
      </c>
      <c r="B879" s="1">
        <v>44035</v>
      </c>
      <c r="C879" t="s">
        <v>559</v>
      </c>
      <c r="D879">
        <v>22854.85</v>
      </c>
      <c r="E879">
        <v>23122.35</v>
      </c>
      <c r="F879">
        <v>22734.9</v>
      </c>
      <c r="G879">
        <v>23083.9</v>
      </c>
      <c r="H879">
        <v>0</v>
      </c>
      <c r="I879" s="8">
        <f t="shared" si="53"/>
        <v>8.7970772552070642E-3</v>
      </c>
      <c r="J879" s="8">
        <f t="shared" si="54"/>
        <v>8.7586084153739949E-3</v>
      </c>
      <c r="K879" s="8">
        <f t="shared" si="51"/>
        <v>0.14953077886475619</v>
      </c>
    </row>
    <row r="880" spans="1:11" x14ac:dyDescent="0.25">
      <c r="A880" t="str">
        <f t="shared" si="52"/>
        <v>72020</v>
      </c>
      <c r="B880" s="1">
        <v>44036</v>
      </c>
      <c r="C880" t="s">
        <v>560</v>
      </c>
      <c r="D880">
        <v>22853.200000000001</v>
      </c>
      <c r="E880">
        <v>22854.05</v>
      </c>
      <c r="F880">
        <v>22417.200000000001</v>
      </c>
      <c r="G880">
        <v>22662.05</v>
      </c>
      <c r="H880">
        <v>0</v>
      </c>
      <c r="I880" s="8">
        <f t="shared" si="53"/>
        <v>-1.8274641633346245E-2</v>
      </c>
      <c r="J880" s="8">
        <f t="shared" si="54"/>
        <v>-1.8443685541945483E-2</v>
      </c>
      <c r="K880" s="8">
        <f t="shared" si="51"/>
        <v>9.6315629066668018E-2</v>
      </c>
    </row>
    <row r="881" spans="1:11" x14ac:dyDescent="0.25">
      <c r="A881" t="str">
        <f t="shared" si="52"/>
        <v>72020</v>
      </c>
      <c r="B881" s="1">
        <v>44039</v>
      </c>
      <c r="C881" t="s">
        <v>561</v>
      </c>
      <c r="D881">
        <v>22664.6</v>
      </c>
      <c r="E881">
        <v>22668.05</v>
      </c>
      <c r="F881">
        <v>21801.35</v>
      </c>
      <c r="G881">
        <v>21848.75</v>
      </c>
      <c r="H881">
        <v>0</v>
      </c>
      <c r="I881" s="8">
        <f t="shared" si="53"/>
        <v>-3.5888191933209912E-2</v>
      </c>
      <c r="J881" s="8">
        <f t="shared" si="54"/>
        <v>-3.6548007625380317E-2</v>
      </c>
      <c r="K881" s="8">
        <f t="shared" si="51"/>
        <v>3.5966941992015222E-2</v>
      </c>
    </row>
    <row r="882" spans="1:11" x14ac:dyDescent="0.25">
      <c r="A882" t="str">
        <f t="shared" si="52"/>
        <v>72020</v>
      </c>
      <c r="B882" s="1">
        <v>44040</v>
      </c>
      <c r="C882" t="s">
        <v>562</v>
      </c>
      <c r="D882">
        <v>21940.15</v>
      </c>
      <c r="E882">
        <v>22233</v>
      </c>
      <c r="F882">
        <v>21611.4</v>
      </c>
      <c r="G882">
        <v>22105.200000000001</v>
      </c>
      <c r="H882">
        <v>0</v>
      </c>
      <c r="I882" s="8">
        <f t="shared" si="53"/>
        <v>1.1737513587733783E-2</v>
      </c>
      <c r="J882" s="8">
        <f t="shared" si="54"/>
        <v>1.1669163296875451E-2</v>
      </c>
      <c r="K882" s="8">
        <f t="shared" si="51"/>
        <v>2.6501660126773352E-2</v>
      </c>
    </row>
    <row r="883" spans="1:11" x14ac:dyDescent="0.25">
      <c r="A883" t="str">
        <f t="shared" si="52"/>
        <v>72020</v>
      </c>
      <c r="B883" s="1">
        <v>44041</v>
      </c>
      <c r="C883" t="s">
        <v>563</v>
      </c>
      <c r="D883">
        <v>22075</v>
      </c>
      <c r="E883">
        <v>22346.400000000001</v>
      </c>
      <c r="F883">
        <v>21906.35</v>
      </c>
      <c r="G883">
        <v>22076.6</v>
      </c>
      <c r="H883">
        <v>0</v>
      </c>
      <c r="I883" s="8">
        <f t="shared" si="53"/>
        <v>-1.2938132204187713E-3</v>
      </c>
      <c r="J883" s="8">
        <f t="shared" si="54"/>
        <v>-1.2946509193720477E-3</v>
      </c>
      <c r="K883" s="8">
        <f t="shared" si="51"/>
        <v>0.11815637860082306</v>
      </c>
    </row>
    <row r="884" spans="1:11" x14ac:dyDescent="0.25">
      <c r="A884" t="str">
        <f t="shared" si="52"/>
        <v>72020</v>
      </c>
      <c r="B884" s="1">
        <v>44042</v>
      </c>
      <c r="C884" t="s">
        <v>564</v>
      </c>
      <c r="D884">
        <v>22195.05</v>
      </c>
      <c r="E884">
        <v>22252.6</v>
      </c>
      <c r="F884">
        <v>21580.15</v>
      </c>
      <c r="G884">
        <v>21646.85</v>
      </c>
      <c r="H884">
        <v>0</v>
      </c>
      <c r="I884" s="8">
        <f t="shared" si="53"/>
        <v>-1.9466312747433934E-2</v>
      </c>
      <c r="J884" s="8">
        <f t="shared" si="54"/>
        <v>-1.9658276717608419E-2</v>
      </c>
      <c r="K884" s="8">
        <f t="shared" si="51"/>
        <v>0.12324257008315276</v>
      </c>
    </row>
    <row r="885" spans="1:11" x14ac:dyDescent="0.25">
      <c r="A885" t="str">
        <f t="shared" si="52"/>
        <v>72020</v>
      </c>
      <c r="B885" s="1">
        <v>44043</v>
      </c>
      <c r="C885" t="s">
        <v>565</v>
      </c>
      <c r="D885">
        <v>21730.55</v>
      </c>
      <c r="E885">
        <v>21806.95</v>
      </c>
      <c r="F885">
        <v>21375</v>
      </c>
      <c r="G885">
        <v>21640.05</v>
      </c>
      <c r="H885">
        <v>0</v>
      </c>
      <c r="I885" s="8">
        <f t="shared" si="53"/>
        <v>-3.1413346514619356E-4</v>
      </c>
      <c r="J885" s="8">
        <f t="shared" si="54"/>
        <v>-3.1418281539847035E-4</v>
      </c>
      <c r="K885" s="8">
        <f t="shared" si="51"/>
        <v>9.8783673655909787E-2</v>
      </c>
    </row>
    <row r="886" spans="1:11" x14ac:dyDescent="0.25">
      <c r="A886" t="str">
        <f t="shared" si="52"/>
        <v>82020</v>
      </c>
      <c r="B886" s="1">
        <v>44046</v>
      </c>
      <c r="C886" s="10">
        <v>43898.645833333336</v>
      </c>
      <c r="D886">
        <v>21543.8</v>
      </c>
      <c r="E886">
        <v>21543.8</v>
      </c>
      <c r="F886">
        <v>21031.45</v>
      </c>
      <c r="G886">
        <v>21072.1</v>
      </c>
      <c r="H886">
        <v>0</v>
      </c>
      <c r="I886" s="8">
        <f t="shared" si="53"/>
        <v>-2.6245318287157371E-2</v>
      </c>
      <c r="J886" s="8">
        <f t="shared" si="54"/>
        <v>-2.6595873887974398E-2</v>
      </c>
      <c r="K886" s="8">
        <f t="shared" si="51"/>
        <v>8.1075118767892196E-2</v>
      </c>
    </row>
    <row r="887" spans="1:11" x14ac:dyDescent="0.25">
      <c r="A887" t="str">
        <f t="shared" si="52"/>
        <v>82020</v>
      </c>
      <c r="B887" s="1">
        <v>44047</v>
      </c>
      <c r="C887" s="10">
        <v>43929.645833333336</v>
      </c>
      <c r="D887">
        <v>21248.25</v>
      </c>
      <c r="E887">
        <v>21576.35</v>
      </c>
      <c r="F887">
        <v>21057.75</v>
      </c>
      <c r="G887">
        <v>21490.5</v>
      </c>
      <c r="H887">
        <v>0</v>
      </c>
      <c r="I887" s="8">
        <f t="shared" si="53"/>
        <v>1.9855638498298855E-2</v>
      </c>
      <c r="J887" s="8">
        <f t="shared" si="54"/>
        <v>1.9661086395718317E-2</v>
      </c>
      <c r="K887" s="8">
        <f t="shared" si="51"/>
        <v>0.11045373044866658</v>
      </c>
    </row>
    <row r="888" spans="1:11" x14ac:dyDescent="0.25">
      <c r="A888" t="str">
        <f t="shared" si="52"/>
        <v>82020</v>
      </c>
      <c r="B888" s="1">
        <v>44048</v>
      </c>
      <c r="C888" s="10">
        <v>43959.645833333336</v>
      </c>
      <c r="D888">
        <v>21686.85</v>
      </c>
      <c r="E888">
        <v>21936.5</v>
      </c>
      <c r="F888">
        <v>21448.400000000001</v>
      </c>
      <c r="G888">
        <v>21509.95</v>
      </c>
      <c r="H888">
        <v>0</v>
      </c>
      <c r="I888" s="8">
        <f t="shared" si="53"/>
        <v>9.0505106907712296E-4</v>
      </c>
      <c r="J888" s="8">
        <f t="shared" si="54"/>
        <v>9.0464175730505805E-4</v>
      </c>
      <c r="K888" s="8">
        <f t="shared" si="51"/>
        <v>0.13505976095617545</v>
      </c>
    </row>
    <row r="889" spans="1:11" x14ac:dyDescent="0.25">
      <c r="A889" t="str">
        <f t="shared" si="52"/>
        <v>82020</v>
      </c>
      <c r="B889" s="1">
        <v>44049</v>
      </c>
      <c r="C889" s="10">
        <v>43990.645833333336</v>
      </c>
      <c r="D889">
        <v>21644.25</v>
      </c>
      <c r="E889">
        <v>21926.55</v>
      </c>
      <c r="F889">
        <v>21370.3</v>
      </c>
      <c r="G889">
        <v>21642.6</v>
      </c>
      <c r="H889">
        <v>0</v>
      </c>
      <c r="I889" s="8">
        <f t="shared" si="53"/>
        <v>6.1669134516815216E-3</v>
      </c>
      <c r="J889" s="8">
        <f t="shared" si="54"/>
        <v>6.1479758587051235E-3</v>
      </c>
      <c r="K889" s="8">
        <f t="shared" si="51"/>
        <v>0.14736638418902759</v>
      </c>
    </row>
    <row r="890" spans="1:11" x14ac:dyDescent="0.25">
      <c r="A890" t="str">
        <f t="shared" si="52"/>
        <v>82020</v>
      </c>
      <c r="B890" s="1">
        <v>44050</v>
      </c>
      <c r="C890" s="10">
        <v>44020.645833333336</v>
      </c>
      <c r="D890">
        <v>21620.25</v>
      </c>
      <c r="E890">
        <v>21787.25</v>
      </c>
      <c r="F890">
        <v>21451.3</v>
      </c>
      <c r="G890">
        <v>21754</v>
      </c>
      <c r="H890">
        <v>0</v>
      </c>
      <c r="I890" s="8">
        <f t="shared" si="53"/>
        <v>5.1472558749874331E-3</v>
      </c>
      <c r="J890" s="8">
        <f t="shared" si="54"/>
        <v>5.134054036248825E-3</v>
      </c>
      <c r="K890" s="8">
        <f t="shared" si="51"/>
        <v>0.10792235274344986</v>
      </c>
    </row>
    <row r="891" spans="1:11" x14ac:dyDescent="0.25">
      <c r="A891" t="str">
        <f t="shared" si="52"/>
        <v>82020</v>
      </c>
      <c r="B891" s="1">
        <v>44053</v>
      </c>
      <c r="C891" s="10">
        <v>44112.645833333336</v>
      </c>
      <c r="D891">
        <v>21824.9</v>
      </c>
      <c r="E891">
        <v>22071.95</v>
      </c>
      <c r="F891">
        <v>21795.1</v>
      </c>
      <c r="G891">
        <v>21900.25</v>
      </c>
      <c r="H891">
        <v>0</v>
      </c>
      <c r="I891" s="8">
        <f t="shared" si="53"/>
        <v>6.7229015353498234E-3</v>
      </c>
      <c r="J891" s="8">
        <f t="shared" si="54"/>
        <v>6.7004036107541562E-3</v>
      </c>
      <c r="K891" s="8">
        <f t="shared" si="51"/>
        <v>0.14850407740514471</v>
      </c>
    </row>
    <row r="892" spans="1:11" x14ac:dyDescent="0.25">
      <c r="A892" t="str">
        <f t="shared" si="52"/>
        <v>82020</v>
      </c>
      <c r="B892" s="1">
        <v>44054</v>
      </c>
      <c r="C892" s="10">
        <v>44143.645833333336</v>
      </c>
      <c r="D892">
        <v>22050.2</v>
      </c>
      <c r="E892">
        <v>22277.599999999999</v>
      </c>
      <c r="F892">
        <v>22039.85</v>
      </c>
      <c r="G892">
        <v>22227.200000000001</v>
      </c>
      <c r="H892">
        <v>0</v>
      </c>
      <c r="I892" s="8">
        <f t="shared" si="53"/>
        <v>1.4929053321309116E-2</v>
      </c>
      <c r="J892" s="8">
        <f t="shared" si="54"/>
        <v>1.4818711845150458E-2</v>
      </c>
      <c r="K892" s="8">
        <f t="shared" si="51"/>
        <v>0.18016666710912999</v>
      </c>
    </row>
    <row r="893" spans="1:11" x14ac:dyDescent="0.25">
      <c r="A893" t="str">
        <f t="shared" si="52"/>
        <v>82020</v>
      </c>
      <c r="B893" s="1">
        <v>44055</v>
      </c>
      <c r="C893" s="10">
        <v>44173.645833333336</v>
      </c>
      <c r="D893">
        <v>22135.95</v>
      </c>
      <c r="E893">
        <v>22326.55</v>
      </c>
      <c r="F893">
        <v>21990.2</v>
      </c>
      <c r="G893">
        <v>22264</v>
      </c>
      <c r="H893">
        <v>0</v>
      </c>
      <c r="I893" s="8">
        <f t="shared" si="53"/>
        <v>1.6556291390728006E-3</v>
      </c>
      <c r="J893" s="8">
        <f t="shared" si="54"/>
        <v>1.6542600960264681E-3</v>
      </c>
      <c r="K893" s="8">
        <f t="shared" si="51"/>
        <v>0.26692918762661311</v>
      </c>
    </row>
    <row r="894" spans="1:11" x14ac:dyDescent="0.25">
      <c r="A894" t="str">
        <f t="shared" si="52"/>
        <v>82020</v>
      </c>
      <c r="B894" s="1">
        <v>44056</v>
      </c>
      <c r="C894" t="s">
        <v>566</v>
      </c>
      <c r="D894">
        <v>22395.200000000001</v>
      </c>
      <c r="E894">
        <v>22439.95</v>
      </c>
      <c r="F894">
        <v>22139.599999999999</v>
      </c>
      <c r="G894">
        <v>22196.35</v>
      </c>
      <c r="H894">
        <v>0</v>
      </c>
      <c r="I894" s="8">
        <f t="shared" si="53"/>
        <v>-3.0385375494071942E-3</v>
      </c>
      <c r="J894" s="8">
        <f t="shared" si="54"/>
        <v>-3.0431632773018935E-3</v>
      </c>
      <c r="K894" s="8">
        <f t="shared" si="51"/>
        <v>0.26936021159482437</v>
      </c>
    </row>
    <row r="895" spans="1:11" x14ac:dyDescent="0.25">
      <c r="A895" t="str">
        <f t="shared" si="52"/>
        <v>82020</v>
      </c>
      <c r="B895" s="1">
        <v>44057</v>
      </c>
      <c r="C895" t="s">
        <v>567</v>
      </c>
      <c r="D895">
        <v>22334.95</v>
      </c>
      <c r="E895">
        <v>22334.95</v>
      </c>
      <c r="F895">
        <v>21459.1</v>
      </c>
      <c r="G895">
        <v>21679.4</v>
      </c>
      <c r="H895">
        <v>0</v>
      </c>
      <c r="I895" s="8">
        <f t="shared" si="53"/>
        <v>-2.3289865225588735E-2</v>
      </c>
      <c r="J895" s="8">
        <f t="shared" si="54"/>
        <v>-2.3565360034562527E-2</v>
      </c>
      <c r="K895" s="8">
        <f t="shared" si="51"/>
        <v>0.21519938117285675</v>
      </c>
    </row>
    <row r="896" spans="1:11" x14ac:dyDescent="0.25">
      <c r="A896" t="str">
        <f t="shared" si="52"/>
        <v>82020</v>
      </c>
      <c r="B896" s="1">
        <v>44060</v>
      </c>
      <c r="C896" t="s">
        <v>568</v>
      </c>
      <c r="D896">
        <v>21906.95</v>
      </c>
      <c r="E896">
        <v>21909.4</v>
      </c>
      <c r="F896">
        <v>21403.15</v>
      </c>
      <c r="G896">
        <v>21700.85</v>
      </c>
      <c r="H896">
        <v>0</v>
      </c>
      <c r="I896" s="8">
        <f t="shared" si="53"/>
        <v>9.8941852634282235E-4</v>
      </c>
      <c r="J896" s="8">
        <f t="shared" si="54"/>
        <v>9.8892937445672359E-4</v>
      </c>
      <c r="K896" s="8">
        <f t="shared" ref="K896:K959" si="55">+G896/G835-1</f>
        <v>0.22361024183680955</v>
      </c>
    </row>
    <row r="897" spans="1:11" x14ac:dyDescent="0.25">
      <c r="A897" t="str">
        <f t="shared" si="52"/>
        <v>82020</v>
      </c>
      <c r="B897" s="1">
        <v>44061</v>
      </c>
      <c r="C897" t="s">
        <v>569</v>
      </c>
      <c r="D897">
        <v>21702</v>
      </c>
      <c r="E897">
        <v>22227.75</v>
      </c>
      <c r="F897">
        <v>21629.4</v>
      </c>
      <c r="G897">
        <v>22170.6</v>
      </c>
      <c r="H897">
        <v>0</v>
      </c>
      <c r="I897" s="8">
        <f t="shared" si="53"/>
        <v>2.1646617528806367E-2</v>
      </c>
      <c r="J897" s="8">
        <f t="shared" si="54"/>
        <v>2.1415656575284082E-2</v>
      </c>
      <c r="K897" s="8">
        <f t="shared" si="55"/>
        <v>0.28310251231270489</v>
      </c>
    </row>
    <row r="898" spans="1:11" x14ac:dyDescent="0.25">
      <c r="A898" t="str">
        <f t="shared" si="52"/>
        <v>82020</v>
      </c>
      <c r="B898" s="1">
        <v>44062</v>
      </c>
      <c r="C898" t="s">
        <v>570</v>
      </c>
      <c r="D898">
        <v>22315.4</v>
      </c>
      <c r="E898">
        <v>22419.35</v>
      </c>
      <c r="F898">
        <v>22234.25</v>
      </c>
      <c r="G898">
        <v>22285.9</v>
      </c>
      <c r="H898">
        <v>0</v>
      </c>
      <c r="I898" s="8">
        <f t="shared" si="53"/>
        <v>5.2005809495458966E-3</v>
      </c>
      <c r="J898" s="8">
        <f t="shared" si="54"/>
        <v>5.1871046313689212E-3</v>
      </c>
      <c r="K898" s="8">
        <f t="shared" si="55"/>
        <v>0.27783559389576484</v>
      </c>
    </row>
    <row r="899" spans="1:11" x14ac:dyDescent="0.25">
      <c r="A899" t="str">
        <f t="shared" ref="A899:A962" si="56">+MONTH(B899)&amp;YEAR(B899)</f>
        <v>82020</v>
      </c>
      <c r="B899" s="1">
        <v>44063</v>
      </c>
      <c r="C899" t="s">
        <v>571</v>
      </c>
      <c r="D899">
        <v>21989.9</v>
      </c>
      <c r="E899">
        <v>22079.9</v>
      </c>
      <c r="F899">
        <v>21886.7</v>
      </c>
      <c r="G899">
        <v>21999.45</v>
      </c>
      <c r="H899">
        <v>0</v>
      </c>
      <c r="I899" s="8">
        <f t="shared" si="53"/>
        <v>-1.285341852920463E-2</v>
      </c>
      <c r="J899" s="8">
        <f t="shared" si="54"/>
        <v>-1.2936738447024466E-2</v>
      </c>
      <c r="K899" s="8">
        <f t="shared" si="55"/>
        <v>0.1757778365681395</v>
      </c>
    </row>
    <row r="900" spans="1:11" x14ac:dyDescent="0.25">
      <c r="A900" t="str">
        <f t="shared" si="56"/>
        <v>82020</v>
      </c>
      <c r="B900" s="1">
        <v>44064</v>
      </c>
      <c r="C900" t="s">
        <v>572</v>
      </c>
      <c r="D900">
        <v>22190.7</v>
      </c>
      <c r="E900">
        <v>22344.05</v>
      </c>
      <c r="F900">
        <v>22165.05</v>
      </c>
      <c r="G900">
        <v>22299.599999999999</v>
      </c>
      <c r="H900">
        <v>0</v>
      </c>
      <c r="I900" s="8">
        <f t="shared" ref="I900:I963" si="57">+G900/G899-1</f>
        <v>1.3643522906254368E-2</v>
      </c>
      <c r="J900" s="8">
        <f t="shared" ref="J900:J963" si="58">+LN(1+I900)</f>
        <v>1.3551288039657534E-2</v>
      </c>
      <c r="K900" s="8">
        <f t="shared" si="55"/>
        <v>0.16326722240190294</v>
      </c>
    </row>
    <row r="901" spans="1:11" x14ac:dyDescent="0.25">
      <c r="A901" t="str">
        <f t="shared" si="56"/>
        <v>82020</v>
      </c>
      <c r="B901" s="1">
        <v>44067</v>
      </c>
      <c r="C901" t="s">
        <v>573</v>
      </c>
      <c r="D901">
        <v>22436.85</v>
      </c>
      <c r="E901">
        <v>22897.5</v>
      </c>
      <c r="F901">
        <v>22410.05</v>
      </c>
      <c r="G901">
        <v>22833</v>
      </c>
      <c r="H901">
        <v>0</v>
      </c>
      <c r="I901" s="8">
        <f t="shared" si="57"/>
        <v>2.3919711564333035E-2</v>
      </c>
      <c r="J901" s="8">
        <f t="shared" si="58"/>
        <v>2.3638116867895964E-2</v>
      </c>
      <c r="K901" s="8">
        <f t="shared" si="55"/>
        <v>0.18322558913834874</v>
      </c>
    </row>
    <row r="902" spans="1:11" x14ac:dyDescent="0.25">
      <c r="A902" t="str">
        <f t="shared" si="56"/>
        <v>82020</v>
      </c>
      <c r="B902" s="1">
        <v>44068</v>
      </c>
      <c r="C902" t="s">
        <v>574</v>
      </c>
      <c r="D902">
        <v>22973.4</v>
      </c>
      <c r="E902">
        <v>23180.3</v>
      </c>
      <c r="F902">
        <v>22857.9</v>
      </c>
      <c r="G902">
        <v>23092.15</v>
      </c>
      <c r="H902">
        <v>0</v>
      </c>
      <c r="I902" s="8">
        <f t="shared" si="57"/>
        <v>1.1349800727018078E-2</v>
      </c>
      <c r="J902" s="8">
        <f t="shared" si="58"/>
        <v>1.1285874980331781E-2</v>
      </c>
      <c r="K902" s="8">
        <f t="shared" si="55"/>
        <v>0.15692713891352161</v>
      </c>
    </row>
    <row r="903" spans="1:11" x14ac:dyDescent="0.25">
      <c r="A903" t="str">
        <f t="shared" si="56"/>
        <v>82020</v>
      </c>
      <c r="B903" s="1">
        <v>44069</v>
      </c>
      <c r="C903" t="s">
        <v>575</v>
      </c>
      <c r="D903">
        <v>23175.55</v>
      </c>
      <c r="E903">
        <v>23453.4</v>
      </c>
      <c r="F903">
        <v>23093.15</v>
      </c>
      <c r="G903">
        <v>23414.2</v>
      </c>
      <c r="H903">
        <v>0</v>
      </c>
      <c r="I903" s="8">
        <f t="shared" si="57"/>
        <v>1.3946297767856164E-2</v>
      </c>
      <c r="J903" s="8">
        <f t="shared" si="58"/>
        <v>1.3849942985312792E-2</v>
      </c>
      <c r="K903" s="8">
        <f t="shared" si="55"/>
        <v>0.14047598172448383</v>
      </c>
    </row>
    <row r="904" spans="1:11" x14ac:dyDescent="0.25">
      <c r="A904" t="str">
        <f t="shared" si="56"/>
        <v>82020</v>
      </c>
      <c r="B904" s="1">
        <v>44070</v>
      </c>
      <c r="C904" t="s">
        <v>576</v>
      </c>
      <c r="D904">
        <v>23511.45</v>
      </c>
      <c r="E904">
        <v>23704.05</v>
      </c>
      <c r="F904">
        <v>23464.15</v>
      </c>
      <c r="G904">
        <v>23600.35</v>
      </c>
      <c r="H904">
        <v>0</v>
      </c>
      <c r="I904" s="8">
        <f t="shared" si="57"/>
        <v>7.9503036618802092E-3</v>
      </c>
      <c r="J904" s="8">
        <f t="shared" si="58"/>
        <v>7.9188665110592454E-3</v>
      </c>
      <c r="K904" s="8">
        <f t="shared" si="55"/>
        <v>0.1270086482304793</v>
      </c>
    </row>
    <row r="905" spans="1:11" x14ac:dyDescent="0.25">
      <c r="A905" t="str">
        <f t="shared" si="56"/>
        <v>82020</v>
      </c>
      <c r="B905" s="1">
        <v>44071</v>
      </c>
      <c r="C905" t="s">
        <v>577</v>
      </c>
      <c r="D905">
        <v>23635.3</v>
      </c>
      <c r="E905">
        <v>24611.8</v>
      </c>
      <c r="F905">
        <v>23599.200000000001</v>
      </c>
      <c r="G905">
        <v>24523.8</v>
      </c>
      <c r="H905">
        <v>0</v>
      </c>
      <c r="I905" s="8">
        <f t="shared" si="57"/>
        <v>3.9128656990256472E-2</v>
      </c>
      <c r="J905" s="8">
        <f t="shared" si="58"/>
        <v>3.838253216065509E-2</v>
      </c>
      <c r="K905" s="8">
        <f t="shared" si="55"/>
        <v>0.20271009222454617</v>
      </c>
    </row>
    <row r="906" spans="1:11" x14ac:dyDescent="0.25">
      <c r="A906" t="str">
        <f t="shared" si="56"/>
        <v>82020</v>
      </c>
      <c r="B906" s="1">
        <v>44074</v>
      </c>
      <c r="C906" t="s">
        <v>578</v>
      </c>
      <c r="D906">
        <v>25038.799999999999</v>
      </c>
      <c r="E906">
        <v>25232.6</v>
      </c>
      <c r="F906">
        <v>23385.3</v>
      </c>
      <c r="G906">
        <v>23754.35</v>
      </c>
      <c r="H906">
        <v>0</v>
      </c>
      <c r="I906" s="8">
        <f t="shared" si="57"/>
        <v>-3.1375643252677055E-2</v>
      </c>
      <c r="J906" s="8">
        <f t="shared" si="58"/>
        <v>-3.1878402986695545E-2</v>
      </c>
      <c r="K906" s="8">
        <f t="shared" si="55"/>
        <v>0.12930423827521453</v>
      </c>
    </row>
    <row r="907" spans="1:11" x14ac:dyDescent="0.25">
      <c r="A907" t="str">
        <f t="shared" si="56"/>
        <v>92020</v>
      </c>
      <c r="B907" s="1">
        <v>44075</v>
      </c>
      <c r="C907" s="10">
        <v>43839.645833333336</v>
      </c>
      <c r="D907">
        <v>23893.8</v>
      </c>
      <c r="E907">
        <v>24199.65</v>
      </c>
      <c r="F907">
        <v>23473.15</v>
      </c>
      <c r="G907">
        <v>23812</v>
      </c>
      <c r="H907">
        <v>0</v>
      </c>
      <c r="I907" s="8">
        <f t="shared" si="57"/>
        <v>2.4269239107785889E-3</v>
      </c>
      <c r="J907" s="8">
        <f t="shared" si="58"/>
        <v>2.4239836871161177E-3</v>
      </c>
      <c r="K907" s="8">
        <f t="shared" si="55"/>
        <v>0.12387816314923761</v>
      </c>
    </row>
    <row r="908" spans="1:11" x14ac:dyDescent="0.25">
      <c r="A908" t="str">
        <f t="shared" si="56"/>
        <v>92020</v>
      </c>
      <c r="B908" s="1">
        <v>44076</v>
      </c>
      <c r="C908" s="10">
        <v>43870.645833333336</v>
      </c>
      <c r="D908">
        <v>23769</v>
      </c>
      <c r="E908">
        <v>23926.15</v>
      </c>
      <c r="F908">
        <v>23482.55</v>
      </c>
      <c r="G908">
        <v>23874.55</v>
      </c>
      <c r="H908">
        <v>0</v>
      </c>
      <c r="I908" s="8">
        <f t="shared" si="57"/>
        <v>2.6268268100118064E-3</v>
      </c>
      <c r="J908" s="8">
        <f t="shared" si="58"/>
        <v>2.6233827304821119E-3</v>
      </c>
      <c r="K908" s="8">
        <f t="shared" si="55"/>
        <v>0.15197419529165379</v>
      </c>
    </row>
    <row r="909" spans="1:11" x14ac:dyDescent="0.25">
      <c r="A909" t="str">
        <f t="shared" si="56"/>
        <v>92020</v>
      </c>
      <c r="B909" s="1">
        <v>44077</v>
      </c>
      <c r="C909" s="10">
        <v>43899.645833333336</v>
      </c>
      <c r="D909">
        <v>23986.15</v>
      </c>
      <c r="E909">
        <v>24051.599999999999</v>
      </c>
      <c r="F909">
        <v>23451.65</v>
      </c>
      <c r="G909">
        <v>23530.85</v>
      </c>
      <c r="H909">
        <v>0</v>
      </c>
      <c r="I909" s="8">
        <f t="shared" si="57"/>
        <v>-1.4396082858106229E-2</v>
      </c>
      <c r="J909" s="8">
        <f t="shared" si="58"/>
        <v>-1.4500711837916522E-2</v>
      </c>
      <c r="K909" s="8">
        <f t="shared" si="55"/>
        <v>0.11520087582523297</v>
      </c>
    </row>
    <row r="910" spans="1:11" x14ac:dyDescent="0.25">
      <c r="A910" t="str">
        <f t="shared" si="56"/>
        <v>92020</v>
      </c>
      <c r="B910" s="1">
        <v>44078</v>
      </c>
      <c r="C910" s="10">
        <v>43930.645833333336</v>
      </c>
      <c r="D910">
        <v>23119.15</v>
      </c>
      <c r="E910">
        <v>23394.799999999999</v>
      </c>
      <c r="F910">
        <v>22876.9</v>
      </c>
      <c r="G910">
        <v>23011.5</v>
      </c>
      <c r="H910">
        <v>0</v>
      </c>
      <c r="I910" s="8">
        <f t="shared" si="57"/>
        <v>-2.2071025908541264E-2</v>
      </c>
      <c r="J910" s="8">
        <f t="shared" si="58"/>
        <v>-2.2318235212908401E-2</v>
      </c>
      <c r="K910" s="8">
        <f t="shared" si="55"/>
        <v>0.12113675174115657</v>
      </c>
    </row>
    <row r="911" spans="1:11" x14ac:dyDescent="0.25">
      <c r="A911" t="str">
        <f t="shared" si="56"/>
        <v>92020</v>
      </c>
      <c r="B911" s="1">
        <v>44081</v>
      </c>
      <c r="C911" s="10">
        <v>44021.645833333336</v>
      </c>
      <c r="D911">
        <v>23036.25</v>
      </c>
      <c r="E911">
        <v>23109.1</v>
      </c>
      <c r="F911">
        <v>22716.25</v>
      </c>
      <c r="G911">
        <v>22945.05</v>
      </c>
      <c r="H911">
        <v>0</v>
      </c>
      <c r="I911" s="8">
        <f t="shared" si="57"/>
        <v>-2.8876865914868599E-3</v>
      </c>
      <c r="J911" s="8">
        <f t="shared" si="58"/>
        <v>-2.8918640023860393E-3</v>
      </c>
      <c r="K911" s="8">
        <f t="shared" si="55"/>
        <v>0.11089566221486313</v>
      </c>
    </row>
    <row r="912" spans="1:11" x14ac:dyDescent="0.25">
      <c r="A912" t="str">
        <f t="shared" si="56"/>
        <v>92020</v>
      </c>
      <c r="B912" s="1">
        <v>44082</v>
      </c>
      <c r="C912" s="10">
        <v>44052.645833333336</v>
      </c>
      <c r="D912">
        <v>22971.200000000001</v>
      </c>
      <c r="E912">
        <v>23064.15</v>
      </c>
      <c r="F912">
        <v>22641.4</v>
      </c>
      <c r="G912">
        <v>22744.400000000001</v>
      </c>
      <c r="H912">
        <v>0</v>
      </c>
      <c r="I912" s="8">
        <f t="shared" si="57"/>
        <v>-8.7448055245029632E-3</v>
      </c>
      <c r="J912" s="8">
        <f t="shared" si="58"/>
        <v>-8.7832657184395077E-3</v>
      </c>
      <c r="K912" s="8">
        <f t="shared" si="55"/>
        <v>0.14219425598481394</v>
      </c>
    </row>
    <row r="913" spans="1:11" x14ac:dyDescent="0.25">
      <c r="A913" t="str">
        <f t="shared" si="56"/>
        <v>92020</v>
      </c>
      <c r="B913" s="1">
        <v>44083</v>
      </c>
      <c r="C913" s="10">
        <v>44083.645833333336</v>
      </c>
      <c r="D913">
        <v>22486.7</v>
      </c>
      <c r="E913">
        <v>22554.6</v>
      </c>
      <c r="F913">
        <v>22080.400000000001</v>
      </c>
      <c r="G913">
        <v>22267</v>
      </c>
      <c r="H913">
        <v>0</v>
      </c>
      <c r="I913" s="8">
        <f t="shared" si="57"/>
        <v>-2.0989782100209298E-2</v>
      </c>
      <c r="J913" s="8">
        <f t="shared" si="58"/>
        <v>-2.1213199427654695E-2</v>
      </c>
      <c r="K913" s="8">
        <f t="shared" si="55"/>
        <v>9.7074893948277285E-2</v>
      </c>
    </row>
    <row r="914" spans="1:11" x14ac:dyDescent="0.25">
      <c r="A914" t="str">
        <f t="shared" si="56"/>
        <v>92020</v>
      </c>
      <c r="B914" s="1">
        <v>44084</v>
      </c>
      <c r="C914" s="10">
        <v>44113.645833333336</v>
      </c>
      <c r="D914">
        <v>22466.55</v>
      </c>
      <c r="E914">
        <v>22678.65</v>
      </c>
      <c r="F914">
        <v>22225.25</v>
      </c>
      <c r="G914">
        <v>22466.2</v>
      </c>
      <c r="H914">
        <v>0</v>
      </c>
      <c r="I914" s="8">
        <f t="shared" si="57"/>
        <v>8.9459738626667118E-3</v>
      </c>
      <c r="J914" s="8">
        <f t="shared" si="58"/>
        <v>8.9061956987472948E-3</v>
      </c>
      <c r="K914" s="8">
        <f t="shared" si="55"/>
        <v>0.11209177422748029</v>
      </c>
    </row>
    <row r="915" spans="1:11" x14ac:dyDescent="0.25">
      <c r="A915" t="str">
        <f t="shared" si="56"/>
        <v>92020</v>
      </c>
      <c r="B915" s="1">
        <v>44085</v>
      </c>
      <c r="C915" s="10">
        <v>44144.645833333336</v>
      </c>
      <c r="D915">
        <v>22509.95</v>
      </c>
      <c r="E915">
        <v>22668.75</v>
      </c>
      <c r="F915">
        <v>22205.95</v>
      </c>
      <c r="G915">
        <v>22479.95</v>
      </c>
      <c r="H915">
        <v>0</v>
      </c>
      <c r="I915" s="8">
        <f t="shared" si="57"/>
        <v>6.1203051695435384E-4</v>
      </c>
      <c r="J915" s="8">
        <f t="shared" si="58"/>
        <v>6.1184330266085801E-4</v>
      </c>
      <c r="K915" s="8">
        <f t="shared" si="55"/>
        <v>7.2706059752914554E-2</v>
      </c>
    </row>
    <row r="916" spans="1:11" x14ac:dyDescent="0.25">
      <c r="A916" t="str">
        <f t="shared" si="56"/>
        <v>92020</v>
      </c>
      <c r="B916" s="1">
        <v>44088</v>
      </c>
      <c r="C916" t="s">
        <v>579</v>
      </c>
      <c r="D916">
        <v>22683.35</v>
      </c>
      <c r="E916">
        <v>22757.3</v>
      </c>
      <c r="F916">
        <v>22028.15</v>
      </c>
      <c r="G916">
        <v>22101.25</v>
      </c>
      <c r="H916">
        <v>0</v>
      </c>
      <c r="I916" s="8">
        <f t="shared" si="57"/>
        <v>-1.6846122878387271E-2</v>
      </c>
      <c r="J916" s="8">
        <f t="shared" si="58"/>
        <v>-1.6989632813566549E-2</v>
      </c>
      <c r="K916" s="8">
        <f t="shared" si="55"/>
        <v>3.5764665082645752E-2</v>
      </c>
    </row>
    <row r="917" spans="1:11" x14ac:dyDescent="0.25">
      <c r="A917" t="str">
        <f t="shared" si="56"/>
        <v>92020</v>
      </c>
      <c r="B917" s="1">
        <v>44089</v>
      </c>
      <c r="C917" t="s">
        <v>580</v>
      </c>
      <c r="D917">
        <v>22202.799999999999</v>
      </c>
      <c r="E917">
        <v>22514.15</v>
      </c>
      <c r="F917">
        <v>22062.35</v>
      </c>
      <c r="G917">
        <v>22465.65</v>
      </c>
      <c r="H917">
        <v>0</v>
      </c>
      <c r="I917" s="8">
        <f t="shared" si="57"/>
        <v>1.648775521746515E-2</v>
      </c>
      <c r="J917" s="8">
        <f t="shared" si="58"/>
        <v>1.6353307990557522E-2</v>
      </c>
      <c r="K917" s="8">
        <f t="shared" si="55"/>
        <v>3.4885193946108339E-2</v>
      </c>
    </row>
    <row r="918" spans="1:11" x14ac:dyDescent="0.25">
      <c r="A918" t="str">
        <f t="shared" si="56"/>
        <v>92020</v>
      </c>
      <c r="B918" s="1">
        <v>44090</v>
      </c>
      <c r="C918" t="s">
        <v>581</v>
      </c>
      <c r="D918">
        <v>22476.3</v>
      </c>
      <c r="E918">
        <v>22659.4</v>
      </c>
      <c r="F918">
        <v>22216.5</v>
      </c>
      <c r="G918">
        <v>22573.55</v>
      </c>
      <c r="H918">
        <v>0</v>
      </c>
      <c r="I918" s="8">
        <f t="shared" si="57"/>
        <v>4.8028879645145572E-3</v>
      </c>
      <c r="J918" s="8">
        <f t="shared" si="58"/>
        <v>4.7913908961724934E-3</v>
      </c>
      <c r="K918" s="8">
        <f t="shared" si="55"/>
        <v>1.3862626825182245E-2</v>
      </c>
    </row>
    <row r="919" spans="1:11" x14ac:dyDescent="0.25">
      <c r="A919" t="str">
        <f t="shared" si="56"/>
        <v>92020</v>
      </c>
      <c r="B919" s="1">
        <v>44091</v>
      </c>
      <c r="C919" t="s">
        <v>582</v>
      </c>
      <c r="D919">
        <v>22352</v>
      </c>
      <c r="E919">
        <v>22504.45</v>
      </c>
      <c r="F919">
        <v>22267.05</v>
      </c>
      <c r="G919">
        <v>22320.35</v>
      </c>
      <c r="H919">
        <v>0</v>
      </c>
      <c r="I919" s="8">
        <f t="shared" si="57"/>
        <v>-1.1216667294244864E-2</v>
      </c>
      <c r="J919" s="8">
        <f t="shared" si="58"/>
        <v>-1.1280048503143458E-2</v>
      </c>
      <c r="K919" s="8">
        <f t="shared" si="55"/>
        <v>4.1702447402318654E-2</v>
      </c>
    </row>
    <row r="920" spans="1:11" x14ac:dyDescent="0.25">
      <c r="A920" t="str">
        <f t="shared" si="56"/>
        <v>92020</v>
      </c>
      <c r="B920" s="1">
        <v>44092</v>
      </c>
      <c r="C920" t="s">
        <v>583</v>
      </c>
      <c r="D920">
        <v>22439.35</v>
      </c>
      <c r="E920">
        <v>22469.4</v>
      </c>
      <c r="F920">
        <v>21784.9</v>
      </c>
      <c r="G920">
        <v>22031.05</v>
      </c>
      <c r="H920">
        <v>0</v>
      </c>
      <c r="I920" s="8">
        <f t="shared" si="57"/>
        <v>-1.2961266288387008E-2</v>
      </c>
      <c r="J920" s="8">
        <f t="shared" si="58"/>
        <v>-1.3045996436596432E-2</v>
      </c>
      <c r="K920" s="8">
        <f t="shared" si="55"/>
        <v>2.4406971959183732E-2</v>
      </c>
    </row>
    <row r="921" spans="1:11" x14ac:dyDescent="0.25">
      <c r="A921" t="str">
        <f t="shared" si="56"/>
        <v>92020</v>
      </c>
      <c r="B921" s="1">
        <v>44095</v>
      </c>
      <c r="C921" t="s">
        <v>584</v>
      </c>
      <c r="D921">
        <v>21983.4</v>
      </c>
      <c r="E921">
        <v>22098.85</v>
      </c>
      <c r="F921">
        <v>21274.3</v>
      </c>
      <c r="G921">
        <v>21366.799999999999</v>
      </c>
      <c r="H921">
        <v>0</v>
      </c>
      <c r="I921" s="8">
        <f t="shared" si="57"/>
        <v>-3.0150628317760608E-2</v>
      </c>
      <c r="J921" s="8">
        <f t="shared" si="58"/>
        <v>-3.061450646849791E-2</v>
      </c>
      <c r="K921" s="8">
        <f t="shared" si="55"/>
        <v>-1.0432080325860627E-2</v>
      </c>
    </row>
    <row r="922" spans="1:11" x14ac:dyDescent="0.25">
      <c r="A922" t="str">
        <f t="shared" si="56"/>
        <v>92020</v>
      </c>
      <c r="B922" s="1">
        <v>44096</v>
      </c>
      <c r="C922" t="s">
        <v>585</v>
      </c>
      <c r="D922">
        <v>21445.25</v>
      </c>
      <c r="E922">
        <v>21473.35</v>
      </c>
      <c r="F922">
        <v>20958.45</v>
      </c>
      <c r="G922">
        <v>21139.1</v>
      </c>
      <c r="H922">
        <v>0</v>
      </c>
      <c r="I922" s="8">
        <f t="shared" si="57"/>
        <v>-1.0656719770859469E-2</v>
      </c>
      <c r="J922" s="8">
        <f t="shared" si="58"/>
        <v>-1.0713909273551358E-2</v>
      </c>
      <c r="K922" s="8">
        <f t="shared" si="55"/>
        <v>-1.029542581581544E-2</v>
      </c>
    </row>
    <row r="923" spans="1:11" x14ac:dyDescent="0.25">
      <c r="A923" t="str">
        <f t="shared" si="56"/>
        <v>92020</v>
      </c>
      <c r="B923" s="1">
        <v>44097</v>
      </c>
      <c r="C923" t="s">
        <v>586</v>
      </c>
      <c r="D923">
        <v>21350.799999999999</v>
      </c>
      <c r="E923">
        <v>21365.05</v>
      </c>
      <c r="F923">
        <v>20821</v>
      </c>
      <c r="G923">
        <v>21178.5</v>
      </c>
      <c r="H923">
        <v>0</v>
      </c>
      <c r="I923" s="8">
        <f t="shared" si="57"/>
        <v>1.8638447237584455E-3</v>
      </c>
      <c r="J923" s="8">
        <f t="shared" si="58"/>
        <v>1.8621099204494905E-3</v>
      </c>
      <c r="K923" s="8">
        <f t="shared" si="55"/>
        <v>-8.9681167422784869E-3</v>
      </c>
    </row>
    <row r="924" spans="1:11" x14ac:dyDescent="0.25">
      <c r="A924" t="str">
        <f t="shared" si="56"/>
        <v>92020</v>
      </c>
      <c r="B924" s="1">
        <v>44098</v>
      </c>
      <c r="C924" t="s">
        <v>587</v>
      </c>
      <c r="D924">
        <v>20898.8</v>
      </c>
      <c r="E924">
        <v>20955.599999999999</v>
      </c>
      <c r="F924">
        <v>20404.900000000001</v>
      </c>
      <c r="G924">
        <v>20456.849999999999</v>
      </c>
      <c r="H924">
        <v>0</v>
      </c>
      <c r="I924" s="8">
        <f t="shared" si="57"/>
        <v>-3.4074651179262005E-2</v>
      </c>
      <c r="J924" s="8">
        <f t="shared" si="58"/>
        <v>-3.4668726409248382E-2</v>
      </c>
      <c r="K924" s="8">
        <f t="shared" si="55"/>
        <v>-6.9195453552708175E-2</v>
      </c>
    </row>
    <row r="925" spans="1:11" x14ac:dyDescent="0.25">
      <c r="A925" t="str">
        <f t="shared" si="56"/>
        <v>92020</v>
      </c>
      <c r="B925" s="1">
        <v>44099</v>
      </c>
      <c r="C925" t="s">
        <v>588</v>
      </c>
      <c r="D925">
        <v>20740.8</v>
      </c>
      <c r="E925">
        <v>21064.3</v>
      </c>
      <c r="F925">
        <v>20430.7</v>
      </c>
      <c r="G925">
        <v>20982.35</v>
      </c>
      <c r="H925">
        <v>0</v>
      </c>
      <c r="I925" s="8">
        <f t="shared" si="57"/>
        <v>2.5688216905339845E-2</v>
      </c>
      <c r="J925" s="8">
        <f t="shared" si="58"/>
        <v>2.5363818408500421E-2</v>
      </c>
      <c r="K925" s="8">
        <f t="shared" si="55"/>
        <v>-4.4223621157735593E-2</v>
      </c>
    </row>
    <row r="926" spans="1:11" x14ac:dyDescent="0.25">
      <c r="A926" t="str">
        <f t="shared" si="56"/>
        <v>92020</v>
      </c>
      <c r="B926" s="1">
        <v>44102</v>
      </c>
      <c r="C926" t="s">
        <v>589</v>
      </c>
      <c r="D926">
        <v>21152.05</v>
      </c>
      <c r="E926">
        <v>21708.85</v>
      </c>
      <c r="F926">
        <v>21055.1</v>
      </c>
      <c r="G926">
        <v>21665.5</v>
      </c>
      <c r="H926">
        <v>0</v>
      </c>
      <c r="I926" s="8">
        <f t="shared" si="57"/>
        <v>3.2558316871084569E-2</v>
      </c>
      <c r="J926" s="8">
        <f t="shared" si="58"/>
        <v>3.2039525489120736E-2</v>
      </c>
      <c r="K926" s="8">
        <f t="shared" si="55"/>
        <v>-8.5528363017335352E-3</v>
      </c>
    </row>
    <row r="927" spans="1:11" x14ac:dyDescent="0.25">
      <c r="A927" t="str">
        <f t="shared" si="56"/>
        <v>92020</v>
      </c>
      <c r="B927" s="1">
        <v>44103</v>
      </c>
      <c r="C927" t="s">
        <v>590</v>
      </c>
      <c r="D927">
        <v>21770.9</v>
      </c>
      <c r="E927">
        <v>21811.5</v>
      </c>
      <c r="F927">
        <v>21280.6</v>
      </c>
      <c r="G927">
        <v>21411.3</v>
      </c>
      <c r="H927">
        <v>0</v>
      </c>
      <c r="I927" s="8">
        <f t="shared" si="57"/>
        <v>-1.1732939465971315E-2</v>
      </c>
      <c r="J927" s="8">
        <f t="shared" si="58"/>
        <v>-1.1802313575623819E-2</v>
      </c>
      <c r="K927" s="8">
        <f t="shared" si="55"/>
        <v>-3.5481407904427997E-2</v>
      </c>
    </row>
    <row r="928" spans="1:11" x14ac:dyDescent="0.25">
      <c r="A928" t="str">
        <f t="shared" si="56"/>
        <v>92020</v>
      </c>
      <c r="B928" s="1">
        <v>44104</v>
      </c>
      <c r="C928" t="s">
        <v>591</v>
      </c>
      <c r="D928">
        <v>21405.25</v>
      </c>
      <c r="E928">
        <v>21549.35</v>
      </c>
      <c r="F928">
        <v>21128.5</v>
      </c>
      <c r="G928">
        <v>21451.8</v>
      </c>
      <c r="H928">
        <v>0</v>
      </c>
      <c r="I928" s="8">
        <f t="shared" si="57"/>
        <v>1.8915245688024829E-3</v>
      </c>
      <c r="J928" s="8">
        <f t="shared" si="58"/>
        <v>1.8897378888831527E-3</v>
      </c>
      <c r="K928" s="8">
        <f t="shared" si="55"/>
        <v>-5.1979847975959004E-2</v>
      </c>
    </row>
    <row r="929" spans="1:11" x14ac:dyDescent="0.25">
      <c r="A929" t="str">
        <f t="shared" si="56"/>
        <v>102020</v>
      </c>
      <c r="B929" s="1">
        <v>44105</v>
      </c>
      <c r="C929" s="10">
        <v>43840.645833333336</v>
      </c>
      <c r="D929">
        <v>21685.25</v>
      </c>
      <c r="E929">
        <v>22293.75</v>
      </c>
      <c r="F929">
        <v>21664.15</v>
      </c>
      <c r="G929">
        <v>22246</v>
      </c>
      <c r="H929">
        <v>0</v>
      </c>
      <c r="I929" s="8">
        <f t="shared" si="57"/>
        <v>3.702253423955093E-2</v>
      </c>
      <c r="J929" s="8">
        <f t="shared" si="58"/>
        <v>3.6353659232653025E-2</v>
      </c>
      <c r="K929" s="8">
        <f t="shared" si="55"/>
        <v>-1.4994697726110506E-2</v>
      </c>
    </row>
    <row r="930" spans="1:11" x14ac:dyDescent="0.25">
      <c r="A930" t="str">
        <f t="shared" si="56"/>
        <v>102020</v>
      </c>
      <c r="B930" s="1">
        <v>44109</v>
      </c>
      <c r="C930" s="10">
        <v>43961.645833333336</v>
      </c>
      <c r="D930">
        <v>22352.1</v>
      </c>
      <c r="E930">
        <v>22768.55</v>
      </c>
      <c r="F930">
        <v>22247.25</v>
      </c>
      <c r="G930">
        <v>22370.95</v>
      </c>
      <c r="H930">
        <v>0</v>
      </c>
      <c r="I930" s="8">
        <f t="shared" si="57"/>
        <v>5.6167400881057539E-3</v>
      </c>
      <c r="J930" s="8">
        <f t="shared" si="58"/>
        <v>5.601025021001153E-3</v>
      </c>
      <c r="K930" s="8">
        <f t="shared" si="55"/>
        <v>-2.3409670321994813E-2</v>
      </c>
    </row>
    <row r="931" spans="1:11" x14ac:dyDescent="0.25">
      <c r="A931" t="str">
        <f t="shared" si="56"/>
        <v>102020</v>
      </c>
      <c r="B931" s="1">
        <v>44110</v>
      </c>
      <c r="C931" s="10">
        <v>43992.645833333336</v>
      </c>
      <c r="D931">
        <v>22673.05</v>
      </c>
      <c r="E931">
        <v>22893.5</v>
      </c>
      <c r="F931">
        <v>22521.05</v>
      </c>
      <c r="G931">
        <v>22853.7</v>
      </c>
      <c r="H931">
        <v>0</v>
      </c>
      <c r="I931" s="8">
        <f t="shared" si="57"/>
        <v>2.1579324972788472E-2</v>
      </c>
      <c r="J931" s="8">
        <f t="shared" si="58"/>
        <v>2.1349787642590483E-2</v>
      </c>
      <c r="K931" s="8">
        <f t="shared" si="55"/>
        <v>2.0325067136341968E-2</v>
      </c>
    </row>
    <row r="932" spans="1:11" x14ac:dyDescent="0.25">
      <c r="A932" t="str">
        <f t="shared" si="56"/>
        <v>102020</v>
      </c>
      <c r="B932" s="1">
        <v>44111</v>
      </c>
      <c r="C932" s="10">
        <v>44022.645833333336</v>
      </c>
      <c r="D932">
        <v>22836.95</v>
      </c>
      <c r="E932">
        <v>23036.2</v>
      </c>
      <c r="F932">
        <v>22607.8</v>
      </c>
      <c r="G932">
        <v>22964.799999999999</v>
      </c>
      <c r="H932">
        <v>0</v>
      </c>
      <c r="I932" s="8">
        <f t="shared" si="57"/>
        <v>4.861357241934483E-3</v>
      </c>
      <c r="J932" s="8">
        <f t="shared" si="58"/>
        <v>4.8495790015496846E-3</v>
      </c>
      <c r="K932" s="8">
        <f t="shared" si="55"/>
        <v>3.9636927464717031E-2</v>
      </c>
    </row>
    <row r="933" spans="1:11" x14ac:dyDescent="0.25">
      <c r="A933" t="str">
        <f t="shared" si="56"/>
        <v>102020</v>
      </c>
      <c r="B933" s="1">
        <v>44112</v>
      </c>
      <c r="C933" s="10">
        <v>44053.645833333336</v>
      </c>
      <c r="D933">
        <v>23150.25</v>
      </c>
      <c r="E933">
        <v>23450.9</v>
      </c>
      <c r="F933">
        <v>23063.599999999999</v>
      </c>
      <c r="G933">
        <v>23191.35</v>
      </c>
      <c r="H933">
        <v>0</v>
      </c>
      <c r="I933" s="8">
        <f t="shared" si="57"/>
        <v>9.8650978889429641E-3</v>
      </c>
      <c r="J933" s="8">
        <f t="shared" si="58"/>
        <v>9.8167554857847769E-3</v>
      </c>
      <c r="K933" s="8">
        <f t="shared" si="55"/>
        <v>8.4103084301754727E-2</v>
      </c>
    </row>
    <row r="934" spans="1:11" x14ac:dyDescent="0.25">
      <c r="A934" t="str">
        <f t="shared" si="56"/>
        <v>102020</v>
      </c>
      <c r="B934" s="1">
        <v>44113</v>
      </c>
      <c r="C934" s="10">
        <v>44084.645833333336</v>
      </c>
      <c r="D934">
        <v>23312.6</v>
      </c>
      <c r="E934">
        <v>23904.1</v>
      </c>
      <c r="F934">
        <v>23132.45</v>
      </c>
      <c r="G934">
        <v>23846.799999999999</v>
      </c>
      <c r="H934">
        <v>0</v>
      </c>
      <c r="I934" s="8">
        <f t="shared" si="57"/>
        <v>2.8262692771227282E-2</v>
      </c>
      <c r="J934" s="8">
        <f t="shared" si="58"/>
        <v>2.7870672103974155E-2</v>
      </c>
      <c r="K934" s="8">
        <f t="shared" si="55"/>
        <v>0.11743026838325732</v>
      </c>
    </row>
    <row r="935" spans="1:11" x14ac:dyDescent="0.25">
      <c r="A935" t="str">
        <f t="shared" si="56"/>
        <v>102020</v>
      </c>
      <c r="B935" s="1">
        <v>44116</v>
      </c>
      <c r="C935" s="10">
        <v>44175.645833333336</v>
      </c>
      <c r="D935">
        <v>23955.599999999999</v>
      </c>
      <c r="E935">
        <v>24190.35</v>
      </c>
      <c r="F935">
        <v>23552.6</v>
      </c>
      <c r="G935">
        <v>23712.799999999999</v>
      </c>
      <c r="H935">
        <v>0</v>
      </c>
      <c r="I935" s="8">
        <f t="shared" si="57"/>
        <v>-5.6192025764463249E-3</v>
      </c>
      <c r="J935" s="8">
        <f t="shared" si="58"/>
        <v>-5.6350496885484731E-3</v>
      </c>
      <c r="K935" s="8">
        <f t="shared" si="55"/>
        <v>9.7959684495407817E-2</v>
      </c>
    </row>
    <row r="936" spans="1:11" x14ac:dyDescent="0.25">
      <c r="A936" t="str">
        <f t="shared" si="56"/>
        <v>102020</v>
      </c>
      <c r="B936" s="1">
        <v>44117</v>
      </c>
      <c r="C936" t="s">
        <v>592</v>
      </c>
      <c r="D936">
        <v>23663.05</v>
      </c>
      <c r="E936">
        <v>23775.15</v>
      </c>
      <c r="F936">
        <v>23431.5</v>
      </c>
      <c r="G936">
        <v>23492.2</v>
      </c>
      <c r="H936">
        <v>0</v>
      </c>
      <c r="I936" s="8">
        <f t="shared" si="57"/>
        <v>-9.3029924766370176E-3</v>
      </c>
      <c r="J936" s="8">
        <f t="shared" si="58"/>
        <v>-9.3465355756330755E-3</v>
      </c>
      <c r="K936" s="8">
        <f t="shared" si="55"/>
        <v>6.9441156654587832E-2</v>
      </c>
    </row>
    <row r="937" spans="1:11" x14ac:dyDescent="0.25">
      <c r="A937" t="str">
        <f t="shared" si="56"/>
        <v>102020</v>
      </c>
      <c r="B937" s="1">
        <v>44118</v>
      </c>
      <c r="C937" t="s">
        <v>593</v>
      </c>
      <c r="D937">
        <v>23353.15</v>
      </c>
      <c r="E937">
        <v>23962.7</v>
      </c>
      <c r="F937">
        <v>23149.45</v>
      </c>
      <c r="G937">
        <v>23874.65</v>
      </c>
      <c r="H937">
        <v>0</v>
      </c>
      <c r="I937" s="8">
        <f t="shared" si="57"/>
        <v>1.6279871616962316E-2</v>
      </c>
      <c r="J937" s="8">
        <f t="shared" si="58"/>
        <v>1.6148775412919741E-2</v>
      </c>
      <c r="K937" s="8">
        <f t="shared" si="55"/>
        <v>6.9564126629289458E-2</v>
      </c>
    </row>
    <row r="938" spans="1:11" x14ac:dyDescent="0.25">
      <c r="A938" t="str">
        <f t="shared" si="56"/>
        <v>102020</v>
      </c>
      <c r="B938" s="1">
        <v>44119</v>
      </c>
      <c r="C938" t="s">
        <v>594</v>
      </c>
      <c r="D938">
        <v>23920.35</v>
      </c>
      <c r="E938">
        <v>24087.85</v>
      </c>
      <c r="F938">
        <v>22970.95</v>
      </c>
      <c r="G938">
        <v>23072.400000000001</v>
      </c>
      <c r="H938">
        <v>0</v>
      </c>
      <c r="I938" s="8">
        <f t="shared" si="57"/>
        <v>-3.3602586844205029E-2</v>
      </c>
      <c r="J938" s="8">
        <f t="shared" si="58"/>
        <v>-3.41801285893217E-2</v>
      </c>
      <c r="K938" s="8">
        <f t="shared" si="55"/>
        <v>1.2746905451672452E-2</v>
      </c>
    </row>
    <row r="939" spans="1:11" x14ac:dyDescent="0.25">
      <c r="A939" t="str">
        <f t="shared" si="56"/>
        <v>102020</v>
      </c>
      <c r="B939" s="1">
        <v>44120</v>
      </c>
      <c r="C939" t="s">
        <v>595</v>
      </c>
      <c r="D939">
        <v>23219.85</v>
      </c>
      <c r="E939">
        <v>23646.2</v>
      </c>
      <c r="F939">
        <v>23148.95</v>
      </c>
      <c r="G939">
        <v>23533.25</v>
      </c>
      <c r="H939">
        <v>0</v>
      </c>
      <c r="I939" s="8">
        <f t="shared" si="57"/>
        <v>1.9974081586657588E-2</v>
      </c>
      <c r="J939" s="8">
        <f t="shared" si="58"/>
        <v>1.9777216764175654E-2</v>
      </c>
      <c r="K939" s="8">
        <f t="shared" si="55"/>
        <v>2.8434268833087195E-2</v>
      </c>
    </row>
    <row r="940" spans="1:11" x14ac:dyDescent="0.25">
      <c r="A940" t="str">
        <f t="shared" si="56"/>
        <v>102020</v>
      </c>
      <c r="B940" s="1">
        <v>44123</v>
      </c>
      <c r="C940" t="s">
        <v>596</v>
      </c>
      <c r="D940">
        <v>23902.9</v>
      </c>
      <c r="E940">
        <v>24320.95</v>
      </c>
      <c r="F940">
        <v>23754.85</v>
      </c>
      <c r="G940">
        <v>24266.75</v>
      </c>
      <c r="H940">
        <v>0</v>
      </c>
      <c r="I940" s="8">
        <f t="shared" si="57"/>
        <v>3.1168665611422064E-2</v>
      </c>
      <c r="J940" s="8">
        <f t="shared" si="58"/>
        <v>3.0692785846238375E-2</v>
      </c>
      <c r="K940" s="8">
        <f t="shared" si="55"/>
        <v>5.1241341367793014E-2</v>
      </c>
    </row>
    <row r="941" spans="1:11" x14ac:dyDescent="0.25">
      <c r="A941" t="str">
        <f t="shared" si="56"/>
        <v>102020</v>
      </c>
      <c r="B941" s="1">
        <v>44124</v>
      </c>
      <c r="C941" t="s">
        <v>597</v>
      </c>
      <c r="D941">
        <v>24117.35</v>
      </c>
      <c r="E941">
        <v>24410.9</v>
      </c>
      <c r="F941">
        <v>24039.85</v>
      </c>
      <c r="G941">
        <v>24311.8</v>
      </c>
      <c r="H941">
        <v>0</v>
      </c>
      <c r="I941" s="8">
        <f t="shared" si="57"/>
        <v>1.8564496687853982E-3</v>
      </c>
      <c r="J941" s="8">
        <f t="shared" si="58"/>
        <v>1.8547285958267115E-3</v>
      </c>
      <c r="K941" s="8">
        <f t="shared" si="55"/>
        <v>7.2797915457780693E-2</v>
      </c>
    </row>
    <row r="942" spans="1:11" x14ac:dyDescent="0.25">
      <c r="A942" t="str">
        <f t="shared" si="56"/>
        <v>102020</v>
      </c>
      <c r="B942" s="1">
        <v>44125</v>
      </c>
      <c r="C942" t="s">
        <v>598</v>
      </c>
      <c r="D942">
        <v>24444.2</v>
      </c>
      <c r="E942">
        <v>24823.599999999999</v>
      </c>
      <c r="F942">
        <v>24099.85</v>
      </c>
      <c r="G942">
        <v>24635.05</v>
      </c>
      <c r="H942">
        <v>0</v>
      </c>
      <c r="I942" s="8">
        <f t="shared" si="57"/>
        <v>1.329601263583946E-2</v>
      </c>
      <c r="J942" s="8">
        <f t="shared" si="58"/>
        <v>1.3208396436108211E-2</v>
      </c>
      <c r="K942" s="8">
        <f t="shared" si="55"/>
        <v>0.12752674638137185</v>
      </c>
    </row>
    <row r="943" spans="1:11" x14ac:dyDescent="0.25">
      <c r="A943" t="str">
        <f t="shared" si="56"/>
        <v>102020</v>
      </c>
      <c r="B943" s="1">
        <v>44126</v>
      </c>
      <c r="C943" t="s">
        <v>599</v>
      </c>
      <c r="D943">
        <v>24447.35</v>
      </c>
      <c r="E943">
        <v>24691.15</v>
      </c>
      <c r="F943">
        <v>24250.2</v>
      </c>
      <c r="G943">
        <v>24484.15</v>
      </c>
      <c r="H943">
        <v>0</v>
      </c>
      <c r="I943" s="8">
        <f t="shared" si="57"/>
        <v>-6.1254188645851748E-3</v>
      </c>
      <c r="J943" s="8">
        <f t="shared" si="58"/>
        <v>-6.1442562065198852E-3</v>
      </c>
      <c r="K943" s="8">
        <f t="shared" si="55"/>
        <v>0.10761947415087847</v>
      </c>
    </row>
    <row r="944" spans="1:11" x14ac:dyDescent="0.25">
      <c r="A944" t="str">
        <f t="shared" si="56"/>
        <v>102020</v>
      </c>
      <c r="B944" s="1">
        <v>44127</v>
      </c>
      <c r="C944" t="s">
        <v>600</v>
      </c>
      <c r="D944">
        <v>24669.200000000001</v>
      </c>
      <c r="E944">
        <v>24764.15</v>
      </c>
      <c r="F944">
        <v>24360.85</v>
      </c>
      <c r="G944">
        <v>24478.3</v>
      </c>
      <c r="H944">
        <v>0</v>
      </c>
      <c r="I944" s="8">
        <f t="shared" si="57"/>
        <v>-2.3893008333975008E-4</v>
      </c>
      <c r="J944" s="8">
        <f t="shared" si="58"/>
        <v>-2.3895863167957448E-4</v>
      </c>
      <c r="K944" s="8">
        <f t="shared" si="55"/>
        <v>0.10878939691800382</v>
      </c>
    </row>
    <row r="945" spans="1:11" x14ac:dyDescent="0.25">
      <c r="A945" t="str">
        <f t="shared" si="56"/>
        <v>102020</v>
      </c>
      <c r="B945" s="1">
        <v>44130</v>
      </c>
      <c r="C945" t="s">
        <v>601</v>
      </c>
      <c r="D945">
        <v>24525.8</v>
      </c>
      <c r="E945">
        <v>24577.3</v>
      </c>
      <c r="F945">
        <v>23867.75</v>
      </c>
      <c r="G945">
        <v>24075.45</v>
      </c>
      <c r="H945">
        <v>0</v>
      </c>
      <c r="I945" s="8">
        <f t="shared" si="57"/>
        <v>-1.6457433727015247E-2</v>
      </c>
      <c r="J945" s="8">
        <f t="shared" si="58"/>
        <v>-1.6594361690014974E-2</v>
      </c>
      <c r="K945" s="8">
        <f t="shared" si="55"/>
        <v>0.11219184315500885</v>
      </c>
    </row>
    <row r="946" spans="1:11" x14ac:dyDescent="0.25">
      <c r="A946" t="str">
        <f t="shared" si="56"/>
        <v>102020</v>
      </c>
      <c r="B946" s="1">
        <v>44131</v>
      </c>
      <c r="C946" t="s">
        <v>602</v>
      </c>
      <c r="D946">
        <v>24288.05</v>
      </c>
      <c r="E946">
        <v>24809.65</v>
      </c>
      <c r="F946">
        <v>23924.2</v>
      </c>
      <c r="G946">
        <v>24769.5</v>
      </c>
      <c r="H946">
        <v>0</v>
      </c>
      <c r="I946" s="8">
        <f t="shared" si="57"/>
        <v>2.8828121592742839E-2</v>
      </c>
      <c r="J946" s="8">
        <f t="shared" si="58"/>
        <v>2.8420408490726957E-2</v>
      </c>
      <c r="K946" s="8">
        <f t="shared" si="55"/>
        <v>0.1446138063451794</v>
      </c>
    </row>
    <row r="947" spans="1:11" x14ac:dyDescent="0.25">
      <c r="A947" t="str">
        <f t="shared" si="56"/>
        <v>102020</v>
      </c>
      <c r="B947" s="1">
        <v>44132</v>
      </c>
      <c r="C947" t="s">
        <v>603</v>
      </c>
      <c r="D947">
        <v>24737.85</v>
      </c>
      <c r="E947">
        <v>24780.7</v>
      </c>
      <c r="F947">
        <v>24057.95</v>
      </c>
      <c r="G947">
        <v>24232.5</v>
      </c>
      <c r="H947">
        <v>0</v>
      </c>
      <c r="I947" s="8">
        <f t="shared" si="57"/>
        <v>-2.1679888572639694E-2</v>
      </c>
      <c r="J947" s="8">
        <f t="shared" si="58"/>
        <v>-2.1918350204389658E-2</v>
      </c>
      <c r="K947" s="8">
        <f t="shared" si="55"/>
        <v>0.14998030571229259</v>
      </c>
    </row>
    <row r="948" spans="1:11" x14ac:dyDescent="0.25">
      <c r="A948" t="str">
        <f t="shared" si="56"/>
        <v>102020</v>
      </c>
      <c r="B948" s="1">
        <v>44133</v>
      </c>
      <c r="C948" t="s">
        <v>604</v>
      </c>
      <c r="D948">
        <v>24063.5</v>
      </c>
      <c r="E948">
        <v>24339.1</v>
      </c>
      <c r="F948">
        <v>23822.05</v>
      </c>
      <c r="G948">
        <v>24092</v>
      </c>
      <c r="H948">
        <v>0</v>
      </c>
      <c r="I948" s="8">
        <f t="shared" si="57"/>
        <v>-5.7979985556587676E-3</v>
      </c>
      <c r="J948" s="8">
        <f t="shared" si="58"/>
        <v>-5.8148722031513642E-3</v>
      </c>
      <c r="K948" s="8">
        <f t="shared" si="55"/>
        <v>0.12105348875084343</v>
      </c>
    </row>
    <row r="949" spans="1:11" x14ac:dyDescent="0.25">
      <c r="A949" t="str">
        <f t="shared" si="56"/>
        <v>102020</v>
      </c>
      <c r="B949" s="1">
        <v>44134</v>
      </c>
      <c r="C949" t="s">
        <v>605</v>
      </c>
      <c r="D949">
        <v>24090.15</v>
      </c>
      <c r="E949">
        <v>24277.35</v>
      </c>
      <c r="F949">
        <v>23612.7</v>
      </c>
      <c r="G949">
        <v>23900.9</v>
      </c>
      <c r="H949">
        <v>0</v>
      </c>
      <c r="I949" s="8">
        <f t="shared" si="57"/>
        <v>-7.9320936410426368E-3</v>
      </c>
      <c r="J949" s="8">
        <f t="shared" si="58"/>
        <v>-7.9637200492473359E-3</v>
      </c>
      <c r="K949" s="8">
        <f t="shared" si="55"/>
        <v>0.1111555349965947</v>
      </c>
    </row>
    <row r="950" spans="1:11" x14ac:dyDescent="0.25">
      <c r="A950" t="str">
        <f t="shared" si="56"/>
        <v>112020</v>
      </c>
      <c r="B950" s="1">
        <v>44137</v>
      </c>
      <c r="C950" s="10">
        <v>43872.645833333336</v>
      </c>
      <c r="D950">
        <v>24367.599999999999</v>
      </c>
      <c r="E950">
        <v>25139</v>
      </c>
      <c r="F950">
        <v>24120.6</v>
      </c>
      <c r="G950">
        <v>24892.5</v>
      </c>
      <c r="H950">
        <v>0</v>
      </c>
      <c r="I950" s="8">
        <f t="shared" si="57"/>
        <v>4.1487977440179957E-2</v>
      </c>
      <c r="J950" s="8">
        <f t="shared" si="58"/>
        <v>4.0650438147874932E-2</v>
      </c>
      <c r="K950" s="8">
        <f t="shared" si="55"/>
        <v>0.15016218014471461</v>
      </c>
    </row>
    <row r="951" spans="1:11" x14ac:dyDescent="0.25">
      <c r="A951" t="str">
        <f t="shared" si="56"/>
        <v>112020</v>
      </c>
      <c r="B951" s="1">
        <v>44138</v>
      </c>
      <c r="C951" s="10">
        <v>43901.645833333336</v>
      </c>
      <c r="D951">
        <v>25108</v>
      </c>
      <c r="E951">
        <v>25760.7</v>
      </c>
      <c r="F951">
        <v>25085.7</v>
      </c>
      <c r="G951">
        <v>25682.799999999999</v>
      </c>
      <c r="H951">
        <v>0</v>
      </c>
      <c r="I951" s="8">
        <f t="shared" si="57"/>
        <v>3.1748518630109412E-2</v>
      </c>
      <c r="J951" s="8">
        <f t="shared" si="58"/>
        <v>3.1254953865767085E-2</v>
      </c>
      <c r="K951" s="8">
        <f t="shared" si="55"/>
        <v>0.18060126873218718</v>
      </c>
    </row>
    <row r="952" spans="1:11" x14ac:dyDescent="0.25">
      <c r="A952" t="str">
        <f t="shared" si="56"/>
        <v>112020</v>
      </c>
      <c r="B952" s="1">
        <v>44139</v>
      </c>
      <c r="C952" s="10">
        <v>43932.645833333336</v>
      </c>
      <c r="D952">
        <v>25539.55</v>
      </c>
      <c r="E952">
        <v>25891</v>
      </c>
      <c r="F952">
        <v>25142</v>
      </c>
      <c r="G952">
        <v>25771.599999999999</v>
      </c>
      <c r="H952">
        <v>0</v>
      </c>
      <c r="I952" s="8">
        <f t="shared" si="57"/>
        <v>3.4575669319545366E-3</v>
      </c>
      <c r="J952" s="8">
        <f t="shared" si="58"/>
        <v>3.4516032899175762E-3</v>
      </c>
      <c r="K952" s="8">
        <f t="shared" si="55"/>
        <v>0.17677195465805173</v>
      </c>
    </row>
    <row r="953" spans="1:11" x14ac:dyDescent="0.25">
      <c r="A953" t="str">
        <f t="shared" si="56"/>
        <v>112020</v>
      </c>
      <c r="B953" s="1">
        <v>44140</v>
      </c>
      <c r="C953" s="10">
        <v>43962.645833333336</v>
      </c>
      <c r="D953">
        <v>26174.799999999999</v>
      </c>
      <c r="E953">
        <v>26375.200000000001</v>
      </c>
      <c r="F953">
        <v>26000.05</v>
      </c>
      <c r="G953">
        <v>26313.1</v>
      </c>
      <c r="H953">
        <v>0</v>
      </c>
      <c r="I953" s="8">
        <f t="shared" si="57"/>
        <v>2.1011501032143887E-2</v>
      </c>
      <c r="J953" s="8">
        <f t="shared" si="58"/>
        <v>2.0793803597188455E-2</v>
      </c>
      <c r="K953" s="8">
        <f t="shared" si="55"/>
        <v>0.18382432335156906</v>
      </c>
    </row>
    <row r="954" spans="1:11" x14ac:dyDescent="0.25">
      <c r="A954" t="str">
        <f t="shared" si="56"/>
        <v>112020</v>
      </c>
      <c r="B954" s="1">
        <v>44141</v>
      </c>
      <c r="C954" s="10">
        <v>43993.645833333336</v>
      </c>
      <c r="D954">
        <v>26274.1</v>
      </c>
      <c r="E954">
        <v>26853.45</v>
      </c>
      <c r="F954">
        <v>26135.3</v>
      </c>
      <c r="G954">
        <v>26798.95</v>
      </c>
      <c r="H954">
        <v>0</v>
      </c>
      <c r="I954" s="8">
        <f t="shared" si="57"/>
        <v>1.8464187039915592E-2</v>
      </c>
      <c r="J954" s="8">
        <f t="shared" si="58"/>
        <v>1.8295793611836898E-2</v>
      </c>
      <c r="K954" s="8">
        <f t="shared" si="55"/>
        <v>0.20368981315127566</v>
      </c>
    </row>
    <row r="955" spans="1:11" x14ac:dyDescent="0.25">
      <c r="A955" t="str">
        <f t="shared" si="56"/>
        <v>112020</v>
      </c>
      <c r="B955" s="1">
        <v>44144</v>
      </c>
      <c r="C955" s="10">
        <v>44085.645833333336</v>
      </c>
      <c r="D955">
        <v>27088.95</v>
      </c>
      <c r="E955">
        <v>27595</v>
      </c>
      <c r="F955">
        <v>27068.95</v>
      </c>
      <c r="G955">
        <v>27534.1</v>
      </c>
      <c r="H955">
        <v>0</v>
      </c>
      <c r="I955" s="8">
        <f t="shared" si="57"/>
        <v>2.7432044912207409E-2</v>
      </c>
      <c r="J955" s="8">
        <f t="shared" si="58"/>
        <v>2.7062528862664279E-2</v>
      </c>
      <c r="K955" s="8">
        <f t="shared" si="55"/>
        <v>0.24047872735832687</v>
      </c>
    </row>
    <row r="956" spans="1:11" x14ac:dyDescent="0.25">
      <c r="A956" t="str">
        <f t="shared" si="56"/>
        <v>112020</v>
      </c>
      <c r="B956" s="1">
        <v>44145</v>
      </c>
      <c r="C956" s="10">
        <v>44115.645833333336</v>
      </c>
      <c r="D956">
        <v>28039.45</v>
      </c>
      <c r="E956">
        <v>28802.5</v>
      </c>
      <c r="F956">
        <v>27916.9</v>
      </c>
      <c r="G956">
        <v>28606</v>
      </c>
      <c r="H956">
        <v>0</v>
      </c>
      <c r="I956" s="8">
        <f t="shared" si="57"/>
        <v>3.8929908731355045E-2</v>
      </c>
      <c r="J956" s="8">
        <f t="shared" si="58"/>
        <v>3.8191249525231952E-2</v>
      </c>
      <c r="K956" s="8">
        <f t="shared" si="55"/>
        <v>0.31950146221758891</v>
      </c>
    </row>
    <row r="957" spans="1:11" x14ac:dyDescent="0.25">
      <c r="A957" t="str">
        <f t="shared" si="56"/>
        <v>112020</v>
      </c>
      <c r="B957" s="1">
        <v>44146</v>
      </c>
      <c r="C957" s="10">
        <v>44146.645833333336</v>
      </c>
      <c r="D957">
        <v>28713.15</v>
      </c>
      <c r="E957">
        <v>29030.9</v>
      </c>
      <c r="F957">
        <v>28211.1</v>
      </c>
      <c r="G957">
        <v>28845</v>
      </c>
      <c r="H957">
        <v>0</v>
      </c>
      <c r="I957" s="8">
        <f t="shared" si="57"/>
        <v>8.3548905823953579E-3</v>
      </c>
      <c r="J957" s="8">
        <f t="shared" si="58"/>
        <v>8.3201816761444749E-3</v>
      </c>
      <c r="K957" s="8">
        <f t="shared" si="55"/>
        <v>0.32921060695779203</v>
      </c>
    </row>
    <row r="958" spans="1:11" x14ac:dyDescent="0.25">
      <c r="A958" t="str">
        <f t="shared" si="56"/>
        <v>112020</v>
      </c>
      <c r="B958" s="1">
        <v>44147</v>
      </c>
      <c r="C958" s="10">
        <v>44176.645833333336</v>
      </c>
      <c r="D958">
        <v>28633.75</v>
      </c>
      <c r="E958">
        <v>28672.9</v>
      </c>
      <c r="F958">
        <v>28066.05</v>
      </c>
      <c r="G958">
        <v>28278.799999999999</v>
      </c>
      <c r="H958">
        <v>0</v>
      </c>
      <c r="I958" s="8">
        <f t="shared" si="57"/>
        <v>-1.9629051828739863E-2</v>
      </c>
      <c r="J958" s="8">
        <f t="shared" si="58"/>
        <v>-1.982426039548818E-2</v>
      </c>
      <c r="K958" s="8">
        <f t="shared" si="55"/>
        <v>0.27550900742424655</v>
      </c>
    </row>
    <row r="959" spans="1:11" x14ac:dyDescent="0.25">
      <c r="A959" t="str">
        <f t="shared" si="56"/>
        <v>112020</v>
      </c>
      <c r="B959" s="1">
        <v>44148</v>
      </c>
      <c r="C959" t="s">
        <v>606</v>
      </c>
      <c r="D959">
        <v>28108.7</v>
      </c>
      <c r="E959">
        <v>28520.55</v>
      </c>
      <c r="F959">
        <v>27703.3</v>
      </c>
      <c r="G959">
        <v>28465.7</v>
      </c>
      <c r="H959">
        <v>0</v>
      </c>
      <c r="I959" s="8">
        <f t="shared" si="57"/>
        <v>6.6091913376806755E-3</v>
      </c>
      <c r="J959" s="8">
        <f t="shared" si="58"/>
        <v>6.5874463910360831E-3</v>
      </c>
      <c r="K959" s="8">
        <f t="shared" si="55"/>
        <v>0.277296407145325</v>
      </c>
    </row>
    <row r="960" spans="1:11" x14ac:dyDescent="0.25">
      <c r="A960" t="str">
        <f t="shared" si="56"/>
        <v>112020</v>
      </c>
      <c r="B960" s="1">
        <v>44152</v>
      </c>
      <c r="C960" t="s">
        <v>607</v>
      </c>
      <c r="D960">
        <v>28792.25</v>
      </c>
      <c r="E960">
        <v>29239.25</v>
      </c>
      <c r="F960">
        <v>28722.9</v>
      </c>
      <c r="G960">
        <v>29181.3</v>
      </c>
      <c r="H960">
        <v>0</v>
      </c>
      <c r="I960" s="8">
        <f t="shared" si="57"/>
        <v>2.5139026969299927E-2</v>
      </c>
      <c r="J960" s="8">
        <f t="shared" si="58"/>
        <v>2.4828239460241455E-2</v>
      </c>
      <c r="K960" s="8">
        <f t="shared" ref="K960:K1023" si="59">+G960/G899-1</f>
        <v>0.32645588866994402</v>
      </c>
    </row>
    <row r="961" spans="1:11" x14ac:dyDescent="0.25">
      <c r="A961" t="str">
        <f t="shared" si="56"/>
        <v>112020</v>
      </c>
      <c r="B961" s="1">
        <v>44153</v>
      </c>
      <c r="C961" t="s">
        <v>608</v>
      </c>
      <c r="D961">
        <v>29107.9</v>
      </c>
      <c r="E961">
        <v>29784.75</v>
      </c>
      <c r="F961">
        <v>29056.75</v>
      </c>
      <c r="G961">
        <v>29749.85</v>
      </c>
      <c r="H961">
        <v>0</v>
      </c>
      <c r="I961" s="8">
        <f t="shared" si="57"/>
        <v>1.9483367773197147E-2</v>
      </c>
      <c r="J961" s="8">
        <f t="shared" si="58"/>
        <v>1.9295996797478995E-2</v>
      </c>
      <c r="K961" s="8">
        <f t="shared" si="59"/>
        <v>0.33409792103894231</v>
      </c>
    </row>
    <row r="962" spans="1:11" x14ac:dyDescent="0.25">
      <c r="A962" t="str">
        <f t="shared" si="56"/>
        <v>112020</v>
      </c>
      <c r="B962" s="1">
        <v>44154</v>
      </c>
      <c r="C962" t="s">
        <v>609</v>
      </c>
      <c r="D962">
        <v>29302.6</v>
      </c>
      <c r="E962">
        <v>29627.200000000001</v>
      </c>
      <c r="F962">
        <v>28819.55</v>
      </c>
      <c r="G962">
        <v>28903.05</v>
      </c>
      <c r="H962">
        <v>0</v>
      </c>
      <c r="I962" s="8">
        <f t="shared" si="57"/>
        <v>-2.8464009062230566E-2</v>
      </c>
      <c r="J962" s="8">
        <f t="shared" si="58"/>
        <v>-2.8876964080121546E-2</v>
      </c>
      <c r="K962" s="8">
        <f t="shared" si="59"/>
        <v>0.26584548679542763</v>
      </c>
    </row>
    <row r="963" spans="1:11" x14ac:dyDescent="0.25">
      <c r="A963" t="str">
        <f t="shared" ref="A963:A1026" si="60">+MONTH(B963)&amp;YEAR(B963)</f>
        <v>112020</v>
      </c>
      <c r="B963" s="1">
        <v>44155</v>
      </c>
      <c r="C963" t="s">
        <v>610</v>
      </c>
      <c r="D963">
        <v>28935.75</v>
      </c>
      <c r="E963">
        <v>29406.7</v>
      </c>
      <c r="F963">
        <v>28580.9</v>
      </c>
      <c r="G963">
        <v>29236</v>
      </c>
      <c r="H963">
        <v>0</v>
      </c>
      <c r="I963" s="8">
        <f t="shared" si="57"/>
        <v>1.1519545515092711E-2</v>
      </c>
      <c r="J963" s="8">
        <f t="shared" si="58"/>
        <v>1.1453700736145798E-2</v>
      </c>
      <c r="K963" s="8">
        <f t="shared" si="59"/>
        <v>0.26605794609856592</v>
      </c>
    </row>
    <row r="964" spans="1:11" x14ac:dyDescent="0.25">
      <c r="A964" t="str">
        <f t="shared" si="60"/>
        <v>112020</v>
      </c>
      <c r="B964" s="1">
        <v>44158</v>
      </c>
      <c r="C964" t="s">
        <v>611</v>
      </c>
      <c r="D964">
        <v>29432.799999999999</v>
      </c>
      <c r="E964">
        <v>29492.3</v>
      </c>
      <c r="F964">
        <v>28852.9</v>
      </c>
      <c r="G964">
        <v>29024.2</v>
      </c>
      <c r="H964">
        <v>0</v>
      </c>
      <c r="I964" s="8">
        <f t="shared" ref="I964:I1027" si="61">+G964/G963-1</f>
        <v>-7.2444930907100691E-3</v>
      </c>
      <c r="J964" s="8">
        <f t="shared" ref="J964:J1027" si="62">+LN(1+I964)</f>
        <v>-7.270861860208362E-3</v>
      </c>
      <c r="K964" s="8">
        <f t="shared" si="59"/>
        <v>0.23959819254982029</v>
      </c>
    </row>
    <row r="965" spans="1:11" x14ac:dyDescent="0.25">
      <c r="A965" t="str">
        <f t="shared" si="60"/>
        <v>112020</v>
      </c>
      <c r="B965" s="1">
        <v>44159</v>
      </c>
      <c r="C965" t="s">
        <v>612</v>
      </c>
      <c r="D965">
        <v>29265.599999999999</v>
      </c>
      <c r="E965">
        <v>29827.8</v>
      </c>
      <c r="F965">
        <v>29206.75</v>
      </c>
      <c r="G965">
        <v>29737.25</v>
      </c>
      <c r="H965">
        <v>0</v>
      </c>
      <c r="I965" s="8">
        <f t="shared" si="61"/>
        <v>2.4567429937776053E-2</v>
      </c>
      <c r="J965" s="8">
        <f t="shared" si="62"/>
        <v>2.4270503942148233E-2</v>
      </c>
      <c r="K965" s="8">
        <f t="shared" si="59"/>
        <v>0.26003427915263977</v>
      </c>
    </row>
    <row r="966" spans="1:11" x14ac:dyDescent="0.25">
      <c r="A966" t="str">
        <f t="shared" si="60"/>
        <v>112020</v>
      </c>
      <c r="B966" s="1">
        <v>44160</v>
      </c>
      <c r="C966" t="s">
        <v>613</v>
      </c>
      <c r="D966">
        <v>30021.9</v>
      </c>
      <c r="E966">
        <v>30197.85</v>
      </c>
      <c r="F966">
        <v>29132.3</v>
      </c>
      <c r="G966">
        <v>29196.400000000001</v>
      </c>
      <c r="H966">
        <v>0</v>
      </c>
      <c r="I966" s="8">
        <f t="shared" si="61"/>
        <v>-1.8187626629900144E-2</v>
      </c>
      <c r="J966" s="8">
        <f t="shared" si="62"/>
        <v>-1.8355054697631535E-2</v>
      </c>
      <c r="K966" s="8">
        <f t="shared" si="59"/>
        <v>0.19053327787700125</v>
      </c>
    </row>
    <row r="967" spans="1:11" x14ac:dyDescent="0.25">
      <c r="A967" t="str">
        <f t="shared" si="60"/>
        <v>112020</v>
      </c>
      <c r="B967" s="1">
        <v>44161</v>
      </c>
      <c r="C967" t="s">
        <v>614</v>
      </c>
      <c r="D967">
        <v>29370.400000000001</v>
      </c>
      <c r="E967">
        <v>29623</v>
      </c>
      <c r="F967">
        <v>28923.1</v>
      </c>
      <c r="G967">
        <v>29549.75</v>
      </c>
      <c r="H967">
        <v>0</v>
      </c>
      <c r="I967" s="8">
        <f t="shared" si="61"/>
        <v>1.2102519488704111E-2</v>
      </c>
      <c r="J967" s="8">
        <f t="shared" si="62"/>
        <v>1.2029869576979052E-2</v>
      </c>
      <c r="K967" s="8">
        <f t="shared" si="59"/>
        <v>0.24397215667867167</v>
      </c>
    </row>
    <row r="968" spans="1:11" x14ac:dyDescent="0.25">
      <c r="A968" t="str">
        <f t="shared" si="60"/>
        <v>112020</v>
      </c>
      <c r="B968" s="1">
        <v>44162</v>
      </c>
      <c r="C968" t="s">
        <v>615</v>
      </c>
      <c r="D968">
        <v>29622</v>
      </c>
      <c r="E968">
        <v>29716.85</v>
      </c>
      <c r="F968">
        <v>29368.7</v>
      </c>
      <c r="G968">
        <v>29609.05</v>
      </c>
      <c r="H968">
        <v>0</v>
      </c>
      <c r="I968" s="8">
        <f t="shared" si="61"/>
        <v>2.0067851673872816E-3</v>
      </c>
      <c r="J968" s="8">
        <f t="shared" si="62"/>
        <v>2.0047742638847166E-3</v>
      </c>
      <c r="K968" s="8">
        <f t="shared" si="59"/>
        <v>0.24345078111876362</v>
      </c>
    </row>
    <row r="969" spans="1:11" x14ac:dyDescent="0.25">
      <c r="A969" t="str">
        <f t="shared" si="60"/>
        <v>122020</v>
      </c>
      <c r="B969" s="1">
        <v>44166</v>
      </c>
      <c r="C969" s="10">
        <v>43842.645833333336</v>
      </c>
      <c r="D969">
        <v>29844.799999999999</v>
      </c>
      <c r="E969">
        <v>29919.75</v>
      </c>
      <c r="F969">
        <v>29511</v>
      </c>
      <c r="G969">
        <v>29817.85</v>
      </c>
      <c r="H969">
        <v>0</v>
      </c>
      <c r="I969" s="8">
        <f t="shared" si="61"/>
        <v>7.0518979838933848E-3</v>
      </c>
      <c r="J969" s="8">
        <f t="shared" si="62"/>
        <v>7.0271496317582498E-3</v>
      </c>
      <c r="K969" s="8">
        <f t="shared" si="59"/>
        <v>0.24893872345237922</v>
      </c>
    </row>
    <row r="970" spans="1:11" x14ac:dyDescent="0.25">
      <c r="A970" t="str">
        <f t="shared" si="60"/>
        <v>122020</v>
      </c>
      <c r="B970" s="1">
        <v>44167</v>
      </c>
      <c r="C970" s="10">
        <v>43873.645833333336</v>
      </c>
      <c r="D970">
        <v>29876.7</v>
      </c>
      <c r="E970">
        <v>29886.25</v>
      </c>
      <c r="F970">
        <v>29149.9</v>
      </c>
      <c r="G970">
        <v>29463.15</v>
      </c>
      <c r="H970">
        <v>0</v>
      </c>
      <c r="I970" s="8">
        <f t="shared" si="61"/>
        <v>-1.1895559203631278E-2</v>
      </c>
      <c r="J970" s="8">
        <f t="shared" si="62"/>
        <v>-1.1966877513038919E-2</v>
      </c>
      <c r="K970" s="8">
        <f t="shared" si="59"/>
        <v>0.25210733993884649</v>
      </c>
    </row>
    <row r="971" spans="1:11" x14ac:dyDescent="0.25">
      <c r="A971" t="str">
        <f t="shared" si="60"/>
        <v>122020</v>
      </c>
      <c r="B971" s="1">
        <v>44168</v>
      </c>
      <c r="C971" s="10">
        <v>43902.645833333336</v>
      </c>
      <c r="D971">
        <v>29728.9</v>
      </c>
      <c r="E971">
        <v>29813</v>
      </c>
      <c r="F971">
        <v>29379.4</v>
      </c>
      <c r="G971">
        <v>29448.75</v>
      </c>
      <c r="H971">
        <v>0</v>
      </c>
      <c r="I971" s="8">
        <f t="shared" si="61"/>
        <v>-4.8874611166838111E-4</v>
      </c>
      <c r="J971" s="8">
        <f t="shared" si="62"/>
        <v>-4.8886558697953171E-4</v>
      </c>
      <c r="K971" s="8">
        <f t="shared" si="59"/>
        <v>0.27974056450035856</v>
      </c>
    </row>
    <row r="972" spans="1:11" x14ac:dyDescent="0.25">
      <c r="A972" t="str">
        <f t="shared" si="60"/>
        <v>122020</v>
      </c>
      <c r="B972" s="1">
        <v>44169</v>
      </c>
      <c r="C972" s="10">
        <v>43933.645833333336</v>
      </c>
      <c r="D972">
        <v>29573.4</v>
      </c>
      <c r="E972">
        <v>30162.3</v>
      </c>
      <c r="F972">
        <v>29473.5</v>
      </c>
      <c r="G972">
        <v>30052.400000000001</v>
      </c>
      <c r="H972">
        <v>0</v>
      </c>
      <c r="I972" s="8">
        <f t="shared" si="61"/>
        <v>2.0498323358376869E-2</v>
      </c>
      <c r="J972" s="8">
        <f t="shared" si="62"/>
        <v>2.0291060305488585E-2</v>
      </c>
      <c r="K972" s="8">
        <f t="shared" si="59"/>
        <v>0.30975526311775314</v>
      </c>
    </row>
    <row r="973" spans="1:11" x14ac:dyDescent="0.25">
      <c r="A973" t="str">
        <f t="shared" si="60"/>
        <v>122020</v>
      </c>
      <c r="B973" s="1">
        <v>44172</v>
      </c>
      <c r="C973" s="10">
        <v>44024.645833333336</v>
      </c>
      <c r="D973">
        <v>30062.6</v>
      </c>
      <c r="E973">
        <v>30354.2</v>
      </c>
      <c r="F973">
        <v>29950.6</v>
      </c>
      <c r="G973">
        <v>30211.55</v>
      </c>
      <c r="H973">
        <v>0</v>
      </c>
      <c r="I973" s="8">
        <f t="shared" si="61"/>
        <v>5.2957500898429544E-3</v>
      </c>
      <c r="J973" s="8">
        <f t="shared" si="62"/>
        <v>5.2817769159176223E-3</v>
      </c>
      <c r="K973" s="8">
        <f t="shared" si="59"/>
        <v>0.32830718770334655</v>
      </c>
    </row>
    <row r="974" spans="1:11" x14ac:dyDescent="0.25">
      <c r="A974" t="str">
        <f t="shared" si="60"/>
        <v>122020</v>
      </c>
      <c r="B974" s="1">
        <v>44173</v>
      </c>
      <c r="C974" s="10">
        <v>44055.645833333336</v>
      </c>
      <c r="D974">
        <v>30300.3</v>
      </c>
      <c r="E974">
        <v>30363.8</v>
      </c>
      <c r="F974">
        <v>30025.200000000001</v>
      </c>
      <c r="G974">
        <v>30261.9</v>
      </c>
      <c r="H974">
        <v>0</v>
      </c>
      <c r="I974" s="8">
        <f t="shared" si="61"/>
        <v>1.6665811585305779E-3</v>
      </c>
      <c r="J974" s="8">
        <f t="shared" si="62"/>
        <v>1.6651939531979107E-3</v>
      </c>
      <c r="K974" s="8">
        <f t="shared" si="59"/>
        <v>0.35904702025418778</v>
      </c>
    </row>
    <row r="975" spans="1:11" x14ac:dyDescent="0.25">
      <c r="A975" t="str">
        <f t="shared" si="60"/>
        <v>122020</v>
      </c>
      <c r="B975" s="1">
        <v>44174</v>
      </c>
      <c r="C975" s="10">
        <v>44086.645833333336</v>
      </c>
      <c r="D975">
        <v>30335.05</v>
      </c>
      <c r="E975">
        <v>30807.25</v>
      </c>
      <c r="F975">
        <v>30326.7</v>
      </c>
      <c r="G975">
        <v>30709.4</v>
      </c>
      <c r="H975">
        <v>0</v>
      </c>
      <c r="I975" s="8">
        <f t="shared" si="61"/>
        <v>1.4787571170349567E-2</v>
      </c>
      <c r="J975" s="8">
        <f t="shared" si="62"/>
        <v>1.467930110230932E-2</v>
      </c>
      <c r="K975" s="8">
        <f t="shared" si="59"/>
        <v>0.36691563326241194</v>
      </c>
    </row>
    <row r="976" spans="1:11" x14ac:dyDescent="0.25">
      <c r="A976" t="str">
        <f t="shared" si="60"/>
        <v>122020</v>
      </c>
      <c r="B976" s="1">
        <v>44175</v>
      </c>
      <c r="C976" s="10">
        <v>44116.645833333336</v>
      </c>
      <c r="D976">
        <v>30545.35</v>
      </c>
      <c r="E976">
        <v>30610</v>
      </c>
      <c r="F976">
        <v>30202.1</v>
      </c>
      <c r="G976">
        <v>30510.35</v>
      </c>
      <c r="H976">
        <v>0</v>
      </c>
      <c r="I976" s="8">
        <f t="shared" si="61"/>
        <v>-6.4817287214991026E-3</v>
      </c>
      <c r="J976" s="8">
        <f t="shared" si="62"/>
        <v>-6.5028263405512996E-3</v>
      </c>
      <c r="K976" s="8">
        <f t="shared" si="59"/>
        <v>0.35722499382783313</v>
      </c>
    </row>
    <row r="977" spans="1:11" x14ac:dyDescent="0.25">
      <c r="A977" t="str">
        <f t="shared" si="60"/>
        <v>122020</v>
      </c>
      <c r="B977" s="1">
        <v>44176</v>
      </c>
      <c r="C977" s="10">
        <v>44147.645833333336</v>
      </c>
      <c r="D977">
        <v>30555.3</v>
      </c>
      <c r="E977">
        <v>30811.8</v>
      </c>
      <c r="F977">
        <v>30328.45</v>
      </c>
      <c r="G977">
        <v>30604.85</v>
      </c>
      <c r="H977">
        <v>0</v>
      </c>
      <c r="I977" s="8">
        <f t="shared" si="61"/>
        <v>3.0973096014959012E-3</v>
      </c>
      <c r="J977" s="8">
        <f t="shared" si="62"/>
        <v>3.0925228196620616E-3</v>
      </c>
      <c r="K977" s="8">
        <f t="shared" si="59"/>
        <v>0.38475651829647628</v>
      </c>
    </row>
    <row r="978" spans="1:11" x14ac:dyDescent="0.25">
      <c r="A978" t="str">
        <f t="shared" si="60"/>
        <v>122020</v>
      </c>
      <c r="B978" s="1">
        <v>44179</v>
      </c>
      <c r="C978" t="s">
        <v>616</v>
      </c>
      <c r="D978">
        <v>30735.15</v>
      </c>
      <c r="E978">
        <v>30845.8</v>
      </c>
      <c r="F978">
        <v>30624.25</v>
      </c>
      <c r="G978">
        <v>30745.9</v>
      </c>
      <c r="H978">
        <v>0</v>
      </c>
      <c r="I978" s="8">
        <f t="shared" si="61"/>
        <v>4.6087466528998977E-3</v>
      </c>
      <c r="J978" s="8">
        <f t="shared" si="62"/>
        <v>4.5981588984333101E-3</v>
      </c>
      <c r="K978" s="8">
        <f t="shared" si="59"/>
        <v>0.36857380044645938</v>
      </c>
    </row>
    <row r="979" spans="1:11" x14ac:dyDescent="0.25">
      <c r="A979" t="str">
        <f t="shared" si="60"/>
        <v>122020</v>
      </c>
      <c r="B979" s="1">
        <v>44180</v>
      </c>
      <c r="C979" t="s">
        <v>617</v>
      </c>
      <c r="D979">
        <v>30805.4</v>
      </c>
      <c r="E979">
        <v>30805.85</v>
      </c>
      <c r="F979">
        <v>30345.75</v>
      </c>
      <c r="G979">
        <v>30691.05</v>
      </c>
      <c r="H979">
        <v>0</v>
      </c>
      <c r="I979" s="8">
        <f t="shared" si="61"/>
        <v>-1.7839777010919544E-3</v>
      </c>
      <c r="J979" s="8">
        <f t="shared" si="62"/>
        <v>-1.7855708843952343E-3</v>
      </c>
      <c r="K979" s="8">
        <f t="shared" si="59"/>
        <v>0.35960227788717325</v>
      </c>
    </row>
    <row r="980" spans="1:11" x14ac:dyDescent="0.25">
      <c r="A980" t="str">
        <f t="shared" si="60"/>
        <v>122020</v>
      </c>
      <c r="B980" s="1">
        <v>44181</v>
      </c>
      <c r="C980" t="s">
        <v>618</v>
      </c>
      <c r="D980">
        <v>30920.35</v>
      </c>
      <c r="E980">
        <v>30932.25</v>
      </c>
      <c r="F980">
        <v>30587.1</v>
      </c>
      <c r="G980">
        <v>30698.400000000001</v>
      </c>
      <c r="H980">
        <v>0</v>
      </c>
      <c r="I980" s="8">
        <f t="shared" si="61"/>
        <v>2.3948349763203147E-4</v>
      </c>
      <c r="J980" s="8">
        <f t="shared" si="62"/>
        <v>2.3945482603670372E-4</v>
      </c>
      <c r="K980" s="8">
        <f t="shared" si="59"/>
        <v>0.37535477714283161</v>
      </c>
    </row>
    <row r="981" spans="1:11" x14ac:dyDescent="0.25">
      <c r="A981" t="str">
        <f t="shared" si="60"/>
        <v>122020</v>
      </c>
      <c r="B981" s="1">
        <v>44182</v>
      </c>
      <c r="C981" t="s">
        <v>619</v>
      </c>
      <c r="D981">
        <v>30791.200000000001</v>
      </c>
      <c r="E981">
        <v>30945.200000000001</v>
      </c>
      <c r="F981">
        <v>30643.9</v>
      </c>
      <c r="G981">
        <v>30847.05</v>
      </c>
      <c r="H981">
        <v>0</v>
      </c>
      <c r="I981" s="8">
        <f t="shared" si="61"/>
        <v>4.8422719099365796E-3</v>
      </c>
      <c r="J981" s="8">
        <f t="shared" si="62"/>
        <v>4.8305858209417244E-3</v>
      </c>
      <c r="K981" s="8">
        <f t="shared" si="59"/>
        <v>0.40016249792905922</v>
      </c>
    </row>
    <row r="982" spans="1:11" x14ac:dyDescent="0.25">
      <c r="A982" t="str">
        <f t="shared" si="60"/>
        <v>122020</v>
      </c>
      <c r="B982" s="1">
        <v>44183</v>
      </c>
      <c r="C982" t="s">
        <v>620</v>
      </c>
      <c r="D982">
        <v>30841.85</v>
      </c>
      <c r="E982">
        <v>30854.05</v>
      </c>
      <c r="F982">
        <v>30374.5</v>
      </c>
      <c r="G982">
        <v>30714.65</v>
      </c>
      <c r="H982">
        <v>0</v>
      </c>
      <c r="I982" s="8">
        <f t="shared" si="61"/>
        <v>-4.2921446297132793E-3</v>
      </c>
      <c r="J982" s="8">
        <f t="shared" si="62"/>
        <v>-4.3013823249667465E-3</v>
      </c>
      <c r="K982" s="8">
        <f t="shared" si="59"/>
        <v>0.43749414980249735</v>
      </c>
    </row>
    <row r="983" spans="1:11" x14ac:dyDescent="0.25">
      <c r="A983" t="str">
        <f t="shared" si="60"/>
        <v>122020</v>
      </c>
      <c r="B983" s="1">
        <v>44186</v>
      </c>
      <c r="C983" t="s">
        <v>621</v>
      </c>
      <c r="D983">
        <v>30595.8</v>
      </c>
      <c r="E983">
        <v>30607.5</v>
      </c>
      <c r="F983">
        <v>29201.200000000001</v>
      </c>
      <c r="G983">
        <v>29456.45</v>
      </c>
      <c r="H983">
        <v>0</v>
      </c>
      <c r="I983" s="8">
        <f t="shared" si="61"/>
        <v>-4.0964165308737033E-2</v>
      </c>
      <c r="J983" s="8">
        <f t="shared" si="62"/>
        <v>-4.1826838069744625E-2</v>
      </c>
      <c r="K983" s="8">
        <f t="shared" si="59"/>
        <v>0.39345809424242284</v>
      </c>
    </row>
    <row r="984" spans="1:11" x14ac:dyDescent="0.25">
      <c r="A984" t="str">
        <f t="shared" si="60"/>
        <v>122020</v>
      </c>
      <c r="B984" s="1">
        <v>44187</v>
      </c>
      <c r="C984" t="s">
        <v>622</v>
      </c>
      <c r="D984">
        <v>29607.5</v>
      </c>
      <c r="E984">
        <v>29711.15</v>
      </c>
      <c r="F984">
        <v>28976.75</v>
      </c>
      <c r="G984">
        <v>29625.95</v>
      </c>
      <c r="H984">
        <v>0</v>
      </c>
      <c r="I984" s="8">
        <f t="shared" si="61"/>
        <v>5.754257556494391E-3</v>
      </c>
      <c r="J984" s="8">
        <f t="shared" si="62"/>
        <v>5.7377650543057488E-3</v>
      </c>
      <c r="K984" s="8">
        <f t="shared" si="59"/>
        <v>0.39886913615222985</v>
      </c>
    </row>
    <row r="985" spans="1:11" x14ac:dyDescent="0.25">
      <c r="A985" t="str">
        <f t="shared" si="60"/>
        <v>122020</v>
      </c>
      <c r="B985" s="1">
        <v>44188</v>
      </c>
      <c r="C985" t="s">
        <v>623</v>
      </c>
      <c r="D985">
        <v>29560.75</v>
      </c>
      <c r="E985">
        <v>29941.4</v>
      </c>
      <c r="F985">
        <v>29446</v>
      </c>
      <c r="G985">
        <v>29883.3</v>
      </c>
      <c r="H985">
        <v>0</v>
      </c>
      <c r="I985" s="8">
        <f t="shared" si="61"/>
        <v>8.6866412722630404E-3</v>
      </c>
      <c r="J985" s="8">
        <f t="shared" si="62"/>
        <v>8.6491294817497549E-3</v>
      </c>
      <c r="K985" s="8">
        <f t="shared" si="59"/>
        <v>0.4607967502328072</v>
      </c>
    </row>
    <row r="986" spans="1:11" x14ac:dyDescent="0.25">
      <c r="A986" t="str">
        <f t="shared" si="60"/>
        <v>122020</v>
      </c>
      <c r="B986" s="1">
        <v>44189</v>
      </c>
      <c r="C986" t="s">
        <v>624</v>
      </c>
      <c r="D986">
        <v>30071.65</v>
      </c>
      <c r="E986">
        <v>30545.85</v>
      </c>
      <c r="F986">
        <v>30007.8</v>
      </c>
      <c r="G986">
        <v>30402.2</v>
      </c>
      <c r="H986">
        <v>0</v>
      </c>
      <c r="I986" s="8">
        <f t="shared" si="61"/>
        <v>1.7364213457014444E-2</v>
      </c>
      <c r="J986" s="8">
        <f t="shared" si="62"/>
        <v>1.7215178281318914E-2</v>
      </c>
      <c r="K986" s="8">
        <f t="shared" si="59"/>
        <v>0.448941610448782</v>
      </c>
    </row>
    <row r="987" spans="1:11" x14ac:dyDescent="0.25">
      <c r="A987" t="str">
        <f t="shared" si="60"/>
        <v>122020</v>
      </c>
      <c r="B987" s="1">
        <v>44193</v>
      </c>
      <c r="C987" t="s">
        <v>625</v>
      </c>
      <c r="D987">
        <v>30558.85</v>
      </c>
      <c r="E987">
        <v>30929.05</v>
      </c>
      <c r="F987">
        <v>30538.15</v>
      </c>
      <c r="G987">
        <v>30880.95</v>
      </c>
      <c r="H987">
        <v>0</v>
      </c>
      <c r="I987" s="8">
        <f t="shared" si="61"/>
        <v>1.5747215662024416E-2</v>
      </c>
      <c r="J987" s="8">
        <f t="shared" si="62"/>
        <v>1.5624514717309457E-2</v>
      </c>
      <c r="K987" s="8">
        <f t="shared" si="59"/>
        <v>0.42535136507350391</v>
      </c>
    </row>
    <row r="988" spans="1:11" x14ac:dyDescent="0.25">
      <c r="A988" t="str">
        <f t="shared" si="60"/>
        <v>122020</v>
      </c>
      <c r="B988" s="1">
        <v>44194</v>
      </c>
      <c r="C988" t="s">
        <v>626</v>
      </c>
      <c r="D988">
        <v>31006.9</v>
      </c>
      <c r="E988">
        <v>31359.35</v>
      </c>
      <c r="F988">
        <v>31002.6</v>
      </c>
      <c r="G988">
        <v>31322.5</v>
      </c>
      <c r="H988">
        <v>0</v>
      </c>
      <c r="I988" s="8">
        <f t="shared" si="61"/>
        <v>1.4298459082379145E-2</v>
      </c>
      <c r="J988" s="8">
        <f t="shared" si="62"/>
        <v>1.4197200205500287E-2</v>
      </c>
      <c r="K988" s="8">
        <f t="shared" si="59"/>
        <v>0.46289576064975035</v>
      </c>
    </row>
    <row r="989" spans="1:11" x14ac:dyDescent="0.25">
      <c r="A989" t="str">
        <f t="shared" si="60"/>
        <v>122020</v>
      </c>
      <c r="B989" s="1">
        <v>44195</v>
      </c>
      <c r="C989" t="s">
        <v>627</v>
      </c>
      <c r="D989">
        <v>31479.8</v>
      </c>
      <c r="E989">
        <v>31510.25</v>
      </c>
      <c r="F989">
        <v>31007.15</v>
      </c>
      <c r="G989">
        <v>31303.05</v>
      </c>
      <c r="H989">
        <v>0</v>
      </c>
      <c r="I989" s="8">
        <f t="shared" si="61"/>
        <v>-6.2095937425177272E-4</v>
      </c>
      <c r="J989" s="8">
        <f t="shared" si="62"/>
        <v>-6.2115224937321785E-4</v>
      </c>
      <c r="K989" s="8">
        <f t="shared" si="59"/>
        <v>0.45922719771767406</v>
      </c>
    </row>
    <row r="990" spans="1:11" x14ac:dyDescent="0.25">
      <c r="A990" t="str">
        <f t="shared" si="60"/>
        <v>122020</v>
      </c>
      <c r="B990" s="1">
        <v>44196</v>
      </c>
      <c r="C990" t="s">
        <v>628</v>
      </c>
      <c r="D990">
        <v>31295.9</v>
      </c>
      <c r="E990">
        <v>31409.5</v>
      </c>
      <c r="F990">
        <v>31088.1</v>
      </c>
      <c r="G990">
        <v>31264.05</v>
      </c>
      <c r="H990">
        <v>0</v>
      </c>
      <c r="I990" s="8">
        <f t="shared" si="61"/>
        <v>-1.2458849856483711E-3</v>
      </c>
      <c r="J990" s="8">
        <f t="shared" si="62"/>
        <v>-1.2466617455831584E-3</v>
      </c>
      <c r="K990" s="8">
        <f t="shared" si="59"/>
        <v>0.40537849501033896</v>
      </c>
    </row>
    <row r="991" spans="1:11" x14ac:dyDescent="0.25">
      <c r="A991" t="str">
        <f t="shared" si="60"/>
        <v>12021</v>
      </c>
      <c r="B991" s="1">
        <v>44197</v>
      </c>
      <c r="C991" s="10">
        <v>44197.645833333336</v>
      </c>
      <c r="D991">
        <v>31297.3</v>
      </c>
      <c r="E991">
        <v>31384.35</v>
      </c>
      <c r="F991">
        <v>31188.25</v>
      </c>
      <c r="G991">
        <v>31225.85</v>
      </c>
      <c r="H991">
        <v>0</v>
      </c>
      <c r="I991" s="8">
        <f t="shared" si="61"/>
        <v>-1.2218506559451559E-3</v>
      </c>
      <c r="J991" s="8">
        <f t="shared" si="62"/>
        <v>-1.2225977240569832E-3</v>
      </c>
      <c r="K991" s="8">
        <f t="shared" si="59"/>
        <v>0.39582136654902889</v>
      </c>
    </row>
    <row r="992" spans="1:11" x14ac:dyDescent="0.25">
      <c r="A992" t="str">
        <f t="shared" si="60"/>
        <v>12021</v>
      </c>
      <c r="B992" s="1">
        <v>44200</v>
      </c>
      <c r="C992" s="10">
        <v>44287.645833333336</v>
      </c>
      <c r="D992">
        <v>31485.15</v>
      </c>
      <c r="E992">
        <v>31489.599999999999</v>
      </c>
      <c r="F992">
        <v>30893.65</v>
      </c>
      <c r="G992">
        <v>31212.45</v>
      </c>
      <c r="H992">
        <v>0</v>
      </c>
      <c r="I992" s="8">
        <f t="shared" si="61"/>
        <v>-4.2913163292590539E-4</v>
      </c>
      <c r="J992" s="8">
        <f t="shared" si="62"/>
        <v>-4.2922373625567162E-4</v>
      </c>
      <c r="K992" s="8">
        <f t="shared" si="59"/>
        <v>0.36575040365455047</v>
      </c>
    </row>
    <row r="993" spans="1:11" x14ac:dyDescent="0.25">
      <c r="A993" t="str">
        <f t="shared" si="60"/>
        <v>12021</v>
      </c>
      <c r="B993" s="1">
        <v>44201</v>
      </c>
      <c r="C993" s="10">
        <v>44317.645833333336</v>
      </c>
      <c r="D993">
        <v>31041.1</v>
      </c>
      <c r="E993">
        <v>31767.65</v>
      </c>
      <c r="F993">
        <v>30935.55</v>
      </c>
      <c r="G993">
        <v>31722.25</v>
      </c>
      <c r="H993">
        <v>0</v>
      </c>
      <c r="I993" s="8">
        <f t="shared" si="61"/>
        <v>1.633322600436693E-2</v>
      </c>
      <c r="J993" s="8">
        <f t="shared" si="62"/>
        <v>1.6201273733903017E-2</v>
      </c>
      <c r="K993" s="8">
        <f t="shared" si="59"/>
        <v>0.3813423151954296</v>
      </c>
    </row>
    <row r="994" spans="1:11" x14ac:dyDescent="0.25">
      <c r="A994" t="str">
        <f t="shared" si="60"/>
        <v>12021</v>
      </c>
      <c r="B994" s="1">
        <v>44202</v>
      </c>
      <c r="C994" s="10">
        <v>44348.645833333336</v>
      </c>
      <c r="D994">
        <v>31839.95</v>
      </c>
      <c r="E994">
        <v>31982.3</v>
      </c>
      <c r="F994">
        <v>31548.15</v>
      </c>
      <c r="G994">
        <v>31797.9</v>
      </c>
      <c r="H994">
        <v>0</v>
      </c>
      <c r="I994" s="8">
        <f t="shared" si="61"/>
        <v>2.3847614844469955E-3</v>
      </c>
      <c r="J994" s="8">
        <f t="shared" si="62"/>
        <v>2.38192245349008E-3</v>
      </c>
      <c r="K994" s="8">
        <f t="shared" si="59"/>
        <v>0.37111034933283338</v>
      </c>
    </row>
    <row r="995" spans="1:11" x14ac:dyDescent="0.25">
      <c r="A995" t="str">
        <f t="shared" si="60"/>
        <v>12021</v>
      </c>
      <c r="B995" s="1">
        <v>44203</v>
      </c>
      <c r="C995" s="10">
        <v>44378.645833333336</v>
      </c>
      <c r="D995">
        <v>32129.8</v>
      </c>
      <c r="E995">
        <v>32177.4</v>
      </c>
      <c r="F995">
        <v>31911.5</v>
      </c>
      <c r="G995">
        <v>31956</v>
      </c>
      <c r="H995">
        <v>0</v>
      </c>
      <c r="I995" s="8">
        <f t="shared" si="61"/>
        <v>4.972026454577172E-3</v>
      </c>
      <c r="J995" s="8">
        <f t="shared" si="62"/>
        <v>4.9597067501006564E-3</v>
      </c>
      <c r="K995" s="8">
        <f t="shared" si="59"/>
        <v>0.34005401143969016</v>
      </c>
    </row>
    <row r="996" spans="1:11" x14ac:dyDescent="0.25">
      <c r="A996" t="str">
        <f t="shared" si="60"/>
        <v>12021</v>
      </c>
      <c r="B996" s="1">
        <v>44204</v>
      </c>
      <c r="C996" s="10">
        <v>44409.645833333336</v>
      </c>
      <c r="D996">
        <v>32298.05</v>
      </c>
      <c r="E996">
        <v>32298.05</v>
      </c>
      <c r="F996">
        <v>32002.95</v>
      </c>
      <c r="G996">
        <v>32084.2</v>
      </c>
      <c r="H996">
        <v>0</v>
      </c>
      <c r="I996" s="8">
        <f t="shared" si="61"/>
        <v>4.0117661784955239E-3</v>
      </c>
      <c r="J996" s="8">
        <f t="shared" si="62"/>
        <v>4.0037405021573404E-3</v>
      </c>
      <c r="K996" s="8">
        <f t="shared" si="59"/>
        <v>0.35303296110117754</v>
      </c>
    </row>
    <row r="997" spans="1:11" x14ac:dyDescent="0.25">
      <c r="A997" t="str">
        <f t="shared" si="60"/>
        <v>12021</v>
      </c>
      <c r="B997" s="1">
        <v>44207</v>
      </c>
      <c r="C997" s="10">
        <v>44501.645833333336</v>
      </c>
      <c r="D997">
        <v>32280.3</v>
      </c>
      <c r="E997">
        <v>32288.45</v>
      </c>
      <c r="F997">
        <v>31836.95</v>
      </c>
      <c r="G997">
        <v>31998.9</v>
      </c>
      <c r="H997">
        <v>0</v>
      </c>
      <c r="I997" s="8">
        <f t="shared" si="61"/>
        <v>-2.6586294811776767E-3</v>
      </c>
      <c r="J997" s="8">
        <f t="shared" si="62"/>
        <v>-2.6621699130600679E-3</v>
      </c>
      <c r="K997" s="8">
        <f t="shared" si="59"/>
        <v>0.36210742288929954</v>
      </c>
    </row>
    <row r="998" spans="1:11" x14ac:dyDescent="0.25">
      <c r="A998" t="str">
        <f t="shared" si="60"/>
        <v>12021</v>
      </c>
      <c r="B998" s="1">
        <v>44208</v>
      </c>
      <c r="C998" s="10">
        <v>44531.645833333336</v>
      </c>
      <c r="D998">
        <v>31835.05</v>
      </c>
      <c r="E998">
        <v>32397.95</v>
      </c>
      <c r="F998">
        <v>31725.85</v>
      </c>
      <c r="G998">
        <v>32339</v>
      </c>
      <c r="H998">
        <v>0</v>
      </c>
      <c r="I998" s="8">
        <f t="shared" si="61"/>
        <v>1.0628490354355868E-2</v>
      </c>
      <c r="J998" s="8">
        <f t="shared" si="62"/>
        <v>1.0572405002496959E-2</v>
      </c>
      <c r="K998" s="8">
        <f t="shared" si="59"/>
        <v>0.35453294603271668</v>
      </c>
    </row>
    <row r="999" spans="1:11" x14ac:dyDescent="0.25">
      <c r="A999" t="str">
        <f t="shared" si="60"/>
        <v>12021</v>
      </c>
      <c r="B999" s="1">
        <v>44209</v>
      </c>
      <c r="C999" t="s">
        <v>629</v>
      </c>
      <c r="D999">
        <v>32546.6</v>
      </c>
      <c r="E999">
        <v>32683.5</v>
      </c>
      <c r="F999">
        <v>32148.25</v>
      </c>
      <c r="G999">
        <v>32574.65</v>
      </c>
      <c r="H999">
        <v>0</v>
      </c>
      <c r="I999" s="8">
        <f t="shared" si="61"/>
        <v>7.2868672500696618E-3</v>
      </c>
      <c r="J999" s="8">
        <f t="shared" si="62"/>
        <v>7.260446305880206E-3</v>
      </c>
      <c r="K999" s="8">
        <f t="shared" si="59"/>
        <v>0.41184488826476651</v>
      </c>
    </row>
    <row r="1000" spans="1:11" x14ac:dyDescent="0.25">
      <c r="A1000" t="str">
        <f t="shared" si="60"/>
        <v>12021</v>
      </c>
      <c r="B1000" s="1">
        <v>44210</v>
      </c>
      <c r="C1000" t="s">
        <v>630</v>
      </c>
      <c r="D1000">
        <v>32526.7</v>
      </c>
      <c r="E1000">
        <v>32718.95</v>
      </c>
      <c r="F1000">
        <v>32442.35</v>
      </c>
      <c r="G1000">
        <v>32519.75</v>
      </c>
      <c r="H1000">
        <v>0</v>
      </c>
      <c r="I1000" s="8">
        <f t="shared" si="61"/>
        <v>-1.6853596278088023E-3</v>
      </c>
      <c r="J1000" s="8">
        <f t="shared" si="62"/>
        <v>-1.6867814440853942E-3</v>
      </c>
      <c r="K1000" s="8">
        <f t="shared" si="59"/>
        <v>0.38186395844177912</v>
      </c>
    </row>
    <row r="1001" spans="1:11" x14ac:dyDescent="0.25">
      <c r="A1001" t="str">
        <f t="shared" si="60"/>
        <v>12021</v>
      </c>
      <c r="B1001" s="1">
        <v>44211</v>
      </c>
      <c r="C1001" t="s">
        <v>631</v>
      </c>
      <c r="D1001">
        <v>32508.9</v>
      </c>
      <c r="E1001">
        <v>32544.799999999999</v>
      </c>
      <c r="F1001">
        <v>32044.35</v>
      </c>
      <c r="G1001">
        <v>32246.799999999999</v>
      </c>
      <c r="H1001">
        <v>0</v>
      </c>
      <c r="I1001" s="8">
        <f t="shared" si="61"/>
        <v>-8.393360957571927E-3</v>
      </c>
      <c r="J1001" s="8">
        <f t="shared" si="62"/>
        <v>-8.4287835607112956E-3</v>
      </c>
      <c r="K1001" s="8">
        <f t="shared" si="59"/>
        <v>0.32884708500314219</v>
      </c>
    </row>
    <row r="1002" spans="1:11" x14ac:dyDescent="0.25">
      <c r="A1002" t="str">
        <f t="shared" si="60"/>
        <v>12021</v>
      </c>
      <c r="B1002" s="1">
        <v>44214</v>
      </c>
      <c r="C1002" t="s">
        <v>632</v>
      </c>
      <c r="D1002">
        <v>32275.15</v>
      </c>
      <c r="E1002">
        <v>32441.5</v>
      </c>
      <c r="F1002">
        <v>31650.9</v>
      </c>
      <c r="G1002">
        <v>31811.75</v>
      </c>
      <c r="H1002">
        <v>0</v>
      </c>
      <c r="I1002" s="8">
        <f t="shared" si="61"/>
        <v>-1.3491261148392941E-2</v>
      </c>
      <c r="J1002" s="8">
        <f t="shared" si="62"/>
        <v>-1.3583095118148224E-2</v>
      </c>
      <c r="K1002" s="8">
        <f t="shared" si="59"/>
        <v>0.30849011591079223</v>
      </c>
    </row>
    <row r="1003" spans="1:11" x14ac:dyDescent="0.25">
      <c r="A1003" t="str">
        <f t="shared" si="60"/>
        <v>12021</v>
      </c>
      <c r="B1003" s="1">
        <v>44215</v>
      </c>
      <c r="C1003" t="s">
        <v>633</v>
      </c>
      <c r="D1003">
        <v>32082.9</v>
      </c>
      <c r="E1003">
        <v>32464.95</v>
      </c>
      <c r="F1003">
        <v>31863.95</v>
      </c>
      <c r="G1003">
        <v>32424.85</v>
      </c>
      <c r="H1003">
        <v>0</v>
      </c>
      <c r="I1003" s="8">
        <f t="shared" si="61"/>
        <v>1.9272752992211872E-2</v>
      </c>
      <c r="J1003" s="8">
        <f t="shared" si="62"/>
        <v>1.908938573734353E-2</v>
      </c>
      <c r="K1003" s="8">
        <f t="shared" si="59"/>
        <v>0.3162080044489457</v>
      </c>
    </row>
    <row r="1004" spans="1:11" x14ac:dyDescent="0.25">
      <c r="A1004" t="str">
        <f t="shared" si="60"/>
        <v>12021</v>
      </c>
      <c r="B1004" s="1">
        <v>44216</v>
      </c>
      <c r="C1004" t="s">
        <v>634</v>
      </c>
      <c r="D1004">
        <v>32388.95</v>
      </c>
      <c r="E1004">
        <v>32607.45</v>
      </c>
      <c r="F1004">
        <v>32322.9</v>
      </c>
      <c r="G1004">
        <v>32543.7</v>
      </c>
      <c r="H1004">
        <v>0</v>
      </c>
      <c r="I1004" s="8">
        <f t="shared" si="61"/>
        <v>3.6653986063159838E-3</v>
      </c>
      <c r="J1004" s="8">
        <f t="shared" si="62"/>
        <v>3.6586974029068128E-3</v>
      </c>
      <c r="K1004" s="8">
        <f t="shared" si="59"/>
        <v>0.3291741800307546</v>
      </c>
    </row>
    <row r="1005" spans="1:11" x14ac:dyDescent="0.25">
      <c r="A1005" t="str">
        <f t="shared" si="60"/>
        <v>12021</v>
      </c>
      <c r="B1005" s="1">
        <v>44217</v>
      </c>
      <c r="C1005" t="s">
        <v>635</v>
      </c>
      <c r="D1005">
        <v>32732.799999999999</v>
      </c>
      <c r="E1005">
        <v>32842.300000000003</v>
      </c>
      <c r="F1005">
        <v>31985.55</v>
      </c>
      <c r="G1005">
        <v>32186.9</v>
      </c>
      <c r="H1005">
        <v>0</v>
      </c>
      <c r="I1005" s="8">
        <f t="shared" si="61"/>
        <v>-1.0963719552478657E-2</v>
      </c>
      <c r="J1005" s="8">
        <f t="shared" si="62"/>
        <v>-1.1024264061060761E-2</v>
      </c>
      <c r="K1005" s="8">
        <f t="shared" si="59"/>
        <v>0.3149156599927283</v>
      </c>
    </row>
    <row r="1006" spans="1:11" x14ac:dyDescent="0.25">
      <c r="A1006" t="str">
        <f t="shared" si="60"/>
        <v>12021</v>
      </c>
      <c r="B1006" s="1">
        <v>44218</v>
      </c>
      <c r="C1006" t="s">
        <v>636</v>
      </c>
      <c r="D1006">
        <v>32088</v>
      </c>
      <c r="E1006">
        <v>32131.4</v>
      </c>
      <c r="F1006">
        <v>31119.9</v>
      </c>
      <c r="G1006">
        <v>31167.25</v>
      </c>
      <c r="H1006">
        <v>0</v>
      </c>
      <c r="I1006" s="8">
        <f t="shared" si="61"/>
        <v>-3.1679037123798826E-2</v>
      </c>
      <c r="J1006" s="8">
        <f t="shared" si="62"/>
        <v>-3.2191673444595677E-2</v>
      </c>
      <c r="K1006" s="8">
        <f t="shared" si="59"/>
        <v>0.29456562597999203</v>
      </c>
    </row>
    <row r="1007" spans="1:11" x14ac:dyDescent="0.25">
      <c r="A1007" t="str">
        <f t="shared" si="60"/>
        <v>12021</v>
      </c>
      <c r="B1007" s="1">
        <v>44221</v>
      </c>
      <c r="C1007" t="s">
        <v>637</v>
      </c>
      <c r="D1007">
        <v>31507.15</v>
      </c>
      <c r="E1007">
        <v>31697.55</v>
      </c>
      <c r="F1007">
        <v>31013.65</v>
      </c>
      <c r="G1007">
        <v>31198.400000000001</v>
      </c>
      <c r="H1007">
        <v>0</v>
      </c>
      <c r="I1007" s="8">
        <f t="shared" si="61"/>
        <v>9.9944653442318732E-4</v>
      </c>
      <c r="J1007" s="8">
        <f t="shared" si="62"/>
        <v>9.9894742026652842E-4</v>
      </c>
      <c r="K1007" s="8">
        <f t="shared" si="59"/>
        <v>0.25954904216879626</v>
      </c>
    </row>
    <row r="1008" spans="1:11" x14ac:dyDescent="0.25">
      <c r="A1008" t="str">
        <f t="shared" si="60"/>
        <v>12021</v>
      </c>
      <c r="B1008" s="1">
        <v>44223</v>
      </c>
      <c r="C1008" t="s">
        <v>638</v>
      </c>
      <c r="D1008">
        <v>31236.25</v>
      </c>
      <c r="E1008">
        <v>31287.05</v>
      </c>
      <c r="F1008">
        <v>30165.65</v>
      </c>
      <c r="G1008">
        <v>30284.55</v>
      </c>
      <c r="H1008">
        <v>0</v>
      </c>
      <c r="I1008" s="8">
        <f t="shared" si="61"/>
        <v>-2.9291566234165956E-2</v>
      </c>
      <c r="J1008" s="8">
        <f t="shared" si="62"/>
        <v>-2.972912996767894E-2</v>
      </c>
      <c r="K1008" s="8">
        <f t="shared" si="59"/>
        <v>0.24974930362116998</v>
      </c>
    </row>
    <row r="1009" spans="1:11" x14ac:dyDescent="0.25">
      <c r="A1009" t="str">
        <f t="shared" si="60"/>
        <v>12021</v>
      </c>
      <c r="B1009" s="1">
        <v>44224</v>
      </c>
      <c r="C1009" t="s">
        <v>639</v>
      </c>
      <c r="D1009">
        <v>29812.3</v>
      </c>
      <c r="E1009">
        <v>30464.400000000001</v>
      </c>
      <c r="F1009">
        <v>29687.7</v>
      </c>
      <c r="G1009">
        <v>30358.3</v>
      </c>
      <c r="H1009">
        <v>0</v>
      </c>
      <c r="I1009" s="8">
        <f t="shared" si="61"/>
        <v>2.4352351281429208E-3</v>
      </c>
      <c r="J1009" s="8">
        <f t="shared" si="62"/>
        <v>2.432274748251576E-3</v>
      </c>
      <c r="K1009" s="8">
        <f t="shared" si="59"/>
        <v>0.26009878797941233</v>
      </c>
    </row>
    <row r="1010" spans="1:11" x14ac:dyDescent="0.25">
      <c r="A1010" t="str">
        <f t="shared" si="60"/>
        <v>12021</v>
      </c>
      <c r="B1010" s="1">
        <v>44225</v>
      </c>
      <c r="C1010" t="s">
        <v>640</v>
      </c>
      <c r="D1010">
        <v>30700.65</v>
      </c>
      <c r="E1010">
        <v>31111.95</v>
      </c>
      <c r="F1010">
        <v>30254.55</v>
      </c>
      <c r="G1010">
        <v>30565.5</v>
      </c>
      <c r="H1010">
        <v>0</v>
      </c>
      <c r="I1010" s="8">
        <f t="shared" si="61"/>
        <v>6.8251516059858464E-3</v>
      </c>
      <c r="J1010" s="8">
        <f t="shared" si="62"/>
        <v>6.8019656972058739E-3</v>
      </c>
      <c r="K1010" s="8">
        <f t="shared" si="59"/>
        <v>0.27884305611922566</v>
      </c>
    </row>
    <row r="1011" spans="1:11" x14ac:dyDescent="0.25">
      <c r="A1011" t="str">
        <f t="shared" si="60"/>
        <v>22021</v>
      </c>
      <c r="B1011" s="1">
        <v>44228</v>
      </c>
      <c r="C1011" s="10">
        <v>44198.645833333336</v>
      </c>
      <c r="D1011">
        <v>30976.35</v>
      </c>
      <c r="E1011">
        <v>33305.300000000003</v>
      </c>
      <c r="F1011">
        <v>30906.45</v>
      </c>
      <c r="G1011">
        <v>33089.050000000003</v>
      </c>
      <c r="H1011">
        <v>0</v>
      </c>
      <c r="I1011" s="8">
        <f t="shared" si="61"/>
        <v>8.2562038900067192E-2</v>
      </c>
      <c r="J1011" s="8">
        <f t="shared" si="62"/>
        <v>7.9330490014495658E-2</v>
      </c>
      <c r="K1011" s="8">
        <f t="shared" si="59"/>
        <v>0.32927789494827775</v>
      </c>
    </row>
    <row r="1012" spans="1:11" x14ac:dyDescent="0.25">
      <c r="A1012" t="str">
        <f t="shared" si="60"/>
        <v>22021</v>
      </c>
      <c r="B1012" s="1">
        <v>44229</v>
      </c>
      <c r="C1012" s="10">
        <v>44229.645833333336</v>
      </c>
      <c r="D1012">
        <v>33589.050000000003</v>
      </c>
      <c r="E1012">
        <v>34652.5</v>
      </c>
      <c r="F1012">
        <v>33583.15</v>
      </c>
      <c r="G1012">
        <v>34267.9</v>
      </c>
      <c r="H1012">
        <v>0</v>
      </c>
      <c r="I1012" s="8">
        <f t="shared" si="61"/>
        <v>3.5626589460863833E-2</v>
      </c>
      <c r="J1012" s="8">
        <f t="shared" si="62"/>
        <v>3.5006643981690039E-2</v>
      </c>
      <c r="K1012" s="8">
        <f t="shared" si="59"/>
        <v>0.3342743003099351</v>
      </c>
    </row>
    <row r="1013" spans="1:11" x14ac:dyDescent="0.25">
      <c r="A1013" t="str">
        <f t="shared" si="60"/>
        <v>22021</v>
      </c>
      <c r="B1013" s="1">
        <v>44230</v>
      </c>
      <c r="C1013" s="10">
        <v>44257.645833333336</v>
      </c>
      <c r="D1013">
        <v>34555.599999999999</v>
      </c>
      <c r="E1013">
        <v>34908.050000000003</v>
      </c>
      <c r="F1013">
        <v>34011.9</v>
      </c>
      <c r="G1013">
        <v>34758.449999999997</v>
      </c>
      <c r="H1013">
        <v>0</v>
      </c>
      <c r="I1013" s="8">
        <f t="shared" si="61"/>
        <v>1.4315146244736177E-2</v>
      </c>
      <c r="J1013" s="8">
        <f t="shared" si="62"/>
        <v>1.4213651995346898E-2</v>
      </c>
      <c r="K1013" s="8">
        <f t="shared" si="59"/>
        <v>0.34871137220816717</v>
      </c>
    </row>
    <row r="1014" spans="1:11" x14ac:dyDescent="0.25">
      <c r="A1014" t="str">
        <f t="shared" si="60"/>
        <v>22021</v>
      </c>
      <c r="B1014" s="1">
        <v>44231</v>
      </c>
      <c r="C1014" s="10">
        <v>44288.645833333336</v>
      </c>
      <c r="D1014">
        <v>34548.9</v>
      </c>
      <c r="E1014">
        <v>35413.15</v>
      </c>
      <c r="F1014">
        <v>34238.9</v>
      </c>
      <c r="G1014">
        <v>35344.800000000003</v>
      </c>
      <c r="H1014">
        <v>0</v>
      </c>
      <c r="I1014" s="8">
        <f t="shared" si="61"/>
        <v>1.6869279268782345E-2</v>
      </c>
      <c r="J1014" s="8">
        <f t="shared" si="62"/>
        <v>1.6728573179428698E-2</v>
      </c>
      <c r="K1014" s="8">
        <f t="shared" si="59"/>
        <v>0.3432396790952037</v>
      </c>
    </row>
    <row r="1015" spans="1:11" x14ac:dyDescent="0.25">
      <c r="A1015" t="str">
        <f t="shared" si="60"/>
        <v>22021</v>
      </c>
      <c r="B1015" s="1">
        <v>44232</v>
      </c>
      <c r="C1015" s="10">
        <v>44318.645833333336</v>
      </c>
      <c r="D1015">
        <v>35634.949999999997</v>
      </c>
      <c r="E1015">
        <v>36615.199999999997</v>
      </c>
      <c r="F1015">
        <v>35545</v>
      </c>
      <c r="G1015">
        <v>35654.5</v>
      </c>
      <c r="H1015">
        <v>0</v>
      </c>
      <c r="I1015" s="8">
        <f t="shared" si="61"/>
        <v>8.7622507412687956E-3</v>
      </c>
      <c r="J1015" s="8">
        <f t="shared" si="62"/>
        <v>8.7240850053721571E-3</v>
      </c>
      <c r="K1015" s="8">
        <f t="shared" si="59"/>
        <v>0.33044391664598805</v>
      </c>
    </row>
    <row r="1016" spans="1:11" x14ac:dyDescent="0.25">
      <c r="A1016" t="str">
        <f t="shared" si="60"/>
        <v>22021</v>
      </c>
      <c r="B1016" s="1">
        <v>44235</v>
      </c>
      <c r="C1016" s="10">
        <v>44410.645833333336</v>
      </c>
      <c r="D1016">
        <v>36073.85</v>
      </c>
      <c r="E1016">
        <v>36466.449999999997</v>
      </c>
      <c r="F1016">
        <v>35872.25</v>
      </c>
      <c r="G1016">
        <v>35983.65</v>
      </c>
      <c r="H1016">
        <v>0</v>
      </c>
      <c r="I1016" s="8">
        <f t="shared" si="61"/>
        <v>9.2316537884418182E-3</v>
      </c>
      <c r="J1016" s="8">
        <f t="shared" si="62"/>
        <v>9.1893025212282202E-3</v>
      </c>
      <c r="K1016" s="8">
        <f t="shared" si="59"/>
        <v>0.30687583759774251</v>
      </c>
    </row>
    <row r="1017" spans="1:11" x14ac:dyDescent="0.25">
      <c r="A1017" t="str">
        <f t="shared" si="60"/>
        <v>22021</v>
      </c>
      <c r="B1017" s="1">
        <v>44236</v>
      </c>
      <c r="C1017" s="10">
        <v>44441.645833333336</v>
      </c>
      <c r="D1017">
        <v>36058.800000000003</v>
      </c>
      <c r="E1017">
        <v>36477.15</v>
      </c>
      <c r="F1017">
        <v>35636.85</v>
      </c>
      <c r="G1017">
        <v>36056.5</v>
      </c>
      <c r="H1017">
        <v>0</v>
      </c>
      <c r="I1017" s="8">
        <f t="shared" si="61"/>
        <v>2.0245305854185158E-3</v>
      </c>
      <c r="J1017" s="8">
        <f t="shared" si="62"/>
        <v>2.0224839851772022E-3</v>
      </c>
      <c r="K1017" s="8">
        <f t="shared" si="59"/>
        <v>0.26045235265328959</v>
      </c>
    </row>
    <row r="1018" spans="1:11" x14ac:dyDescent="0.25">
      <c r="A1018" t="str">
        <f t="shared" si="60"/>
        <v>22021</v>
      </c>
      <c r="B1018" s="1">
        <v>44237</v>
      </c>
      <c r="C1018" s="10">
        <v>44471.645833333336</v>
      </c>
      <c r="D1018">
        <v>36042.35</v>
      </c>
      <c r="E1018">
        <v>36227.199999999997</v>
      </c>
      <c r="F1018">
        <v>35428.15</v>
      </c>
      <c r="G1018">
        <v>35783.1</v>
      </c>
      <c r="H1018">
        <v>0</v>
      </c>
      <c r="I1018" s="8">
        <f t="shared" si="61"/>
        <v>-7.5825440627903529E-3</v>
      </c>
      <c r="J1018" s="8">
        <f t="shared" si="62"/>
        <v>-7.6114377008778397E-3</v>
      </c>
      <c r="K1018" s="8">
        <f t="shared" si="59"/>
        <v>0.24053042121684864</v>
      </c>
    </row>
    <row r="1019" spans="1:11" x14ac:dyDescent="0.25">
      <c r="A1019" t="str">
        <f t="shared" si="60"/>
        <v>22021</v>
      </c>
      <c r="B1019" s="1">
        <v>44238</v>
      </c>
      <c r="C1019" s="10">
        <v>44502.645833333336</v>
      </c>
      <c r="D1019">
        <v>35687.25</v>
      </c>
      <c r="E1019">
        <v>36009.449999999997</v>
      </c>
      <c r="F1019">
        <v>35573.300000000003</v>
      </c>
      <c r="G1019">
        <v>35752.1</v>
      </c>
      <c r="H1019">
        <v>0</v>
      </c>
      <c r="I1019" s="8">
        <f t="shared" si="61"/>
        <v>-8.6633075390341041E-4</v>
      </c>
      <c r="J1019" s="8">
        <f t="shared" si="62"/>
        <v>-8.6670623526735526E-4</v>
      </c>
      <c r="K1019" s="8">
        <f t="shared" si="59"/>
        <v>0.26427217562272798</v>
      </c>
    </row>
    <row r="1020" spans="1:11" x14ac:dyDescent="0.25">
      <c r="A1020" t="str">
        <f t="shared" si="60"/>
        <v>22021</v>
      </c>
      <c r="B1020" s="1">
        <v>44239</v>
      </c>
      <c r="C1020" s="10">
        <v>44532.645833333336</v>
      </c>
      <c r="D1020">
        <v>35736.6</v>
      </c>
      <c r="E1020">
        <v>36322.800000000003</v>
      </c>
      <c r="F1020">
        <v>35700.25</v>
      </c>
      <c r="G1020">
        <v>36108.9</v>
      </c>
      <c r="H1020">
        <v>0</v>
      </c>
      <c r="I1020" s="8">
        <f t="shared" si="61"/>
        <v>9.9798333524465654E-3</v>
      </c>
      <c r="J1020" s="8">
        <f t="shared" si="62"/>
        <v>9.9303636760496514E-3</v>
      </c>
      <c r="K1020" s="8">
        <f t="shared" si="59"/>
        <v>0.26850560499127019</v>
      </c>
    </row>
    <row r="1021" spans="1:11" x14ac:dyDescent="0.25">
      <c r="A1021" t="str">
        <f t="shared" si="60"/>
        <v>22021</v>
      </c>
      <c r="B1021" s="1">
        <v>44242</v>
      </c>
      <c r="C1021" t="s">
        <v>641</v>
      </c>
      <c r="D1021">
        <v>36501.4</v>
      </c>
      <c r="E1021">
        <v>37449.9</v>
      </c>
      <c r="F1021">
        <v>36405.1</v>
      </c>
      <c r="G1021">
        <v>37306.25</v>
      </c>
      <c r="H1021">
        <v>0</v>
      </c>
      <c r="I1021" s="8">
        <f t="shared" si="61"/>
        <v>3.3159414991871694E-2</v>
      </c>
      <c r="J1021" s="8">
        <f t="shared" si="62"/>
        <v>3.2621500585215568E-2</v>
      </c>
      <c r="K1021" s="8">
        <f t="shared" si="59"/>
        <v>0.27843002196612221</v>
      </c>
    </row>
    <row r="1022" spans="1:11" x14ac:dyDescent="0.25">
      <c r="A1022" t="str">
        <f t="shared" si="60"/>
        <v>22021</v>
      </c>
      <c r="B1022" s="1">
        <v>44243</v>
      </c>
      <c r="C1022" t="s">
        <v>642</v>
      </c>
      <c r="D1022">
        <v>37492.6</v>
      </c>
      <c r="E1022">
        <v>37708.75</v>
      </c>
      <c r="F1022">
        <v>36762.75</v>
      </c>
      <c r="G1022">
        <v>37098.400000000001</v>
      </c>
      <c r="H1022">
        <v>0</v>
      </c>
      <c r="I1022" s="8">
        <f t="shared" si="61"/>
        <v>-5.5714525046071106E-3</v>
      </c>
      <c r="J1022" s="8">
        <f t="shared" si="62"/>
        <v>-5.5870309360517775E-3</v>
      </c>
      <c r="K1022" s="8">
        <f t="shared" si="59"/>
        <v>0.24701132946888826</v>
      </c>
    </row>
    <row r="1023" spans="1:11" x14ac:dyDescent="0.25">
      <c r="A1023" t="str">
        <f t="shared" si="60"/>
        <v>22021</v>
      </c>
      <c r="B1023" s="1">
        <v>44244</v>
      </c>
      <c r="C1023" t="s">
        <v>643</v>
      </c>
      <c r="D1023">
        <v>37041.949999999997</v>
      </c>
      <c r="E1023">
        <v>37331.449999999997</v>
      </c>
      <c r="F1023">
        <v>36764.25</v>
      </c>
      <c r="G1023">
        <v>36910.949999999997</v>
      </c>
      <c r="H1023">
        <v>0</v>
      </c>
      <c r="I1023" s="8">
        <f t="shared" si="61"/>
        <v>-5.0527785564877803E-3</v>
      </c>
      <c r="J1023" s="8">
        <f t="shared" si="62"/>
        <v>-5.0655870057796882E-3</v>
      </c>
      <c r="K1023" s="8">
        <f t="shared" si="59"/>
        <v>0.27706072542517135</v>
      </c>
    </row>
    <row r="1024" spans="1:11" x14ac:dyDescent="0.25">
      <c r="A1024" t="str">
        <f t="shared" si="60"/>
        <v>22021</v>
      </c>
      <c r="B1024" s="1">
        <v>44245</v>
      </c>
      <c r="C1024" t="s">
        <v>644</v>
      </c>
      <c r="D1024">
        <v>37088.75</v>
      </c>
      <c r="E1024">
        <v>37108.75</v>
      </c>
      <c r="F1024">
        <v>36367.449999999997</v>
      </c>
      <c r="G1024">
        <v>36587</v>
      </c>
      <c r="H1024">
        <v>0</v>
      </c>
      <c r="I1024" s="8">
        <f t="shared" si="61"/>
        <v>-8.7765283743712619E-3</v>
      </c>
      <c r="J1024" s="8">
        <f t="shared" si="62"/>
        <v>-8.815268937857142E-3</v>
      </c>
      <c r="K1024" s="8">
        <f t="shared" ref="K1024:K1087" si="63">+G1024/G963-1</f>
        <v>0.25143658503215205</v>
      </c>
    </row>
    <row r="1025" spans="1:11" x14ac:dyDescent="0.25">
      <c r="A1025" t="str">
        <f t="shared" si="60"/>
        <v>22021</v>
      </c>
      <c r="B1025" s="1">
        <v>44246</v>
      </c>
      <c r="C1025" t="s">
        <v>645</v>
      </c>
      <c r="D1025">
        <v>36371.550000000003</v>
      </c>
      <c r="E1025">
        <v>36656.199999999997</v>
      </c>
      <c r="F1025">
        <v>35584.6</v>
      </c>
      <c r="G1025">
        <v>35841.599999999999</v>
      </c>
      <c r="H1025">
        <v>0</v>
      </c>
      <c r="I1025" s="8">
        <f t="shared" si="61"/>
        <v>-2.0373356656736008E-2</v>
      </c>
      <c r="J1025" s="8">
        <f t="shared" si="62"/>
        <v>-2.0583756087724565E-2</v>
      </c>
      <c r="K1025" s="8">
        <f t="shared" si="63"/>
        <v>0.23488674967785506</v>
      </c>
    </row>
    <row r="1026" spans="1:11" x14ac:dyDescent="0.25">
      <c r="A1026" t="str">
        <f t="shared" si="60"/>
        <v>22021</v>
      </c>
      <c r="B1026" s="1">
        <v>44249</v>
      </c>
      <c r="C1026" t="s">
        <v>646</v>
      </c>
      <c r="D1026">
        <v>35874.300000000003</v>
      </c>
      <c r="E1026">
        <v>36128.9</v>
      </c>
      <c r="F1026">
        <v>35097.550000000003</v>
      </c>
      <c r="G1026">
        <v>35257.199999999997</v>
      </c>
      <c r="H1026">
        <v>0</v>
      </c>
      <c r="I1026" s="8">
        <f t="shared" si="61"/>
        <v>-1.6305075666264934E-2</v>
      </c>
      <c r="J1026" s="8">
        <f t="shared" si="62"/>
        <v>-1.6439466247260937E-2</v>
      </c>
      <c r="K1026" s="8">
        <f t="shared" si="63"/>
        <v>0.18562409099698174</v>
      </c>
    </row>
    <row r="1027" spans="1:11" x14ac:dyDescent="0.25">
      <c r="A1027" t="str">
        <f t="shared" ref="A1027:A1090" si="64">+MONTH(B1027)&amp;YEAR(B1027)</f>
        <v>22021</v>
      </c>
      <c r="B1027" s="1">
        <v>44250</v>
      </c>
      <c r="C1027" t="s">
        <v>647</v>
      </c>
      <c r="D1027">
        <v>35540.550000000003</v>
      </c>
      <c r="E1027">
        <v>35680.85</v>
      </c>
      <c r="F1027">
        <v>34976</v>
      </c>
      <c r="G1027">
        <v>35116.949999999997</v>
      </c>
      <c r="H1027">
        <v>0</v>
      </c>
      <c r="I1027" s="8">
        <f t="shared" si="61"/>
        <v>-3.977910894795933E-3</v>
      </c>
      <c r="J1027" s="8">
        <f t="shared" si="62"/>
        <v>-3.9858438269930073E-3</v>
      </c>
      <c r="K1027" s="8">
        <f t="shared" si="63"/>
        <v>0.20278356235700268</v>
      </c>
    </row>
    <row r="1028" spans="1:11" x14ac:dyDescent="0.25">
      <c r="A1028" t="str">
        <f t="shared" si="64"/>
        <v>22021</v>
      </c>
      <c r="B1028" s="1">
        <v>44251</v>
      </c>
      <c r="C1028" t="s">
        <v>648</v>
      </c>
      <c r="D1028">
        <v>35205.4</v>
      </c>
      <c r="E1028">
        <v>36567.65</v>
      </c>
      <c r="F1028">
        <v>35060.65</v>
      </c>
      <c r="G1028">
        <v>36452.300000000003</v>
      </c>
      <c r="H1028">
        <v>0</v>
      </c>
      <c r="I1028" s="8">
        <f t="shared" ref="I1028:I1079" si="65">+G1028/G1027-1</f>
        <v>3.8025796659448163E-2</v>
      </c>
      <c r="J1028" s="8">
        <f t="shared" ref="J1028:J1091" si="66">+LN(1+I1028)</f>
        <v>3.7320636707955719E-2</v>
      </c>
      <c r="K1028" s="8">
        <f t="shared" si="63"/>
        <v>0.233590808720886</v>
      </c>
    </row>
    <row r="1029" spans="1:11" x14ac:dyDescent="0.25">
      <c r="A1029" t="str">
        <f t="shared" si="64"/>
        <v>22021</v>
      </c>
      <c r="B1029" s="1">
        <v>44252</v>
      </c>
      <c r="C1029" t="s">
        <v>649</v>
      </c>
      <c r="D1029">
        <v>36763.15</v>
      </c>
      <c r="E1029">
        <v>37232.199999999997</v>
      </c>
      <c r="F1029">
        <v>36494</v>
      </c>
      <c r="G1029">
        <v>36549</v>
      </c>
      <c r="H1029">
        <v>0</v>
      </c>
      <c r="I1029" s="8">
        <f t="shared" si="65"/>
        <v>2.6527818546429049E-3</v>
      </c>
      <c r="J1029" s="8">
        <f t="shared" si="66"/>
        <v>2.6492694392686554E-3</v>
      </c>
      <c r="K1029" s="8">
        <f t="shared" si="63"/>
        <v>0.23438610830134698</v>
      </c>
    </row>
    <row r="1030" spans="1:11" x14ac:dyDescent="0.25">
      <c r="A1030" t="str">
        <f t="shared" si="64"/>
        <v>22021</v>
      </c>
      <c r="B1030" s="1">
        <v>44253</v>
      </c>
      <c r="C1030" t="s">
        <v>650</v>
      </c>
      <c r="D1030">
        <v>35806.65</v>
      </c>
      <c r="E1030">
        <v>35902.9</v>
      </c>
      <c r="F1030">
        <v>34658.699999999997</v>
      </c>
      <c r="G1030">
        <v>34803.599999999999</v>
      </c>
      <c r="H1030">
        <v>0</v>
      </c>
      <c r="I1030" s="8">
        <f t="shared" si="65"/>
        <v>-4.7755068538126944E-2</v>
      </c>
      <c r="J1030" s="8">
        <f t="shared" si="66"/>
        <v>-4.8932996334493342E-2</v>
      </c>
      <c r="K1030" s="8">
        <f t="shared" si="63"/>
        <v>0.16720689117424636</v>
      </c>
    </row>
    <row r="1031" spans="1:11" x14ac:dyDescent="0.25">
      <c r="A1031" t="str">
        <f t="shared" si="64"/>
        <v>32021</v>
      </c>
      <c r="B1031" s="1">
        <v>44256</v>
      </c>
      <c r="C1031" s="10">
        <v>44199.645833333336</v>
      </c>
      <c r="D1031">
        <v>35374.25</v>
      </c>
      <c r="E1031">
        <v>35581.1</v>
      </c>
      <c r="F1031">
        <v>34983.75</v>
      </c>
      <c r="G1031">
        <v>35296</v>
      </c>
      <c r="H1031">
        <v>0</v>
      </c>
      <c r="I1031" s="8">
        <f t="shared" si="65"/>
        <v>1.4147961705111012E-2</v>
      </c>
      <c r="J1031" s="8">
        <f t="shared" si="66"/>
        <v>1.4048813365205188E-2</v>
      </c>
      <c r="K1031" s="8">
        <f t="shared" si="63"/>
        <v>0.19797102482253259</v>
      </c>
    </row>
    <row r="1032" spans="1:11" x14ac:dyDescent="0.25">
      <c r="A1032" t="str">
        <f t="shared" si="64"/>
        <v>32021</v>
      </c>
      <c r="B1032" s="1">
        <v>44257</v>
      </c>
      <c r="C1032" s="10">
        <v>44230.645833333336</v>
      </c>
      <c r="D1032">
        <v>35458.15</v>
      </c>
      <c r="E1032">
        <v>35747.050000000003</v>
      </c>
      <c r="F1032">
        <v>35002.449999999997</v>
      </c>
      <c r="G1032">
        <v>35419.699999999997</v>
      </c>
      <c r="H1032">
        <v>0</v>
      </c>
      <c r="I1032" s="8">
        <f t="shared" si="65"/>
        <v>3.5046464188575044E-3</v>
      </c>
      <c r="J1032" s="8">
        <f t="shared" si="66"/>
        <v>3.4985194566479901E-3</v>
      </c>
      <c r="K1032" s="8">
        <f t="shared" si="63"/>
        <v>0.20275733265418716</v>
      </c>
    </row>
    <row r="1033" spans="1:11" x14ac:dyDescent="0.25">
      <c r="A1033" t="str">
        <f t="shared" si="64"/>
        <v>32021</v>
      </c>
      <c r="B1033" s="1">
        <v>44258</v>
      </c>
      <c r="C1033" s="10">
        <v>44258.645833333336</v>
      </c>
      <c r="D1033">
        <v>35754.449999999997</v>
      </c>
      <c r="E1033">
        <v>36455.15</v>
      </c>
      <c r="F1033">
        <v>35570.550000000003</v>
      </c>
      <c r="G1033">
        <v>36368.050000000003</v>
      </c>
      <c r="H1033">
        <v>0</v>
      </c>
      <c r="I1033" s="8">
        <f t="shared" si="65"/>
        <v>2.6774648006617996E-2</v>
      </c>
      <c r="J1033" s="8">
        <f t="shared" si="66"/>
        <v>2.6422479416522197E-2</v>
      </c>
      <c r="K1033" s="8">
        <f t="shared" si="63"/>
        <v>0.21015459663787261</v>
      </c>
    </row>
    <row r="1034" spans="1:11" x14ac:dyDescent="0.25">
      <c r="A1034" t="str">
        <f t="shared" si="64"/>
        <v>32021</v>
      </c>
      <c r="B1034" s="1">
        <v>44259</v>
      </c>
      <c r="C1034" s="10">
        <v>44289.645833333336</v>
      </c>
      <c r="D1034">
        <v>35575.65</v>
      </c>
      <c r="E1034">
        <v>36316.400000000001</v>
      </c>
      <c r="F1034">
        <v>35519.25</v>
      </c>
      <c r="G1034">
        <v>35802.5</v>
      </c>
      <c r="H1034">
        <v>0</v>
      </c>
      <c r="I1034" s="8">
        <f t="shared" si="65"/>
        <v>-1.5550737529232417E-2</v>
      </c>
      <c r="J1034" s="8">
        <f t="shared" si="66"/>
        <v>-1.5672918573541566E-2</v>
      </c>
      <c r="K1034" s="8">
        <f t="shared" si="63"/>
        <v>0.18506001843665754</v>
      </c>
    </row>
    <row r="1035" spans="1:11" x14ac:dyDescent="0.25">
      <c r="A1035" t="str">
        <f t="shared" si="64"/>
        <v>32021</v>
      </c>
      <c r="B1035" s="1">
        <v>44260</v>
      </c>
      <c r="C1035" s="10">
        <v>44319.645833333336</v>
      </c>
      <c r="D1035">
        <v>35458.5</v>
      </c>
      <c r="E1035">
        <v>35616.050000000003</v>
      </c>
      <c r="F1035">
        <v>34893.25</v>
      </c>
      <c r="G1035">
        <v>35228.15</v>
      </c>
      <c r="H1035">
        <v>0</v>
      </c>
      <c r="I1035" s="8">
        <f t="shared" si="65"/>
        <v>-1.6042175825710436E-2</v>
      </c>
      <c r="J1035" s="8">
        <f t="shared" si="66"/>
        <v>-1.6172244459963091E-2</v>
      </c>
      <c r="K1035" s="8">
        <f t="shared" si="63"/>
        <v>0.16410899513910238</v>
      </c>
    </row>
    <row r="1036" spans="1:11" x14ac:dyDescent="0.25">
      <c r="A1036" t="str">
        <f t="shared" si="64"/>
        <v>32021</v>
      </c>
      <c r="B1036" s="1">
        <v>44263</v>
      </c>
      <c r="C1036" s="10">
        <v>44411.645833333336</v>
      </c>
      <c r="D1036">
        <v>35462.449999999997</v>
      </c>
      <c r="E1036">
        <v>35827.300000000003</v>
      </c>
      <c r="F1036">
        <v>35090.75</v>
      </c>
      <c r="G1036">
        <v>35275.75</v>
      </c>
      <c r="H1036">
        <v>0</v>
      </c>
      <c r="I1036" s="8">
        <f t="shared" si="65"/>
        <v>1.3511921574080876E-3</v>
      </c>
      <c r="J1036" s="8">
        <f t="shared" si="66"/>
        <v>1.3502801187521792E-3</v>
      </c>
      <c r="K1036" s="8">
        <f t="shared" si="63"/>
        <v>0.14869551342585652</v>
      </c>
    </row>
    <row r="1037" spans="1:11" x14ac:dyDescent="0.25">
      <c r="A1037" t="str">
        <f t="shared" si="64"/>
        <v>32021</v>
      </c>
      <c r="B1037" s="1">
        <v>44264</v>
      </c>
      <c r="C1037" s="10">
        <v>44442.645833333336</v>
      </c>
      <c r="D1037">
        <v>35705.9</v>
      </c>
      <c r="E1037">
        <v>36077.800000000003</v>
      </c>
      <c r="F1037">
        <v>35544.949999999997</v>
      </c>
      <c r="G1037">
        <v>35865.65</v>
      </c>
      <c r="H1037">
        <v>0</v>
      </c>
      <c r="I1037" s="8">
        <f t="shared" si="65"/>
        <v>1.6722536019786904E-2</v>
      </c>
      <c r="J1037" s="8">
        <f t="shared" si="66"/>
        <v>1.6584253903409861E-2</v>
      </c>
      <c r="K1037" s="8">
        <f t="shared" si="63"/>
        <v>0.17552404348032735</v>
      </c>
    </row>
    <row r="1038" spans="1:11" x14ac:dyDescent="0.25">
      <c r="A1038" t="str">
        <f t="shared" si="64"/>
        <v>32021</v>
      </c>
      <c r="B1038" s="1">
        <v>44265</v>
      </c>
      <c r="C1038" s="10">
        <v>44472.645833333336</v>
      </c>
      <c r="D1038">
        <v>36112.25</v>
      </c>
      <c r="E1038">
        <v>36176.9</v>
      </c>
      <c r="F1038">
        <v>35764.35</v>
      </c>
      <c r="G1038">
        <v>35938.300000000003</v>
      </c>
      <c r="H1038">
        <v>0</v>
      </c>
      <c r="I1038" s="8">
        <f t="shared" si="65"/>
        <v>2.0256150383444194E-3</v>
      </c>
      <c r="J1038" s="8">
        <f t="shared" si="66"/>
        <v>2.0235662464452367E-3</v>
      </c>
      <c r="K1038" s="8">
        <f t="shared" si="63"/>
        <v>0.17426813070477398</v>
      </c>
    </row>
    <row r="1039" spans="1:11" x14ac:dyDescent="0.25">
      <c r="A1039" t="str">
        <f t="shared" si="64"/>
        <v>32021</v>
      </c>
      <c r="B1039" s="1">
        <v>44267</v>
      </c>
      <c r="C1039" s="10">
        <v>44533.645833333336</v>
      </c>
      <c r="D1039">
        <v>36497.35</v>
      </c>
      <c r="E1039">
        <v>36497.35</v>
      </c>
      <c r="F1039">
        <v>35188.050000000003</v>
      </c>
      <c r="G1039">
        <v>35496.65</v>
      </c>
      <c r="H1039">
        <v>0</v>
      </c>
      <c r="I1039" s="8">
        <f t="shared" si="65"/>
        <v>-1.2289117737900868E-2</v>
      </c>
      <c r="J1039" s="8">
        <f t="shared" si="66"/>
        <v>-1.2365253347947719E-2</v>
      </c>
      <c r="K1039" s="8">
        <f t="shared" si="63"/>
        <v>0.15451653716430491</v>
      </c>
    </row>
    <row r="1040" spans="1:11" x14ac:dyDescent="0.25">
      <c r="A1040" t="str">
        <f t="shared" si="64"/>
        <v>32021</v>
      </c>
      <c r="B1040" s="1">
        <v>44270</v>
      </c>
      <c r="C1040" t="s">
        <v>651</v>
      </c>
      <c r="D1040">
        <v>35544.25</v>
      </c>
      <c r="E1040">
        <v>35544.25</v>
      </c>
      <c r="F1040">
        <v>34430.65</v>
      </c>
      <c r="G1040">
        <v>35182.550000000003</v>
      </c>
      <c r="H1040">
        <v>0</v>
      </c>
      <c r="I1040" s="8">
        <f t="shared" si="65"/>
        <v>-8.8487223442211826E-3</v>
      </c>
      <c r="J1040" s="8">
        <f t="shared" si="66"/>
        <v>-8.8881047827527714E-3</v>
      </c>
      <c r="K1040" s="8">
        <f t="shared" si="63"/>
        <v>0.14634559586589591</v>
      </c>
    </row>
    <row r="1041" spans="1:11" x14ac:dyDescent="0.25">
      <c r="A1041" t="str">
        <f t="shared" si="64"/>
        <v>32021</v>
      </c>
      <c r="B1041" s="1">
        <v>44271</v>
      </c>
      <c r="C1041" t="s">
        <v>652</v>
      </c>
      <c r="D1041">
        <v>35352</v>
      </c>
      <c r="E1041">
        <v>35405.050000000003</v>
      </c>
      <c r="F1041">
        <v>34744.6</v>
      </c>
      <c r="G1041">
        <v>34804.6</v>
      </c>
      <c r="H1041">
        <v>0</v>
      </c>
      <c r="I1041" s="8">
        <f t="shared" si="65"/>
        <v>-1.0742541401916661E-2</v>
      </c>
      <c r="J1041" s="8">
        <f t="shared" si="66"/>
        <v>-1.0800659095712935E-2</v>
      </c>
      <c r="K1041" s="8">
        <f t="shared" si="63"/>
        <v>0.13375941417142245</v>
      </c>
    </row>
    <row r="1042" spans="1:11" x14ac:dyDescent="0.25">
      <c r="A1042" t="str">
        <f t="shared" si="64"/>
        <v>32021</v>
      </c>
      <c r="B1042" s="1">
        <v>44272</v>
      </c>
      <c r="C1042" t="s">
        <v>653</v>
      </c>
      <c r="D1042">
        <v>34905.050000000003</v>
      </c>
      <c r="E1042">
        <v>35100.5</v>
      </c>
      <c r="F1042">
        <v>34126.85</v>
      </c>
      <c r="G1042">
        <v>34229.25</v>
      </c>
      <c r="H1042">
        <v>0</v>
      </c>
      <c r="I1042" s="8">
        <f t="shared" si="65"/>
        <v>-1.6530860863219199E-2</v>
      </c>
      <c r="J1042" s="8">
        <f t="shared" si="66"/>
        <v>-1.6669020255631148E-2</v>
      </c>
      <c r="K1042" s="8">
        <f t="shared" si="63"/>
        <v>0.10964419612248166</v>
      </c>
    </row>
    <row r="1043" spans="1:11" x14ac:dyDescent="0.25">
      <c r="A1043" t="str">
        <f t="shared" si="64"/>
        <v>32021</v>
      </c>
      <c r="B1043" s="1">
        <v>44273</v>
      </c>
      <c r="C1043" t="s">
        <v>654</v>
      </c>
      <c r="D1043">
        <v>34577.5</v>
      </c>
      <c r="E1043">
        <v>34759.85</v>
      </c>
      <c r="F1043">
        <v>33597.550000000003</v>
      </c>
      <c r="G1043">
        <v>33856.800000000003</v>
      </c>
      <c r="H1043">
        <v>0</v>
      </c>
      <c r="I1043" s="8">
        <f t="shared" si="65"/>
        <v>-1.088104472052398E-2</v>
      </c>
      <c r="J1043" s="8">
        <f t="shared" si="66"/>
        <v>-1.0940676251055112E-2</v>
      </c>
      <c r="K1043" s="8">
        <f t="shared" si="63"/>
        <v>0.10230134479800368</v>
      </c>
    </row>
    <row r="1044" spans="1:11" x14ac:dyDescent="0.25">
      <c r="A1044" t="str">
        <f t="shared" si="64"/>
        <v>32021</v>
      </c>
      <c r="B1044" s="1">
        <v>44274</v>
      </c>
      <c r="C1044" t="s">
        <v>655</v>
      </c>
      <c r="D1044">
        <v>33590.400000000001</v>
      </c>
      <c r="E1044">
        <v>34355.4</v>
      </c>
      <c r="F1044">
        <v>33361</v>
      </c>
      <c r="G1044">
        <v>34161.599999999999</v>
      </c>
      <c r="H1044">
        <v>0</v>
      </c>
      <c r="I1044" s="8">
        <f t="shared" si="65"/>
        <v>9.0026228113702089E-3</v>
      </c>
      <c r="J1044" s="8">
        <f t="shared" si="66"/>
        <v>8.9623407847140499E-3</v>
      </c>
      <c r="K1044" s="8">
        <f t="shared" si="63"/>
        <v>0.15973241853651743</v>
      </c>
    </row>
    <row r="1045" spans="1:11" x14ac:dyDescent="0.25">
      <c r="A1045" t="str">
        <f t="shared" si="64"/>
        <v>32021</v>
      </c>
      <c r="B1045" s="1">
        <v>44277</v>
      </c>
      <c r="C1045" t="s">
        <v>656</v>
      </c>
      <c r="D1045">
        <v>34088.400000000001</v>
      </c>
      <c r="E1045">
        <v>34148.9</v>
      </c>
      <c r="F1045">
        <v>33389.15</v>
      </c>
      <c r="G1045">
        <v>33603.449999999997</v>
      </c>
      <c r="H1045">
        <v>0</v>
      </c>
      <c r="I1045" s="8">
        <f t="shared" si="65"/>
        <v>-1.6338520444007298E-2</v>
      </c>
      <c r="J1045" s="8">
        <f t="shared" si="66"/>
        <v>-1.6473465961475871E-2</v>
      </c>
      <c r="K1045" s="8">
        <f t="shared" si="63"/>
        <v>0.13425729807820486</v>
      </c>
    </row>
    <row r="1046" spans="1:11" x14ac:dyDescent="0.25">
      <c r="A1046" t="str">
        <f t="shared" si="64"/>
        <v>32021</v>
      </c>
      <c r="B1046" s="1">
        <v>44278</v>
      </c>
      <c r="C1046" t="s">
        <v>657</v>
      </c>
      <c r="D1046">
        <v>33747.949999999997</v>
      </c>
      <c r="E1046">
        <v>34360.050000000003</v>
      </c>
      <c r="F1046">
        <v>33622</v>
      </c>
      <c r="G1046">
        <v>34184.400000000001</v>
      </c>
      <c r="H1046">
        <v>0</v>
      </c>
      <c r="I1046" s="8">
        <f t="shared" si="65"/>
        <v>1.7288403422862864E-2</v>
      </c>
      <c r="J1046" s="8">
        <f t="shared" si="66"/>
        <v>1.7140659384522746E-2</v>
      </c>
      <c r="K1046" s="8">
        <f t="shared" si="63"/>
        <v>0.14392988726144718</v>
      </c>
    </row>
    <row r="1047" spans="1:11" x14ac:dyDescent="0.25">
      <c r="A1047" t="str">
        <f t="shared" si="64"/>
        <v>32021</v>
      </c>
      <c r="B1047" s="1">
        <v>44279</v>
      </c>
      <c r="C1047" t="s">
        <v>658</v>
      </c>
      <c r="D1047">
        <v>33894.699999999997</v>
      </c>
      <c r="E1047">
        <v>33970.65</v>
      </c>
      <c r="F1047">
        <v>33203.4</v>
      </c>
      <c r="G1047">
        <v>33293.25</v>
      </c>
      <c r="H1047">
        <v>0</v>
      </c>
      <c r="I1047" s="8">
        <f t="shared" si="65"/>
        <v>-2.6068908624986897E-2</v>
      </c>
      <c r="J1047" s="8">
        <f t="shared" si="66"/>
        <v>-2.6414725917300264E-2</v>
      </c>
      <c r="K1047" s="8">
        <f t="shared" si="63"/>
        <v>9.5093447184743107E-2</v>
      </c>
    </row>
    <row r="1048" spans="1:11" x14ac:dyDescent="0.25">
      <c r="A1048" t="str">
        <f t="shared" si="64"/>
        <v>32021</v>
      </c>
      <c r="B1048" s="1">
        <v>44280</v>
      </c>
      <c r="C1048" t="s">
        <v>659</v>
      </c>
      <c r="D1048">
        <v>33420.75</v>
      </c>
      <c r="E1048">
        <v>33550.15</v>
      </c>
      <c r="F1048">
        <v>32415.25</v>
      </c>
      <c r="G1048">
        <v>33006.449999999997</v>
      </c>
      <c r="H1048">
        <v>0</v>
      </c>
      <c r="I1048" s="8">
        <f t="shared" si="65"/>
        <v>-8.6143587664166965E-3</v>
      </c>
      <c r="J1048" s="8">
        <f t="shared" si="66"/>
        <v>-8.6516768235423199E-3</v>
      </c>
      <c r="K1048" s="8">
        <f t="shared" si="63"/>
        <v>6.882884108163756E-2</v>
      </c>
    </row>
    <row r="1049" spans="1:11" x14ac:dyDescent="0.25">
      <c r="A1049" t="str">
        <f t="shared" si="64"/>
        <v>32021</v>
      </c>
      <c r="B1049" s="1">
        <v>44281</v>
      </c>
      <c r="C1049" t="s">
        <v>660</v>
      </c>
      <c r="D1049">
        <v>33605.050000000003</v>
      </c>
      <c r="E1049">
        <v>33610.65</v>
      </c>
      <c r="F1049">
        <v>33166.1</v>
      </c>
      <c r="G1049">
        <v>33318.199999999997</v>
      </c>
      <c r="H1049">
        <v>0</v>
      </c>
      <c r="I1049" s="8">
        <f t="shared" si="65"/>
        <v>9.4451236046289022E-3</v>
      </c>
      <c r="J1049" s="8">
        <f t="shared" si="66"/>
        <v>9.4007973175952442E-3</v>
      </c>
      <c r="K1049" s="8">
        <f t="shared" si="63"/>
        <v>6.3714582169366984E-2</v>
      </c>
    </row>
    <row r="1050" spans="1:11" x14ac:dyDescent="0.25">
      <c r="A1050" t="str">
        <f t="shared" si="64"/>
        <v>32021</v>
      </c>
      <c r="B1050" s="1">
        <v>44285</v>
      </c>
      <c r="C1050" t="s">
        <v>661</v>
      </c>
      <c r="D1050">
        <v>33615.9</v>
      </c>
      <c r="E1050">
        <v>33990.800000000003</v>
      </c>
      <c r="F1050">
        <v>33564.550000000003</v>
      </c>
      <c r="G1050">
        <v>33875.1</v>
      </c>
      <c r="H1050">
        <v>0</v>
      </c>
      <c r="I1050" s="8">
        <f t="shared" si="65"/>
        <v>1.6714588423144106E-2</v>
      </c>
      <c r="J1050" s="8">
        <f t="shared" si="66"/>
        <v>1.6576436994249204E-2</v>
      </c>
      <c r="K1050" s="8">
        <f t="shared" si="63"/>
        <v>8.2166114803509549E-2</v>
      </c>
    </row>
    <row r="1051" spans="1:11" x14ac:dyDescent="0.25">
      <c r="A1051" t="str">
        <f t="shared" si="64"/>
        <v>32021</v>
      </c>
      <c r="B1051" s="1">
        <v>44286</v>
      </c>
      <c r="C1051" t="s">
        <v>662</v>
      </c>
      <c r="D1051">
        <v>33764.800000000003</v>
      </c>
      <c r="E1051">
        <v>33773.1</v>
      </c>
      <c r="F1051">
        <v>33151.800000000003</v>
      </c>
      <c r="G1051">
        <v>33303.9</v>
      </c>
      <c r="H1051">
        <v>0</v>
      </c>
      <c r="I1051" s="8">
        <f t="shared" si="65"/>
        <v>-1.6861942842973043E-2</v>
      </c>
      <c r="J1051" s="8">
        <f t="shared" si="66"/>
        <v>-1.7005723979186791E-2</v>
      </c>
      <c r="K1051" s="8">
        <f t="shared" si="63"/>
        <v>6.5245865458889662E-2</v>
      </c>
    </row>
    <row r="1052" spans="1:11" x14ac:dyDescent="0.25">
      <c r="A1052" t="str">
        <f t="shared" si="64"/>
        <v>42021</v>
      </c>
      <c r="B1052" s="1">
        <v>44287</v>
      </c>
      <c r="C1052" s="10">
        <v>44200.645833333336</v>
      </c>
      <c r="D1052">
        <v>33588</v>
      </c>
      <c r="E1052">
        <v>33949.15</v>
      </c>
      <c r="F1052">
        <v>33208.75</v>
      </c>
      <c r="G1052">
        <v>33858</v>
      </c>
      <c r="H1052">
        <v>0</v>
      </c>
      <c r="I1052" s="8">
        <f t="shared" si="65"/>
        <v>1.6637691081224704E-2</v>
      </c>
      <c r="J1052" s="8">
        <f t="shared" si="66"/>
        <v>1.650080096921688E-2</v>
      </c>
      <c r="K1052" s="8">
        <f t="shared" si="63"/>
        <v>8.4293942358654839E-2</v>
      </c>
    </row>
    <row r="1053" spans="1:11" x14ac:dyDescent="0.25">
      <c r="A1053" t="str">
        <f t="shared" si="64"/>
        <v>42021</v>
      </c>
      <c r="B1053" s="1">
        <v>44291</v>
      </c>
      <c r="C1053" s="10">
        <v>44320.645833333336</v>
      </c>
      <c r="D1053">
        <v>33649.15</v>
      </c>
      <c r="E1053">
        <v>33697.75</v>
      </c>
      <c r="F1053">
        <v>32330.15</v>
      </c>
      <c r="G1053">
        <v>32678.85</v>
      </c>
      <c r="H1053">
        <v>0</v>
      </c>
      <c r="I1053" s="8">
        <f t="shared" si="65"/>
        <v>-3.4826333510544094E-2</v>
      </c>
      <c r="J1053" s="8">
        <f t="shared" si="66"/>
        <v>-3.5447228560910871E-2</v>
      </c>
      <c r="K1053" s="8">
        <f t="shared" si="63"/>
        <v>4.6981252673212071E-2</v>
      </c>
    </row>
    <row r="1054" spans="1:11" x14ac:dyDescent="0.25">
      <c r="A1054" t="str">
        <f t="shared" si="64"/>
        <v>42021</v>
      </c>
      <c r="B1054" s="1">
        <v>44292</v>
      </c>
      <c r="C1054" s="10">
        <v>44351.645833333336</v>
      </c>
      <c r="D1054">
        <v>32915.65</v>
      </c>
      <c r="E1054">
        <v>33007.65</v>
      </c>
      <c r="F1054">
        <v>32338.400000000001</v>
      </c>
      <c r="G1054">
        <v>32501.35</v>
      </c>
      <c r="H1054">
        <v>0</v>
      </c>
      <c r="I1054" s="8">
        <f t="shared" si="65"/>
        <v>-5.431647686500618E-3</v>
      </c>
      <c r="J1054" s="8">
        <f t="shared" si="66"/>
        <v>-5.4464527196149762E-3</v>
      </c>
      <c r="K1054" s="8">
        <f t="shared" si="63"/>
        <v>2.4560048546367286E-2</v>
      </c>
    </row>
    <row r="1055" spans="1:11" x14ac:dyDescent="0.25">
      <c r="A1055" t="str">
        <f t="shared" si="64"/>
        <v>42021</v>
      </c>
      <c r="B1055" s="1">
        <v>44293</v>
      </c>
      <c r="C1055" s="10">
        <v>44381.645833333336</v>
      </c>
      <c r="D1055">
        <v>32529.7</v>
      </c>
      <c r="E1055">
        <v>33191.699999999997</v>
      </c>
      <c r="F1055">
        <v>32141.55</v>
      </c>
      <c r="G1055">
        <v>32991.199999999997</v>
      </c>
      <c r="H1055">
        <v>0</v>
      </c>
      <c r="I1055" s="8">
        <f t="shared" si="65"/>
        <v>1.5071681637839562E-2</v>
      </c>
      <c r="J1055" s="8">
        <f t="shared" si="66"/>
        <v>1.4959232303403406E-2</v>
      </c>
      <c r="K1055" s="8">
        <f t="shared" si="63"/>
        <v>3.7527635472782706E-2</v>
      </c>
    </row>
    <row r="1056" spans="1:11" x14ac:dyDescent="0.25">
      <c r="A1056" t="str">
        <f t="shared" si="64"/>
        <v>42021</v>
      </c>
      <c r="B1056" s="1">
        <v>44294</v>
      </c>
      <c r="C1056" s="10">
        <v>44412.645833333336</v>
      </c>
      <c r="D1056">
        <v>33154.199999999997</v>
      </c>
      <c r="E1056">
        <v>33306.800000000003</v>
      </c>
      <c r="F1056">
        <v>32704.75</v>
      </c>
      <c r="G1056">
        <v>32782.85</v>
      </c>
      <c r="H1056">
        <v>0</v>
      </c>
      <c r="I1056" s="8">
        <f t="shared" si="65"/>
        <v>-6.3153204490894455E-3</v>
      </c>
      <c r="J1056" s="8">
        <f t="shared" si="66"/>
        <v>-6.3353464435139343E-3</v>
      </c>
      <c r="K1056" s="8">
        <f t="shared" si="63"/>
        <v>2.5874640130179039E-2</v>
      </c>
    </row>
    <row r="1057" spans="1:11" x14ac:dyDescent="0.25">
      <c r="A1057" t="str">
        <f t="shared" si="64"/>
        <v>42021</v>
      </c>
      <c r="B1057" s="1">
        <v>44295</v>
      </c>
      <c r="C1057" s="10">
        <v>44443.645833333336</v>
      </c>
      <c r="D1057">
        <v>32636.9</v>
      </c>
      <c r="E1057">
        <v>32972.15</v>
      </c>
      <c r="F1057">
        <v>32329.95</v>
      </c>
      <c r="G1057">
        <v>32448.05</v>
      </c>
      <c r="H1057">
        <v>0</v>
      </c>
      <c r="I1057" s="8">
        <f t="shared" si="65"/>
        <v>-1.0212656922750751E-2</v>
      </c>
      <c r="J1057" s="8">
        <f t="shared" si="66"/>
        <v>-1.0265163899869366E-2</v>
      </c>
      <c r="K1057" s="8">
        <f t="shared" si="63"/>
        <v>1.1340472880732477E-2</v>
      </c>
    </row>
    <row r="1058" spans="1:11" x14ac:dyDescent="0.25">
      <c r="A1058" t="str">
        <f t="shared" si="64"/>
        <v>42021</v>
      </c>
      <c r="B1058" s="1">
        <v>44298</v>
      </c>
      <c r="C1058" s="10">
        <v>44534.645833333336</v>
      </c>
      <c r="D1058">
        <v>31637.9</v>
      </c>
      <c r="E1058">
        <v>31698.05</v>
      </c>
      <c r="F1058">
        <v>30520.3</v>
      </c>
      <c r="G1058">
        <v>30792</v>
      </c>
      <c r="H1058">
        <v>0</v>
      </c>
      <c r="I1058" s="8">
        <f t="shared" si="65"/>
        <v>-5.1036965241362697E-2</v>
      </c>
      <c r="J1058" s="8">
        <f t="shared" si="66"/>
        <v>-5.2385432913107405E-2</v>
      </c>
      <c r="K1058" s="8">
        <f t="shared" si="63"/>
        <v>-3.7716921519177271E-2</v>
      </c>
    </row>
    <row r="1059" spans="1:11" x14ac:dyDescent="0.25">
      <c r="A1059" t="str">
        <f t="shared" si="64"/>
        <v>42021</v>
      </c>
      <c r="B1059" s="1">
        <v>44299</v>
      </c>
      <c r="C1059" t="s">
        <v>663</v>
      </c>
      <c r="D1059">
        <v>30901.8</v>
      </c>
      <c r="E1059">
        <v>31885.45</v>
      </c>
      <c r="F1059">
        <v>30722.85</v>
      </c>
      <c r="G1059">
        <v>31771.599999999999</v>
      </c>
      <c r="H1059">
        <v>0</v>
      </c>
      <c r="I1059" s="8">
        <f t="shared" si="65"/>
        <v>3.1813458041049625E-2</v>
      </c>
      <c r="J1059" s="8">
        <f t="shared" si="66"/>
        <v>3.1317893008565599E-2</v>
      </c>
      <c r="K1059" s="8">
        <f t="shared" si="63"/>
        <v>-1.7545378644979737E-2</v>
      </c>
    </row>
    <row r="1060" spans="1:11" x14ac:dyDescent="0.25">
      <c r="A1060" t="str">
        <f t="shared" si="64"/>
        <v>42021</v>
      </c>
      <c r="B1060" s="1">
        <v>44301</v>
      </c>
      <c r="C1060" t="s">
        <v>664</v>
      </c>
      <c r="D1060">
        <v>31929.1</v>
      </c>
      <c r="E1060">
        <v>32187.05</v>
      </c>
      <c r="F1060">
        <v>31406.400000000001</v>
      </c>
      <c r="G1060">
        <v>32112.85</v>
      </c>
      <c r="H1060">
        <v>0</v>
      </c>
      <c r="I1060" s="8">
        <f t="shared" si="65"/>
        <v>1.0740724420551739E-2</v>
      </c>
      <c r="J1060" s="8">
        <f t="shared" si="66"/>
        <v>1.068345256915707E-2</v>
      </c>
      <c r="K1060" s="8">
        <f t="shared" si="63"/>
        <v>-1.4176668053225483E-2</v>
      </c>
    </row>
    <row r="1061" spans="1:11" x14ac:dyDescent="0.25">
      <c r="A1061" t="str">
        <f t="shared" si="64"/>
        <v>42021</v>
      </c>
      <c r="B1061" s="1">
        <v>44302</v>
      </c>
      <c r="C1061" t="s">
        <v>665</v>
      </c>
      <c r="D1061">
        <v>32161.45</v>
      </c>
      <c r="E1061">
        <v>32325.15</v>
      </c>
      <c r="F1061">
        <v>31911.9</v>
      </c>
      <c r="G1061">
        <v>31977.45</v>
      </c>
      <c r="H1061">
        <v>0</v>
      </c>
      <c r="I1061" s="8">
        <f t="shared" si="65"/>
        <v>-4.2163806700432627E-3</v>
      </c>
      <c r="J1061" s="8">
        <f t="shared" si="66"/>
        <v>-4.2252946683846646E-3</v>
      </c>
      <c r="K1061" s="8">
        <f t="shared" si="63"/>
        <v>-1.6676019957102994E-2</v>
      </c>
    </row>
    <row r="1062" spans="1:11" x14ac:dyDescent="0.25">
      <c r="A1062" t="str">
        <f t="shared" si="64"/>
        <v>42021</v>
      </c>
      <c r="B1062" s="1">
        <v>44305</v>
      </c>
      <c r="C1062" t="s">
        <v>666</v>
      </c>
      <c r="D1062">
        <v>30993.45</v>
      </c>
      <c r="E1062">
        <v>31304.3</v>
      </c>
      <c r="F1062">
        <v>30405.65</v>
      </c>
      <c r="G1062">
        <v>31208.400000000001</v>
      </c>
      <c r="H1062">
        <v>0</v>
      </c>
      <c r="I1062" s="8">
        <f t="shared" si="65"/>
        <v>-2.4049760065296022E-2</v>
      </c>
      <c r="J1062" s="8">
        <f t="shared" si="66"/>
        <v>-2.434367754221526E-2</v>
      </c>
      <c r="K1062" s="8">
        <f t="shared" si="63"/>
        <v>-3.2201644814369157E-2</v>
      </c>
    </row>
    <row r="1063" spans="1:11" x14ac:dyDescent="0.25">
      <c r="A1063" t="str">
        <f t="shared" si="64"/>
        <v>42021</v>
      </c>
      <c r="B1063" s="1">
        <v>44306</v>
      </c>
      <c r="C1063" t="s">
        <v>667</v>
      </c>
      <c r="D1063">
        <v>31568.95</v>
      </c>
      <c r="E1063">
        <v>31731.65</v>
      </c>
      <c r="F1063">
        <v>30891</v>
      </c>
      <c r="G1063">
        <v>31112.7</v>
      </c>
      <c r="H1063">
        <v>0</v>
      </c>
      <c r="I1063" s="8">
        <f t="shared" si="65"/>
        <v>-3.0664821009728227E-3</v>
      </c>
      <c r="J1063" s="8">
        <f t="shared" si="66"/>
        <v>-3.0711933910670211E-3</v>
      </c>
      <c r="K1063" s="8">
        <f t="shared" si="63"/>
        <v>-2.197458486251147E-2</v>
      </c>
    </row>
    <row r="1064" spans="1:11" x14ac:dyDescent="0.25">
      <c r="A1064" t="str">
        <f t="shared" si="64"/>
        <v>42021</v>
      </c>
      <c r="B1064" s="1">
        <v>44308</v>
      </c>
      <c r="C1064" t="s">
        <v>668</v>
      </c>
      <c r="D1064">
        <v>30763.5</v>
      </c>
      <c r="E1064">
        <v>31834.5</v>
      </c>
      <c r="F1064">
        <v>30555.25</v>
      </c>
      <c r="G1064">
        <v>31782.6</v>
      </c>
      <c r="H1064">
        <v>0</v>
      </c>
      <c r="I1064" s="8">
        <f t="shared" si="65"/>
        <v>2.1531400360624398E-2</v>
      </c>
      <c r="J1064" s="8">
        <f t="shared" si="66"/>
        <v>2.1302874265279478E-2</v>
      </c>
      <c r="K1064" s="8">
        <f t="shared" si="63"/>
        <v>-1.980733912415944E-2</v>
      </c>
    </row>
    <row r="1065" spans="1:11" x14ac:dyDescent="0.25">
      <c r="A1065" t="str">
        <f t="shared" si="64"/>
        <v>42021</v>
      </c>
      <c r="B1065" s="1">
        <v>44309</v>
      </c>
      <c r="C1065" t="s">
        <v>669</v>
      </c>
      <c r="D1065">
        <v>31490.6</v>
      </c>
      <c r="E1065">
        <v>32148.400000000001</v>
      </c>
      <c r="F1065">
        <v>31377.15</v>
      </c>
      <c r="G1065">
        <v>31722.3</v>
      </c>
      <c r="H1065">
        <v>0</v>
      </c>
      <c r="I1065" s="8">
        <f t="shared" si="65"/>
        <v>-1.8972645409752742E-3</v>
      </c>
      <c r="J1065" s="8">
        <f t="shared" si="66"/>
        <v>-1.8990666270612593E-3</v>
      </c>
      <c r="K1065" s="8">
        <f t="shared" si="63"/>
        <v>-2.5239908184994331E-2</v>
      </c>
    </row>
    <row r="1066" spans="1:11" x14ac:dyDescent="0.25">
      <c r="A1066" t="str">
        <f t="shared" si="64"/>
        <v>42021</v>
      </c>
      <c r="B1066" s="1">
        <v>44312</v>
      </c>
      <c r="C1066" t="s">
        <v>670</v>
      </c>
      <c r="D1066">
        <v>32316.65</v>
      </c>
      <c r="E1066">
        <v>32603.7</v>
      </c>
      <c r="F1066">
        <v>32144.799999999999</v>
      </c>
      <c r="G1066">
        <v>32275.15</v>
      </c>
      <c r="H1066">
        <v>0</v>
      </c>
      <c r="I1066" s="8">
        <f t="shared" si="65"/>
        <v>1.7427803154248078E-2</v>
      </c>
      <c r="J1066" s="8">
        <f t="shared" si="66"/>
        <v>1.7277680686218492E-2</v>
      </c>
      <c r="K1066" s="8">
        <f t="shared" si="63"/>
        <v>2.7417986820725826E-3</v>
      </c>
    </row>
    <row r="1067" spans="1:11" x14ac:dyDescent="0.25">
      <c r="A1067" t="str">
        <f t="shared" si="64"/>
        <v>42021</v>
      </c>
      <c r="B1067" s="1">
        <v>44313</v>
      </c>
      <c r="C1067" t="s">
        <v>671</v>
      </c>
      <c r="D1067">
        <v>32228.95</v>
      </c>
      <c r="E1067">
        <v>32807.1</v>
      </c>
      <c r="F1067">
        <v>32152.95</v>
      </c>
      <c r="G1067">
        <v>32735.35</v>
      </c>
      <c r="H1067">
        <v>0</v>
      </c>
      <c r="I1067" s="8">
        <f t="shared" si="65"/>
        <v>1.4258647907135824E-2</v>
      </c>
      <c r="J1067" s="8">
        <f t="shared" si="66"/>
        <v>1.4157949473922397E-2</v>
      </c>
      <c r="K1067" s="8">
        <f t="shared" si="63"/>
        <v>5.0312427307510177E-2</v>
      </c>
    </row>
    <row r="1068" spans="1:11" x14ac:dyDescent="0.25">
      <c r="A1068" t="str">
        <f t="shared" si="64"/>
        <v>42021</v>
      </c>
      <c r="B1068" s="1">
        <v>44314</v>
      </c>
      <c r="C1068" t="s">
        <v>672</v>
      </c>
      <c r="D1068">
        <v>32865.5</v>
      </c>
      <c r="E1068">
        <v>33777.699999999997</v>
      </c>
      <c r="F1068">
        <v>32840.300000000003</v>
      </c>
      <c r="G1068">
        <v>33722.800000000003</v>
      </c>
      <c r="H1068">
        <v>0</v>
      </c>
      <c r="I1068" s="8">
        <f t="shared" si="65"/>
        <v>3.016463853296214E-2</v>
      </c>
      <c r="J1068" s="8">
        <f t="shared" si="66"/>
        <v>2.9718632703861107E-2</v>
      </c>
      <c r="K1068" s="8">
        <f t="shared" si="63"/>
        <v>8.091440586696752E-2</v>
      </c>
    </row>
    <row r="1069" spans="1:11" x14ac:dyDescent="0.25">
      <c r="A1069" t="str">
        <f t="shared" si="64"/>
        <v>42021</v>
      </c>
      <c r="B1069" s="1">
        <v>44315</v>
      </c>
      <c r="C1069" t="s">
        <v>673</v>
      </c>
      <c r="D1069">
        <v>33901.599999999999</v>
      </c>
      <c r="E1069">
        <v>34287</v>
      </c>
      <c r="F1069">
        <v>33304.6</v>
      </c>
      <c r="G1069">
        <v>33714.5</v>
      </c>
      <c r="H1069">
        <v>0</v>
      </c>
      <c r="I1069" s="8">
        <f t="shared" si="65"/>
        <v>-2.4612428386738827E-4</v>
      </c>
      <c r="J1069" s="8">
        <f t="shared" si="66"/>
        <v>-2.4615457741969745E-4</v>
      </c>
      <c r="K1069" s="8">
        <f t="shared" si="63"/>
        <v>0.11325742003760997</v>
      </c>
    </row>
    <row r="1070" spans="1:11" x14ac:dyDescent="0.25">
      <c r="A1070" t="str">
        <f t="shared" si="64"/>
        <v>42021</v>
      </c>
      <c r="B1070" s="1">
        <v>44316</v>
      </c>
      <c r="C1070" t="s">
        <v>674</v>
      </c>
      <c r="D1070">
        <v>33112.400000000001</v>
      </c>
      <c r="E1070">
        <v>33455.25</v>
      </c>
      <c r="F1070">
        <v>32663.4</v>
      </c>
      <c r="G1070">
        <v>32781.800000000003</v>
      </c>
      <c r="H1070">
        <v>0</v>
      </c>
      <c r="I1070" s="8">
        <f t="shared" si="65"/>
        <v>-2.7664654673804967E-2</v>
      </c>
      <c r="J1070" s="8">
        <f t="shared" si="66"/>
        <v>-2.8054528542778956E-2</v>
      </c>
      <c r="K1070" s="8">
        <f t="shared" si="63"/>
        <v>7.9829898248584552E-2</v>
      </c>
    </row>
    <row r="1071" spans="1:11" x14ac:dyDescent="0.25">
      <c r="A1071" t="str">
        <f t="shared" si="64"/>
        <v>52021</v>
      </c>
      <c r="B1071" s="1">
        <v>44319</v>
      </c>
      <c r="C1071" s="10">
        <v>44260.645833333336</v>
      </c>
      <c r="D1071">
        <v>32368.55</v>
      </c>
      <c r="E1071">
        <v>32566.6</v>
      </c>
      <c r="F1071">
        <v>31906.55</v>
      </c>
      <c r="G1071">
        <v>32465.75</v>
      </c>
      <c r="H1071">
        <v>0</v>
      </c>
      <c r="I1071" s="8">
        <f t="shared" si="65"/>
        <v>-9.641020322252114E-3</v>
      </c>
      <c r="J1071" s="8">
        <f t="shared" si="66"/>
        <v>-9.6877958439742975E-3</v>
      </c>
      <c r="K1071" s="8">
        <f t="shared" si="63"/>
        <v>6.2169766566881002E-2</v>
      </c>
    </row>
    <row r="1072" spans="1:11" x14ac:dyDescent="0.25">
      <c r="A1072" t="str">
        <f t="shared" si="64"/>
        <v>52021</v>
      </c>
      <c r="B1072" s="1">
        <v>44320</v>
      </c>
      <c r="C1072" s="10">
        <v>44291.645833333336</v>
      </c>
      <c r="D1072">
        <v>32610.400000000001</v>
      </c>
      <c r="E1072">
        <v>33011.550000000003</v>
      </c>
      <c r="F1072">
        <v>32191.4</v>
      </c>
      <c r="G1072">
        <v>32270.35</v>
      </c>
      <c r="H1072">
        <v>0</v>
      </c>
      <c r="I1072" s="8">
        <f t="shared" si="65"/>
        <v>-6.0186504239083671E-3</v>
      </c>
      <c r="J1072" s="8">
        <f t="shared" si="66"/>
        <v>-6.0368355035102248E-3</v>
      </c>
      <c r="K1072" s="8">
        <f t="shared" si="63"/>
        <v>-2.4742324122330683E-2</v>
      </c>
    </row>
    <row r="1073" spans="1:11" x14ac:dyDescent="0.25">
      <c r="A1073" t="str">
        <f t="shared" si="64"/>
        <v>52021</v>
      </c>
      <c r="B1073" s="1">
        <v>44321</v>
      </c>
      <c r="C1073" s="10">
        <v>44321.645833333336</v>
      </c>
      <c r="D1073">
        <v>32577.1</v>
      </c>
      <c r="E1073">
        <v>32862.15</v>
      </c>
      <c r="F1073">
        <v>32068.55</v>
      </c>
      <c r="G1073">
        <v>32783.699999999997</v>
      </c>
      <c r="H1073">
        <v>0</v>
      </c>
      <c r="I1073" s="8">
        <f t="shared" si="65"/>
        <v>1.5907791517600467E-2</v>
      </c>
      <c r="J1073" s="8">
        <f t="shared" si="66"/>
        <v>1.5782588657366169E-2</v>
      </c>
      <c r="K1073" s="8">
        <f t="shared" si="63"/>
        <v>-4.3311670688895521E-2</v>
      </c>
    </row>
    <row r="1074" spans="1:11" x14ac:dyDescent="0.25">
      <c r="A1074" t="str">
        <f t="shared" si="64"/>
        <v>52021</v>
      </c>
      <c r="B1074" s="1">
        <v>44322</v>
      </c>
      <c r="C1074" s="10">
        <v>44352.645833333336</v>
      </c>
      <c r="D1074">
        <v>32900.75</v>
      </c>
      <c r="E1074">
        <v>32956.35</v>
      </c>
      <c r="F1074">
        <v>32564</v>
      </c>
      <c r="G1074">
        <v>32827.800000000003</v>
      </c>
      <c r="H1074">
        <v>0</v>
      </c>
      <c r="I1074" s="8">
        <f t="shared" si="65"/>
        <v>1.3451806843036707E-3</v>
      </c>
      <c r="J1074" s="8">
        <f t="shared" si="66"/>
        <v>1.3442767393223708E-3</v>
      </c>
      <c r="K1074" s="8">
        <f t="shared" si="63"/>
        <v>-5.5544766812098745E-2</v>
      </c>
    </row>
    <row r="1075" spans="1:11" x14ac:dyDescent="0.25">
      <c r="A1075" t="str">
        <f t="shared" si="64"/>
        <v>52021</v>
      </c>
      <c r="B1075" s="1">
        <v>44323</v>
      </c>
      <c r="C1075" s="10">
        <v>44382.645833333336</v>
      </c>
      <c r="D1075">
        <v>33041.65</v>
      </c>
      <c r="E1075">
        <v>33259.15</v>
      </c>
      <c r="F1075">
        <v>32771.35</v>
      </c>
      <c r="G1075">
        <v>32904.5</v>
      </c>
      <c r="H1075">
        <v>0</v>
      </c>
      <c r="I1075" s="8">
        <f t="shared" si="65"/>
        <v>2.3364343635576823E-3</v>
      </c>
      <c r="J1075" s="8">
        <f t="shared" si="66"/>
        <v>2.3337091448277429E-3</v>
      </c>
      <c r="K1075" s="8">
        <f t="shared" si="63"/>
        <v>-6.904268803331759E-2</v>
      </c>
    </row>
    <row r="1076" spans="1:11" x14ac:dyDescent="0.25">
      <c r="A1076" t="str">
        <f t="shared" si="64"/>
        <v>52021</v>
      </c>
      <c r="B1076" s="1">
        <v>44326</v>
      </c>
      <c r="C1076" s="10">
        <v>44474.645833333336</v>
      </c>
      <c r="D1076">
        <v>33175.300000000003</v>
      </c>
      <c r="E1076">
        <v>33297.599999999999</v>
      </c>
      <c r="F1076">
        <v>33028.15</v>
      </c>
      <c r="G1076">
        <v>33142.400000000001</v>
      </c>
      <c r="H1076">
        <v>0</v>
      </c>
      <c r="I1076" s="8">
        <f t="shared" si="65"/>
        <v>7.2300141318057953E-3</v>
      </c>
      <c r="J1076" s="8">
        <f t="shared" si="66"/>
        <v>7.204002878868603E-3</v>
      </c>
      <c r="K1076" s="8">
        <f t="shared" si="63"/>
        <v>-7.0456744590444376E-2</v>
      </c>
    </row>
    <row r="1077" spans="1:11" x14ac:dyDescent="0.25">
      <c r="A1077" t="str">
        <f t="shared" si="64"/>
        <v>52021</v>
      </c>
      <c r="B1077" s="1">
        <v>44327</v>
      </c>
      <c r="C1077" s="10">
        <v>44505.645833333336</v>
      </c>
      <c r="D1077">
        <v>32640.95</v>
      </c>
      <c r="E1077">
        <v>33154.300000000003</v>
      </c>
      <c r="F1077">
        <v>32611.7</v>
      </c>
      <c r="G1077">
        <v>32872.199999999997</v>
      </c>
      <c r="H1077">
        <v>0</v>
      </c>
      <c r="I1077" s="8">
        <f t="shared" si="65"/>
        <v>-8.1526986579126826E-3</v>
      </c>
      <c r="J1077" s="8">
        <f t="shared" si="66"/>
        <v>-8.1861136444201076E-3</v>
      </c>
      <c r="K1077" s="8">
        <f t="shared" si="63"/>
        <v>-8.6468437748811078E-2</v>
      </c>
    </row>
    <row r="1078" spans="1:11" x14ac:dyDescent="0.25">
      <c r="A1078" t="str">
        <f t="shared" si="64"/>
        <v>52021</v>
      </c>
      <c r="B1078" s="1">
        <v>44328</v>
      </c>
      <c r="C1078" s="10">
        <v>44535.645833333336</v>
      </c>
      <c r="D1078">
        <v>32717.65</v>
      </c>
      <c r="E1078">
        <v>32747.7</v>
      </c>
      <c r="F1078">
        <v>32352.3</v>
      </c>
      <c r="G1078">
        <v>32452.3</v>
      </c>
      <c r="H1078">
        <v>0</v>
      </c>
      <c r="I1078" s="8">
        <f t="shared" si="65"/>
        <v>-1.2773711525240095E-2</v>
      </c>
      <c r="J1078" s="8">
        <f t="shared" si="66"/>
        <v>-1.2855996855381713E-2</v>
      </c>
      <c r="K1078" s="8">
        <f t="shared" si="63"/>
        <v>-9.9959785336901863E-2</v>
      </c>
    </row>
    <row r="1079" spans="1:11" x14ac:dyDescent="0.25">
      <c r="A1079" t="str">
        <f t="shared" si="64"/>
        <v>52021</v>
      </c>
      <c r="B1079" s="1">
        <v>44330</v>
      </c>
      <c r="C1079" t="s">
        <v>675</v>
      </c>
      <c r="D1079">
        <v>32495.15</v>
      </c>
      <c r="E1079">
        <v>32622.65</v>
      </c>
      <c r="F1079">
        <v>32115.5</v>
      </c>
      <c r="G1079">
        <v>32169.55</v>
      </c>
      <c r="H1079">
        <v>0</v>
      </c>
      <c r="I1079" s="8">
        <f t="shared" si="65"/>
        <v>-8.7127876914733227E-3</v>
      </c>
      <c r="J1079" s="8">
        <f t="shared" si="66"/>
        <v>-8.7509659472740954E-3</v>
      </c>
      <c r="K1079" s="8">
        <f t="shared" si="63"/>
        <v>-0.10098482244411466</v>
      </c>
    </row>
    <row r="1080" spans="1:11" x14ac:dyDescent="0.25">
      <c r="A1080" t="str">
        <f t="shared" si="64"/>
        <v>11900</v>
      </c>
      <c r="I1080" s="8">
        <f t="shared" ref="I1080:I1143" si="67">+G1080/G1079-1</f>
        <v>-1</v>
      </c>
      <c r="J1080" s="8" t="e">
        <f t="shared" si="66"/>
        <v>#NUM!</v>
      </c>
      <c r="K1080" s="8">
        <f t="shared" si="63"/>
        <v>-1</v>
      </c>
    </row>
    <row r="1081" spans="1:11" x14ac:dyDescent="0.25">
      <c r="A1081" t="str">
        <f t="shared" si="64"/>
        <v>11900</v>
      </c>
      <c r="I1081" s="8" t="e">
        <f t="shared" si="67"/>
        <v>#DIV/0!</v>
      </c>
      <c r="J1081" s="8" t="e">
        <f t="shared" si="66"/>
        <v>#DIV/0!</v>
      </c>
      <c r="K1081" s="8">
        <f t="shared" si="63"/>
        <v>-1</v>
      </c>
    </row>
    <row r="1082" spans="1:11" x14ac:dyDescent="0.25">
      <c r="A1082" t="str">
        <f t="shared" si="64"/>
        <v>11900</v>
      </c>
      <c r="I1082" s="8" t="e">
        <f t="shared" si="67"/>
        <v>#DIV/0!</v>
      </c>
      <c r="J1082" s="8" t="e">
        <f t="shared" si="66"/>
        <v>#DIV/0!</v>
      </c>
      <c r="K1082" s="8">
        <f t="shared" si="63"/>
        <v>-1</v>
      </c>
    </row>
    <row r="1083" spans="1:11" x14ac:dyDescent="0.25">
      <c r="A1083" t="str">
        <f t="shared" si="64"/>
        <v>11900</v>
      </c>
      <c r="I1083" s="8" t="e">
        <f t="shared" si="67"/>
        <v>#DIV/0!</v>
      </c>
      <c r="J1083" s="8" t="e">
        <f t="shared" si="66"/>
        <v>#DIV/0!</v>
      </c>
      <c r="K1083" s="8">
        <f t="shared" si="63"/>
        <v>-1</v>
      </c>
    </row>
    <row r="1084" spans="1:11" x14ac:dyDescent="0.25">
      <c r="A1084" t="str">
        <f t="shared" si="64"/>
        <v>11900</v>
      </c>
      <c r="I1084" s="8" t="e">
        <f t="shared" si="67"/>
        <v>#DIV/0!</v>
      </c>
      <c r="J1084" s="8" t="e">
        <f t="shared" si="66"/>
        <v>#DIV/0!</v>
      </c>
      <c r="K1084" s="8">
        <f t="shared" si="63"/>
        <v>-1</v>
      </c>
    </row>
    <row r="1085" spans="1:11" x14ac:dyDescent="0.25">
      <c r="A1085" t="str">
        <f t="shared" si="64"/>
        <v>11900</v>
      </c>
      <c r="I1085" s="8" t="e">
        <f t="shared" si="67"/>
        <v>#DIV/0!</v>
      </c>
      <c r="J1085" s="8" t="e">
        <f t="shared" si="66"/>
        <v>#DIV/0!</v>
      </c>
      <c r="K1085" s="8">
        <f t="shared" si="63"/>
        <v>-1</v>
      </c>
    </row>
    <row r="1086" spans="1:11" x14ac:dyDescent="0.25">
      <c r="A1086" t="str">
        <f t="shared" si="64"/>
        <v>11900</v>
      </c>
      <c r="I1086" s="8" t="e">
        <f t="shared" si="67"/>
        <v>#DIV/0!</v>
      </c>
      <c r="J1086" s="8" t="e">
        <f t="shared" si="66"/>
        <v>#DIV/0!</v>
      </c>
      <c r="K1086" s="8">
        <f t="shared" si="63"/>
        <v>-1</v>
      </c>
    </row>
    <row r="1087" spans="1:11" x14ac:dyDescent="0.25">
      <c r="A1087" t="str">
        <f t="shared" si="64"/>
        <v>11900</v>
      </c>
      <c r="I1087" s="8" t="e">
        <f t="shared" si="67"/>
        <v>#DIV/0!</v>
      </c>
      <c r="J1087" s="8" t="e">
        <f t="shared" si="66"/>
        <v>#DIV/0!</v>
      </c>
      <c r="K1087" s="8">
        <f t="shared" si="63"/>
        <v>-1</v>
      </c>
    </row>
    <row r="1088" spans="1:11" x14ac:dyDescent="0.25">
      <c r="A1088" t="str">
        <f t="shared" si="64"/>
        <v>11900</v>
      </c>
      <c r="I1088" s="8" t="e">
        <f t="shared" si="67"/>
        <v>#DIV/0!</v>
      </c>
      <c r="J1088" s="8" t="e">
        <f t="shared" si="66"/>
        <v>#DIV/0!</v>
      </c>
      <c r="K1088" s="8">
        <f t="shared" ref="K1088:K1151" si="68">+G1088/G1027-1</f>
        <v>-1</v>
      </c>
    </row>
    <row r="1089" spans="1:11" x14ac:dyDescent="0.25">
      <c r="A1089" t="str">
        <f t="shared" si="64"/>
        <v>11900</v>
      </c>
      <c r="I1089" s="8" t="e">
        <f t="shared" si="67"/>
        <v>#DIV/0!</v>
      </c>
      <c r="J1089" s="8" t="e">
        <f t="shared" si="66"/>
        <v>#DIV/0!</v>
      </c>
      <c r="K1089" s="8">
        <f t="shared" si="68"/>
        <v>-1</v>
      </c>
    </row>
    <row r="1090" spans="1:11" x14ac:dyDescent="0.25">
      <c r="A1090" t="str">
        <f t="shared" si="64"/>
        <v>11900</v>
      </c>
      <c r="I1090" s="8" t="e">
        <f t="shared" si="67"/>
        <v>#DIV/0!</v>
      </c>
      <c r="J1090" s="8" t="e">
        <f t="shared" si="66"/>
        <v>#DIV/0!</v>
      </c>
      <c r="K1090" s="8">
        <f t="shared" si="68"/>
        <v>-1</v>
      </c>
    </row>
    <row r="1091" spans="1:11" x14ac:dyDescent="0.25">
      <c r="A1091" t="str">
        <f t="shared" ref="A1091:A1154" si="69">+MONTH(B1091)&amp;YEAR(B1091)</f>
        <v>11900</v>
      </c>
      <c r="I1091" s="8" t="e">
        <f t="shared" si="67"/>
        <v>#DIV/0!</v>
      </c>
      <c r="J1091" s="8" t="e">
        <f t="shared" si="66"/>
        <v>#DIV/0!</v>
      </c>
      <c r="K1091" s="8">
        <f t="shared" si="68"/>
        <v>-1</v>
      </c>
    </row>
    <row r="1092" spans="1:11" x14ac:dyDescent="0.25">
      <c r="A1092" t="str">
        <f t="shared" si="69"/>
        <v>11900</v>
      </c>
      <c r="I1092" s="8" t="e">
        <f t="shared" si="67"/>
        <v>#DIV/0!</v>
      </c>
      <c r="J1092" s="8" t="e">
        <f t="shared" ref="J1092:J1155" si="70">+LN(1+I1092)</f>
        <v>#DIV/0!</v>
      </c>
      <c r="K1092" s="8">
        <f t="shared" si="68"/>
        <v>-1</v>
      </c>
    </row>
    <row r="1093" spans="1:11" x14ac:dyDescent="0.25">
      <c r="A1093" t="str">
        <f t="shared" si="69"/>
        <v>11900</v>
      </c>
      <c r="I1093" s="8" t="e">
        <f t="shared" si="67"/>
        <v>#DIV/0!</v>
      </c>
      <c r="J1093" s="8" t="e">
        <f t="shared" si="70"/>
        <v>#DIV/0!</v>
      </c>
      <c r="K1093" s="8">
        <f t="shared" si="68"/>
        <v>-1</v>
      </c>
    </row>
    <row r="1094" spans="1:11" x14ac:dyDescent="0.25">
      <c r="A1094" t="str">
        <f t="shared" si="69"/>
        <v>11900</v>
      </c>
      <c r="I1094" s="8" t="e">
        <f t="shared" si="67"/>
        <v>#DIV/0!</v>
      </c>
      <c r="J1094" s="8" t="e">
        <f t="shared" si="70"/>
        <v>#DIV/0!</v>
      </c>
      <c r="K1094" s="8">
        <f t="shared" si="68"/>
        <v>-1</v>
      </c>
    </row>
    <row r="1095" spans="1:11" x14ac:dyDescent="0.25">
      <c r="A1095" t="str">
        <f t="shared" si="69"/>
        <v>11900</v>
      </c>
      <c r="I1095" s="8" t="e">
        <f t="shared" si="67"/>
        <v>#DIV/0!</v>
      </c>
      <c r="J1095" s="8" t="e">
        <f t="shared" si="70"/>
        <v>#DIV/0!</v>
      </c>
      <c r="K1095" s="8">
        <f t="shared" si="68"/>
        <v>-1</v>
      </c>
    </row>
    <row r="1096" spans="1:11" x14ac:dyDescent="0.25">
      <c r="A1096" t="str">
        <f t="shared" si="69"/>
        <v>11900</v>
      </c>
      <c r="I1096" s="8" t="e">
        <f t="shared" si="67"/>
        <v>#DIV/0!</v>
      </c>
      <c r="J1096" s="8" t="e">
        <f t="shared" si="70"/>
        <v>#DIV/0!</v>
      </c>
      <c r="K1096" s="8">
        <f t="shared" si="68"/>
        <v>-1</v>
      </c>
    </row>
    <row r="1097" spans="1:11" x14ac:dyDescent="0.25">
      <c r="A1097" t="str">
        <f t="shared" si="69"/>
        <v>11900</v>
      </c>
      <c r="I1097" s="8" t="e">
        <f t="shared" si="67"/>
        <v>#DIV/0!</v>
      </c>
      <c r="J1097" s="8" t="e">
        <f t="shared" si="70"/>
        <v>#DIV/0!</v>
      </c>
      <c r="K1097" s="8">
        <f t="shared" si="68"/>
        <v>-1</v>
      </c>
    </row>
    <row r="1098" spans="1:11" x14ac:dyDescent="0.25">
      <c r="A1098" t="str">
        <f t="shared" si="69"/>
        <v>11900</v>
      </c>
      <c r="I1098" s="8" t="e">
        <f t="shared" si="67"/>
        <v>#DIV/0!</v>
      </c>
      <c r="J1098" s="8" t="e">
        <f t="shared" si="70"/>
        <v>#DIV/0!</v>
      </c>
      <c r="K1098" s="8">
        <f t="shared" si="68"/>
        <v>-1</v>
      </c>
    </row>
    <row r="1099" spans="1:11" x14ac:dyDescent="0.25">
      <c r="A1099" t="str">
        <f t="shared" si="69"/>
        <v>11900</v>
      </c>
      <c r="I1099" s="8" t="e">
        <f t="shared" si="67"/>
        <v>#DIV/0!</v>
      </c>
      <c r="J1099" s="8" t="e">
        <f t="shared" si="70"/>
        <v>#DIV/0!</v>
      </c>
      <c r="K1099" s="8">
        <f t="shared" si="68"/>
        <v>-1</v>
      </c>
    </row>
    <row r="1100" spans="1:11" x14ac:dyDescent="0.25">
      <c r="A1100" t="str">
        <f t="shared" si="69"/>
        <v>11900</v>
      </c>
      <c r="I1100" s="8" t="e">
        <f t="shared" si="67"/>
        <v>#DIV/0!</v>
      </c>
      <c r="J1100" s="8" t="e">
        <f t="shared" si="70"/>
        <v>#DIV/0!</v>
      </c>
      <c r="K1100" s="8">
        <f t="shared" si="68"/>
        <v>-1</v>
      </c>
    </row>
    <row r="1101" spans="1:11" x14ac:dyDescent="0.25">
      <c r="A1101" t="str">
        <f t="shared" si="69"/>
        <v>11900</v>
      </c>
      <c r="I1101" s="8" t="e">
        <f t="shared" si="67"/>
        <v>#DIV/0!</v>
      </c>
      <c r="J1101" s="8" t="e">
        <f t="shared" si="70"/>
        <v>#DIV/0!</v>
      </c>
      <c r="K1101" s="8">
        <f t="shared" si="68"/>
        <v>-1</v>
      </c>
    </row>
    <row r="1102" spans="1:11" x14ac:dyDescent="0.25">
      <c r="A1102" t="str">
        <f t="shared" si="69"/>
        <v>11900</v>
      </c>
      <c r="I1102" s="8" t="e">
        <f t="shared" si="67"/>
        <v>#DIV/0!</v>
      </c>
      <c r="J1102" s="8" t="e">
        <f t="shared" si="70"/>
        <v>#DIV/0!</v>
      </c>
      <c r="K1102" s="8">
        <f t="shared" si="68"/>
        <v>-1</v>
      </c>
    </row>
    <row r="1103" spans="1:11" x14ac:dyDescent="0.25">
      <c r="A1103" t="str">
        <f t="shared" si="69"/>
        <v>11900</v>
      </c>
      <c r="I1103" s="8" t="e">
        <f t="shared" si="67"/>
        <v>#DIV/0!</v>
      </c>
      <c r="J1103" s="8" t="e">
        <f t="shared" si="70"/>
        <v>#DIV/0!</v>
      </c>
      <c r="K1103" s="8">
        <f t="shared" si="68"/>
        <v>-1</v>
      </c>
    </row>
    <row r="1104" spans="1:11" x14ac:dyDescent="0.25">
      <c r="A1104" t="str">
        <f t="shared" si="69"/>
        <v>11900</v>
      </c>
      <c r="I1104" s="8" t="e">
        <f t="shared" si="67"/>
        <v>#DIV/0!</v>
      </c>
      <c r="J1104" s="8" t="e">
        <f t="shared" si="70"/>
        <v>#DIV/0!</v>
      </c>
      <c r="K1104" s="8">
        <f t="shared" si="68"/>
        <v>-1</v>
      </c>
    </row>
    <row r="1105" spans="1:11" x14ac:dyDescent="0.25">
      <c r="A1105" t="str">
        <f t="shared" si="69"/>
        <v>11900</v>
      </c>
      <c r="I1105" s="8" t="e">
        <f t="shared" si="67"/>
        <v>#DIV/0!</v>
      </c>
      <c r="J1105" s="8" t="e">
        <f t="shared" si="70"/>
        <v>#DIV/0!</v>
      </c>
      <c r="K1105" s="8">
        <f t="shared" si="68"/>
        <v>-1</v>
      </c>
    </row>
    <row r="1106" spans="1:11" x14ac:dyDescent="0.25">
      <c r="A1106" t="str">
        <f t="shared" si="69"/>
        <v>11900</v>
      </c>
      <c r="I1106" s="8" t="e">
        <f t="shared" si="67"/>
        <v>#DIV/0!</v>
      </c>
      <c r="J1106" s="8" t="e">
        <f t="shared" si="70"/>
        <v>#DIV/0!</v>
      </c>
      <c r="K1106" s="8">
        <f t="shared" si="68"/>
        <v>-1</v>
      </c>
    </row>
    <row r="1107" spans="1:11" x14ac:dyDescent="0.25">
      <c r="A1107" t="str">
        <f t="shared" si="69"/>
        <v>11900</v>
      </c>
      <c r="I1107" s="8" t="e">
        <f t="shared" si="67"/>
        <v>#DIV/0!</v>
      </c>
      <c r="J1107" s="8" t="e">
        <f t="shared" si="70"/>
        <v>#DIV/0!</v>
      </c>
      <c r="K1107" s="8">
        <f t="shared" si="68"/>
        <v>-1</v>
      </c>
    </row>
    <row r="1108" spans="1:11" x14ac:dyDescent="0.25">
      <c r="A1108" t="str">
        <f t="shared" si="69"/>
        <v>11900</v>
      </c>
      <c r="I1108" s="8" t="e">
        <f t="shared" si="67"/>
        <v>#DIV/0!</v>
      </c>
      <c r="J1108" s="8" t="e">
        <f t="shared" si="70"/>
        <v>#DIV/0!</v>
      </c>
      <c r="K1108" s="8">
        <f t="shared" si="68"/>
        <v>-1</v>
      </c>
    </row>
    <row r="1109" spans="1:11" x14ac:dyDescent="0.25">
      <c r="A1109" t="str">
        <f t="shared" si="69"/>
        <v>11900</v>
      </c>
      <c r="I1109" s="8" t="e">
        <f t="shared" si="67"/>
        <v>#DIV/0!</v>
      </c>
      <c r="J1109" s="8" t="e">
        <f t="shared" si="70"/>
        <v>#DIV/0!</v>
      </c>
      <c r="K1109" s="8">
        <f t="shared" si="68"/>
        <v>-1</v>
      </c>
    </row>
    <row r="1110" spans="1:11" x14ac:dyDescent="0.25">
      <c r="A1110" t="str">
        <f t="shared" si="69"/>
        <v>11900</v>
      </c>
      <c r="I1110" s="8" t="e">
        <f t="shared" si="67"/>
        <v>#DIV/0!</v>
      </c>
      <c r="J1110" s="8" t="e">
        <f t="shared" si="70"/>
        <v>#DIV/0!</v>
      </c>
      <c r="K1110" s="8">
        <f t="shared" si="68"/>
        <v>-1</v>
      </c>
    </row>
    <row r="1111" spans="1:11" x14ac:dyDescent="0.25">
      <c r="A1111" t="str">
        <f t="shared" si="69"/>
        <v>11900</v>
      </c>
      <c r="I1111" s="8" t="e">
        <f t="shared" si="67"/>
        <v>#DIV/0!</v>
      </c>
      <c r="J1111" s="8" t="e">
        <f t="shared" si="70"/>
        <v>#DIV/0!</v>
      </c>
      <c r="K1111" s="8">
        <f t="shared" si="68"/>
        <v>-1</v>
      </c>
    </row>
    <row r="1112" spans="1:11" x14ac:dyDescent="0.25">
      <c r="A1112" t="str">
        <f t="shared" si="69"/>
        <v>11900</v>
      </c>
      <c r="I1112" s="8" t="e">
        <f t="shared" si="67"/>
        <v>#DIV/0!</v>
      </c>
      <c r="J1112" s="8" t="e">
        <f t="shared" si="70"/>
        <v>#DIV/0!</v>
      </c>
      <c r="K1112" s="8">
        <f t="shared" si="68"/>
        <v>-1</v>
      </c>
    </row>
    <row r="1113" spans="1:11" x14ac:dyDescent="0.25">
      <c r="A1113" t="str">
        <f t="shared" si="69"/>
        <v>11900</v>
      </c>
      <c r="I1113" s="8" t="e">
        <f t="shared" si="67"/>
        <v>#DIV/0!</v>
      </c>
      <c r="J1113" s="8" t="e">
        <f t="shared" si="70"/>
        <v>#DIV/0!</v>
      </c>
      <c r="K1113" s="8">
        <f t="shared" si="68"/>
        <v>-1</v>
      </c>
    </row>
    <row r="1114" spans="1:11" x14ac:dyDescent="0.25">
      <c r="A1114" t="str">
        <f t="shared" si="69"/>
        <v>11900</v>
      </c>
      <c r="I1114" s="8" t="e">
        <f t="shared" si="67"/>
        <v>#DIV/0!</v>
      </c>
      <c r="J1114" s="8" t="e">
        <f t="shared" si="70"/>
        <v>#DIV/0!</v>
      </c>
      <c r="K1114" s="8">
        <f t="shared" si="68"/>
        <v>-1</v>
      </c>
    </row>
    <row r="1115" spans="1:11" x14ac:dyDescent="0.25">
      <c r="A1115" t="str">
        <f t="shared" si="69"/>
        <v>11900</v>
      </c>
      <c r="I1115" s="8" t="e">
        <f t="shared" si="67"/>
        <v>#DIV/0!</v>
      </c>
      <c r="J1115" s="8" t="e">
        <f t="shared" si="70"/>
        <v>#DIV/0!</v>
      </c>
      <c r="K1115" s="8">
        <f t="shared" si="68"/>
        <v>-1</v>
      </c>
    </row>
    <row r="1116" spans="1:11" x14ac:dyDescent="0.25">
      <c r="A1116" t="str">
        <f t="shared" si="69"/>
        <v>11900</v>
      </c>
      <c r="I1116" s="8" t="e">
        <f t="shared" si="67"/>
        <v>#DIV/0!</v>
      </c>
      <c r="J1116" s="8" t="e">
        <f t="shared" si="70"/>
        <v>#DIV/0!</v>
      </c>
      <c r="K1116" s="8">
        <f t="shared" si="68"/>
        <v>-1</v>
      </c>
    </row>
    <row r="1117" spans="1:11" x14ac:dyDescent="0.25">
      <c r="A1117" t="str">
        <f t="shared" si="69"/>
        <v>11900</v>
      </c>
      <c r="I1117" s="8" t="e">
        <f t="shared" si="67"/>
        <v>#DIV/0!</v>
      </c>
      <c r="J1117" s="8" t="e">
        <f t="shared" si="70"/>
        <v>#DIV/0!</v>
      </c>
      <c r="K1117" s="8">
        <f t="shared" si="68"/>
        <v>-1</v>
      </c>
    </row>
    <row r="1118" spans="1:11" x14ac:dyDescent="0.25">
      <c r="A1118" t="str">
        <f t="shared" si="69"/>
        <v>11900</v>
      </c>
      <c r="I1118" s="8" t="e">
        <f t="shared" si="67"/>
        <v>#DIV/0!</v>
      </c>
      <c r="J1118" s="8" t="e">
        <f t="shared" si="70"/>
        <v>#DIV/0!</v>
      </c>
      <c r="K1118" s="8">
        <f t="shared" si="68"/>
        <v>-1</v>
      </c>
    </row>
    <row r="1119" spans="1:11" x14ac:dyDescent="0.25">
      <c r="A1119" t="str">
        <f t="shared" si="69"/>
        <v>11900</v>
      </c>
      <c r="I1119" s="8" t="e">
        <f t="shared" si="67"/>
        <v>#DIV/0!</v>
      </c>
      <c r="J1119" s="8" t="e">
        <f t="shared" si="70"/>
        <v>#DIV/0!</v>
      </c>
      <c r="K1119" s="8">
        <f t="shared" si="68"/>
        <v>-1</v>
      </c>
    </row>
    <row r="1120" spans="1:11" x14ac:dyDescent="0.25">
      <c r="A1120" t="str">
        <f t="shared" si="69"/>
        <v>11900</v>
      </c>
      <c r="I1120" s="8" t="e">
        <f t="shared" si="67"/>
        <v>#DIV/0!</v>
      </c>
      <c r="J1120" s="8" t="e">
        <f t="shared" si="70"/>
        <v>#DIV/0!</v>
      </c>
      <c r="K1120" s="8">
        <f t="shared" si="68"/>
        <v>-1</v>
      </c>
    </row>
    <row r="1121" spans="1:11" x14ac:dyDescent="0.25">
      <c r="A1121" t="str">
        <f t="shared" si="69"/>
        <v>11900</v>
      </c>
      <c r="I1121" s="8" t="e">
        <f t="shared" si="67"/>
        <v>#DIV/0!</v>
      </c>
      <c r="J1121" s="8" t="e">
        <f t="shared" si="70"/>
        <v>#DIV/0!</v>
      </c>
      <c r="K1121" s="8">
        <f t="shared" si="68"/>
        <v>-1</v>
      </c>
    </row>
    <row r="1122" spans="1:11" x14ac:dyDescent="0.25">
      <c r="A1122" t="str">
        <f t="shared" si="69"/>
        <v>11900</v>
      </c>
      <c r="I1122" s="8" t="e">
        <f t="shared" si="67"/>
        <v>#DIV/0!</v>
      </c>
      <c r="J1122" s="8" t="e">
        <f t="shared" si="70"/>
        <v>#DIV/0!</v>
      </c>
      <c r="K1122" s="8">
        <f t="shared" si="68"/>
        <v>-1</v>
      </c>
    </row>
    <row r="1123" spans="1:11" x14ac:dyDescent="0.25">
      <c r="A1123" t="str">
        <f t="shared" si="69"/>
        <v>11900</v>
      </c>
      <c r="I1123" s="8" t="e">
        <f t="shared" si="67"/>
        <v>#DIV/0!</v>
      </c>
      <c r="J1123" s="8" t="e">
        <f t="shared" si="70"/>
        <v>#DIV/0!</v>
      </c>
      <c r="K1123" s="8">
        <f t="shared" si="68"/>
        <v>-1</v>
      </c>
    </row>
    <row r="1124" spans="1:11" x14ac:dyDescent="0.25">
      <c r="A1124" t="str">
        <f t="shared" si="69"/>
        <v>11900</v>
      </c>
      <c r="I1124" s="8" t="e">
        <f t="shared" si="67"/>
        <v>#DIV/0!</v>
      </c>
      <c r="J1124" s="8" t="e">
        <f t="shared" si="70"/>
        <v>#DIV/0!</v>
      </c>
      <c r="K1124" s="8">
        <f t="shared" si="68"/>
        <v>-1</v>
      </c>
    </row>
    <row r="1125" spans="1:11" x14ac:dyDescent="0.25">
      <c r="A1125" t="str">
        <f t="shared" si="69"/>
        <v>11900</v>
      </c>
      <c r="I1125" s="8" t="e">
        <f t="shared" si="67"/>
        <v>#DIV/0!</v>
      </c>
      <c r="J1125" s="8" t="e">
        <f t="shared" si="70"/>
        <v>#DIV/0!</v>
      </c>
      <c r="K1125" s="8">
        <f t="shared" si="68"/>
        <v>-1</v>
      </c>
    </row>
    <row r="1126" spans="1:11" x14ac:dyDescent="0.25">
      <c r="A1126" t="str">
        <f t="shared" si="69"/>
        <v>11900</v>
      </c>
      <c r="I1126" s="8" t="e">
        <f t="shared" si="67"/>
        <v>#DIV/0!</v>
      </c>
      <c r="J1126" s="8" t="e">
        <f t="shared" si="70"/>
        <v>#DIV/0!</v>
      </c>
      <c r="K1126" s="8">
        <f t="shared" si="68"/>
        <v>-1</v>
      </c>
    </row>
    <row r="1127" spans="1:11" x14ac:dyDescent="0.25">
      <c r="A1127" t="str">
        <f t="shared" si="69"/>
        <v>11900</v>
      </c>
      <c r="I1127" s="8" t="e">
        <f t="shared" si="67"/>
        <v>#DIV/0!</v>
      </c>
      <c r="J1127" s="8" t="e">
        <f t="shared" si="70"/>
        <v>#DIV/0!</v>
      </c>
      <c r="K1127" s="8">
        <f t="shared" si="68"/>
        <v>-1</v>
      </c>
    </row>
    <row r="1128" spans="1:11" x14ac:dyDescent="0.25">
      <c r="A1128" t="str">
        <f t="shared" si="69"/>
        <v>11900</v>
      </c>
      <c r="I1128" s="8" t="e">
        <f t="shared" si="67"/>
        <v>#DIV/0!</v>
      </c>
      <c r="J1128" s="8" t="e">
        <f t="shared" si="70"/>
        <v>#DIV/0!</v>
      </c>
      <c r="K1128" s="8">
        <f t="shared" si="68"/>
        <v>-1</v>
      </c>
    </row>
    <row r="1129" spans="1:11" x14ac:dyDescent="0.25">
      <c r="A1129" t="str">
        <f t="shared" si="69"/>
        <v>11900</v>
      </c>
      <c r="I1129" s="8" t="e">
        <f t="shared" si="67"/>
        <v>#DIV/0!</v>
      </c>
      <c r="J1129" s="8" t="e">
        <f t="shared" si="70"/>
        <v>#DIV/0!</v>
      </c>
      <c r="K1129" s="8">
        <f t="shared" si="68"/>
        <v>-1</v>
      </c>
    </row>
    <row r="1130" spans="1:11" x14ac:dyDescent="0.25">
      <c r="A1130" t="str">
        <f t="shared" si="69"/>
        <v>11900</v>
      </c>
      <c r="I1130" s="8" t="e">
        <f t="shared" si="67"/>
        <v>#DIV/0!</v>
      </c>
      <c r="J1130" s="8" t="e">
        <f t="shared" si="70"/>
        <v>#DIV/0!</v>
      </c>
      <c r="K1130" s="8">
        <f t="shared" si="68"/>
        <v>-1</v>
      </c>
    </row>
    <row r="1131" spans="1:11" x14ac:dyDescent="0.25">
      <c r="A1131" t="str">
        <f t="shared" si="69"/>
        <v>11900</v>
      </c>
      <c r="I1131" s="8" t="e">
        <f t="shared" si="67"/>
        <v>#DIV/0!</v>
      </c>
      <c r="J1131" s="8" t="e">
        <f t="shared" si="70"/>
        <v>#DIV/0!</v>
      </c>
      <c r="K1131" s="8">
        <f t="shared" si="68"/>
        <v>-1</v>
      </c>
    </row>
    <row r="1132" spans="1:11" x14ac:dyDescent="0.25">
      <c r="A1132" t="str">
        <f t="shared" si="69"/>
        <v>11900</v>
      </c>
      <c r="I1132" s="8" t="e">
        <f t="shared" si="67"/>
        <v>#DIV/0!</v>
      </c>
      <c r="J1132" s="8" t="e">
        <f t="shared" si="70"/>
        <v>#DIV/0!</v>
      </c>
      <c r="K1132" s="8">
        <f t="shared" si="68"/>
        <v>-1</v>
      </c>
    </row>
    <row r="1133" spans="1:11" x14ac:dyDescent="0.25">
      <c r="A1133" t="str">
        <f t="shared" si="69"/>
        <v>11900</v>
      </c>
      <c r="I1133" s="8" t="e">
        <f t="shared" si="67"/>
        <v>#DIV/0!</v>
      </c>
      <c r="J1133" s="8" t="e">
        <f t="shared" si="70"/>
        <v>#DIV/0!</v>
      </c>
      <c r="K1133" s="8">
        <f t="shared" si="68"/>
        <v>-1</v>
      </c>
    </row>
    <row r="1134" spans="1:11" x14ac:dyDescent="0.25">
      <c r="A1134" t="str">
        <f t="shared" si="69"/>
        <v>11900</v>
      </c>
      <c r="I1134" s="8" t="e">
        <f t="shared" si="67"/>
        <v>#DIV/0!</v>
      </c>
      <c r="J1134" s="8" t="e">
        <f t="shared" si="70"/>
        <v>#DIV/0!</v>
      </c>
      <c r="K1134" s="8">
        <f t="shared" si="68"/>
        <v>-1</v>
      </c>
    </row>
    <row r="1135" spans="1:11" x14ac:dyDescent="0.25">
      <c r="A1135" t="str">
        <f t="shared" si="69"/>
        <v>11900</v>
      </c>
      <c r="I1135" s="8" t="e">
        <f t="shared" si="67"/>
        <v>#DIV/0!</v>
      </c>
      <c r="J1135" s="8" t="e">
        <f t="shared" si="70"/>
        <v>#DIV/0!</v>
      </c>
      <c r="K1135" s="8">
        <f t="shared" si="68"/>
        <v>-1</v>
      </c>
    </row>
    <row r="1136" spans="1:11" x14ac:dyDescent="0.25">
      <c r="A1136" t="str">
        <f t="shared" si="69"/>
        <v>11900</v>
      </c>
      <c r="I1136" s="8" t="e">
        <f t="shared" si="67"/>
        <v>#DIV/0!</v>
      </c>
      <c r="J1136" s="8" t="e">
        <f t="shared" si="70"/>
        <v>#DIV/0!</v>
      </c>
      <c r="K1136" s="8">
        <f t="shared" si="68"/>
        <v>-1</v>
      </c>
    </row>
    <row r="1137" spans="1:11" x14ac:dyDescent="0.25">
      <c r="A1137" t="str">
        <f t="shared" si="69"/>
        <v>11900</v>
      </c>
      <c r="I1137" s="8" t="e">
        <f t="shared" si="67"/>
        <v>#DIV/0!</v>
      </c>
      <c r="J1137" s="8" t="e">
        <f t="shared" si="70"/>
        <v>#DIV/0!</v>
      </c>
      <c r="K1137" s="8">
        <f t="shared" si="68"/>
        <v>-1</v>
      </c>
    </row>
    <row r="1138" spans="1:11" x14ac:dyDescent="0.25">
      <c r="A1138" t="str">
        <f t="shared" si="69"/>
        <v>11900</v>
      </c>
      <c r="I1138" s="8" t="e">
        <f t="shared" si="67"/>
        <v>#DIV/0!</v>
      </c>
      <c r="J1138" s="8" t="e">
        <f t="shared" si="70"/>
        <v>#DIV/0!</v>
      </c>
      <c r="K1138" s="8">
        <f t="shared" si="68"/>
        <v>-1</v>
      </c>
    </row>
    <row r="1139" spans="1:11" x14ac:dyDescent="0.25">
      <c r="A1139" t="str">
        <f t="shared" si="69"/>
        <v>11900</v>
      </c>
      <c r="I1139" s="8" t="e">
        <f t="shared" si="67"/>
        <v>#DIV/0!</v>
      </c>
      <c r="J1139" s="8" t="e">
        <f t="shared" si="70"/>
        <v>#DIV/0!</v>
      </c>
      <c r="K1139" s="8">
        <f t="shared" si="68"/>
        <v>-1</v>
      </c>
    </row>
    <row r="1140" spans="1:11" x14ac:dyDescent="0.25">
      <c r="A1140" t="str">
        <f t="shared" si="69"/>
        <v>11900</v>
      </c>
      <c r="I1140" s="8" t="e">
        <f t="shared" si="67"/>
        <v>#DIV/0!</v>
      </c>
      <c r="J1140" s="8" t="e">
        <f t="shared" si="70"/>
        <v>#DIV/0!</v>
      </c>
      <c r="K1140" s="8">
        <f t="shared" si="68"/>
        <v>-1</v>
      </c>
    </row>
    <row r="1141" spans="1:11" x14ac:dyDescent="0.25">
      <c r="A1141" t="str">
        <f t="shared" si="69"/>
        <v>11900</v>
      </c>
      <c r="I1141" s="8" t="e">
        <f t="shared" si="67"/>
        <v>#DIV/0!</v>
      </c>
      <c r="J1141" s="8" t="e">
        <f t="shared" si="70"/>
        <v>#DIV/0!</v>
      </c>
      <c r="K1141" s="8" t="e">
        <f t="shared" si="68"/>
        <v>#DIV/0!</v>
      </c>
    </row>
    <row r="1142" spans="1:11" x14ac:dyDescent="0.25">
      <c r="A1142" t="str">
        <f t="shared" si="69"/>
        <v>11900</v>
      </c>
      <c r="I1142" s="8" t="e">
        <f t="shared" si="67"/>
        <v>#DIV/0!</v>
      </c>
      <c r="J1142" s="8" t="e">
        <f t="shared" si="70"/>
        <v>#DIV/0!</v>
      </c>
      <c r="K1142" s="8" t="e">
        <f t="shared" si="68"/>
        <v>#DIV/0!</v>
      </c>
    </row>
    <row r="1143" spans="1:11" x14ac:dyDescent="0.25">
      <c r="A1143" t="str">
        <f t="shared" si="69"/>
        <v>11900</v>
      </c>
      <c r="I1143" s="8" t="e">
        <f t="shared" si="67"/>
        <v>#DIV/0!</v>
      </c>
      <c r="J1143" s="8" t="e">
        <f t="shared" si="70"/>
        <v>#DIV/0!</v>
      </c>
      <c r="K1143" s="8" t="e">
        <f t="shared" si="68"/>
        <v>#DIV/0!</v>
      </c>
    </row>
    <row r="1144" spans="1:11" x14ac:dyDescent="0.25">
      <c r="A1144" t="str">
        <f t="shared" si="69"/>
        <v>11900</v>
      </c>
      <c r="I1144" s="8" t="e">
        <f t="shared" ref="I1144:I1207" si="71">+G1144/G1143-1</f>
        <v>#DIV/0!</v>
      </c>
      <c r="J1144" s="8" t="e">
        <f t="shared" si="70"/>
        <v>#DIV/0!</v>
      </c>
      <c r="K1144" s="8" t="e">
        <f t="shared" si="68"/>
        <v>#DIV/0!</v>
      </c>
    </row>
    <row r="1145" spans="1:11" x14ac:dyDescent="0.25">
      <c r="A1145" t="str">
        <f t="shared" si="69"/>
        <v>11900</v>
      </c>
      <c r="I1145" s="8" t="e">
        <f t="shared" si="71"/>
        <v>#DIV/0!</v>
      </c>
      <c r="J1145" s="8" t="e">
        <f t="shared" si="70"/>
        <v>#DIV/0!</v>
      </c>
      <c r="K1145" s="8" t="e">
        <f t="shared" si="68"/>
        <v>#DIV/0!</v>
      </c>
    </row>
    <row r="1146" spans="1:11" x14ac:dyDescent="0.25">
      <c r="A1146" t="str">
        <f t="shared" si="69"/>
        <v>11900</v>
      </c>
      <c r="I1146" s="8" t="e">
        <f t="shared" si="71"/>
        <v>#DIV/0!</v>
      </c>
      <c r="J1146" s="8" t="e">
        <f t="shared" si="70"/>
        <v>#DIV/0!</v>
      </c>
      <c r="K1146" s="8" t="e">
        <f t="shared" si="68"/>
        <v>#DIV/0!</v>
      </c>
    </row>
    <row r="1147" spans="1:11" x14ac:dyDescent="0.25">
      <c r="A1147" t="str">
        <f t="shared" si="69"/>
        <v>11900</v>
      </c>
      <c r="I1147" s="8" t="e">
        <f t="shared" si="71"/>
        <v>#DIV/0!</v>
      </c>
      <c r="J1147" s="8" t="e">
        <f t="shared" si="70"/>
        <v>#DIV/0!</v>
      </c>
      <c r="K1147" s="8" t="e">
        <f t="shared" si="68"/>
        <v>#DIV/0!</v>
      </c>
    </row>
    <row r="1148" spans="1:11" x14ac:dyDescent="0.25">
      <c r="A1148" t="str">
        <f t="shared" si="69"/>
        <v>11900</v>
      </c>
      <c r="I1148" s="8" t="e">
        <f t="shared" si="71"/>
        <v>#DIV/0!</v>
      </c>
      <c r="J1148" s="8" t="e">
        <f t="shared" si="70"/>
        <v>#DIV/0!</v>
      </c>
      <c r="K1148" s="8" t="e">
        <f t="shared" si="68"/>
        <v>#DIV/0!</v>
      </c>
    </row>
    <row r="1149" spans="1:11" x14ac:dyDescent="0.25">
      <c r="A1149" t="str">
        <f t="shared" si="69"/>
        <v>11900</v>
      </c>
      <c r="I1149" s="8" t="e">
        <f t="shared" si="71"/>
        <v>#DIV/0!</v>
      </c>
      <c r="J1149" s="8" t="e">
        <f t="shared" si="70"/>
        <v>#DIV/0!</v>
      </c>
      <c r="K1149" s="8" t="e">
        <f t="shared" si="68"/>
        <v>#DIV/0!</v>
      </c>
    </row>
    <row r="1150" spans="1:11" x14ac:dyDescent="0.25">
      <c r="A1150" t="str">
        <f t="shared" si="69"/>
        <v>11900</v>
      </c>
      <c r="I1150" s="8" t="e">
        <f t="shared" si="71"/>
        <v>#DIV/0!</v>
      </c>
      <c r="J1150" s="8" t="e">
        <f t="shared" si="70"/>
        <v>#DIV/0!</v>
      </c>
      <c r="K1150" s="8" t="e">
        <f t="shared" si="68"/>
        <v>#DIV/0!</v>
      </c>
    </row>
    <row r="1151" spans="1:11" x14ac:dyDescent="0.25">
      <c r="A1151" t="str">
        <f t="shared" si="69"/>
        <v>11900</v>
      </c>
      <c r="I1151" s="8" t="e">
        <f t="shared" si="71"/>
        <v>#DIV/0!</v>
      </c>
      <c r="J1151" s="8" t="e">
        <f t="shared" si="70"/>
        <v>#DIV/0!</v>
      </c>
      <c r="K1151" s="8" t="e">
        <f t="shared" si="68"/>
        <v>#DIV/0!</v>
      </c>
    </row>
    <row r="1152" spans="1:11" x14ac:dyDescent="0.25">
      <c r="A1152" t="str">
        <f t="shared" si="69"/>
        <v>11900</v>
      </c>
      <c r="I1152" s="8" t="e">
        <f t="shared" si="71"/>
        <v>#DIV/0!</v>
      </c>
      <c r="J1152" s="8" t="e">
        <f t="shared" si="70"/>
        <v>#DIV/0!</v>
      </c>
      <c r="K1152" s="8" t="e">
        <f t="shared" ref="K1152:K1215" si="72">+G1152/G1091-1</f>
        <v>#DIV/0!</v>
      </c>
    </row>
    <row r="1153" spans="1:11" x14ac:dyDescent="0.25">
      <c r="A1153" t="str">
        <f t="shared" si="69"/>
        <v>11900</v>
      </c>
      <c r="I1153" s="8" t="e">
        <f t="shared" si="71"/>
        <v>#DIV/0!</v>
      </c>
      <c r="J1153" s="8" t="e">
        <f t="shared" si="70"/>
        <v>#DIV/0!</v>
      </c>
      <c r="K1153" s="8" t="e">
        <f t="shared" si="72"/>
        <v>#DIV/0!</v>
      </c>
    </row>
    <row r="1154" spans="1:11" x14ac:dyDescent="0.25">
      <c r="A1154" t="str">
        <f t="shared" si="69"/>
        <v>11900</v>
      </c>
      <c r="I1154" s="8" t="e">
        <f t="shared" si="71"/>
        <v>#DIV/0!</v>
      </c>
      <c r="J1154" s="8" t="e">
        <f t="shared" si="70"/>
        <v>#DIV/0!</v>
      </c>
      <c r="K1154" s="8" t="e">
        <f t="shared" si="72"/>
        <v>#DIV/0!</v>
      </c>
    </row>
    <row r="1155" spans="1:11" x14ac:dyDescent="0.25">
      <c r="A1155" t="str">
        <f t="shared" ref="A1155:A1218" si="73">+MONTH(B1155)&amp;YEAR(B1155)</f>
        <v>11900</v>
      </c>
      <c r="I1155" s="8" t="e">
        <f t="shared" si="71"/>
        <v>#DIV/0!</v>
      </c>
      <c r="J1155" s="8" t="e">
        <f t="shared" si="70"/>
        <v>#DIV/0!</v>
      </c>
      <c r="K1155" s="8" t="e">
        <f t="shared" si="72"/>
        <v>#DIV/0!</v>
      </c>
    </row>
    <row r="1156" spans="1:11" x14ac:dyDescent="0.25">
      <c r="A1156" t="str">
        <f t="shared" si="73"/>
        <v>11900</v>
      </c>
      <c r="I1156" s="8" t="e">
        <f t="shared" si="71"/>
        <v>#DIV/0!</v>
      </c>
      <c r="J1156" s="8" t="e">
        <f t="shared" ref="J1156:J1219" si="74">+LN(1+I1156)</f>
        <v>#DIV/0!</v>
      </c>
      <c r="K1156" s="8" t="e">
        <f t="shared" si="72"/>
        <v>#DIV/0!</v>
      </c>
    </row>
    <row r="1157" spans="1:11" x14ac:dyDescent="0.25">
      <c r="A1157" t="str">
        <f t="shared" si="73"/>
        <v>11900</v>
      </c>
      <c r="I1157" s="8" t="e">
        <f t="shared" si="71"/>
        <v>#DIV/0!</v>
      </c>
      <c r="J1157" s="8" t="e">
        <f t="shared" si="74"/>
        <v>#DIV/0!</v>
      </c>
      <c r="K1157" s="8" t="e">
        <f t="shared" si="72"/>
        <v>#DIV/0!</v>
      </c>
    </row>
    <row r="1158" spans="1:11" x14ac:dyDescent="0.25">
      <c r="A1158" t="str">
        <f t="shared" si="73"/>
        <v>11900</v>
      </c>
      <c r="I1158" s="8" t="e">
        <f t="shared" si="71"/>
        <v>#DIV/0!</v>
      </c>
      <c r="J1158" s="8" t="e">
        <f t="shared" si="74"/>
        <v>#DIV/0!</v>
      </c>
      <c r="K1158" s="8" t="e">
        <f t="shared" si="72"/>
        <v>#DIV/0!</v>
      </c>
    </row>
    <row r="1159" spans="1:11" x14ac:dyDescent="0.25">
      <c r="A1159" t="str">
        <f t="shared" si="73"/>
        <v>11900</v>
      </c>
      <c r="I1159" s="8" t="e">
        <f t="shared" si="71"/>
        <v>#DIV/0!</v>
      </c>
      <c r="J1159" s="8" t="e">
        <f t="shared" si="74"/>
        <v>#DIV/0!</v>
      </c>
      <c r="K1159" s="8" t="e">
        <f t="shared" si="72"/>
        <v>#DIV/0!</v>
      </c>
    </row>
    <row r="1160" spans="1:11" x14ac:dyDescent="0.25">
      <c r="A1160" t="str">
        <f t="shared" si="73"/>
        <v>11900</v>
      </c>
      <c r="I1160" s="8" t="e">
        <f t="shared" si="71"/>
        <v>#DIV/0!</v>
      </c>
      <c r="J1160" s="8" t="e">
        <f t="shared" si="74"/>
        <v>#DIV/0!</v>
      </c>
      <c r="K1160" s="8" t="e">
        <f t="shared" si="72"/>
        <v>#DIV/0!</v>
      </c>
    </row>
    <row r="1161" spans="1:11" x14ac:dyDescent="0.25">
      <c r="A1161" t="str">
        <f t="shared" si="73"/>
        <v>11900</v>
      </c>
      <c r="I1161" s="8" t="e">
        <f t="shared" si="71"/>
        <v>#DIV/0!</v>
      </c>
      <c r="J1161" s="8" t="e">
        <f t="shared" si="74"/>
        <v>#DIV/0!</v>
      </c>
      <c r="K1161" s="8" t="e">
        <f t="shared" si="72"/>
        <v>#DIV/0!</v>
      </c>
    </row>
    <row r="1162" spans="1:11" x14ac:dyDescent="0.25">
      <c r="A1162" t="str">
        <f t="shared" si="73"/>
        <v>11900</v>
      </c>
      <c r="I1162" s="8" t="e">
        <f t="shared" si="71"/>
        <v>#DIV/0!</v>
      </c>
      <c r="J1162" s="8" t="e">
        <f t="shared" si="74"/>
        <v>#DIV/0!</v>
      </c>
      <c r="K1162" s="8" t="e">
        <f t="shared" si="72"/>
        <v>#DIV/0!</v>
      </c>
    </row>
    <row r="1163" spans="1:11" x14ac:dyDescent="0.25">
      <c r="A1163" t="str">
        <f t="shared" si="73"/>
        <v>11900</v>
      </c>
      <c r="I1163" s="8" t="e">
        <f t="shared" si="71"/>
        <v>#DIV/0!</v>
      </c>
      <c r="J1163" s="8" t="e">
        <f t="shared" si="74"/>
        <v>#DIV/0!</v>
      </c>
      <c r="K1163" s="8" t="e">
        <f t="shared" si="72"/>
        <v>#DIV/0!</v>
      </c>
    </row>
    <row r="1164" spans="1:11" x14ac:dyDescent="0.25">
      <c r="A1164" t="str">
        <f t="shared" si="73"/>
        <v>11900</v>
      </c>
      <c r="I1164" s="8" t="e">
        <f t="shared" si="71"/>
        <v>#DIV/0!</v>
      </c>
      <c r="J1164" s="8" t="e">
        <f t="shared" si="74"/>
        <v>#DIV/0!</v>
      </c>
      <c r="K1164" s="8" t="e">
        <f t="shared" si="72"/>
        <v>#DIV/0!</v>
      </c>
    </row>
    <row r="1165" spans="1:11" x14ac:dyDescent="0.25">
      <c r="A1165" t="str">
        <f t="shared" si="73"/>
        <v>11900</v>
      </c>
      <c r="I1165" s="8" t="e">
        <f t="shared" si="71"/>
        <v>#DIV/0!</v>
      </c>
      <c r="J1165" s="8" t="e">
        <f t="shared" si="74"/>
        <v>#DIV/0!</v>
      </c>
      <c r="K1165" s="8" t="e">
        <f t="shared" si="72"/>
        <v>#DIV/0!</v>
      </c>
    </row>
    <row r="1166" spans="1:11" x14ac:dyDescent="0.25">
      <c r="A1166" t="str">
        <f t="shared" si="73"/>
        <v>11900</v>
      </c>
      <c r="I1166" s="8" t="e">
        <f t="shared" si="71"/>
        <v>#DIV/0!</v>
      </c>
      <c r="J1166" s="8" t="e">
        <f t="shared" si="74"/>
        <v>#DIV/0!</v>
      </c>
      <c r="K1166" s="8" t="e">
        <f t="shared" si="72"/>
        <v>#DIV/0!</v>
      </c>
    </row>
    <row r="1167" spans="1:11" x14ac:dyDescent="0.25">
      <c r="A1167" t="str">
        <f t="shared" si="73"/>
        <v>11900</v>
      </c>
      <c r="I1167" s="8" t="e">
        <f t="shared" si="71"/>
        <v>#DIV/0!</v>
      </c>
      <c r="J1167" s="8" t="e">
        <f t="shared" si="74"/>
        <v>#DIV/0!</v>
      </c>
      <c r="K1167" s="8" t="e">
        <f t="shared" si="72"/>
        <v>#DIV/0!</v>
      </c>
    </row>
    <row r="1168" spans="1:11" x14ac:dyDescent="0.25">
      <c r="A1168" t="str">
        <f t="shared" si="73"/>
        <v>11900</v>
      </c>
      <c r="I1168" s="8" t="e">
        <f t="shared" si="71"/>
        <v>#DIV/0!</v>
      </c>
      <c r="J1168" s="8" t="e">
        <f t="shared" si="74"/>
        <v>#DIV/0!</v>
      </c>
      <c r="K1168" s="8" t="e">
        <f t="shared" si="72"/>
        <v>#DIV/0!</v>
      </c>
    </row>
    <row r="1169" spans="1:11" x14ac:dyDescent="0.25">
      <c r="A1169" t="str">
        <f t="shared" si="73"/>
        <v>11900</v>
      </c>
      <c r="I1169" s="8" t="e">
        <f t="shared" si="71"/>
        <v>#DIV/0!</v>
      </c>
      <c r="J1169" s="8" t="e">
        <f t="shared" si="74"/>
        <v>#DIV/0!</v>
      </c>
      <c r="K1169" s="8" t="e">
        <f t="shared" si="72"/>
        <v>#DIV/0!</v>
      </c>
    </row>
    <row r="1170" spans="1:11" x14ac:dyDescent="0.25">
      <c r="A1170" t="str">
        <f t="shared" si="73"/>
        <v>11900</v>
      </c>
      <c r="I1170" s="8" t="e">
        <f t="shared" si="71"/>
        <v>#DIV/0!</v>
      </c>
      <c r="J1170" s="8" t="e">
        <f t="shared" si="74"/>
        <v>#DIV/0!</v>
      </c>
      <c r="K1170" s="8" t="e">
        <f t="shared" si="72"/>
        <v>#DIV/0!</v>
      </c>
    </row>
    <row r="1171" spans="1:11" x14ac:dyDescent="0.25">
      <c r="A1171" t="str">
        <f t="shared" si="73"/>
        <v>11900</v>
      </c>
      <c r="I1171" s="8" t="e">
        <f t="shared" si="71"/>
        <v>#DIV/0!</v>
      </c>
      <c r="J1171" s="8" t="e">
        <f t="shared" si="74"/>
        <v>#DIV/0!</v>
      </c>
      <c r="K1171" s="8" t="e">
        <f t="shared" si="72"/>
        <v>#DIV/0!</v>
      </c>
    </row>
    <row r="1172" spans="1:11" x14ac:dyDescent="0.25">
      <c r="A1172" t="str">
        <f t="shared" si="73"/>
        <v>11900</v>
      </c>
      <c r="I1172" s="8" t="e">
        <f t="shared" si="71"/>
        <v>#DIV/0!</v>
      </c>
      <c r="J1172" s="8" t="e">
        <f t="shared" si="74"/>
        <v>#DIV/0!</v>
      </c>
      <c r="K1172" s="8" t="e">
        <f t="shared" si="72"/>
        <v>#DIV/0!</v>
      </c>
    </row>
    <row r="1173" spans="1:11" x14ac:dyDescent="0.25">
      <c r="A1173" t="str">
        <f t="shared" si="73"/>
        <v>11900</v>
      </c>
      <c r="I1173" s="8" t="e">
        <f t="shared" si="71"/>
        <v>#DIV/0!</v>
      </c>
      <c r="J1173" s="8" t="e">
        <f t="shared" si="74"/>
        <v>#DIV/0!</v>
      </c>
      <c r="K1173" s="8" t="e">
        <f t="shared" si="72"/>
        <v>#DIV/0!</v>
      </c>
    </row>
    <row r="1174" spans="1:11" x14ac:dyDescent="0.25">
      <c r="A1174" t="str">
        <f t="shared" si="73"/>
        <v>11900</v>
      </c>
      <c r="I1174" s="8" t="e">
        <f t="shared" si="71"/>
        <v>#DIV/0!</v>
      </c>
      <c r="J1174" s="8" t="e">
        <f t="shared" si="74"/>
        <v>#DIV/0!</v>
      </c>
      <c r="K1174" s="8" t="e">
        <f t="shared" si="72"/>
        <v>#DIV/0!</v>
      </c>
    </row>
    <row r="1175" spans="1:11" x14ac:dyDescent="0.25">
      <c r="A1175" t="str">
        <f t="shared" si="73"/>
        <v>11900</v>
      </c>
      <c r="I1175" s="8" t="e">
        <f t="shared" si="71"/>
        <v>#DIV/0!</v>
      </c>
      <c r="J1175" s="8" t="e">
        <f t="shared" si="74"/>
        <v>#DIV/0!</v>
      </c>
      <c r="K1175" s="8" t="e">
        <f t="shared" si="72"/>
        <v>#DIV/0!</v>
      </c>
    </row>
    <row r="1176" spans="1:11" x14ac:dyDescent="0.25">
      <c r="A1176" t="str">
        <f t="shared" si="73"/>
        <v>11900</v>
      </c>
      <c r="I1176" s="8" t="e">
        <f t="shared" si="71"/>
        <v>#DIV/0!</v>
      </c>
      <c r="J1176" s="8" t="e">
        <f t="shared" si="74"/>
        <v>#DIV/0!</v>
      </c>
      <c r="K1176" s="8" t="e">
        <f t="shared" si="72"/>
        <v>#DIV/0!</v>
      </c>
    </row>
    <row r="1177" spans="1:11" x14ac:dyDescent="0.25">
      <c r="A1177" t="str">
        <f t="shared" si="73"/>
        <v>11900</v>
      </c>
      <c r="I1177" s="8" t="e">
        <f t="shared" si="71"/>
        <v>#DIV/0!</v>
      </c>
      <c r="J1177" s="8" t="e">
        <f t="shared" si="74"/>
        <v>#DIV/0!</v>
      </c>
      <c r="K1177" s="8" t="e">
        <f t="shared" si="72"/>
        <v>#DIV/0!</v>
      </c>
    </row>
    <row r="1178" spans="1:11" x14ac:dyDescent="0.25">
      <c r="A1178" t="str">
        <f t="shared" si="73"/>
        <v>11900</v>
      </c>
      <c r="I1178" s="8" t="e">
        <f t="shared" si="71"/>
        <v>#DIV/0!</v>
      </c>
      <c r="J1178" s="8" t="e">
        <f t="shared" si="74"/>
        <v>#DIV/0!</v>
      </c>
      <c r="K1178" s="8" t="e">
        <f t="shared" si="72"/>
        <v>#DIV/0!</v>
      </c>
    </row>
    <row r="1179" spans="1:11" x14ac:dyDescent="0.25">
      <c r="A1179" t="str">
        <f t="shared" si="73"/>
        <v>11900</v>
      </c>
      <c r="I1179" s="8" t="e">
        <f t="shared" si="71"/>
        <v>#DIV/0!</v>
      </c>
      <c r="J1179" s="8" t="e">
        <f t="shared" si="74"/>
        <v>#DIV/0!</v>
      </c>
      <c r="K1179" s="8" t="e">
        <f t="shared" si="72"/>
        <v>#DIV/0!</v>
      </c>
    </row>
    <row r="1180" spans="1:11" x14ac:dyDescent="0.25">
      <c r="A1180" t="str">
        <f t="shared" si="73"/>
        <v>11900</v>
      </c>
      <c r="I1180" s="8" t="e">
        <f t="shared" si="71"/>
        <v>#DIV/0!</v>
      </c>
      <c r="J1180" s="8" t="e">
        <f t="shared" si="74"/>
        <v>#DIV/0!</v>
      </c>
      <c r="K1180" s="8" t="e">
        <f t="shared" si="72"/>
        <v>#DIV/0!</v>
      </c>
    </row>
    <row r="1181" spans="1:11" x14ac:dyDescent="0.25">
      <c r="A1181" t="str">
        <f t="shared" si="73"/>
        <v>11900</v>
      </c>
      <c r="I1181" s="8" t="e">
        <f t="shared" si="71"/>
        <v>#DIV/0!</v>
      </c>
      <c r="J1181" s="8" t="e">
        <f t="shared" si="74"/>
        <v>#DIV/0!</v>
      </c>
      <c r="K1181" s="8" t="e">
        <f t="shared" si="72"/>
        <v>#DIV/0!</v>
      </c>
    </row>
    <row r="1182" spans="1:11" x14ac:dyDescent="0.25">
      <c r="A1182" t="str">
        <f t="shared" si="73"/>
        <v>11900</v>
      </c>
      <c r="I1182" s="8" t="e">
        <f t="shared" si="71"/>
        <v>#DIV/0!</v>
      </c>
      <c r="J1182" s="8" t="e">
        <f t="shared" si="74"/>
        <v>#DIV/0!</v>
      </c>
      <c r="K1182" s="8" t="e">
        <f t="shared" si="72"/>
        <v>#DIV/0!</v>
      </c>
    </row>
    <row r="1183" spans="1:11" x14ac:dyDescent="0.25">
      <c r="A1183" t="str">
        <f t="shared" si="73"/>
        <v>11900</v>
      </c>
      <c r="I1183" s="8" t="e">
        <f t="shared" si="71"/>
        <v>#DIV/0!</v>
      </c>
      <c r="J1183" s="8" t="e">
        <f t="shared" si="74"/>
        <v>#DIV/0!</v>
      </c>
      <c r="K1183" s="8" t="e">
        <f t="shared" si="72"/>
        <v>#DIV/0!</v>
      </c>
    </row>
    <row r="1184" spans="1:11" x14ac:dyDescent="0.25">
      <c r="A1184" t="str">
        <f t="shared" si="73"/>
        <v>11900</v>
      </c>
      <c r="I1184" s="8" t="e">
        <f t="shared" si="71"/>
        <v>#DIV/0!</v>
      </c>
      <c r="J1184" s="8" t="e">
        <f t="shared" si="74"/>
        <v>#DIV/0!</v>
      </c>
      <c r="K1184" s="8" t="e">
        <f t="shared" si="72"/>
        <v>#DIV/0!</v>
      </c>
    </row>
    <row r="1185" spans="1:11" x14ac:dyDescent="0.25">
      <c r="A1185" t="str">
        <f t="shared" si="73"/>
        <v>11900</v>
      </c>
      <c r="I1185" s="8" t="e">
        <f t="shared" si="71"/>
        <v>#DIV/0!</v>
      </c>
      <c r="J1185" s="8" t="e">
        <f t="shared" si="74"/>
        <v>#DIV/0!</v>
      </c>
      <c r="K1185" s="8" t="e">
        <f t="shared" si="72"/>
        <v>#DIV/0!</v>
      </c>
    </row>
    <row r="1186" spans="1:11" x14ac:dyDescent="0.25">
      <c r="A1186" t="str">
        <f t="shared" si="73"/>
        <v>11900</v>
      </c>
      <c r="I1186" s="8" t="e">
        <f t="shared" si="71"/>
        <v>#DIV/0!</v>
      </c>
      <c r="J1186" s="8" t="e">
        <f t="shared" si="74"/>
        <v>#DIV/0!</v>
      </c>
      <c r="K1186" s="8" t="e">
        <f t="shared" si="72"/>
        <v>#DIV/0!</v>
      </c>
    </row>
    <row r="1187" spans="1:11" x14ac:dyDescent="0.25">
      <c r="A1187" t="str">
        <f t="shared" si="73"/>
        <v>11900</v>
      </c>
      <c r="I1187" s="8" t="e">
        <f t="shared" si="71"/>
        <v>#DIV/0!</v>
      </c>
      <c r="J1187" s="8" t="e">
        <f t="shared" si="74"/>
        <v>#DIV/0!</v>
      </c>
      <c r="K1187" s="8" t="e">
        <f t="shared" si="72"/>
        <v>#DIV/0!</v>
      </c>
    </row>
    <row r="1188" spans="1:11" x14ac:dyDescent="0.25">
      <c r="A1188" t="str">
        <f t="shared" si="73"/>
        <v>11900</v>
      </c>
      <c r="I1188" s="8" t="e">
        <f t="shared" si="71"/>
        <v>#DIV/0!</v>
      </c>
      <c r="J1188" s="8" t="e">
        <f t="shared" si="74"/>
        <v>#DIV/0!</v>
      </c>
      <c r="K1188" s="8" t="e">
        <f t="shared" si="72"/>
        <v>#DIV/0!</v>
      </c>
    </row>
    <row r="1189" spans="1:11" x14ac:dyDescent="0.25">
      <c r="A1189" t="str">
        <f t="shared" si="73"/>
        <v>11900</v>
      </c>
      <c r="I1189" s="8" t="e">
        <f t="shared" si="71"/>
        <v>#DIV/0!</v>
      </c>
      <c r="J1189" s="8" t="e">
        <f t="shared" si="74"/>
        <v>#DIV/0!</v>
      </c>
      <c r="K1189" s="8" t="e">
        <f t="shared" si="72"/>
        <v>#DIV/0!</v>
      </c>
    </row>
    <row r="1190" spans="1:11" x14ac:dyDescent="0.25">
      <c r="A1190" t="str">
        <f t="shared" si="73"/>
        <v>11900</v>
      </c>
      <c r="I1190" s="8" t="e">
        <f t="shared" si="71"/>
        <v>#DIV/0!</v>
      </c>
      <c r="J1190" s="8" t="e">
        <f t="shared" si="74"/>
        <v>#DIV/0!</v>
      </c>
      <c r="K1190" s="8" t="e">
        <f t="shared" si="72"/>
        <v>#DIV/0!</v>
      </c>
    </row>
    <row r="1191" spans="1:11" x14ac:dyDescent="0.25">
      <c r="A1191" t="str">
        <f t="shared" si="73"/>
        <v>11900</v>
      </c>
      <c r="I1191" s="8" t="e">
        <f t="shared" si="71"/>
        <v>#DIV/0!</v>
      </c>
      <c r="J1191" s="8" t="e">
        <f t="shared" si="74"/>
        <v>#DIV/0!</v>
      </c>
      <c r="K1191" s="8" t="e">
        <f t="shared" si="72"/>
        <v>#DIV/0!</v>
      </c>
    </row>
    <row r="1192" spans="1:11" x14ac:dyDescent="0.25">
      <c r="A1192" t="str">
        <f t="shared" si="73"/>
        <v>11900</v>
      </c>
      <c r="I1192" s="8" t="e">
        <f t="shared" si="71"/>
        <v>#DIV/0!</v>
      </c>
      <c r="J1192" s="8" t="e">
        <f t="shared" si="74"/>
        <v>#DIV/0!</v>
      </c>
      <c r="K1192" s="8" t="e">
        <f t="shared" si="72"/>
        <v>#DIV/0!</v>
      </c>
    </row>
    <row r="1193" spans="1:11" x14ac:dyDescent="0.25">
      <c r="A1193" t="str">
        <f t="shared" si="73"/>
        <v>11900</v>
      </c>
      <c r="I1193" s="8" t="e">
        <f t="shared" si="71"/>
        <v>#DIV/0!</v>
      </c>
      <c r="J1193" s="8" t="e">
        <f t="shared" si="74"/>
        <v>#DIV/0!</v>
      </c>
      <c r="K1193" s="8" t="e">
        <f t="shared" si="72"/>
        <v>#DIV/0!</v>
      </c>
    </row>
    <row r="1194" spans="1:11" x14ac:dyDescent="0.25">
      <c r="A1194" t="str">
        <f t="shared" si="73"/>
        <v>11900</v>
      </c>
      <c r="I1194" s="8" t="e">
        <f t="shared" si="71"/>
        <v>#DIV/0!</v>
      </c>
      <c r="J1194" s="8" t="e">
        <f t="shared" si="74"/>
        <v>#DIV/0!</v>
      </c>
      <c r="K1194" s="8" t="e">
        <f t="shared" si="72"/>
        <v>#DIV/0!</v>
      </c>
    </row>
    <row r="1195" spans="1:11" x14ac:dyDescent="0.25">
      <c r="A1195" t="str">
        <f t="shared" si="73"/>
        <v>11900</v>
      </c>
      <c r="I1195" s="8" t="e">
        <f t="shared" si="71"/>
        <v>#DIV/0!</v>
      </c>
      <c r="J1195" s="8" t="e">
        <f t="shared" si="74"/>
        <v>#DIV/0!</v>
      </c>
      <c r="K1195" s="8" t="e">
        <f t="shared" si="72"/>
        <v>#DIV/0!</v>
      </c>
    </row>
    <row r="1196" spans="1:11" x14ac:dyDescent="0.25">
      <c r="A1196" t="str">
        <f t="shared" si="73"/>
        <v>11900</v>
      </c>
      <c r="I1196" s="8" t="e">
        <f t="shared" si="71"/>
        <v>#DIV/0!</v>
      </c>
      <c r="J1196" s="8" t="e">
        <f t="shared" si="74"/>
        <v>#DIV/0!</v>
      </c>
      <c r="K1196" s="8" t="e">
        <f t="shared" si="72"/>
        <v>#DIV/0!</v>
      </c>
    </row>
    <row r="1197" spans="1:11" x14ac:dyDescent="0.25">
      <c r="A1197" t="str">
        <f t="shared" si="73"/>
        <v>11900</v>
      </c>
      <c r="I1197" s="8" t="e">
        <f t="shared" si="71"/>
        <v>#DIV/0!</v>
      </c>
      <c r="J1197" s="8" t="e">
        <f t="shared" si="74"/>
        <v>#DIV/0!</v>
      </c>
      <c r="K1197" s="8" t="e">
        <f t="shared" si="72"/>
        <v>#DIV/0!</v>
      </c>
    </row>
    <row r="1198" spans="1:11" x14ac:dyDescent="0.25">
      <c r="A1198" t="str">
        <f t="shared" si="73"/>
        <v>11900</v>
      </c>
      <c r="I1198" s="8" t="e">
        <f t="shared" si="71"/>
        <v>#DIV/0!</v>
      </c>
      <c r="J1198" s="8" t="e">
        <f t="shared" si="74"/>
        <v>#DIV/0!</v>
      </c>
      <c r="K1198" s="8" t="e">
        <f t="shared" si="72"/>
        <v>#DIV/0!</v>
      </c>
    </row>
    <row r="1199" spans="1:11" x14ac:dyDescent="0.25">
      <c r="A1199" t="str">
        <f t="shared" si="73"/>
        <v>11900</v>
      </c>
      <c r="I1199" s="8" t="e">
        <f t="shared" si="71"/>
        <v>#DIV/0!</v>
      </c>
      <c r="J1199" s="8" t="e">
        <f t="shared" si="74"/>
        <v>#DIV/0!</v>
      </c>
      <c r="K1199" s="8" t="e">
        <f t="shared" si="72"/>
        <v>#DIV/0!</v>
      </c>
    </row>
    <row r="1200" spans="1:11" x14ac:dyDescent="0.25">
      <c r="A1200" t="str">
        <f t="shared" si="73"/>
        <v>11900</v>
      </c>
      <c r="I1200" s="8" t="e">
        <f t="shared" si="71"/>
        <v>#DIV/0!</v>
      </c>
      <c r="J1200" s="8" t="e">
        <f t="shared" si="74"/>
        <v>#DIV/0!</v>
      </c>
      <c r="K1200" s="8" t="e">
        <f t="shared" si="72"/>
        <v>#DIV/0!</v>
      </c>
    </row>
    <row r="1201" spans="1:11" x14ac:dyDescent="0.25">
      <c r="A1201" t="str">
        <f t="shared" si="73"/>
        <v>11900</v>
      </c>
      <c r="I1201" s="8" t="e">
        <f t="shared" si="71"/>
        <v>#DIV/0!</v>
      </c>
      <c r="J1201" s="8" t="e">
        <f t="shared" si="74"/>
        <v>#DIV/0!</v>
      </c>
      <c r="K1201" s="8" t="e">
        <f t="shared" si="72"/>
        <v>#DIV/0!</v>
      </c>
    </row>
    <row r="1202" spans="1:11" x14ac:dyDescent="0.25">
      <c r="A1202" t="str">
        <f t="shared" si="73"/>
        <v>11900</v>
      </c>
      <c r="I1202" s="8" t="e">
        <f t="shared" si="71"/>
        <v>#DIV/0!</v>
      </c>
      <c r="J1202" s="8" t="e">
        <f t="shared" si="74"/>
        <v>#DIV/0!</v>
      </c>
      <c r="K1202" s="8" t="e">
        <f t="shared" si="72"/>
        <v>#DIV/0!</v>
      </c>
    </row>
    <row r="1203" spans="1:11" x14ac:dyDescent="0.25">
      <c r="A1203" t="str">
        <f t="shared" si="73"/>
        <v>11900</v>
      </c>
      <c r="I1203" s="8" t="e">
        <f t="shared" si="71"/>
        <v>#DIV/0!</v>
      </c>
      <c r="J1203" s="8" t="e">
        <f t="shared" si="74"/>
        <v>#DIV/0!</v>
      </c>
      <c r="K1203" s="8" t="e">
        <f t="shared" si="72"/>
        <v>#DIV/0!</v>
      </c>
    </row>
    <row r="1204" spans="1:11" x14ac:dyDescent="0.25">
      <c r="A1204" t="str">
        <f t="shared" si="73"/>
        <v>11900</v>
      </c>
      <c r="I1204" s="8" t="e">
        <f t="shared" si="71"/>
        <v>#DIV/0!</v>
      </c>
      <c r="J1204" s="8" t="e">
        <f t="shared" si="74"/>
        <v>#DIV/0!</v>
      </c>
      <c r="K1204" s="8" t="e">
        <f t="shared" si="72"/>
        <v>#DIV/0!</v>
      </c>
    </row>
    <row r="1205" spans="1:11" x14ac:dyDescent="0.25">
      <c r="A1205" t="str">
        <f t="shared" si="73"/>
        <v>11900</v>
      </c>
      <c r="I1205" s="8" t="e">
        <f t="shared" si="71"/>
        <v>#DIV/0!</v>
      </c>
      <c r="J1205" s="8" t="e">
        <f t="shared" si="74"/>
        <v>#DIV/0!</v>
      </c>
      <c r="K1205" s="8" t="e">
        <f t="shared" si="72"/>
        <v>#DIV/0!</v>
      </c>
    </row>
    <row r="1206" spans="1:11" x14ac:dyDescent="0.25">
      <c r="A1206" t="str">
        <f t="shared" si="73"/>
        <v>11900</v>
      </c>
      <c r="I1206" s="8" t="e">
        <f t="shared" si="71"/>
        <v>#DIV/0!</v>
      </c>
      <c r="J1206" s="8" t="e">
        <f t="shared" si="74"/>
        <v>#DIV/0!</v>
      </c>
      <c r="K1206" s="8" t="e">
        <f t="shared" si="72"/>
        <v>#DIV/0!</v>
      </c>
    </row>
    <row r="1207" spans="1:11" x14ac:dyDescent="0.25">
      <c r="A1207" t="str">
        <f t="shared" si="73"/>
        <v>11900</v>
      </c>
      <c r="I1207" s="8" t="e">
        <f t="shared" si="71"/>
        <v>#DIV/0!</v>
      </c>
      <c r="J1207" s="8" t="e">
        <f t="shared" si="74"/>
        <v>#DIV/0!</v>
      </c>
      <c r="K1207" s="8" t="e">
        <f t="shared" si="72"/>
        <v>#DIV/0!</v>
      </c>
    </row>
    <row r="1208" spans="1:11" x14ac:dyDescent="0.25">
      <c r="A1208" t="str">
        <f t="shared" si="73"/>
        <v>11900</v>
      </c>
      <c r="I1208" s="8" t="e">
        <f t="shared" ref="I1208:I1238" si="75">+G1208/G1207-1</f>
        <v>#DIV/0!</v>
      </c>
      <c r="J1208" s="8" t="e">
        <f t="shared" si="74"/>
        <v>#DIV/0!</v>
      </c>
      <c r="K1208" s="8" t="e">
        <f t="shared" si="72"/>
        <v>#DIV/0!</v>
      </c>
    </row>
    <row r="1209" spans="1:11" x14ac:dyDescent="0.25">
      <c r="A1209" t="str">
        <f t="shared" si="73"/>
        <v>11900</v>
      </c>
      <c r="I1209" s="8" t="e">
        <f t="shared" si="75"/>
        <v>#DIV/0!</v>
      </c>
      <c r="J1209" s="8" t="e">
        <f t="shared" si="74"/>
        <v>#DIV/0!</v>
      </c>
      <c r="K1209" s="8" t="e">
        <f t="shared" si="72"/>
        <v>#DIV/0!</v>
      </c>
    </row>
    <row r="1210" spans="1:11" x14ac:dyDescent="0.25">
      <c r="A1210" t="str">
        <f t="shared" si="73"/>
        <v>11900</v>
      </c>
      <c r="I1210" s="8" t="e">
        <f t="shared" si="75"/>
        <v>#DIV/0!</v>
      </c>
      <c r="J1210" s="8" t="e">
        <f t="shared" si="74"/>
        <v>#DIV/0!</v>
      </c>
      <c r="K1210" s="8" t="e">
        <f t="shared" si="72"/>
        <v>#DIV/0!</v>
      </c>
    </row>
    <row r="1211" spans="1:11" x14ac:dyDescent="0.25">
      <c r="A1211" t="str">
        <f t="shared" si="73"/>
        <v>11900</v>
      </c>
      <c r="I1211" s="8" t="e">
        <f t="shared" si="75"/>
        <v>#DIV/0!</v>
      </c>
      <c r="J1211" s="8" t="e">
        <f t="shared" si="74"/>
        <v>#DIV/0!</v>
      </c>
      <c r="K1211" s="8" t="e">
        <f t="shared" si="72"/>
        <v>#DIV/0!</v>
      </c>
    </row>
    <row r="1212" spans="1:11" x14ac:dyDescent="0.25">
      <c r="A1212" t="str">
        <f t="shared" si="73"/>
        <v>11900</v>
      </c>
      <c r="I1212" s="8" t="e">
        <f t="shared" si="75"/>
        <v>#DIV/0!</v>
      </c>
      <c r="J1212" s="8" t="e">
        <f t="shared" si="74"/>
        <v>#DIV/0!</v>
      </c>
      <c r="K1212" s="8" t="e">
        <f t="shared" si="72"/>
        <v>#DIV/0!</v>
      </c>
    </row>
    <row r="1213" spans="1:11" x14ac:dyDescent="0.25">
      <c r="A1213" t="str">
        <f t="shared" si="73"/>
        <v>11900</v>
      </c>
      <c r="I1213" s="8" t="e">
        <f t="shared" si="75"/>
        <v>#DIV/0!</v>
      </c>
      <c r="J1213" s="8" t="e">
        <f t="shared" si="74"/>
        <v>#DIV/0!</v>
      </c>
      <c r="K1213" s="8" t="e">
        <f t="shared" si="72"/>
        <v>#DIV/0!</v>
      </c>
    </row>
    <row r="1214" spans="1:11" x14ac:dyDescent="0.25">
      <c r="A1214" t="str">
        <f t="shared" si="73"/>
        <v>11900</v>
      </c>
      <c r="I1214" s="8" t="e">
        <f t="shared" si="75"/>
        <v>#DIV/0!</v>
      </c>
      <c r="J1214" s="8" t="e">
        <f t="shared" si="74"/>
        <v>#DIV/0!</v>
      </c>
      <c r="K1214" s="8" t="e">
        <f t="shared" si="72"/>
        <v>#DIV/0!</v>
      </c>
    </row>
    <row r="1215" spans="1:11" x14ac:dyDescent="0.25">
      <c r="A1215" t="str">
        <f t="shared" si="73"/>
        <v>11900</v>
      </c>
      <c r="I1215" s="8" t="e">
        <f t="shared" si="75"/>
        <v>#DIV/0!</v>
      </c>
      <c r="J1215" s="8" t="e">
        <f t="shared" si="74"/>
        <v>#DIV/0!</v>
      </c>
      <c r="K1215" s="8" t="e">
        <f t="shared" si="72"/>
        <v>#DIV/0!</v>
      </c>
    </row>
    <row r="1216" spans="1:11" x14ac:dyDescent="0.25">
      <c r="A1216" t="str">
        <f t="shared" si="73"/>
        <v>11900</v>
      </c>
      <c r="I1216" s="8" t="e">
        <f t="shared" si="75"/>
        <v>#DIV/0!</v>
      </c>
      <c r="J1216" s="8" t="e">
        <f t="shared" si="74"/>
        <v>#DIV/0!</v>
      </c>
      <c r="K1216" s="8" t="e">
        <f t="shared" ref="K1216:K1238" si="76">+G1216/G1155-1</f>
        <v>#DIV/0!</v>
      </c>
    </row>
    <row r="1217" spans="1:11" x14ac:dyDescent="0.25">
      <c r="A1217" t="str">
        <f t="shared" si="73"/>
        <v>11900</v>
      </c>
      <c r="I1217" s="8" t="e">
        <f t="shared" si="75"/>
        <v>#DIV/0!</v>
      </c>
      <c r="J1217" s="8" t="e">
        <f t="shared" si="74"/>
        <v>#DIV/0!</v>
      </c>
      <c r="K1217" s="8" t="e">
        <f t="shared" si="76"/>
        <v>#DIV/0!</v>
      </c>
    </row>
    <row r="1218" spans="1:11" x14ac:dyDescent="0.25">
      <c r="A1218" t="str">
        <f t="shared" si="73"/>
        <v>11900</v>
      </c>
      <c r="I1218" s="8" t="e">
        <f t="shared" si="75"/>
        <v>#DIV/0!</v>
      </c>
      <c r="J1218" s="8" t="e">
        <f t="shared" si="74"/>
        <v>#DIV/0!</v>
      </c>
      <c r="K1218" s="8" t="e">
        <f t="shared" si="76"/>
        <v>#DIV/0!</v>
      </c>
    </row>
    <row r="1219" spans="1:11" x14ac:dyDescent="0.25">
      <c r="A1219" t="str">
        <f t="shared" ref="A1219:A1238" si="77">+MONTH(B1219)&amp;YEAR(B1219)</f>
        <v>11900</v>
      </c>
      <c r="I1219" s="8" t="e">
        <f t="shared" si="75"/>
        <v>#DIV/0!</v>
      </c>
      <c r="J1219" s="8" t="e">
        <f t="shared" si="74"/>
        <v>#DIV/0!</v>
      </c>
      <c r="K1219" s="8" t="e">
        <f t="shared" si="76"/>
        <v>#DIV/0!</v>
      </c>
    </row>
    <row r="1220" spans="1:11" x14ac:dyDescent="0.25">
      <c r="A1220" t="str">
        <f t="shared" si="77"/>
        <v>11900</v>
      </c>
      <c r="I1220" s="8" t="e">
        <f t="shared" si="75"/>
        <v>#DIV/0!</v>
      </c>
      <c r="J1220" s="8" t="e">
        <f t="shared" ref="J1220:J1238" si="78">+LN(1+I1220)</f>
        <v>#DIV/0!</v>
      </c>
      <c r="K1220" s="8" t="e">
        <f t="shared" si="76"/>
        <v>#DIV/0!</v>
      </c>
    </row>
    <row r="1221" spans="1:11" x14ac:dyDescent="0.25">
      <c r="A1221" t="str">
        <f t="shared" si="77"/>
        <v>11900</v>
      </c>
      <c r="I1221" s="8" t="e">
        <f t="shared" si="75"/>
        <v>#DIV/0!</v>
      </c>
      <c r="J1221" s="8" t="e">
        <f t="shared" si="78"/>
        <v>#DIV/0!</v>
      </c>
      <c r="K1221" s="8" t="e">
        <f t="shared" si="76"/>
        <v>#DIV/0!</v>
      </c>
    </row>
    <row r="1222" spans="1:11" x14ac:dyDescent="0.25">
      <c r="A1222" t="str">
        <f t="shared" si="77"/>
        <v>11900</v>
      </c>
      <c r="I1222" s="8" t="e">
        <f t="shared" si="75"/>
        <v>#DIV/0!</v>
      </c>
      <c r="J1222" s="8" t="e">
        <f t="shared" si="78"/>
        <v>#DIV/0!</v>
      </c>
      <c r="K1222" s="8" t="e">
        <f t="shared" si="76"/>
        <v>#DIV/0!</v>
      </c>
    </row>
    <row r="1223" spans="1:11" x14ac:dyDescent="0.25">
      <c r="A1223" t="str">
        <f t="shared" si="77"/>
        <v>11900</v>
      </c>
      <c r="I1223" s="8" t="e">
        <f t="shared" si="75"/>
        <v>#DIV/0!</v>
      </c>
      <c r="J1223" s="8" t="e">
        <f t="shared" si="78"/>
        <v>#DIV/0!</v>
      </c>
      <c r="K1223" s="8" t="e">
        <f t="shared" si="76"/>
        <v>#DIV/0!</v>
      </c>
    </row>
    <row r="1224" spans="1:11" x14ac:dyDescent="0.25">
      <c r="A1224" t="str">
        <f t="shared" si="77"/>
        <v>11900</v>
      </c>
      <c r="I1224" s="8" t="e">
        <f t="shared" si="75"/>
        <v>#DIV/0!</v>
      </c>
      <c r="J1224" s="8" t="e">
        <f t="shared" si="78"/>
        <v>#DIV/0!</v>
      </c>
      <c r="K1224" s="8" t="e">
        <f t="shared" si="76"/>
        <v>#DIV/0!</v>
      </c>
    </row>
    <row r="1225" spans="1:11" x14ac:dyDescent="0.25">
      <c r="A1225" t="str">
        <f t="shared" si="77"/>
        <v>11900</v>
      </c>
      <c r="I1225" s="8" t="e">
        <f t="shared" si="75"/>
        <v>#DIV/0!</v>
      </c>
      <c r="J1225" s="8" t="e">
        <f t="shared" si="78"/>
        <v>#DIV/0!</v>
      </c>
      <c r="K1225" s="8" t="e">
        <f t="shared" si="76"/>
        <v>#DIV/0!</v>
      </c>
    </row>
    <row r="1226" spans="1:11" x14ac:dyDescent="0.25">
      <c r="A1226" t="str">
        <f t="shared" si="77"/>
        <v>11900</v>
      </c>
      <c r="I1226" s="8" t="e">
        <f t="shared" si="75"/>
        <v>#DIV/0!</v>
      </c>
      <c r="J1226" s="8" t="e">
        <f t="shared" si="78"/>
        <v>#DIV/0!</v>
      </c>
      <c r="K1226" s="8" t="e">
        <f t="shared" si="76"/>
        <v>#DIV/0!</v>
      </c>
    </row>
    <row r="1227" spans="1:11" x14ac:dyDescent="0.25">
      <c r="A1227" t="str">
        <f t="shared" si="77"/>
        <v>11900</v>
      </c>
      <c r="I1227" s="8" t="e">
        <f t="shared" si="75"/>
        <v>#DIV/0!</v>
      </c>
      <c r="J1227" s="8" t="e">
        <f t="shared" si="78"/>
        <v>#DIV/0!</v>
      </c>
      <c r="K1227" s="8" t="e">
        <f t="shared" si="76"/>
        <v>#DIV/0!</v>
      </c>
    </row>
    <row r="1228" spans="1:11" x14ac:dyDescent="0.25">
      <c r="A1228" t="str">
        <f t="shared" si="77"/>
        <v>11900</v>
      </c>
      <c r="I1228" s="8" t="e">
        <f t="shared" si="75"/>
        <v>#DIV/0!</v>
      </c>
      <c r="J1228" s="8" t="e">
        <f t="shared" si="78"/>
        <v>#DIV/0!</v>
      </c>
      <c r="K1228" s="8" t="e">
        <f t="shared" si="76"/>
        <v>#DIV/0!</v>
      </c>
    </row>
    <row r="1229" spans="1:11" x14ac:dyDescent="0.25">
      <c r="A1229" t="str">
        <f t="shared" si="77"/>
        <v>11900</v>
      </c>
      <c r="I1229" s="8" t="e">
        <f t="shared" si="75"/>
        <v>#DIV/0!</v>
      </c>
      <c r="J1229" s="8" t="e">
        <f t="shared" si="78"/>
        <v>#DIV/0!</v>
      </c>
      <c r="K1229" s="8" t="e">
        <f t="shared" si="76"/>
        <v>#DIV/0!</v>
      </c>
    </row>
    <row r="1230" spans="1:11" x14ac:dyDescent="0.25">
      <c r="A1230" t="str">
        <f t="shared" si="77"/>
        <v>11900</v>
      </c>
      <c r="I1230" s="8" t="e">
        <f t="shared" si="75"/>
        <v>#DIV/0!</v>
      </c>
      <c r="J1230" s="8" t="e">
        <f t="shared" si="78"/>
        <v>#DIV/0!</v>
      </c>
      <c r="K1230" s="8" t="e">
        <f t="shared" si="76"/>
        <v>#DIV/0!</v>
      </c>
    </row>
    <row r="1231" spans="1:11" x14ac:dyDescent="0.25">
      <c r="A1231" t="str">
        <f t="shared" si="77"/>
        <v>11900</v>
      </c>
      <c r="I1231" s="8" t="e">
        <f t="shared" si="75"/>
        <v>#DIV/0!</v>
      </c>
      <c r="J1231" s="8" t="e">
        <f t="shared" si="78"/>
        <v>#DIV/0!</v>
      </c>
      <c r="K1231" s="8" t="e">
        <f t="shared" si="76"/>
        <v>#DIV/0!</v>
      </c>
    </row>
    <row r="1232" spans="1:11" x14ac:dyDescent="0.25">
      <c r="A1232" t="str">
        <f t="shared" si="77"/>
        <v>11900</v>
      </c>
      <c r="I1232" s="8" t="e">
        <f t="shared" si="75"/>
        <v>#DIV/0!</v>
      </c>
      <c r="J1232" s="8" t="e">
        <f t="shared" si="78"/>
        <v>#DIV/0!</v>
      </c>
      <c r="K1232" s="8" t="e">
        <f t="shared" si="76"/>
        <v>#DIV/0!</v>
      </c>
    </row>
    <row r="1233" spans="1:11" x14ac:dyDescent="0.25">
      <c r="A1233" t="str">
        <f t="shared" si="77"/>
        <v>11900</v>
      </c>
      <c r="I1233" s="8" t="e">
        <f t="shared" si="75"/>
        <v>#DIV/0!</v>
      </c>
      <c r="J1233" s="8" t="e">
        <f t="shared" si="78"/>
        <v>#DIV/0!</v>
      </c>
      <c r="K1233" s="8" t="e">
        <f t="shared" si="76"/>
        <v>#DIV/0!</v>
      </c>
    </row>
    <row r="1234" spans="1:11" x14ac:dyDescent="0.25">
      <c r="A1234" t="str">
        <f t="shared" si="77"/>
        <v>11900</v>
      </c>
      <c r="I1234" s="8" t="e">
        <f t="shared" si="75"/>
        <v>#DIV/0!</v>
      </c>
      <c r="J1234" s="8" t="e">
        <f t="shared" si="78"/>
        <v>#DIV/0!</v>
      </c>
      <c r="K1234" s="8" t="e">
        <f t="shared" si="76"/>
        <v>#DIV/0!</v>
      </c>
    </row>
    <row r="1235" spans="1:11" x14ac:dyDescent="0.25">
      <c r="A1235" t="str">
        <f t="shared" si="77"/>
        <v>11900</v>
      </c>
      <c r="I1235" s="8" t="e">
        <f t="shared" si="75"/>
        <v>#DIV/0!</v>
      </c>
      <c r="J1235" s="8" t="e">
        <f t="shared" si="78"/>
        <v>#DIV/0!</v>
      </c>
      <c r="K1235" s="8" t="e">
        <f t="shared" si="76"/>
        <v>#DIV/0!</v>
      </c>
    </row>
    <row r="1236" spans="1:11" x14ac:dyDescent="0.25">
      <c r="A1236" t="str">
        <f t="shared" si="77"/>
        <v>11900</v>
      </c>
      <c r="I1236" s="8" t="e">
        <f t="shared" si="75"/>
        <v>#DIV/0!</v>
      </c>
      <c r="J1236" s="8" t="e">
        <f t="shared" si="78"/>
        <v>#DIV/0!</v>
      </c>
      <c r="K1236" s="8" t="e">
        <f t="shared" si="76"/>
        <v>#DIV/0!</v>
      </c>
    </row>
    <row r="1237" spans="1:11" x14ac:dyDescent="0.25">
      <c r="A1237" t="str">
        <f t="shared" si="77"/>
        <v>11900</v>
      </c>
      <c r="I1237" s="8" t="e">
        <f t="shared" si="75"/>
        <v>#DIV/0!</v>
      </c>
      <c r="J1237" s="8" t="e">
        <f t="shared" si="78"/>
        <v>#DIV/0!</v>
      </c>
      <c r="K1237" s="8" t="e">
        <f t="shared" si="76"/>
        <v>#DIV/0!</v>
      </c>
    </row>
    <row r="1238" spans="1:11" x14ac:dyDescent="0.25">
      <c r="A1238" t="str">
        <f t="shared" si="77"/>
        <v>11900</v>
      </c>
      <c r="I1238" s="8" t="e">
        <f t="shared" si="75"/>
        <v>#DIV/0!</v>
      </c>
      <c r="J1238" s="8" t="e">
        <f t="shared" si="78"/>
        <v>#DIV/0!</v>
      </c>
      <c r="K1238" s="8" t="e">
        <f t="shared" si="76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EB13B-C23E-431B-BA92-EF56FC251C56}">
  <dimension ref="A1:K1238"/>
  <sheetViews>
    <sheetView topLeftCell="A42" workbookViewId="0">
      <selection activeCell="K63" sqref="K63"/>
    </sheetView>
  </sheetViews>
  <sheetFormatPr defaultRowHeight="15" x14ac:dyDescent="0.25"/>
  <cols>
    <col min="2" max="2" width="10.7109375" bestFit="1" customWidth="1"/>
    <col min="3" max="3" width="18.5703125" customWidth="1"/>
  </cols>
  <sheetData>
    <row r="1" spans="1:11" x14ac:dyDescent="0.25">
      <c r="A1" t="s">
        <v>27</v>
      </c>
      <c r="B1" t="s">
        <v>7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26</v>
      </c>
      <c r="J1" t="s">
        <v>679</v>
      </c>
      <c r="K1" t="s">
        <v>688</v>
      </c>
    </row>
    <row r="2" spans="1:11" x14ac:dyDescent="0.25">
      <c r="A2" t="str">
        <f>+MONTH(B2)&amp;YEAR(B2)</f>
        <v>12017</v>
      </c>
      <c r="B2" s="1">
        <v>42737</v>
      </c>
      <c r="C2" s="10">
        <v>42767.645833333336</v>
      </c>
      <c r="D2">
        <v>10403</v>
      </c>
      <c r="E2">
        <v>10434.1</v>
      </c>
      <c r="F2">
        <v>10353.65</v>
      </c>
      <c r="G2">
        <v>10367.049999999999</v>
      </c>
      <c r="H2">
        <v>0</v>
      </c>
    </row>
    <row r="3" spans="1:11" x14ac:dyDescent="0.25">
      <c r="A3" t="str">
        <f t="shared" ref="A3:A66" si="0">+MONTH(B3)&amp;YEAR(B3)</f>
        <v>12017</v>
      </c>
      <c r="B3" s="1">
        <v>42738</v>
      </c>
      <c r="C3" s="10">
        <v>42795.645833333336</v>
      </c>
      <c r="D3">
        <v>10386.6</v>
      </c>
      <c r="E3">
        <v>10390.9</v>
      </c>
      <c r="F3">
        <v>10291.25</v>
      </c>
      <c r="G3">
        <v>10362.25</v>
      </c>
      <c r="H3">
        <v>0</v>
      </c>
      <c r="I3" s="8">
        <f>+G3/G2-1</f>
        <v>-4.6300538726051776E-4</v>
      </c>
      <c r="J3" s="8">
        <f>+LN(1+I3)</f>
        <v>-4.6311260735176443E-4</v>
      </c>
    </row>
    <row r="4" spans="1:11" x14ac:dyDescent="0.25">
      <c r="A4" t="str">
        <f t="shared" si="0"/>
        <v>12017</v>
      </c>
      <c r="B4" s="1">
        <v>42739</v>
      </c>
      <c r="C4" s="10">
        <v>42826.645833333336</v>
      </c>
      <c r="D4">
        <v>10368.15</v>
      </c>
      <c r="E4">
        <v>10517.55</v>
      </c>
      <c r="F4">
        <v>10364</v>
      </c>
      <c r="G4">
        <v>10496.9</v>
      </c>
      <c r="H4">
        <v>0</v>
      </c>
      <c r="I4" s="8">
        <f t="shared" ref="I4:I67" si="1">+G4/G3-1</f>
        <v>1.2994282129846324E-2</v>
      </c>
      <c r="J4" s="8">
        <f t="shared" ref="J4:J67" si="2">+LN(1+I4)</f>
        <v>1.2910580758855339E-2</v>
      </c>
    </row>
    <row r="5" spans="1:11" x14ac:dyDescent="0.25">
      <c r="A5" t="str">
        <f t="shared" si="0"/>
        <v>12017</v>
      </c>
      <c r="B5" s="1">
        <v>42740</v>
      </c>
      <c r="C5" s="10">
        <v>42856.645833333336</v>
      </c>
      <c r="D5">
        <v>10539.75</v>
      </c>
      <c r="E5">
        <v>10590.05</v>
      </c>
      <c r="F5">
        <v>10379.299999999999</v>
      </c>
      <c r="G5">
        <v>10400.049999999999</v>
      </c>
      <c r="H5">
        <v>0</v>
      </c>
      <c r="I5" s="8">
        <f t="shared" si="1"/>
        <v>-9.2265335479999599E-3</v>
      </c>
      <c r="J5" s="8">
        <f t="shared" si="2"/>
        <v>-9.269361648815375E-3</v>
      </c>
    </row>
    <row r="6" spans="1:11" x14ac:dyDescent="0.25">
      <c r="A6" t="str">
        <f t="shared" si="0"/>
        <v>12017</v>
      </c>
      <c r="B6" s="1">
        <v>42741</v>
      </c>
      <c r="C6" s="10">
        <v>42887.645833333336</v>
      </c>
      <c r="D6">
        <v>10352.799999999999</v>
      </c>
      <c r="E6">
        <v>10372.9</v>
      </c>
      <c r="F6">
        <v>10063.35</v>
      </c>
      <c r="G6">
        <v>10110.450000000001</v>
      </c>
      <c r="H6">
        <v>0</v>
      </c>
      <c r="I6" s="8">
        <f t="shared" si="1"/>
        <v>-2.7846019971057734E-2</v>
      </c>
      <c r="J6" s="8">
        <f t="shared" si="2"/>
        <v>-2.8241071400498759E-2</v>
      </c>
    </row>
    <row r="7" spans="1:11" x14ac:dyDescent="0.25">
      <c r="A7" t="str">
        <f t="shared" si="0"/>
        <v>12017</v>
      </c>
      <c r="B7" s="1">
        <v>42744</v>
      </c>
      <c r="C7" s="10">
        <v>42979.645833333336</v>
      </c>
      <c r="D7">
        <v>10070.65</v>
      </c>
      <c r="E7">
        <v>10214.200000000001</v>
      </c>
      <c r="F7">
        <v>10023.65</v>
      </c>
      <c r="G7">
        <v>10198.450000000001</v>
      </c>
      <c r="H7">
        <v>0</v>
      </c>
      <c r="I7" s="8">
        <f t="shared" si="1"/>
        <v>8.7038658022144944E-3</v>
      </c>
      <c r="J7" s="8">
        <f t="shared" si="2"/>
        <v>8.6662055311229128E-3</v>
      </c>
    </row>
    <row r="8" spans="1:11" x14ac:dyDescent="0.25">
      <c r="A8" t="str">
        <f t="shared" si="0"/>
        <v>12017</v>
      </c>
      <c r="B8" s="1">
        <v>42745</v>
      </c>
      <c r="C8" s="10">
        <v>43009.645833333336</v>
      </c>
      <c r="D8">
        <v>10232.549999999999</v>
      </c>
      <c r="E8">
        <v>10255.85</v>
      </c>
      <c r="F8">
        <v>10184.35</v>
      </c>
      <c r="G8">
        <v>10221.5</v>
      </c>
      <c r="H8">
        <v>0</v>
      </c>
      <c r="I8" s="8">
        <f t="shared" si="1"/>
        <v>2.2601473753363077E-3</v>
      </c>
      <c r="J8" s="8">
        <f t="shared" si="2"/>
        <v>2.257597084223482E-3</v>
      </c>
    </row>
    <row r="9" spans="1:11" x14ac:dyDescent="0.25">
      <c r="A9" t="str">
        <f t="shared" si="0"/>
        <v>12017</v>
      </c>
      <c r="B9" s="1">
        <v>42746</v>
      </c>
      <c r="C9" s="10">
        <v>43040.645833333336</v>
      </c>
      <c r="D9">
        <v>10238.049999999999</v>
      </c>
      <c r="E9">
        <v>10282.200000000001</v>
      </c>
      <c r="F9">
        <v>10154.5</v>
      </c>
      <c r="G9">
        <v>10220.549999999999</v>
      </c>
      <c r="H9">
        <v>0</v>
      </c>
      <c r="I9" s="8">
        <f t="shared" si="1"/>
        <v>-9.2941349117081629E-5</v>
      </c>
      <c r="J9" s="8">
        <f t="shared" si="2"/>
        <v>-9.2945668431900188E-5</v>
      </c>
    </row>
    <row r="10" spans="1:11" x14ac:dyDescent="0.25">
      <c r="A10" t="str">
        <f t="shared" si="0"/>
        <v>12017</v>
      </c>
      <c r="B10" s="1">
        <v>42747</v>
      </c>
      <c r="C10" s="10">
        <v>43070.645833333336</v>
      </c>
      <c r="D10">
        <v>10237.450000000001</v>
      </c>
      <c r="E10">
        <v>10410.799999999999</v>
      </c>
      <c r="F10">
        <v>10236</v>
      </c>
      <c r="G10">
        <v>10398.799999999999</v>
      </c>
      <c r="H10">
        <v>0</v>
      </c>
      <c r="I10" s="8">
        <f t="shared" si="1"/>
        <v>1.744035301427016E-2</v>
      </c>
      <c r="J10" s="8">
        <f t="shared" si="2"/>
        <v>1.7290015500131813E-2</v>
      </c>
    </row>
    <row r="11" spans="1:11" x14ac:dyDescent="0.25">
      <c r="A11" t="str">
        <f t="shared" si="0"/>
        <v>12017</v>
      </c>
      <c r="B11" s="1">
        <v>42748</v>
      </c>
      <c r="C11" t="s">
        <v>28</v>
      </c>
      <c r="D11">
        <v>10504.05</v>
      </c>
      <c r="E11">
        <v>10551.4</v>
      </c>
      <c r="F11">
        <v>10217.450000000001</v>
      </c>
      <c r="G11">
        <v>10263.549999999999</v>
      </c>
      <c r="H11">
        <v>0</v>
      </c>
      <c r="I11" s="8">
        <f t="shared" si="1"/>
        <v>-1.3006308420202339E-2</v>
      </c>
      <c r="J11" s="8">
        <f t="shared" si="2"/>
        <v>-1.3091631078911386E-2</v>
      </c>
    </row>
    <row r="12" spans="1:11" x14ac:dyDescent="0.25">
      <c r="A12" t="str">
        <f t="shared" si="0"/>
        <v>12017</v>
      </c>
      <c r="B12" s="1">
        <v>42751</v>
      </c>
      <c r="C12" t="s">
        <v>29</v>
      </c>
      <c r="D12">
        <v>10223.049999999999</v>
      </c>
      <c r="E12">
        <v>10223.049999999999</v>
      </c>
      <c r="F12">
        <v>10137</v>
      </c>
      <c r="G12">
        <v>10173.1</v>
      </c>
      <c r="H12">
        <v>0</v>
      </c>
      <c r="I12" s="8">
        <f t="shared" si="1"/>
        <v>-8.812740231206484E-3</v>
      </c>
      <c r="J12" s="8">
        <f t="shared" si="2"/>
        <v>-8.8518020904130475E-3</v>
      </c>
    </row>
    <row r="13" spans="1:11" x14ac:dyDescent="0.25">
      <c r="A13" t="str">
        <f t="shared" si="0"/>
        <v>12017</v>
      </c>
      <c r="B13" s="1">
        <v>42752</v>
      </c>
      <c r="C13" t="s">
        <v>30</v>
      </c>
      <c r="D13">
        <v>10166.85</v>
      </c>
      <c r="E13">
        <v>10275</v>
      </c>
      <c r="F13">
        <v>10166.4</v>
      </c>
      <c r="G13">
        <v>10206.799999999999</v>
      </c>
      <c r="H13">
        <v>0</v>
      </c>
      <c r="I13" s="8">
        <f t="shared" si="1"/>
        <v>3.3126578918911687E-3</v>
      </c>
      <c r="J13" s="8">
        <f t="shared" si="2"/>
        <v>3.3071831280846948E-3</v>
      </c>
    </row>
    <row r="14" spans="1:11" x14ac:dyDescent="0.25">
      <c r="A14" t="str">
        <f t="shared" si="0"/>
        <v>12017</v>
      </c>
      <c r="B14" s="1">
        <v>42753</v>
      </c>
      <c r="C14" t="s">
        <v>31</v>
      </c>
      <c r="D14">
        <v>10217.5</v>
      </c>
      <c r="E14">
        <v>10270.5</v>
      </c>
      <c r="F14">
        <v>10208.85</v>
      </c>
      <c r="G14">
        <v>10231.6</v>
      </c>
      <c r="H14">
        <v>0</v>
      </c>
      <c r="I14" s="8">
        <f t="shared" si="1"/>
        <v>2.4297527138770203E-3</v>
      </c>
      <c r="J14" s="8">
        <f t="shared" si="2"/>
        <v>2.4268056375641622E-3</v>
      </c>
    </row>
    <row r="15" spans="1:11" x14ac:dyDescent="0.25">
      <c r="A15" t="str">
        <f t="shared" si="0"/>
        <v>12017</v>
      </c>
      <c r="B15" s="1">
        <v>42754</v>
      </c>
      <c r="C15" t="s">
        <v>32</v>
      </c>
      <c r="D15">
        <v>10223.049999999999</v>
      </c>
      <c r="E15">
        <v>10251.799999999999</v>
      </c>
      <c r="F15">
        <v>10174.5</v>
      </c>
      <c r="G15">
        <v>10222.15</v>
      </c>
      <c r="H15">
        <v>0</v>
      </c>
      <c r="I15" s="8">
        <f t="shared" si="1"/>
        <v>-9.2360921068068702E-4</v>
      </c>
      <c r="J15" s="8">
        <f t="shared" si="2"/>
        <v>-9.2403600047927649E-4</v>
      </c>
    </row>
    <row r="16" spans="1:11" x14ac:dyDescent="0.25">
      <c r="A16" t="str">
        <f t="shared" si="0"/>
        <v>12017</v>
      </c>
      <c r="B16" s="1">
        <v>42755</v>
      </c>
      <c r="C16" t="s">
        <v>33</v>
      </c>
      <c r="D16">
        <v>10165.5</v>
      </c>
      <c r="E16">
        <v>10192.700000000001</v>
      </c>
      <c r="F16">
        <v>10113.200000000001</v>
      </c>
      <c r="G16">
        <v>10132.65</v>
      </c>
      <c r="H16">
        <v>0</v>
      </c>
      <c r="I16" s="8">
        <f t="shared" si="1"/>
        <v>-8.7554966420958502E-3</v>
      </c>
      <c r="J16" s="8">
        <f t="shared" si="2"/>
        <v>-8.7940512107194547E-3</v>
      </c>
    </row>
    <row r="17" spans="1:10" x14ac:dyDescent="0.25">
      <c r="A17" t="str">
        <f t="shared" si="0"/>
        <v>12017</v>
      </c>
      <c r="B17" s="1">
        <v>42758</v>
      </c>
      <c r="C17" t="s">
        <v>34</v>
      </c>
      <c r="D17">
        <v>10060.65</v>
      </c>
      <c r="E17">
        <v>10234.65</v>
      </c>
      <c r="F17">
        <v>10029.299999999999</v>
      </c>
      <c r="G17">
        <v>10219.4</v>
      </c>
      <c r="H17">
        <v>0</v>
      </c>
      <c r="I17" s="8">
        <f t="shared" si="1"/>
        <v>8.5614325966059113E-3</v>
      </c>
      <c r="J17" s="8">
        <f t="shared" si="2"/>
        <v>8.5249913775276159E-3</v>
      </c>
    </row>
    <row r="18" spans="1:10" x14ac:dyDescent="0.25">
      <c r="A18" t="str">
        <f t="shared" si="0"/>
        <v>12017</v>
      </c>
      <c r="B18" s="1">
        <v>42759</v>
      </c>
      <c r="C18" t="s">
        <v>35</v>
      </c>
      <c r="D18">
        <v>10186.5</v>
      </c>
      <c r="E18">
        <v>10213.700000000001</v>
      </c>
      <c r="F18">
        <v>10133.15</v>
      </c>
      <c r="G18">
        <v>10201.6</v>
      </c>
      <c r="H18">
        <v>0</v>
      </c>
      <c r="I18" s="8">
        <f t="shared" si="1"/>
        <v>-1.7417852320096294E-3</v>
      </c>
      <c r="J18" s="8">
        <f t="shared" si="2"/>
        <v>-1.7433039036295892E-3</v>
      </c>
    </row>
    <row r="19" spans="1:10" x14ac:dyDescent="0.25">
      <c r="A19" t="str">
        <f t="shared" si="0"/>
        <v>12017</v>
      </c>
      <c r="B19" s="1">
        <v>42760</v>
      </c>
      <c r="C19" t="s">
        <v>36</v>
      </c>
      <c r="D19">
        <v>10221.65</v>
      </c>
      <c r="E19">
        <v>10239.5</v>
      </c>
      <c r="F19">
        <v>10154.75</v>
      </c>
      <c r="G19">
        <v>10164.450000000001</v>
      </c>
      <c r="H19">
        <v>0</v>
      </c>
      <c r="I19" s="8">
        <f t="shared" si="1"/>
        <v>-3.6415856336260433E-3</v>
      </c>
      <c r="J19" s="8">
        <f t="shared" si="2"/>
        <v>-3.6482323478820248E-3</v>
      </c>
    </row>
    <row r="20" spans="1:10" x14ac:dyDescent="0.25">
      <c r="A20" t="str">
        <f t="shared" si="0"/>
        <v>12017</v>
      </c>
      <c r="B20" s="1">
        <v>42762</v>
      </c>
      <c r="C20" t="s">
        <v>37</v>
      </c>
      <c r="D20">
        <v>10144.200000000001</v>
      </c>
      <c r="E20">
        <v>10212.549999999999</v>
      </c>
      <c r="F20">
        <v>10100.85</v>
      </c>
      <c r="G20">
        <v>10181.85</v>
      </c>
      <c r="H20">
        <v>0</v>
      </c>
      <c r="I20" s="8">
        <f t="shared" si="1"/>
        <v>1.7118486489677842E-3</v>
      </c>
      <c r="J20" s="8">
        <f t="shared" si="2"/>
        <v>1.7103851060738652E-3</v>
      </c>
    </row>
    <row r="21" spans="1:10" x14ac:dyDescent="0.25">
      <c r="A21" t="str">
        <f t="shared" si="0"/>
        <v>12017</v>
      </c>
      <c r="B21" s="1">
        <v>42765</v>
      </c>
      <c r="C21" t="s">
        <v>38</v>
      </c>
      <c r="D21">
        <v>10114.35</v>
      </c>
      <c r="E21">
        <v>10195.700000000001</v>
      </c>
      <c r="F21">
        <v>10065.049999999999</v>
      </c>
      <c r="G21">
        <v>10170.65</v>
      </c>
      <c r="H21">
        <v>0</v>
      </c>
      <c r="I21" s="8">
        <f t="shared" si="1"/>
        <v>-1.0999965625108077E-3</v>
      </c>
      <c r="J21" s="8">
        <f t="shared" si="2"/>
        <v>-1.1006020027584257E-3</v>
      </c>
    </row>
    <row r="22" spans="1:10" x14ac:dyDescent="0.25">
      <c r="A22" t="str">
        <f t="shared" si="0"/>
        <v>12017</v>
      </c>
      <c r="B22" s="1">
        <v>42766</v>
      </c>
      <c r="C22" t="s">
        <v>39</v>
      </c>
      <c r="D22">
        <v>10158.200000000001</v>
      </c>
      <c r="E22">
        <v>10158.200000000001</v>
      </c>
      <c r="F22">
        <v>9620.4500000000007</v>
      </c>
      <c r="G22">
        <v>9848.5</v>
      </c>
      <c r="H22">
        <v>0</v>
      </c>
      <c r="I22" s="8">
        <f t="shared" si="1"/>
        <v>-3.1674475082713482E-2</v>
      </c>
      <c r="J22" s="8">
        <f t="shared" si="2"/>
        <v>-3.2186962165470547E-2</v>
      </c>
    </row>
    <row r="23" spans="1:10" x14ac:dyDescent="0.25">
      <c r="A23" t="str">
        <f t="shared" si="0"/>
        <v>22017</v>
      </c>
      <c r="B23" s="1">
        <v>42767</v>
      </c>
      <c r="C23" s="10">
        <v>42737.645833333336</v>
      </c>
      <c r="D23">
        <v>9811.1</v>
      </c>
      <c r="E23">
        <v>9831.0499999999993</v>
      </c>
      <c r="F23">
        <v>9592.25</v>
      </c>
      <c r="G23">
        <v>9750</v>
      </c>
      <c r="H23">
        <v>0</v>
      </c>
      <c r="I23" s="8">
        <f t="shared" si="1"/>
        <v>-1.000152307457991E-2</v>
      </c>
      <c r="J23" s="8">
        <f t="shared" si="2"/>
        <v>-1.0051874313856497E-2</v>
      </c>
    </row>
    <row r="24" spans="1:10" x14ac:dyDescent="0.25">
      <c r="A24" t="str">
        <f t="shared" si="0"/>
        <v>22017</v>
      </c>
      <c r="B24" s="1">
        <v>42768</v>
      </c>
      <c r="C24" s="10">
        <v>42768.645833333336</v>
      </c>
      <c r="D24">
        <v>9753.5499999999993</v>
      </c>
      <c r="E24">
        <v>9989.2000000000007</v>
      </c>
      <c r="F24">
        <v>9681.75</v>
      </c>
      <c r="G24">
        <v>9926</v>
      </c>
      <c r="H24">
        <v>0</v>
      </c>
      <c r="I24" s="8">
        <f t="shared" si="1"/>
        <v>1.8051282051282147E-2</v>
      </c>
      <c r="J24" s="8">
        <f t="shared" si="2"/>
        <v>1.7890292155493346E-2</v>
      </c>
    </row>
    <row r="25" spans="1:10" x14ac:dyDescent="0.25">
      <c r="A25" t="str">
        <f t="shared" si="0"/>
        <v>22017</v>
      </c>
      <c r="B25" s="1">
        <v>42769</v>
      </c>
      <c r="C25" s="10">
        <v>42796.645833333336</v>
      </c>
      <c r="D25">
        <v>9927.35</v>
      </c>
      <c r="E25">
        <v>10058.799999999999</v>
      </c>
      <c r="F25">
        <v>9863.65</v>
      </c>
      <c r="G25">
        <v>10025.799999999999</v>
      </c>
      <c r="H25">
        <v>0</v>
      </c>
      <c r="I25" s="8">
        <f t="shared" si="1"/>
        <v>1.0054402579085187E-2</v>
      </c>
      <c r="J25" s="8">
        <f t="shared" si="2"/>
        <v>1.0004193342246477E-2</v>
      </c>
    </row>
    <row r="26" spans="1:10" x14ac:dyDescent="0.25">
      <c r="A26" t="str">
        <f t="shared" si="0"/>
        <v>22017</v>
      </c>
      <c r="B26" s="1">
        <v>42772</v>
      </c>
      <c r="C26" s="10">
        <v>42888.645833333336</v>
      </c>
      <c r="D26">
        <v>10076.549999999999</v>
      </c>
      <c r="E26">
        <v>10093.15</v>
      </c>
      <c r="F26">
        <v>9954.5499999999993</v>
      </c>
      <c r="G26">
        <v>10029.049999999999</v>
      </c>
      <c r="H26">
        <v>0</v>
      </c>
      <c r="I26" s="8">
        <f t="shared" si="1"/>
        <v>3.2416365776288814E-4</v>
      </c>
      <c r="J26" s="8">
        <f t="shared" si="2"/>
        <v>3.2411112807621801E-4</v>
      </c>
    </row>
    <row r="27" spans="1:10" x14ac:dyDescent="0.25">
      <c r="A27" t="str">
        <f t="shared" si="0"/>
        <v>22017</v>
      </c>
      <c r="B27" s="1">
        <v>42773</v>
      </c>
      <c r="C27" s="10">
        <v>42918.645833333336</v>
      </c>
      <c r="D27">
        <v>10034.950000000001</v>
      </c>
      <c r="E27">
        <v>10042.15</v>
      </c>
      <c r="F27">
        <v>9967.85</v>
      </c>
      <c r="G27">
        <v>9997.9500000000007</v>
      </c>
      <c r="H27">
        <v>0</v>
      </c>
      <c r="I27" s="8">
        <f t="shared" si="1"/>
        <v>-3.1009916193456277E-3</v>
      </c>
      <c r="J27" s="8">
        <f t="shared" si="2"/>
        <v>-3.1058096568981767E-3</v>
      </c>
    </row>
    <row r="28" spans="1:10" x14ac:dyDescent="0.25">
      <c r="A28" t="str">
        <f t="shared" si="0"/>
        <v>22017</v>
      </c>
      <c r="B28" s="1">
        <v>42774</v>
      </c>
      <c r="C28" s="10">
        <v>42949.645833333336</v>
      </c>
      <c r="D28">
        <v>9988.6</v>
      </c>
      <c r="E28">
        <v>10071.65</v>
      </c>
      <c r="F28">
        <v>9973.6</v>
      </c>
      <c r="G28">
        <v>10007.049999999999</v>
      </c>
      <c r="H28">
        <v>0</v>
      </c>
      <c r="I28" s="8">
        <f t="shared" si="1"/>
        <v>9.1018658825037235E-4</v>
      </c>
      <c r="J28" s="8">
        <f t="shared" si="2"/>
        <v>9.0977261961108248E-4</v>
      </c>
    </row>
    <row r="29" spans="1:10" x14ac:dyDescent="0.25">
      <c r="A29" t="str">
        <f t="shared" si="0"/>
        <v>22017</v>
      </c>
      <c r="B29" s="1">
        <v>42775</v>
      </c>
      <c r="C29" s="10">
        <v>42980.645833333336</v>
      </c>
      <c r="D29">
        <v>10026.4</v>
      </c>
      <c r="E29">
        <v>10186.1</v>
      </c>
      <c r="F29">
        <v>10005</v>
      </c>
      <c r="G29">
        <v>10167.9</v>
      </c>
      <c r="H29">
        <v>0</v>
      </c>
      <c r="I29" s="8">
        <f t="shared" si="1"/>
        <v>1.6073668064015001E-2</v>
      </c>
      <c r="J29" s="8">
        <f t="shared" si="2"/>
        <v>1.5945854464739385E-2</v>
      </c>
    </row>
    <row r="30" spans="1:10" x14ac:dyDescent="0.25">
      <c r="A30" t="str">
        <f t="shared" si="0"/>
        <v>22017</v>
      </c>
      <c r="B30" s="1">
        <v>42776</v>
      </c>
      <c r="C30" s="10">
        <v>43010.645833333336</v>
      </c>
      <c r="D30">
        <v>10185.450000000001</v>
      </c>
      <c r="E30">
        <v>10432.950000000001</v>
      </c>
      <c r="F30">
        <v>10180.450000000001</v>
      </c>
      <c r="G30">
        <v>10387.85</v>
      </c>
      <c r="H30">
        <v>0</v>
      </c>
      <c r="I30" s="8">
        <f t="shared" si="1"/>
        <v>2.1631802043686532E-2</v>
      </c>
      <c r="J30" s="8">
        <f t="shared" si="2"/>
        <v>2.1401154895064514E-2</v>
      </c>
    </row>
    <row r="31" spans="1:10" x14ac:dyDescent="0.25">
      <c r="A31" t="str">
        <f t="shared" si="0"/>
        <v>22017</v>
      </c>
      <c r="B31" s="1">
        <v>42779</v>
      </c>
      <c r="C31" t="s">
        <v>40</v>
      </c>
      <c r="D31">
        <v>10402.15</v>
      </c>
      <c r="E31">
        <v>10469.200000000001</v>
      </c>
      <c r="F31">
        <v>10340.4</v>
      </c>
      <c r="G31">
        <v>10452.9</v>
      </c>
      <c r="H31">
        <v>0</v>
      </c>
      <c r="I31" s="8">
        <f t="shared" si="1"/>
        <v>6.2621235385569296E-3</v>
      </c>
      <c r="J31" s="8">
        <f t="shared" si="2"/>
        <v>6.2425979151318582E-3</v>
      </c>
    </row>
    <row r="32" spans="1:10" x14ac:dyDescent="0.25">
      <c r="A32" t="str">
        <f t="shared" si="0"/>
        <v>22017</v>
      </c>
      <c r="B32" s="1">
        <v>42780</v>
      </c>
      <c r="C32" t="s">
        <v>41</v>
      </c>
      <c r="D32">
        <v>10462.35</v>
      </c>
      <c r="E32">
        <v>10489.45</v>
      </c>
      <c r="F32">
        <v>10423.75</v>
      </c>
      <c r="G32">
        <v>10474.1</v>
      </c>
      <c r="H32">
        <v>0</v>
      </c>
      <c r="I32" s="8">
        <f t="shared" si="1"/>
        <v>2.0281452993906601E-3</v>
      </c>
      <c r="J32" s="8">
        <f t="shared" si="2"/>
        <v>2.0260913893294431E-3</v>
      </c>
    </row>
    <row r="33" spans="1:10" x14ac:dyDescent="0.25">
      <c r="A33" t="str">
        <f t="shared" si="0"/>
        <v>22017</v>
      </c>
      <c r="B33" s="1">
        <v>42781</v>
      </c>
      <c r="C33" t="s">
        <v>42</v>
      </c>
      <c r="D33">
        <v>10464.049999999999</v>
      </c>
      <c r="E33">
        <v>10550.5</v>
      </c>
      <c r="F33">
        <v>10318.950000000001</v>
      </c>
      <c r="G33">
        <v>10427.65</v>
      </c>
      <c r="H33">
        <v>0</v>
      </c>
      <c r="I33" s="8">
        <f t="shared" si="1"/>
        <v>-4.4347485702829204E-3</v>
      </c>
      <c r="J33" s="8">
        <f t="shared" si="2"/>
        <v>-4.4446112374915527E-3</v>
      </c>
    </row>
    <row r="34" spans="1:10" x14ac:dyDescent="0.25">
      <c r="A34" t="str">
        <f t="shared" si="0"/>
        <v>22017</v>
      </c>
      <c r="B34" s="1">
        <v>42782</v>
      </c>
      <c r="C34" t="s">
        <v>43</v>
      </c>
      <c r="D34">
        <v>10488.95</v>
      </c>
      <c r="E34">
        <v>10640.5</v>
      </c>
      <c r="F34">
        <v>10488.95</v>
      </c>
      <c r="G34">
        <v>10628.05</v>
      </c>
      <c r="H34">
        <v>0</v>
      </c>
      <c r="I34" s="8">
        <f t="shared" si="1"/>
        <v>1.9218136396982999E-2</v>
      </c>
      <c r="J34" s="8">
        <f t="shared" si="2"/>
        <v>1.9035800415450523E-2</v>
      </c>
    </row>
    <row r="35" spans="1:10" x14ac:dyDescent="0.25">
      <c r="A35" t="str">
        <f t="shared" si="0"/>
        <v>22017</v>
      </c>
      <c r="B35" s="1">
        <v>42783</v>
      </c>
      <c r="C35" t="s">
        <v>44</v>
      </c>
      <c r="D35">
        <v>10674.2</v>
      </c>
      <c r="E35">
        <v>10676</v>
      </c>
      <c r="F35">
        <v>10483.9</v>
      </c>
      <c r="G35">
        <v>10527.2</v>
      </c>
      <c r="H35">
        <v>0</v>
      </c>
      <c r="I35" s="8">
        <f t="shared" si="1"/>
        <v>-9.4890407929957288E-3</v>
      </c>
      <c r="J35" s="8">
        <f t="shared" si="2"/>
        <v>-9.534348586715034E-3</v>
      </c>
    </row>
    <row r="36" spans="1:10" x14ac:dyDescent="0.25">
      <c r="A36" t="str">
        <f t="shared" si="0"/>
        <v>22017</v>
      </c>
      <c r="B36" s="1">
        <v>42786</v>
      </c>
      <c r="C36" t="s">
        <v>45</v>
      </c>
      <c r="D36">
        <v>10544.45</v>
      </c>
      <c r="E36">
        <v>10740.3</v>
      </c>
      <c r="F36">
        <v>10516.95</v>
      </c>
      <c r="G36">
        <v>10671.25</v>
      </c>
      <c r="H36">
        <v>0</v>
      </c>
      <c r="I36" s="8">
        <f t="shared" si="1"/>
        <v>1.3683600577551358E-2</v>
      </c>
      <c r="J36" s="8">
        <f t="shared" si="2"/>
        <v>1.3590825488585203E-2</v>
      </c>
    </row>
    <row r="37" spans="1:10" x14ac:dyDescent="0.25">
      <c r="A37" t="str">
        <f t="shared" si="0"/>
        <v>22017</v>
      </c>
      <c r="B37" s="1">
        <v>42787</v>
      </c>
      <c r="C37" t="s">
        <v>46</v>
      </c>
      <c r="D37">
        <v>10716.7</v>
      </c>
      <c r="E37">
        <v>10801.6</v>
      </c>
      <c r="F37">
        <v>10643.9</v>
      </c>
      <c r="G37">
        <v>10680.75</v>
      </c>
      <c r="H37">
        <v>0</v>
      </c>
      <c r="I37" s="8">
        <f t="shared" si="1"/>
        <v>8.902424739369863E-4</v>
      </c>
      <c r="J37" s="8">
        <f t="shared" si="2"/>
        <v>8.8984644313065328E-4</v>
      </c>
    </row>
    <row r="38" spans="1:10" x14ac:dyDescent="0.25">
      <c r="A38" t="str">
        <f t="shared" si="0"/>
        <v>22017</v>
      </c>
      <c r="B38" s="1">
        <v>42788</v>
      </c>
      <c r="C38" t="s">
        <v>47</v>
      </c>
      <c r="D38">
        <v>10685.55</v>
      </c>
      <c r="E38">
        <v>10692.95</v>
      </c>
      <c r="F38">
        <v>10497</v>
      </c>
      <c r="G38">
        <v>10514.8</v>
      </c>
      <c r="H38">
        <v>0</v>
      </c>
      <c r="I38" s="8">
        <f t="shared" si="1"/>
        <v>-1.553729841069218E-2</v>
      </c>
      <c r="J38" s="8">
        <f t="shared" si="2"/>
        <v>-1.565926725871819E-2</v>
      </c>
    </row>
    <row r="39" spans="1:10" x14ac:dyDescent="0.25">
      <c r="A39" t="str">
        <f t="shared" si="0"/>
        <v>22017</v>
      </c>
      <c r="B39" s="1">
        <v>42789</v>
      </c>
      <c r="C39" t="s">
        <v>48</v>
      </c>
      <c r="D39">
        <v>10545.45</v>
      </c>
      <c r="E39">
        <v>10737.35</v>
      </c>
      <c r="F39">
        <v>10531.7</v>
      </c>
      <c r="G39">
        <v>10689.65</v>
      </c>
      <c r="H39">
        <v>0</v>
      </c>
      <c r="I39" s="8">
        <f t="shared" si="1"/>
        <v>1.6628942062616447E-2</v>
      </c>
      <c r="J39" s="8">
        <f t="shared" si="2"/>
        <v>1.6492195094841434E-2</v>
      </c>
    </row>
    <row r="40" spans="1:10" x14ac:dyDescent="0.25">
      <c r="A40" t="str">
        <f t="shared" si="0"/>
        <v>22017</v>
      </c>
      <c r="B40" s="1">
        <v>42793</v>
      </c>
      <c r="C40" t="s">
        <v>49</v>
      </c>
      <c r="D40">
        <v>10663.25</v>
      </c>
      <c r="E40">
        <v>10776.65</v>
      </c>
      <c r="F40">
        <v>10658.3</v>
      </c>
      <c r="G40">
        <v>10706.7</v>
      </c>
      <c r="H40">
        <v>0</v>
      </c>
      <c r="I40" s="8">
        <f t="shared" si="1"/>
        <v>1.5950007717746573E-3</v>
      </c>
      <c r="J40" s="8">
        <f t="shared" si="2"/>
        <v>1.5937301090029744E-3</v>
      </c>
    </row>
    <row r="41" spans="1:10" x14ac:dyDescent="0.25">
      <c r="A41" t="str">
        <f t="shared" si="0"/>
        <v>22017</v>
      </c>
      <c r="B41" s="1">
        <v>42794</v>
      </c>
      <c r="C41" t="s">
        <v>50</v>
      </c>
      <c r="D41">
        <v>10732.8</v>
      </c>
      <c r="E41">
        <v>10759.4</v>
      </c>
      <c r="F41">
        <v>10645.3</v>
      </c>
      <c r="G41">
        <v>10680.95</v>
      </c>
      <c r="H41">
        <v>0</v>
      </c>
      <c r="I41" s="8">
        <f t="shared" si="1"/>
        <v>-2.4050360988913111E-3</v>
      </c>
      <c r="J41" s="8">
        <f t="shared" si="2"/>
        <v>-2.4079328436590018E-3</v>
      </c>
    </row>
    <row r="42" spans="1:10" x14ac:dyDescent="0.25">
      <c r="A42" t="str">
        <f t="shared" si="0"/>
        <v>32017</v>
      </c>
      <c r="B42" s="1">
        <v>42795</v>
      </c>
      <c r="C42" s="10">
        <v>42738.645833333336</v>
      </c>
      <c r="D42">
        <v>10674.85</v>
      </c>
      <c r="E42">
        <v>10777.6</v>
      </c>
      <c r="F42">
        <v>10658.4</v>
      </c>
      <c r="G42">
        <v>10748.05</v>
      </c>
      <c r="H42">
        <v>0</v>
      </c>
      <c r="I42" s="8">
        <f t="shared" si="1"/>
        <v>6.2822127245234505E-3</v>
      </c>
      <c r="J42" s="8">
        <f t="shared" si="2"/>
        <v>6.2625618837314177E-3</v>
      </c>
    </row>
    <row r="43" spans="1:10" x14ac:dyDescent="0.25">
      <c r="A43" t="str">
        <f t="shared" si="0"/>
        <v>32017</v>
      </c>
      <c r="B43" s="1">
        <v>42796</v>
      </c>
      <c r="C43" s="10">
        <v>42769.645833333336</v>
      </c>
      <c r="D43">
        <v>10779.65</v>
      </c>
      <c r="E43">
        <v>10806.95</v>
      </c>
      <c r="F43">
        <v>10717</v>
      </c>
      <c r="G43">
        <v>10741.6</v>
      </c>
      <c r="H43">
        <v>0</v>
      </c>
      <c r="I43" s="8">
        <f t="shared" si="1"/>
        <v>-6.0010885695538363E-4</v>
      </c>
      <c r="J43" s="8">
        <f t="shared" si="2"/>
        <v>-6.0028899434711651E-4</v>
      </c>
    </row>
    <row r="44" spans="1:10" x14ac:dyDescent="0.25">
      <c r="A44" t="str">
        <f t="shared" si="0"/>
        <v>32017</v>
      </c>
      <c r="B44" s="1">
        <v>42797</v>
      </c>
      <c r="C44" s="10">
        <v>42797.645833333336</v>
      </c>
      <c r="D44">
        <v>10701.35</v>
      </c>
      <c r="E44">
        <v>10819.3</v>
      </c>
      <c r="F44">
        <v>10657.7</v>
      </c>
      <c r="G44">
        <v>10806.25</v>
      </c>
      <c r="H44">
        <v>0</v>
      </c>
      <c r="I44" s="8">
        <f t="shared" si="1"/>
        <v>6.0186564385193986E-3</v>
      </c>
      <c r="J44" s="8">
        <f t="shared" si="2"/>
        <v>6.0006166731022834E-3</v>
      </c>
    </row>
    <row r="45" spans="1:10" x14ac:dyDescent="0.25">
      <c r="A45" t="str">
        <f t="shared" si="0"/>
        <v>32017</v>
      </c>
      <c r="B45" s="1">
        <v>42800</v>
      </c>
      <c r="C45" s="10">
        <v>42889.645833333336</v>
      </c>
      <c r="D45">
        <v>10736.8</v>
      </c>
      <c r="E45">
        <v>10812.65</v>
      </c>
      <c r="F45">
        <v>10706.75</v>
      </c>
      <c r="G45">
        <v>10779.05</v>
      </c>
      <c r="H45">
        <v>0</v>
      </c>
      <c r="I45" s="8">
        <f t="shared" si="1"/>
        <v>-2.5170618854829518E-3</v>
      </c>
      <c r="J45" s="8">
        <f t="shared" si="2"/>
        <v>-2.5202350115053783E-3</v>
      </c>
    </row>
    <row r="46" spans="1:10" x14ac:dyDescent="0.25">
      <c r="A46" t="str">
        <f t="shared" si="0"/>
        <v>32017</v>
      </c>
      <c r="B46" s="1">
        <v>42801</v>
      </c>
      <c r="C46" s="10">
        <v>42919.645833333336</v>
      </c>
      <c r="D46">
        <v>10794.3</v>
      </c>
      <c r="E46">
        <v>10820.1</v>
      </c>
      <c r="F46">
        <v>10750.9</v>
      </c>
      <c r="G46">
        <v>10799.1</v>
      </c>
      <c r="H46">
        <v>0</v>
      </c>
      <c r="I46" s="8">
        <f t="shared" si="1"/>
        <v>1.8600897110598869E-3</v>
      </c>
      <c r="J46" s="8">
        <f t="shared" si="2"/>
        <v>1.858361886467332E-3</v>
      </c>
    </row>
    <row r="47" spans="1:10" x14ac:dyDescent="0.25">
      <c r="A47" t="str">
        <f t="shared" si="0"/>
        <v>32017</v>
      </c>
      <c r="B47" s="1">
        <v>42802</v>
      </c>
      <c r="C47" s="10">
        <v>42950.645833333336</v>
      </c>
      <c r="D47">
        <v>10791.45</v>
      </c>
      <c r="E47">
        <v>10793.5</v>
      </c>
      <c r="F47">
        <v>10687.45</v>
      </c>
      <c r="G47">
        <v>10739.45</v>
      </c>
      <c r="H47">
        <v>0</v>
      </c>
      <c r="I47" s="8">
        <f t="shared" si="1"/>
        <v>-5.5236084488521353E-3</v>
      </c>
      <c r="J47" s="8">
        <f t="shared" si="2"/>
        <v>-5.5389199833109793E-3</v>
      </c>
    </row>
    <row r="48" spans="1:10" x14ac:dyDescent="0.25">
      <c r="A48" t="str">
        <f t="shared" si="0"/>
        <v>32017</v>
      </c>
      <c r="B48" s="1">
        <v>42803</v>
      </c>
      <c r="C48" s="10">
        <v>42981.645833333336</v>
      </c>
      <c r="D48">
        <v>10753.7</v>
      </c>
      <c r="E48">
        <v>10757.7</v>
      </c>
      <c r="F48">
        <v>10694.45</v>
      </c>
      <c r="G48">
        <v>10724.75</v>
      </c>
      <c r="H48">
        <v>0</v>
      </c>
      <c r="I48" s="8">
        <f t="shared" si="1"/>
        <v>-1.3687851798742656E-3</v>
      </c>
      <c r="J48" s="8">
        <f t="shared" si="2"/>
        <v>-1.3697228220267102E-3</v>
      </c>
    </row>
    <row r="49" spans="1:11" x14ac:dyDescent="0.25">
      <c r="A49" t="str">
        <f t="shared" si="0"/>
        <v>32017</v>
      </c>
      <c r="B49" s="1">
        <v>42804</v>
      </c>
      <c r="C49" s="10">
        <v>43011.645833333336</v>
      </c>
      <c r="D49">
        <v>10758.2</v>
      </c>
      <c r="E49">
        <v>10821.85</v>
      </c>
      <c r="F49">
        <v>10718.35</v>
      </c>
      <c r="G49">
        <v>10749.85</v>
      </c>
      <c r="H49">
        <v>0</v>
      </c>
      <c r="I49" s="8">
        <f t="shared" si="1"/>
        <v>2.3403808946595994E-3</v>
      </c>
      <c r="J49" s="8">
        <f t="shared" si="2"/>
        <v>2.3376464688611071E-3</v>
      </c>
    </row>
    <row r="50" spans="1:11" x14ac:dyDescent="0.25">
      <c r="A50" t="str">
        <f t="shared" si="0"/>
        <v>32017</v>
      </c>
      <c r="B50" s="1">
        <v>42808</v>
      </c>
      <c r="C50" t="s">
        <v>51</v>
      </c>
      <c r="D50">
        <v>10850</v>
      </c>
      <c r="E50">
        <v>10927.3</v>
      </c>
      <c r="F50">
        <v>10821.4</v>
      </c>
      <c r="G50">
        <v>10879.25</v>
      </c>
      <c r="H50">
        <v>0</v>
      </c>
      <c r="I50" s="8">
        <f t="shared" si="1"/>
        <v>1.2037377265729177E-2</v>
      </c>
      <c r="J50" s="8">
        <f t="shared" si="2"/>
        <v>1.1965504240272951E-2</v>
      </c>
    </row>
    <row r="51" spans="1:11" x14ac:dyDescent="0.25">
      <c r="A51" t="str">
        <f t="shared" si="0"/>
        <v>32017</v>
      </c>
      <c r="B51" s="1">
        <v>42809</v>
      </c>
      <c r="C51" t="s">
        <v>52</v>
      </c>
      <c r="D51">
        <v>10899.95</v>
      </c>
      <c r="E51">
        <v>10905.95</v>
      </c>
      <c r="F51">
        <v>10677.75</v>
      </c>
      <c r="G51">
        <v>10696.55</v>
      </c>
      <c r="H51">
        <v>0</v>
      </c>
      <c r="I51" s="8">
        <f t="shared" si="1"/>
        <v>-1.679343704759062E-2</v>
      </c>
      <c r="J51" s="8">
        <f t="shared" si="2"/>
        <v>-1.6936045658601944E-2</v>
      </c>
    </row>
    <row r="52" spans="1:11" x14ac:dyDescent="0.25">
      <c r="A52" t="str">
        <f t="shared" si="0"/>
        <v>32017</v>
      </c>
      <c r="B52" s="1">
        <v>42810</v>
      </c>
      <c r="C52" t="s">
        <v>53</v>
      </c>
      <c r="D52">
        <v>10765.65</v>
      </c>
      <c r="E52">
        <v>10838.15</v>
      </c>
      <c r="F52">
        <v>10752.2</v>
      </c>
      <c r="G52">
        <v>10822.1</v>
      </c>
      <c r="H52">
        <v>0</v>
      </c>
      <c r="I52" s="8">
        <f t="shared" si="1"/>
        <v>1.17374293580641E-2</v>
      </c>
      <c r="J52" s="8">
        <f t="shared" si="2"/>
        <v>1.1669080044379563E-2</v>
      </c>
    </row>
    <row r="53" spans="1:11" x14ac:dyDescent="0.25">
      <c r="A53" t="str">
        <f t="shared" si="0"/>
        <v>32017</v>
      </c>
      <c r="B53" s="1">
        <v>42811</v>
      </c>
      <c r="C53" t="s">
        <v>54</v>
      </c>
      <c r="D53">
        <v>10893.85</v>
      </c>
      <c r="E53">
        <v>10920.35</v>
      </c>
      <c r="F53">
        <v>10787.2</v>
      </c>
      <c r="G53">
        <v>10900.75</v>
      </c>
      <c r="H53">
        <v>0</v>
      </c>
      <c r="I53" s="8">
        <f t="shared" si="1"/>
        <v>7.267535875661757E-3</v>
      </c>
      <c r="J53" s="8">
        <f t="shared" si="2"/>
        <v>7.2412545934315339E-3</v>
      </c>
    </row>
    <row r="54" spans="1:11" x14ac:dyDescent="0.25">
      <c r="A54" t="str">
        <f t="shared" si="0"/>
        <v>32017</v>
      </c>
      <c r="B54" s="1">
        <v>42814</v>
      </c>
      <c r="C54" t="s">
        <v>55</v>
      </c>
      <c r="D54">
        <v>10877.15</v>
      </c>
      <c r="E54">
        <v>10879.45</v>
      </c>
      <c r="F54">
        <v>10750.6</v>
      </c>
      <c r="G54">
        <v>10776.75</v>
      </c>
      <c r="H54">
        <v>0</v>
      </c>
      <c r="I54" s="8">
        <f t="shared" si="1"/>
        <v>-1.1375364080453143E-2</v>
      </c>
      <c r="J54" s="8">
        <f t="shared" si="2"/>
        <v>-1.144055841214248E-2</v>
      </c>
    </row>
    <row r="55" spans="1:11" x14ac:dyDescent="0.25">
      <c r="A55" t="str">
        <f t="shared" si="0"/>
        <v>32017</v>
      </c>
      <c r="B55" s="1">
        <v>42815</v>
      </c>
      <c r="C55" t="s">
        <v>56</v>
      </c>
      <c r="D55">
        <v>10769.1</v>
      </c>
      <c r="E55">
        <v>10823.7</v>
      </c>
      <c r="F55">
        <v>10751.3</v>
      </c>
      <c r="G55">
        <v>10787.2</v>
      </c>
      <c r="H55">
        <v>0</v>
      </c>
      <c r="I55" s="8">
        <f t="shared" si="1"/>
        <v>9.6968009836007063E-4</v>
      </c>
      <c r="J55" s="8">
        <f t="shared" si="2"/>
        <v>9.6921026231606988E-4</v>
      </c>
    </row>
    <row r="56" spans="1:11" x14ac:dyDescent="0.25">
      <c r="A56" t="str">
        <f t="shared" si="0"/>
        <v>32017</v>
      </c>
      <c r="B56" s="1">
        <v>42816</v>
      </c>
      <c r="C56" t="s">
        <v>57</v>
      </c>
      <c r="D56">
        <v>10717.1</v>
      </c>
      <c r="E56">
        <v>10831.75</v>
      </c>
      <c r="F56">
        <v>10710.8</v>
      </c>
      <c r="G56">
        <v>10783.3</v>
      </c>
      <c r="H56">
        <v>0</v>
      </c>
      <c r="I56" s="8">
        <f t="shared" si="1"/>
        <v>-3.6153960249196704E-4</v>
      </c>
      <c r="J56" s="8">
        <f t="shared" si="2"/>
        <v>-3.6160497369071168E-4</v>
      </c>
    </row>
    <row r="57" spans="1:11" x14ac:dyDescent="0.25">
      <c r="A57" t="str">
        <f t="shared" si="0"/>
        <v>32017</v>
      </c>
      <c r="B57" s="1">
        <v>42817</v>
      </c>
      <c r="C57" t="s">
        <v>58</v>
      </c>
      <c r="D57">
        <v>10794.25</v>
      </c>
      <c r="E57">
        <v>10863.85</v>
      </c>
      <c r="F57">
        <v>10785.7</v>
      </c>
      <c r="G57">
        <v>10850.8</v>
      </c>
      <c r="H57">
        <v>0</v>
      </c>
      <c r="I57" s="8">
        <f t="shared" si="1"/>
        <v>6.2596793189468869E-3</v>
      </c>
      <c r="J57" s="8">
        <f t="shared" si="2"/>
        <v>6.2401689033253042E-3</v>
      </c>
    </row>
    <row r="58" spans="1:11" x14ac:dyDescent="0.25">
      <c r="A58" t="str">
        <f t="shared" si="0"/>
        <v>32017</v>
      </c>
      <c r="B58" s="1">
        <v>42818</v>
      </c>
      <c r="C58" t="s">
        <v>59</v>
      </c>
      <c r="D58">
        <v>10843.25</v>
      </c>
      <c r="E58">
        <v>10851.45</v>
      </c>
      <c r="F58">
        <v>10753.45</v>
      </c>
      <c r="G58">
        <v>10768.95</v>
      </c>
      <c r="H58">
        <v>0</v>
      </c>
      <c r="I58" s="8">
        <f t="shared" si="1"/>
        <v>-7.543222619530221E-3</v>
      </c>
      <c r="J58" s="8">
        <f t="shared" si="2"/>
        <v>-7.5718166079085875E-3</v>
      </c>
    </row>
    <row r="59" spans="1:11" x14ac:dyDescent="0.25">
      <c r="A59" t="str">
        <f t="shared" si="0"/>
        <v>32017</v>
      </c>
      <c r="B59" s="1">
        <v>42821</v>
      </c>
      <c r="C59" t="s">
        <v>60</v>
      </c>
      <c r="D59">
        <v>10735.5</v>
      </c>
      <c r="E59">
        <v>10787.2</v>
      </c>
      <c r="F59">
        <v>10630.85</v>
      </c>
      <c r="G59">
        <v>10648.5</v>
      </c>
      <c r="H59">
        <v>0</v>
      </c>
      <c r="I59" s="8">
        <f t="shared" si="1"/>
        <v>-1.1184934464362861E-2</v>
      </c>
      <c r="J59" s="8">
        <f t="shared" si="2"/>
        <v>-1.1247956213917349E-2</v>
      </c>
    </row>
    <row r="60" spans="1:11" x14ac:dyDescent="0.25">
      <c r="A60" t="str">
        <f t="shared" si="0"/>
        <v>32017</v>
      </c>
      <c r="B60" s="1">
        <v>42822</v>
      </c>
      <c r="C60" t="s">
        <v>61</v>
      </c>
      <c r="D60">
        <v>10675.05</v>
      </c>
      <c r="E60">
        <v>10749.1</v>
      </c>
      <c r="F60">
        <v>10658.55</v>
      </c>
      <c r="G60">
        <v>10681.05</v>
      </c>
      <c r="H60">
        <v>0</v>
      </c>
      <c r="I60" s="8">
        <f t="shared" si="1"/>
        <v>3.0567685589519833E-3</v>
      </c>
      <c r="J60" s="8">
        <f t="shared" si="2"/>
        <v>3.0521061408129366E-3</v>
      </c>
    </row>
    <row r="61" spans="1:11" x14ac:dyDescent="0.25">
      <c r="A61" t="str">
        <f t="shared" si="0"/>
        <v>32017</v>
      </c>
      <c r="B61" s="1">
        <v>42823</v>
      </c>
      <c r="C61" t="s">
        <v>62</v>
      </c>
      <c r="D61">
        <v>10712</v>
      </c>
      <c r="E61">
        <v>10761.05</v>
      </c>
      <c r="F61">
        <v>10661.05</v>
      </c>
      <c r="G61">
        <v>10741.25</v>
      </c>
      <c r="H61">
        <v>0</v>
      </c>
      <c r="I61" s="8">
        <f t="shared" si="1"/>
        <v>5.6361500039789902E-3</v>
      </c>
      <c r="J61" s="8">
        <f t="shared" si="2"/>
        <v>5.6203263390695634E-3</v>
      </c>
    </row>
    <row r="62" spans="1:11" x14ac:dyDescent="0.25">
      <c r="A62" t="str">
        <f t="shared" si="0"/>
        <v>32017</v>
      </c>
      <c r="B62" s="1">
        <v>42824</v>
      </c>
      <c r="C62" t="s">
        <v>63</v>
      </c>
      <c r="D62">
        <v>10734.95</v>
      </c>
      <c r="E62">
        <v>10767.8</v>
      </c>
      <c r="F62">
        <v>10692.9</v>
      </c>
      <c r="G62">
        <v>10730.75</v>
      </c>
      <c r="H62">
        <v>0</v>
      </c>
      <c r="I62" s="8">
        <f t="shared" si="1"/>
        <v>-9.7753985802395693E-4</v>
      </c>
      <c r="J62" s="8">
        <f t="shared" si="2"/>
        <v>-9.7801796171330629E-4</v>
      </c>
    </row>
    <row r="63" spans="1:11" x14ac:dyDescent="0.25">
      <c r="A63" t="str">
        <f t="shared" si="0"/>
        <v>32017</v>
      </c>
      <c r="B63" s="1">
        <v>42825</v>
      </c>
      <c r="C63" t="s">
        <v>64</v>
      </c>
      <c r="D63">
        <v>10735.6</v>
      </c>
      <c r="E63">
        <v>10752.35</v>
      </c>
      <c r="F63">
        <v>10634.9</v>
      </c>
      <c r="G63">
        <v>10703.25</v>
      </c>
      <c r="H63">
        <v>0</v>
      </c>
      <c r="I63" s="8">
        <f t="shared" si="1"/>
        <v>-2.5627286070405431E-3</v>
      </c>
      <c r="J63" s="8">
        <f t="shared" si="2"/>
        <v>-2.5660180171092391E-3</v>
      </c>
      <c r="K63" s="8">
        <f>+G63/G2-1</f>
        <v>3.2429668999377936E-2</v>
      </c>
    </row>
    <row r="64" spans="1:11" x14ac:dyDescent="0.25">
      <c r="A64" t="str">
        <f t="shared" si="0"/>
        <v>42017</v>
      </c>
      <c r="B64" s="1">
        <v>42828</v>
      </c>
      <c r="C64" s="10">
        <v>42798.645833333336</v>
      </c>
      <c r="D64">
        <v>10728.65</v>
      </c>
      <c r="E64">
        <v>10732.85</v>
      </c>
      <c r="F64">
        <v>10571.5</v>
      </c>
      <c r="G64">
        <v>10592</v>
      </c>
      <c r="H64">
        <v>0</v>
      </c>
      <c r="I64" s="8">
        <f t="shared" si="1"/>
        <v>-1.0394039193702853E-2</v>
      </c>
      <c r="J64" s="8">
        <f t="shared" si="2"/>
        <v>-1.0448434471820802E-2</v>
      </c>
      <c r="K64" s="8">
        <f t="shared" ref="K64:K127" si="3">+G64/G3-1</f>
        <v>2.2171825617023355E-2</v>
      </c>
    </row>
    <row r="65" spans="1:11" x14ac:dyDescent="0.25">
      <c r="A65" t="str">
        <f t="shared" si="0"/>
        <v>42017</v>
      </c>
      <c r="B65" s="1">
        <v>42830</v>
      </c>
      <c r="C65" s="10">
        <v>42859.645833333336</v>
      </c>
      <c r="D65">
        <v>10596.25</v>
      </c>
      <c r="E65">
        <v>10597.2</v>
      </c>
      <c r="F65">
        <v>10493</v>
      </c>
      <c r="G65">
        <v>10510.3</v>
      </c>
      <c r="H65">
        <v>0</v>
      </c>
      <c r="I65" s="8">
        <f t="shared" si="1"/>
        <v>-7.7133685800604423E-3</v>
      </c>
      <c r="J65" s="8">
        <f t="shared" si="2"/>
        <v>-7.743270469594281E-3</v>
      </c>
      <c r="K65" s="8">
        <f t="shared" si="3"/>
        <v>1.2765673675083633E-3</v>
      </c>
    </row>
    <row r="66" spans="1:11" x14ac:dyDescent="0.25">
      <c r="A66" t="str">
        <f t="shared" si="0"/>
        <v>42017</v>
      </c>
      <c r="B66" s="1">
        <v>42831</v>
      </c>
      <c r="C66" s="10">
        <v>42890.645833333336</v>
      </c>
      <c r="D66">
        <v>10499.75</v>
      </c>
      <c r="E66">
        <v>10545.6</v>
      </c>
      <c r="F66">
        <v>10475.85</v>
      </c>
      <c r="G66">
        <v>10538.15</v>
      </c>
      <c r="H66">
        <v>0</v>
      </c>
      <c r="I66" s="8">
        <f t="shared" si="1"/>
        <v>2.649781642769522E-3</v>
      </c>
      <c r="J66" s="8">
        <f t="shared" si="2"/>
        <v>2.6462771607686443E-3</v>
      </c>
      <c r="K66" s="8">
        <f t="shared" si="3"/>
        <v>1.3278782313546511E-2</v>
      </c>
    </row>
    <row r="67" spans="1:11" x14ac:dyDescent="0.25">
      <c r="A67" t="str">
        <f t="shared" ref="A67:A130" si="4">+MONTH(B67)&amp;YEAR(B67)</f>
        <v>42017</v>
      </c>
      <c r="B67" s="1">
        <v>42832</v>
      </c>
      <c r="C67" s="10">
        <v>42920.645833333336</v>
      </c>
      <c r="D67">
        <v>10532.45</v>
      </c>
      <c r="E67">
        <v>10568.8</v>
      </c>
      <c r="F67">
        <v>10470.549999999999</v>
      </c>
      <c r="G67">
        <v>10485.75</v>
      </c>
      <c r="H67">
        <v>0</v>
      </c>
      <c r="I67" s="8">
        <f t="shared" si="1"/>
        <v>-4.9724097683179203E-3</v>
      </c>
      <c r="J67" s="8">
        <f t="shared" si="2"/>
        <v>-4.9848133319200672E-3</v>
      </c>
      <c r="K67" s="8">
        <f t="shared" si="3"/>
        <v>3.7120009495126283E-2</v>
      </c>
    </row>
    <row r="68" spans="1:11" x14ac:dyDescent="0.25">
      <c r="A68" t="str">
        <f t="shared" si="4"/>
        <v>42017</v>
      </c>
      <c r="B68" s="1">
        <v>42835</v>
      </c>
      <c r="C68" s="10">
        <v>43012.645833333336</v>
      </c>
      <c r="D68">
        <v>10511.6</v>
      </c>
      <c r="E68">
        <v>10542.7</v>
      </c>
      <c r="F68">
        <v>10304.950000000001</v>
      </c>
      <c r="G68">
        <v>10338.15</v>
      </c>
      <c r="H68">
        <v>0</v>
      </c>
      <c r="I68" s="8">
        <f t="shared" ref="I68:I131" si="5">+G68/G67-1</f>
        <v>-1.4076246334310927E-2</v>
      </c>
      <c r="J68" s="8">
        <f t="shared" ref="J68:J131" si="6">+LN(1+I68)</f>
        <v>-1.4176256309001635E-2</v>
      </c>
      <c r="K68" s="8">
        <f t="shared" si="3"/>
        <v>1.3698160014511851E-2</v>
      </c>
    </row>
    <row r="69" spans="1:11" x14ac:dyDescent="0.25">
      <c r="A69" t="str">
        <f t="shared" si="4"/>
        <v>42017</v>
      </c>
      <c r="B69" s="1">
        <v>42836</v>
      </c>
      <c r="C69" s="10">
        <v>43043.645833333336</v>
      </c>
      <c r="D69">
        <v>10341.549999999999</v>
      </c>
      <c r="E69">
        <v>10422.299999999999</v>
      </c>
      <c r="F69">
        <v>10332.450000000001</v>
      </c>
      <c r="G69">
        <v>10398.85</v>
      </c>
      <c r="H69">
        <v>0</v>
      </c>
      <c r="I69" s="8">
        <f t="shared" si="5"/>
        <v>5.8714566919613187E-3</v>
      </c>
      <c r="J69" s="8">
        <f t="shared" si="6"/>
        <v>5.8542868652663111E-3</v>
      </c>
      <c r="K69" s="8">
        <f t="shared" si="3"/>
        <v>1.735068238516857E-2</v>
      </c>
    </row>
    <row r="70" spans="1:11" x14ac:dyDescent="0.25">
      <c r="A70" t="str">
        <f t="shared" si="4"/>
        <v>42017</v>
      </c>
      <c r="B70" s="1">
        <v>42837</v>
      </c>
      <c r="C70" s="10">
        <v>43073.645833333336</v>
      </c>
      <c r="D70">
        <v>10408.15</v>
      </c>
      <c r="E70">
        <v>10420.35</v>
      </c>
      <c r="F70">
        <v>10290.5</v>
      </c>
      <c r="G70">
        <v>10323.450000000001</v>
      </c>
      <c r="H70">
        <v>0</v>
      </c>
      <c r="I70" s="8">
        <f t="shared" si="5"/>
        <v>-7.2508017713497352E-3</v>
      </c>
      <c r="J70" s="8">
        <f t="shared" si="6"/>
        <v>-7.2772165977452339E-3</v>
      </c>
      <c r="K70" s="8">
        <f t="shared" si="3"/>
        <v>1.0067951333343261E-2</v>
      </c>
    </row>
    <row r="71" spans="1:11" x14ac:dyDescent="0.25">
      <c r="A71" t="str">
        <f t="shared" si="4"/>
        <v>42017</v>
      </c>
      <c r="B71" s="1">
        <v>42838</v>
      </c>
      <c r="C71" t="s">
        <v>65</v>
      </c>
      <c r="D71">
        <v>10339.85</v>
      </c>
      <c r="E71">
        <v>10407.15</v>
      </c>
      <c r="F71">
        <v>10034.6</v>
      </c>
      <c r="G71">
        <v>10064.200000000001</v>
      </c>
      <c r="H71">
        <v>0</v>
      </c>
      <c r="I71" s="8">
        <f t="shared" si="5"/>
        <v>-2.5112728787372474E-2</v>
      </c>
      <c r="J71" s="8">
        <f t="shared" si="6"/>
        <v>-2.5433433937812781E-2</v>
      </c>
      <c r="K71" s="8">
        <f t="shared" si="3"/>
        <v>-3.2176789629572489E-2</v>
      </c>
    </row>
    <row r="72" spans="1:11" x14ac:dyDescent="0.25">
      <c r="A72" t="str">
        <f t="shared" si="4"/>
        <v>42017</v>
      </c>
      <c r="B72" s="1">
        <v>42842</v>
      </c>
      <c r="C72" t="s">
        <v>66</v>
      </c>
      <c r="D72">
        <v>10045.4</v>
      </c>
      <c r="E72">
        <v>10056.549999999999</v>
      </c>
      <c r="F72">
        <v>9975.4500000000007</v>
      </c>
      <c r="G72">
        <v>10000.9</v>
      </c>
      <c r="H72">
        <v>0</v>
      </c>
      <c r="I72" s="8">
        <f t="shared" si="5"/>
        <v>-6.2896206355200768E-3</v>
      </c>
      <c r="J72" s="8">
        <f t="shared" si="6"/>
        <v>-6.3094836303248672E-3</v>
      </c>
      <c r="K72" s="8">
        <f t="shared" si="3"/>
        <v>-2.5590560770883286E-2</v>
      </c>
    </row>
    <row r="73" spans="1:11" x14ac:dyDescent="0.25">
      <c r="A73" t="str">
        <f t="shared" si="4"/>
        <v>42017</v>
      </c>
      <c r="B73" s="1">
        <v>42843</v>
      </c>
      <c r="C73" t="s">
        <v>67</v>
      </c>
      <c r="D73">
        <v>10021.15</v>
      </c>
      <c r="E73">
        <v>10075.799999999999</v>
      </c>
      <c r="F73">
        <v>9964.65</v>
      </c>
      <c r="G73">
        <v>9981.5499999999993</v>
      </c>
      <c r="H73">
        <v>0</v>
      </c>
      <c r="I73" s="8">
        <f t="shared" si="5"/>
        <v>-1.934825865672174E-3</v>
      </c>
      <c r="J73" s="8">
        <f t="shared" si="6"/>
        <v>-1.9367000591195721E-3</v>
      </c>
      <c r="K73" s="8">
        <f t="shared" si="3"/>
        <v>-1.8829068818747574E-2</v>
      </c>
    </row>
    <row r="74" spans="1:11" x14ac:dyDescent="0.25">
      <c r="A74" t="str">
        <f t="shared" si="4"/>
        <v>42017</v>
      </c>
      <c r="B74" s="1">
        <v>42844</v>
      </c>
      <c r="C74" t="s">
        <v>68</v>
      </c>
      <c r="D74">
        <v>9925.25</v>
      </c>
      <c r="E74">
        <v>10059.450000000001</v>
      </c>
      <c r="F74">
        <v>9901.65</v>
      </c>
      <c r="G74">
        <v>9944.7999999999993</v>
      </c>
      <c r="H74">
        <v>0</v>
      </c>
      <c r="I74" s="8">
        <f t="shared" si="5"/>
        <v>-3.681792907915149E-3</v>
      </c>
      <c r="J74" s="8">
        <f t="shared" si="6"/>
        <v>-3.6885873898006021E-3</v>
      </c>
      <c r="K74" s="8">
        <f t="shared" si="3"/>
        <v>-2.566916173531375E-2</v>
      </c>
    </row>
    <row r="75" spans="1:11" x14ac:dyDescent="0.25">
      <c r="A75" t="str">
        <f t="shared" si="4"/>
        <v>42017</v>
      </c>
      <c r="B75" s="1">
        <v>42845</v>
      </c>
      <c r="C75" t="s">
        <v>69</v>
      </c>
      <c r="D75">
        <v>9965.7999999999993</v>
      </c>
      <c r="E75">
        <v>10056.25</v>
      </c>
      <c r="F75">
        <v>9948.9500000000007</v>
      </c>
      <c r="G75">
        <v>10039.049999999999</v>
      </c>
      <c r="H75">
        <v>0</v>
      </c>
      <c r="I75" s="8">
        <f t="shared" si="5"/>
        <v>9.4773147775721878E-3</v>
      </c>
      <c r="J75" s="8">
        <f t="shared" si="6"/>
        <v>9.4326867773724191E-3</v>
      </c>
      <c r="K75" s="8">
        <f t="shared" si="3"/>
        <v>-1.8819148520270668E-2</v>
      </c>
    </row>
    <row r="76" spans="1:11" x14ac:dyDescent="0.25">
      <c r="A76" t="str">
        <f t="shared" si="4"/>
        <v>42017</v>
      </c>
      <c r="B76" s="1">
        <v>42846</v>
      </c>
      <c r="C76" t="s">
        <v>70</v>
      </c>
      <c r="D76">
        <v>10083.5</v>
      </c>
      <c r="E76">
        <v>10103.799999999999</v>
      </c>
      <c r="F76">
        <v>9978.5</v>
      </c>
      <c r="G76">
        <v>10008.15</v>
      </c>
      <c r="H76">
        <v>0</v>
      </c>
      <c r="I76" s="8">
        <f t="shared" si="5"/>
        <v>-3.0779804862013371E-3</v>
      </c>
      <c r="J76" s="8">
        <f t="shared" si="6"/>
        <v>-3.0827272108577583E-3</v>
      </c>
      <c r="K76" s="8">
        <f t="shared" si="3"/>
        <v>-2.0934930518530792E-2</v>
      </c>
    </row>
    <row r="77" spans="1:11" x14ac:dyDescent="0.25">
      <c r="A77" t="str">
        <f t="shared" si="4"/>
        <v>42017</v>
      </c>
      <c r="B77" s="1">
        <v>42849</v>
      </c>
      <c r="C77" t="s">
        <v>71</v>
      </c>
      <c r="D77">
        <v>9979.7999999999993</v>
      </c>
      <c r="E77">
        <v>10070.950000000001</v>
      </c>
      <c r="F77">
        <v>9938.6</v>
      </c>
      <c r="G77">
        <v>10058.35</v>
      </c>
      <c r="H77">
        <v>0</v>
      </c>
      <c r="I77" s="8">
        <f t="shared" si="5"/>
        <v>5.0159120316941586E-3</v>
      </c>
      <c r="J77" s="8">
        <f t="shared" si="6"/>
        <v>5.0033742530579241E-3</v>
      </c>
      <c r="K77" s="8">
        <f t="shared" si="3"/>
        <v>-7.3327313190526544E-3</v>
      </c>
    </row>
    <row r="78" spans="1:11" x14ac:dyDescent="0.25">
      <c r="A78" t="str">
        <f t="shared" si="4"/>
        <v>42017</v>
      </c>
      <c r="B78" s="1">
        <v>42850</v>
      </c>
      <c r="C78" t="s">
        <v>72</v>
      </c>
      <c r="D78">
        <v>10081.549999999999</v>
      </c>
      <c r="E78">
        <v>10113</v>
      </c>
      <c r="F78">
        <v>10038.15</v>
      </c>
      <c r="G78">
        <v>10091.25</v>
      </c>
      <c r="H78">
        <v>0</v>
      </c>
      <c r="I78" s="8">
        <f t="shared" si="5"/>
        <v>3.2709142155522564E-3</v>
      </c>
      <c r="J78" s="8">
        <f t="shared" si="6"/>
        <v>3.2655764121470249E-3</v>
      </c>
      <c r="K78" s="8">
        <f t="shared" si="3"/>
        <v>-1.2539875139440659E-2</v>
      </c>
    </row>
    <row r="79" spans="1:11" x14ac:dyDescent="0.25">
      <c r="A79" t="str">
        <f t="shared" si="4"/>
        <v>42017</v>
      </c>
      <c r="B79" s="1">
        <v>42851</v>
      </c>
      <c r="C79" t="s">
        <v>73</v>
      </c>
      <c r="D79">
        <v>10157.6</v>
      </c>
      <c r="E79">
        <v>10162.65</v>
      </c>
      <c r="F79">
        <v>9944.4</v>
      </c>
      <c r="G79">
        <v>9966.75</v>
      </c>
      <c r="H79">
        <v>0</v>
      </c>
      <c r="I79" s="8">
        <f t="shared" si="5"/>
        <v>-1.2337421033073226E-2</v>
      </c>
      <c r="J79" s="8">
        <f t="shared" si="6"/>
        <v>-1.2414158829498466E-2</v>
      </c>
      <c r="K79" s="8">
        <f t="shared" si="3"/>
        <v>-2.3020898682559632E-2</v>
      </c>
    </row>
    <row r="80" spans="1:11" x14ac:dyDescent="0.25">
      <c r="A80" t="str">
        <f t="shared" si="4"/>
        <v>42017</v>
      </c>
      <c r="B80" s="1">
        <v>42852</v>
      </c>
      <c r="C80" t="s">
        <v>74</v>
      </c>
      <c r="D80">
        <v>9965.0499999999993</v>
      </c>
      <c r="E80">
        <v>10045.5</v>
      </c>
      <c r="F80">
        <v>9965.0499999999993</v>
      </c>
      <c r="G80">
        <v>10012.35</v>
      </c>
      <c r="H80">
        <v>0</v>
      </c>
      <c r="I80" s="8">
        <f t="shared" si="5"/>
        <v>4.5752125818345757E-3</v>
      </c>
      <c r="J80" s="8">
        <f t="shared" si="6"/>
        <v>4.5647781112591896E-3</v>
      </c>
      <c r="K80" s="8">
        <f t="shared" si="3"/>
        <v>-1.4963918362528306E-2</v>
      </c>
    </row>
    <row r="81" spans="1:11" x14ac:dyDescent="0.25">
      <c r="A81" t="str">
        <f t="shared" si="4"/>
        <v>42017</v>
      </c>
      <c r="B81" s="1">
        <v>42853</v>
      </c>
      <c r="C81" t="s">
        <v>75</v>
      </c>
      <c r="D81">
        <v>10020.450000000001</v>
      </c>
      <c r="E81">
        <v>10023.700000000001</v>
      </c>
      <c r="F81">
        <v>9920.7000000000007</v>
      </c>
      <c r="G81">
        <v>9943.7000000000007</v>
      </c>
      <c r="H81">
        <v>0</v>
      </c>
      <c r="I81" s="8">
        <f t="shared" si="5"/>
        <v>-6.8565321827542824E-3</v>
      </c>
      <c r="J81" s="8">
        <f t="shared" si="6"/>
        <v>-6.8801462016289238E-3</v>
      </c>
      <c r="K81" s="8">
        <f t="shared" si="3"/>
        <v>-2.338965905017254E-2</v>
      </c>
    </row>
    <row r="82" spans="1:11" x14ac:dyDescent="0.25">
      <c r="A82" t="str">
        <f t="shared" si="4"/>
        <v>52017</v>
      </c>
      <c r="B82" s="1">
        <v>42857</v>
      </c>
      <c r="C82" s="10">
        <v>42771.645833333336</v>
      </c>
      <c r="D82">
        <v>10000.799999999999</v>
      </c>
      <c r="E82">
        <v>10042.85</v>
      </c>
      <c r="F82">
        <v>9960.2000000000007</v>
      </c>
      <c r="G82">
        <v>10006.35</v>
      </c>
      <c r="H82">
        <v>0</v>
      </c>
      <c r="I82" s="8">
        <f t="shared" si="5"/>
        <v>6.3004716554200257E-3</v>
      </c>
      <c r="J82" s="8">
        <f t="shared" si="6"/>
        <v>6.2807066596343277E-3</v>
      </c>
      <c r="K82" s="8">
        <f t="shared" si="3"/>
        <v>-1.6154326419648646E-2</v>
      </c>
    </row>
    <row r="83" spans="1:11" x14ac:dyDescent="0.25">
      <c r="A83" t="str">
        <f t="shared" si="4"/>
        <v>52017</v>
      </c>
      <c r="B83" s="1">
        <v>42858</v>
      </c>
      <c r="C83" s="10">
        <v>42799.645833333336</v>
      </c>
      <c r="D83">
        <v>10043</v>
      </c>
      <c r="E83">
        <v>10151.35</v>
      </c>
      <c r="F83">
        <v>9995.25</v>
      </c>
      <c r="G83">
        <v>10131.049999999999</v>
      </c>
      <c r="H83">
        <v>0</v>
      </c>
      <c r="I83" s="8">
        <f t="shared" si="5"/>
        <v>1.2462086575024678E-2</v>
      </c>
      <c r="J83" s="8">
        <f t="shared" si="6"/>
        <v>1.2385073939461916E-2</v>
      </c>
      <c r="K83" s="8">
        <f t="shared" si="3"/>
        <v>2.8689648169772042E-2</v>
      </c>
    </row>
    <row r="84" spans="1:11" x14ac:dyDescent="0.25">
      <c r="A84" t="str">
        <f t="shared" si="4"/>
        <v>52017</v>
      </c>
      <c r="B84" s="1">
        <v>42859</v>
      </c>
      <c r="C84" s="10">
        <v>42830.645833333336</v>
      </c>
      <c r="D84">
        <v>10155.049999999999</v>
      </c>
      <c r="E84">
        <v>10170</v>
      </c>
      <c r="F84">
        <v>10055</v>
      </c>
      <c r="G84">
        <v>10106.5</v>
      </c>
      <c r="H84">
        <v>0</v>
      </c>
      <c r="I84" s="8">
        <f t="shared" si="5"/>
        <v>-2.4232433953044197E-3</v>
      </c>
      <c r="J84" s="8">
        <f t="shared" si="6"/>
        <v>-2.4261842014007785E-3</v>
      </c>
      <c r="K84" s="8">
        <f t="shared" si="3"/>
        <v>3.6564102564102585E-2</v>
      </c>
    </row>
    <row r="85" spans="1:11" x14ac:dyDescent="0.25">
      <c r="A85" t="str">
        <f t="shared" si="4"/>
        <v>52017</v>
      </c>
      <c r="B85" s="1">
        <v>42860</v>
      </c>
      <c r="C85" s="10">
        <v>42860.645833333336</v>
      </c>
      <c r="D85">
        <v>10084.5</v>
      </c>
      <c r="E85">
        <v>10101.950000000001</v>
      </c>
      <c r="F85">
        <v>10031.1</v>
      </c>
      <c r="G85">
        <v>10086.35</v>
      </c>
      <c r="H85">
        <v>0</v>
      </c>
      <c r="I85" s="8">
        <f t="shared" si="5"/>
        <v>-1.99376638796811E-3</v>
      </c>
      <c r="J85" s="8">
        <f t="shared" si="6"/>
        <v>-1.9957565859395343E-3</v>
      </c>
      <c r="K85" s="8">
        <f t="shared" si="3"/>
        <v>1.615454362280877E-2</v>
      </c>
    </row>
    <row r="86" spans="1:11" x14ac:dyDescent="0.25">
      <c r="A86" t="str">
        <f t="shared" si="4"/>
        <v>52017</v>
      </c>
      <c r="B86" s="1">
        <v>42863</v>
      </c>
      <c r="C86" s="10">
        <v>42952.645833333336</v>
      </c>
      <c r="D86">
        <v>10113.799999999999</v>
      </c>
      <c r="E86">
        <v>10222.15</v>
      </c>
      <c r="F86">
        <v>10085.6</v>
      </c>
      <c r="G86">
        <v>10209.15</v>
      </c>
      <c r="H86">
        <v>0</v>
      </c>
      <c r="I86" s="8">
        <f t="shared" si="5"/>
        <v>1.2174869997571003E-2</v>
      </c>
      <c r="J86" s="8">
        <f t="shared" si="6"/>
        <v>1.2101352377976063E-2</v>
      </c>
      <c r="K86" s="8">
        <f t="shared" si="3"/>
        <v>1.828781743102792E-2</v>
      </c>
    </row>
    <row r="87" spans="1:11" x14ac:dyDescent="0.25">
      <c r="A87" t="str">
        <f t="shared" si="4"/>
        <v>52017</v>
      </c>
      <c r="B87" s="1">
        <v>42864</v>
      </c>
      <c r="C87" s="10">
        <v>42983.645833333336</v>
      </c>
      <c r="D87">
        <v>10246</v>
      </c>
      <c r="E87">
        <v>10294.25</v>
      </c>
      <c r="F87">
        <v>10211.4</v>
      </c>
      <c r="G87">
        <v>10279.6</v>
      </c>
      <c r="H87">
        <v>0</v>
      </c>
      <c r="I87" s="8">
        <f t="shared" si="5"/>
        <v>6.9006724360010097E-3</v>
      </c>
      <c r="J87" s="8">
        <f t="shared" si="6"/>
        <v>6.8769717671970532E-3</v>
      </c>
      <c r="K87" s="8">
        <f t="shared" si="3"/>
        <v>2.4982426052318152E-2</v>
      </c>
    </row>
    <row r="88" spans="1:11" x14ac:dyDescent="0.25">
      <c r="A88" t="str">
        <f t="shared" si="4"/>
        <v>52017</v>
      </c>
      <c r="B88" s="1">
        <v>42865</v>
      </c>
      <c r="C88" s="10">
        <v>43013.645833333336</v>
      </c>
      <c r="D88">
        <v>10283.35</v>
      </c>
      <c r="E88">
        <v>10296.450000000001</v>
      </c>
      <c r="F88">
        <v>10183.799999999999</v>
      </c>
      <c r="G88">
        <v>10219.549999999999</v>
      </c>
      <c r="H88">
        <v>0</v>
      </c>
      <c r="I88" s="8">
        <f t="shared" si="5"/>
        <v>-5.8416669909335805E-3</v>
      </c>
      <c r="J88" s="8">
        <f t="shared" si="6"/>
        <v>-5.8587962691520456E-3</v>
      </c>
      <c r="K88" s="8">
        <f t="shared" si="3"/>
        <v>2.2164543731464814E-2</v>
      </c>
    </row>
    <row r="89" spans="1:11" x14ac:dyDescent="0.25">
      <c r="A89" t="str">
        <f t="shared" si="4"/>
        <v>52017</v>
      </c>
      <c r="B89" s="1">
        <v>42866</v>
      </c>
      <c r="C89" s="10">
        <v>43044.645833333336</v>
      </c>
      <c r="D89">
        <v>10293.299999999999</v>
      </c>
      <c r="E89">
        <v>10300.5</v>
      </c>
      <c r="F89">
        <v>10216.299999999999</v>
      </c>
      <c r="G89">
        <v>10256.1</v>
      </c>
      <c r="H89">
        <v>0</v>
      </c>
      <c r="I89" s="8">
        <f t="shared" si="5"/>
        <v>3.5764784163687668E-3</v>
      </c>
      <c r="J89" s="8">
        <f t="shared" si="6"/>
        <v>3.5700980257980823E-3</v>
      </c>
      <c r="K89" s="8">
        <f t="shared" si="3"/>
        <v>2.4887454344687088E-2</v>
      </c>
    </row>
    <row r="90" spans="1:11" x14ac:dyDescent="0.25">
      <c r="A90" t="str">
        <f t="shared" si="4"/>
        <v>52017</v>
      </c>
      <c r="B90" s="1">
        <v>42867</v>
      </c>
      <c r="C90" s="10">
        <v>43074.645833333336</v>
      </c>
      <c r="D90">
        <v>10275.6</v>
      </c>
      <c r="E90">
        <v>10378.799999999999</v>
      </c>
      <c r="F90">
        <v>10264.4</v>
      </c>
      <c r="G90">
        <v>10367.299999999999</v>
      </c>
      <c r="H90">
        <v>0</v>
      </c>
      <c r="I90" s="8">
        <f t="shared" si="5"/>
        <v>1.0842327980421285E-2</v>
      </c>
      <c r="J90" s="8">
        <f t="shared" si="6"/>
        <v>1.0783971377755533E-2</v>
      </c>
      <c r="K90" s="8">
        <f t="shared" si="3"/>
        <v>1.9610735746810937E-2</v>
      </c>
    </row>
    <row r="91" spans="1:11" x14ac:dyDescent="0.25">
      <c r="A91" t="str">
        <f t="shared" si="4"/>
        <v>52017</v>
      </c>
      <c r="B91" s="1">
        <v>42870</v>
      </c>
      <c r="C91" t="s">
        <v>76</v>
      </c>
      <c r="D91">
        <v>10399.700000000001</v>
      </c>
      <c r="E91">
        <v>10400.450000000001</v>
      </c>
      <c r="F91">
        <v>10293.4</v>
      </c>
      <c r="G91">
        <v>10339.75</v>
      </c>
      <c r="H91">
        <v>0</v>
      </c>
      <c r="I91" s="8">
        <f t="shared" si="5"/>
        <v>-2.6573939212716224E-3</v>
      </c>
      <c r="J91" s="8">
        <f t="shared" si="6"/>
        <v>-2.6609310602687983E-3</v>
      </c>
      <c r="K91" s="8">
        <f t="shared" si="3"/>
        <v>-4.6304095650206989E-3</v>
      </c>
    </row>
    <row r="92" spans="1:11" x14ac:dyDescent="0.25">
      <c r="A92" t="str">
        <f t="shared" si="4"/>
        <v>52017</v>
      </c>
      <c r="B92" s="1">
        <v>42871</v>
      </c>
      <c r="C92" t="s">
        <v>77</v>
      </c>
      <c r="D92">
        <v>10364.4</v>
      </c>
      <c r="E92">
        <v>10474.450000000001</v>
      </c>
      <c r="F92">
        <v>10356.549999999999</v>
      </c>
      <c r="G92">
        <v>10461.299999999999</v>
      </c>
      <c r="H92">
        <v>0</v>
      </c>
      <c r="I92" s="8">
        <f t="shared" si="5"/>
        <v>1.175560337532322E-2</v>
      </c>
      <c r="J92" s="8">
        <f t="shared" si="6"/>
        <v>1.168704305879633E-2</v>
      </c>
      <c r="K92" s="8">
        <f t="shared" si="3"/>
        <v>8.0360474126783821E-4</v>
      </c>
    </row>
    <row r="93" spans="1:11" x14ac:dyDescent="0.25">
      <c r="A93" t="str">
        <f t="shared" si="4"/>
        <v>52017</v>
      </c>
      <c r="B93" s="1">
        <v>42872</v>
      </c>
      <c r="C93" t="s">
        <v>78</v>
      </c>
      <c r="D93">
        <v>10461</v>
      </c>
      <c r="E93">
        <v>10485.700000000001</v>
      </c>
      <c r="F93">
        <v>10371.549999999999</v>
      </c>
      <c r="G93">
        <v>10437.299999999999</v>
      </c>
      <c r="H93">
        <v>0</v>
      </c>
      <c r="I93" s="8">
        <f t="shared" si="5"/>
        <v>-2.2941699406383576E-3</v>
      </c>
      <c r="J93" s="8">
        <f t="shared" si="6"/>
        <v>-2.2968055803384789E-3</v>
      </c>
      <c r="K93" s="8">
        <f t="shared" si="3"/>
        <v>-3.5134283613867945E-3</v>
      </c>
    </row>
    <row r="94" spans="1:11" x14ac:dyDescent="0.25">
      <c r="A94" t="str">
        <f t="shared" si="4"/>
        <v>52017</v>
      </c>
      <c r="B94" s="1">
        <v>42873</v>
      </c>
      <c r="C94" t="s">
        <v>79</v>
      </c>
      <c r="D94">
        <v>10382.4</v>
      </c>
      <c r="E94">
        <v>10705.9</v>
      </c>
      <c r="F94">
        <v>10371.700000000001</v>
      </c>
      <c r="G94">
        <v>10545.6</v>
      </c>
      <c r="H94">
        <v>0</v>
      </c>
      <c r="I94" s="8">
        <f t="shared" si="5"/>
        <v>1.0376246730476435E-2</v>
      </c>
      <c r="J94" s="8">
        <f t="shared" si="6"/>
        <v>1.0322782999578671E-2</v>
      </c>
      <c r="K94" s="8">
        <f t="shared" si="3"/>
        <v>1.1311273393334043E-2</v>
      </c>
    </row>
    <row r="95" spans="1:11" x14ac:dyDescent="0.25">
      <c r="A95" t="str">
        <f t="shared" si="4"/>
        <v>52017</v>
      </c>
      <c r="B95" s="1">
        <v>42874</v>
      </c>
      <c r="C95" t="s">
        <v>80</v>
      </c>
      <c r="D95">
        <v>10565.75</v>
      </c>
      <c r="E95">
        <v>10574.6</v>
      </c>
      <c r="F95">
        <v>10410.299999999999</v>
      </c>
      <c r="G95">
        <v>10456.35</v>
      </c>
      <c r="H95">
        <v>0</v>
      </c>
      <c r="I95" s="8">
        <f t="shared" si="5"/>
        <v>-8.4632453345471204E-3</v>
      </c>
      <c r="J95" s="8">
        <f t="shared" si="6"/>
        <v>-8.4992619509536259E-3</v>
      </c>
      <c r="K95" s="8">
        <f t="shared" si="3"/>
        <v>-1.6155362460658296E-2</v>
      </c>
    </row>
    <row r="96" spans="1:11" x14ac:dyDescent="0.25">
      <c r="A96" t="str">
        <f t="shared" si="4"/>
        <v>52017</v>
      </c>
      <c r="B96" s="1">
        <v>42877</v>
      </c>
      <c r="C96" t="s">
        <v>81</v>
      </c>
      <c r="D96">
        <v>10486.8</v>
      </c>
      <c r="E96">
        <v>10538.65</v>
      </c>
      <c r="F96">
        <v>10454.950000000001</v>
      </c>
      <c r="G96">
        <v>10504.85</v>
      </c>
      <c r="H96">
        <v>0</v>
      </c>
      <c r="I96" s="8">
        <f t="shared" si="5"/>
        <v>4.6383298187226973E-3</v>
      </c>
      <c r="J96" s="8">
        <f t="shared" si="6"/>
        <v>4.6276059148519059E-3</v>
      </c>
      <c r="K96" s="8">
        <f t="shared" si="3"/>
        <v>-2.1230716619804468E-3</v>
      </c>
    </row>
    <row r="97" spans="1:11" x14ac:dyDescent="0.25">
      <c r="A97" t="str">
        <f t="shared" si="4"/>
        <v>52017</v>
      </c>
      <c r="B97" s="1">
        <v>42878</v>
      </c>
      <c r="C97" t="s">
        <v>82</v>
      </c>
      <c r="D97">
        <v>10535.9</v>
      </c>
      <c r="E97">
        <v>10583.2</v>
      </c>
      <c r="F97">
        <v>10480.75</v>
      </c>
      <c r="G97">
        <v>10510.2</v>
      </c>
      <c r="H97">
        <v>0</v>
      </c>
      <c r="I97" s="8">
        <f t="shared" si="5"/>
        <v>5.0928856670973133E-4</v>
      </c>
      <c r="J97" s="8">
        <f t="shared" si="6"/>
        <v>5.0915892330304297E-4</v>
      </c>
      <c r="K97" s="8">
        <f t="shared" si="3"/>
        <v>-1.5091952676584253E-2</v>
      </c>
    </row>
    <row r="98" spans="1:11" x14ac:dyDescent="0.25">
      <c r="A98" t="str">
        <f t="shared" si="4"/>
        <v>52017</v>
      </c>
      <c r="B98" s="1">
        <v>42879</v>
      </c>
      <c r="C98" t="s">
        <v>83</v>
      </c>
      <c r="D98">
        <v>10510.95</v>
      </c>
      <c r="E98">
        <v>10536.15</v>
      </c>
      <c r="F98">
        <v>10444.200000000001</v>
      </c>
      <c r="G98">
        <v>10509.2</v>
      </c>
      <c r="H98">
        <v>0</v>
      </c>
      <c r="I98" s="8">
        <f t="shared" si="5"/>
        <v>-9.5145668017715401E-5</v>
      </c>
      <c r="J98" s="8">
        <f t="shared" si="6"/>
        <v>-9.5150194653915499E-5</v>
      </c>
      <c r="K98" s="8">
        <f t="shared" si="3"/>
        <v>-1.6061606160616027E-2</v>
      </c>
    </row>
    <row r="99" spans="1:11" x14ac:dyDescent="0.25">
      <c r="A99" t="str">
        <f t="shared" si="4"/>
        <v>52017</v>
      </c>
      <c r="B99" s="1">
        <v>42880</v>
      </c>
      <c r="C99" t="s">
        <v>84</v>
      </c>
      <c r="D99">
        <v>10568.15</v>
      </c>
      <c r="E99">
        <v>10761.05</v>
      </c>
      <c r="F99">
        <v>10546.9</v>
      </c>
      <c r="G99">
        <v>10738.35</v>
      </c>
      <c r="H99">
        <v>0</v>
      </c>
      <c r="I99" s="8">
        <f t="shared" si="5"/>
        <v>2.180470444943472E-2</v>
      </c>
      <c r="J99" s="8">
        <f t="shared" si="6"/>
        <v>2.1570381984442048E-2</v>
      </c>
      <c r="K99" s="8">
        <f t="shared" si="3"/>
        <v>2.1260508996842731E-2</v>
      </c>
    </row>
    <row r="100" spans="1:11" x14ac:dyDescent="0.25">
      <c r="A100" t="str">
        <f t="shared" si="4"/>
        <v>52017</v>
      </c>
      <c r="B100" s="1">
        <v>42881</v>
      </c>
      <c r="C100" t="s">
        <v>85</v>
      </c>
      <c r="D100">
        <v>10741.75</v>
      </c>
      <c r="E100">
        <v>10792.75</v>
      </c>
      <c r="F100">
        <v>10683.75</v>
      </c>
      <c r="G100">
        <v>10735.4</v>
      </c>
      <c r="H100">
        <v>0</v>
      </c>
      <c r="I100" s="8">
        <f t="shared" si="5"/>
        <v>-2.7471632047759709E-4</v>
      </c>
      <c r="J100" s="8">
        <f t="shared" si="6"/>
        <v>-2.747540619182502E-4</v>
      </c>
      <c r="K100" s="8">
        <f t="shared" si="3"/>
        <v>4.2798407805682004E-3</v>
      </c>
    </row>
    <row r="101" spans="1:11" x14ac:dyDescent="0.25">
      <c r="A101" t="str">
        <f t="shared" si="4"/>
        <v>52017</v>
      </c>
      <c r="B101" s="1">
        <v>42884</v>
      </c>
      <c r="C101" t="s">
        <v>86</v>
      </c>
      <c r="D101">
        <v>10611.45</v>
      </c>
      <c r="E101">
        <v>10633.3</v>
      </c>
      <c r="F101">
        <v>10467.35</v>
      </c>
      <c r="G101">
        <v>10568.35</v>
      </c>
      <c r="H101">
        <v>0</v>
      </c>
      <c r="I101" s="8">
        <f t="shared" si="5"/>
        <v>-1.5560668442722192E-2</v>
      </c>
      <c r="J101" s="8">
        <f t="shared" si="6"/>
        <v>-1.5683006410425766E-2</v>
      </c>
      <c r="K101" s="8">
        <f t="shared" si="3"/>
        <v>-1.2921815311907503E-2</v>
      </c>
    </row>
    <row r="102" spans="1:11" x14ac:dyDescent="0.25">
      <c r="A102" t="str">
        <f t="shared" si="4"/>
        <v>52017</v>
      </c>
      <c r="B102" s="1">
        <v>42885</v>
      </c>
      <c r="C102" t="s">
        <v>87</v>
      </c>
      <c r="D102">
        <v>10535.35</v>
      </c>
      <c r="E102">
        <v>10627.25</v>
      </c>
      <c r="F102">
        <v>10496.3</v>
      </c>
      <c r="G102">
        <v>10609</v>
      </c>
      <c r="H102">
        <v>0</v>
      </c>
      <c r="I102" s="8">
        <f t="shared" si="5"/>
        <v>3.8463904015291206E-3</v>
      </c>
      <c r="J102" s="8">
        <f t="shared" si="6"/>
        <v>3.8390119561707557E-3</v>
      </c>
      <c r="K102" s="8">
        <f t="shared" si="3"/>
        <v>-6.7362921837477163E-3</v>
      </c>
    </row>
    <row r="103" spans="1:11" x14ac:dyDescent="0.25">
      <c r="A103" t="str">
        <f t="shared" si="4"/>
        <v>52017</v>
      </c>
      <c r="B103" s="1">
        <v>42886</v>
      </c>
      <c r="C103" t="s">
        <v>88</v>
      </c>
      <c r="D103">
        <v>10589.8</v>
      </c>
      <c r="E103">
        <v>10617.45</v>
      </c>
      <c r="F103">
        <v>10522.65</v>
      </c>
      <c r="G103">
        <v>10549.1</v>
      </c>
      <c r="H103">
        <v>0</v>
      </c>
      <c r="I103" s="8">
        <f t="shared" si="5"/>
        <v>-5.6461494957111835E-3</v>
      </c>
      <c r="J103" s="8">
        <f t="shared" si="6"/>
        <v>-5.6621492508702586E-3</v>
      </c>
      <c r="K103" s="8">
        <f t="shared" si="3"/>
        <v>-1.8510334432757514E-2</v>
      </c>
    </row>
    <row r="104" spans="1:11" x14ac:dyDescent="0.25">
      <c r="A104" t="str">
        <f t="shared" si="4"/>
        <v>62017</v>
      </c>
      <c r="B104" s="1">
        <v>42887</v>
      </c>
      <c r="C104" s="10">
        <v>42741.645833333336</v>
      </c>
      <c r="D104">
        <v>10508.7</v>
      </c>
      <c r="E104">
        <v>10625.35</v>
      </c>
      <c r="F104">
        <v>10478.4</v>
      </c>
      <c r="G104">
        <v>10574.7</v>
      </c>
      <c r="H104">
        <v>0</v>
      </c>
      <c r="I104" s="8">
        <f t="shared" si="5"/>
        <v>2.426747305457333E-3</v>
      </c>
      <c r="J104" s="8">
        <f t="shared" si="6"/>
        <v>2.4238075093493392E-3</v>
      </c>
      <c r="K104" s="8">
        <f t="shared" si="3"/>
        <v>-1.5537722499441409E-2</v>
      </c>
    </row>
    <row r="105" spans="1:11" x14ac:dyDescent="0.25">
      <c r="A105" t="str">
        <f t="shared" si="4"/>
        <v>62017</v>
      </c>
      <c r="B105" s="1">
        <v>42888</v>
      </c>
      <c r="C105" s="10">
        <v>42772.645833333336</v>
      </c>
      <c r="D105">
        <v>10598.5</v>
      </c>
      <c r="E105">
        <v>10647</v>
      </c>
      <c r="F105">
        <v>10564.1</v>
      </c>
      <c r="G105">
        <v>10608.95</v>
      </c>
      <c r="H105">
        <v>0</v>
      </c>
      <c r="I105" s="8">
        <f t="shared" si="5"/>
        <v>3.2388625682051586E-3</v>
      </c>
      <c r="J105" s="8">
        <f t="shared" si="6"/>
        <v>3.2336287508690424E-3</v>
      </c>
      <c r="K105" s="8">
        <f t="shared" si="3"/>
        <v>-1.8257952573741965E-2</v>
      </c>
    </row>
    <row r="106" spans="1:11" x14ac:dyDescent="0.25">
      <c r="A106" t="str">
        <f t="shared" si="4"/>
        <v>62017</v>
      </c>
      <c r="B106" s="1">
        <v>42891</v>
      </c>
      <c r="C106" s="10">
        <v>42861.645833333336</v>
      </c>
      <c r="D106">
        <v>10608.85</v>
      </c>
      <c r="E106">
        <v>10677.65</v>
      </c>
      <c r="F106">
        <v>10585.7</v>
      </c>
      <c r="G106">
        <v>10660.1</v>
      </c>
      <c r="H106">
        <v>0</v>
      </c>
      <c r="I106" s="8">
        <f t="shared" si="5"/>
        <v>4.821400798382447E-3</v>
      </c>
      <c r="J106" s="8">
        <f t="shared" si="6"/>
        <v>4.8098150702551119E-3</v>
      </c>
      <c r="K106" s="8">
        <f t="shared" si="3"/>
        <v>-1.1035295318232996E-2</v>
      </c>
    </row>
    <row r="107" spans="1:11" x14ac:dyDescent="0.25">
      <c r="A107" t="str">
        <f t="shared" si="4"/>
        <v>62017</v>
      </c>
      <c r="B107" s="1">
        <v>42892</v>
      </c>
      <c r="C107" s="10">
        <v>42892.645833333336</v>
      </c>
      <c r="D107">
        <v>10749.4</v>
      </c>
      <c r="E107">
        <v>11016.1</v>
      </c>
      <c r="F107">
        <v>10733.65</v>
      </c>
      <c r="G107">
        <v>10907.25</v>
      </c>
      <c r="H107">
        <v>0</v>
      </c>
      <c r="I107" s="8">
        <f t="shared" si="5"/>
        <v>2.318458551045488E-2</v>
      </c>
      <c r="J107" s="8">
        <f t="shared" si="6"/>
        <v>2.2919906187054338E-2</v>
      </c>
      <c r="K107" s="8">
        <f t="shared" si="3"/>
        <v>1.001472344917631E-2</v>
      </c>
    </row>
    <row r="108" spans="1:11" x14ac:dyDescent="0.25">
      <c r="A108" t="str">
        <f t="shared" si="4"/>
        <v>62017</v>
      </c>
      <c r="B108" s="1">
        <v>42893</v>
      </c>
      <c r="C108" s="10">
        <v>42922.645833333336</v>
      </c>
      <c r="D108">
        <v>10930.4</v>
      </c>
      <c r="E108">
        <v>10941.15</v>
      </c>
      <c r="F108">
        <v>10533.15</v>
      </c>
      <c r="G108">
        <v>10701.25</v>
      </c>
      <c r="H108">
        <v>0</v>
      </c>
      <c r="I108" s="8">
        <f t="shared" si="5"/>
        <v>-1.8886520433656462E-2</v>
      </c>
      <c r="J108" s="8">
        <f t="shared" si="6"/>
        <v>-1.9067148669233775E-2</v>
      </c>
      <c r="K108" s="8">
        <f t="shared" si="3"/>
        <v>-3.5569791749112678E-3</v>
      </c>
    </row>
    <row r="109" spans="1:11" x14ac:dyDescent="0.25">
      <c r="A109" t="str">
        <f t="shared" si="4"/>
        <v>62017</v>
      </c>
      <c r="B109" s="1">
        <v>42894</v>
      </c>
      <c r="C109" s="10">
        <v>42953.645833333336</v>
      </c>
      <c r="D109">
        <v>10684.8</v>
      </c>
      <c r="E109">
        <v>10696.85</v>
      </c>
      <c r="F109">
        <v>10520.95</v>
      </c>
      <c r="G109">
        <v>10550</v>
      </c>
      <c r="H109">
        <v>0</v>
      </c>
      <c r="I109" s="8">
        <f t="shared" si="5"/>
        <v>-1.4133862866487545E-2</v>
      </c>
      <c r="J109" s="8">
        <f t="shared" si="6"/>
        <v>-1.4234697152482847E-2</v>
      </c>
      <c r="K109" s="8">
        <f t="shared" si="3"/>
        <v>-1.629408610923333E-2</v>
      </c>
    </row>
    <row r="110" spans="1:11" x14ac:dyDescent="0.25">
      <c r="A110" t="str">
        <f t="shared" si="4"/>
        <v>62017</v>
      </c>
      <c r="B110" s="1">
        <v>42895</v>
      </c>
      <c r="C110" s="10">
        <v>42984.645833333336</v>
      </c>
      <c r="D110">
        <v>10484.299999999999</v>
      </c>
      <c r="E110">
        <v>10500.1</v>
      </c>
      <c r="F110">
        <v>10373.1</v>
      </c>
      <c r="G110">
        <v>10442.65</v>
      </c>
      <c r="H110">
        <v>0</v>
      </c>
      <c r="I110" s="8">
        <f t="shared" si="5"/>
        <v>-1.0175355450236956E-2</v>
      </c>
      <c r="J110" s="8">
        <f t="shared" si="6"/>
        <v>-1.0227478259702149E-2</v>
      </c>
      <c r="K110" s="8">
        <f t="shared" si="3"/>
        <v>-2.8577142936878297E-2</v>
      </c>
    </row>
    <row r="111" spans="1:11" x14ac:dyDescent="0.25">
      <c r="A111" t="str">
        <f t="shared" si="4"/>
        <v>62017</v>
      </c>
      <c r="B111" s="1">
        <v>42898</v>
      </c>
      <c r="C111" s="10">
        <v>43075.645833333336</v>
      </c>
      <c r="D111">
        <v>10412.5</v>
      </c>
      <c r="E111">
        <v>10512.25</v>
      </c>
      <c r="F111">
        <v>10314.4</v>
      </c>
      <c r="G111">
        <v>10470.75</v>
      </c>
      <c r="H111">
        <v>0</v>
      </c>
      <c r="I111" s="8">
        <f t="shared" si="5"/>
        <v>2.6908878493485666E-3</v>
      </c>
      <c r="J111" s="8">
        <f t="shared" si="6"/>
        <v>2.6872738923566122E-3</v>
      </c>
      <c r="K111" s="8">
        <f t="shared" si="3"/>
        <v>-3.7548544247075877E-2</v>
      </c>
    </row>
    <row r="112" spans="1:11" x14ac:dyDescent="0.25">
      <c r="A112" t="str">
        <f t="shared" si="4"/>
        <v>62017</v>
      </c>
      <c r="B112" s="1">
        <v>42899</v>
      </c>
      <c r="C112" t="s">
        <v>89</v>
      </c>
      <c r="D112">
        <v>10389.299999999999</v>
      </c>
      <c r="E112">
        <v>10458.549999999999</v>
      </c>
      <c r="F112">
        <v>10318.950000000001</v>
      </c>
      <c r="G112">
        <v>10339</v>
      </c>
      <c r="H112">
        <v>0</v>
      </c>
      <c r="I112" s="8">
        <f t="shared" si="5"/>
        <v>-1.258267077334474E-2</v>
      </c>
      <c r="J112" s="8">
        <f t="shared" si="6"/>
        <v>-1.2662502950173864E-2</v>
      </c>
      <c r="K112" s="8">
        <f t="shared" si="3"/>
        <v>-3.342666560713492E-2</v>
      </c>
    </row>
    <row r="113" spans="1:11" x14ac:dyDescent="0.25">
      <c r="A113" t="str">
        <f t="shared" si="4"/>
        <v>62017</v>
      </c>
      <c r="B113" s="1">
        <v>42900</v>
      </c>
      <c r="C113" t="s">
        <v>90</v>
      </c>
      <c r="D113">
        <v>10370.25</v>
      </c>
      <c r="E113">
        <v>10375.6</v>
      </c>
      <c r="F113">
        <v>10291.5</v>
      </c>
      <c r="G113">
        <v>10366.1</v>
      </c>
      <c r="H113">
        <v>0</v>
      </c>
      <c r="I113" s="8">
        <f t="shared" si="5"/>
        <v>2.6211432440275129E-3</v>
      </c>
      <c r="J113" s="8">
        <f t="shared" si="6"/>
        <v>2.6177140390592196E-3</v>
      </c>
      <c r="K113" s="8">
        <f t="shared" si="3"/>
        <v>-4.2135999482540321E-2</v>
      </c>
    </row>
    <row r="114" spans="1:11" x14ac:dyDescent="0.25">
      <c r="A114" t="str">
        <f t="shared" si="4"/>
        <v>62017</v>
      </c>
      <c r="B114" s="1">
        <v>42901</v>
      </c>
      <c r="C114" t="s">
        <v>91</v>
      </c>
      <c r="D114">
        <v>10383.9</v>
      </c>
      <c r="E114">
        <v>10385.1</v>
      </c>
      <c r="F114">
        <v>10262.049999999999</v>
      </c>
      <c r="G114">
        <v>10278.049999999999</v>
      </c>
      <c r="H114">
        <v>0</v>
      </c>
      <c r="I114" s="8">
        <f t="shared" si="5"/>
        <v>-8.4940334359113745E-3</v>
      </c>
      <c r="J114" s="8">
        <f t="shared" si="6"/>
        <v>-8.5303133257294932E-3</v>
      </c>
      <c r="K114" s="8">
        <f t="shared" si="3"/>
        <v>-5.7124509781437127E-2</v>
      </c>
    </row>
    <row r="115" spans="1:11" x14ac:dyDescent="0.25">
      <c r="A115" t="str">
        <f t="shared" si="4"/>
        <v>62017</v>
      </c>
      <c r="B115" s="1">
        <v>42902</v>
      </c>
      <c r="C115" t="s">
        <v>92</v>
      </c>
      <c r="D115">
        <v>10262.700000000001</v>
      </c>
      <c r="E115">
        <v>10326.950000000001</v>
      </c>
      <c r="F115">
        <v>10161.5</v>
      </c>
      <c r="G115">
        <v>10189.5</v>
      </c>
      <c r="H115">
        <v>0</v>
      </c>
      <c r="I115" s="8">
        <f t="shared" si="5"/>
        <v>-8.6154474827422334E-3</v>
      </c>
      <c r="J115" s="8">
        <f t="shared" si="6"/>
        <v>-8.652775000556447E-3</v>
      </c>
      <c r="K115" s="8">
        <f t="shared" si="3"/>
        <v>-5.4492309833669705E-2</v>
      </c>
    </row>
    <row r="116" spans="1:11" x14ac:dyDescent="0.25">
      <c r="A116" t="str">
        <f t="shared" si="4"/>
        <v>62017</v>
      </c>
      <c r="B116" s="1">
        <v>42905</v>
      </c>
      <c r="C116" t="s">
        <v>93</v>
      </c>
      <c r="D116">
        <v>10214.15</v>
      </c>
      <c r="E116">
        <v>10247.450000000001</v>
      </c>
      <c r="F116">
        <v>10162</v>
      </c>
      <c r="G116">
        <v>10197.9</v>
      </c>
      <c r="H116">
        <v>0</v>
      </c>
      <c r="I116" s="8">
        <f t="shared" si="5"/>
        <v>8.2437803621382422E-4</v>
      </c>
      <c r="J116" s="8">
        <f t="shared" si="6"/>
        <v>8.240384232740106E-4</v>
      </c>
      <c r="K116" s="8">
        <f t="shared" si="3"/>
        <v>-5.4629560961139245E-2</v>
      </c>
    </row>
    <row r="117" spans="1:11" x14ac:dyDescent="0.25">
      <c r="A117" t="str">
        <f t="shared" si="4"/>
        <v>62017</v>
      </c>
      <c r="B117" s="1">
        <v>42906</v>
      </c>
      <c r="C117" t="s">
        <v>94</v>
      </c>
      <c r="D117">
        <v>10220.1</v>
      </c>
      <c r="E117">
        <v>10300.700000000001</v>
      </c>
      <c r="F117">
        <v>10177.299999999999</v>
      </c>
      <c r="G117">
        <v>10289.950000000001</v>
      </c>
      <c r="H117">
        <v>0</v>
      </c>
      <c r="I117" s="8">
        <f t="shared" si="5"/>
        <v>9.0263681738398382E-3</v>
      </c>
      <c r="J117" s="8">
        <f t="shared" si="6"/>
        <v>8.9858740070580291E-3</v>
      </c>
      <c r="K117" s="8">
        <f t="shared" si="3"/>
        <v>-4.5751300622258406E-2</v>
      </c>
    </row>
    <row r="118" spans="1:11" x14ac:dyDescent="0.25">
      <c r="A118" t="str">
        <f t="shared" si="4"/>
        <v>62017</v>
      </c>
      <c r="B118" s="1">
        <v>42907</v>
      </c>
      <c r="C118" t="s">
        <v>95</v>
      </c>
      <c r="D118">
        <v>10289.200000000001</v>
      </c>
      <c r="E118">
        <v>10289.200000000001</v>
      </c>
      <c r="F118">
        <v>10191.700000000001</v>
      </c>
      <c r="G118">
        <v>10223.4</v>
      </c>
      <c r="H118">
        <v>0</v>
      </c>
      <c r="I118" s="8">
        <f t="shared" si="5"/>
        <v>-6.4674755465284894E-3</v>
      </c>
      <c r="J118" s="8">
        <f t="shared" si="6"/>
        <v>-6.488480280549741E-3</v>
      </c>
      <c r="K118" s="8">
        <f t="shared" si="3"/>
        <v>-5.7820621520993765E-2</v>
      </c>
    </row>
    <row r="119" spans="1:11" x14ac:dyDescent="0.25">
      <c r="A119" t="str">
        <f t="shared" si="4"/>
        <v>62017</v>
      </c>
      <c r="B119" s="1">
        <v>42908</v>
      </c>
      <c r="C119" t="s">
        <v>96</v>
      </c>
      <c r="D119">
        <v>10255.75</v>
      </c>
      <c r="E119">
        <v>10354.65</v>
      </c>
      <c r="F119">
        <v>10167.1</v>
      </c>
      <c r="G119">
        <v>10199.549999999999</v>
      </c>
      <c r="H119">
        <v>0</v>
      </c>
      <c r="I119" s="8">
        <f t="shared" si="5"/>
        <v>-2.3328833851752329E-3</v>
      </c>
      <c r="J119" s="8">
        <f t="shared" si="6"/>
        <v>-2.335608797156928E-3</v>
      </c>
      <c r="K119" s="8">
        <f t="shared" si="3"/>
        <v>-5.2874235649715273E-2</v>
      </c>
    </row>
    <row r="120" spans="1:11" x14ac:dyDescent="0.25">
      <c r="A120" t="str">
        <f t="shared" si="4"/>
        <v>62017</v>
      </c>
      <c r="B120" s="1">
        <v>42909</v>
      </c>
      <c r="C120" t="s">
        <v>97</v>
      </c>
      <c r="D120">
        <v>10226.25</v>
      </c>
      <c r="E120">
        <v>10253.4</v>
      </c>
      <c r="F120">
        <v>10155.85</v>
      </c>
      <c r="G120">
        <v>10170.6</v>
      </c>
      <c r="H120">
        <v>0</v>
      </c>
      <c r="I120" s="8">
        <f t="shared" si="5"/>
        <v>-2.8383605159050251E-3</v>
      </c>
      <c r="J120" s="8">
        <f t="shared" si="6"/>
        <v>-2.8423962995959107E-3</v>
      </c>
      <c r="K120" s="8">
        <f t="shared" si="3"/>
        <v>-4.487956050147901E-2</v>
      </c>
    </row>
    <row r="121" spans="1:11" x14ac:dyDescent="0.25">
      <c r="A121" t="str">
        <f t="shared" si="4"/>
        <v>62017</v>
      </c>
      <c r="B121" s="1">
        <v>42913</v>
      </c>
      <c r="C121" t="s">
        <v>98</v>
      </c>
      <c r="D121">
        <v>10160</v>
      </c>
      <c r="E121">
        <v>10203</v>
      </c>
      <c r="F121">
        <v>10045.1</v>
      </c>
      <c r="G121">
        <v>10068.85</v>
      </c>
      <c r="H121">
        <v>0</v>
      </c>
      <c r="I121" s="8">
        <f t="shared" si="5"/>
        <v>-1.0004326195111379E-2</v>
      </c>
      <c r="J121" s="8">
        <f t="shared" si="6"/>
        <v>-1.0054705757101354E-2</v>
      </c>
      <c r="K121" s="8">
        <f t="shared" si="3"/>
        <v>-5.7316462332822948E-2</v>
      </c>
    </row>
    <row r="122" spans="1:11" x14ac:dyDescent="0.25">
      <c r="A122" t="str">
        <f t="shared" si="4"/>
        <v>62017</v>
      </c>
      <c r="B122" s="1">
        <v>42914</v>
      </c>
      <c r="C122" t="s">
        <v>99</v>
      </c>
      <c r="D122">
        <v>10100.65</v>
      </c>
      <c r="E122">
        <v>10148.950000000001</v>
      </c>
      <c r="F122">
        <v>10060.65</v>
      </c>
      <c r="G122">
        <v>10133.549999999999</v>
      </c>
      <c r="H122">
        <v>0</v>
      </c>
      <c r="I122" s="8">
        <f t="shared" si="5"/>
        <v>6.4257586516831555E-3</v>
      </c>
      <c r="J122" s="8">
        <f t="shared" si="6"/>
        <v>6.4052014811737997E-3</v>
      </c>
      <c r="K122" s="8">
        <f t="shared" si="3"/>
        <v>-5.6576283021063767E-2</v>
      </c>
    </row>
    <row r="123" spans="1:11" x14ac:dyDescent="0.25">
      <c r="A123" t="str">
        <f t="shared" si="4"/>
        <v>62017</v>
      </c>
      <c r="B123" s="1">
        <v>42915</v>
      </c>
      <c r="C123" t="s">
        <v>100</v>
      </c>
      <c r="D123">
        <v>10183.299999999999</v>
      </c>
      <c r="E123">
        <v>10238.950000000001</v>
      </c>
      <c r="F123">
        <v>10105.9</v>
      </c>
      <c r="G123">
        <v>10124.4</v>
      </c>
      <c r="H123">
        <v>0</v>
      </c>
      <c r="I123" s="8">
        <f t="shared" si="5"/>
        <v>-9.0294122000678101E-4</v>
      </c>
      <c r="J123" s="8">
        <f t="shared" si="6"/>
        <v>-9.0334911698665692E-4</v>
      </c>
      <c r="K123" s="8">
        <f t="shared" si="3"/>
        <v>-5.6505836031964241E-2</v>
      </c>
    </row>
    <row r="124" spans="1:11" x14ac:dyDescent="0.25">
      <c r="A124" t="str">
        <f t="shared" si="4"/>
        <v>62017</v>
      </c>
      <c r="B124" s="1">
        <v>42916</v>
      </c>
      <c r="C124" t="s">
        <v>101</v>
      </c>
      <c r="D124">
        <v>10098.549999999999</v>
      </c>
      <c r="E124">
        <v>10173.85</v>
      </c>
      <c r="F124">
        <v>10071.549999999999</v>
      </c>
      <c r="G124">
        <v>10155.049999999999</v>
      </c>
      <c r="H124">
        <v>0</v>
      </c>
      <c r="I124" s="8">
        <f t="shared" si="5"/>
        <v>3.0273398917466388E-3</v>
      </c>
      <c r="J124" s="8">
        <f t="shared" si="6"/>
        <v>3.0227667256972029E-3</v>
      </c>
      <c r="K124" s="8">
        <f t="shared" si="3"/>
        <v>-5.1218087963936232E-2</v>
      </c>
    </row>
    <row r="125" spans="1:11" x14ac:dyDescent="0.25">
      <c r="A125" t="str">
        <f t="shared" si="4"/>
        <v>72017</v>
      </c>
      <c r="B125" s="1">
        <v>42919</v>
      </c>
      <c r="C125" s="10">
        <v>42801.645833333336</v>
      </c>
      <c r="D125">
        <v>10174.299999999999</v>
      </c>
      <c r="E125">
        <v>10209.950000000001</v>
      </c>
      <c r="F125">
        <v>10075.799999999999</v>
      </c>
      <c r="G125">
        <v>10189.85</v>
      </c>
      <c r="H125">
        <v>0</v>
      </c>
      <c r="I125" s="8">
        <f t="shared" si="5"/>
        <v>3.426866435911391E-3</v>
      </c>
      <c r="J125" s="8">
        <f t="shared" si="6"/>
        <v>3.4210081091138466E-3</v>
      </c>
      <c r="K125" s="8">
        <f t="shared" si="3"/>
        <v>-3.7967333836858019E-2</v>
      </c>
    </row>
    <row r="126" spans="1:11" x14ac:dyDescent="0.25">
      <c r="A126" t="str">
        <f t="shared" si="4"/>
        <v>72017</v>
      </c>
      <c r="B126" s="1">
        <v>42920</v>
      </c>
      <c r="C126" s="10">
        <v>42832.645833333336</v>
      </c>
      <c r="D126">
        <v>10215.25</v>
      </c>
      <c r="E126">
        <v>10256.549999999999</v>
      </c>
      <c r="F126">
        <v>10150</v>
      </c>
      <c r="G126">
        <v>10213.4</v>
      </c>
      <c r="H126">
        <v>0</v>
      </c>
      <c r="I126" s="8">
        <f t="shared" si="5"/>
        <v>2.3111233236994266E-3</v>
      </c>
      <c r="J126" s="8">
        <f t="shared" si="6"/>
        <v>2.3084567858656499E-3</v>
      </c>
      <c r="K126" s="8">
        <f t="shared" si="3"/>
        <v>-2.8248480062414982E-2</v>
      </c>
    </row>
    <row r="127" spans="1:11" x14ac:dyDescent="0.25">
      <c r="A127" t="str">
        <f t="shared" si="4"/>
        <v>72017</v>
      </c>
      <c r="B127" s="1">
        <v>42921</v>
      </c>
      <c r="C127" s="10">
        <v>42862.645833333336</v>
      </c>
      <c r="D127">
        <v>10196.049999999999</v>
      </c>
      <c r="E127">
        <v>10196.049999999999</v>
      </c>
      <c r="F127">
        <v>10137</v>
      </c>
      <c r="G127">
        <v>10160.65</v>
      </c>
      <c r="H127">
        <v>0</v>
      </c>
      <c r="I127" s="8">
        <f t="shared" si="5"/>
        <v>-5.1647835196898528E-3</v>
      </c>
      <c r="J127" s="8">
        <f t="shared" si="6"/>
        <v>-5.1781671162336122E-3</v>
      </c>
      <c r="K127" s="8">
        <f t="shared" si="3"/>
        <v>-3.5822226861450979E-2</v>
      </c>
    </row>
    <row r="128" spans="1:11" x14ac:dyDescent="0.25">
      <c r="A128" t="str">
        <f t="shared" si="4"/>
        <v>72017</v>
      </c>
      <c r="B128" s="1">
        <v>42922</v>
      </c>
      <c r="C128" s="10">
        <v>42893.645833333336</v>
      </c>
      <c r="D128">
        <v>10151.549999999999</v>
      </c>
      <c r="E128">
        <v>10198.200000000001</v>
      </c>
      <c r="F128">
        <v>10127.049999999999</v>
      </c>
      <c r="G128">
        <v>10148.9</v>
      </c>
      <c r="H128">
        <v>0</v>
      </c>
      <c r="I128" s="8">
        <f t="shared" si="5"/>
        <v>-1.1564220792961155E-3</v>
      </c>
      <c r="J128" s="8">
        <f t="shared" si="6"/>
        <v>-1.1570912512554232E-3</v>
      </c>
      <c r="K128" s="8">
        <f t="shared" ref="K128:K191" si="7">+G128/G67-1</f>
        <v>-3.2124549984502759E-2</v>
      </c>
    </row>
    <row r="129" spans="1:11" x14ac:dyDescent="0.25">
      <c r="A129" t="str">
        <f t="shared" si="4"/>
        <v>72017</v>
      </c>
      <c r="B129" s="1">
        <v>42923</v>
      </c>
      <c r="C129" s="10">
        <v>42923.645833333336</v>
      </c>
      <c r="D129">
        <v>10125.65</v>
      </c>
      <c r="E129">
        <v>10151.5</v>
      </c>
      <c r="F129">
        <v>10073.950000000001</v>
      </c>
      <c r="G129">
        <v>10087.799999999999</v>
      </c>
      <c r="H129">
        <v>0</v>
      </c>
      <c r="I129" s="8">
        <f t="shared" si="5"/>
        <v>-6.0203568859680257E-3</v>
      </c>
      <c r="J129" s="8">
        <f t="shared" si="6"/>
        <v>-6.0385522998316152E-3</v>
      </c>
      <c r="K129" s="8">
        <f t="shared" si="7"/>
        <v>-2.4216131512891592E-2</v>
      </c>
    </row>
    <row r="130" spans="1:11" x14ac:dyDescent="0.25">
      <c r="A130" t="str">
        <f t="shared" si="4"/>
        <v>72017</v>
      </c>
      <c r="B130" s="1">
        <v>42926</v>
      </c>
      <c r="C130" s="10">
        <v>43015.645833333336</v>
      </c>
      <c r="D130">
        <v>10214.299999999999</v>
      </c>
      <c r="E130">
        <v>10377.1</v>
      </c>
      <c r="F130">
        <v>9946.35</v>
      </c>
      <c r="G130">
        <v>10360.1</v>
      </c>
      <c r="H130">
        <v>0</v>
      </c>
      <c r="I130" s="8">
        <f t="shared" si="5"/>
        <v>2.6993001447292775E-2</v>
      </c>
      <c r="J130" s="8">
        <f t="shared" si="6"/>
        <v>2.6635116363603883E-2</v>
      </c>
      <c r="K130" s="8">
        <f t="shared" si="7"/>
        <v>-3.7263735893873218E-3</v>
      </c>
    </row>
    <row r="131" spans="1:11" x14ac:dyDescent="0.25">
      <c r="A131" t="str">
        <f t="shared" ref="A131:A194" si="8">+MONTH(B131)&amp;YEAR(B131)</f>
        <v>72017</v>
      </c>
      <c r="B131" s="1">
        <v>42927</v>
      </c>
      <c r="C131" s="10">
        <v>43046.645833333336</v>
      </c>
      <c r="D131">
        <v>10333.299999999999</v>
      </c>
      <c r="E131">
        <v>10611.95</v>
      </c>
      <c r="F131">
        <v>10333.299999999999</v>
      </c>
      <c r="G131">
        <v>10430</v>
      </c>
      <c r="H131">
        <v>0</v>
      </c>
      <c r="I131" s="8">
        <f t="shared" si="5"/>
        <v>6.7470391212438585E-3</v>
      </c>
      <c r="J131" s="8">
        <f t="shared" si="6"/>
        <v>6.7243797182765961E-3</v>
      </c>
      <c r="K131" s="8">
        <f t="shared" si="7"/>
        <v>1.0321162014636398E-2</v>
      </c>
    </row>
    <row r="132" spans="1:11" x14ac:dyDescent="0.25">
      <c r="A132" t="str">
        <f t="shared" si="8"/>
        <v>72017</v>
      </c>
      <c r="B132" s="1">
        <v>42928</v>
      </c>
      <c r="C132" s="10">
        <v>43076.645833333336</v>
      </c>
      <c r="D132">
        <v>10440.700000000001</v>
      </c>
      <c r="E132">
        <v>10467.9</v>
      </c>
      <c r="F132">
        <v>10385.65</v>
      </c>
      <c r="G132">
        <v>10401.5</v>
      </c>
      <c r="H132">
        <v>0</v>
      </c>
      <c r="I132" s="8">
        <f t="shared" ref="I132:I195" si="9">+G132/G131-1</f>
        <v>-2.7325023969319018E-3</v>
      </c>
      <c r="J132" s="8">
        <f t="shared" ref="J132:J195" si="10">+LN(1+I132)</f>
        <v>-2.7362424963806868E-3</v>
      </c>
      <c r="K132" s="8">
        <f t="shared" si="7"/>
        <v>3.3514834760835388E-2</v>
      </c>
    </row>
    <row r="133" spans="1:11" x14ac:dyDescent="0.25">
      <c r="A133" t="str">
        <f t="shared" si="8"/>
        <v>72017</v>
      </c>
      <c r="B133" s="1">
        <v>42929</v>
      </c>
      <c r="C133" t="s">
        <v>102</v>
      </c>
      <c r="D133">
        <v>10428.1</v>
      </c>
      <c r="E133">
        <v>10495.5</v>
      </c>
      <c r="F133">
        <v>10394.950000000001</v>
      </c>
      <c r="G133">
        <v>10440.549999999999</v>
      </c>
      <c r="H133">
        <v>0</v>
      </c>
      <c r="I133" s="8">
        <f t="shared" si="9"/>
        <v>3.7542662116041292E-3</v>
      </c>
      <c r="J133" s="8">
        <f t="shared" si="10"/>
        <v>3.7472365428820706E-3</v>
      </c>
      <c r="K133" s="8">
        <f t="shared" si="7"/>
        <v>4.396104350608443E-2</v>
      </c>
    </row>
    <row r="134" spans="1:11" x14ac:dyDescent="0.25">
      <c r="A134" t="str">
        <f t="shared" si="8"/>
        <v>72017</v>
      </c>
      <c r="B134" s="1">
        <v>42930</v>
      </c>
      <c r="C134" t="s">
        <v>103</v>
      </c>
      <c r="D134">
        <v>10442.549999999999</v>
      </c>
      <c r="E134">
        <v>10463.299999999999</v>
      </c>
      <c r="F134">
        <v>10306.799999999999</v>
      </c>
      <c r="G134">
        <v>10330.65</v>
      </c>
      <c r="H134">
        <v>0</v>
      </c>
      <c r="I134" s="8">
        <f t="shared" si="9"/>
        <v>-1.0526265378739574E-2</v>
      </c>
      <c r="J134" s="8">
        <f t="shared" si="10"/>
        <v>-1.0582058383519721E-2</v>
      </c>
      <c r="K134" s="8">
        <f t="shared" si="7"/>
        <v>3.4974528004167782E-2</v>
      </c>
    </row>
    <row r="135" spans="1:11" x14ac:dyDescent="0.25">
      <c r="A135" t="str">
        <f t="shared" si="8"/>
        <v>72017</v>
      </c>
      <c r="B135" s="1">
        <v>42933</v>
      </c>
      <c r="C135" t="s">
        <v>104</v>
      </c>
      <c r="D135">
        <v>10371.700000000001</v>
      </c>
      <c r="E135">
        <v>10512.8</v>
      </c>
      <c r="F135">
        <v>10356.950000000001</v>
      </c>
      <c r="G135">
        <v>10445.85</v>
      </c>
      <c r="H135">
        <v>0</v>
      </c>
      <c r="I135" s="8">
        <f t="shared" si="9"/>
        <v>1.1151282833122833E-2</v>
      </c>
      <c r="J135" s="8">
        <f t="shared" si="10"/>
        <v>1.108956567187561E-2</v>
      </c>
      <c r="K135" s="8">
        <f t="shared" si="7"/>
        <v>5.0383114793661088E-2</v>
      </c>
    </row>
    <row r="136" spans="1:11" x14ac:dyDescent="0.25">
      <c r="A136" t="str">
        <f t="shared" si="8"/>
        <v>72017</v>
      </c>
      <c r="B136" s="1">
        <v>42934</v>
      </c>
      <c r="C136" t="s">
        <v>105</v>
      </c>
      <c r="D136">
        <v>10455.15</v>
      </c>
      <c r="E136">
        <v>10608.9</v>
      </c>
      <c r="F136">
        <v>10454.950000000001</v>
      </c>
      <c r="G136">
        <v>10493.2</v>
      </c>
      <c r="H136">
        <v>0</v>
      </c>
      <c r="I136" s="8">
        <f t="shared" si="9"/>
        <v>4.5329006256074056E-3</v>
      </c>
      <c r="J136" s="8">
        <f t="shared" si="10"/>
        <v>4.5226579725217309E-3</v>
      </c>
      <c r="K136" s="8">
        <f t="shared" si="7"/>
        <v>4.5238344265642771E-2</v>
      </c>
    </row>
    <row r="137" spans="1:11" x14ac:dyDescent="0.25">
      <c r="A137" t="str">
        <f t="shared" si="8"/>
        <v>72017</v>
      </c>
      <c r="B137" s="1">
        <v>42935</v>
      </c>
      <c r="C137" t="s">
        <v>106</v>
      </c>
      <c r="D137">
        <v>10506.75</v>
      </c>
      <c r="E137">
        <v>10606.55</v>
      </c>
      <c r="F137">
        <v>10494.05</v>
      </c>
      <c r="G137">
        <v>10583.8</v>
      </c>
      <c r="H137">
        <v>0</v>
      </c>
      <c r="I137" s="8">
        <f t="shared" si="9"/>
        <v>8.6341630770401245E-3</v>
      </c>
      <c r="J137" s="8">
        <f t="shared" si="10"/>
        <v>8.5971018665865033E-3</v>
      </c>
      <c r="K137" s="8">
        <f t="shared" si="7"/>
        <v>5.751812272997503E-2</v>
      </c>
    </row>
    <row r="138" spans="1:11" x14ac:dyDescent="0.25">
      <c r="A138" t="str">
        <f t="shared" si="8"/>
        <v>72017</v>
      </c>
      <c r="B138" s="1">
        <v>42936</v>
      </c>
      <c r="C138" t="s">
        <v>107</v>
      </c>
      <c r="D138">
        <v>10587.45</v>
      </c>
      <c r="E138">
        <v>10593.95</v>
      </c>
      <c r="F138">
        <v>10474.85</v>
      </c>
      <c r="G138">
        <v>10491.15</v>
      </c>
      <c r="H138">
        <v>0</v>
      </c>
      <c r="I138" s="8">
        <f t="shared" si="9"/>
        <v>-8.7539447079498789E-3</v>
      </c>
      <c r="J138" s="8">
        <f t="shared" si="10"/>
        <v>-8.7924855698247734E-3</v>
      </c>
      <c r="K138" s="8">
        <f t="shared" si="7"/>
        <v>4.3028926215532337E-2</v>
      </c>
    </row>
    <row r="139" spans="1:11" x14ac:dyDescent="0.25">
      <c r="A139" t="str">
        <f t="shared" si="8"/>
        <v>72017</v>
      </c>
      <c r="B139" s="1">
        <v>42937</v>
      </c>
      <c r="C139" t="s">
        <v>108</v>
      </c>
      <c r="D139">
        <v>10573</v>
      </c>
      <c r="E139">
        <v>10726.1</v>
      </c>
      <c r="F139">
        <v>10561.95</v>
      </c>
      <c r="G139">
        <v>10711.55</v>
      </c>
      <c r="H139">
        <v>0</v>
      </c>
      <c r="I139" s="8">
        <f t="shared" si="9"/>
        <v>2.1008183087650067E-2</v>
      </c>
      <c r="J139" s="8">
        <f t="shared" si="10"/>
        <v>2.0790553927736564E-2</v>
      </c>
      <c r="K139" s="8">
        <f t="shared" si="7"/>
        <v>6.1469094512572653E-2</v>
      </c>
    </row>
    <row r="140" spans="1:11" x14ac:dyDescent="0.25">
      <c r="A140" t="str">
        <f t="shared" si="8"/>
        <v>72017</v>
      </c>
      <c r="B140" s="1">
        <v>42940</v>
      </c>
      <c r="C140" t="s">
        <v>109</v>
      </c>
      <c r="D140">
        <v>10734.15</v>
      </c>
      <c r="E140">
        <v>10846.55</v>
      </c>
      <c r="F140">
        <v>10734.05</v>
      </c>
      <c r="G140">
        <v>10823.55</v>
      </c>
      <c r="H140">
        <v>0</v>
      </c>
      <c r="I140" s="8">
        <f t="shared" si="9"/>
        <v>1.0456003099458044E-2</v>
      </c>
      <c r="J140" s="8">
        <f t="shared" si="10"/>
        <v>1.040171718031508E-2</v>
      </c>
      <c r="K140" s="8">
        <f t="shared" si="7"/>
        <v>8.5965836406050045E-2</v>
      </c>
    </row>
    <row r="141" spans="1:11" x14ac:dyDescent="0.25">
      <c r="A141" t="str">
        <f t="shared" si="8"/>
        <v>72017</v>
      </c>
      <c r="B141" s="1">
        <v>42941</v>
      </c>
      <c r="C141" t="s">
        <v>110</v>
      </c>
      <c r="D141">
        <v>10813.6</v>
      </c>
      <c r="E141">
        <v>10827.45</v>
      </c>
      <c r="F141">
        <v>10738.5</v>
      </c>
      <c r="G141">
        <v>10810.35</v>
      </c>
      <c r="H141">
        <v>0</v>
      </c>
      <c r="I141" s="8">
        <f t="shared" si="9"/>
        <v>-1.2195628975705253E-3</v>
      </c>
      <c r="J141" s="8">
        <f t="shared" si="10"/>
        <v>-1.2203071695869876E-3</v>
      </c>
      <c r="K141" s="8">
        <f t="shared" si="7"/>
        <v>7.9701568562824843E-2</v>
      </c>
    </row>
    <row r="142" spans="1:11" x14ac:dyDescent="0.25">
      <c r="A142" t="str">
        <f t="shared" si="8"/>
        <v>72017</v>
      </c>
      <c r="B142" s="1">
        <v>42942</v>
      </c>
      <c r="C142" t="s">
        <v>111</v>
      </c>
      <c r="D142">
        <v>10810.7</v>
      </c>
      <c r="E142">
        <v>10839.35</v>
      </c>
      <c r="F142">
        <v>10752.3</v>
      </c>
      <c r="G142">
        <v>10782.95</v>
      </c>
      <c r="H142">
        <v>0</v>
      </c>
      <c r="I142" s="8">
        <f t="shared" si="9"/>
        <v>-2.534608037667585E-3</v>
      </c>
      <c r="J142" s="8">
        <f t="shared" si="10"/>
        <v>-2.5378255946002393E-3</v>
      </c>
      <c r="K142" s="8">
        <f t="shared" si="7"/>
        <v>8.4400172973842835E-2</v>
      </c>
    </row>
    <row r="143" spans="1:11" x14ac:dyDescent="0.25">
      <c r="A143" t="str">
        <f t="shared" si="8"/>
        <v>72017</v>
      </c>
      <c r="B143" s="1">
        <v>42943</v>
      </c>
      <c r="C143" t="s">
        <v>112</v>
      </c>
      <c r="D143">
        <v>10795.1</v>
      </c>
      <c r="E143">
        <v>10905.2</v>
      </c>
      <c r="F143">
        <v>10577.95</v>
      </c>
      <c r="G143">
        <v>10612.3</v>
      </c>
      <c r="H143">
        <v>0</v>
      </c>
      <c r="I143" s="8">
        <f t="shared" si="9"/>
        <v>-1.5825910349208883E-2</v>
      </c>
      <c r="J143" s="8">
        <f t="shared" si="10"/>
        <v>-1.5952477201627582E-2</v>
      </c>
      <c r="K143" s="8">
        <f t="shared" si="7"/>
        <v>6.0556546592913429E-2</v>
      </c>
    </row>
    <row r="144" spans="1:11" x14ac:dyDescent="0.25">
      <c r="A144" t="str">
        <f t="shared" si="8"/>
        <v>72017</v>
      </c>
      <c r="B144" s="1">
        <v>42944</v>
      </c>
      <c r="C144" t="s">
        <v>113</v>
      </c>
      <c r="D144">
        <v>10627.5</v>
      </c>
      <c r="E144">
        <v>10722.7</v>
      </c>
      <c r="F144">
        <v>10511.1</v>
      </c>
      <c r="G144">
        <v>10699.45</v>
      </c>
      <c r="H144">
        <v>0</v>
      </c>
      <c r="I144" s="8">
        <f t="shared" si="9"/>
        <v>8.2121688983538554E-3</v>
      </c>
      <c r="J144" s="8">
        <f t="shared" si="10"/>
        <v>8.1786325185215659E-3</v>
      </c>
      <c r="K144" s="8">
        <f t="shared" si="7"/>
        <v>5.6104747286806589E-2</v>
      </c>
    </row>
    <row r="145" spans="1:11" x14ac:dyDescent="0.25">
      <c r="A145" t="str">
        <f t="shared" si="8"/>
        <v>72017</v>
      </c>
      <c r="B145" s="1">
        <v>42947</v>
      </c>
      <c r="C145" t="s">
        <v>114</v>
      </c>
      <c r="D145">
        <v>10665.3</v>
      </c>
      <c r="E145">
        <v>10802.4</v>
      </c>
      <c r="F145">
        <v>10637.8</v>
      </c>
      <c r="G145">
        <v>10755.75</v>
      </c>
      <c r="H145">
        <v>0</v>
      </c>
      <c r="I145" s="8">
        <f t="shared" si="9"/>
        <v>5.2619527171957614E-3</v>
      </c>
      <c r="J145" s="8">
        <f t="shared" si="10"/>
        <v>5.2481570177140635E-3</v>
      </c>
      <c r="K145" s="8">
        <f t="shared" si="7"/>
        <v>6.4240835106119887E-2</v>
      </c>
    </row>
    <row r="146" spans="1:11" x14ac:dyDescent="0.25">
      <c r="A146" t="str">
        <f t="shared" si="8"/>
        <v>82017</v>
      </c>
      <c r="B146" s="1">
        <v>42948</v>
      </c>
      <c r="C146" s="10">
        <v>42743.645833333336</v>
      </c>
      <c r="D146">
        <v>10808.1</v>
      </c>
      <c r="E146">
        <v>10887.8</v>
      </c>
      <c r="F146">
        <v>10767.4</v>
      </c>
      <c r="G146">
        <v>10801.85</v>
      </c>
      <c r="H146">
        <v>0</v>
      </c>
      <c r="I146" s="8">
        <f t="shared" si="9"/>
        <v>4.2860795388512951E-3</v>
      </c>
      <c r="J146" s="8">
        <f t="shared" si="10"/>
        <v>4.276920461640619E-3</v>
      </c>
      <c r="K146" s="8">
        <f t="shared" si="7"/>
        <v>7.0937455075423816E-2</v>
      </c>
    </row>
    <row r="147" spans="1:11" x14ac:dyDescent="0.25">
      <c r="A147" t="str">
        <f t="shared" si="8"/>
        <v>82017</v>
      </c>
      <c r="B147" s="1">
        <v>42949</v>
      </c>
      <c r="C147" s="10">
        <v>42774.645833333336</v>
      </c>
      <c r="D147">
        <v>10806.8</v>
      </c>
      <c r="E147">
        <v>10836.65</v>
      </c>
      <c r="F147">
        <v>10702.3</v>
      </c>
      <c r="G147">
        <v>10727.35</v>
      </c>
      <c r="H147">
        <v>0</v>
      </c>
      <c r="I147" s="8">
        <f t="shared" si="9"/>
        <v>-6.8969667232927634E-3</v>
      </c>
      <c r="J147" s="8">
        <f t="shared" si="10"/>
        <v>-6.9208607257545008E-3</v>
      </c>
      <c r="K147" s="8">
        <f t="shared" si="7"/>
        <v>5.0758388308527191E-2</v>
      </c>
    </row>
    <row r="148" spans="1:11" x14ac:dyDescent="0.25">
      <c r="A148" t="str">
        <f t="shared" si="8"/>
        <v>82017</v>
      </c>
      <c r="B148" s="1">
        <v>42950</v>
      </c>
      <c r="C148" s="10">
        <v>42802.645833333336</v>
      </c>
      <c r="D148">
        <v>10736.5</v>
      </c>
      <c r="E148">
        <v>10762.5</v>
      </c>
      <c r="F148">
        <v>10672.75</v>
      </c>
      <c r="G148">
        <v>10682.5</v>
      </c>
      <c r="H148">
        <v>0</v>
      </c>
      <c r="I148" s="8">
        <f t="shared" si="9"/>
        <v>-4.1809020867222824E-3</v>
      </c>
      <c r="J148" s="8">
        <f t="shared" si="10"/>
        <v>-4.1896664951374995E-3</v>
      </c>
      <c r="K148" s="8">
        <f t="shared" si="7"/>
        <v>3.9194132067395637E-2</v>
      </c>
    </row>
    <row r="149" spans="1:11" x14ac:dyDescent="0.25">
      <c r="A149" t="str">
        <f t="shared" si="8"/>
        <v>82017</v>
      </c>
      <c r="B149" s="1">
        <v>42951</v>
      </c>
      <c r="C149" s="10">
        <v>42833.645833333336</v>
      </c>
      <c r="D149">
        <v>10695.15</v>
      </c>
      <c r="E149">
        <v>10771.85</v>
      </c>
      <c r="F149">
        <v>10681.65</v>
      </c>
      <c r="G149">
        <v>10757.95</v>
      </c>
      <c r="H149">
        <v>0</v>
      </c>
      <c r="I149" s="8">
        <f t="shared" si="9"/>
        <v>7.0629534285047146E-3</v>
      </c>
      <c r="J149" s="8">
        <f t="shared" si="10"/>
        <v>7.0381276001731967E-3</v>
      </c>
      <c r="K149" s="8">
        <f t="shared" si="7"/>
        <v>5.2683337328943258E-2</v>
      </c>
    </row>
    <row r="150" spans="1:11" x14ac:dyDescent="0.25">
      <c r="A150" t="str">
        <f t="shared" si="8"/>
        <v>82017</v>
      </c>
      <c r="B150" s="1">
        <v>42954</v>
      </c>
      <c r="C150" s="10">
        <v>42924.645833333336</v>
      </c>
      <c r="D150">
        <v>10749.7</v>
      </c>
      <c r="E150">
        <v>10757.9</v>
      </c>
      <c r="F150">
        <v>10659.45</v>
      </c>
      <c r="G150">
        <v>10678.8</v>
      </c>
      <c r="H150">
        <v>0</v>
      </c>
      <c r="I150" s="8">
        <f t="shared" si="9"/>
        <v>-7.3573496809338224E-3</v>
      </c>
      <c r="J150" s="8">
        <f t="shared" si="10"/>
        <v>-7.384548467536391E-3</v>
      </c>
      <c r="K150" s="8">
        <f t="shared" si="7"/>
        <v>4.1214496738526174E-2</v>
      </c>
    </row>
    <row r="151" spans="1:11" x14ac:dyDescent="0.25">
      <c r="A151" t="str">
        <f t="shared" si="8"/>
        <v>82017</v>
      </c>
      <c r="B151" s="1">
        <v>42955</v>
      </c>
      <c r="C151" s="10">
        <v>42955.645833333336</v>
      </c>
      <c r="D151">
        <v>10700.8</v>
      </c>
      <c r="E151">
        <v>10708.3</v>
      </c>
      <c r="F151">
        <v>10581.85</v>
      </c>
      <c r="G151">
        <v>10623.7</v>
      </c>
      <c r="H151">
        <v>0</v>
      </c>
      <c r="I151" s="8">
        <f t="shared" si="9"/>
        <v>-5.1597557778025882E-3</v>
      </c>
      <c r="J151" s="8">
        <f t="shared" si="10"/>
        <v>-5.1731132851073041E-3</v>
      </c>
      <c r="K151" s="8">
        <f t="shared" si="7"/>
        <v>2.4731608036808073E-2</v>
      </c>
    </row>
    <row r="152" spans="1:11" x14ac:dyDescent="0.25">
      <c r="A152" t="str">
        <f t="shared" si="8"/>
        <v>82017</v>
      </c>
      <c r="B152" s="1">
        <v>42956</v>
      </c>
      <c r="C152" s="10">
        <v>42986.645833333336</v>
      </c>
      <c r="D152">
        <v>10607.4</v>
      </c>
      <c r="E152">
        <v>10655.35</v>
      </c>
      <c r="F152">
        <v>10594.45</v>
      </c>
      <c r="G152">
        <v>10613.55</v>
      </c>
      <c r="H152">
        <v>0</v>
      </c>
      <c r="I152" s="8">
        <f t="shared" si="9"/>
        <v>-9.5541101499496683E-4</v>
      </c>
      <c r="J152" s="8">
        <f t="shared" si="10"/>
        <v>-9.558677110101943E-4</v>
      </c>
      <c r="K152" s="8">
        <f t="shared" si="7"/>
        <v>2.6480330762349125E-2</v>
      </c>
    </row>
    <row r="153" spans="1:11" x14ac:dyDescent="0.25">
      <c r="A153" t="str">
        <f t="shared" si="8"/>
        <v>82017</v>
      </c>
      <c r="B153" s="1">
        <v>42957</v>
      </c>
      <c r="C153" s="10">
        <v>43016.645833333336</v>
      </c>
      <c r="D153">
        <v>10590.35</v>
      </c>
      <c r="E153">
        <v>10700.9</v>
      </c>
      <c r="F153">
        <v>10586.15</v>
      </c>
      <c r="G153">
        <v>10662.35</v>
      </c>
      <c r="H153">
        <v>0</v>
      </c>
      <c r="I153" s="8">
        <f t="shared" si="9"/>
        <v>4.5978960856640771E-3</v>
      </c>
      <c r="J153" s="8">
        <f t="shared" si="10"/>
        <v>4.5873580509693214E-3</v>
      </c>
      <c r="K153" s="8">
        <f t="shared" si="7"/>
        <v>1.9218452773555939E-2</v>
      </c>
    </row>
    <row r="154" spans="1:11" x14ac:dyDescent="0.25">
      <c r="A154" t="str">
        <f t="shared" si="8"/>
        <v>82017</v>
      </c>
      <c r="B154" s="1">
        <v>42958</v>
      </c>
      <c r="C154" s="10">
        <v>43047.645833333336</v>
      </c>
      <c r="D154">
        <v>10623.65</v>
      </c>
      <c r="E154">
        <v>10718.15</v>
      </c>
      <c r="F154">
        <v>10587.7</v>
      </c>
      <c r="G154">
        <v>10647.05</v>
      </c>
      <c r="H154">
        <v>0</v>
      </c>
      <c r="I154" s="8">
        <f t="shared" si="9"/>
        <v>-1.4349557086384968E-3</v>
      </c>
      <c r="J154" s="8">
        <f t="shared" si="10"/>
        <v>-1.4359862435473184E-3</v>
      </c>
      <c r="K154" s="8">
        <f t="shared" si="7"/>
        <v>2.009619345999436E-2</v>
      </c>
    </row>
    <row r="155" spans="1:11" x14ac:dyDescent="0.25">
      <c r="A155" t="str">
        <f t="shared" si="8"/>
        <v>82017</v>
      </c>
      <c r="B155" s="1">
        <v>42961</v>
      </c>
      <c r="C155" t="s">
        <v>115</v>
      </c>
      <c r="D155">
        <v>10669.15</v>
      </c>
      <c r="E155">
        <v>10692.45</v>
      </c>
      <c r="F155">
        <v>10569.1</v>
      </c>
      <c r="G155">
        <v>10587.3</v>
      </c>
      <c r="H155">
        <v>0</v>
      </c>
      <c r="I155" s="8">
        <f t="shared" si="9"/>
        <v>-5.6118831037704764E-3</v>
      </c>
      <c r="J155" s="8">
        <f t="shared" si="10"/>
        <v>-5.62768888094214E-3</v>
      </c>
      <c r="K155" s="8">
        <f t="shared" si="7"/>
        <v>3.9542558033680564E-3</v>
      </c>
    </row>
    <row r="156" spans="1:11" x14ac:dyDescent="0.25">
      <c r="A156" t="str">
        <f t="shared" si="8"/>
        <v>82017</v>
      </c>
      <c r="B156" s="1">
        <v>42963</v>
      </c>
      <c r="C156" t="s">
        <v>116</v>
      </c>
      <c r="D156">
        <v>10621.1</v>
      </c>
      <c r="E156">
        <v>10683.8</v>
      </c>
      <c r="F156">
        <v>10575.05</v>
      </c>
      <c r="G156">
        <v>10659.7</v>
      </c>
      <c r="H156">
        <v>0</v>
      </c>
      <c r="I156" s="8">
        <f t="shared" si="9"/>
        <v>6.8383818348400904E-3</v>
      </c>
      <c r="J156" s="8">
        <f t="shared" si="10"/>
        <v>6.8151061535281152E-3</v>
      </c>
      <c r="K156" s="8">
        <f t="shared" si="7"/>
        <v>1.9447512755407015E-2</v>
      </c>
    </row>
    <row r="157" spans="1:11" x14ac:dyDescent="0.25">
      <c r="A157" t="str">
        <f t="shared" si="8"/>
        <v>82017</v>
      </c>
      <c r="B157" s="1">
        <v>42964</v>
      </c>
      <c r="C157" t="s">
        <v>117</v>
      </c>
      <c r="D157">
        <v>10784.6</v>
      </c>
      <c r="E157">
        <v>10839.95</v>
      </c>
      <c r="F157">
        <v>10688.85</v>
      </c>
      <c r="G157">
        <v>10797.8</v>
      </c>
      <c r="H157">
        <v>0</v>
      </c>
      <c r="I157" s="8">
        <f t="shared" si="9"/>
        <v>1.2955336454121502E-2</v>
      </c>
      <c r="J157" s="8">
        <f t="shared" si="10"/>
        <v>1.2872133923482562E-2</v>
      </c>
      <c r="K157" s="8">
        <f t="shared" si="7"/>
        <v>2.78871188070271E-2</v>
      </c>
    </row>
    <row r="158" spans="1:11" x14ac:dyDescent="0.25">
      <c r="A158" t="str">
        <f t="shared" si="8"/>
        <v>82017</v>
      </c>
      <c r="B158" s="1">
        <v>42965</v>
      </c>
      <c r="C158" t="s">
        <v>118</v>
      </c>
      <c r="D158">
        <v>10768</v>
      </c>
      <c r="E158">
        <v>10768</v>
      </c>
      <c r="F158">
        <v>10474.700000000001</v>
      </c>
      <c r="G158">
        <v>10570</v>
      </c>
      <c r="H158">
        <v>0</v>
      </c>
      <c r="I158" s="8">
        <f t="shared" si="9"/>
        <v>-2.1096890107244026E-2</v>
      </c>
      <c r="J158" s="8">
        <f t="shared" si="10"/>
        <v>-2.1322609793906541E-2</v>
      </c>
      <c r="K158" s="8">
        <f t="shared" si="7"/>
        <v>5.6897109474605134E-3</v>
      </c>
    </row>
    <row r="159" spans="1:11" x14ac:dyDescent="0.25">
      <c r="A159" t="str">
        <f t="shared" si="8"/>
        <v>82017</v>
      </c>
      <c r="B159" s="1">
        <v>42968</v>
      </c>
      <c r="C159" t="s">
        <v>119</v>
      </c>
      <c r="D159">
        <v>10574.3</v>
      </c>
      <c r="E159">
        <v>10618.05</v>
      </c>
      <c r="F159">
        <v>10408.450000000001</v>
      </c>
      <c r="G159">
        <v>10440.049999999999</v>
      </c>
      <c r="H159">
        <v>0</v>
      </c>
      <c r="I159" s="8">
        <f t="shared" si="9"/>
        <v>-1.229422894985821E-2</v>
      </c>
      <c r="J159" s="8">
        <f t="shared" si="10"/>
        <v>-1.2370428167091604E-2</v>
      </c>
      <c r="K159" s="8">
        <f t="shared" si="7"/>
        <v>-6.5799489970693736E-3</v>
      </c>
    </row>
    <row r="160" spans="1:11" x14ac:dyDescent="0.25">
      <c r="A160" t="str">
        <f t="shared" si="8"/>
        <v>82017</v>
      </c>
      <c r="B160" s="1">
        <v>42969</v>
      </c>
      <c r="C160" t="s">
        <v>120</v>
      </c>
      <c r="D160">
        <v>10533.4</v>
      </c>
      <c r="E160">
        <v>10541.85</v>
      </c>
      <c r="F160">
        <v>10422</v>
      </c>
      <c r="G160">
        <v>10446.25</v>
      </c>
      <c r="H160">
        <v>0</v>
      </c>
      <c r="I160" s="8">
        <f t="shared" si="9"/>
        <v>5.9386688761087214E-4</v>
      </c>
      <c r="J160" s="8">
        <f t="shared" si="10"/>
        <v>5.9369061845426286E-4</v>
      </c>
      <c r="K160" s="8">
        <f t="shared" si="7"/>
        <v>-2.7201571936098179E-2</v>
      </c>
    </row>
    <row r="161" spans="1:11" x14ac:dyDescent="0.25">
      <c r="A161" t="str">
        <f t="shared" si="8"/>
        <v>82017</v>
      </c>
      <c r="B161" s="1">
        <v>42970</v>
      </c>
      <c r="C161" t="s">
        <v>121</v>
      </c>
      <c r="D161">
        <v>10479.65</v>
      </c>
      <c r="E161">
        <v>10509.6</v>
      </c>
      <c r="F161">
        <v>10401.049999999999</v>
      </c>
      <c r="G161">
        <v>10478.25</v>
      </c>
      <c r="H161">
        <v>0</v>
      </c>
      <c r="I161" s="8">
        <f t="shared" si="9"/>
        <v>3.0633002273543486E-3</v>
      </c>
      <c r="J161" s="8">
        <f t="shared" si="10"/>
        <v>3.0586178830600895E-3</v>
      </c>
      <c r="K161" s="8">
        <f t="shared" si="7"/>
        <v>-2.3953462376809398E-2</v>
      </c>
    </row>
    <row r="162" spans="1:11" x14ac:dyDescent="0.25">
      <c r="A162" t="str">
        <f t="shared" si="8"/>
        <v>82017</v>
      </c>
      <c r="B162" s="1">
        <v>42971</v>
      </c>
      <c r="C162" t="s">
        <v>122</v>
      </c>
      <c r="D162">
        <v>10550.2</v>
      </c>
      <c r="E162">
        <v>10566.85</v>
      </c>
      <c r="F162">
        <v>10486.05</v>
      </c>
      <c r="G162">
        <v>10503.9</v>
      </c>
      <c r="H162">
        <v>0</v>
      </c>
      <c r="I162" s="8">
        <f t="shared" si="9"/>
        <v>2.4479278505475932E-3</v>
      </c>
      <c r="J162" s="8">
        <f t="shared" si="10"/>
        <v>2.444936555821434E-3</v>
      </c>
      <c r="K162" s="8">
        <f t="shared" si="7"/>
        <v>-6.0983975738881924E-3</v>
      </c>
    </row>
    <row r="163" spans="1:11" x14ac:dyDescent="0.25">
      <c r="A163" t="str">
        <f t="shared" si="8"/>
        <v>82017</v>
      </c>
      <c r="B163" s="1">
        <v>42975</v>
      </c>
      <c r="C163" t="s">
        <v>123</v>
      </c>
      <c r="D163">
        <v>10603.45</v>
      </c>
      <c r="E163">
        <v>10638.4</v>
      </c>
      <c r="F163">
        <v>10574.5</v>
      </c>
      <c r="G163">
        <v>10592.3</v>
      </c>
      <c r="H163">
        <v>0</v>
      </c>
      <c r="I163" s="8">
        <f t="shared" si="9"/>
        <v>8.4159217052712787E-3</v>
      </c>
      <c r="J163" s="8">
        <f t="shared" si="10"/>
        <v>8.3807052840058176E-3</v>
      </c>
      <c r="K163" s="8">
        <f t="shared" si="7"/>
        <v>-1.5741351682534432E-3</v>
      </c>
    </row>
    <row r="164" spans="1:11" x14ac:dyDescent="0.25">
      <c r="A164" t="str">
        <f t="shared" si="8"/>
        <v>82017</v>
      </c>
      <c r="B164" s="1">
        <v>42976</v>
      </c>
      <c r="C164" t="s">
        <v>124</v>
      </c>
      <c r="D164">
        <v>10593</v>
      </c>
      <c r="E164">
        <v>10596.15</v>
      </c>
      <c r="F164">
        <v>10475.5</v>
      </c>
      <c r="G164">
        <v>10506</v>
      </c>
      <c r="H164">
        <v>0</v>
      </c>
      <c r="I164" s="8">
        <f t="shared" si="9"/>
        <v>-8.1474278485313967E-3</v>
      </c>
      <c r="J164" s="8">
        <f t="shared" si="10"/>
        <v>-8.1807995246263553E-3</v>
      </c>
      <c r="K164" s="8">
        <f t="shared" si="7"/>
        <v>-4.0856565962973379E-3</v>
      </c>
    </row>
    <row r="165" spans="1:11" x14ac:dyDescent="0.25">
      <c r="A165" t="str">
        <f t="shared" si="8"/>
        <v>82017</v>
      </c>
      <c r="B165" s="1">
        <v>42977</v>
      </c>
      <c r="C165" t="s">
        <v>125</v>
      </c>
      <c r="D165">
        <v>10565.2</v>
      </c>
      <c r="E165">
        <v>10580</v>
      </c>
      <c r="F165">
        <v>10474.15</v>
      </c>
      <c r="G165">
        <v>10493.25</v>
      </c>
      <c r="H165">
        <v>0</v>
      </c>
      <c r="I165" s="8">
        <f t="shared" si="9"/>
        <v>-1.2135922330097637E-3</v>
      </c>
      <c r="J165" s="8">
        <f t="shared" si="10"/>
        <v>-1.2143292324019422E-3</v>
      </c>
      <c r="K165" s="8">
        <f t="shared" si="7"/>
        <v>-7.7023461658487502E-3</v>
      </c>
    </row>
    <row r="166" spans="1:11" x14ac:dyDescent="0.25">
      <c r="A166" t="str">
        <f t="shared" si="8"/>
        <v>82017</v>
      </c>
      <c r="B166" s="1">
        <v>42978</v>
      </c>
      <c r="C166" t="s">
        <v>126</v>
      </c>
      <c r="D166">
        <v>10528.05</v>
      </c>
      <c r="E166">
        <v>10578.7</v>
      </c>
      <c r="F166">
        <v>10453.1</v>
      </c>
      <c r="G166">
        <v>10558.25</v>
      </c>
      <c r="H166">
        <v>0</v>
      </c>
      <c r="I166" s="8">
        <f t="shared" si="9"/>
        <v>6.194458342267728E-3</v>
      </c>
      <c r="J166" s="8">
        <f t="shared" si="10"/>
        <v>6.1753515487516595E-3</v>
      </c>
      <c r="K166" s="8">
        <f t="shared" si="7"/>
        <v>-4.7789837825610304E-3</v>
      </c>
    </row>
    <row r="167" spans="1:11" x14ac:dyDescent="0.25">
      <c r="A167" t="str">
        <f t="shared" si="8"/>
        <v>92017</v>
      </c>
      <c r="B167" s="1">
        <v>42979</v>
      </c>
      <c r="C167" s="10">
        <v>42744.645833333336</v>
      </c>
      <c r="D167">
        <v>10537.6</v>
      </c>
      <c r="E167">
        <v>10563.8</v>
      </c>
      <c r="F167">
        <v>10455.65</v>
      </c>
      <c r="G167">
        <v>10514.4</v>
      </c>
      <c r="H167">
        <v>0</v>
      </c>
      <c r="I167" s="8">
        <f t="shared" si="9"/>
        <v>-4.1531503800346092E-3</v>
      </c>
      <c r="J167" s="8">
        <f t="shared" si="10"/>
        <v>-4.1617986624581877E-3</v>
      </c>
      <c r="K167" s="8">
        <f t="shared" si="7"/>
        <v>-1.3667789232746475E-2</v>
      </c>
    </row>
    <row r="168" spans="1:11" x14ac:dyDescent="0.25">
      <c r="A168" t="str">
        <f t="shared" si="8"/>
        <v>92017</v>
      </c>
      <c r="B168" s="1">
        <v>42982</v>
      </c>
      <c r="C168" s="10">
        <v>42834.645833333336</v>
      </c>
      <c r="D168">
        <v>10540</v>
      </c>
      <c r="E168">
        <v>10540.1</v>
      </c>
      <c r="F168">
        <v>10388.25</v>
      </c>
      <c r="G168">
        <v>10441.75</v>
      </c>
      <c r="H168">
        <v>0</v>
      </c>
      <c r="I168" s="8">
        <f t="shared" si="9"/>
        <v>-6.909571635090872E-3</v>
      </c>
      <c r="J168" s="8">
        <f t="shared" si="10"/>
        <v>-6.9335532575160947E-3</v>
      </c>
      <c r="K168" s="8">
        <f t="shared" si="7"/>
        <v>-4.2678035251782043E-2</v>
      </c>
    </row>
    <row r="169" spans="1:11" x14ac:dyDescent="0.25">
      <c r="A169" t="str">
        <f t="shared" si="8"/>
        <v>92017</v>
      </c>
      <c r="B169" s="1">
        <v>42983</v>
      </c>
      <c r="C169" s="10">
        <v>42864.645833333336</v>
      </c>
      <c r="D169">
        <v>10455.549999999999</v>
      </c>
      <c r="E169">
        <v>10506.5</v>
      </c>
      <c r="F169">
        <v>10427.5</v>
      </c>
      <c r="G169">
        <v>10498</v>
      </c>
      <c r="H169">
        <v>0</v>
      </c>
      <c r="I169" s="8">
        <f t="shared" si="9"/>
        <v>5.3870280364880507E-3</v>
      </c>
      <c r="J169" s="8">
        <f t="shared" si="10"/>
        <v>5.3725699019627482E-3</v>
      </c>
      <c r="K169" s="8">
        <f t="shared" si="7"/>
        <v>-1.8993108281742832E-2</v>
      </c>
    </row>
    <row r="170" spans="1:11" x14ac:dyDescent="0.25">
      <c r="A170" t="str">
        <f t="shared" si="8"/>
        <v>92017</v>
      </c>
      <c r="B170" s="1">
        <v>42984</v>
      </c>
      <c r="C170" s="10">
        <v>42895.645833333336</v>
      </c>
      <c r="D170">
        <v>10472.1</v>
      </c>
      <c r="E170">
        <v>10484.65</v>
      </c>
      <c r="F170">
        <v>10407.9</v>
      </c>
      <c r="G170">
        <v>10421.65</v>
      </c>
      <c r="H170">
        <v>0</v>
      </c>
      <c r="I170" s="8">
        <f t="shared" si="9"/>
        <v>-7.2728138693084476E-3</v>
      </c>
      <c r="J170" s="8">
        <f t="shared" si="10"/>
        <v>-7.2993897126037285E-3</v>
      </c>
      <c r="K170" s="8">
        <f t="shared" si="7"/>
        <v>-1.2165876777251228E-2</v>
      </c>
    </row>
    <row r="171" spans="1:11" x14ac:dyDescent="0.25">
      <c r="A171" t="str">
        <f t="shared" si="8"/>
        <v>92017</v>
      </c>
      <c r="B171" s="1">
        <v>42985</v>
      </c>
      <c r="C171" s="10">
        <v>42925.645833333336</v>
      </c>
      <c r="D171">
        <v>10466.049999999999</v>
      </c>
      <c r="E171">
        <v>10477.299999999999</v>
      </c>
      <c r="F171">
        <v>10423.25</v>
      </c>
      <c r="G171">
        <v>10460.950000000001</v>
      </c>
      <c r="H171">
        <v>0</v>
      </c>
      <c r="I171" s="8">
        <f t="shared" si="9"/>
        <v>3.7709959555349837E-3</v>
      </c>
      <c r="J171" s="8">
        <f t="shared" si="10"/>
        <v>3.7639035749204939E-3</v>
      </c>
      <c r="K171" s="8">
        <f t="shared" si="7"/>
        <v>1.7524287417467477E-3</v>
      </c>
    </row>
    <row r="172" spans="1:11" x14ac:dyDescent="0.25">
      <c r="A172" t="str">
        <f t="shared" si="8"/>
        <v>92017</v>
      </c>
      <c r="B172" s="1">
        <v>42986</v>
      </c>
      <c r="C172" s="10">
        <v>42956.645833333336</v>
      </c>
      <c r="D172">
        <v>10488.95</v>
      </c>
      <c r="E172">
        <v>10499.3</v>
      </c>
      <c r="F172">
        <v>10444.299999999999</v>
      </c>
      <c r="G172">
        <v>10456.65</v>
      </c>
      <c r="H172">
        <v>0</v>
      </c>
      <c r="I172" s="8">
        <f t="shared" si="9"/>
        <v>-4.1105253346984671E-4</v>
      </c>
      <c r="J172" s="8">
        <f t="shared" si="10"/>
        <v>-4.111370387206744E-4</v>
      </c>
      <c r="K172" s="8">
        <f t="shared" si="7"/>
        <v>-1.3466084091398045E-3</v>
      </c>
    </row>
    <row r="173" spans="1:11" x14ac:dyDescent="0.25">
      <c r="A173" t="str">
        <f t="shared" si="8"/>
        <v>92017</v>
      </c>
      <c r="B173" s="1">
        <v>42989</v>
      </c>
      <c r="C173" s="10">
        <v>43048.645833333336</v>
      </c>
      <c r="D173">
        <v>10496.7</v>
      </c>
      <c r="E173">
        <v>10520.75</v>
      </c>
      <c r="F173">
        <v>10447.25</v>
      </c>
      <c r="G173">
        <v>10459.5</v>
      </c>
      <c r="H173">
        <v>0</v>
      </c>
      <c r="I173" s="8">
        <f t="shared" si="9"/>
        <v>2.7255382938129458E-4</v>
      </c>
      <c r="J173" s="8">
        <f t="shared" si="10"/>
        <v>2.7251669333390075E-4</v>
      </c>
      <c r="K173" s="8">
        <f t="shared" si="7"/>
        <v>1.1654898926395152E-2</v>
      </c>
    </row>
    <row r="174" spans="1:11" x14ac:dyDescent="0.25">
      <c r="A174" t="str">
        <f t="shared" si="8"/>
        <v>92017</v>
      </c>
      <c r="B174" s="1">
        <v>42990</v>
      </c>
      <c r="C174" s="10">
        <v>43078.645833333336</v>
      </c>
      <c r="D174">
        <v>10514.15</v>
      </c>
      <c r="E174">
        <v>10517.5</v>
      </c>
      <c r="F174">
        <v>10443.200000000001</v>
      </c>
      <c r="G174">
        <v>10501.1</v>
      </c>
      <c r="H174">
        <v>0</v>
      </c>
      <c r="I174" s="8">
        <f t="shared" si="9"/>
        <v>3.9772455662316908E-3</v>
      </c>
      <c r="J174" s="8">
        <f t="shared" si="10"/>
        <v>3.9693572340564467E-3</v>
      </c>
      <c r="K174" s="8">
        <f t="shared" si="7"/>
        <v>1.3023219918773643E-2</v>
      </c>
    </row>
    <row r="175" spans="1:11" x14ac:dyDescent="0.25">
      <c r="A175" t="str">
        <f t="shared" si="8"/>
        <v>92017</v>
      </c>
      <c r="B175" s="1">
        <v>42991</v>
      </c>
      <c r="C175" t="s">
        <v>127</v>
      </c>
      <c r="D175">
        <v>10520.75</v>
      </c>
      <c r="E175">
        <v>10593</v>
      </c>
      <c r="F175">
        <v>10475.9</v>
      </c>
      <c r="G175">
        <v>10505.3</v>
      </c>
      <c r="H175">
        <v>0</v>
      </c>
      <c r="I175" s="8">
        <f t="shared" si="9"/>
        <v>3.9995809962745099E-4</v>
      </c>
      <c r="J175" s="8">
        <f t="shared" si="10"/>
        <v>3.9987813770695689E-4</v>
      </c>
      <c r="K175" s="8">
        <f t="shared" si="7"/>
        <v>2.2110225188630039E-2</v>
      </c>
    </row>
    <row r="176" spans="1:11" x14ac:dyDescent="0.25">
      <c r="A176" t="str">
        <f t="shared" si="8"/>
        <v>92017</v>
      </c>
      <c r="B176" s="1">
        <v>42992</v>
      </c>
      <c r="C176" t="s">
        <v>128</v>
      </c>
      <c r="D176">
        <v>10438.200000000001</v>
      </c>
      <c r="E176">
        <v>10505.25</v>
      </c>
      <c r="F176">
        <v>10428.450000000001</v>
      </c>
      <c r="G176">
        <v>10496.05</v>
      </c>
      <c r="H176">
        <v>0</v>
      </c>
      <c r="I176" s="8">
        <f t="shared" si="9"/>
        <v>-8.8050793409044648E-4</v>
      </c>
      <c r="J176" s="8">
        <f t="shared" si="10"/>
        <v>-8.8089580890272532E-4</v>
      </c>
      <c r="K176" s="8">
        <f t="shared" si="7"/>
        <v>3.0084891309681394E-2</v>
      </c>
    </row>
    <row r="177" spans="1:11" x14ac:dyDescent="0.25">
      <c r="A177" t="str">
        <f t="shared" si="8"/>
        <v>92017</v>
      </c>
      <c r="B177" s="1">
        <v>42993</v>
      </c>
      <c r="C177" t="s">
        <v>129</v>
      </c>
      <c r="D177">
        <v>10519.65</v>
      </c>
      <c r="E177">
        <v>10621.65</v>
      </c>
      <c r="F177">
        <v>10479.950000000001</v>
      </c>
      <c r="G177">
        <v>10599.75</v>
      </c>
      <c r="H177">
        <v>0</v>
      </c>
      <c r="I177" s="8">
        <f t="shared" si="9"/>
        <v>9.8799072031861002E-3</v>
      </c>
      <c r="J177" s="8">
        <f t="shared" si="10"/>
        <v>9.8314200243340127E-3</v>
      </c>
      <c r="K177" s="8">
        <f t="shared" si="7"/>
        <v>3.9405171652987514E-2</v>
      </c>
    </row>
    <row r="178" spans="1:11" x14ac:dyDescent="0.25">
      <c r="A178" t="str">
        <f t="shared" si="8"/>
        <v>92017</v>
      </c>
      <c r="B178" s="1">
        <v>42996</v>
      </c>
      <c r="C178" t="s">
        <v>130</v>
      </c>
      <c r="D178">
        <v>10601.4</v>
      </c>
      <c r="E178">
        <v>10675.05</v>
      </c>
      <c r="F178">
        <v>10601.35</v>
      </c>
      <c r="G178">
        <v>10649.5</v>
      </c>
      <c r="H178">
        <v>0</v>
      </c>
      <c r="I178" s="8">
        <f t="shared" si="9"/>
        <v>4.6935069223330572E-3</v>
      </c>
      <c r="J178" s="8">
        <f t="shared" si="10"/>
        <v>4.682526762285171E-3</v>
      </c>
      <c r="K178" s="8">
        <f t="shared" si="7"/>
        <v>3.4941860747622622E-2</v>
      </c>
    </row>
    <row r="179" spans="1:11" x14ac:dyDescent="0.25">
      <c r="A179" t="str">
        <f t="shared" si="8"/>
        <v>92017</v>
      </c>
      <c r="B179" s="1">
        <v>42997</v>
      </c>
      <c r="C179" t="s">
        <v>131</v>
      </c>
      <c r="D179">
        <v>10658.35</v>
      </c>
      <c r="E179">
        <v>10668.65</v>
      </c>
      <c r="F179">
        <v>10611.9</v>
      </c>
      <c r="G179">
        <v>10654.85</v>
      </c>
      <c r="H179">
        <v>0</v>
      </c>
      <c r="I179" s="8">
        <f t="shared" si="9"/>
        <v>5.0237100333361262E-4</v>
      </c>
      <c r="J179" s="8">
        <f t="shared" si="10"/>
        <v>5.0224485726743304E-4</v>
      </c>
      <c r="K179" s="8">
        <f t="shared" si="7"/>
        <v>4.2202202789678678E-2</v>
      </c>
    </row>
    <row r="180" spans="1:11" x14ac:dyDescent="0.25">
      <c r="A180" t="str">
        <f t="shared" si="8"/>
        <v>92017</v>
      </c>
      <c r="B180" s="1">
        <v>42998</v>
      </c>
      <c r="C180" t="s">
        <v>132</v>
      </c>
      <c r="D180">
        <v>10694</v>
      </c>
      <c r="E180">
        <v>10694</v>
      </c>
      <c r="F180">
        <v>10588.15</v>
      </c>
      <c r="G180">
        <v>10651.35</v>
      </c>
      <c r="H180">
        <v>0</v>
      </c>
      <c r="I180" s="8">
        <f t="shared" si="9"/>
        <v>-3.2848890411407705E-4</v>
      </c>
      <c r="J180" s="8">
        <f t="shared" si="10"/>
        <v>-3.2854286841224573E-4</v>
      </c>
      <c r="K180" s="8">
        <f t="shared" si="7"/>
        <v>4.4296071885524535E-2</v>
      </c>
    </row>
    <row r="181" spans="1:11" x14ac:dyDescent="0.25">
      <c r="A181" t="str">
        <f t="shared" si="8"/>
        <v>92017</v>
      </c>
      <c r="B181" s="1">
        <v>42999</v>
      </c>
      <c r="C181" t="s">
        <v>133</v>
      </c>
      <c r="D181">
        <v>10652.55</v>
      </c>
      <c r="E181">
        <v>10670.75</v>
      </c>
      <c r="F181">
        <v>10599.95</v>
      </c>
      <c r="G181">
        <v>10653.85</v>
      </c>
      <c r="H181">
        <v>0</v>
      </c>
      <c r="I181" s="8">
        <f t="shared" si="9"/>
        <v>2.3471203180824851E-4</v>
      </c>
      <c r="J181" s="8">
        <f t="shared" si="10"/>
        <v>2.3468449124862693E-4</v>
      </c>
      <c r="K181" s="8">
        <f t="shared" si="7"/>
        <v>4.7514404263268695E-2</v>
      </c>
    </row>
    <row r="182" spans="1:11" x14ac:dyDescent="0.25">
      <c r="A182" t="str">
        <f t="shared" si="8"/>
        <v>92017</v>
      </c>
      <c r="B182" s="1">
        <v>43000</v>
      </c>
      <c r="C182" t="s">
        <v>134</v>
      </c>
      <c r="D182">
        <v>10628.5</v>
      </c>
      <c r="E182">
        <v>10672.95</v>
      </c>
      <c r="F182">
        <v>10593.25</v>
      </c>
      <c r="G182">
        <v>10632.1</v>
      </c>
      <c r="H182">
        <v>0</v>
      </c>
      <c r="I182" s="8">
        <f t="shared" si="9"/>
        <v>-2.0415155084781977E-3</v>
      </c>
      <c r="J182" s="8">
        <f t="shared" si="10"/>
        <v>-2.0436022418132164E-3</v>
      </c>
      <c r="K182" s="8">
        <f t="shared" si="7"/>
        <v>5.5939854104490649E-2</v>
      </c>
    </row>
    <row r="183" spans="1:11" x14ac:dyDescent="0.25">
      <c r="A183" t="str">
        <f t="shared" si="8"/>
        <v>92017</v>
      </c>
      <c r="B183" s="1">
        <v>43003</v>
      </c>
      <c r="C183" t="s">
        <v>135</v>
      </c>
      <c r="D183">
        <v>10604.3</v>
      </c>
      <c r="E183">
        <v>10653.55</v>
      </c>
      <c r="F183">
        <v>10513.3</v>
      </c>
      <c r="G183">
        <v>10569.15</v>
      </c>
      <c r="H183">
        <v>0</v>
      </c>
      <c r="I183" s="8">
        <f t="shared" si="9"/>
        <v>-5.9207494286172002E-3</v>
      </c>
      <c r="J183" s="8">
        <f t="shared" si="10"/>
        <v>-5.9383465586933101E-3</v>
      </c>
      <c r="K183" s="8">
        <f t="shared" si="7"/>
        <v>4.2985922998356907E-2</v>
      </c>
    </row>
    <row r="184" spans="1:11" x14ac:dyDescent="0.25">
      <c r="A184" t="str">
        <f t="shared" si="8"/>
        <v>92017</v>
      </c>
      <c r="B184" s="1">
        <v>43004</v>
      </c>
      <c r="C184" t="s">
        <v>136</v>
      </c>
      <c r="D184">
        <v>10575.2</v>
      </c>
      <c r="E184">
        <v>10604.15</v>
      </c>
      <c r="F184">
        <v>10481.950000000001</v>
      </c>
      <c r="G184">
        <v>10548.5</v>
      </c>
      <c r="H184">
        <v>0</v>
      </c>
      <c r="I184" s="8">
        <f t="shared" si="9"/>
        <v>-1.9537995013789722E-3</v>
      </c>
      <c r="J184" s="8">
        <f t="shared" si="10"/>
        <v>-1.9557106573742499E-3</v>
      </c>
      <c r="K184" s="8">
        <f t="shared" si="7"/>
        <v>4.1888902058393684E-2</v>
      </c>
    </row>
    <row r="185" spans="1:11" x14ac:dyDescent="0.25">
      <c r="A185" t="str">
        <f t="shared" si="8"/>
        <v>92017</v>
      </c>
      <c r="B185" s="1">
        <v>43005</v>
      </c>
      <c r="C185" t="s">
        <v>137</v>
      </c>
      <c r="D185">
        <v>10576.25</v>
      </c>
      <c r="E185">
        <v>10587.05</v>
      </c>
      <c r="F185">
        <v>10516.4</v>
      </c>
      <c r="G185">
        <v>10544.2</v>
      </c>
      <c r="H185">
        <v>0</v>
      </c>
      <c r="I185" s="8">
        <f t="shared" si="9"/>
        <v>-4.0764089680989102E-4</v>
      </c>
      <c r="J185" s="8">
        <f t="shared" si="10"/>
        <v>-4.0772400494655129E-4</v>
      </c>
      <c r="K185" s="8">
        <f t="shared" si="7"/>
        <v>3.8320835446403745E-2</v>
      </c>
    </row>
    <row r="186" spans="1:11" x14ac:dyDescent="0.25">
      <c r="A186" t="str">
        <f t="shared" si="8"/>
        <v>92017</v>
      </c>
      <c r="B186" s="1">
        <v>43006</v>
      </c>
      <c r="C186" t="s">
        <v>138</v>
      </c>
      <c r="D186">
        <v>10544.15</v>
      </c>
      <c r="E186">
        <v>10613.25</v>
      </c>
      <c r="F186">
        <v>10470.549999999999</v>
      </c>
      <c r="G186">
        <v>10521.9</v>
      </c>
      <c r="H186">
        <v>0</v>
      </c>
      <c r="I186" s="8">
        <f t="shared" si="9"/>
        <v>-2.1149067733921001E-3</v>
      </c>
      <c r="J186" s="8">
        <f t="shared" si="10"/>
        <v>-2.1171463469388204E-3</v>
      </c>
      <c r="K186" s="8">
        <f t="shared" si="7"/>
        <v>3.2586348179806324E-2</v>
      </c>
    </row>
    <row r="187" spans="1:11" x14ac:dyDescent="0.25">
      <c r="A187" t="str">
        <f t="shared" si="8"/>
        <v>92017</v>
      </c>
      <c r="B187" s="1">
        <v>43007</v>
      </c>
      <c r="C187" t="s">
        <v>139</v>
      </c>
      <c r="D187">
        <v>10543.4</v>
      </c>
      <c r="E187">
        <v>10576.95</v>
      </c>
      <c r="F187">
        <v>10454.049999999999</v>
      </c>
      <c r="G187">
        <v>10475.35</v>
      </c>
      <c r="H187">
        <v>0</v>
      </c>
      <c r="I187" s="8">
        <f t="shared" si="9"/>
        <v>-4.424105912430143E-3</v>
      </c>
      <c r="J187" s="8">
        <f t="shared" si="10"/>
        <v>-4.4339212290239573E-3</v>
      </c>
      <c r="K187" s="8">
        <f t="shared" si="7"/>
        <v>2.5647678539957308E-2</v>
      </c>
    </row>
    <row r="188" spans="1:11" x14ac:dyDescent="0.25">
      <c r="A188" t="str">
        <f t="shared" si="8"/>
        <v>102017</v>
      </c>
      <c r="B188" s="1">
        <v>43011</v>
      </c>
      <c r="C188" s="10">
        <v>42804.645833333336</v>
      </c>
      <c r="D188">
        <v>10534.45</v>
      </c>
      <c r="E188">
        <v>10568.5</v>
      </c>
      <c r="F188">
        <v>10507.55</v>
      </c>
      <c r="G188">
        <v>10546.1</v>
      </c>
      <c r="H188">
        <v>0</v>
      </c>
      <c r="I188" s="8">
        <f t="shared" si="9"/>
        <v>6.7539509419733967E-3</v>
      </c>
      <c r="J188" s="8">
        <f t="shared" si="10"/>
        <v>6.7312451936487718E-3</v>
      </c>
      <c r="K188" s="8">
        <f t="shared" si="7"/>
        <v>3.7935565145930772E-2</v>
      </c>
    </row>
    <row r="189" spans="1:11" x14ac:dyDescent="0.25">
      <c r="A189" t="str">
        <f t="shared" si="8"/>
        <v>102017</v>
      </c>
      <c r="B189" s="1">
        <v>43012</v>
      </c>
      <c r="C189" s="10">
        <v>42835.645833333336</v>
      </c>
      <c r="D189">
        <v>10551.75</v>
      </c>
      <c r="E189">
        <v>10578.35</v>
      </c>
      <c r="F189">
        <v>10502.15</v>
      </c>
      <c r="G189">
        <v>10539.85</v>
      </c>
      <c r="H189">
        <v>0</v>
      </c>
      <c r="I189" s="8">
        <f t="shared" si="9"/>
        <v>-5.9263614037419199E-4</v>
      </c>
      <c r="J189" s="8">
        <f t="shared" si="10"/>
        <v>-5.9281181858389712E-4</v>
      </c>
      <c r="K189" s="8">
        <f t="shared" si="7"/>
        <v>3.852141611406168E-2</v>
      </c>
    </row>
    <row r="190" spans="1:11" x14ac:dyDescent="0.25">
      <c r="A190" t="str">
        <f t="shared" si="8"/>
        <v>102017</v>
      </c>
      <c r="B190" s="1">
        <v>43013</v>
      </c>
      <c r="C190" s="10">
        <v>42865.645833333336</v>
      </c>
      <c r="D190">
        <v>10546.45</v>
      </c>
      <c r="E190">
        <v>10581.3</v>
      </c>
      <c r="F190">
        <v>10514.25</v>
      </c>
      <c r="G190">
        <v>10524.65</v>
      </c>
      <c r="H190">
        <v>0</v>
      </c>
      <c r="I190" s="8">
        <f t="shared" si="9"/>
        <v>-1.4421457610876987E-3</v>
      </c>
      <c r="J190" s="8">
        <f t="shared" si="10"/>
        <v>-1.4431866541525188E-3</v>
      </c>
      <c r="K190" s="8">
        <f t="shared" si="7"/>
        <v>4.330478399651061E-2</v>
      </c>
    </row>
    <row r="191" spans="1:11" x14ac:dyDescent="0.25">
      <c r="A191" t="str">
        <f t="shared" si="8"/>
        <v>102017</v>
      </c>
      <c r="B191" s="1">
        <v>43014</v>
      </c>
      <c r="C191" s="10">
        <v>42896.645833333336</v>
      </c>
      <c r="D191">
        <v>10532.2</v>
      </c>
      <c r="E191">
        <v>10665.6</v>
      </c>
      <c r="F191">
        <v>10527.55</v>
      </c>
      <c r="G191">
        <v>10655.35</v>
      </c>
      <c r="H191">
        <v>0</v>
      </c>
      <c r="I191" s="8">
        <f t="shared" si="9"/>
        <v>1.2418465222121533E-2</v>
      </c>
      <c r="J191" s="8">
        <f t="shared" si="10"/>
        <v>1.2341988580307097E-2</v>
      </c>
      <c r="K191" s="8">
        <f t="shared" si="7"/>
        <v>2.8498759664481899E-2</v>
      </c>
    </row>
    <row r="192" spans="1:11" x14ac:dyDescent="0.25">
      <c r="A192" t="str">
        <f t="shared" si="8"/>
        <v>102017</v>
      </c>
      <c r="B192" s="1">
        <v>43017</v>
      </c>
      <c r="C192" s="10">
        <v>42988.645833333336</v>
      </c>
      <c r="D192">
        <v>10637.35</v>
      </c>
      <c r="E192">
        <v>10694.25</v>
      </c>
      <c r="F192">
        <v>10622.8</v>
      </c>
      <c r="G192">
        <v>10680.2</v>
      </c>
      <c r="H192">
        <v>0</v>
      </c>
      <c r="I192" s="8">
        <f t="shared" si="9"/>
        <v>2.3321617778861992E-3</v>
      </c>
      <c r="J192" s="8">
        <f t="shared" si="10"/>
        <v>2.3294465094178666E-3</v>
      </c>
      <c r="K192" s="8">
        <f t="shared" ref="K192:K255" si="11">+G192/G131-1</f>
        <v>2.3988494726749909E-2</v>
      </c>
    </row>
    <row r="193" spans="1:11" x14ac:dyDescent="0.25">
      <c r="A193" t="str">
        <f t="shared" si="8"/>
        <v>102017</v>
      </c>
      <c r="B193" s="1">
        <v>43018</v>
      </c>
      <c r="C193" s="10">
        <v>43018.645833333336</v>
      </c>
      <c r="D193">
        <v>10734.55</v>
      </c>
      <c r="E193">
        <v>10771.95</v>
      </c>
      <c r="F193">
        <v>10712.05</v>
      </c>
      <c r="G193">
        <v>10726.2</v>
      </c>
      <c r="H193">
        <v>0</v>
      </c>
      <c r="I193" s="8">
        <f t="shared" si="9"/>
        <v>4.3070354487744211E-3</v>
      </c>
      <c r="J193" s="8">
        <f t="shared" si="10"/>
        <v>4.297786718492261E-3</v>
      </c>
      <c r="K193" s="8">
        <f t="shared" si="11"/>
        <v>3.1216651444503363E-2</v>
      </c>
    </row>
    <row r="194" spans="1:11" x14ac:dyDescent="0.25">
      <c r="A194" t="str">
        <f t="shared" si="8"/>
        <v>102017</v>
      </c>
      <c r="B194" s="1">
        <v>43019</v>
      </c>
      <c r="C194" s="10">
        <v>43049.645833333336</v>
      </c>
      <c r="D194">
        <v>10722.1</v>
      </c>
      <c r="E194">
        <v>10811.05</v>
      </c>
      <c r="F194">
        <v>10720.45</v>
      </c>
      <c r="G194">
        <v>10785.25</v>
      </c>
      <c r="H194">
        <v>0</v>
      </c>
      <c r="I194" s="8">
        <f t="shared" si="9"/>
        <v>5.5052115381029054E-3</v>
      </c>
      <c r="J194" s="8">
        <f t="shared" si="10"/>
        <v>5.4901132485678647E-3</v>
      </c>
      <c r="K194" s="8">
        <f t="shared" si="11"/>
        <v>3.3015502056884083E-2</v>
      </c>
    </row>
    <row r="195" spans="1:11" x14ac:dyDescent="0.25">
      <c r="A195" t="str">
        <f t="shared" ref="A195:A258" si="12">+MONTH(B195)&amp;YEAR(B195)</f>
        <v>102017</v>
      </c>
      <c r="B195" s="1">
        <v>43020</v>
      </c>
      <c r="C195" s="10">
        <v>43079.645833333336</v>
      </c>
      <c r="D195">
        <v>10801.3</v>
      </c>
      <c r="E195">
        <v>10891.25</v>
      </c>
      <c r="F195">
        <v>10782.7</v>
      </c>
      <c r="G195">
        <v>10881.3</v>
      </c>
      <c r="H195">
        <v>0</v>
      </c>
      <c r="I195" s="8">
        <f t="shared" si="9"/>
        <v>8.9056813703900506E-3</v>
      </c>
      <c r="J195" s="8">
        <f t="shared" si="10"/>
        <v>8.866259668586186E-3</v>
      </c>
      <c r="K195" s="8">
        <f t="shared" si="11"/>
        <v>5.3302551146346078E-2</v>
      </c>
    </row>
    <row r="196" spans="1:11" x14ac:dyDescent="0.25">
      <c r="A196" t="str">
        <f t="shared" si="12"/>
        <v>102017</v>
      </c>
      <c r="B196" s="1">
        <v>43021</v>
      </c>
      <c r="C196" t="s">
        <v>140</v>
      </c>
      <c r="D196">
        <v>10915.05</v>
      </c>
      <c r="E196">
        <v>10997.1</v>
      </c>
      <c r="F196">
        <v>10880</v>
      </c>
      <c r="G196">
        <v>10924.2</v>
      </c>
      <c r="H196">
        <v>0</v>
      </c>
      <c r="I196" s="8">
        <f t="shared" ref="I196:I259" si="13">+G196/G195-1</f>
        <v>3.9425436298972105E-3</v>
      </c>
      <c r="J196" s="8">
        <f t="shared" ref="J196:J259" si="14">+LN(1+I196)</f>
        <v>3.9347921717221308E-3</v>
      </c>
      <c r="K196" s="8">
        <f t="shared" si="11"/>
        <v>4.5793305475380297E-2</v>
      </c>
    </row>
    <row r="197" spans="1:11" x14ac:dyDescent="0.25">
      <c r="A197" t="str">
        <f t="shared" si="12"/>
        <v>102017</v>
      </c>
      <c r="B197" s="1">
        <v>43024</v>
      </c>
      <c r="C197" t="s">
        <v>141</v>
      </c>
      <c r="D197">
        <v>10936.85</v>
      </c>
      <c r="E197">
        <v>10978</v>
      </c>
      <c r="F197">
        <v>10921.9</v>
      </c>
      <c r="G197">
        <v>10961.6</v>
      </c>
      <c r="H197">
        <v>0</v>
      </c>
      <c r="I197" s="8">
        <f t="shared" si="13"/>
        <v>3.4235916588858384E-3</v>
      </c>
      <c r="J197" s="8">
        <f t="shared" si="14"/>
        <v>3.4177445106605125E-3</v>
      </c>
      <c r="K197" s="8">
        <f t="shared" si="11"/>
        <v>4.4638432508672166E-2</v>
      </c>
    </row>
    <row r="198" spans="1:11" x14ac:dyDescent="0.25">
      <c r="A198" t="str">
        <f t="shared" si="12"/>
        <v>102017</v>
      </c>
      <c r="B198" s="1">
        <v>43025</v>
      </c>
      <c r="C198" t="s">
        <v>142</v>
      </c>
      <c r="D198">
        <v>10946.85</v>
      </c>
      <c r="E198">
        <v>11006.65</v>
      </c>
      <c r="F198">
        <v>10910.4</v>
      </c>
      <c r="G198">
        <v>10942.7</v>
      </c>
      <c r="H198">
        <v>0</v>
      </c>
      <c r="I198" s="8">
        <f t="shared" si="13"/>
        <v>-1.7242008465917502E-3</v>
      </c>
      <c r="J198" s="8">
        <f t="shared" si="14"/>
        <v>-1.7256889916914787E-3</v>
      </c>
      <c r="K198" s="8">
        <f t="shared" si="11"/>
        <v>3.3910315765604215E-2</v>
      </c>
    </row>
    <row r="199" spans="1:11" x14ac:dyDescent="0.25">
      <c r="A199" t="str">
        <f t="shared" si="12"/>
        <v>102017</v>
      </c>
      <c r="B199" s="1">
        <v>43026</v>
      </c>
      <c r="C199" t="s">
        <v>143</v>
      </c>
      <c r="D199">
        <v>10943.3</v>
      </c>
      <c r="E199">
        <v>11014.05</v>
      </c>
      <c r="F199">
        <v>10898.65</v>
      </c>
      <c r="G199">
        <v>10910.15</v>
      </c>
      <c r="H199">
        <v>0</v>
      </c>
      <c r="I199" s="8">
        <f t="shared" si="13"/>
        <v>-2.9745857969241118E-3</v>
      </c>
      <c r="J199" s="8">
        <f t="shared" si="14"/>
        <v>-2.9790186700792676E-3</v>
      </c>
      <c r="K199" s="8">
        <f t="shared" si="11"/>
        <v>3.9938424290949959E-2</v>
      </c>
    </row>
    <row r="200" spans="1:11" x14ac:dyDescent="0.25">
      <c r="A200" t="str">
        <f t="shared" si="12"/>
        <v>102017</v>
      </c>
      <c r="B200" s="1">
        <v>43027</v>
      </c>
      <c r="C200" t="s">
        <v>144</v>
      </c>
      <c r="D200">
        <v>10911.5</v>
      </c>
      <c r="E200">
        <v>10934.85</v>
      </c>
      <c r="F200">
        <v>10872.8</v>
      </c>
      <c r="G200">
        <v>10890.8</v>
      </c>
      <c r="H200">
        <v>0</v>
      </c>
      <c r="I200" s="8">
        <f t="shared" si="13"/>
        <v>-1.7735778151538595E-3</v>
      </c>
      <c r="J200" s="8">
        <f t="shared" si="14"/>
        <v>-1.7751524664068527E-3</v>
      </c>
      <c r="K200" s="8">
        <f t="shared" si="11"/>
        <v>1.6734272817659379E-2</v>
      </c>
    </row>
    <row r="201" spans="1:11" x14ac:dyDescent="0.25">
      <c r="A201" t="str">
        <f t="shared" si="12"/>
        <v>102017</v>
      </c>
      <c r="B201" s="1">
        <v>43031</v>
      </c>
      <c r="C201" t="s">
        <v>145</v>
      </c>
      <c r="D201">
        <v>10901.25</v>
      </c>
      <c r="E201">
        <v>11013.4</v>
      </c>
      <c r="F201">
        <v>10863.15</v>
      </c>
      <c r="G201">
        <v>10997.85</v>
      </c>
      <c r="H201">
        <v>0</v>
      </c>
      <c r="I201" s="8">
        <f t="shared" si="13"/>
        <v>9.8293972894554216E-3</v>
      </c>
      <c r="J201" s="8">
        <f t="shared" si="14"/>
        <v>9.781403010866923E-3</v>
      </c>
      <c r="K201" s="8">
        <f t="shared" si="11"/>
        <v>1.6103773715647973E-2</v>
      </c>
    </row>
    <row r="202" spans="1:11" x14ac:dyDescent="0.25">
      <c r="A202" t="str">
        <f t="shared" si="12"/>
        <v>102017</v>
      </c>
      <c r="B202" s="1">
        <v>43032</v>
      </c>
      <c r="C202" t="s">
        <v>146</v>
      </c>
      <c r="D202">
        <v>11056.35</v>
      </c>
      <c r="E202">
        <v>11057.3</v>
      </c>
      <c r="F202">
        <v>10860.35</v>
      </c>
      <c r="G202">
        <v>10884.8</v>
      </c>
      <c r="H202">
        <v>0</v>
      </c>
      <c r="I202" s="8">
        <f t="shared" si="13"/>
        <v>-1.0279281859636336E-2</v>
      </c>
      <c r="J202" s="8">
        <f t="shared" si="14"/>
        <v>-1.0332478540527873E-2</v>
      </c>
      <c r="K202" s="8">
        <f t="shared" si="11"/>
        <v>6.8869185549031986E-3</v>
      </c>
    </row>
    <row r="203" spans="1:11" x14ac:dyDescent="0.25">
      <c r="A203" t="str">
        <f t="shared" si="12"/>
        <v>102017</v>
      </c>
      <c r="B203" s="1">
        <v>43033</v>
      </c>
      <c r="C203" t="s">
        <v>147</v>
      </c>
      <c r="D203">
        <v>10829.8</v>
      </c>
      <c r="E203">
        <v>10986.5</v>
      </c>
      <c r="F203">
        <v>10799.35</v>
      </c>
      <c r="G203">
        <v>10925.45</v>
      </c>
      <c r="H203">
        <v>0</v>
      </c>
      <c r="I203" s="8">
        <f t="shared" si="13"/>
        <v>3.7345656328091614E-3</v>
      </c>
      <c r="J203" s="8">
        <f t="shared" si="14"/>
        <v>3.727609456062863E-3</v>
      </c>
      <c r="K203" s="8">
        <f t="shared" si="11"/>
        <v>1.3215307499339302E-2</v>
      </c>
    </row>
    <row r="204" spans="1:11" x14ac:dyDescent="0.25">
      <c r="A204" t="str">
        <f t="shared" si="12"/>
        <v>102017</v>
      </c>
      <c r="B204" s="1">
        <v>43034</v>
      </c>
      <c r="C204" t="s">
        <v>148</v>
      </c>
      <c r="D204">
        <v>10915.65</v>
      </c>
      <c r="E204">
        <v>10945.45</v>
      </c>
      <c r="F204">
        <v>10836</v>
      </c>
      <c r="G204">
        <v>10883.05</v>
      </c>
      <c r="H204">
        <v>0</v>
      </c>
      <c r="I204" s="8">
        <f t="shared" si="13"/>
        <v>-3.8808470131665995E-3</v>
      </c>
      <c r="J204" s="8">
        <f t="shared" si="14"/>
        <v>-3.8883970399326566E-3</v>
      </c>
      <c r="K204" s="8">
        <f t="shared" si="11"/>
        <v>2.5512848298672397E-2</v>
      </c>
    </row>
    <row r="205" spans="1:11" x14ac:dyDescent="0.25">
      <c r="A205" t="str">
        <f t="shared" si="12"/>
        <v>102017</v>
      </c>
      <c r="B205" s="1">
        <v>43035</v>
      </c>
      <c r="C205" t="s">
        <v>149</v>
      </c>
      <c r="D205">
        <v>10901.3</v>
      </c>
      <c r="E205">
        <v>10911.65</v>
      </c>
      <c r="F205">
        <v>10831.25</v>
      </c>
      <c r="G205">
        <v>10862.05</v>
      </c>
      <c r="H205">
        <v>0</v>
      </c>
      <c r="I205" s="8">
        <f t="shared" si="13"/>
        <v>-1.9296061306343093E-3</v>
      </c>
      <c r="J205" s="8">
        <f t="shared" si="14"/>
        <v>-1.9314702189007569E-3</v>
      </c>
      <c r="K205" s="8">
        <f t="shared" si="11"/>
        <v>1.5197042838650532E-2</v>
      </c>
    </row>
    <row r="206" spans="1:11" x14ac:dyDescent="0.25">
      <c r="A206" t="str">
        <f t="shared" si="12"/>
        <v>102017</v>
      </c>
      <c r="B206" s="1">
        <v>43038</v>
      </c>
      <c r="C206" t="s">
        <v>150</v>
      </c>
      <c r="D206">
        <v>10892.55</v>
      </c>
      <c r="E206">
        <v>10913.9</v>
      </c>
      <c r="F206">
        <v>10842.95</v>
      </c>
      <c r="G206">
        <v>10854.3</v>
      </c>
      <c r="H206">
        <v>0</v>
      </c>
      <c r="I206" s="8">
        <f t="shared" si="13"/>
        <v>-7.1349330927406029E-4</v>
      </c>
      <c r="J206" s="8">
        <f t="shared" si="14"/>
        <v>-7.1374796676339789E-4</v>
      </c>
      <c r="K206" s="8">
        <f t="shared" si="11"/>
        <v>9.1625409664597424E-3</v>
      </c>
    </row>
    <row r="207" spans="1:11" x14ac:dyDescent="0.25">
      <c r="A207" t="str">
        <f t="shared" si="12"/>
        <v>102017</v>
      </c>
      <c r="B207" s="1">
        <v>43039</v>
      </c>
      <c r="C207" t="s">
        <v>151</v>
      </c>
      <c r="D207">
        <v>10793.1</v>
      </c>
      <c r="E207">
        <v>10870.55</v>
      </c>
      <c r="F207">
        <v>10781</v>
      </c>
      <c r="G207">
        <v>10837.9</v>
      </c>
      <c r="H207">
        <v>0</v>
      </c>
      <c r="I207" s="8">
        <f t="shared" si="13"/>
        <v>-1.5109219387707817E-3</v>
      </c>
      <c r="J207" s="8">
        <f t="shared" si="14"/>
        <v>-1.5120645323815087E-3</v>
      </c>
      <c r="K207" s="8">
        <f t="shared" si="11"/>
        <v>3.3373912801972772E-3</v>
      </c>
    </row>
    <row r="208" spans="1:11" x14ac:dyDescent="0.25">
      <c r="A208" t="str">
        <f t="shared" si="12"/>
        <v>112017</v>
      </c>
      <c r="B208" s="1">
        <v>43040</v>
      </c>
      <c r="C208" s="10">
        <v>42746.645833333336</v>
      </c>
      <c r="D208">
        <v>10877.85</v>
      </c>
      <c r="E208">
        <v>10887.8</v>
      </c>
      <c r="F208">
        <v>10772.25</v>
      </c>
      <c r="G208">
        <v>10817.3</v>
      </c>
      <c r="H208">
        <v>0</v>
      </c>
      <c r="I208" s="8">
        <f t="shared" si="13"/>
        <v>-1.9007372276917955E-3</v>
      </c>
      <c r="J208" s="8">
        <f t="shared" si="14"/>
        <v>-1.9025459209599746E-3</v>
      </c>
      <c r="K208" s="8">
        <f t="shared" si="11"/>
        <v>8.3851090903157566E-3</v>
      </c>
    </row>
    <row r="209" spans="1:11" x14ac:dyDescent="0.25">
      <c r="A209" t="str">
        <f t="shared" si="12"/>
        <v>112017</v>
      </c>
      <c r="B209" s="1">
        <v>43041</v>
      </c>
      <c r="C209" s="10">
        <v>42777.645833333336</v>
      </c>
      <c r="D209">
        <v>10802.5</v>
      </c>
      <c r="E209">
        <v>10884.5</v>
      </c>
      <c r="F209">
        <v>10788</v>
      </c>
      <c r="G209">
        <v>10845.85</v>
      </c>
      <c r="H209">
        <v>0</v>
      </c>
      <c r="I209" s="8">
        <f t="shared" si="13"/>
        <v>2.6392907657180054E-3</v>
      </c>
      <c r="J209" s="8">
        <f t="shared" si="14"/>
        <v>2.6358139540460222E-3</v>
      </c>
      <c r="K209" s="8">
        <f t="shared" si="11"/>
        <v>1.5291364380997097E-2</v>
      </c>
    </row>
    <row r="210" spans="1:11" x14ac:dyDescent="0.25">
      <c r="A210" t="str">
        <f t="shared" si="12"/>
        <v>112017</v>
      </c>
      <c r="B210" s="1">
        <v>43042</v>
      </c>
      <c r="C210" s="10">
        <v>42805.645833333336</v>
      </c>
      <c r="D210">
        <v>10840.3</v>
      </c>
      <c r="E210">
        <v>10873.95</v>
      </c>
      <c r="F210">
        <v>10824.95</v>
      </c>
      <c r="G210">
        <v>10839.05</v>
      </c>
      <c r="H210">
        <v>0</v>
      </c>
      <c r="I210" s="8">
        <f t="shared" si="13"/>
        <v>-6.2696791860494816E-4</v>
      </c>
      <c r="J210" s="8">
        <f t="shared" si="14"/>
        <v>-6.2716454518042667E-4</v>
      </c>
      <c r="K210" s="8">
        <f t="shared" si="11"/>
        <v>7.5386109807165091E-3</v>
      </c>
    </row>
    <row r="211" spans="1:11" x14ac:dyDescent="0.25">
      <c r="A211" t="str">
        <f t="shared" si="12"/>
        <v>112017</v>
      </c>
      <c r="B211" s="1">
        <v>43045</v>
      </c>
      <c r="C211" s="10">
        <v>42897.645833333336</v>
      </c>
      <c r="D211">
        <v>10834</v>
      </c>
      <c r="E211">
        <v>10952.35</v>
      </c>
      <c r="F211">
        <v>10820.05</v>
      </c>
      <c r="G211">
        <v>10929.9</v>
      </c>
      <c r="H211">
        <v>0</v>
      </c>
      <c r="I211" s="8">
        <f t="shared" si="13"/>
        <v>8.3817308712479388E-3</v>
      </c>
      <c r="J211" s="8">
        <f t="shared" si="14"/>
        <v>8.3467992211115703E-3</v>
      </c>
      <c r="K211" s="8">
        <f t="shared" si="11"/>
        <v>2.351387796381621E-2</v>
      </c>
    </row>
    <row r="212" spans="1:11" x14ac:dyDescent="0.25">
      <c r="A212" t="str">
        <f t="shared" si="12"/>
        <v>112017</v>
      </c>
      <c r="B212" s="1">
        <v>43046</v>
      </c>
      <c r="C212" s="10">
        <v>42927.645833333336</v>
      </c>
      <c r="D212">
        <v>10942.4</v>
      </c>
      <c r="E212">
        <v>11243.2</v>
      </c>
      <c r="F212">
        <v>10934.5</v>
      </c>
      <c r="G212">
        <v>11172.1</v>
      </c>
      <c r="H212">
        <v>0</v>
      </c>
      <c r="I212" s="8">
        <f t="shared" si="13"/>
        <v>2.2159397615714838E-2</v>
      </c>
      <c r="J212" s="8">
        <f t="shared" si="14"/>
        <v>2.1917445975910471E-2</v>
      </c>
      <c r="K212" s="8">
        <f t="shared" si="11"/>
        <v>5.1620433558929424E-2</v>
      </c>
    </row>
    <row r="213" spans="1:11" x14ac:dyDescent="0.25">
      <c r="A213" t="str">
        <f t="shared" si="12"/>
        <v>112017</v>
      </c>
      <c r="B213" s="1">
        <v>43047</v>
      </c>
      <c r="C213" s="10">
        <v>42958.645833333336</v>
      </c>
      <c r="D213">
        <v>11227.7</v>
      </c>
      <c r="E213">
        <v>11306.45</v>
      </c>
      <c r="F213">
        <v>11197.6</v>
      </c>
      <c r="G213">
        <v>11245.9</v>
      </c>
      <c r="H213">
        <v>0</v>
      </c>
      <c r="I213" s="8">
        <f t="shared" si="13"/>
        <v>6.6057410871724898E-3</v>
      </c>
      <c r="J213" s="8">
        <f t="shared" si="14"/>
        <v>6.5840187882971806E-3</v>
      </c>
      <c r="K213" s="8">
        <f t="shared" si="11"/>
        <v>5.9579499790362256E-2</v>
      </c>
    </row>
    <row r="214" spans="1:11" x14ac:dyDescent="0.25">
      <c r="A214" t="str">
        <f t="shared" si="12"/>
        <v>112017</v>
      </c>
      <c r="B214" s="1">
        <v>43048</v>
      </c>
      <c r="C214" s="10">
        <v>42989.645833333336</v>
      </c>
      <c r="D214">
        <v>11275.45</v>
      </c>
      <c r="E214">
        <v>11301.25</v>
      </c>
      <c r="F214">
        <v>11201.65</v>
      </c>
      <c r="G214">
        <v>11248.45</v>
      </c>
      <c r="H214">
        <v>0</v>
      </c>
      <c r="I214" s="8">
        <f t="shared" si="13"/>
        <v>2.2674930419097628E-4</v>
      </c>
      <c r="J214" s="8">
        <f t="shared" si="14"/>
        <v>2.2672360045296379E-4</v>
      </c>
      <c r="K214" s="8">
        <f t="shared" si="11"/>
        <v>5.4969120315877973E-2</v>
      </c>
    </row>
    <row r="215" spans="1:11" x14ac:dyDescent="0.25">
      <c r="A215" t="str">
        <f t="shared" si="12"/>
        <v>112017</v>
      </c>
      <c r="B215" s="1">
        <v>43049</v>
      </c>
      <c r="C215" s="10">
        <v>43019.645833333336</v>
      </c>
      <c r="D215">
        <v>11270</v>
      </c>
      <c r="E215">
        <v>11272</v>
      </c>
      <c r="F215">
        <v>11151.1</v>
      </c>
      <c r="G215">
        <v>11222.55</v>
      </c>
      <c r="H215">
        <v>0</v>
      </c>
      <c r="I215" s="8">
        <f t="shared" si="13"/>
        <v>-2.3025394609925698E-3</v>
      </c>
      <c r="J215" s="8">
        <f t="shared" si="14"/>
        <v>-2.3051943811324797E-3</v>
      </c>
      <c r="K215" s="8">
        <f t="shared" si="11"/>
        <v>5.4052530982760416E-2</v>
      </c>
    </row>
    <row r="216" spans="1:11" x14ac:dyDescent="0.25">
      <c r="A216" t="str">
        <f t="shared" si="12"/>
        <v>112017</v>
      </c>
      <c r="B216" s="1">
        <v>43052</v>
      </c>
      <c r="C216" t="s">
        <v>152</v>
      </c>
      <c r="D216">
        <v>11188.5</v>
      </c>
      <c r="E216">
        <v>11341.5</v>
      </c>
      <c r="F216">
        <v>11188.5</v>
      </c>
      <c r="G216">
        <v>11236.2</v>
      </c>
      <c r="H216">
        <v>0</v>
      </c>
      <c r="I216" s="8">
        <f t="shared" si="13"/>
        <v>1.2163011080370545E-3</v>
      </c>
      <c r="J216" s="8">
        <f t="shared" si="14"/>
        <v>1.2155620130916435E-3</v>
      </c>
      <c r="K216" s="8">
        <f t="shared" si="11"/>
        <v>6.129041398656887E-2</v>
      </c>
    </row>
    <row r="217" spans="1:11" x14ac:dyDescent="0.25">
      <c r="A217" t="str">
        <f t="shared" si="12"/>
        <v>112017</v>
      </c>
      <c r="B217" s="1">
        <v>43053</v>
      </c>
      <c r="C217" t="s">
        <v>153</v>
      </c>
      <c r="D217">
        <v>11240.55</v>
      </c>
      <c r="E217">
        <v>11275.65</v>
      </c>
      <c r="F217">
        <v>11139.8</v>
      </c>
      <c r="G217">
        <v>11168.75</v>
      </c>
      <c r="H217">
        <v>0</v>
      </c>
      <c r="I217" s="8">
        <f t="shared" si="13"/>
        <v>-6.0029191363628609E-3</v>
      </c>
      <c r="J217" s="8">
        <f t="shared" si="14"/>
        <v>-6.0210090867795817E-3</v>
      </c>
      <c r="K217" s="8">
        <f t="shared" si="11"/>
        <v>4.7754627240916614E-2</v>
      </c>
    </row>
    <row r="218" spans="1:11" x14ac:dyDescent="0.25">
      <c r="A218" t="str">
        <f t="shared" si="12"/>
        <v>112017</v>
      </c>
      <c r="B218" s="1">
        <v>43054</v>
      </c>
      <c r="C218" t="s">
        <v>154</v>
      </c>
      <c r="D218">
        <v>11158</v>
      </c>
      <c r="E218">
        <v>11211.7</v>
      </c>
      <c r="F218">
        <v>11110.8</v>
      </c>
      <c r="G218">
        <v>11122.9</v>
      </c>
      <c r="H218">
        <v>0</v>
      </c>
      <c r="I218" s="8">
        <f t="shared" si="13"/>
        <v>-4.1052042529379218E-3</v>
      </c>
      <c r="J218" s="8">
        <f t="shared" si="14"/>
        <v>-4.113653736415721E-3</v>
      </c>
      <c r="K218" s="8">
        <f t="shared" si="11"/>
        <v>3.0107984959899303E-2</v>
      </c>
    </row>
    <row r="219" spans="1:11" x14ac:dyDescent="0.25">
      <c r="A219" t="str">
        <f t="shared" si="12"/>
        <v>112017</v>
      </c>
      <c r="B219" s="1">
        <v>43055</v>
      </c>
      <c r="C219" t="s">
        <v>155</v>
      </c>
      <c r="D219">
        <v>11145.55</v>
      </c>
      <c r="E219">
        <v>11343.6</v>
      </c>
      <c r="F219">
        <v>11059</v>
      </c>
      <c r="G219">
        <v>11317.25</v>
      </c>
      <c r="H219">
        <v>0</v>
      </c>
      <c r="I219" s="8">
        <f t="shared" si="13"/>
        <v>1.7472961188179426E-2</v>
      </c>
      <c r="J219" s="8">
        <f t="shared" si="14"/>
        <v>1.7322064210693065E-2</v>
      </c>
      <c r="K219" s="8">
        <f t="shared" si="11"/>
        <v>7.0695364238410496E-2</v>
      </c>
    </row>
    <row r="220" spans="1:11" x14ac:dyDescent="0.25">
      <c r="A220" t="str">
        <f t="shared" si="12"/>
        <v>112017</v>
      </c>
      <c r="B220" s="1">
        <v>43056</v>
      </c>
      <c r="C220" t="s">
        <v>156</v>
      </c>
      <c r="D220">
        <v>11311.95</v>
      </c>
      <c r="E220">
        <v>11311.95</v>
      </c>
      <c r="F220">
        <v>11127</v>
      </c>
      <c r="G220">
        <v>11150</v>
      </c>
      <c r="H220">
        <v>0</v>
      </c>
      <c r="I220" s="8">
        <f t="shared" si="13"/>
        <v>-1.4778325123152691E-2</v>
      </c>
      <c r="J220" s="8">
        <f t="shared" si="14"/>
        <v>-1.4888612493750637E-2</v>
      </c>
      <c r="K220" s="8">
        <f t="shared" si="11"/>
        <v>6.8002547880517961E-2</v>
      </c>
    </row>
    <row r="221" spans="1:11" x14ac:dyDescent="0.25">
      <c r="A221" t="str">
        <f t="shared" si="12"/>
        <v>112017</v>
      </c>
      <c r="B221" s="1">
        <v>43059</v>
      </c>
      <c r="C221" t="s">
        <v>157</v>
      </c>
      <c r="D221">
        <v>11161.7</v>
      </c>
      <c r="E221">
        <v>11173.65</v>
      </c>
      <c r="F221">
        <v>11072.95</v>
      </c>
      <c r="G221">
        <v>11100.1</v>
      </c>
      <c r="H221">
        <v>0</v>
      </c>
      <c r="I221" s="8">
        <f t="shared" si="13"/>
        <v>-4.4753363228698939E-3</v>
      </c>
      <c r="J221" s="8">
        <f t="shared" si="14"/>
        <v>-4.4853806194111211E-3</v>
      </c>
      <c r="K221" s="8">
        <f t="shared" si="11"/>
        <v>6.2591839176738162E-2</v>
      </c>
    </row>
    <row r="222" spans="1:11" x14ac:dyDescent="0.25">
      <c r="A222" t="str">
        <f t="shared" si="12"/>
        <v>112017</v>
      </c>
      <c r="B222" s="1">
        <v>43060</v>
      </c>
      <c r="C222" t="s">
        <v>158</v>
      </c>
      <c r="D222">
        <v>11120.8</v>
      </c>
      <c r="E222">
        <v>11166.35</v>
      </c>
      <c r="F222">
        <v>11087.15</v>
      </c>
      <c r="G222">
        <v>11119.45</v>
      </c>
      <c r="H222">
        <v>0</v>
      </c>
      <c r="I222" s="8">
        <f t="shared" si="13"/>
        <v>1.7432275384907658E-3</v>
      </c>
      <c r="J222" s="8">
        <f t="shared" si="14"/>
        <v>1.7417098808576962E-3</v>
      </c>
      <c r="K222" s="8">
        <f t="shared" si="11"/>
        <v>6.1193424474506708E-2</v>
      </c>
    </row>
    <row r="223" spans="1:11" x14ac:dyDescent="0.25">
      <c r="A223" t="str">
        <f t="shared" si="12"/>
        <v>112017</v>
      </c>
      <c r="B223" s="1">
        <v>43061</v>
      </c>
      <c r="C223" t="s">
        <v>159</v>
      </c>
      <c r="D223">
        <v>11133.8</v>
      </c>
      <c r="E223">
        <v>11167.65</v>
      </c>
      <c r="F223">
        <v>11098.65</v>
      </c>
      <c r="G223">
        <v>11117.5</v>
      </c>
      <c r="H223">
        <v>0</v>
      </c>
      <c r="I223" s="8">
        <f t="shared" si="13"/>
        <v>-1.753683860263866E-4</v>
      </c>
      <c r="J223" s="8">
        <f t="shared" si="14"/>
        <v>-1.7538376485979576E-4</v>
      </c>
      <c r="K223" s="8">
        <f t="shared" si="11"/>
        <v>5.841639771894247E-2</v>
      </c>
    </row>
    <row r="224" spans="1:11" x14ac:dyDescent="0.25">
      <c r="A224" t="str">
        <f t="shared" si="12"/>
        <v>112017</v>
      </c>
      <c r="B224" s="1">
        <v>43062</v>
      </c>
      <c r="C224" t="s">
        <v>160</v>
      </c>
      <c r="D224">
        <v>11149.8</v>
      </c>
      <c r="E224">
        <v>11255.05</v>
      </c>
      <c r="F224">
        <v>11132.75</v>
      </c>
      <c r="G224">
        <v>11230.6</v>
      </c>
      <c r="H224">
        <v>0</v>
      </c>
      <c r="I224" s="8">
        <f t="shared" si="13"/>
        <v>1.0173150438497869E-2</v>
      </c>
      <c r="J224" s="8">
        <f t="shared" si="14"/>
        <v>1.0121752237403678E-2</v>
      </c>
      <c r="K224" s="8">
        <f t="shared" si="11"/>
        <v>6.0260755454433879E-2</v>
      </c>
    </row>
    <row r="225" spans="1:11" x14ac:dyDescent="0.25">
      <c r="A225" t="str">
        <f t="shared" si="12"/>
        <v>112017</v>
      </c>
      <c r="B225" s="1">
        <v>43063</v>
      </c>
      <c r="C225" t="s">
        <v>161</v>
      </c>
      <c r="D225">
        <v>11240.4</v>
      </c>
      <c r="E225">
        <v>11352.55</v>
      </c>
      <c r="F225">
        <v>11235.75</v>
      </c>
      <c r="G225">
        <v>11306.4</v>
      </c>
      <c r="H225">
        <v>0</v>
      </c>
      <c r="I225" s="8">
        <f t="shared" si="13"/>
        <v>6.7494167720334453E-3</v>
      </c>
      <c r="J225" s="8">
        <f t="shared" si="14"/>
        <v>6.7267414316857536E-3</v>
      </c>
      <c r="K225" s="8">
        <f t="shared" si="11"/>
        <v>7.6185037121644816E-2</v>
      </c>
    </row>
    <row r="226" spans="1:11" x14ac:dyDescent="0.25">
      <c r="A226" t="str">
        <f t="shared" si="12"/>
        <v>112017</v>
      </c>
      <c r="B226" s="1">
        <v>43066</v>
      </c>
      <c r="C226" t="s">
        <v>162</v>
      </c>
      <c r="D226">
        <v>11290.85</v>
      </c>
      <c r="E226">
        <v>11326</v>
      </c>
      <c r="F226">
        <v>11239.4</v>
      </c>
      <c r="G226">
        <v>11314.25</v>
      </c>
      <c r="H226">
        <v>0</v>
      </c>
      <c r="I226" s="8">
        <f t="shared" si="13"/>
        <v>6.9429703530743403E-4</v>
      </c>
      <c r="J226" s="8">
        <f t="shared" si="14"/>
        <v>6.9405612262434077E-4</v>
      </c>
      <c r="K226" s="8">
        <f t="shared" si="11"/>
        <v>7.8240773830795973E-2</v>
      </c>
    </row>
    <row r="227" spans="1:11" x14ac:dyDescent="0.25">
      <c r="A227" t="str">
        <f t="shared" si="12"/>
        <v>112017</v>
      </c>
      <c r="B227" s="1">
        <v>43067</v>
      </c>
      <c r="C227" t="s">
        <v>163</v>
      </c>
      <c r="D227">
        <v>11303.35</v>
      </c>
      <c r="E227">
        <v>11324.9</v>
      </c>
      <c r="F227">
        <v>11242.85</v>
      </c>
      <c r="G227">
        <v>11270.6</v>
      </c>
      <c r="H227">
        <v>0</v>
      </c>
      <c r="I227" s="8">
        <f t="shared" si="13"/>
        <v>-3.857966723379791E-3</v>
      </c>
      <c r="J227" s="8">
        <f t="shared" si="14"/>
        <v>-3.8654278730929142E-3</v>
      </c>
      <c r="K227" s="8">
        <f t="shared" si="11"/>
        <v>6.7468567234153509E-2</v>
      </c>
    </row>
    <row r="228" spans="1:11" x14ac:dyDescent="0.25">
      <c r="A228" t="str">
        <f t="shared" si="12"/>
        <v>112017</v>
      </c>
      <c r="B228" s="1">
        <v>43068</v>
      </c>
      <c r="C228" t="s">
        <v>164</v>
      </c>
      <c r="D228">
        <v>11266.95</v>
      </c>
      <c r="E228">
        <v>11299.35</v>
      </c>
      <c r="F228">
        <v>11211.15</v>
      </c>
      <c r="G228">
        <v>11232.95</v>
      </c>
      <c r="H228">
        <v>0</v>
      </c>
      <c r="I228" s="8">
        <f t="shared" si="13"/>
        <v>-3.3405497489041869E-3</v>
      </c>
      <c r="J228" s="8">
        <f t="shared" si="14"/>
        <v>-3.3461418424675336E-3</v>
      </c>
      <c r="K228" s="8">
        <f t="shared" si="11"/>
        <v>6.833961043901704E-2</v>
      </c>
    </row>
    <row r="229" spans="1:11" x14ac:dyDescent="0.25">
      <c r="A229" t="str">
        <f t="shared" si="12"/>
        <v>112017</v>
      </c>
      <c r="B229" s="1">
        <v>43069</v>
      </c>
      <c r="C229" t="s">
        <v>165</v>
      </c>
      <c r="D229">
        <v>11233.5</v>
      </c>
      <c r="E229">
        <v>11241.8</v>
      </c>
      <c r="F229">
        <v>11060.1</v>
      </c>
      <c r="G229">
        <v>11115.35</v>
      </c>
      <c r="H229">
        <v>0</v>
      </c>
      <c r="I229" s="8">
        <f t="shared" si="13"/>
        <v>-1.0469199987536704E-2</v>
      </c>
      <c r="J229" s="8">
        <f t="shared" si="14"/>
        <v>-1.0524387579618053E-2</v>
      </c>
      <c r="K229" s="8">
        <f t="shared" si="11"/>
        <v>6.4510259295616157E-2</v>
      </c>
    </row>
    <row r="230" spans="1:11" x14ac:dyDescent="0.25">
      <c r="A230" t="str">
        <f t="shared" si="12"/>
        <v>122017</v>
      </c>
      <c r="B230" s="1">
        <v>43070</v>
      </c>
      <c r="C230" s="10">
        <v>42747.645833333336</v>
      </c>
      <c r="D230">
        <v>11123.6</v>
      </c>
      <c r="E230">
        <v>11180.4</v>
      </c>
      <c r="F230">
        <v>10930.95</v>
      </c>
      <c r="G230">
        <v>10948.5</v>
      </c>
      <c r="H230">
        <v>0</v>
      </c>
      <c r="I230" s="8">
        <f t="shared" si="13"/>
        <v>-1.5010773389951715E-2</v>
      </c>
      <c r="J230" s="8">
        <f t="shared" si="14"/>
        <v>-1.5124575321590162E-2</v>
      </c>
      <c r="K230" s="8">
        <f t="shared" si="11"/>
        <v>4.2912935797294827E-2</v>
      </c>
    </row>
    <row r="231" spans="1:11" x14ac:dyDescent="0.25">
      <c r="A231" t="str">
        <f t="shared" si="12"/>
        <v>122017</v>
      </c>
      <c r="B231" s="1">
        <v>43073</v>
      </c>
      <c r="C231" s="10">
        <v>42837.645833333336</v>
      </c>
      <c r="D231">
        <v>11007.95</v>
      </c>
      <c r="E231">
        <v>11138.1</v>
      </c>
      <c r="F231">
        <v>10901.1</v>
      </c>
      <c r="G231">
        <v>11081.65</v>
      </c>
      <c r="H231">
        <v>0</v>
      </c>
      <c r="I231" s="8">
        <f t="shared" si="13"/>
        <v>1.2161483308215759E-2</v>
      </c>
      <c r="J231" s="8">
        <f t="shared" si="14"/>
        <v>1.2088126621956241E-2</v>
      </c>
      <c r="K231" s="8">
        <f t="shared" si="11"/>
        <v>6.3329703070051258E-2</v>
      </c>
    </row>
    <row r="232" spans="1:11" x14ac:dyDescent="0.25">
      <c r="A232" t="str">
        <f t="shared" si="12"/>
        <v>122017</v>
      </c>
      <c r="B232" s="1">
        <v>43074</v>
      </c>
      <c r="C232" s="10">
        <v>42867.645833333336</v>
      </c>
      <c r="D232">
        <v>11079.35</v>
      </c>
      <c r="E232">
        <v>11121.85</v>
      </c>
      <c r="F232">
        <v>11005.9</v>
      </c>
      <c r="G232">
        <v>11025.4</v>
      </c>
      <c r="H232">
        <v>0</v>
      </c>
      <c r="I232" s="8">
        <f t="shared" si="13"/>
        <v>-5.0759589050367593E-3</v>
      </c>
      <c r="J232" s="8">
        <f t="shared" si="14"/>
        <v>-5.0888853457139579E-3</v>
      </c>
      <c r="K232" s="8">
        <f t="shared" si="11"/>
        <v>5.3957814538832416E-2</v>
      </c>
    </row>
    <row r="233" spans="1:11" x14ac:dyDescent="0.25">
      <c r="A233" t="str">
        <f t="shared" si="12"/>
        <v>122017</v>
      </c>
      <c r="B233" s="1">
        <v>43075</v>
      </c>
      <c r="C233" s="10">
        <v>42898.645833333336</v>
      </c>
      <c r="D233">
        <v>11024.55</v>
      </c>
      <c r="E233">
        <v>11099.05</v>
      </c>
      <c r="F233">
        <v>11006.2</v>
      </c>
      <c r="G233">
        <v>11074.9</v>
      </c>
      <c r="H233">
        <v>0</v>
      </c>
      <c r="I233" s="8">
        <f t="shared" si="13"/>
        <v>4.4896330291872566E-3</v>
      </c>
      <c r="J233" s="8">
        <f t="shared" si="14"/>
        <v>4.4795846911602454E-3</v>
      </c>
      <c r="K233" s="8">
        <f t="shared" si="11"/>
        <v>5.9125054391224729E-2</v>
      </c>
    </row>
    <row r="234" spans="1:11" x14ac:dyDescent="0.25">
      <c r="A234" t="str">
        <f t="shared" si="12"/>
        <v>122017</v>
      </c>
      <c r="B234" s="1">
        <v>43076</v>
      </c>
      <c r="C234" s="10">
        <v>42928.645833333336</v>
      </c>
      <c r="D234">
        <v>11075.55</v>
      </c>
      <c r="E234">
        <v>11178.8</v>
      </c>
      <c r="F234">
        <v>11057.45</v>
      </c>
      <c r="G234">
        <v>11163.5</v>
      </c>
      <c r="H234">
        <v>0</v>
      </c>
      <c r="I234" s="8">
        <f t="shared" si="13"/>
        <v>8.0000722354152121E-3</v>
      </c>
      <c r="J234" s="8">
        <f t="shared" si="14"/>
        <v>7.9682413112925725E-3</v>
      </c>
      <c r="K234" s="8">
        <f t="shared" si="11"/>
        <v>6.7307232659304939E-2</v>
      </c>
    </row>
    <row r="235" spans="1:11" x14ac:dyDescent="0.25">
      <c r="A235" t="str">
        <f t="shared" si="12"/>
        <v>122017</v>
      </c>
      <c r="B235" s="1">
        <v>43077</v>
      </c>
      <c r="C235" s="10">
        <v>42959.645833333336</v>
      </c>
      <c r="D235">
        <v>11189.8</v>
      </c>
      <c r="E235">
        <v>11249.3</v>
      </c>
      <c r="F235">
        <v>11159.75</v>
      </c>
      <c r="G235">
        <v>11173.4</v>
      </c>
      <c r="H235">
        <v>0</v>
      </c>
      <c r="I235" s="8">
        <f t="shared" si="13"/>
        <v>8.8681865006501326E-4</v>
      </c>
      <c r="J235" s="8">
        <f t="shared" si="14"/>
        <v>8.8642565873016279E-4</v>
      </c>
      <c r="K235" s="8">
        <f t="shared" si="11"/>
        <v>6.4021864376113014E-2</v>
      </c>
    </row>
    <row r="236" spans="1:11" x14ac:dyDescent="0.25">
      <c r="A236" t="str">
        <f t="shared" si="12"/>
        <v>122017</v>
      </c>
      <c r="B236" s="1">
        <v>43080</v>
      </c>
      <c r="C236" s="10">
        <v>43051.645833333336</v>
      </c>
      <c r="D236">
        <v>11178.9</v>
      </c>
      <c r="E236">
        <v>11343.15</v>
      </c>
      <c r="F236">
        <v>11170.45</v>
      </c>
      <c r="G236">
        <v>11324</v>
      </c>
      <c r="H236">
        <v>0</v>
      </c>
      <c r="I236" s="8">
        <f t="shared" si="13"/>
        <v>1.3478439866110525E-2</v>
      </c>
      <c r="J236" s="8">
        <f t="shared" si="14"/>
        <v>1.3388413734568349E-2</v>
      </c>
      <c r="K236" s="8">
        <f t="shared" si="11"/>
        <v>7.7932091420521044E-2</v>
      </c>
    </row>
    <row r="237" spans="1:11" x14ac:dyDescent="0.25">
      <c r="A237" t="str">
        <f t="shared" si="12"/>
        <v>122017</v>
      </c>
      <c r="B237" s="1">
        <v>43081</v>
      </c>
      <c r="C237" s="10">
        <v>43081.645833333336</v>
      </c>
      <c r="D237">
        <v>11327.7</v>
      </c>
      <c r="E237">
        <v>11341.75</v>
      </c>
      <c r="F237">
        <v>11251.7</v>
      </c>
      <c r="G237">
        <v>11272.45</v>
      </c>
      <c r="H237">
        <v>0</v>
      </c>
      <c r="I237" s="8">
        <f t="shared" si="13"/>
        <v>-4.5522783468738837E-3</v>
      </c>
      <c r="J237" s="8">
        <f t="shared" si="14"/>
        <v>-4.5626715196859938E-3</v>
      </c>
      <c r="K237" s="8">
        <f t="shared" si="11"/>
        <v>7.3970684209774262E-2</v>
      </c>
    </row>
    <row r="238" spans="1:11" x14ac:dyDescent="0.25">
      <c r="A238" t="str">
        <f t="shared" si="12"/>
        <v>122017</v>
      </c>
      <c r="B238" s="1">
        <v>43082</v>
      </c>
      <c r="C238" t="s">
        <v>166</v>
      </c>
      <c r="D238">
        <v>11257.05</v>
      </c>
      <c r="E238">
        <v>11328.75</v>
      </c>
      <c r="F238">
        <v>11210.7</v>
      </c>
      <c r="G238">
        <v>11251.7</v>
      </c>
      <c r="H238">
        <v>0</v>
      </c>
      <c r="I238" s="8">
        <f t="shared" si="13"/>
        <v>-1.8407710834822399E-3</v>
      </c>
      <c r="J238" s="8">
        <f t="shared" si="14"/>
        <v>-1.8424673845607517E-3</v>
      </c>
      <c r="K238" s="8">
        <f t="shared" si="11"/>
        <v>6.1506167598292416E-2</v>
      </c>
    </row>
    <row r="239" spans="1:11" x14ac:dyDescent="0.25">
      <c r="A239" t="str">
        <f t="shared" si="12"/>
        <v>122017</v>
      </c>
      <c r="B239" s="1">
        <v>43083</v>
      </c>
      <c r="C239" t="s">
        <v>167</v>
      </c>
      <c r="D239">
        <v>11257.95</v>
      </c>
      <c r="E239">
        <v>11307.9</v>
      </c>
      <c r="F239">
        <v>11174.65</v>
      </c>
      <c r="G239">
        <v>11275.4</v>
      </c>
      <c r="H239">
        <v>0</v>
      </c>
      <c r="I239" s="8">
        <f t="shared" si="13"/>
        <v>2.106348374023348E-3</v>
      </c>
      <c r="J239" s="8">
        <f t="shared" si="14"/>
        <v>2.1041331324552145E-3</v>
      </c>
      <c r="K239" s="8">
        <f t="shared" si="11"/>
        <v>5.8772712333912347E-2</v>
      </c>
    </row>
    <row r="240" spans="1:11" x14ac:dyDescent="0.25">
      <c r="A240" t="str">
        <f t="shared" si="12"/>
        <v>122017</v>
      </c>
      <c r="B240" s="1">
        <v>43084</v>
      </c>
      <c r="C240" t="s">
        <v>168</v>
      </c>
      <c r="D240">
        <v>11299.6</v>
      </c>
      <c r="E240">
        <v>11337</v>
      </c>
      <c r="F240">
        <v>11245.55</v>
      </c>
      <c r="G240">
        <v>11288.3</v>
      </c>
      <c r="H240">
        <v>0</v>
      </c>
      <c r="I240" s="8">
        <f t="shared" si="13"/>
        <v>1.1440835801834748E-3</v>
      </c>
      <c r="J240" s="8">
        <f t="shared" si="14"/>
        <v>1.1434296153103748E-3</v>
      </c>
      <c r="K240" s="8">
        <f t="shared" si="11"/>
        <v>5.9451798946019707E-2</v>
      </c>
    </row>
    <row r="241" spans="1:11" x14ac:dyDescent="0.25">
      <c r="A241" t="str">
        <f t="shared" si="12"/>
        <v>122017</v>
      </c>
      <c r="B241" s="1">
        <v>43087</v>
      </c>
      <c r="C241" t="s">
        <v>169</v>
      </c>
      <c r="D241">
        <v>11211.8</v>
      </c>
      <c r="E241">
        <v>11345.4</v>
      </c>
      <c r="F241">
        <v>11096.6</v>
      </c>
      <c r="G241">
        <v>11315.2</v>
      </c>
      <c r="H241">
        <v>0</v>
      </c>
      <c r="I241" s="8">
        <f t="shared" si="13"/>
        <v>2.3829983257002141E-3</v>
      </c>
      <c r="J241" s="8">
        <f t="shared" si="14"/>
        <v>2.3801634879060075E-3</v>
      </c>
      <c r="K241" s="8">
        <f t="shared" si="11"/>
        <v>6.2325432926342739E-2</v>
      </c>
    </row>
    <row r="242" spans="1:11" x14ac:dyDescent="0.25">
      <c r="A242" t="str">
        <f t="shared" si="12"/>
        <v>122017</v>
      </c>
      <c r="B242" s="1">
        <v>43088</v>
      </c>
      <c r="C242" t="s">
        <v>170</v>
      </c>
      <c r="D242">
        <v>11324.55</v>
      </c>
      <c r="E242">
        <v>11334.05</v>
      </c>
      <c r="F242">
        <v>11214.6</v>
      </c>
      <c r="G242">
        <v>11240.65</v>
      </c>
      <c r="H242">
        <v>0</v>
      </c>
      <c r="I242" s="8">
        <f t="shared" si="13"/>
        <v>-6.5884827488689179E-3</v>
      </c>
      <c r="J242" s="8">
        <f t="shared" si="14"/>
        <v>-6.6102826060809826E-3</v>
      </c>
      <c r="K242" s="8">
        <f t="shared" si="11"/>
        <v>5.5078680477010478E-2</v>
      </c>
    </row>
    <row r="243" spans="1:11" x14ac:dyDescent="0.25">
      <c r="A243" t="str">
        <f t="shared" si="12"/>
        <v>122017</v>
      </c>
      <c r="B243" s="1">
        <v>43089</v>
      </c>
      <c r="C243" t="s">
        <v>171</v>
      </c>
      <c r="D243">
        <v>11267.4</v>
      </c>
      <c r="E243">
        <v>11322.2</v>
      </c>
      <c r="F243">
        <v>11198.6</v>
      </c>
      <c r="G243">
        <v>11304.2</v>
      </c>
      <c r="H243">
        <v>0</v>
      </c>
      <c r="I243" s="8">
        <f t="shared" si="13"/>
        <v>5.6535876484011816E-3</v>
      </c>
      <c r="J243" s="8">
        <f t="shared" si="14"/>
        <v>5.6376661028004543E-3</v>
      </c>
      <c r="K243" s="8">
        <f t="shared" si="11"/>
        <v>6.321422860958803E-2</v>
      </c>
    </row>
    <row r="244" spans="1:11" x14ac:dyDescent="0.25">
      <c r="A244" t="str">
        <f t="shared" si="12"/>
        <v>122017</v>
      </c>
      <c r="B244" s="1">
        <v>43090</v>
      </c>
      <c r="C244" t="s">
        <v>172</v>
      </c>
      <c r="D244">
        <v>11317.5</v>
      </c>
      <c r="E244">
        <v>11406.4</v>
      </c>
      <c r="F244">
        <v>11288.75</v>
      </c>
      <c r="G244">
        <v>11374.3</v>
      </c>
      <c r="H244">
        <v>0</v>
      </c>
      <c r="I244" s="8">
        <f t="shared" si="13"/>
        <v>6.2012349392259747E-3</v>
      </c>
      <c r="J244" s="8">
        <f t="shared" si="14"/>
        <v>6.1820864041092771E-3</v>
      </c>
      <c r="K244" s="8">
        <f t="shared" si="11"/>
        <v>7.6179257556189484E-2</v>
      </c>
    </row>
    <row r="245" spans="1:11" x14ac:dyDescent="0.25">
      <c r="A245" t="str">
        <f t="shared" si="12"/>
        <v>122017</v>
      </c>
      <c r="B245" s="1">
        <v>43091</v>
      </c>
      <c r="C245" t="s">
        <v>173</v>
      </c>
      <c r="D245">
        <v>11368.2</v>
      </c>
      <c r="E245">
        <v>11532.75</v>
      </c>
      <c r="F245">
        <v>11345.25</v>
      </c>
      <c r="G245">
        <v>11501.9</v>
      </c>
      <c r="H245">
        <v>0</v>
      </c>
      <c r="I245" s="8">
        <f t="shared" si="13"/>
        <v>1.1218272772830051E-2</v>
      </c>
      <c r="J245" s="8">
        <f t="shared" si="14"/>
        <v>1.1155814631711882E-2</v>
      </c>
      <c r="K245" s="8">
        <f t="shared" si="11"/>
        <v>9.038251884154147E-2</v>
      </c>
    </row>
    <row r="246" spans="1:11" x14ac:dyDescent="0.25">
      <c r="A246" t="str">
        <f t="shared" si="12"/>
        <v>122017</v>
      </c>
      <c r="B246" s="1">
        <v>43095</v>
      </c>
      <c r="C246" t="s">
        <v>174</v>
      </c>
      <c r="D246">
        <v>11503</v>
      </c>
      <c r="E246">
        <v>11531.25</v>
      </c>
      <c r="F246">
        <v>11454.9</v>
      </c>
      <c r="G246">
        <v>11507.4</v>
      </c>
      <c r="H246">
        <v>0</v>
      </c>
      <c r="I246" s="8">
        <f t="shared" si="13"/>
        <v>4.7818186560477649E-4</v>
      </c>
      <c r="J246" s="8">
        <f t="shared" si="14"/>
        <v>4.7806757309010027E-4</v>
      </c>
      <c r="K246" s="8">
        <f t="shared" si="11"/>
        <v>9.1348798391532648E-2</v>
      </c>
    </row>
    <row r="247" spans="1:11" x14ac:dyDescent="0.25">
      <c r="A247" t="str">
        <f t="shared" si="12"/>
        <v>122017</v>
      </c>
      <c r="B247" s="1">
        <v>43096</v>
      </c>
      <c r="C247" t="s">
        <v>175</v>
      </c>
      <c r="D247">
        <v>11490.3</v>
      </c>
      <c r="E247">
        <v>11538.7</v>
      </c>
      <c r="F247">
        <v>11465.6</v>
      </c>
      <c r="G247">
        <v>11509.25</v>
      </c>
      <c r="H247">
        <v>0</v>
      </c>
      <c r="I247" s="8">
        <f t="shared" si="13"/>
        <v>1.6076611571680388E-4</v>
      </c>
      <c r="J247" s="8">
        <f t="shared" si="14"/>
        <v>1.6075319422969553E-4</v>
      </c>
      <c r="K247" s="8">
        <f t="shared" si="11"/>
        <v>9.3837614879441977E-2</v>
      </c>
    </row>
    <row r="248" spans="1:11" x14ac:dyDescent="0.25">
      <c r="A248" t="str">
        <f t="shared" si="12"/>
        <v>122017</v>
      </c>
      <c r="B248" s="1">
        <v>43097</v>
      </c>
      <c r="C248" t="s">
        <v>176</v>
      </c>
      <c r="D248">
        <v>11481.8</v>
      </c>
      <c r="E248">
        <v>11549.8</v>
      </c>
      <c r="F248">
        <v>11460.8</v>
      </c>
      <c r="G248">
        <v>11496.4</v>
      </c>
      <c r="H248">
        <v>0</v>
      </c>
      <c r="I248" s="8">
        <f t="shared" si="13"/>
        <v>-1.1164932554250662E-3</v>
      </c>
      <c r="J248" s="8">
        <f t="shared" si="14"/>
        <v>-1.1171169983328259E-3</v>
      </c>
      <c r="K248" s="8">
        <f t="shared" si="11"/>
        <v>9.7471683523700836E-2</v>
      </c>
    </row>
    <row r="249" spans="1:11" x14ac:dyDescent="0.25">
      <c r="A249" t="str">
        <f t="shared" si="12"/>
        <v>122017</v>
      </c>
      <c r="B249" s="1">
        <v>43098</v>
      </c>
      <c r="C249" t="s">
        <v>177</v>
      </c>
      <c r="D249">
        <v>11479.5</v>
      </c>
      <c r="E249">
        <v>11689.75</v>
      </c>
      <c r="F249">
        <v>11430.65</v>
      </c>
      <c r="G249">
        <v>11665.75</v>
      </c>
      <c r="H249">
        <v>0</v>
      </c>
      <c r="I249" s="8">
        <f t="shared" si="13"/>
        <v>1.4730698305556622E-2</v>
      </c>
      <c r="J249" s="8">
        <f t="shared" si="14"/>
        <v>1.4623255423230492E-2</v>
      </c>
      <c r="K249" s="8">
        <f t="shared" si="11"/>
        <v>0.10616720873118979</v>
      </c>
    </row>
    <row r="250" spans="1:11" x14ac:dyDescent="0.25">
      <c r="A250" t="str">
        <f t="shared" si="12"/>
        <v>12018</v>
      </c>
      <c r="B250" s="1">
        <v>43101</v>
      </c>
      <c r="C250" s="10">
        <v>43101.645833333336</v>
      </c>
      <c r="D250">
        <v>11612.7</v>
      </c>
      <c r="E250">
        <v>11655.85</v>
      </c>
      <c r="F250">
        <v>11549</v>
      </c>
      <c r="G250">
        <v>11565.75</v>
      </c>
      <c r="H250">
        <v>0</v>
      </c>
      <c r="I250" s="8">
        <f t="shared" si="13"/>
        <v>-8.5721020937359338E-3</v>
      </c>
      <c r="J250" s="8">
        <f t="shared" si="14"/>
        <v>-8.609053882097718E-3</v>
      </c>
      <c r="K250" s="8">
        <f t="shared" si="11"/>
        <v>9.7335351072358689E-2</v>
      </c>
    </row>
    <row r="251" spans="1:11" x14ac:dyDescent="0.25">
      <c r="A251" t="str">
        <f t="shared" si="12"/>
        <v>12018</v>
      </c>
      <c r="B251" s="1">
        <v>43102</v>
      </c>
      <c r="C251" s="10">
        <v>43132.645833333336</v>
      </c>
      <c r="D251">
        <v>11587.85</v>
      </c>
      <c r="E251">
        <v>11655.5</v>
      </c>
      <c r="F251">
        <v>11558.45</v>
      </c>
      <c r="G251">
        <v>11602.35</v>
      </c>
      <c r="H251">
        <v>0</v>
      </c>
      <c r="I251" s="8">
        <f t="shared" si="13"/>
        <v>3.1645159198496753E-3</v>
      </c>
      <c r="J251" s="8">
        <f t="shared" si="14"/>
        <v>3.1595193776626086E-3</v>
      </c>
      <c r="K251" s="8">
        <f t="shared" si="11"/>
        <v>0.10239770443672724</v>
      </c>
    </row>
    <row r="252" spans="1:11" x14ac:dyDescent="0.25">
      <c r="A252" t="str">
        <f t="shared" si="12"/>
        <v>12018</v>
      </c>
      <c r="B252" s="1">
        <v>43103</v>
      </c>
      <c r="C252" s="10">
        <v>43160.645833333336</v>
      </c>
      <c r="D252">
        <v>11617.35</v>
      </c>
      <c r="E252">
        <v>11693.35</v>
      </c>
      <c r="F252">
        <v>11573.25</v>
      </c>
      <c r="G252">
        <v>11586.7</v>
      </c>
      <c r="H252">
        <v>0</v>
      </c>
      <c r="I252" s="8">
        <f t="shared" si="13"/>
        <v>-1.3488646696574458E-3</v>
      </c>
      <c r="J252" s="8">
        <f t="shared" si="14"/>
        <v>-1.3497752064920516E-3</v>
      </c>
      <c r="K252" s="8">
        <f t="shared" si="11"/>
        <v>8.7406795647257063E-2</v>
      </c>
    </row>
    <row r="253" spans="1:11" x14ac:dyDescent="0.25">
      <c r="A253" t="str">
        <f t="shared" si="12"/>
        <v>12018</v>
      </c>
      <c r="B253" s="1">
        <v>43104</v>
      </c>
      <c r="C253" s="10">
        <v>43191.645833333336</v>
      </c>
      <c r="D253">
        <v>11599.05</v>
      </c>
      <c r="E253">
        <v>11607.75</v>
      </c>
      <c r="F253">
        <v>11510.4</v>
      </c>
      <c r="G253">
        <v>11590.8</v>
      </c>
      <c r="H253">
        <v>0</v>
      </c>
      <c r="I253" s="8">
        <f t="shared" si="13"/>
        <v>3.5385398776166532E-4</v>
      </c>
      <c r="J253" s="8">
        <f t="shared" si="14"/>
        <v>3.5379139620441737E-4</v>
      </c>
      <c r="K253" s="8">
        <f t="shared" si="11"/>
        <v>8.5260575644650727E-2</v>
      </c>
    </row>
    <row r="254" spans="1:11" x14ac:dyDescent="0.25">
      <c r="A254" t="str">
        <f t="shared" si="12"/>
        <v>12018</v>
      </c>
      <c r="B254" s="1">
        <v>43105</v>
      </c>
      <c r="C254" s="10">
        <v>43221.645833333336</v>
      </c>
      <c r="D254">
        <v>11575.45</v>
      </c>
      <c r="E254">
        <v>11691.45</v>
      </c>
      <c r="F254">
        <v>11541.8</v>
      </c>
      <c r="G254">
        <v>11633.55</v>
      </c>
      <c r="H254">
        <v>0</v>
      </c>
      <c r="I254" s="8">
        <f t="shared" si="13"/>
        <v>3.6882700072471408E-3</v>
      </c>
      <c r="J254" s="8">
        <f t="shared" si="14"/>
        <v>3.6814850175556492E-3</v>
      </c>
      <c r="K254" s="8">
        <f t="shared" si="11"/>
        <v>8.4591933769647909E-2</v>
      </c>
    </row>
    <row r="255" spans="1:11" x14ac:dyDescent="0.25">
      <c r="A255" t="str">
        <f t="shared" si="12"/>
        <v>12018</v>
      </c>
      <c r="B255" s="1">
        <v>43108</v>
      </c>
      <c r="C255" s="10">
        <v>43313.645833333336</v>
      </c>
      <c r="D255">
        <v>11674.35</v>
      </c>
      <c r="E255">
        <v>11793.85</v>
      </c>
      <c r="F255">
        <v>11661.5</v>
      </c>
      <c r="G255">
        <v>11776.85</v>
      </c>
      <c r="H255">
        <v>0</v>
      </c>
      <c r="I255" s="8">
        <f t="shared" si="13"/>
        <v>1.2317822160905489E-2</v>
      </c>
      <c r="J255" s="8">
        <f t="shared" si="14"/>
        <v>1.2242575079471378E-2</v>
      </c>
      <c r="K255" s="8">
        <f t="shared" si="11"/>
        <v>9.1940381539602711E-2</v>
      </c>
    </row>
    <row r="256" spans="1:11" x14ac:dyDescent="0.25">
      <c r="A256" t="str">
        <f t="shared" si="12"/>
        <v>12018</v>
      </c>
      <c r="B256" s="1">
        <v>43109</v>
      </c>
      <c r="C256" s="10">
        <v>43344.645833333336</v>
      </c>
      <c r="D256">
        <v>11805.35</v>
      </c>
      <c r="E256">
        <v>11819.35</v>
      </c>
      <c r="F256">
        <v>11685.75</v>
      </c>
      <c r="G256">
        <v>11790.85</v>
      </c>
      <c r="H256">
        <v>0</v>
      </c>
      <c r="I256" s="8">
        <f t="shared" si="13"/>
        <v>1.1887728891850635E-3</v>
      </c>
      <c r="J256" s="8">
        <f t="shared" si="14"/>
        <v>1.1880668581789834E-3</v>
      </c>
      <c r="K256" s="8">
        <f t="shared" ref="K256:K319" si="15">+G256/G195-1</f>
        <v>8.3588358008694019E-2</v>
      </c>
    </row>
    <row r="257" spans="1:11" x14ac:dyDescent="0.25">
      <c r="A257" t="str">
        <f t="shared" si="12"/>
        <v>12018</v>
      </c>
      <c r="B257" s="1">
        <v>43110</v>
      </c>
      <c r="C257" s="10">
        <v>43374.645833333336</v>
      </c>
      <c r="D257">
        <v>11803.85</v>
      </c>
      <c r="E257">
        <v>12076.25</v>
      </c>
      <c r="F257">
        <v>11762.5</v>
      </c>
      <c r="G257">
        <v>12054.7</v>
      </c>
      <c r="H257">
        <v>0</v>
      </c>
      <c r="I257" s="8">
        <f t="shared" si="13"/>
        <v>2.237752155272954E-2</v>
      </c>
      <c r="J257" s="8">
        <f t="shared" si="14"/>
        <v>2.213081843771075E-2</v>
      </c>
      <c r="K257" s="8">
        <f t="shared" si="15"/>
        <v>0.10348583877995643</v>
      </c>
    </row>
    <row r="258" spans="1:11" x14ac:dyDescent="0.25">
      <c r="A258" t="str">
        <f t="shared" si="12"/>
        <v>12018</v>
      </c>
      <c r="B258" s="1">
        <v>43111</v>
      </c>
      <c r="C258" s="10">
        <v>43405.645833333336</v>
      </c>
      <c r="D258">
        <v>12060.8</v>
      </c>
      <c r="E258">
        <v>12178.8</v>
      </c>
      <c r="F258">
        <v>12045.45</v>
      </c>
      <c r="G258">
        <v>12103.1</v>
      </c>
      <c r="H258">
        <v>0</v>
      </c>
      <c r="I258" s="8">
        <f t="shared" si="13"/>
        <v>4.0150314814968446E-3</v>
      </c>
      <c r="J258" s="8">
        <f t="shared" si="14"/>
        <v>4.0069927525806202E-3</v>
      </c>
      <c r="K258" s="8">
        <f t="shared" si="15"/>
        <v>0.10413625748065969</v>
      </c>
    </row>
    <row r="259" spans="1:11" x14ac:dyDescent="0.25">
      <c r="A259" t="str">
        <f t="shared" ref="A259:A322" si="16">+MONTH(B259)&amp;YEAR(B259)</f>
        <v>12018</v>
      </c>
      <c r="B259" s="1">
        <v>43112</v>
      </c>
      <c r="C259" s="10">
        <v>43435.645833333336</v>
      </c>
      <c r="D259">
        <v>12144.8</v>
      </c>
      <c r="E259">
        <v>12146.75</v>
      </c>
      <c r="F259">
        <v>12004.4</v>
      </c>
      <c r="G259">
        <v>12099.2</v>
      </c>
      <c r="H259">
        <v>0</v>
      </c>
      <c r="I259" s="8">
        <f t="shared" si="13"/>
        <v>-3.2223149441046317E-4</v>
      </c>
      <c r="J259" s="8">
        <f t="shared" si="14"/>
        <v>-3.2228342213392306E-4</v>
      </c>
      <c r="K259" s="8">
        <f t="shared" si="15"/>
        <v>0.10568689628702232</v>
      </c>
    </row>
    <row r="260" spans="1:11" x14ac:dyDescent="0.25">
      <c r="A260" t="str">
        <f t="shared" si="16"/>
        <v>12018</v>
      </c>
      <c r="B260" s="1">
        <v>43115</v>
      </c>
      <c r="C260" t="s">
        <v>178</v>
      </c>
      <c r="D260">
        <v>12103.5</v>
      </c>
      <c r="E260">
        <v>12214.65</v>
      </c>
      <c r="F260">
        <v>11971.95</v>
      </c>
      <c r="G260">
        <v>11992.8</v>
      </c>
      <c r="H260">
        <v>0</v>
      </c>
      <c r="I260" s="8">
        <f t="shared" ref="I260:I323" si="17">+G260/G259-1</f>
        <v>-8.793969849246297E-3</v>
      </c>
      <c r="J260" s="8">
        <f t="shared" ref="J260:J323" si="18">+LN(1+I260)</f>
        <v>-8.8328649985088374E-3</v>
      </c>
      <c r="K260" s="8">
        <f t="shared" si="15"/>
        <v>9.9233282768797837E-2</v>
      </c>
    </row>
    <row r="261" spans="1:11" x14ac:dyDescent="0.25">
      <c r="A261" t="str">
        <f t="shared" si="16"/>
        <v>12018</v>
      </c>
      <c r="B261" s="1">
        <v>43116</v>
      </c>
      <c r="C261" t="s">
        <v>179</v>
      </c>
      <c r="D261">
        <v>12036.55</v>
      </c>
      <c r="E261">
        <v>12487.25</v>
      </c>
      <c r="F261">
        <v>12027.3</v>
      </c>
      <c r="G261">
        <v>12430.95</v>
      </c>
      <c r="H261">
        <v>0</v>
      </c>
      <c r="I261" s="8">
        <f t="shared" si="17"/>
        <v>3.6534420652391653E-2</v>
      </c>
      <c r="J261" s="8">
        <f t="shared" si="18"/>
        <v>3.5882860882963497E-2</v>
      </c>
      <c r="K261" s="8">
        <f t="shared" si="15"/>
        <v>0.14141752671980035</v>
      </c>
    </row>
    <row r="262" spans="1:11" x14ac:dyDescent="0.25">
      <c r="A262" t="str">
        <f t="shared" si="16"/>
        <v>12018</v>
      </c>
      <c r="B262" s="1">
        <v>43117</v>
      </c>
      <c r="C262" t="s">
        <v>180</v>
      </c>
      <c r="D262">
        <v>12473.05</v>
      </c>
      <c r="E262">
        <v>12653.25</v>
      </c>
      <c r="F262">
        <v>12432.75</v>
      </c>
      <c r="G262">
        <v>12531.4</v>
      </c>
      <c r="H262">
        <v>0</v>
      </c>
      <c r="I262" s="8">
        <f t="shared" si="17"/>
        <v>8.0806374412252246E-3</v>
      </c>
      <c r="J262" s="8">
        <f t="shared" si="18"/>
        <v>8.0481639110835494E-3</v>
      </c>
      <c r="K262" s="8">
        <f t="shared" si="15"/>
        <v>0.13944089071954968</v>
      </c>
    </row>
    <row r="263" spans="1:11" x14ac:dyDescent="0.25">
      <c r="A263" t="str">
        <f t="shared" si="16"/>
        <v>12018</v>
      </c>
      <c r="B263" s="1">
        <v>43118</v>
      </c>
      <c r="C263" t="s">
        <v>181</v>
      </c>
      <c r="D263">
        <v>12565.85</v>
      </c>
      <c r="E263">
        <v>12605.15</v>
      </c>
      <c r="F263">
        <v>12431.8</v>
      </c>
      <c r="G263">
        <v>12570.7</v>
      </c>
      <c r="H263">
        <v>0</v>
      </c>
      <c r="I263" s="8">
        <f t="shared" si="17"/>
        <v>3.1361220613819185E-3</v>
      </c>
      <c r="J263" s="8">
        <f t="shared" si="18"/>
        <v>3.1312146879943418E-3</v>
      </c>
      <c r="K263" s="8">
        <f t="shared" si="15"/>
        <v>0.15488571218580049</v>
      </c>
    </row>
    <row r="264" spans="1:11" x14ac:dyDescent="0.25">
      <c r="A264" t="str">
        <f t="shared" si="16"/>
        <v>12018</v>
      </c>
      <c r="B264" s="1">
        <v>43119</v>
      </c>
      <c r="C264" t="s">
        <v>182</v>
      </c>
      <c r="D264">
        <v>12577.25</v>
      </c>
      <c r="E264">
        <v>12668.55</v>
      </c>
      <c r="F264">
        <v>12485.3</v>
      </c>
      <c r="G264">
        <v>12633.85</v>
      </c>
      <c r="H264">
        <v>0</v>
      </c>
      <c r="I264" s="8">
        <f t="shared" si="17"/>
        <v>5.0235865942229729E-3</v>
      </c>
      <c r="J264" s="8">
        <f t="shared" si="18"/>
        <v>5.01101048362364E-3</v>
      </c>
      <c r="K264" s="8">
        <f t="shared" si="15"/>
        <v>0.15636884521919003</v>
      </c>
    </row>
    <row r="265" spans="1:11" x14ac:dyDescent="0.25">
      <c r="A265" t="str">
        <f t="shared" si="16"/>
        <v>12018</v>
      </c>
      <c r="B265" s="1">
        <v>43122</v>
      </c>
      <c r="C265" t="s">
        <v>183</v>
      </c>
      <c r="D265">
        <v>12544.6</v>
      </c>
      <c r="E265">
        <v>12924.6</v>
      </c>
      <c r="F265">
        <v>12521.15</v>
      </c>
      <c r="G265">
        <v>12894.95</v>
      </c>
      <c r="H265">
        <v>0</v>
      </c>
      <c r="I265" s="8">
        <f t="shared" si="17"/>
        <v>2.0666700966055496E-2</v>
      </c>
      <c r="J265" s="8">
        <f t="shared" si="18"/>
        <v>2.0456042172269571E-2</v>
      </c>
      <c r="K265" s="8">
        <f t="shared" si="15"/>
        <v>0.1848654559153915</v>
      </c>
    </row>
    <row r="266" spans="1:11" x14ac:dyDescent="0.25">
      <c r="A266" t="str">
        <f t="shared" si="16"/>
        <v>12018</v>
      </c>
      <c r="B266" s="1">
        <v>43123</v>
      </c>
      <c r="C266" t="s">
        <v>184</v>
      </c>
      <c r="D266">
        <v>12919.3</v>
      </c>
      <c r="E266">
        <v>13084.2</v>
      </c>
      <c r="F266">
        <v>12898.25</v>
      </c>
      <c r="G266">
        <v>13048.9</v>
      </c>
      <c r="H266">
        <v>0</v>
      </c>
      <c r="I266" s="8">
        <f t="shared" si="17"/>
        <v>1.1938782236456724E-2</v>
      </c>
      <c r="J266" s="8">
        <f t="shared" si="18"/>
        <v>1.1868077174358607E-2</v>
      </c>
      <c r="K266" s="8">
        <f t="shared" si="15"/>
        <v>0.20132939914656989</v>
      </c>
    </row>
    <row r="267" spans="1:11" x14ac:dyDescent="0.25">
      <c r="A267" t="str">
        <f t="shared" si="16"/>
        <v>12018</v>
      </c>
      <c r="B267" s="1">
        <v>43124</v>
      </c>
      <c r="C267" t="s">
        <v>185</v>
      </c>
      <c r="D267">
        <v>13020.3</v>
      </c>
      <c r="E267">
        <v>13553.95</v>
      </c>
      <c r="F267">
        <v>13005.95</v>
      </c>
      <c r="G267">
        <v>13249.55</v>
      </c>
      <c r="H267">
        <v>0</v>
      </c>
      <c r="I267" s="8">
        <f t="shared" si="17"/>
        <v>1.5376775053835834E-2</v>
      </c>
      <c r="J267" s="8">
        <f t="shared" si="18"/>
        <v>1.5259750563088256E-2</v>
      </c>
      <c r="K267" s="8">
        <f t="shared" si="15"/>
        <v>0.2206729130390721</v>
      </c>
    </row>
    <row r="268" spans="1:11" x14ac:dyDescent="0.25">
      <c r="A268" t="str">
        <f t="shared" si="16"/>
        <v>12018</v>
      </c>
      <c r="B268" s="1">
        <v>43125</v>
      </c>
      <c r="C268" t="s">
        <v>186</v>
      </c>
      <c r="D268">
        <v>13257.9</v>
      </c>
      <c r="E268">
        <v>13259.15</v>
      </c>
      <c r="F268">
        <v>12996.75</v>
      </c>
      <c r="G268">
        <v>13117.85</v>
      </c>
      <c r="H268">
        <v>0</v>
      </c>
      <c r="I268" s="8">
        <f t="shared" si="17"/>
        <v>-9.9399602250641594E-3</v>
      </c>
      <c r="J268" s="8">
        <f t="shared" si="18"/>
        <v>-9.9896914551012121E-3</v>
      </c>
      <c r="K268" s="8">
        <f t="shared" si="15"/>
        <v>0.21036824477066607</v>
      </c>
    </row>
    <row r="269" spans="1:11" x14ac:dyDescent="0.25">
      <c r="A269" t="str">
        <f t="shared" si="16"/>
        <v>12018</v>
      </c>
      <c r="B269" s="1">
        <v>43129</v>
      </c>
      <c r="C269" t="s">
        <v>187</v>
      </c>
      <c r="D269">
        <v>13113.2</v>
      </c>
      <c r="E269">
        <v>13328.05</v>
      </c>
      <c r="F269">
        <v>13096.45</v>
      </c>
      <c r="G269">
        <v>13242.5</v>
      </c>
      <c r="H269">
        <v>0</v>
      </c>
      <c r="I269" s="8">
        <f t="shared" si="17"/>
        <v>9.5023193587362442E-3</v>
      </c>
      <c r="J269" s="8">
        <f t="shared" si="18"/>
        <v>9.4574563002963411E-3</v>
      </c>
      <c r="K269" s="8">
        <f t="shared" si="15"/>
        <v>0.22419642609523649</v>
      </c>
    </row>
    <row r="270" spans="1:11" x14ac:dyDescent="0.25">
      <c r="A270" t="str">
        <f t="shared" si="16"/>
        <v>12018</v>
      </c>
      <c r="B270" s="1">
        <v>43130</v>
      </c>
      <c r="C270" t="s">
        <v>188</v>
      </c>
      <c r="D270">
        <v>13193</v>
      </c>
      <c r="E270">
        <v>13238.5</v>
      </c>
      <c r="F270">
        <v>13071.85</v>
      </c>
      <c r="G270">
        <v>13107.95</v>
      </c>
      <c r="H270">
        <v>0</v>
      </c>
      <c r="I270" s="8">
        <f t="shared" si="17"/>
        <v>-1.0160468189541194E-2</v>
      </c>
      <c r="J270" s="8">
        <f t="shared" si="18"/>
        <v>-1.0212438071700754E-2</v>
      </c>
      <c r="K270" s="8">
        <f t="shared" si="15"/>
        <v>0.20856825421705083</v>
      </c>
    </row>
    <row r="271" spans="1:11" x14ac:dyDescent="0.25">
      <c r="A271" t="str">
        <f t="shared" si="16"/>
        <v>12018</v>
      </c>
      <c r="B271" s="1">
        <v>43131</v>
      </c>
      <c r="C271" t="s">
        <v>189</v>
      </c>
      <c r="D271">
        <v>13050.85</v>
      </c>
      <c r="E271">
        <v>13142.85</v>
      </c>
      <c r="F271">
        <v>12943.35</v>
      </c>
      <c r="G271">
        <v>12986.4</v>
      </c>
      <c r="H271">
        <v>0</v>
      </c>
      <c r="I271" s="8">
        <f t="shared" si="17"/>
        <v>-9.2729984475071747E-3</v>
      </c>
      <c r="J271" s="8">
        <f t="shared" si="18"/>
        <v>-9.3162603503458615E-3</v>
      </c>
      <c r="K271" s="8">
        <f t="shared" si="15"/>
        <v>0.19811238069757042</v>
      </c>
    </row>
    <row r="272" spans="1:11" x14ac:dyDescent="0.25">
      <c r="A272" t="str">
        <f t="shared" si="16"/>
        <v>22018</v>
      </c>
      <c r="B272" s="1">
        <v>43132</v>
      </c>
      <c r="C272" s="10">
        <v>43102.645833333336</v>
      </c>
      <c r="D272">
        <v>12965.6</v>
      </c>
      <c r="E272">
        <v>13141.75</v>
      </c>
      <c r="F272">
        <v>12812.95</v>
      </c>
      <c r="G272">
        <v>12964.6</v>
      </c>
      <c r="H272">
        <v>0</v>
      </c>
      <c r="I272" s="8">
        <f t="shared" si="17"/>
        <v>-1.6786792336597189E-3</v>
      </c>
      <c r="J272" s="8">
        <f t="shared" si="18"/>
        <v>-1.6800897944515782E-3</v>
      </c>
      <c r="K272" s="8">
        <f t="shared" si="15"/>
        <v>0.18615906824399131</v>
      </c>
    </row>
    <row r="273" spans="1:11" x14ac:dyDescent="0.25">
      <c r="A273" t="str">
        <f t="shared" si="16"/>
        <v>22018</v>
      </c>
      <c r="B273" s="1">
        <v>43133</v>
      </c>
      <c r="C273" s="10">
        <v>43133.645833333336</v>
      </c>
      <c r="D273">
        <v>12872.5</v>
      </c>
      <c r="E273">
        <v>13130.25</v>
      </c>
      <c r="F273">
        <v>12846.2</v>
      </c>
      <c r="G273">
        <v>12983.6</v>
      </c>
      <c r="H273">
        <v>0</v>
      </c>
      <c r="I273" s="8">
        <f t="shared" si="17"/>
        <v>1.4655292103111783E-3</v>
      </c>
      <c r="J273" s="8">
        <f t="shared" si="18"/>
        <v>1.464456370435579E-3</v>
      </c>
      <c r="K273" s="8">
        <f t="shared" si="15"/>
        <v>0.16214498617090789</v>
      </c>
    </row>
    <row r="274" spans="1:11" x14ac:dyDescent="0.25">
      <c r="A274" t="str">
        <f t="shared" si="16"/>
        <v>22018</v>
      </c>
      <c r="B274" s="1">
        <v>43136</v>
      </c>
      <c r="C274" s="10">
        <v>43222.645833333336</v>
      </c>
      <c r="D274">
        <v>12878.7</v>
      </c>
      <c r="E274">
        <v>13104.8</v>
      </c>
      <c r="F274">
        <v>12845</v>
      </c>
      <c r="G274">
        <v>12936.9</v>
      </c>
      <c r="H274">
        <v>0</v>
      </c>
      <c r="I274" s="8">
        <f t="shared" si="17"/>
        <v>-3.5968452509319571E-3</v>
      </c>
      <c r="J274" s="8">
        <f t="shared" si="18"/>
        <v>-3.6033294519259742E-3</v>
      </c>
      <c r="K274" s="8">
        <f t="shared" si="15"/>
        <v>0.150365911132057</v>
      </c>
    </row>
    <row r="275" spans="1:11" x14ac:dyDescent="0.25">
      <c r="A275" t="str">
        <f t="shared" si="16"/>
        <v>22018</v>
      </c>
      <c r="B275" s="1">
        <v>43137</v>
      </c>
      <c r="C275" s="10">
        <v>43253.645833333336</v>
      </c>
      <c r="D275">
        <v>12516.2</v>
      </c>
      <c r="E275">
        <v>12750.7</v>
      </c>
      <c r="F275">
        <v>12490.75</v>
      </c>
      <c r="G275">
        <v>12562.35</v>
      </c>
      <c r="H275">
        <v>0</v>
      </c>
      <c r="I275" s="8">
        <f t="shared" si="17"/>
        <v>-2.8952067342253529E-2</v>
      </c>
      <c r="J275" s="8">
        <f t="shared" si="18"/>
        <v>-2.937944768905491E-2</v>
      </c>
      <c r="K275" s="8">
        <f t="shared" si="15"/>
        <v>0.11680720454818205</v>
      </c>
    </row>
    <row r="276" spans="1:11" x14ac:dyDescent="0.25">
      <c r="A276" t="str">
        <f t="shared" si="16"/>
        <v>22018</v>
      </c>
      <c r="B276" s="1">
        <v>43138</v>
      </c>
      <c r="C276" s="10">
        <v>43283.645833333336</v>
      </c>
      <c r="D276">
        <v>12667.6</v>
      </c>
      <c r="E276">
        <v>12680.3</v>
      </c>
      <c r="F276">
        <v>12419.4</v>
      </c>
      <c r="G276">
        <v>12450.05</v>
      </c>
      <c r="H276">
        <v>0</v>
      </c>
      <c r="I276" s="8">
        <f t="shared" si="17"/>
        <v>-8.9394102218136595E-3</v>
      </c>
      <c r="J276" s="8">
        <f t="shared" si="18"/>
        <v>-8.9796064825918998E-3</v>
      </c>
      <c r="K276" s="8">
        <f t="shared" si="15"/>
        <v>0.10937799341504384</v>
      </c>
    </row>
    <row r="277" spans="1:11" x14ac:dyDescent="0.25">
      <c r="A277" t="str">
        <f t="shared" si="16"/>
        <v>22018</v>
      </c>
      <c r="B277" s="1">
        <v>43139</v>
      </c>
      <c r="C277" s="10">
        <v>43314.645833333336</v>
      </c>
      <c r="D277">
        <v>12556.8</v>
      </c>
      <c r="E277">
        <v>12764.75</v>
      </c>
      <c r="F277">
        <v>12468.5</v>
      </c>
      <c r="G277">
        <v>12588.35</v>
      </c>
      <c r="H277">
        <v>0</v>
      </c>
      <c r="I277" s="8">
        <f t="shared" si="17"/>
        <v>1.1108389122935325E-2</v>
      </c>
      <c r="J277" s="8">
        <f t="shared" si="18"/>
        <v>1.104714410674352E-2</v>
      </c>
      <c r="K277" s="8">
        <f t="shared" si="15"/>
        <v>0.12033872661575984</v>
      </c>
    </row>
    <row r="278" spans="1:11" x14ac:dyDescent="0.25">
      <c r="A278" t="str">
        <f t="shared" si="16"/>
        <v>22018</v>
      </c>
      <c r="B278" s="1">
        <v>43140</v>
      </c>
      <c r="C278" s="10">
        <v>43345.645833333336</v>
      </c>
      <c r="D278">
        <v>12449.7</v>
      </c>
      <c r="E278">
        <v>12556.2</v>
      </c>
      <c r="F278">
        <v>12350.4</v>
      </c>
      <c r="G278">
        <v>12492.7</v>
      </c>
      <c r="H278">
        <v>0</v>
      </c>
      <c r="I278" s="8">
        <f t="shared" si="17"/>
        <v>-7.5982952491787659E-3</v>
      </c>
      <c r="J278" s="8">
        <f t="shared" si="18"/>
        <v>-7.62730935981858E-3</v>
      </c>
      <c r="K278" s="8">
        <f t="shared" si="15"/>
        <v>0.11854057078903191</v>
      </c>
    </row>
    <row r="279" spans="1:11" x14ac:dyDescent="0.25">
      <c r="A279" t="str">
        <f t="shared" si="16"/>
        <v>22018</v>
      </c>
      <c r="B279" s="1">
        <v>43143</v>
      </c>
      <c r="C279" s="10">
        <v>43436.645833333336</v>
      </c>
      <c r="D279">
        <v>12544.7</v>
      </c>
      <c r="E279">
        <v>12591.95</v>
      </c>
      <c r="F279">
        <v>12390.9</v>
      </c>
      <c r="G279">
        <v>12422.65</v>
      </c>
      <c r="H279">
        <v>0</v>
      </c>
      <c r="I279" s="8">
        <f t="shared" si="17"/>
        <v>-5.6072746483947222E-3</v>
      </c>
      <c r="J279" s="8">
        <f t="shared" si="18"/>
        <v>-5.6230544282383889E-3</v>
      </c>
      <c r="K279" s="8">
        <f t="shared" si="15"/>
        <v>0.11685351841695968</v>
      </c>
    </row>
    <row r="280" spans="1:11" x14ac:dyDescent="0.25">
      <c r="A280" t="str">
        <f t="shared" si="16"/>
        <v>22018</v>
      </c>
      <c r="B280" s="1">
        <v>43145</v>
      </c>
      <c r="C280" t="s">
        <v>190</v>
      </c>
      <c r="D280">
        <v>12438.2</v>
      </c>
      <c r="E280">
        <v>12546</v>
      </c>
      <c r="F280">
        <v>12346</v>
      </c>
      <c r="G280">
        <v>12420</v>
      </c>
      <c r="H280">
        <v>0</v>
      </c>
      <c r="I280" s="8">
        <f t="shared" si="17"/>
        <v>-2.1332002431040387E-4</v>
      </c>
      <c r="J280" s="8">
        <f t="shared" si="18"/>
        <v>-2.1334278026304755E-4</v>
      </c>
      <c r="K280" s="8">
        <f t="shared" si="15"/>
        <v>9.743974905564512E-2</v>
      </c>
    </row>
    <row r="281" spans="1:11" x14ac:dyDescent="0.25">
      <c r="A281" t="str">
        <f t="shared" si="16"/>
        <v>22018</v>
      </c>
      <c r="B281" s="1">
        <v>43146</v>
      </c>
      <c r="C281" t="s">
        <v>191</v>
      </c>
      <c r="D281">
        <v>12497.5</v>
      </c>
      <c r="E281">
        <v>12584.25</v>
      </c>
      <c r="F281">
        <v>12439.05</v>
      </c>
      <c r="G281">
        <v>12456.5</v>
      </c>
      <c r="H281">
        <v>0</v>
      </c>
      <c r="I281" s="8">
        <f t="shared" si="17"/>
        <v>2.938808373591062E-3</v>
      </c>
      <c r="J281" s="8">
        <f t="shared" si="18"/>
        <v>2.9344985180909922E-3</v>
      </c>
      <c r="K281" s="8">
        <f t="shared" si="15"/>
        <v>0.11717488789237662</v>
      </c>
    </row>
    <row r="282" spans="1:11" x14ac:dyDescent="0.25">
      <c r="A282" t="str">
        <f t="shared" si="16"/>
        <v>22018</v>
      </c>
      <c r="B282" s="1">
        <v>43147</v>
      </c>
      <c r="C282" t="s">
        <v>192</v>
      </c>
      <c r="D282">
        <v>12512.75</v>
      </c>
      <c r="E282">
        <v>12687.45</v>
      </c>
      <c r="F282">
        <v>12412.1</v>
      </c>
      <c r="G282">
        <v>12437.95</v>
      </c>
      <c r="H282">
        <v>0</v>
      </c>
      <c r="I282" s="8">
        <f t="shared" si="17"/>
        <v>-1.4891823545939431E-3</v>
      </c>
      <c r="J282" s="8">
        <f t="shared" si="18"/>
        <v>-1.4902922887029433E-3</v>
      </c>
      <c r="K282" s="8">
        <f t="shared" si="15"/>
        <v>0.12052594120773685</v>
      </c>
    </row>
    <row r="283" spans="1:11" x14ac:dyDescent="0.25">
      <c r="A283" t="str">
        <f t="shared" si="16"/>
        <v>22018</v>
      </c>
      <c r="B283" s="1">
        <v>43150</v>
      </c>
      <c r="C283" t="s">
        <v>193</v>
      </c>
      <c r="D283">
        <v>12474.15</v>
      </c>
      <c r="E283">
        <v>12479.4</v>
      </c>
      <c r="F283">
        <v>12228.8</v>
      </c>
      <c r="G283">
        <v>12331.4</v>
      </c>
      <c r="H283">
        <v>0</v>
      </c>
      <c r="I283" s="8">
        <f t="shared" si="17"/>
        <v>-8.5665242262592534E-3</v>
      </c>
      <c r="J283" s="8">
        <f t="shared" si="18"/>
        <v>-8.6034278029872638E-3</v>
      </c>
      <c r="K283" s="8">
        <f t="shared" si="15"/>
        <v>0.10899370022797883</v>
      </c>
    </row>
    <row r="284" spans="1:11" x14ac:dyDescent="0.25">
      <c r="A284" t="str">
        <f t="shared" si="16"/>
        <v>22018</v>
      </c>
      <c r="B284" s="1">
        <v>43151</v>
      </c>
      <c r="C284" t="s">
        <v>194</v>
      </c>
      <c r="D284">
        <v>12272.95</v>
      </c>
      <c r="E284">
        <v>12491.6</v>
      </c>
      <c r="F284">
        <v>12268.55</v>
      </c>
      <c r="G284">
        <v>12372</v>
      </c>
      <c r="H284">
        <v>0</v>
      </c>
      <c r="I284" s="8">
        <f t="shared" si="17"/>
        <v>3.2924079990916955E-3</v>
      </c>
      <c r="J284" s="8">
        <f t="shared" si="18"/>
        <v>3.2869998910896566E-3</v>
      </c>
      <c r="K284" s="8">
        <f t="shared" si="15"/>
        <v>0.11284011693276375</v>
      </c>
    </row>
    <row r="285" spans="1:11" x14ac:dyDescent="0.25">
      <c r="A285" t="str">
        <f t="shared" si="16"/>
        <v>22018</v>
      </c>
      <c r="B285" s="1">
        <v>43152</v>
      </c>
      <c r="C285" t="s">
        <v>195</v>
      </c>
      <c r="D285">
        <v>12490.5</v>
      </c>
      <c r="E285">
        <v>12703.85</v>
      </c>
      <c r="F285">
        <v>12452.35</v>
      </c>
      <c r="G285">
        <v>12660.05</v>
      </c>
      <c r="H285">
        <v>0</v>
      </c>
      <c r="I285" s="8">
        <f t="shared" si="17"/>
        <v>2.3282411897833866E-2</v>
      </c>
      <c r="J285" s="8">
        <f t="shared" si="18"/>
        <v>2.3015511332485354E-2</v>
      </c>
      <c r="K285" s="8">
        <f t="shared" si="15"/>
        <v>0.12728171246416031</v>
      </c>
    </row>
    <row r="286" spans="1:11" x14ac:dyDescent="0.25">
      <c r="A286" t="str">
        <f t="shared" si="16"/>
        <v>22018</v>
      </c>
      <c r="B286" s="1">
        <v>43153</v>
      </c>
      <c r="C286" t="s">
        <v>196</v>
      </c>
      <c r="D286">
        <v>12663.65</v>
      </c>
      <c r="E286">
        <v>12794</v>
      </c>
      <c r="F286">
        <v>12631.85</v>
      </c>
      <c r="G286">
        <v>12730.25</v>
      </c>
      <c r="H286">
        <v>0</v>
      </c>
      <c r="I286" s="8">
        <f t="shared" si="17"/>
        <v>5.5450017969913556E-3</v>
      </c>
      <c r="J286" s="8">
        <f t="shared" si="18"/>
        <v>5.5296848700319102E-3</v>
      </c>
      <c r="K286" s="8">
        <f t="shared" si="15"/>
        <v>0.12593309983726031</v>
      </c>
    </row>
    <row r="287" spans="1:11" x14ac:dyDescent="0.25">
      <c r="A287" t="str">
        <f t="shared" si="16"/>
        <v>22018</v>
      </c>
      <c r="B287" s="1">
        <v>43154</v>
      </c>
      <c r="C287" t="s">
        <v>197</v>
      </c>
      <c r="D287">
        <v>12784.1</v>
      </c>
      <c r="E287">
        <v>12888</v>
      </c>
      <c r="F287">
        <v>12701.1</v>
      </c>
      <c r="G287">
        <v>12871.15</v>
      </c>
      <c r="H287">
        <v>0</v>
      </c>
      <c r="I287" s="8">
        <f t="shared" si="17"/>
        <v>1.1068125135013096E-2</v>
      </c>
      <c r="J287" s="8">
        <f t="shared" si="18"/>
        <v>1.1007321680121852E-2</v>
      </c>
      <c r="K287" s="8">
        <f t="shared" si="15"/>
        <v>0.13760523233974853</v>
      </c>
    </row>
    <row r="288" spans="1:11" x14ac:dyDescent="0.25">
      <c r="A288" t="str">
        <f t="shared" si="16"/>
        <v>22018</v>
      </c>
      <c r="B288" s="1">
        <v>43157</v>
      </c>
      <c r="C288" t="s">
        <v>198</v>
      </c>
      <c r="D288">
        <v>12864.6</v>
      </c>
      <c r="E288">
        <v>12903.9</v>
      </c>
      <c r="F288">
        <v>12692.35</v>
      </c>
      <c r="G288">
        <v>12713.15</v>
      </c>
      <c r="H288">
        <v>0</v>
      </c>
      <c r="I288" s="8">
        <f t="shared" si="17"/>
        <v>-1.2275515396837133E-2</v>
      </c>
      <c r="J288" s="8">
        <f t="shared" si="18"/>
        <v>-1.2351481861122985E-2</v>
      </c>
      <c r="K288" s="8">
        <f t="shared" si="15"/>
        <v>0.12799229854666105</v>
      </c>
    </row>
    <row r="289" spans="1:11" x14ac:dyDescent="0.25">
      <c r="A289" t="str">
        <f t="shared" si="16"/>
        <v>22018</v>
      </c>
      <c r="B289" s="1">
        <v>43158</v>
      </c>
      <c r="C289" t="s">
        <v>199</v>
      </c>
      <c r="D289">
        <v>12777.25</v>
      </c>
      <c r="E289">
        <v>12797.35</v>
      </c>
      <c r="F289">
        <v>12688</v>
      </c>
      <c r="G289">
        <v>12746.8</v>
      </c>
      <c r="H289">
        <v>0</v>
      </c>
      <c r="I289" s="8">
        <f t="shared" si="17"/>
        <v>2.6468656469875729E-3</v>
      </c>
      <c r="J289" s="8">
        <f t="shared" si="18"/>
        <v>2.6433688670896094E-3</v>
      </c>
      <c r="K289" s="8">
        <f t="shared" si="15"/>
        <v>0.13476869388717994</v>
      </c>
    </row>
    <row r="290" spans="1:11" x14ac:dyDescent="0.25">
      <c r="A290" t="str">
        <f t="shared" si="16"/>
        <v>22018</v>
      </c>
      <c r="B290" s="1">
        <v>43159</v>
      </c>
      <c r="C290" t="s">
        <v>200</v>
      </c>
      <c r="D290">
        <v>12744.4</v>
      </c>
      <c r="E290">
        <v>12904.2</v>
      </c>
      <c r="F290">
        <v>12696.35</v>
      </c>
      <c r="G290">
        <v>12809</v>
      </c>
      <c r="H290">
        <v>0</v>
      </c>
      <c r="I290" s="8">
        <f t="shared" si="17"/>
        <v>4.8796560705433034E-3</v>
      </c>
      <c r="J290" s="8">
        <f t="shared" si="18"/>
        <v>4.867789137570311E-3</v>
      </c>
      <c r="K290" s="8">
        <f t="shared" si="15"/>
        <v>0.15237037070357662</v>
      </c>
    </row>
    <row r="291" spans="1:11" x14ac:dyDescent="0.25">
      <c r="A291" t="str">
        <f t="shared" si="16"/>
        <v>32018</v>
      </c>
      <c r="B291" s="1">
        <v>43160</v>
      </c>
      <c r="C291" s="10">
        <v>43103.645833333336</v>
      </c>
      <c r="D291">
        <v>12823.9</v>
      </c>
      <c r="E291">
        <v>12842.65</v>
      </c>
      <c r="F291">
        <v>12736.4</v>
      </c>
      <c r="G291">
        <v>12769.45</v>
      </c>
      <c r="H291">
        <v>0</v>
      </c>
      <c r="I291" s="8">
        <f t="shared" si="17"/>
        <v>-3.0876727301115681E-3</v>
      </c>
      <c r="J291" s="8">
        <f t="shared" si="18"/>
        <v>-3.0924494266736731E-3</v>
      </c>
      <c r="K291" s="8">
        <f t="shared" si="15"/>
        <v>0.16631958715805828</v>
      </c>
    </row>
    <row r="292" spans="1:11" x14ac:dyDescent="0.25">
      <c r="A292" t="str">
        <f t="shared" si="16"/>
        <v>32018</v>
      </c>
      <c r="B292" s="1">
        <v>43164</v>
      </c>
      <c r="C292" s="10">
        <v>43223.645833333336</v>
      </c>
      <c r="D292">
        <v>12768.55</v>
      </c>
      <c r="E292">
        <v>12890.95</v>
      </c>
      <c r="F292">
        <v>12684.3</v>
      </c>
      <c r="G292">
        <v>12857.65</v>
      </c>
      <c r="H292">
        <v>0</v>
      </c>
      <c r="I292" s="8">
        <f t="shared" si="17"/>
        <v>6.9071103297322356E-3</v>
      </c>
      <c r="J292" s="8">
        <f t="shared" si="18"/>
        <v>6.883365519159225E-3</v>
      </c>
      <c r="K292" s="8">
        <f t="shared" si="15"/>
        <v>0.16026494249502554</v>
      </c>
    </row>
    <row r="293" spans="1:11" x14ac:dyDescent="0.25">
      <c r="A293" t="str">
        <f t="shared" si="16"/>
        <v>32018</v>
      </c>
      <c r="B293" s="1">
        <v>43165</v>
      </c>
      <c r="C293" s="10">
        <v>43254.645833333336</v>
      </c>
      <c r="D293">
        <v>12924.45</v>
      </c>
      <c r="E293">
        <v>12930.55</v>
      </c>
      <c r="F293">
        <v>12667.45</v>
      </c>
      <c r="G293">
        <v>12706.1</v>
      </c>
      <c r="H293">
        <v>0</v>
      </c>
      <c r="I293" s="8">
        <f t="shared" si="17"/>
        <v>-1.1786757300128681E-2</v>
      </c>
      <c r="J293" s="8">
        <f t="shared" si="18"/>
        <v>-1.1856771830616406E-2</v>
      </c>
      <c r="K293" s="8">
        <f t="shared" si="15"/>
        <v>0.1524389137809059</v>
      </c>
    </row>
    <row r="294" spans="1:11" x14ac:dyDescent="0.25">
      <c r="A294" t="str">
        <f t="shared" si="16"/>
        <v>32018</v>
      </c>
      <c r="B294" s="1">
        <v>43166</v>
      </c>
      <c r="C294" s="10">
        <v>43284.645833333336</v>
      </c>
      <c r="D294">
        <v>12767.45</v>
      </c>
      <c r="E294">
        <v>12856.55</v>
      </c>
      <c r="F294">
        <v>12650.25</v>
      </c>
      <c r="G294">
        <v>12677.15</v>
      </c>
      <c r="H294">
        <v>0</v>
      </c>
      <c r="I294" s="8">
        <f t="shared" si="17"/>
        <v>-2.2784331935055135E-3</v>
      </c>
      <c r="J294" s="8">
        <f t="shared" si="18"/>
        <v>-2.2810327718084497E-3</v>
      </c>
      <c r="K294" s="8">
        <f t="shared" si="15"/>
        <v>0.14467399254169333</v>
      </c>
    </row>
    <row r="295" spans="1:11" x14ac:dyDescent="0.25">
      <c r="A295" t="str">
        <f t="shared" si="16"/>
        <v>32018</v>
      </c>
      <c r="B295" s="1">
        <v>43167</v>
      </c>
      <c r="C295" s="10">
        <v>43315.645833333336</v>
      </c>
      <c r="D295">
        <v>12757</v>
      </c>
      <c r="E295">
        <v>12802.15</v>
      </c>
      <c r="F295">
        <v>12645.75</v>
      </c>
      <c r="G295">
        <v>12682.4</v>
      </c>
      <c r="H295">
        <v>0</v>
      </c>
      <c r="I295" s="8">
        <f t="shared" si="17"/>
        <v>4.1413093636966103E-4</v>
      </c>
      <c r="J295" s="8">
        <f t="shared" si="18"/>
        <v>4.1404520782117789E-4</v>
      </c>
      <c r="K295" s="8">
        <f t="shared" si="15"/>
        <v>0.13605947955390341</v>
      </c>
    </row>
    <row r="296" spans="1:11" x14ac:dyDescent="0.25">
      <c r="A296" t="str">
        <f t="shared" si="16"/>
        <v>32018</v>
      </c>
      <c r="B296" s="1">
        <v>43168</v>
      </c>
      <c r="C296" s="10">
        <v>43346.645833333336</v>
      </c>
      <c r="D296">
        <v>12710.35</v>
      </c>
      <c r="E296">
        <v>12805.35</v>
      </c>
      <c r="F296">
        <v>12656.65</v>
      </c>
      <c r="G296">
        <v>12747.25</v>
      </c>
      <c r="H296">
        <v>0</v>
      </c>
      <c r="I296" s="8">
        <f t="shared" si="17"/>
        <v>5.1133854790892386E-3</v>
      </c>
      <c r="J296" s="8">
        <f t="shared" si="18"/>
        <v>5.100356519414804E-3</v>
      </c>
      <c r="K296" s="8">
        <f t="shared" si="15"/>
        <v>0.14085685646267021</v>
      </c>
    </row>
    <row r="297" spans="1:11" x14ac:dyDescent="0.25">
      <c r="A297" t="str">
        <f t="shared" si="16"/>
        <v>32018</v>
      </c>
      <c r="B297" s="1">
        <v>43171</v>
      </c>
      <c r="C297" s="10">
        <v>43437.645833333336</v>
      </c>
      <c r="D297">
        <v>12825.25</v>
      </c>
      <c r="E297">
        <v>13012.35</v>
      </c>
      <c r="F297">
        <v>12813.25</v>
      </c>
      <c r="G297">
        <v>12923.4</v>
      </c>
      <c r="H297">
        <v>0</v>
      </c>
      <c r="I297" s="8">
        <f t="shared" si="17"/>
        <v>1.381866677126431E-2</v>
      </c>
      <c r="J297" s="8">
        <f t="shared" si="18"/>
        <v>1.3724059562931632E-2</v>
      </c>
      <c r="K297" s="8">
        <f t="shared" si="15"/>
        <v>0.14123984457788774</v>
      </c>
    </row>
    <row r="298" spans="1:11" x14ac:dyDescent="0.25">
      <c r="A298" t="str">
        <f t="shared" si="16"/>
        <v>32018</v>
      </c>
      <c r="B298" s="1">
        <v>43172</v>
      </c>
      <c r="C298" t="s">
        <v>201</v>
      </c>
      <c r="D298">
        <v>12778.35</v>
      </c>
      <c r="E298">
        <v>12842.2</v>
      </c>
      <c r="F298">
        <v>12663.3</v>
      </c>
      <c r="G298">
        <v>12734.2</v>
      </c>
      <c r="H298">
        <v>0</v>
      </c>
      <c r="I298" s="8">
        <f t="shared" si="17"/>
        <v>-1.4640110187721378E-2</v>
      </c>
      <c r="J298" s="8">
        <f t="shared" si="18"/>
        <v>-1.4748334173751466E-2</v>
      </c>
      <c r="K298" s="8">
        <f t="shared" si="15"/>
        <v>0.12967456054362625</v>
      </c>
    </row>
    <row r="299" spans="1:11" x14ac:dyDescent="0.25">
      <c r="A299" t="str">
        <f t="shared" si="16"/>
        <v>32018</v>
      </c>
      <c r="B299" s="1">
        <v>43173</v>
      </c>
      <c r="C299" t="s">
        <v>202</v>
      </c>
      <c r="D299">
        <v>12725.2</v>
      </c>
      <c r="E299">
        <v>12840.45</v>
      </c>
      <c r="F299">
        <v>12711.25</v>
      </c>
      <c r="G299">
        <v>12786.95</v>
      </c>
      <c r="H299">
        <v>0</v>
      </c>
      <c r="I299" s="8">
        <f t="shared" si="17"/>
        <v>4.1423882144147051E-3</v>
      </c>
      <c r="J299" s="8">
        <f t="shared" si="18"/>
        <v>4.1338321445919214E-3</v>
      </c>
      <c r="K299" s="8">
        <f t="shared" si="15"/>
        <v>0.13644604815272365</v>
      </c>
    </row>
    <row r="300" spans="1:11" x14ac:dyDescent="0.25">
      <c r="A300" t="str">
        <f t="shared" si="16"/>
        <v>32018</v>
      </c>
      <c r="B300" s="1">
        <v>43174</v>
      </c>
      <c r="C300" t="s">
        <v>203</v>
      </c>
      <c r="D300">
        <v>12815.6</v>
      </c>
      <c r="E300">
        <v>12860</v>
      </c>
      <c r="F300">
        <v>12727.8</v>
      </c>
      <c r="G300">
        <v>12762.3</v>
      </c>
      <c r="H300">
        <v>0</v>
      </c>
      <c r="I300" s="8">
        <f t="shared" si="17"/>
        <v>-1.9277466479498129E-3</v>
      </c>
      <c r="J300" s="8">
        <f t="shared" si="18"/>
        <v>-1.9296071429456539E-3</v>
      </c>
      <c r="K300" s="8">
        <f t="shared" si="15"/>
        <v>0.13187115312982245</v>
      </c>
    </row>
    <row r="301" spans="1:11" x14ac:dyDescent="0.25">
      <c r="A301" t="str">
        <f t="shared" si="16"/>
        <v>32018</v>
      </c>
      <c r="B301" s="1">
        <v>43175</v>
      </c>
      <c r="C301" t="s">
        <v>204</v>
      </c>
      <c r="D301">
        <v>12776.25</v>
      </c>
      <c r="E301">
        <v>12778.6</v>
      </c>
      <c r="F301">
        <v>12606.6</v>
      </c>
      <c r="G301">
        <v>12698.4</v>
      </c>
      <c r="H301">
        <v>0</v>
      </c>
      <c r="I301" s="8">
        <f t="shared" si="17"/>
        <v>-5.0069344867303966E-3</v>
      </c>
      <c r="J301" s="8">
        <f t="shared" si="18"/>
        <v>-5.0195111812275824E-3</v>
      </c>
      <c r="K301" s="8">
        <f t="shared" si="15"/>
        <v>0.12491694940779396</v>
      </c>
    </row>
    <row r="302" spans="1:11" x14ac:dyDescent="0.25">
      <c r="A302" t="str">
        <f t="shared" si="16"/>
        <v>32018</v>
      </c>
      <c r="B302" s="1">
        <v>43178</v>
      </c>
      <c r="C302" t="s">
        <v>205</v>
      </c>
      <c r="D302">
        <v>12660.9</v>
      </c>
      <c r="E302">
        <v>12725.35</v>
      </c>
      <c r="F302">
        <v>12392.7</v>
      </c>
      <c r="G302">
        <v>12421.3</v>
      </c>
      <c r="H302">
        <v>0</v>
      </c>
      <c r="I302" s="8">
        <f t="shared" si="17"/>
        <v>-2.182164682164689E-2</v>
      </c>
      <c r="J302" s="8">
        <f t="shared" si="18"/>
        <v>-2.2063260360793823E-2</v>
      </c>
      <c r="K302" s="8">
        <f t="shared" si="15"/>
        <v>9.7753464366515663E-2</v>
      </c>
    </row>
    <row r="303" spans="1:11" x14ac:dyDescent="0.25">
      <c r="A303" t="str">
        <f t="shared" si="16"/>
        <v>32018</v>
      </c>
      <c r="B303" s="1">
        <v>43179</v>
      </c>
      <c r="C303" t="s">
        <v>206</v>
      </c>
      <c r="D303">
        <v>12385</v>
      </c>
      <c r="E303">
        <v>12644.6</v>
      </c>
      <c r="F303">
        <v>12375.4</v>
      </c>
      <c r="G303">
        <v>12609.1</v>
      </c>
      <c r="H303">
        <v>0</v>
      </c>
      <c r="I303" s="8">
        <f t="shared" si="17"/>
        <v>1.5119190422902662E-2</v>
      </c>
      <c r="J303" s="8">
        <f t="shared" si="18"/>
        <v>1.5006034587588191E-2</v>
      </c>
      <c r="K303" s="8">
        <f t="shared" si="15"/>
        <v>0.12174118044774995</v>
      </c>
    </row>
    <row r="304" spans="1:11" x14ac:dyDescent="0.25">
      <c r="A304" t="str">
        <f t="shared" si="16"/>
        <v>32018</v>
      </c>
      <c r="B304" s="1">
        <v>43180</v>
      </c>
      <c r="C304" t="s">
        <v>207</v>
      </c>
      <c r="D304">
        <v>12665.75</v>
      </c>
      <c r="E304">
        <v>12698.35</v>
      </c>
      <c r="F304">
        <v>12554.15</v>
      </c>
      <c r="G304">
        <v>12608.85</v>
      </c>
      <c r="H304">
        <v>0</v>
      </c>
      <c r="I304" s="8">
        <f t="shared" si="17"/>
        <v>-1.9826950377055397E-5</v>
      </c>
      <c r="J304" s="8">
        <f t="shared" si="18"/>
        <v>-1.9827146933634105E-5</v>
      </c>
      <c r="K304" s="8">
        <f t="shared" si="15"/>
        <v>0.11541285539887824</v>
      </c>
    </row>
    <row r="305" spans="1:11" x14ac:dyDescent="0.25">
      <c r="A305" t="str">
        <f t="shared" si="16"/>
        <v>32018</v>
      </c>
      <c r="B305" s="1">
        <v>43181</v>
      </c>
      <c r="C305" t="s">
        <v>208</v>
      </c>
      <c r="D305">
        <v>12607.65</v>
      </c>
      <c r="E305">
        <v>12638.95</v>
      </c>
      <c r="F305">
        <v>12454.5</v>
      </c>
      <c r="G305">
        <v>12489.6</v>
      </c>
      <c r="H305">
        <v>0</v>
      </c>
      <c r="I305" s="8">
        <f t="shared" si="17"/>
        <v>-9.4576428460961814E-3</v>
      </c>
      <c r="J305" s="8">
        <f t="shared" si="18"/>
        <v>-9.5026503515965033E-3</v>
      </c>
      <c r="K305" s="8">
        <f t="shared" si="15"/>
        <v>9.8054385764398733E-2</v>
      </c>
    </row>
    <row r="306" spans="1:11" x14ac:dyDescent="0.25">
      <c r="A306" t="str">
        <f t="shared" si="16"/>
        <v>32018</v>
      </c>
      <c r="B306" s="1">
        <v>43182</v>
      </c>
      <c r="C306" t="s">
        <v>209</v>
      </c>
      <c r="D306">
        <v>12292.65</v>
      </c>
      <c r="E306">
        <v>12564.75</v>
      </c>
      <c r="F306">
        <v>12281.2</v>
      </c>
      <c r="G306">
        <v>12541.1</v>
      </c>
      <c r="H306">
        <v>0</v>
      </c>
      <c r="I306" s="8">
        <f t="shared" si="17"/>
        <v>4.1234306943376264E-3</v>
      </c>
      <c r="J306" s="8">
        <f t="shared" si="18"/>
        <v>4.1149526517487451E-3</v>
      </c>
      <c r="K306" s="8">
        <f t="shared" si="15"/>
        <v>9.0350289952094931E-2</v>
      </c>
    </row>
    <row r="307" spans="1:11" x14ac:dyDescent="0.25">
      <c r="A307" t="str">
        <f t="shared" si="16"/>
        <v>32018</v>
      </c>
      <c r="B307" s="1">
        <v>43185</v>
      </c>
      <c r="C307" t="s">
        <v>210</v>
      </c>
      <c r="D307">
        <v>12536.6</v>
      </c>
      <c r="E307">
        <v>12542.55</v>
      </c>
      <c r="F307">
        <v>12392.25</v>
      </c>
      <c r="G307">
        <v>12462.4</v>
      </c>
      <c r="H307">
        <v>0</v>
      </c>
      <c r="I307" s="8">
        <f t="shared" si="17"/>
        <v>-6.2753665946368997E-3</v>
      </c>
      <c r="J307" s="8">
        <f t="shared" si="18"/>
        <v>-6.2951394723606219E-3</v>
      </c>
      <c r="K307" s="8">
        <f t="shared" si="15"/>
        <v>8.2990075951127062E-2</v>
      </c>
    </row>
    <row r="308" spans="1:11" x14ac:dyDescent="0.25">
      <c r="A308" t="str">
        <f t="shared" si="16"/>
        <v>32018</v>
      </c>
      <c r="B308" s="1">
        <v>43186</v>
      </c>
      <c r="C308" t="s">
        <v>211</v>
      </c>
      <c r="D308">
        <v>12539.5</v>
      </c>
      <c r="E308">
        <v>12566.5</v>
      </c>
      <c r="F308">
        <v>12444.7</v>
      </c>
      <c r="G308">
        <v>12518.2</v>
      </c>
      <c r="H308">
        <v>0</v>
      </c>
      <c r="I308" s="8">
        <f t="shared" si="17"/>
        <v>4.4774682244190789E-3</v>
      </c>
      <c r="J308" s="8">
        <f t="shared" si="18"/>
        <v>4.4674741844618181E-3</v>
      </c>
      <c r="K308" s="8">
        <f t="shared" si="15"/>
        <v>8.7664270043660508E-2</v>
      </c>
    </row>
    <row r="309" spans="1:11" x14ac:dyDescent="0.25">
      <c r="A309" t="str">
        <f t="shared" si="16"/>
        <v>32018</v>
      </c>
      <c r="B309" s="1">
        <v>43187</v>
      </c>
      <c r="C309" t="s">
        <v>212</v>
      </c>
      <c r="D309">
        <v>12468.7</v>
      </c>
      <c r="E309">
        <v>12573.1</v>
      </c>
      <c r="F309">
        <v>12424.55</v>
      </c>
      <c r="G309">
        <v>12511.55</v>
      </c>
      <c r="H309">
        <v>0</v>
      </c>
      <c r="I309" s="8">
        <f t="shared" si="17"/>
        <v>-5.3122653416637355E-4</v>
      </c>
      <c r="J309" s="8">
        <f t="shared" si="18"/>
        <v>-5.3136768497259073E-4</v>
      </c>
      <c r="K309" s="8">
        <f t="shared" si="15"/>
        <v>8.8301555269475696E-2</v>
      </c>
    </row>
    <row r="310" spans="1:11" x14ac:dyDescent="0.25">
      <c r="A310" t="str">
        <f t="shared" si="16"/>
        <v>42018</v>
      </c>
      <c r="B310" s="1">
        <v>43192</v>
      </c>
      <c r="C310" s="10">
        <v>43135.645833333336</v>
      </c>
      <c r="D310">
        <v>12542.3</v>
      </c>
      <c r="E310">
        <v>12723.4</v>
      </c>
      <c r="F310">
        <v>12541.35</v>
      </c>
      <c r="G310">
        <v>12707.1</v>
      </c>
      <c r="H310">
        <v>0</v>
      </c>
      <c r="I310" s="8">
        <f t="shared" si="17"/>
        <v>1.5629558288141832E-2</v>
      </c>
      <c r="J310" s="8">
        <f t="shared" si="18"/>
        <v>1.5508674686525449E-2</v>
      </c>
      <c r="K310" s="8">
        <f t="shared" si="15"/>
        <v>8.926558515311922E-2</v>
      </c>
    </row>
    <row r="311" spans="1:11" x14ac:dyDescent="0.25">
      <c r="A311" t="str">
        <f t="shared" si="16"/>
        <v>42018</v>
      </c>
      <c r="B311" s="1">
        <v>43193</v>
      </c>
      <c r="C311" s="10">
        <v>43163.645833333336</v>
      </c>
      <c r="D311">
        <v>12637.8</v>
      </c>
      <c r="E311">
        <v>12708.15</v>
      </c>
      <c r="F311">
        <v>12557.05</v>
      </c>
      <c r="G311">
        <v>12615.45</v>
      </c>
      <c r="H311">
        <v>0</v>
      </c>
      <c r="I311" s="8">
        <f t="shared" si="17"/>
        <v>-7.2125032462166949E-3</v>
      </c>
      <c r="J311" s="8">
        <f t="shared" si="18"/>
        <v>-7.2386390935021009E-3</v>
      </c>
      <c r="K311" s="8">
        <f t="shared" si="15"/>
        <v>9.0759354127488479E-2</v>
      </c>
    </row>
    <row r="312" spans="1:11" x14ac:dyDescent="0.25">
      <c r="A312" t="str">
        <f t="shared" si="16"/>
        <v>42018</v>
      </c>
      <c r="B312" s="1">
        <v>43194</v>
      </c>
      <c r="C312" s="10">
        <v>43194.645833333336</v>
      </c>
      <c r="D312">
        <v>12689.9</v>
      </c>
      <c r="E312">
        <v>12689.9</v>
      </c>
      <c r="F312">
        <v>12442.15</v>
      </c>
      <c r="G312">
        <v>12490.85</v>
      </c>
      <c r="H312">
        <v>0</v>
      </c>
      <c r="I312" s="8">
        <f t="shared" si="17"/>
        <v>-9.8767780776746195E-3</v>
      </c>
      <c r="J312" s="8">
        <f t="shared" si="18"/>
        <v>-9.9258770106170936E-3</v>
      </c>
      <c r="K312" s="8">
        <f t="shared" si="15"/>
        <v>7.6579313673523108E-2</v>
      </c>
    </row>
    <row r="313" spans="1:11" x14ac:dyDescent="0.25">
      <c r="A313" t="str">
        <f t="shared" si="16"/>
        <v>42018</v>
      </c>
      <c r="B313" s="1">
        <v>43195</v>
      </c>
      <c r="C313" s="10">
        <v>43224.645833333336</v>
      </c>
      <c r="D313">
        <v>12617.45</v>
      </c>
      <c r="E313">
        <v>12695.8</v>
      </c>
      <c r="F313">
        <v>12578.95</v>
      </c>
      <c r="G313">
        <v>12682.55</v>
      </c>
      <c r="H313">
        <v>0</v>
      </c>
      <c r="I313" s="8">
        <f t="shared" si="17"/>
        <v>1.5347234175416391E-2</v>
      </c>
      <c r="J313" s="8">
        <f t="shared" si="18"/>
        <v>1.5230656625864616E-2</v>
      </c>
      <c r="K313" s="8">
        <f t="shared" si="15"/>
        <v>9.4578266460683347E-2</v>
      </c>
    </row>
    <row r="314" spans="1:11" x14ac:dyDescent="0.25">
      <c r="A314" t="str">
        <f t="shared" si="16"/>
        <v>42018</v>
      </c>
      <c r="B314" s="1">
        <v>43196</v>
      </c>
      <c r="C314" s="10">
        <v>43255.645833333336</v>
      </c>
      <c r="D314">
        <v>12685.3</v>
      </c>
      <c r="E314">
        <v>12687.4</v>
      </c>
      <c r="F314">
        <v>12569.25</v>
      </c>
      <c r="G314">
        <v>12603.35</v>
      </c>
      <c r="H314">
        <v>0</v>
      </c>
      <c r="I314" s="8">
        <f t="shared" si="17"/>
        <v>-6.2448009272582095E-3</v>
      </c>
      <c r="J314" s="8">
        <f t="shared" si="18"/>
        <v>-6.2643812559685704E-3</v>
      </c>
      <c r="K314" s="8">
        <f t="shared" si="15"/>
        <v>8.7358077095627706E-2</v>
      </c>
    </row>
    <row r="315" spans="1:11" x14ac:dyDescent="0.25">
      <c r="A315" t="str">
        <f t="shared" si="16"/>
        <v>42018</v>
      </c>
      <c r="B315" s="1">
        <v>43199</v>
      </c>
      <c r="C315" s="10">
        <v>43347.645833333336</v>
      </c>
      <c r="D315">
        <v>12605.35</v>
      </c>
      <c r="E315">
        <v>12640.3</v>
      </c>
      <c r="F315">
        <v>12506.4</v>
      </c>
      <c r="G315">
        <v>12531.2</v>
      </c>
      <c r="H315">
        <v>0</v>
      </c>
      <c r="I315" s="8">
        <f t="shared" si="17"/>
        <v>-5.7246684413271298E-3</v>
      </c>
      <c r="J315" s="8">
        <f t="shared" si="18"/>
        <v>-5.7411171613937235E-3</v>
      </c>
      <c r="K315" s="8">
        <f t="shared" si="15"/>
        <v>7.716045403165861E-2</v>
      </c>
    </row>
    <row r="316" spans="1:11" x14ac:dyDescent="0.25">
      <c r="A316" t="str">
        <f t="shared" si="16"/>
        <v>42018</v>
      </c>
      <c r="B316" s="1">
        <v>43200</v>
      </c>
      <c r="C316" s="10">
        <v>43377.645833333336</v>
      </c>
      <c r="D316">
        <v>12532.25</v>
      </c>
      <c r="E316">
        <v>12618.8</v>
      </c>
      <c r="F316">
        <v>12519.45</v>
      </c>
      <c r="G316">
        <v>12576.55</v>
      </c>
      <c r="H316">
        <v>0</v>
      </c>
      <c r="I316" s="8">
        <f t="shared" si="17"/>
        <v>3.6189670582225109E-3</v>
      </c>
      <c r="J316" s="8">
        <f t="shared" si="18"/>
        <v>3.6124343532901409E-3</v>
      </c>
      <c r="K316" s="8">
        <f t="shared" si="15"/>
        <v>6.7904405677239543E-2</v>
      </c>
    </row>
    <row r="317" spans="1:11" x14ac:dyDescent="0.25">
      <c r="A317" t="str">
        <f t="shared" si="16"/>
        <v>42018</v>
      </c>
      <c r="B317" s="1">
        <v>43201</v>
      </c>
      <c r="C317" s="10">
        <v>43408.645833333336</v>
      </c>
      <c r="D317">
        <v>12629.4</v>
      </c>
      <c r="E317">
        <v>12785.3</v>
      </c>
      <c r="F317">
        <v>12608.85</v>
      </c>
      <c r="G317">
        <v>12759.1</v>
      </c>
      <c r="H317">
        <v>0</v>
      </c>
      <c r="I317" s="8">
        <f t="shared" si="17"/>
        <v>1.4515109469608101E-2</v>
      </c>
      <c r="J317" s="8">
        <f t="shared" si="18"/>
        <v>1.4410773686485138E-2</v>
      </c>
      <c r="K317" s="8">
        <f t="shared" si="15"/>
        <v>8.2118761582074207E-2</v>
      </c>
    </row>
    <row r="318" spans="1:11" x14ac:dyDescent="0.25">
      <c r="A318" t="str">
        <f t="shared" si="16"/>
        <v>42018</v>
      </c>
      <c r="B318" s="1">
        <v>43202</v>
      </c>
      <c r="C318" s="10">
        <v>43438.645833333336</v>
      </c>
      <c r="D318">
        <v>12782.05</v>
      </c>
      <c r="E318">
        <v>13219.55</v>
      </c>
      <c r="F318">
        <v>12766.65</v>
      </c>
      <c r="G318">
        <v>13168.2</v>
      </c>
      <c r="H318">
        <v>0</v>
      </c>
      <c r="I318" s="8">
        <f t="shared" si="17"/>
        <v>3.2063390051022544E-2</v>
      </c>
      <c r="J318" s="8">
        <f t="shared" si="18"/>
        <v>3.1560089641010702E-2</v>
      </c>
      <c r="K318" s="8">
        <f t="shared" si="15"/>
        <v>9.2370610633196959E-2</v>
      </c>
    </row>
    <row r="319" spans="1:11" x14ac:dyDescent="0.25">
      <c r="A319" t="str">
        <f t="shared" si="16"/>
        <v>42018</v>
      </c>
      <c r="B319" s="1">
        <v>43203</v>
      </c>
      <c r="C319" t="s">
        <v>213</v>
      </c>
      <c r="D319">
        <v>13240.65</v>
      </c>
      <c r="E319">
        <v>13380.4</v>
      </c>
      <c r="F319">
        <v>13085.05</v>
      </c>
      <c r="G319">
        <v>13260.45</v>
      </c>
      <c r="H319">
        <v>0</v>
      </c>
      <c r="I319" s="8">
        <f t="shared" si="17"/>
        <v>7.0055132819974997E-3</v>
      </c>
      <c r="J319" s="8">
        <f t="shared" si="18"/>
        <v>6.9810886787341426E-3</v>
      </c>
      <c r="K319" s="8">
        <f t="shared" si="15"/>
        <v>9.5624261552825329E-2</v>
      </c>
    </row>
    <row r="320" spans="1:11" x14ac:dyDescent="0.25">
      <c r="A320" t="str">
        <f t="shared" si="16"/>
        <v>42018</v>
      </c>
      <c r="B320" s="1">
        <v>43206</v>
      </c>
      <c r="C320" t="s">
        <v>214</v>
      </c>
      <c r="D320">
        <v>12936.3</v>
      </c>
      <c r="E320">
        <v>13242.05</v>
      </c>
      <c r="F320">
        <v>12935.25</v>
      </c>
      <c r="G320">
        <v>13203.1</v>
      </c>
      <c r="H320">
        <v>0</v>
      </c>
      <c r="I320" s="8">
        <f t="shared" si="17"/>
        <v>-4.3248909350738218E-3</v>
      </c>
      <c r="J320" s="8">
        <f t="shared" si="18"/>
        <v>-4.3342703288799279E-3</v>
      </c>
      <c r="K320" s="8">
        <f t="shared" ref="K320:K383" si="19">+G320/G259-1</f>
        <v>9.1237437185929693E-2</v>
      </c>
    </row>
    <row r="321" spans="1:11" x14ac:dyDescent="0.25">
      <c r="A321" t="str">
        <f t="shared" si="16"/>
        <v>42018</v>
      </c>
      <c r="B321" s="1">
        <v>43207</v>
      </c>
      <c r="C321" t="s">
        <v>215</v>
      </c>
      <c r="D321">
        <v>13177.1</v>
      </c>
      <c r="E321">
        <v>13194.4</v>
      </c>
      <c r="F321">
        <v>13094</v>
      </c>
      <c r="G321">
        <v>13162.3</v>
      </c>
      <c r="H321">
        <v>0</v>
      </c>
      <c r="I321" s="8">
        <f t="shared" si="17"/>
        <v>-3.0901833660277322E-3</v>
      </c>
      <c r="J321" s="8">
        <f t="shared" si="18"/>
        <v>-3.0949678417929376E-3</v>
      </c>
      <c r="K321" s="8">
        <f t="shared" si="19"/>
        <v>9.7516843439396927E-2</v>
      </c>
    </row>
    <row r="322" spans="1:11" x14ac:dyDescent="0.25">
      <c r="A322" t="str">
        <f t="shared" si="16"/>
        <v>42018</v>
      </c>
      <c r="B322" s="1">
        <v>43208</v>
      </c>
      <c r="C322" t="s">
        <v>216</v>
      </c>
      <c r="D322">
        <v>13185.2</v>
      </c>
      <c r="E322">
        <v>13218.45</v>
      </c>
      <c r="F322">
        <v>13106.3</v>
      </c>
      <c r="G322">
        <v>13124</v>
      </c>
      <c r="H322">
        <v>0</v>
      </c>
      <c r="I322" s="8">
        <f t="shared" si="17"/>
        <v>-2.9098257903253932E-3</v>
      </c>
      <c r="J322" s="8">
        <f t="shared" si="18"/>
        <v>-2.9140675639369885E-3</v>
      </c>
      <c r="K322" s="8">
        <f t="shared" si="19"/>
        <v>5.5751973903844787E-2</v>
      </c>
    </row>
    <row r="323" spans="1:11" x14ac:dyDescent="0.25">
      <c r="A323" t="str">
        <f t="shared" ref="A323:A386" si="20">+MONTH(B323)&amp;YEAR(B323)</f>
        <v>42018</v>
      </c>
      <c r="B323" s="1">
        <v>43209</v>
      </c>
      <c r="C323" t="s">
        <v>217</v>
      </c>
      <c r="D323">
        <v>13192.95</v>
      </c>
      <c r="E323">
        <v>13295.7</v>
      </c>
      <c r="F323">
        <v>13157.85</v>
      </c>
      <c r="G323">
        <v>13273.45</v>
      </c>
      <c r="H323">
        <v>0</v>
      </c>
      <c r="I323" s="8">
        <f t="shared" si="17"/>
        <v>1.1387534288326728E-2</v>
      </c>
      <c r="J323" s="8">
        <f t="shared" si="18"/>
        <v>1.1323184383445895E-2</v>
      </c>
      <c r="K323" s="8">
        <f t="shared" si="19"/>
        <v>5.9215251288762705E-2</v>
      </c>
    </row>
    <row r="324" spans="1:11" x14ac:dyDescent="0.25">
      <c r="A324" t="str">
        <f t="shared" si="20"/>
        <v>42018</v>
      </c>
      <c r="B324" s="1">
        <v>43210</v>
      </c>
      <c r="C324" t="s">
        <v>218</v>
      </c>
      <c r="D324">
        <v>13379.35</v>
      </c>
      <c r="E324">
        <v>13964.3</v>
      </c>
      <c r="F324">
        <v>13371.85</v>
      </c>
      <c r="G324">
        <v>13910.35</v>
      </c>
      <c r="H324">
        <v>0</v>
      </c>
      <c r="I324" s="8">
        <f t="shared" ref="I324:I387" si="21">+G324/G323-1</f>
        <v>4.7983003665211355E-2</v>
      </c>
      <c r="J324" s="8">
        <f t="shared" ref="J324:J387" si="22">+LN(1+I324)</f>
        <v>4.6867367890632512E-2</v>
      </c>
      <c r="K324" s="8">
        <f t="shared" si="19"/>
        <v>0.10656924435393411</v>
      </c>
    </row>
    <row r="325" spans="1:11" x14ac:dyDescent="0.25">
      <c r="A325" t="str">
        <f t="shared" si="20"/>
        <v>42018</v>
      </c>
      <c r="B325" s="1">
        <v>43213</v>
      </c>
      <c r="C325" t="s">
        <v>219</v>
      </c>
      <c r="D325">
        <v>13897.65</v>
      </c>
      <c r="E325">
        <v>14294.15</v>
      </c>
      <c r="F325">
        <v>13836.5</v>
      </c>
      <c r="G325">
        <v>14013.95</v>
      </c>
      <c r="H325">
        <v>0</v>
      </c>
      <c r="I325" s="8">
        <f t="shared" si="21"/>
        <v>7.4476918265895531E-3</v>
      </c>
      <c r="J325" s="8">
        <f t="shared" si="22"/>
        <v>7.4200947083329664E-3</v>
      </c>
      <c r="K325" s="8">
        <f t="shared" si="19"/>
        <v>0.10923827653486473</v>
      </c>
    </row>
    <row r="326" spans="1:11" x14ac:dyDescent="0.25">
      <c r="A326" t="str">
        <f t="shared" si="20"/>
        <v>42018</v>
      </c>
      <c r="B326" s="1">
        <v>43214</v>
      </c>
      <c r="C326" t="s">
        <v>220</v>
      </c>
      <c r="D326">
        <v>13976.7</v>
      </c>
      <c r="E326">
        <v>14071.55</v>
      </c>
      <c r="F326">
        <v>13704.85</v>
      </c>
      <c r="G326">
        <v>13734.8</v>
      </c>
      <c r="H326">
        <v>0</v>
      </c>
      <c r="I326" s="8">
        <f t="shared" si="21"/>
        <v>-1.9919437417716068E-2</v>
      </c>
      <c r="J326" s="8">
        <f t="shared" si="22"/>
        <v>-2.012050397969015E-2</v>
      </c>
      <c r="K326" s="8">
        <f t="shared" si="19"/>
        <v>6.5130147848576181E-2</v>
      </c>
    </row>
    <row r="327" spans="1:11" x14ac:dyDescent="0.25">
      <c r="A327" t="str">
        <f t="shared" si="20"/>
        <v>42018</v>
      </c>
      <c r="B327" s="1">
        <v>43215</v>
      </c>
      <c r="C327" t="s">
        <v>221</v>
      </c>
      <c r="D327">
        <v>13737.5</v>
      </c>
      <c r="E327">
        <v>13972.65</v>
      </c>
      <c r="F327">
        <v>13665.7</v>
      </c>
      <c r="G327">
        <v>13892.4</v>
      </c>
      <c r="H327">
        <v>0</v>
      </c>
      <c r="I327" s="8">
        <f t="shared" si="21"/>
        <v>1.1474502723010094E-2</v>
      </c>
      <c r="J327" s="8">
        <f t="shared" si="22"/>
        <v>1.1409169915969348E-2</v>
      </c>
      <c r="K327" s="8">
        <f t="shared" si="19"/>
        <v>6.464146403145099E-2</v>
      </c>
    </row>
    <row r="328" spans="1:11" x14ac:dyDescent="0.25">
      <c r="A328" t="str">
        <f t="shared" si="20"/>
        <v>42018</v>
      </c>
      <c r="B328" s="1">
        <v>43216</v>
      </c>
      <c r="C328" t="s">
        <v>222</v>
      </c>
      <c r="D328">
        <v>13836.95</v>
      </c>
      <c r="E328">
        <v>14056.15</v>
      </c>
      <c r="F328">
        <v>13827.1</v>
      </c>
      <c r="G328">
        <v>14026.65</v>
      </c>
      <c r="H328">
        <v>0</v>
      </c>
      <c r="I328" s="8">
        <f t="shared" si="21"/>
        <v>9.6635570527769943E-3</v>
      </c>
      <c r="J328" s="8">
        <f t="shared" si="22"/>
        <v>9.6171635301649638E-3</v>
      </c>
      <c r="K328" s="8">
        <f t="shared" si="19"/>
        <v>5.8651048526176419E-2</v>
      </c>
    </row>
    <row r="329" spans="1:11" x14ac:dyDescent="0.25">
      <c r="A329" t="str">
        <f t="shared" si="20"/>
        <v>42018</v>
      </c>
      <c r="B329" s="1">
        <v>43217</v>
      </c>
      <c r="C329" t="s">
        <v>223</v>
      </c>
      <c r="D329">
        <v>14015.7</v>
      </c>
      <c r="E329">
        <v>14070.35</v>
      </c>
      <c r="F329">
        <v>13766.75</v>
      </c>
      <c r="G329">
        <v>13794.9</v>
      </c>
      <c r="H329">
        <v>0</v>
      </c>
      <c r="I329" s="8">
        <f t="shared" si="21"/>
        <v>-1.6522120392253314E-2</v>
      </c>
      <c r="J329" s="8">
        <f t="shared" si="22"/>
        <v>-1.6660132907997841E-2</v>
      </c>
      <c r="K329" s="8">
        <f t="shared" si="19"/>
        <v>5.16128786348371E-2</v>
      </c>
    </row>
    <row r="330" spans="1:11" x14ac:dyDescent="0.25">
      <c r="A330" t="str">
        <f t="shared" si="20"/>
        <v>42018</v>
      </c>
      <c r="B330" s="1">
        <v>43220</v>
      </c>
      <c r="C330" t="s">
        <v>224</v>
      </c>
      <c r="D330">
        <v>13818.85</v>
      </c>
      <c r="E330">
        <v>14094.1</v>
      </c>
      <c r="F330">
        <v>13810.55</v>
      </c>
      <c r="G330">
        <v>13986.25</v>
      </c>
      <c r="H330">
        <v>0</v>
      </c>
      <c r="I330" s="8">
        <f t="shared" si="21"/>
        <v>1.3871068293354716E-2</v>
      </c>
      <c r="J330" s="8">
        <f t="shared" si="22"/>
        <v>1.3775745500080592E-2</v>
      </c>
      <c r="K330" s="8">
        <f t="shared" si="19"/>
        <v>5.6163866339437485E-2</v>
      </c>
    </row>
    <row r="331" spans="1:11" x14ac:dyDescent="0.25">
      <c r="A331" t="str">
        <f t="shared" si="20"/>
        <v>52018</v>
      </c>
      <c r="B331" s="1">
        <v>43222</v>
      </c>
      <c r="C331" s="10">
        <v>43136.645833333336</v>
      </c>
      <c r="D331">
        <v>13985.55</v>
      </c>
      <c r="E331">
        <v>13985.55</v>
      </c>
      <c r="F331">
        <v>13723.65</v>
      </c>
      <c r="G331">
        <v>13754.3</v>
      </c>
      <c r="H331">
        <v>0</v>
      </c>
      <c r="I331" s="8">
        <f t="shared" si="21"/>
        <v>-1.6584145142550799E-2</v>
      </c>
      <c r="J331" s="8">
        <f t="shared" si="22"/>
        <v>-1.6723201643467585E-2</v>
      </c>
      <c r="K331" s="8">
        <f t="shared" si="19"/>
        <v>4.9309770025061095E-2</v>
      </c>
    </row>
    <row r="332" spans="1:11" x14ac:dyDescent="0.25">
      <c r="A332" t="str">
        <f t="shared" si="20"/>
        <v>52018</v>
      </c>
      <c r="B332" s="1">
        <v>43223</v>
      </c>
      <c r="C332" s="10">
        <v>43164.645833333336</v>
      </c>
      <c r="D332">
        <v>13759.45</v>
      </c>
      <c r="E332">
        <v>13759.45</v>
      </c>
      <c r="F332">
        <v>13430.75</v>
      </c>
      <c r="G332">
        <v>13473.95</v>
      </c>
      <c r="H332">
        <v>0</v>
      </c>
      <c r="I332" s="8">
        <f t="shared" si="21"/>
        <v>-2.0382716677693424E-2</v>
      </c>
      <c r="J332" s="8">
        <f t="shared" si="22"/>
        <v>-2.0593310815270327E-2</v>
      </c>
      <c r="K332" s="8">
        <f t="shared" si="19"/>
        <v>3.7543122035360144E-2</v>
      </c>
    </row>
    <row r="333" spans="1:11" x14ac:dyDescent="0.25">
      <c r="A333" t="str">
        <f t="shared" si="20"/>
        <v>52018</v>
      </c>
      <c r="B333" s="1">
        <v>43224</v>
      </c>
      <c r="C333" s="10">
        <v>43195.645833333336</v>
      </c>
      <c r="D333">
        <v>13488.75</v>
      </c>
      <c r="E333">
        <v>13488.8</v>
      </c>
      <c r="F333">
        <v>13302.9</v>
      </c>
      <c r="G333">
        <v>13453.3</v>
      </c>
      <c r="H333">
        <v>0</v>
      </c>
      <c r="I333" s="8">
        <f t="shared" si="21"/>
        <v>-1.5325869548277193E-3</v>
      </c>
      <c r="J333" s="8">
        <f t="shared" si="22"/>
        <v>-1.5337625675207562E-3</v>
      </c>
      <c r="K333" s="8">
        <f t="shared" si="19"/>
        <v>3.7694953951529442E-2</v>
      </c>
    </row>
    <row r="334" spans="1:11" x14ac:dyDescent="0.25">
      <c r="A334" t="str">
        <f t="shared" si="20"/>
        <v>52018</v>
      </c>
      <c r="B334" s="1">
        <v>43227</v>
      </c>
      <c r="C334" s="10">
        <v>43286.645833333336</v>
      </c>
      <c r="D334">
        <v>13533.55</v>
      </c>
      <c r="E334">
        <v>13563.85</v>
      </c>
      <c r="F334">
        <v>13395.85</v>
      </c>
      <c r="G334">
        <v>13424.9</v>
      </c>
      <c r="H334">
        <v>0</v>
      </c>
      <c r="I334" s="8">
        <f t="shared" si="21"/>
        <v>-2.1110062215218273E-3</v>
      </c>
      <c r="J334" s="8">
        <f t="shared" si="22"/>
        <v>-2.1132375359209049E-3</v>
      </c>
      <c r="K334" s="8">
        <f t="shared" si="19"/>
        <v>3.3989032317693013E-2</v>
      </c>
    </row>
    <row r="335" spans="1:11" x14ac:dyDescent="0.25">
      <c r="A335" t="str">
        <f t="shared" si="20"/>
        <v>52018</v>
      </c>
      <c r="B335" s="1">
        <v>43228</v>
      </c>
      <c r="C335" s="10">
        <v>43317.645833333336</v>
      </c>
      <c r="D335">
        <v>13453.95</v>
      </c>
      <c r="E335">
        <v>13474.25</v>
      </c>
      <c r="F335">
        <v>13297.2</v>
      </c>
      <c r="G335">
        <v>13379.65</v>
      </c>
      <c r="H335">
        <v>0</v>
      </c>
      <c r="I335" s="8">
        <f t="shared" si="21"/>
        <v>-3.3706023880997193E-3</v>
      </c>
      <c r="J335" s="8">
        <f t="shared" si="22"/>
        <v>-3.3762956651109794E-3</v>
      </c>
      <c r="K335" s="8">
        <f t="shared" si="19"/>
        <v>3.4223809413383321E-2</v>
      </c>
    </row>
    <row r="336" spans="1:11" x14ac:dyDescent="0.25">
      <c r="A336" t="str">
        <f t="shared" si="20"/>
        <v>52018</v>
      </c>
      <c r="B336" s="1">
        <v>43229</v>
      </c>
      <c r="C336" s="10">
        <v>43348.645833333336</v>
      </c>
      <c r="D336">
        <v>13397.85</v>
      </c>
      <c r="E336">
        <v>13538.4</v>
      </c>
      <c r="F336">
        <v>13390.9</v>
      </c>
      <c r="G336">
        <v>13453.4</v>
      </c>
      <c r="H336">
        <v>0</v>
      </c>
      <c r="I336" s="8">
        <f t="shared" si="21"/>
        <v>5.5121023345154896E-3</v>
      </c>
      <c r="J336" s="8">
        <f t="shared" si="22"/>
        <v>5.4969662939047459E-3</v>
      </c>
      <c r="K336" s="8">
        <f t="shared" si="19"/>
        <v>7.0930200161593904E-2</v>
      </c>
    </row>
    <row r="337" spans="1:11" x14ac:dyDescent="0.25">
      <c r="A337" t="str">
        <f t="shared" si="20"/>
        <v>52018</v>
      </c>
      <c r="B337" s="1">
        <v>43230</v>
      </c>
      <c r="C337" s="10">
        <v>43378.645833333336</v>
      </c>
      <c r="D337">
        <v>13505.25</v>
      </c>
      <c r="E337">
        <v>13566.05</v>
      </c>
      <c r="F337">
        <v>13403.3</v>
      </c>
      <c r="G337">
        <v>13427.3</v>
      </c>
      <c r="H337">
        <v>0</v>
      </c>
      <c r="I337" s="8">
        <f t="shared" si="21"/>
        <v>-1.9400300295836503E-3</v>
      </c>
      <c r="J337" s="8">
        <f t="shared" si="22"/>
        <v>-1.9419143252960771E-3</v>
      </c>
      <c r="K337" s="8">
        <f t="shared" si="19"/>
        <v>7.8493660668029541E-2</v>
      </c>
    </row>
    <row r="338" spans="1:11" x14ac:dyDescent="0.25">
      <c r="A338" t="str">
        <f t="shared" si="20"/>
        <v>52018</v>
      </c>
      <c r="B338" s="1">
        <v>43231</v>
      </c>
      <c r="C338" s="10">
        <v>43409.645833333336</v>
      </c>
      <c r="D338">
        <v>13457.9</v>
      </c>
      <c r="E338">
        <v>13519.15</v>
      </c>
      <c r="F338">
        <v>13393.3</v>
      </c>
      <c r="G338">
        <v>13478.6</v>
      </c>
      <c r="H338">
        <v>0</v>
      </c>
      <c r="I338" s="8">
        <f t="shared" si="21"/>
        <v>3.820574501202767E-3</v>
      </c>
      <c r="J338" s="8">
        <f t="shared" si="22"/>
        <v>3.8132946427128166E-3</v>
      </c>
      <c r="K338" s="8">
        <f t="shared" si="19"/>
        <v>7.0720149979941693E-2</v>
      </c>
    </row>
    <row r="339" spans="1:11" x14ac:dyDescent="0.25">
      <c r="A339" t="str">
        <f t="shared" si="20"/>
        <v>52018</v>
      </c>
      <c r="B339" s="1">
        <v>43234</v>
      </c>
      <c r="C339" t="s">
        <v>225</v>
      </c>
      <c r="D339">
        <v>13480.1</v>
      </c>
      <c r="E339">
        <v>13495.5</v>
      </c>
      <c r="F339">
        <v>13358.2</v>
      </c>
      <c r="G339">
        <v>13446.15</v>
      </c>
      <c r="H339">
        <v>0</v>
      </c>
      <c r="I339" s="8">
        <f t="shared" si="21"/>
        <v>-2.4075200688499221E-3</v>
      </c>
      <c r="J339" s="8">
        <f t="shared" si="22"/>
        <v>-2.4104228051573975E-3</v>
      </c>
      <c r="K339" s="8">
        <f t="shared" si="19"/>
        <v>7.6320571213588595E-2</v>
      </c>
    </row>
    <row r="340" spans="1:11" x14ac:dyDescent="0.25">
      <c r="A340" t="str">
        <f t="shared" si="20"/>
        <v>52018</v>
      </c>
      <c r="B340" s="1">
        <v>43235</v>
      </c>
      <c r="C340" t="s">
        <v>226</v>
      </c>
      <c r="D340">
        <v>13441.55</v>
      </c>
      <c r="E340">
        <v>13614.65</v>
      </c>
      <c r="F340">
        <v>13419.7</v>
      </c>
      <c r="G340">
        <v>13504.95</v>
      </c>
      <c r="H340">
        <v>0</v>
      </c>
      <c r="I340" s="8">
        <f t="shared" si="21"/>
        <v>4.3729989625282961E-3</v>
      </c>
      <c r="J340" s="8">
        <f t="shared" si="22"/>
        <v>4.3634651865882713E-3</v>
      </c>
      <c r="K340" s="8">
        <f t="shared" si="19"/>
        <v>8.7123117853276089E-2</v>
      </c>
    </row>
    <row r="341" spans="1:11" x14ac:dyDescent="0.25">
      <c r="A341" t="str">
        <f t="shared" si="20"/>
        <v>52018</v>
      </c>
      <c r="B341" s="1">
        <v>43236</v>
      </c>
      <c r="C341" t="s">
        <v>227</v>
      </c>
      <c r="D341">
        <v>13474.05</v>
      </c>
      <c r="E341">
        <v>13585.15</v>
      </c>
      <c r="F341">
        <v>13466.6</v>
      </c>
      <c r="G341">
        <v>13525.6</v>
      </c>
      <c r="H341">
        <v>0</v>
      </c>
      <c r="I341" s="8">
        <f t="shared" si="21"/>
        <v>1.5290689710067973E-3</v>
      </c>
      <c r="J341" s="8">
        <f t="shared" si="22"/>
        <v>1.5279011353636774E-3</v>
      </c>
      <c r="K341" s="8">
        <f t="shared" si="19"/>
        <v>8.901771336553943E-2</v>
      </c>
    </row>
    <row r="342" spans="1:11" x14ac:dyDescent="0.25">
      <c r="A342" t="str">
        <f t="shared" si="20"/>
        <v>52018</v>
      </c>
      <c r="B342" s="1">
        <v>43237</v>
      </c>
      <c r="C342" t="s">
        <v>228</v>
      </c>
      <c r="D342">
        <v>13606.65</v>
      </c>
      <c r="E342">
        <v>13625.5</v>
      </c>
      <c r="F342">
        <v>13461.05</v>
      </c>
      <c r="G342">
        <v>13504.75</v>
      </c>
      <c r="H342">
        <v>0</v>
      </c>
      <c r="I342" s="8">
        <f t="shared" si="21"/>
        <v>-1.5415212633820286E-3</v>
      </c>
      <c r="J342" s="8">
        <f t="shared" si="22"/>
        <v>-1.5427106297309138E-3</v>
      </c>
      <c r="K342" s="8">
        <f t="shared" si="19"/>
        <v>8.4152851924697902E-2</v>
      </c>
    </row>
    <row r="343" spans="1:11" x14ac:dyDescent="0.25">
      <c r="A343" t="str">
        <f t="shared" si="20"/>
        <v>52018</v>
      </c>
      <c r="B343" s="1">
        <v>43238</v>
      </c>
      <c r="C343" t="s">
        <v>229</v>
      </c>
      <c r="D343">
        <v>13487.35</v>
      </c>
      <c r="E343">
        <v>13526.95</v>
      </c>
      <c r="F343">
        <v>13412.85</v>
      </c>
      <c r="G343">
        <v>13459.15</v>
      </c>
      <c r="H343">
        <v>0</v>
      </c>
      <c r="I343" s="8">
        <f t="shared" si="21"/>
        <v>-3.3765897184324656E-3</v>
      </c>
      <c r="J343" s="8">
        <f t="shared" si="22"/>
        <v>-3.3823032626510946E-3</v>
      </c>
      <c r="K343" s="8">
        <f t="shared" si="19"/>
        <v>8.2103562082175729E-2</v>
      </c>
    </row>
    <row r="344" spans="1:11" x14ac:dyDescent="0.25">
      <c r="A344" t="str">
        <f t="shared" si="20"/>
        <v>52018</v>
      </c>
      <c r="B344" s="1">
        <v>43241</v>
      </c>
      <c r="C344" t="s">
        <v>230</v>
      </c>
      <c r="D344">
        <v>13485.45</v>
      </c>
      <c r="E344">
        <v>13572.15</v>
      </c>
      <c r="F344">
        <v>13434.1</v>
      </c>
      <c r="G344">
        <v>13483.85</v>
      </c>
      <c r="H344">
        <v>0</v>
      </c>
      <c r="I344" s="8">
        <f t="shared" si="21"/>
        <v>1.8351827567120171E-3</v>
      </c>
      <c r="J344" s="8">
        <f t="shared" si="22"/>
        <v>1.8335008662399628E-3</v>
      </c>
      <c r="K344" s="8">
        <f t="shared" si="19"/>
        <v>9.3456541836287821E-2</v>
      </c>
    </row>
    <row r="345" spans="1:11" x14ac:dyDescent="0.25">
      <c r="A345" t="str">
        <f t="shared" si="20"/>
        <v>52018</v>
      </c>
      <c r="B345" s="1">
        <v>43242</v>
      </c>
      <c r="C345" t="s">
        <v>231</v>
      </c>
      <c r="D345">
        <v>13453.8</v>
      </c>
      <c r="E345">
        <v>13530.55</v>
      </c>
      <c r="F345">
        <v>13420.1</v>
      </c>
      <c r="G345">
        <v>13484.55</v>
      </c>
      <c r="H345">
        <v>0</v>
      </c>
      <c r="I345" s="8">
        <f t="shared" si="21"/>
        <v>5.1913956325533306E-5</v>
      </c>
      <c r="J345" s="8">
        <f t="shared" si="22"/>
        <v>5.1912608842737864E-5</v>
      </c>
      <c r="K345" s="8">
        <f t="shared" si="19"/>
        <v>8.9924830261881583E-2</v>
      </c>
    </row>
    <row r="346" spans="1:11" x14ac:dyDescent="0.25">
      <c r="A346" t="str">
        <f t="shared" si="20"/>
        <v>52018</v>
      </c>
      <c r="B346" s="1">
        <v>43243</v>
      </c>
      <c r="C346" t="s">
        <v>232</v>
      </c>
      <c r="D346">
        <v>13517.3</v>
      </c>
      <c r="E346">
        <v>13615.4</v>
      </c>
      <c r="F346">
        <v>13435.5</v>
      </c>
      <c r="G346">
        <v>13464.35</v>
      </c>
      <c r="H346">
        <v>0</v>
      </c>
      <c r="I346" s="8">
        <f t="shared" si="21"/>
        <v>-1.4980106863038412E-3</v>
      </c>
      <c r="J346" s="8">
        <f t="shared" si="22"/>
        <v>-1.4991338261023941E-3</v>
      </c>
      <c r="K346" s="8">
        <f t="shared" si="19"/>
        <v>6.3530554776640047E-2</v>
      </c>
    </row>
    <row r="347" spans="1:11" x14ac:dyDescent="0.25">
      <c r="A347" t="str">
        <f t="shared" si="20"/>
        <v>52018</v>
      </c>
      <c r="B347" s="1">
        <v>43244</v>
      </c>
      <c r="C347" t="s">
        <v>233</v>
      </c>
      <c r="D347">
        <v>13563.65</v>
      </c>
      <c r="E347">
        <v>13797.95</v>
      </c>
      <c r="F347">
        <v>13543.65</v>
      </c>
      <c r="G347">
        <v>13775.7</v>
      </c>
      <c r="H347">
        <v>0</v>
      </c>
      <c r="I347" s="8">
        <f t="shared" si="21"/>
        <v>2.3124027524537016E-2</v>
      </c>
      <c r="J347" s="8">
        <f t="shared" si="22"/>
        <v>2.2860718647550484E-2</v>
      </c>
      <c r="K347" s="8">
        <f t="shared" si="19"/>
        <v>8.212328901631949E-2</v>
      </c>
    </row>
    <row r="348" spans="1:11" x14ac:dyDescent="0.25">
      <c r="A348" t="str">
        <f t="shared" si="20"/>
        <v>52018</v>
      </c>
      <c r="B348" s="1">
        <v>43245</v>
      </c>
      <c r="C348" t="s">
        <v>234</v>
      </c>
      <c r="D348">
        <v>13854.1</v>
      </c>
      <c r="E348">
        <v>13963.7</v>
      </c>
      <c r="F348">
        <v>13715.5</v>
      </c>
      <c r="G348">
        <v>13762.35</v>
      </c>
      <c r="H348">
        <v>0</v>
      </c>
      <c r="I348" s="8">
        <f t="shared" si="21"/>
        <v>-9.6909775909759244E-4</v>
      </c>
      <c r="J348" s="8">
        <f t="shared" si="22"/>
        <v>-9.6956763792781263E-4</v>
      </c>
      <c r="K348" s="8">
        <f t="shared" si="19"/>
        <v>6.9240122288995121E-2</v>
      </c>
    </row>
    <row r="349" spans="1:11" x14ac:dyDescent="0.25">
      <c r="A349" t="str">
        <f t="shared" si="20"/>
        <v>52018</v>
      </c>
      <c r="B349" s="1">
        <v>43248</v>
      </c>
      <c r="C349" t="s">
        <v>235</v>
      </c>
      <c r="D349">
        <v>13832.95</v>
      </c>
      <c r="E349">
        <v>13832.95</v>
      </c>
      <c r="F349">
        <v>13457.6</v>
      </c>
      <c r="G349">
        <v>13497.7</v>
      </c>
      <c r="H349">
        <v>0</v>
      </c>
      <c r="I349" s="8">
        <f t="shared" si="21"/>
        <v>-1.9230000690289017E-2</v>
      </c>
      <c r="J349" s="8">
        <f t="shared" si="22"/>
        <v>-1.941730224750721E-2</v>
      </c>
      <c r="K349" s="8">
        <f t="shared" si="19"/>
        <v>6.1711692224193149E-2</v>
      </c>
    </row>
    <row r="350" spans="1:11" x14ac:dyDescent="0.25">
      <c r="A350" t="str">
        <f t="shared" si="20"/>
        <v>52018</v>
      </c>
      <c r="B350" s="1">
        <v>43249</v>
      </c>
      <c r="C350" t="s">
        <v>236</v>
      </c>
      <c r="D350">
        <v>13535.45</v>
      </c>
      <c r="E350">
        <v>13631.3</v>
      </c>
      <c r="F350">
        <v>13482.05</v>
      </c>
      <c r="G350">
        <v>13561.05</v>
      </c>
      <c r="H350">
        <v>0</v>
      </c>
      <c r="I350" s="8">
        <f t="shared" si="21"/>
        <v>4.6933922075611534E-3</v>
      </c>
      <c r="J350" s="8">
        <f t="shared" si="22"/>
        <v>4.6824125834060773E-3</v>
      </c>
      <c r="K350" s="8">
        <f t="shared" si="19"/>
        <v>6.3878777418646226E-2</v>
      </c>
    </row>
    <row r="351" spans="1:11" x14ac:dyDescent="0.25">
      <c r="A351" t="str">
        <f t="shared" si="20"/>
        <v>52018</v>
      </c>
      <c r="B351" s="1">
        <v>43250</v>
      </c>
      <c r="C351" t="s">
        <v>237</v>
      </c>
      <c r="D351">
        <v>13548.85</v>
      </c>
      <c r="E351">
        <v>13627.05</v>
      </c>
      <c r="F351">
        <v>13480.55</v>
      </c>
      <c r="G351">
        <v>13557.7</v>
      </c>
      <c r="H351">
        <v>0</v>
      </c>
      <c r="I351" s="8">
        <f t="shared" si="21"/>
        <v>-2.4703101898437829E-4</v>
      </c>
      <c r="J351" s="8">
        <f t="shared" si="22"/>
        <v>-2.4706153617244669E-4</v>
      </c>
      <c r="K351" s="8">
        <f t="shared" si="19"/>
        <v>5.8451089077992124E-2</v>
      </c>
    </row>
    <row r="352" spans="1:11" x14ac:dyDescent="0.25">
      <c r="A352" t="str">
        <f t="shared" si="20"/>
        <v>52018</v>
      </c>
      <c r="B352" s="1">
        <v>43251</v>
      </c>
      <c r="C352" t="s">
        <v>238</v>
      </c>
      <c r="D352">
        <v>13515.35</v>
      </c>
      <c r="E352">
        <v>13695.3</v>
      </c>
      <c r="F352">
        <v>13460.7</v>
      </c>
      <c r="G352">
        <v>13666</v>
      </c>
      <c r="H352">
        <v>0</v>
      </c>
      <c r="I352" s="8">
        <f t="shared" si="21"/>
        <v>7.9880805741385785E-3</v>
      </c>
      <c r="J352" s="8">
        <f t="shared" si="22"/>
        <v>7.9563447520195792E-3</v>
      </c>
      <c r="K352" s="8">
        <f t="shared" si="19"/>
        <v>7.0210541566003259E-2</v>
      </c>
    </row>
    <row r="353" spans="1:11" x14ac:dyDescent="0.25">
      <c r="A353" t="str">
        <f t="shared" si="20"/>
        <v>62018</v>
      </c>
      <c r="B353" s="1">
        <v>43252</v>
      </c>
      <c r="C353" s="10">
        <v>43106.645833333336</v>
      </c>
      <c r="D353">
        <v>13694.25</v>
      </c>
      <c r="E353">
        <v>13785.35</v>
      </c>
      <c r="F353">
        <v>13528.65</v>
      </c>
      <c r="G353">
        <v>13558.55</v>
      </c>
      <c r="H353">
        <v>0</v>
      </c>
      <c r="I353" s="8">
        <f t="shared" si="21"/>
        <v>-7.8625786623738314E-3</v>
      </c>
      <c r="J353" s="8">
        <f t="shared" si="22"/>
        <v>-7.8936517173797422E-3</v>
      </c>
      <c r="K353" s="8">
        <f t="shared" si="19"/>
        <v>5.4512294237282877E-2</v>
      </c>
    </row>
    <row r="354" spans="1:11" x14ac:dyDescent="0.25">
      <c r="A354" t="str">
        <f t="shared" si="20"/>
        <v>62018</v>
      </c>
      <c r="B354" s="1">
        <v>43255</v>
      </c>
      <c r="C354" s="10">
        <v>43196.645833333336</v>
      </c>
      <c r="D354">
        <v>13592.4</v>
      </c>
      <c r="E354">
        <v>13646.55</v>
      </c>
      <c r="F354">
        <v>13525.2</v>
      </c>
      <c r="G354">
        <v>13595.1</v>
      </c>
      <c r="H354">
        <v>0</v>
      </c>
      <c r="I354" s="8">
        <f t="shared" si="21"/>
        <v>2.6957159873290948E-3</v>
      </c>
      <c r="J354" s="8">
        <f t="shared" si="22"/>
        <v>2.6920890616325016E-3</v>
      </c>
      <c r="K354" s="8">
        <f t="shared" si="19"/>
        <v>6.9966394094175266E-2</v>
      </c>
    </row>
    <row r="355" spans="1:11" x14ac:dyDescent="0.25">
      <c r="A355" t="str">
        <f t="shared" si="20"/>
        <v>62018</v>
      </c>
      <c r="B355" s="1">
        <v>43256</v>
      </c>
      <c r="C355" s="10">
        <v>43226.645833333336</v>
      </c>
      <c r="D355">
        <v>13625.65</v>
      </c>
      <c r="E355">
        <v>13638.75</v>
      </c>
      <c r="F355">
        <v>13363.4</v>
      </c>
      <c r="G355">
        <v>13408.9</v>
      </c>
      <c r="H355">
        <v>0</v>
      </c>
      <c r="I355" s="8">
        <f t="shared" si="21"/>
        <v>-1.3696111098851826E-2</v>
      </c>
      <c r="J355" s="8">
        <f t="shared" si="22"/>
        <v>-1.3790768110822102E-2</v>
      </c>
      <c r="K355" s="8">
        <f t="shared" si="19"/>
        <v>5.772196432163379E-2</v>
      </c>
    </row>
    <row r="356" spans="1:11" x14ac:dyDescent="0.25">
      <c r="A356" t="str">
        <f t="shared" si="20"/>
        <v>62018</v>
      </c>
      <c r="B356" s="1">
        <v>43257</v>
      </c>
      <c r="C356" s="10">
        <v>43257.645833333336</v>
      </c>
      <c r="D356">
        <v>13460.6</v>
      </c>
      <c r="E356">
        <v>13554.25</v>
      </c>
      <c r="F356">
        <v>13355.2</v>
      </c>
      <c r="G356">
        <v>13528.8</v>
      </c>
      <c r="H356">
        <v>0</v>
      </c>
      <c r="I356" s="8">
        <f t="shared" si="21"/>
        <v>8.9418222225536859E-3</v>
      </c>
      <c r="J356" s="8">
        <f t="shared" si="22"/>
        <v>8.902080861320669E-3</v>
      </c>
      <c r="K356" s="8">
        <f t="shared" si="19"/>
        <v>6.6738156815744576E-2</v>
      </c>
    </row>
    <row r="357" spans="1:11" x14ac:dyDescent="0.25">
      <c r="A357" t="str">
        <f t="shared" si="20"/>
        <v>62018</v>
      </c>
      <c r="B357" s="1">
        <v>43258</v>
      </c>
      <c r="C357" s="10">
        <v>43287.645833333336</v>
      </c>
      <c r="D357">
        <v>13530.55</v>
      </c>
      <c r="E357">
        <v>13714.2</v>
      </c>
      <c r="F357">
        <v>13525.35</v>
      </c>
      <c r="G357">
        <v>13683.75</v>
      </c>
      <c r="H357">
        <v>0</v>
      </c>
      <c r="I357" s="8">
        <f t="shared" si="21"/>
        <v>1.1453343977293029E-2</v>
      </c>
      <c r="J357" s="8">
        <f t="shared" si="22"/>
        <v>1.1388250983292289E-2</v>
      </c>
      <c r="K357" s="8">
        <f t="shared" si="19"/>
        <v>7.3466826178195221E-2</v>
      </c>
    </row>
    <row r="358" spans="1:11" x14ac:dyDescent="0.25">
      <c r="A358" t="str">
        <f t="shared" si="20"/>
        <v>62018</v>
      </c>
      <c r="B358" s="1">
        <v>43259</v>
      </c>
      <c r="C358" s="10">
        <v>43318.645833333336</v>
      </c>
      <c r="D358">
        <v>13677.8</v>
      </c>
      <c r="E358">
        <v>13841.65</v>
      </c>
      <c r="F358">
        <v>13674.35</v>
      </c>
      <c r="G358">
        <v>13769.8</v>
      </c>
      <c r="H358">
        <v>0</v>
      </c>
      <c r="I358" s="8">
        <f t="shared" si="21"/>
        <v>6.2884808623366872E-3</v>
      </c>
      <c r="J358" s="8">
        <f t="shared" si="22"/>
        <v>6.2687908702045193E-3</v>
      </c>
      <c r="K358" s="8">
        <f t="shared" si="19"/>
        <v>6.549360075521915E-2</v>
      </c>
    </row>
    <row r="359" spans="1:11" x14ac:dyDescent="0.25">
      <c r="A359" t="str">
        <f t="shared" si="20"/>
        <v>62018</v>
      </c>
      <c r="B359" s="1">
        <v>43262</v>
      </c>
      <c r="C359" s="10">
        <v>43410.645833333336</v>
      </c>
      <c r="D359">
        <v>13807.5</v>
      </c>
      <c r="E359">
        <v>13869.55</v>
      </c>
      <c r="F359">
        <v>13755.5</v>
      </c>
      <c r="G359">
        <v>13775.1</v>
      </c>
      <c r="H359">
        <v>0</v>
      </c>
      <c r="I359" s="8">
        <f t="shared" si="21"/>
        <v>3.8490028903837015E-4</v>
      </c>
      <c r="J359" s="8">
        <f t="shared" si="22"/>
        <v>3.8482623392406643E-4</v>
      </c>
      <c r="K359" s="8">
        <f t="shared" si="19"/>
        <v>8.1740509808232886E-2</v>
      </c>
    </row>
    <row r="360" spans="1:11" x14ac:dyDescent="0.25">
      <c r="A360" t="str">
        <f t="shared" si="20"/>
        <v>62018</v>
      </c>
      <c r="B360" s="1">
        <v>43263</v>
      </c>
      <c r="C360" s="10">
        <v>43440.645833333336</v>
      </c>
      <c r="D360">
        <v>13817.7</v>
      </c>
      <c r="E360">
        <v>13889.45</v>
      </c>
      <c r="F360">
        <v>13771.35</v>
      </c>
      <c r="G360">
        <v>13859.85</v>
      </c>
      <c r="H360">
        <v>0</v>
      </c>
      <c r="I360" s="8">
        <f t="shared" si="21"/>
        <v>6.1524054271837603E-3</v>
      </c>
      <c r="J360" s="8">
        <f t="shared" si="22"/>
        <v>6.1335566516121896E-3</v>
      </c>
      <c r="K360" s="8">
        <f t="shared" si="19"/>
        <v>8.3905857143415696E-2</v>
      </c>
    </row>
    <row r="361" spans="1:11" x14ac:dyDescent="0.25">
      <c r="A361" t="str">
        <f t="shared" si="20"/>
        <v>62018</v>
      </c>
      <c r="B361" s="1">
        <v>43264</v>
      </c>
      <c r="C361" t="s">
        <v>239</v>
      </c>
      <c r="D361">
        <v>14001.2</v>
      </c>
      <c r="E361">
        <v>14074.9</v>
      </c>
      <c r="F361">
        <v>13950.15</v>
      </c>
      <c r="G361">
        <v>14034.15</v>
      </c>
      <c r="H361">
        <v>0</v>
      </c>
      <c r="I361" s="8">
        <f t="shared" si="21"/>
        <v>1.2575893678502981E-2</v>
      </c>
      <c r="J361" s="8">
        <f t="shared" si="22"/>
        <v>1.2497473908951744E-2</v>
      </c>
      <c r="K361" s="8">
        <f t="shared" si="19"/>
        <v>9.9656801673679629E-2</v>
      </c>
    </row>
    <row r="362" spans="1:11" x14ac:dyDescent="0.25">
      <c r="A362" t="str">
        <f t="shared" si="20"/>
        <v>62018</v>
      </c>
      <c r="B362" s="1">
        <v>43265</v>
      </c>
      <c r="C362" t="s">
        <v>240</v>
      </c>
      <c r="D362">
        <v>13980.55</v>
      </c>
      <c r="E362">
        <v>13984.75</v>
      </c>
      <c r="F362">
        <v>13784.35</v>
      </c>
      <c r="G362">
        <v>13825.4</v>
      </c>
      <c r="H362">
        <v>0</v>
      </c>
      <c r="I362" s="8">
        <f t="shared" si="21"/>
        <v>-1.4874431297941082E-2</v>
      </c>
      <c r="J362" s="8">
        <f t="shared" si="22"/>
        <v>-1.4986165019253747E-2</v>
      </c>
      <c r="K362" s="8">
        <f t="shared" si="19"/>
        <v>8.8751338751338782E-2</v>
      </c>
    </row>
    <row r="363" spans="1:11" x14ac:dyDescent="0.25">
      <c r="A363" t="str">
        <f t="shared" si="20"/>
        <v>62018</v>
      </c>
      <c r="B363" s="1">
        <v>43266</v>
      </c>
      <c r="C363" t="s">
        <v>241</v>
      </c>
      <c r="D363">
        <v>13868.5</v>
      </c>
      <c r="E363">
        <v>14151.75</v>
      </c>
      <c r="F363">
        <v>13841.6</v>
      </c>
      <c r="G363">
        <v>14121.5</v>
      </c>
      <c r="H363">
        <v>0</v>
      </c>
      <c r="I363" s="8">
        <f t="shared" si="21"/>
        <v>2.1417101856004095E-2</v>
      </c>
      <c r="J363" s="8">
        <f t="shared" si="22"/>
        <v>2.1190978635394004E-2</v>
      </c>
      <c r="K363" s="8">
        <f t="shared" si="19"/>
        <v>0.13687778251873794</v>
      </c>
    </row>
    <row r="364" spans="1:11" x14ac:dyDescent="0.25">
      <c r="A364" t="str">
        <f t="shared" si="20"/>
        <v>62018</v>
      </c>
      <c r="B364" s="1">
        <v>43269</v>
      </c>
      <c r="C364" t="s">
        <v>242</v>
      </c>
      <c r="D364">
        <v>14223.35</v>
      </c>
      <c r="E364">
        <v>14223.35</v>
      </c>
      <c r="F364">
        <v>13995.9</v>
      </c>
      <c r="G364">
        <v>14024.2</v>
      </c>
      <c r="H364">
        <v>0</v>
      </c>
      <c r="I364" s="8">
        <f t="shared" si="21"/>
        <v>-6.8902028821300476E-3</v>
      </c>
      <c r="J364" s="8">
        <f t="shared" si="22"/>
        <v>-6.9140499338199851E-3</v>
      </c>
      <c r="K364" s="8">
        <f t="shared" si="19"/>
        <v>0.11222846991458546</v>
      </c>
    </row>
    <row r="365" spans="1:11" x14ac:dyDescent="0.25">
      <c r="A365" t="str">
        <f t="shared" si="20"/>
        <v>62018</v>
      </c>
      <c r="B365" s="1">
        <v>43270</v>
      </c>
      <c r="C365" t="s">
        <v>243</v>
      </c>
      <c r="D365">
        <v>13987.6</v>
      </c>
      <c r="E365">
        <v>14028.7</v>
      </c>
      <c r="F365">
        <v>13835.7</v>
      </c>
      <c r="G365">
        <v>13849.45</v>
      </c>
      <c r="H365">
        <v>0</v>
      </c>
      <c r="I365" s="8">
        <f t="shared" si="21"/>
        <v>-1.24606038134083E-2</v>
      </c>
      <c r="J365" s="8">
        <f t="shared" si="22"/>
        <v>-1.2538888130141455E-2</v>
      </c>
      <c r="K365" s="8">
        <f t="shared" si="19"/>
        <v>9.8391209348988928E-2</v>
      </c>
    </row>
    <row r="366" spans="1:11" x14ac:dyDescent="0.25">
      <c r="A366" t="str">
        <f t="shared" si="20"/>
        <v>62018</v>
      </c>
      <c r="B366" s="1">
        <v>43271</v>
      </c>
      <c r="C366" t="s">
        <v>244</v>
      </c>
      <c r="D366">
        <v>13900.85</v>
      </c>
      <c r="E366">
        <v>13914.95</v>
      </c>
      <c r="F366">
        <v>13782.15</v>
      </c>
      <c r="G366">
        <v>13810.9</v>
      </c>
      <c r="H366">
        <v>0</v>
      </c>
      <c r="I366" s="8">
        <f t="shared" si="21"/>
        <v>-2.7835040380665976E-3</v>
      </c>
      <c r="J366" s="8">
        <f t="shared" si="22"/>
        <v>-2.7873851892379511E-3</v>
      </c>
      <c r="K366" s="8">
        <f t="shared" si="19"/>
        <v>0.10579201895977453</v>
      </c>
    </row>
    <row r="367" spans="1:11" x14ac:dyDescent="0.25">
      <c r="A367" t="str">
        <f t="shared" si="20"/>
        <v>62018</v>
      </c>
      <c r="B367" s="1">
        <v>43272</v>
      </c>
      <c r="C367" t="s">
        <v>245</v>
      </c>
      <c r="D367">
        <v>13856.1</v>
      </c>
      <c r="E367">
        <v>13882.4</v>
      </c>
      <c r="F367">
        <v>13751.6</v>
      </c>
      <c r="G367">
        <v>13771.7</v>
      </c>
      <c r="H367">
        <v>0</v>
      </c>
      <c r="I367" s="8">
        <f t="shared" si="21"/>
        <v>-2.8383378346088506E-3</v>
      </c>
      <c r="J367" s="8">
        <f t="shared" si="22"/>
        <v>-2.842373553739052E-3</v>
      </c>
      <c r="K367" s="8">
        <f t="shared" si="19"/>
        <v>9.8125363803813093E-2</v>
      </c>
    </row>
    <row r="368" spans="1:11" x14ac:dyDescent="0.25">
      <c r="A368" t="str">
        <f t="shared" si="20"/>
        <v>62018</v>
      </c>
      <c r="B368" s="1">
        <v>43273</v>
      </c>
      <c r="C368" t="s">
        <v>246</v>
      </c>
      <c r="D368">
        <v>13792.85</v>
      </c>
      <c r="E368">
        <v>13844</v>
      </c>
      <c r="F368">
        <v>13724.15</v>
      </c>
      <c r="G368">
        <v>13777.1</v>
      </c>
      <c r="H368">
        <v>0</v>
      </c>
      <c r="I368" s="8">
        <f t="shared" si="21"/>
        <v>3.9210845429393792E-4</v>
      </c>
      <c r="J368" s="8">
        <f t="shared" si="22"/>
        <v>3.9203159986349849E-4</v>
      </c>
      <c r="K368" s="8">
        <f t="shared" si="19"/>
        <v>0.10549332391834643</v>
      </c>
    </row>
    <row r="369" spans="1:11" x14ac:dyDescent="0.25">
      <c r="A369" t="str">
        <f t="shared" si="20"/>
        <v>62018</v>
      </c>
      <c r="B369" s="1">
        <v>43276</v>
      </c>
      <c r="C369" t="s">
        <v>247</v>
      </c>
      <c r="D369">
        <v>13814</v>
      </c>
      <c r="E369">
        <v>13918.05</v>
      </c>
      <c r="F369">
        <v>13791</v>
      </c>
      <c r="G369">
        <v>13865.2</v>
      </c>
      <c r="H369">
        <v>0</v>
      </c>
      <c r="I369" s="8">
        <f t="shared" si="21"/>
        <v>6.3946694151890693E-3</v>
      </c>
      <c r="J369" s="8">
        <f t="shared" si="22"/>
        <v>6.3743102639911347E-3</v>
      </c>
      <c r="K369" s="8">
        <f t="shared" si="19"/>
        <v>0.10760332955217211</v>
      </c>
    </row>
    <row r="370" spans="1:11" x14ac:dyDescent="0.25">
      <c r="A370" t="str">
        <f t="shared" si="20"/>
        <v>62018</v>
      </c>
      <c r="B370" s="1">
        <v>43277</v>
      </c>
      <c r="C370" t="s">
        <v>248</v>
      </c>
      <c r="D370">
        <v>13862.7</v>
      </c>
      <c r="E370">
        <v>13981.15</v>
      </c>
      <c r="F370">
        <v>13848.8</v>
      </c>
      <c r="G370">
        <v>13943.5</v>
      </c>
      <c r="H370">
        <v>0</v>
      </c>
      <c r="I370" s="8">
        <f t="shared" si="21"/>
        <v>5.6472319187605979E-3</v>
      </c>
      <c r="J370" s="8">
        <f t="shared" si="22"/>
        <v>5.6313460838567217E-3</v>
      </c>
      <c r="K370" s="8">
        <f t="shared" si="19"/>
        <v>0.11445024797087489</v>
      </c>
    </row>
    <row r="371" spans="1:11" x14ac:dyDescent="0.25">
      <c r="A371" t="str">
        <f t="shared" si="20"/>
        <v>62018</v>
      </c>
      <c r="B371" s="1">
        <v>43278</v>
      </c>
      <c r="C371" t="s">
        <v>249</v>
      </c>
      <c r="D371">
        <v>14005.65</v>
      </c>
      <c r="E371">
        <v>14143.3</v>
      </c>
      <c r="F371">
        <v>13966.35</v>
      </c>
      <c r="G371">
        <v>14018.4</v>
      </c>
      <c r="H371">
        <v>0</v>
      </c>
      <c r="I371" s="8">
        <f t="shared" si="21"/>
        <v>5.3716785599025041E-3</v>
      </c>
      <c r="J371" s="8">
        <f t="shared" si="22"/>
        <v>5.3573025538364016E-3</v>
      </c>
      <c r="K371" s="8">
        <f t="shared" si="19"/>
        <v>0.10319427721510022</v>
      </c>
    </row>
    <row r="372" spans="1:11" x14ac:dyDescent="0.25">
      <c r="A372" t="str">
        <f t="shared" si="20"/>
        <v>62018</v>
      </c>
      <c r="B372" s="1">
        <v>43279</v>
      </c>
      <c r="C372" t="s">
        <v>250</v>
      </c>
      <c r="D372">
        <v>14070.9</v>
      </c>
      <c r="E372">
        <v>14139.65</v>
      </c>
      <c r="F372">
        <v>13853.1</v>
      </c>
      <c r="G372">
        <v>13873.8</v>
      </c>
      <c r="H372">
        <v>0</v>
      </c>
      <c r="I372" s="8">
        <f t="shared" si="21"/>
        <v>-1.0315014552302659E-2</v>
      </c>
      <c r="J372" s="8">
        <f t="shared" si="22"/>
        <v>-1.0368583006232335E-2</v>
      </c>
      <c r="K372" s="8">
        <f t="shared" si="19"/>
        <v>9.9746739117510641E-2</v>
      </c>
    </row>
    <row r="373" spans="1:11" x14ac:dyDescent="0.25">
      <c r="A373" t="str">
        <f t="shared" si="20"/>
        <v>62018</v>
      </c>
      <c r="B373" s="1">
        <v>43280</v>
      </c>
      <c r="C373" t="s">
        <v>251</v>
      </c>
      <c r="D373">
        <v>13959.15</v>
      </c>
      <c r="E373">
        <v>14020.75</v>
      </c>
      <c r="F373">
        <v>13858.7</v>
      </c>
      <c r="G373">
        <v>13989.5</v>
      </c>
      <c r="H373">
        <v>0</v>
      </c>
      <c r="I373" s="8">
        <f t="shared" si="21"/>
        <v>8.3394599893324983E-3</v>
      </c>
      <c r="J373" s="8">
        <f t="shared" si="22"/>
        <v>8.304878818714655E-3</v>
      </c>
      <c r="K373" s="8">
        <f t="shared" si="19"/>
        <v>0.11997982523206985</v>
      </c>
    </row>
    <row r="374" spans="1:11" x14ac:dyDescent="0.25">
      <c r="A374" t="str">
        <f t="shared" si="20"/>
        <v>72018</v>
      </c>
      <c r="B374" s="1">
        <v>43283</v>
      </c>
      <c r="C374" s="10">
        <v>43138.645833333336</v>
      </c>
      <c r="D374">
        <v>14024.6</v>
      </c>
      <c r="E374">
        <v>14086.8</v>
      </c>
      <c r="F374">
        <v>13977.9</v>
      </c>
      <c r="G374">
        <v>14072.3</v>
      </c>
      <c r="H374">
        <v>0</v>
      </c>
      <c r="I374" s="8">
        <f t="shared" si="21"/>
        <v>5.9187247578540436E-3</v>
      </c>
      <c r="J374" s="8">
        <f t="shared" si="22"/>
        <v>5.9012779146682508E-3</v>
      </c>
      <c r="K374" s="8">
        <f t="shared" si="19"/>
        <v>0.10957969808910661</v>
      </c>
    </row>
    <row r="375" spans="1:11" x14ac:dyDescent="0.25">
      <c r="A375" t="str">
        <f t="shared" si="20"/>
        <v>72018</v>
      </c>
      <c r="B375" s="1">
        <v>43284</v>
      </c>
      <c r="C375" s="10">
        <v>43166.645833333336</v>
      </c>
      <c r="D375">
        <v>14100.8</v>
      </c>
      <c r="E375">
        <v>14238.9</v>
      </c>
      <c r="F375">
        <v>14074.85</v>
      </c>
      <c r="G375">
        <v>14222.55</v>
      </c>
      <c r="H375">
        <v>0</v>
      </c>
      <c r="I375" s="8">
        <f t="shared" si="21"/>
        <v>1.0677003759158143E-2</v>
      </c>
      <c r="J375" s="8">
        <f t="shared" si="22"/>
        <v>1.0620407053599944E-2</v>
      </c>
      <c r="K375" s="8">
        <f t="shared" si="19"/>
        <v>0.12847377879690702</v>
      </c>
    </row>
    <row r="376" spans="1:11" x14ac:dyDescent="0.25">
      <c r="A376" t="str">
        <f t="shared" si="20"/>
        <v>72018</v>
      </c>
      <c r="B376" s="1">
        <v>43285</v>
      </c>
      <c r="C376" s="10">
        <v>43197.645833333336</v>
      </c>
      <c r="D376">
        <v>14243.8</v>
      </c>
      <c r="E376">
        <v>14243.95</v>
      </c>
      <c r="F376">
        <v>14099.25</v>
      </c>
      <c r="G376">
        <v>14126.15</v>
      </c>
      <c r="H376">
        <v>0</v>
      </c>
      <c r="I376" s="8">
        <f t="shared" si="21"/>
        <v>-6.7779687890004992E-3</v>
      </c>
      <c r="J376" s="8">
        <f t="shared" si="22"/>
        <v>-6.8010435452112777E-3</v>
      </c>
      <c r="K376" s="8">
        <f t="shared" si="19"/>
        <v>0.12727831332992845</v>
      </c>
    </row>
    <row r="377" spans="1:11" x14ac:dyDescent="0.25">
      <c r="A377" t="str">
        <f t="shared" si="20"/>
        <v>72018</v>
      </c>
      <c r="B377" s="1">
        <v>43286</v>
      </c>
      <c r="C377" s="10">
        <v>43227.645833333336</v>
      </c>
      <c r="D377">
        <v>14180.3</v>
      </c>
      <c r="E377">
        <v>14184.45</v>
      </c>
      <c r="F377">
        <v>13898.9</v>
      </c>
      <c r="G377">
        <v>13970.5</v>
      </c>
      <c r="H377">
        <v>0</v>
      </c>
      <c r="I377" s="8">
        <f t="shared" si="21"/>
        <v>-1.101857193927569E-2</v>
      </c>
      <c r="J377" s="8">
        <f t="shared" si="22"/>
        <v>-1.1079726038549792E-2</v>
      </c>
      <c r="K377" s="8">
        <f t="shared" si="19"/>
        <v>0.110837232786416</v>
      </c>
    </row>
    <row r="378" spans="1:11" x14ac:dyDescent="0.25">
      <c r="A378" t="str">
        <f t="shared" si="20"/>
        <v>72018</v>
      </c>
      <c r="B378" s="1">
        <v>43287</v>
      </c>
      <c r="C378" s="10">
        <v>43258.645833333336</v>
      </c>
      <c r="D378">
        <v>14008.15</v>
      </c>
      <c r="E378">
        <v>14063.25</v>
      </c>
      <c r="F378">
        <v>13925.55</v>
      </c>
      <c r="G378">
        <v>14015.95</v>
      </c>
      <c r="H378">
        <v>0</v>
      </c>
      <c r="I378" s="8">
        <f t="shared" si="21"/>
        <v>3.2532837049497054E-3</v>
      </c>
      <c r="J378" s="8">
        <f t="shared" si="22"/>
        <v>3.2480032270129746E-3</v>
      </c>
      <c r="K378" s="8">
        <f t="shared" si="19"/>
        <v>9.8506164227884385E-2</v>
      </c>
    </row>
    <row r="379" spans="1:11" x14ac:dyDescent="0.25">
      <c r="A379" t="str">
        <f t="shared" si="20"/>
        <v>72018</v>
      </c>
      <c r="B379" s="1">
        <v>43290</v>
      </c>
      <c r="C379" s="10">
        <v>43350.645833333336</v>
      </c>
      <c r="D379">
        <v>14111.85</v>
      </c>
      <c r="E379">
        <v>14141.15</v>
      </c>
      <c r="F379">
        <v>13993.6</v>
      </c>
      <c r="G379">
        <v>14108.85</v>
      </c>
      <c r="H379">
        <v>0</v>
      </c>
      <c r="I379" s="8">
        <f t="shared" si="21"/>
        <v>6.6281629143938314E-3</v>
      </c>
      <c r="J379" s="8">
        <f t="shared" si="22"/>
        <v>6.6062932266301557E-3</v>
      </c>
      <c r="K379" s="8">
        <f t="shared" si="19"/>
        <v>7.1433453319360352E-2</v>
      </c>
    </row>
    <row r="380" spans="1:11" x14ac:dyDescent="0.25">
      <c r="A380" t="str">
        <f t="shared" si="20"/>
        <v>72018</v>
      </c>
      <c r="B380" s="1">
        <v>43291</v>
      </c>
      <c r="C380" s="10">
        <v>43380.645833333336</v>
      </c>
      <c r="D380">
        <v>14275.1</v>
      </c>
      <c r="E380">
        <v>14299.5</v>
      </c>
      <c r="F380">
        <v>14174.6</v>
      </c>
      <c r="G380">
        <v>14222.75</v>
      </c>
      <c r="H380">
        <v>0</v>
      </c>
      <c r="I380" s="8">
        <f t="shared" si="21"/>
        <v>8.0729471218419224E-3</v>
      </c>
      <c r="J380" s="8">
        <f t="shared" si="22"/>
        <v>8.0405352071571991E-3</v>
      </c>
      <c r="K380" s="8">
        <f t="shared" si="19"/>
        <v>7.2569181287211126E-2</v>
      </c>
    </row>
    <row r="381" spans="1:11" x14ac:dyDescent="0.25">
      <c r="A381" t="str">
        <f t="shared" si="20"/>
        <v>72018</v>
      </c>
      <c r="B381" s="1">
        <v>43292</v>
      </c>
      <c r="C381" s="10">
        <v>43411.645833333336</v>
      </c>
      <c r="D381">
        <v>14352.15</v>
      </c>
      <c r="E381">
        <v>14629.5</v>
      </c>
      <c r="F381">
        <v>14337.55</v>
      </c>
      <c r="G381">
        <v>14536.45</v>
      </c>
      <c r="H381">
        <v>0</v>
      </c>
      <c r="I381" s="8">
        <f t="shared" si="21"/>
        <v>2.2056212757729732E-2</v>
      </c>
      <c r="J381" s="8">
        <f t="shared" si="22"/>
        <v>2.1816492967285429E-2</v>
      </c>
      <c r="K381" s="8">
        <f t="shared" si="19"/>
        <v>0.10098764684051464</v>
      </c>
    </row>
    <row r="382" spans="1:11" x14ac:dyDescent="0.25">
      <c r="A382" t="str">
        <f t="shared" si="20"/>
        <v>72018</v>
      </c>
      <c r="B382" s="1">
        <v>43293</v>
      </c>
      <c r="C382" s="10">
        <v>43441.645833333336</v>
      </c>
      <c r="D382">
        <v>14611.45</v>
      </c>
      <c r="E382">
        <v>14627.8</v>
      </c>
      <c r="F382">
        <v>14437.65</v>
      </c>
      <c r="G382">
        <v>14515.65</v>
      </c>
      <c r="H382">
        <v>0</v>
      </c>
      <c r="I382" s="8">
        <f t="shared" si="21"/>
        <v>-1.430885807745419E-3</v>
      </c>
      <c r="J382" s="8">
        <f t="shared" si="22"/>
        <v>-1.4319105024401975E-3</v>
      </c>
      <c r="K382" s="8">
        <f t="shared" si="19"/>
        <v>0.10282017580514058</v>
      </c>
    </row>
    <row r="383" spans="1:11" x14ac:dyDescent="0.25">
      <c r="A383" t="str">
        <f t="shared" si="20"/>
        <v>72018</v>
      </c>
      <c r="B383" s="1">
        <v>43294</v>
      </c>
      <c r="C383" t="s">
        <v>252</v>
      </c>
      <c r="D383">
        <v>14559.15</v>
      </c>
      <c r="E383">
        <v>14654.55</v>
      </c>
      <c r="F383">
        <v>14462.95</v>
      </c>
      <c r="G383">
        <v>14534.9</v>
      </c>
      <c r="H383">
        <v>0</v>
      </c>
      <c r="I383" s="8">
        <f t="shared" si="21"/>
        <v>1.3261548742220519E-3</v>
      </c>
      <c r="J383" s="8">
        <f t="shared" si="22"/>
        <v>1.3252763075047506E-3</v>
      </c>
      <c r="K383" s="8">
        <f t="shared" si="19"/>
        <v>0.10750533373971338</v>
      </c>
    </row>
    <row r="384" spans="1:11" x14ac:dyDescent="0.25">
      <c r="A384" t="str">
        <f t="shared" si="20"/>
        <v>72018</v>
      </c>
      <c r="B384" s="1">
        <v>43297</v>
      </c>
      <c r="C384" t="s">
        <v>253</v>
      </c>
      <c r="D384">
        <v>14554.25</v>
      </c>
      <c r="E384">
        <v>14776</v>
      </c>
      <c r="F384">
        <v>14443</v>
      </c>
      <c r="G384">
        <v>14617.05</v>
      </c>
      <c r="H384">
        <v>0</v>
      </c>
      <c r="I384" s="8">
        <f t="shared" si="21"/>
        <v>5.651913669856734E-3</v>
      </c>
      <c r="J384" s="8">
        <f t="shared" si="22"/>
        <v>5.6360015336503659E-3</v>
      </c>
      <c r="K384" s="8">
        <f t="shared" ref="K384:K447" si="23">+G384/G323-1</f>
        <v>0.10122462509746888</v>
      </c>
    </row>
    <row r="385" spans="1:11" x14ac:dyDescent="0.25">
      <c r="A385" t="str">
        <f t="shared" si="20"/>
        <v>72018</v>
      </c>
      <c r="B385" s="1">
        <v>43298</v>
      </c>
      <c r="C385" t="s">
        <v>254</v>
      </c>
      <c r="D385">
        <v>14609.55</v>
      </c>
      <c r="E385">
        <v>14709.6</v>
      </c>
      <c r="F385">
        <v>14539.6</v>
      </c>
      <c r="G385">
        <v>14618.25</v>
      </c>
      <c r="H385">
        <v>0</v>
      </c>
      <c r="I385" s="8">
        <f t="shared" si="21"/>
        <v>8.209590854524329E-5</v>
      </c>
      <c r="J385" s="8">
        <f t="shared" si="22"/>
        <v>8.209253886056698E-5</v>
      </c>
      <c r="K385" s="8">
        <f t="shared" si="23"/>
        <v>5.0890164517787051E-2</v>
      </c>
    </row>
    <row r="386" spans="1:11" x14ac:dyDescent="0.25">
      <c r="A386" t="str">
        <f t="shared" si="20"/>
        <v>72018</v>
      </c>
      <c r="B386" s="1">
        <v>43299</v>
      </c>
      <c r="C386" t="s">
        <v>255</v>
      </c>
      <c r="D386">
        <v>14695.65</v>
      </c>
      <c r="E386">
        <v>14762.3</v>
      </c>
      <c r="F386">
        <v>14568.55</v>
      </c>
      <c r="G386">
        <v>14631.7</v>
      </c>
      <c r="H386">
        <v>0</v>
      </c>
      <c r="I386" s="8">
        <f t="shared" si="21"/>
        <v>9.2008277324584498E-4</v>
      </c>
      <c r="J386" s="8">
        <f t="shared" si="22"/>
        <v>9.1965975654473438E-4</v>
      </c>
      <c r="K386" s="8">
        <f t="shared" si="23"/>
        <v>4.4081076356059512E-2</v>
      </c>
    </row>
    <row r="387" spans="1:11" x14ac:dyDescent="0.25">
      <c r="A387" t="str">
        <f t="shared" ref="A387:A450" si="24">+MONTH(B387)&amp;YEAR(B387)</f>
        <v>72018</v>
      </c>
      <c r="B387" s="1">
        <v>43300</v>
      </c>
      <c r="C387" t="s">
        <v>256</v>
      </c>
      <c r="D387">
        <v>14638.1</v>
      </c>
      <c r="E387">
        <v>14693.45</v>
      </c>
      <c r="F387">
        <v>14420</v>
      </c>
      <c r="G387">
        <v>14489.85</v>
      </c>
      <c r="H387">
        <v>0</v>
      </c>
      <c r="I387" s="8">
        <f t="shared" si="21"/>
        <v>-9.6947039646794186E-3</v>
      </c>
      <c r="J387" s="8">
        <f t="shared" si="22"/>
        <v>-9.7420035591320037E-3</v>
      </c>
      <c r="K387" s="8">
        <f t="shared" si="23"/>
        <v>5.4973497975944419E-2</v>
      </c>
    </row>
    <row r="388" spans="1:11" x14ac:dyDescent="0.25">
      <c r="A388" t="str">
        <f t="shared" si="24"/>
        <v>72018</v>
      </c>
      <c r="B388" s="1">
        <v>43301</v>
      </c>
      <c r="C388" t="s">
        <v>257</v>
      </c>
      <c r="D388">
        <v>14541.35</v>
      </c>
      <c r="E388">
        <v>14771.05</v>
      </c>
      <c r="F388">
        <v>14518.5</v>
      </c>
      <c r="G388">
        <v>14701.4</v>
      </c>
      <c r="H388">
        <v>0</v>
      </c>
      <c r="I388" s="8">
        <f t="shared" ref="I388:I451" si="25">+G388/G387-1</f>
        <v>1.459987508497318E-2</v>
      </c>
      <c r="J388" s="8">
        <f t="shared" ref="J388:J451" si="26">+LN(1+I388)</f>
        <v>1.4494323032933826E-2</v>
      </c>
      <c r="K388" s="8">
        <f t="shared" si="23"/>
        <v>5.8233278627163099E-2</v>
      </c>
    </row>
    <row r="389" spans="1:11" x14ac:dyDescent="0.25">
      <c r="A389" t="str">
        <f t="shared" si="24"/>
        <v>72018</v>
      </c>
      <c r="B389" s="1">
        <v>43304</v>
      </c>
      <c r="C389" t="s">
        <v>258</v>
      </c>
      <c r="D389">
        <v>14726.7</v>
      </c>
      <c r="E389">
        <v>14726.7</v>
      </c>
      <c r="F389">
        <v>14571.6</v>
      </c>
      <c r="G389">
        <v>14683.2</v>
      </c>
      <c r="H389">
        <v>0</v>
      </c>
      <c r="I389" s="8">
        <f t="shared" si="25"/>
        <v>-1.2379773354918022E-3</v>
      </c>
      <c r="J389" s="8">
        <f t="shared" si="26"/>
        <v>-1.2387442624575411E-3</v>
      </c>
      <c r="K389" s="8">
        <f t="shared" si="23"/>
        <v>4.6807327480189675E-2</v>
      </c>
    </row>
    <row r="390" spans="1:11" x14ac:dyDescent="0.25">
      <c r="A390" t="str">
        <f t="shared" si="24"/>
        <v>72018</v>
      </c>
      <c r="B390" s="1">
        <v>43305</v>
      </c>
      <c r="C390" t="s">
        <v>259</v>
      </c>
      <c r="D390">
        <v>14768.85</v>
      </c>
      <c r="E390">
        <v>14768.9</v>
      </c>
      <c r="F390">
        <v>14620.95</v>
      </c>
      <c r="G390">
        <v>14663.9</v>
      </c>
      <c r="H390">
        <v>0</v>
      </c>
      <c r="I390" s="8">
        <f t="shared" si="25"/>
        <v>-1.3144273727798694E-3</v>
      </c>
      <c r="J390" s="8">
        <f t="shared" si="26"/>
        <v>-1.3152919901732532E-3</v>
      </c>
      <c r="K390" s="8">
        <f t="shared" si="23"/>
        <v>6.2994294993077071E-2</v>
      </c>
    </row>
    <row r="391" spans="1:11" x14ac:dyDescent="0.25">
      <c r="A391" t="str">
        <f t="shared" si="24"/>
        <v>72018</v>
      </c>
      <c r="B391" s="1">
        <v>43306</v>
      </c>
      <c r="C391" t="s">
        <v>260</v>
      </c>
      <c r="D391">
        <v>14697.85</v>
      </c>
      <c r="E391">
        <v>14697.85</v>
      </c>
      <c r="F391">
        <v>14539.25</v>
      </c>
      <c r="G391">
        <v>14575.35</v>
      </c>
      <c r="H391">
        <v>0</v>
      </c>
      <c r="I391" s="8">
        <f t="shared" si="25"/>
        <v>-6.0386391069223722E-3</v>
      </c>
      <c r="J391" s="8">
        <f t="shared" si="26"/>
        <v>-6.0569454220802234E-3</v>
      </c>
      <c r="K391" s="8">
        <f t="shared" si="23"/>
        <v>4.2119939226025638E-2</v>
      </c>
    </row>
    <row r="392" spans="1:11" x14ac:dyDescent="0.25">
      <c r="A392" t="str">
        <f t="shared" si="24"/>
        <v>72018</v>
      </c>
      <c r="B392" s="1">
        <v>43307</v>
      </c>
      <c r="C392" t="s">
        <v>261</v>
      </c>
      <c r="D392">
        <v>14510.6</v>
      </c>
      <c r="E392">
        <v>14559.5</v>
      </c>
      <c r="F392">
        <v>14423.75</v>
      </c>
      <c r="G392">
        <v>14468.1</v>
      </c>
      <c r="H392">
        <v>0</v>
      </c>
      <c r="I392" s="8">
        <f t="shared" si="25"/>
        <v>-7.3583138655332059E-3</v>
      </c>
      <c r="J392" s="8">
        <f t="shared" si="26"/>
        <v>-7.3855197990294972E-3</v>
      </c>
      <c r="K392" s="8">
        <f t="shared" si="23"/>
        <v>5.1896497822499166E-2</v>
      </c>
    </row>
    <row r="393" spans="1:11" x14ac:dyDescent="0.25">
      <c r="A393" t="str">
        <f t="shared" si="24"/>
        <v>72018</v>
      </c>
      <c r="B393" s="1">
        <v>43308</v>
      </c>
      <c r="C393" t="s">
        <v>262</v>
      </c>
      <c r="D393">
        <v>14476.45</v>
      </c>
      <c r="E393">
        <v>14553.8</v>
      </c>
      <c r="F393">
        <v>14450.15</v>
      </c>
      <c r="G393">
        <v>14517.9</v>
      </c>
      <c r="H393">
        <v>0</v>
      </c>
      <c r="I393" s="8">
        <f t="shared" si="25"/>
        <v>3.4420552802372217E-3</v>
      </c>
      <c r="J393" s="8">
        <f t="shared" si="26"/>
        <v>3.4361449664957748E-3</v>
      </c>
      <c r="K393" s="8">
        <f t="shared" si="23"/>
        <v>7.7479135665487808E-2</v>
      </c>
    </row>
    <row r="394" spans="1:11" x14ac:dyDescent="0.25">
      <c r="A394" t="str">
        <f t="shared" si="24"/>
        <v>72018</v>
      </c>
      <c r="B394" s="1">
        <v>43311</v>
      </c>
      <c r="C394" t="s">
        <v>263</v>
      </c>
      <c r="D394">
        <v>14538.9</v>
      </c>
      <c r="E394">
        <v>14561.05</v>
      </c>
      <c r="F394">
        <v>14391.15</v>
      </c>
      <c r="G394">
        <v>14420.55</v>
      </c>
      <c r="H394">
        <v>0</v>
      </c>
      <c r="I394" s="8">
        <f t="shared" si="25"/>
        <v>-6.705515260471584E-3</v>
      </c>
      <c r="J394" s="8">
        <f t="shared" si="26"/>
        <v>-6.7280982382085077E-3</v>
      </c>
      <c r="K394" s="8">
        <f t="shared" si="23"/>
        <v>7.189685801996526E-2</v>
      </c>
    </row>
    <row r="395" spans="1:11" x14ac:dyDescent="0.25">
      <c r="A395" t="str">
        <f t="shared" si="24"/>
        <v>72018</v>
      </c>
      <c r="B395" s="1">
        <v>43312</v>
      </c>
      <c r="C395" t="s">
        <v>264</v>
      </c>
      <c r="D395">
        <v>14432.6</v>
      </c>
      <c r="E395">
        <v>14617.75</v>
      </c>
      <c r="F395">
        <v>14386.8</v>
      </c>
      <c r="G395">
        <v>14587.8</v>
      </c>
      <c r="H395">
        <v>0</v>
      </c>
      <c r="I395" s="8">
        <f t="shared" si="25"/>
        <v>1.1598031975202039E-2</v>
      </c>
      <c r="J395" s="8">
        <f t="shared" si="26"/>
        <v>1.1531290354289561E-2</v>
      </c>
      <c r="K395" s="8">
        <f t="shared" si="23"/>
        <v>8.6622619162898706E-2</v>
      </c>
    </row>
    <row r="396" spans="1:11" x14ac:dyDescent="0.25">
      <c r="A396" t="str">
        <f t="shared" si="24"/>
        <v>82018</v>
      </c>
      <c r="B396" s="1">
        <v>43313</v>
      </c>
      <c r="C396" s="10">
        <v>43108.645833333336</v>
      </c>
      <c r="D396">
        <v>14618.65</v>
      </c>
      <c r="E396">
        <v>14690.6</v>
      </c>
      <c r="F396">
        <v>14586.55</v>
      </c>
      <c r="G396">
        <v>14679.35</v>
      </c>
      <c r="H396">
        <v>0</v>
      </c>
      <c r="I396" s="8">
        <f t="shared" si="25"/>
        <v>6.2757921002483119E-3</v>
      </c>
      <c r="J396" s="8">
        <f t="shared" si="26"/>
        <v>6.2561813230124037E-3</v>
      </c>
      <c r="K396" s="8">
        <f t="shared" si="23"/>
        <v>9.7140059717556237E-2</v>
      </c>
    </row>
    <row r="397" spans="1:11" x14ac:dyDescent="0.25">
      <c r="A397" t="str">
        <f t="shared" si="24"/>
        <v>82018</v>
      </c>
      <c r="B397" s="1">
        <v>43314</v>
      </c>
      <c r="C397" s="10">
        <v>43139.645833333336</v>
      </c>
      <c r="D397">
        <v>14689.1</v>
      </c>
      <c r="E397">
        <v>14739.8</v>
      </c>
      <c r="F397">
        <v>14541.35</v>
      </c>
      <c r="G397">
        <v>14552.6</v>
      </c>
      <c r="H397">
        <v>0</v>
      </c>
      <c r="I397" s="8">
        <f t="shared" si="25"/>
        <v>-8.6345785065414793E-3</v>
      </c>
      <c r="J397" s="8">
        <f t="shared" si="26"/>
        <v>-8.6720724652399449E-3</v>
      </c>
      <c r="K397" s="8">
        <f t="shared" si="23"/>
        <v>8.1704253199934573E-2</v>
      </c>
    </row>
    <row r="398" spans="1:11" x14ac:dyDescent="0.25">
      <c r="A398" t="str">
        <f t="shared" si="24"/>
        <v>82018</v>
      </c>
      <c r="B398" s="1">
        <v>43315</v>
      </c>
      <c r="C398" s="10">
        <v>43167.645833333336</v>
      </c>
      <c r="D398">
        <v>14632.35</v>
      </c>
      <c r="E398">
        <v>14663.6</v>
      </c>
      <c r="F398">
        <v>14588.95</v>
      </c>
      <c r="G398">
        <v>14649.1</v>
      </c>
      <c r="H398">
        <v>0</v>
      </c>
      <c r="I398" s="8">
        <f t="shared" si="25"/>
        <v>6.6311174635460546E-3</v>
      </c>
      <c r="J398" s="8">
        <f t="shared" si="26"/>
        <v>6.6092283171880596E-3</v>
      </c>
      <c r="K398" s="8">
        <f t="shared" si="23"/>
        <v>9.0993721745995293E-2</v>
      </c>
    </row>
    <row r="399" spans="1:11" x14ac:dyDescent="0.25">
      <c r="A399" t="str">
        <f t="shared" si="24"/>
        <v>82018</v>
      </c>
      <c r="B399" s="1">
        <v>43318</v>
      </c>
      <c r="C399" s="10">
        <v>43259.645833333336</v>
      </c>
      <c r="D399">
        <v>14694.7</v>
      </c>
      <c r="E399">
        <v>14731.1</v>
      </c>
      <c r="F399">
        <v>14572.9</v>
      </c>
      <c r="G399">
        <v>14605.55</v>
      </c>
      <c r="H399">
        <v>0</v>
      </c>
      <c r="I399" s="8">
        <f t="shared" si="25"/>
        <v>-2.9728788799312511E-3</v>
      </c>
      <c r="J399" s="8">
        <f t="shared" si="26"/>
        <v>-2.977306662032715E-3</v>
      </c>
      <c r="K399" s="8">
        <f t="shared" si="23"/>
        <v>8.3610315611413633E-2</v>
      </c>
    </row>
    <row r="400" spans="1:11" x14ac:dyDescent="0.25">
      <c r="A400" t="str">
        <f t="shared" si="24"/>
        <v>82018</v>
      </c>
      <c r="B400" s="1">
        <v>43319</v>
      </c>
      <c r="C400" s="10">
        <v>43289.645833333336</v>
      </c>
      <c r="D400">
        <v>14660.1</v>
      </c>
      <c r="E400">
        <v>14688.1</v>
      </c>
      <c r="F400">
        <v>14588.55</v>
      </c>
      <c r="G400">
        <v>14613.75</v>
      </c>
      <c r="H400">
        <v>0</v>
      </c>
      <c r="I400" s="8">
        <f t="shared" si="25"/>
        <v>5.6143041515044345E-4</v>
      </c>
      <c r="J400" s="8">
        <f t="shared" si="26"/>
        <v>5.6127287205847982E-4</v>
      </c>
      <c r="K400" s="8">
        <f t="shared" si="23"/>
        <v>8.6835265113062166E-2</v>
      </c>
    </row>
    <row r="401" spans="1:11" x14ac:dyDescent="0.25">
      <c r="A401" t="str">
        <f t="shared" si="24"/>
        <v>82018</v>
      </c>
      <c r="B401" s="1">
        <v>43320</v>
      </c>
      <c r="C401" s="10">
        <v>43320.645833333336</v>
      </c>
      <c r="D401">
        <v>14650.6</v>
      </c>
      <c r="E401">
        <v>14663.05</v>
      </c>
      <c r="F401">
        <v>14534.6</v>
      </c>
      <c r="G401">
        <v>14608.2</v>
      </c>
      <c r="H401">
        <v>0</v>
      </c>
      <c r="I401" s="8">
        <f t="shared" si="25"/>
        <v>-3.7977931742361193E-4</v>
      </c>
      <c r="J401" s="8">
        <f t="shared" si="26"/>
        <v>-3.7985145185260422E-4</v>
      </c>
      <c r="K401" s="8">
        <f t="shared" si="23"/>
        <v>8.169226839047905E-2</v>
      </c>
    </row>
    <row r="402" spans="1:11" x14ac:dyDescent="0.25">
      <c r="A402" t="str">
        <f t="shared" si="24"/>
        <v>82018</v>
      </c>
      <c r="B402" s="1">
        <v>43321</v>
      </c>
      <c r="C402" s="10">
        <v>43351.645833333336</v>
      </c>
      <c r="D402">
        <v>14660.55</v>
      </c>
      <c r="E402">
        <v>14662.45</v>
      </c>
      <c r="F402">
        <v>14588.95</v>
      </c>
      <c r="G402">
        <v>14603.35</v>
      </c>
      <c r="H402">
        <v>0</v>
      </c>
      <c r="I402" s="8">
        <f t="shared" si="25"/>
        <v>-3.3200531208499307E-4</v>
      </c>
      <c r="J402" s="8">
        <f t="shared" si="26"/>
        <v>-3.3206043805036591E-4</v>
      </c>
      <c r="K402" s="8">
        <f t="shared" si="23"/>
        <v>7.9682232211510051E-2</v>
      </c>
    </row>
    <row r="403" spans="1:11" x14ac:dyDescent="0.25">
      <c r="A403" t="str">
        <f t="shared" si="24"/>
        <v>82018</v>
      </c>
      <c r="B403" s="1">
        <v>43322</v>
      </c>
      <c r="C403" s="10">
        <v>43381.645833333336</v>
      </c>
      <c r="D403">
        <v>14661.9</v>
      </c>
      <c r="E403">
        <v>14702.15</v>
      </c>
      <c r="F403">
        <v>14568.3</v>
      </c>
      <c r="G403">
        <v>14679.3</v>
      </c>
      <c r="H403">
        <v>0</v>
      </c>
      <c r="I403" s="8">
        <f t="shared" si="25"/>
        <v>5.2008614461749314E-3</v>
      </c>
      <c r="J403" s="8">
        <f t="shared" si="26"/>
        <v>5.1873836767606721E-3</v>
      </c>
      <c r="K403" s="8">
        <f t="shared" si="23"/>
        <v>8.6973102056683738E-2</v>
      </c>
    </row>
    <row r="404" spans="1:11" x14ac:dyDescent="0.25">
      <c r="A404" t="str">
        <f t="shared" si="24"/>
        <v>82018</v>
      </c>
      <c r="B404" s="1">
        <v>43325</v>
      </c>
      <c r="C404" t="s">
        <v>265</v>
      </c>
      <c r="D404">
        <v>14697.7</v>
      </c>
      <c r="E404">
        <v>14902.4</v>
      </c>
      <c r="F404">
        <v>14683</v>
      </c>
      <c r="G404">
        <v>14880.25</v>
      </c>
      <c r="H404">
        <v>0</v>
      </c>
      <c r="I404" s="8">
        <f t="shared" si="25"/>
        <v>1.3689344859768582E-2</v>
      </c>
      <c r="J404" s="8">
        <f t="shared" si="26"/>
        <v>1.3596492213328835E-2</v>
      </c>
      <c r="K404" s="8">
        <f t="shared" si="23"/>
        <v>0.10558616257341669</v>
      </c>
    </row>
    <row r="405" spans="1:11" x14ac:dyDescent="0.25">
      <c r="A405" t="str">
        <f t="shared" si="24"/>
        <v>82018</v>
      </c>
      <c r="B405" s="1">
        <v>43326</v>
      </c>
      <c r="C405" t="s">
        <v>266</v>
      </c>
      <c r="D405">
        <v>14927.4</v>
      </c>
      <c r="E405">
        <v>15090.9</v>
      </c>
      <c r="F405">
        <v>14872.95</v>
      </c>
      <c r="G405">
        <v>15009.25</v>
      </c>
      <c r="H405">
        <v>0</v>
      </c>
      <c r="I405" s="8">
        <f t="shared" si="25"/>
        <v>8.6692091866735765E-3</v>
      </c>
      <c r="J405" s="8">
        <f t="shared" si="26"/>
        <v>8.6318473690417449E-3</v>
      </c>
      <c r="K405" s="8">
        <f t="shared" si="23"/>
        <v>0.11312792711280539</v>
      </c>
    </row>
    <row r="406" spans="1:11" x14ac:dyDescent="0.25">
      <c r="A406" t="str">
        <f t="shared" si="24"/>
        <v>82018</v>
      </c>
      <c r="B406" s="1">
        <v>43328</v>
      </c>
      <c r="C406" t="s">
        <v>267</v>
      </c>
      <c r="D406">
        <v>15021.95</v>
      </c>
      <c r="E406">
        <v>15122.65</v>
      </c>
      <c r="F406">
        <v>15017.25</v>
      </c>
      <c r="G406">
        <v>15044.35</v>
      </c>
      <c r="H406">
        <v>0</v>
      </c>
      <c r="I406" s="8">
        <f t="shared" si="25"/>
        <v>2.3385578893015957E-3</v>
      </c>
      <c r="J406" s="8">
        <f t="shared" si="26"/>
        <v>2.3358277184141055E-3</v>
      </c>
      <c r="K406" s="8">
        <f t="shared" si="23"/>
        <v>0.11567312220281734</v>
      </c>
    </row>
    <row r="407" spans="1:11" x14ac:dyDescent="0.25">
      <c r="A407" t="str">
        <f t="shared" si="24"/>
        <v>82018</v>
      </c>
      <c r="B407" s="1">
        <v>43329</v>
      </c>
      <c r="C407" t="s">
        <v>268</v>
      </c>
      <c r="D407">
        <v>15059.95</v>
      </c>
      <c r="E407">
        <v>15143.35</v>
      </c>
      <c r="F407">
        <v>14982.35</v>
      </c>
      <c r="G407">
        <v>15126.4</v>
      </c>
      <c r="H407">
        <v>0</v>
      </c>
      <c r="I407" s="8">
        <f t="shared" si="25"/>
        <v>5.4538747104393437E-3</v>
      </c>
      <c r="J407" s="8">
        <f t="shared" si="26"/>
        <v>5.4390561902460232E-3</v>
      </c>
      <c r="K407" s="8">
        <f t="shared" si="23"/>
        <v>0.12344078993787289</v>
      </c>
    </row>
    <row r="408" spans="1:11" x14ac:dyDescent="0.25">
      <c r="A408" t="str">
        <f t="shared" si="24"/>
        <v>82018</v>
      </c>
      <c r="B408" s="1">
        <v>43332</v>
      </c>
      <c r="C408" t="s">
        <v>269</v>
      </c>
      <c r="D408">
        <v>15033.65</v>
      </c>
      <c r="E408">
        <v>15054.1</v>
      </c>
      <c r="F408">
        <v>14946.55</v>
      </c>
      <c r="G408">
        <v>14996.1</v>
      </c>
      <c r="H408">
        <v>0</v>
      </c>
      <c r="I408" s="8">
        <f t="shared" si="25"/>
        <v>-8.6140786968478267E-3</v>
      </c>
      <c r="J408" s="8">
        <f t="shared" si="26"/>
        <v>-8.6513943204298473E-3</v>
      </c>
      <c r="K408" s="8">
        <f t="shared" si="23"/>
        <v>8.8590779415927967E-2</v>
      </c>
    </row>
    <row r="409" spans="1:11" x14ac:dyDescent="0.25">
      <c r="A409" t="str">
        <f t="shared" si="24"/>
        <v>82018</v>
      </c>
      <c r="B409" s="1">
        <v>43333</v>
      </c>
      <c r="C409" t="s">
        <v>270</v>
      </c>
      <c r="D409">
        <v>15072.45</v>
      </c>
      <c r="E409">
        <v>15183.25</v>
      </c>
      <c r="F409">
        <v>15041.85</v>
      </c>
      <c r="G409">
        <v>15134.65</v>
      </c>
      <c r="H409">
        <v>0</v>
      </c>
      <c r="I409" s="8">
        <f t="shared" si="25"/>
        <v>9.2390688245609365E-3</v>
      </c>
      <c r="J409" s="8">
        <f t="shared" si="26"/>
        <v>9.196649703464831E-3</v>
      </c>
      <c r="K409" s="8">
        <f t="shared" si="23"/>
        <v>9.971407499445939E-2</v>
      </c>
    </row>
    <row r="410" spans="1:11" x14ac:dyDescent="0.25">
      <c r="A410" t="str">
        <f t="shared" si="24"/>
        <v>82018</v>
      </c>
      <c r="B410" s="1">
        <v>43335</v>
      </c>
      <c r="C410" t="s">
        <v>271</v>
      </c>
      <c r="D410">
        <v>15195</v>
      </c>
      <c r="E410">
        <v>15361.4</v>
      </c>
      <c r="F410">
        <v>15185.25</v>
      </c>
      <c r="G410">
        <v>15321.95</v>
      </c>
      <c r="H410">
        <v>0</v>
      </c>
      <c r="I410" s="8">
        <f t="shared" si="25"/>
        <v>1.2375575252814075E-2</v>
      </c>
      <c r="J410" s="8">
        <f t="shared" si="26"/>
        <v>1.2299623807933693E-2</v>
      </c>
      <c r="K410" s="8">
        <f t="shared" si="23"/>
        <v>0.13515265563762724</v>
      </c>
    </row>
    <row r="411" spans="1:11" x14ac:dyDescent="0.25">
      <c r="A411" t="str">
        <f t="shared" si="24"/>
        <v>82018</v>
      </c>
      <c r="B411" s="1">
        <v>43336</v>
      </c>
      <c r="C411" t="s">
        <v>272</v>
      </c>
      <c r="D411">
        <v>15337.9</v>
      </c>
      <c r="E411">
        <v>15410.2</v>
      </c>
      <c r="F411">
        <v>15239.35</v>
      </c>
      <c r="G411">
        <v>15260.05</v>
      </c>
      <c r="H411">
        <v>0</v>
      </c>
      <c r="I411" s="8">
        <f t="shared" si="25"/>
        <v>-4.0399557497577954E-3</v>
      </c>
      <c r="J411" s="8">
        <f t="shared" si="26"/>
        <v>-4.0481384168319368E-3</v>
      </c>
      <c r="K411" s="8">
        <f t="shared" si="23"/>
        <v>0.12528528395662586</v>
      </c>
    </row>
    <row r="412" spans="1:11" x14ac:dyDescent="0.25">
      <c r="A412" t="str">
        <f t="shared" si="24"/>
        <v>82018</v>
      </c>
      <c r="B412" s="1">
        <v>43339</v>
      </c>
      <c r="C412" t="s">
        <v>273</v>
      </c>
      <c r="D412">
        <v>15285.1</v>
      </c>
      <c r="E412">
        <v>15539.65</v>
      </c>
      <c r="F412">
        <v>15274.35</v>
      </c>
      <c r="G412">
        <v>15514.95</v>
      </c>
      <c r="H412">
        <v>0</v>
      </c>
      <c r="I412" s="8">
        <f t="shared" si="25"/>
        <v>1.6703746055878099E-2</v>
      </c>
      <c r="J412" s="8">
        <f t="shared" si="26"/>
        <v>1.6565772816512371E-2</v>
      </c>
      <c r="K412" s="8">
        <f t="shared" si="23"/>
        <v>0.14436445709818035</v>
      </c>
    </row>
    <row r="413" spans="1:11" x14ac:dyDescent="0.25">
      <c r="A413" t="str">
        <f t="shared" si="24"/>
        <v>82018</v>
      </c>
      <c r="B413" s="1">
        <v>43340</v>
      </c>
      <c r="C413" t="s">
        <v>274</v>
      </c>
      <c r="D413">
        <v>15546.5</v>
      </c>
      <c r="E413">
        <v>15641.4</v>
      </c>
      <c r="F413">
        <v>15528.4</v>
      </c>
      <c r="G413">
        <v>15583.05</v>
      </c>
      <c r="H413">
        <v>0</v>
      </c>
      <c r="I413" s="8">
        <f t="shared" si="25"/>
        <v>4.3893148221552103E-3</v>
      </c>
      <c r="J413" s="8">
        <f t="shared" si="26"/>
        <v>4.379709875683948E-3</v>
      </c>
      <c r="K413" s="8">
        <f t="shared" si="23"/>
        <v>0.14027879408751631</v>
      </c>
    </row>
    <row r="414" spans="1:11" x14ac:dyDescent="0.25">
      <c r="A414" t="str">
        <f t="shared" si="24"/>
        <v>82018</v>
      </c>
      <c r="B414" s="1">
        <v>43341</v>
      </c>
      <c r="C414" t="s">
        <v>275</v>
      </c>
      <c r="D414">
        <v>15617</v>
      </c>
      <c r="E414">
        <v>15621.9</v>
      </c>
      <c r="F414">
        <v>15439.45</v>
      </c>
      <c r="G414">
        <v>15524.95</v>
      </c>
      <c r="H414">
        <v>0</v>
      </c>
      <c r="I414" s="8">
        <f t="shared" si="25"/>
        <v>-3.728410035262586E-3</v>
      </c>
      <c r="J414" s="8">
        <f t="shared" si="26"/>
        <v>-3.7353778806731323E-3</v>
      </c>
      <c r="K414" s="8">
        <f t="shared" si="23"/>
        <v>0.14503025766029576</v>
      </c>
    </row>
    <row r="415" spans="1:11" x14ac:dyDescent="0.25">
      <c r="A415" t="str">
        <f t="shared" si="24"/>
        <v>82018</v>
      </c>
      <c r="B415" s="1">
        <v>43342</v>
      </c>
      <c r="C415" t="s">
        <v>276</v>
      </c>
      <c r="D415">
        <v>15519.6</v>
      </c>
      <c r="E415">
        <v>15576.65</v>
      </c>
      <c r="F415">
        <v>15428.1</v>
      </c>
      <c r="G415">
        <v>15529.85</v>
      </c>
      <c r="H415">
        <v>0</v>
      </c>
      <c r="I415" s="8">
        <f t="shared" si="25"/>
        <v>3.1562098428650209E-4</v>
      </c>
      <c r="J415" s="8">
        <f t="shared" si="26"/>
        <v>3.1557118646152456E-4</v>
      </c>
      <c r="K415" s="8">
        <f t="shared" si="23"/>
        <v>0.14231230369765568</v>
      </c>
    </row>
    <row r="416" spans="1:11" x14ac:dyDescent="0.25">
      <c r="A416" t="str">
        <f t="shared" si="24"/>
        <v>82018</v>
      </c>
      <c r="B416" s="1">
        <v>43343</v>
      </c>
      <c r="C416" t="s">
        <v>277</v>
      </c>
      <c r="D416">
        <v>15575.95</v>
      </c>
      <c r="E416">
        <v>15833.65</v>
      </c>
      <c r="F416">
        <v>15567.5</v>
      </c>
      <c r="G416">
        <v>15811.4</v>
      </c>
      <c r="H416">
        <v>0</v>
      </c>
      <c r="I416" s="8">
        <f t="shared" si="25"/>
        <v>1.8129602024488323E-2</v>
      </c>
      <c r="J416" s="8">
        <f t="shared" si="26"/>
        <v>1.7967220461674111E-2</v>
      </c>
      <c r="K416" s="8">
        <f t="shared" si="23"/>
        <v>0.17917204244941787</v>
      </c>
    </row>
    <row r="417" spans="1:11" x14ac:dyDescent="0.25">
      <c r="A417" t="str">
        <f t="shared" si="24"/>
        <v>92018</v>
      </c>
      <c r="B417" s="1">
        <v>43346</v>
      </c>
      <c r="C417" s="10">
        <v>43168.645833333336</v>
      </c>
      <c r="D417">
        <v>16013.05</v>
      </c>
      <c r="E417">
        <v>16048.25</v>
      </c>
      <c r="F417">
        <v>15703</v>
      </c>
      <c r="G417">
        <v>15724.7</v>
      </c>
      <c r="H417">
        <v>0</v>
      </c>
      <c r="I417" s="8">
        <f t="shared" si="25"/>
        <v>-5.4833854054668896E-3</v>
      </c>
      <c r="J417" s="8">
        <f t="shared" si="26"/>
        <v>-5.4984743474877805E-3</v>
      </c>
      <c r="K417" s="8">
        <f t="shared" si="23"/>
        <v>0.16231299154396561</v>
      </c>
    </row>
    <row r="418" spans="1:11" x14ac:dyDescent="0.25">
      <c r="A418" t="str">
        <f t="shared" si="24"/>
        <v>92018</v>
      </c>
      <c r="B418" s="1">
        <v>43347</v>
      </c>
      <c r="C418" s="10">
        <v>43199.645833333336</v>
      </c>
      <c r="D418">
        <v>15799.35</v>
      </c>
      <c r="E418">
        <v>16094.05</v>
      </c>
      <c r="F418">
        <v>15783.55</v>
      </c>
      <c r="G418">
        <v>16048.7</v>
      </c>
      <c r="H418">
        <v>0</v>
      </c>
      <c r="I418" s="8">
        <f t="shared" si="25"/>
        <v>2.0604526636438303E-2</v>
      </c>
      <c r="J418" s="8">
        <f t="shared" si="26"/>
        <v>2.0395124907777045E-2</v>
      </c>
      <c r="K418" s="8">
        <f t="shared" si="23"/>
        <v>0.17282908559422672</v>
      </c>
    </row>
    <row r="419" spans="1:11" x14ac:dyDescent="0.25">
      <c r="A419" t="str">
        <f t="shared" si="24"/>
        <v>92018</v>
      </c>
      <c r="B419" s="1">
        <v>43348</v>
      </c>
      <c r="C419" s="10">
        <v>43229.645833333336</v>
      </c>
      <c r="D419">
        <v>16088.7</v>
      </c>
      <c r="E419">
        <v>16124.6</v>
      </c>
      <c r="F419">
        <v>15976.45</v>
      </c>
      <c r="G419">
        <v>16039.9</v>
      </c>
      <c r="H419">
        <v>0</v>
      </c>
      <c r="I419" s="8">
        <f t="shared" si="25"/>
        <v>-5.4833101746565305E-4</v>
      </c>
      <c r="J419" s="8">
        <f t="shared" si="26"/>
        <v>-5.4848140589561722E-4</v>
      </c>
      <c r="K419" s="8">
        <f t="shared" si="23"/>
        <v>0.16486078229168188</v>
      </c>
    </row>
    <row r="420" spans="1:11" x14ac:dyDescent="0.25">
      <c r="A420" t="str">
        <f t="shared" si="24"/>
        <v>92018</v>
      </c>
      <c r="B420" s="1">
        <v>43349</v>
      </c>
      <c r="C420" s="10">
        <v>43260.645833333336</v>
      </c>
      <c r="D420">
        <v>16047.95</v>
      </c>
      <c r="E420">
        <v>16121.5</v>
      </c>
      <c r="F420">
        <v>15932.65</v>
      </c>
      <c r="G420">
        <v>16081.65</v>
      </c>
      <c r="H420">
        <v>0</v>
      </c>
      <c r="I420" s="8">
        <f t="shared" si="25"/>
        <v>2.6028840578806722E-3</v>
      </c>
      <c r="J420" s="8">
        <f t="shared" si="26"/>
        <v>2.5995024219044884E-3</v>
      </c>
      <c r="K420" s="8">
        <f t="shared" si="23"/>
        <v>0.16744343053770927</v>
      </c>
    </row>
    <row r="421" spans="1:11" x14ac:dyDescent="0.25">
      <c r="A421" t="str">
        <f t="shared" si="24"/>
        <v>92018</v>
      </c>
      <c r="B421" s="1">
        <v>43350</v>
      </c>
      <c r="C421" s="10">
        <v>43290.645833333336</v>
      </c>
      <c r="D421">
        <v>16126.25</v>
      </c>
      <c r="E421">
        <v>16130.6</v>
      </c>
      <c r="F421">
        <v>15975</v>
      </c>
      <c r="G421">
        <v>16104.8</v>
      </c>
      <c r="H421">
        <v>0</v>
      </c>
      <c r="I421" s="8">
        <f t="shared" si="25"/>
        <v>1.4395289040614045E-3</v>
      </c>
      <c r="J421" s="8">
        <f t="shared" si="26"/>
        <v>1.438493775607732E-3</v>
      </c>
      <c r="K421" s="8">
        <f t="shared" si="23"/>
        <v>0.16197505745011664</v>
      </c>
    </row>
    <row r="422" spans="1:11" x14ac:dyDescent="0.25">
      <c r="A422" t="str">
        <f t="shared" si="24"/>
        <v>92018</v>
      </c>
      <c r="B422" s="1">
        <v>43353</v>
      </c>
      <c r="C422" s="10">
        <v>43382.645833333336</v>
      </c>
      <c r="D422">
        <v>16150.65</v>
      </c>
      <c r="E422">
        <v>16229.85</v>
      </c>
      <c r="F422">
        <v>16085.5</v>
      </c>
      <c r="G422">
        <v>16105.3</v>
      </c>
      <c r="H422">
        <v>0</v>
      </c>
      <c r="I422" s="8">
        <f t="shared" si="25"/>
        <v>3.1046644478616159E-5</v>
      </c>
      <c r="J422" s="8">
        <f t="shared" si="26"/>
        <v>3.1046162541524464E-5</v>
      </c>
      <c r="K422" s="8">
        <f t="shared" si="23"/>
        <v>0.14757929764182376</v>
      </c>
    </row>
    <row r="423" spans="1:11" x14ac:dyDescent="0.25">
      <c r="A423" t="str">
        <f t="shared" si="24"/>
        <v>92018</v>
      </c>
      <c r="B423" s="1">
        <v>43354</v>
      </c>
      <c r="C423" s="10">
        <v>43413.645833333336</v>
      </c>
      <c r="D423">
        <v>16182</v>
      </c>
      <c r="E423">
        <v>16217.75</v>
      </c>
      <c r="F423">
        <v>15970.1</v>
      </c>
      <c r="G423">
        <v>15993.2</v>
      </c>
      <c r="H423">
        <v>0</v>
      </c>
      <c r="I423" s="8">
        <f t="shared" si="25"/>
        <v>-6.9604415937609687E-3</v>
      </c>
      <c r="J423" s="8">
        <f t="shared" si="26"/>
        <v>-6.9847784633385191E-3</v>
      </c>
      <c r="K423" s="8">
        <f t="shared" si="23"/>
        <v>0.15679835664790898</v>
      </c>
    </row>
    <row r="424" spans="1:11" x14ac:dyDescent="0.25">
      <c r="A424" t="str">
        <f t="shared" si="24"/>
        <v>92018</v>
      </c>
      <c r="B424" s="1">
        <v>43355</v>
      </c>
      <c r="C424" s="10">
        <v>43443.645833333336</v>
      </c>
      <c r="D424">
        <v>16092.1</v>
      </c>
      <c r="E424">
        <v>16124.55</v>
      </c>
      <c r="F424">
        <v>15977.85</v>
      </c>
      <c r="G424">
        <v>16054.05</v>
      </c>
      <c r="H424">
        <v>0</v>
      </c>
      <c r="I424" s="8">
        <f t="shared" si="25"/>
        <v>3.8047420153564104E-3</v>
      </c>
      <c r="J424" s="8">
        <f t="shared" si="26"/>
        <v>3.7975222914514209E-3</v>
      </c>
      <c r="K424" s="8">
        <f t="shared" si="23"/>
        <v>0.13685160924830919</v>
      </c>
    </row>
    <row r="425" spans="1:11" x14ac:dyDescent="0.25">
      <c r="A425" t="str">
        <f t="shared" si="24"/>
        <v>92018</v>
      </c>
      <c r="B425" s="1">
        <v>43357</v>
      </c>
      <c r="C425" t="s">
        <v>278</v>
      </c>
      <c r="D425">
        <v>16046.4</v>
      </c>
      <c r="E425">
        <v>16104.05</v>
      </c>
      <c r="F425">
        <v>15843.6</v>
      </c>
      <c r="G425">
        <v>16072.5</v>
      </c>
      <c r="H425">
        <v>0</v>
      </c>
      <c r="I425" s="8">
        <f t="shared" si="25"/>
        <v>1.1492427144552675E-3</v>
      </c>
      <c r="J425" s="8">
        <f t="shared" si="26"/>
        <v>1.1485828405686854E-3</v>
      </c>
      <c r="K425" s="8">
        <f t="shared" si="23"/>
        <v>0.14605467691561724</v>
      </c>
    </row>
    <row r="426" spans="1:11" x14ac:dyDescent="0.25">
      <c r="A426" t="str">
        <f t="shared" si="24"/>
        <v>92018</v>
      </c>
      <c r="B426" s="1">
        <v>43360</v>
      </c>
      <c r="C426" t="s">
        <v>279</v>
      </c>
      <c r="D426">
        <v>16096.4</v>
      </c>
      <c r="E426">
        <v>16207.5</v>
      </c>
      <c r="F426">
        <v>16080.75</v>
      </c>
      <c r="G426">
        <v>16119.8</v>
      </c>
      <c r="H426">
        <v>0</v>
      </c>
      <c r="I426" s="8">
        <f t="shared" si="25"/>
        <v>2.9429149167832236E-3</v>
      </c>
      <c r="J426" s="8">
        <f t="shared" si="26"/>
        <v>2.9385930199197752E-3</v>
      </c>
      <c r="K426" s="8">
        <f t="shared" si="23"/>
        <v>0.16393069760893031</v>
      </c>
    </row>
    <row r="427" spans="1:11" x14ac:dyDescent="0.25">
      <c r="A427" t="str">
        <f t="shared" si="24"/>
        <v>92018</v>
      </c>
      <c r="B427" s="1">
        <v>43361</v>
      </c>
      <c r="C427" t="s">
        <v>280</v>
      </c>
      <c r="D427">
        <v>16152.85</v>
      </c>
      <c r="E427">
        <v>16152.85</v>
      </c>
      <c r="F427">
        <v>16003.2</v>
      </c>
      <c r="G427">
        <v>16031</v>
      </c>
      <c r="H427">
        <v>0</v>
      </c>
      <c r="I427" s="8">
        <f t="shared" si="25"/>
        <v>-5.5087532103375025E-3</v>
      </c>
      <c r="J427" s="8">
        <f t="shared" si="26"/>
        <v>-5.5239823460879814E-3</v>
      </c>
      <c r="K427" s="8">
        <f t="shared" si="23"/>
        <v>0.16074984251569413</v>
      </c>
    </row>
    <row r="428" spans="1:11" x14ac:dyDescent="0.25">
      <c r="A428" t="str">
        <f t="shared" si="24"/>
        <v>92018</v>
      </c>
      <c r="B428" s="1">
        <v>43362</v>
      </c>
      <c r="C428" t="s">
        <v>281</v>
      </c>
      <c r="D428">
        <v>16092.65</v>
      </c>
      <c r="E428">
        <v>16115.15</v>
      </c>
      <c r="F428">
        <v>15982.05</v>
      </c>
      <c r="G428">
        <v>16063.95</v>
      </c>
      <c r="H428">
        <v>0</v>
      </c>
      <c r="I428" s="8">
        <f t="shared" si="25"/>
        <v>2.0553926766888608E-3</v>
      </c>
      <c r="J428" s="8">
        <f t="shared" si="26"/>
        <v>2.0532832471373236E-3</v>
      </c>
      <c r="K428" s="8">
        <f t="shared" si="23"/>
        <v>0.16644640821394607</v>
      </c>
    </row>
    <row r="429" spans="1:11" x14ac:dyDescent="0.25">
      <c r="A429" t="str">
        <f t="shared" si="24"/>
        <v>92018</v>
      </c>
      <c r="B429" s="1">
        <v>43364</v>
      </c>
      <c r="C429" t="s">
        <v>282</v>
      </c>
      <c r="D429">
        <v>16023.65</v>
      </c>
      <c r="E429">
        <v>16047.2</v>
      </c>
      <c r="F429">
        <v>15579.95</v>
      </c>
      <c r="G429">
        <v>15833.5</v>
      </c>
      <c r="H429">
        <v>0</v>
      </c>
      <c r="I429" s="8">
        <f t="shared" si="25"/>
        <v>-1.4345786683848005E-2</v>
      </c>
      <c r="J429" s="8">
        <f t="shared" si="26"/>
        <v>-1.4449682321799877E-2</v>
      </c>
      <c r="K429" s="8">
        <f t="shared" si="23"/>
        <v>0.14926218144602266</v>
      </c>
    </row>
    <row r="430" spans="1:11" x14ac:dyDescent="0.25">
      <c r="A430" t="str">
        <f t="shared" si="24"/>
        <v>92018</v>
      </c>
      <c r="B430" s="1">
        <v>43367</v>
      </c>
      <c r="C430" t="s">
        <v>283</v>
      </c>
      <c r="D430">
        <v>15862.4</v>
      </c>
      <c r="E430">
        <v>16235.05</v>
      </c>
      <c r="F430">
        <v>15820.65</v>
      </c>
      <c r="G430">
        <v>16175.3</v>
      </c>
      <c r="H430">
        <v>0</v>
      </c>
      <c r="I430" s="8">
        <f t="shared" si="25"/>
        <v>2.1587141187987546E-2</v>
      </c>
      <c r="J430" s="8">
        <f t="shared" si="26"/>
        <v>2.135743872274334E-2</v>
      </c>
      <c r="K430" s="8">
        <f t="shared" si="23"/>
        <v>0.16661137235669154</v>
      </c>
    </row>
    <row r="431" spans="1:11" x14ac:dyDescent="0.25">
      <c r="A431" t="str">
        <f t="shared" si="24"/>
        <v>92018</v>
      </c>
      <c r="B431" s="1">
        <v>43368</v>
      </c>
      <c r="C431" t="s">
        <v>284</v>
      </c>
      <c r="D431">
        <v>16207</v>
      </c>
      <c r="E431">
        <v>16360.6</v>
      </c>
      <c r="F431">
        <v>16081.9</v>
      </c>
      <c r="G431">
        <v>16234.9</v>
      </c>
      <c r="H431">
        <v>0</v>
      </c>
      <c r="I431" s="8">
        <f t="shared" si="25"/>
        <v>3.6846302696085242E-3</v>
      </c>
      <c r="J431" s="8">
        <f t="shared" si="26"/>
        <v>3.6778586483463024E-3</v>
      </c>
      <c r="K431" s="8">
        <f t="shared" si="23"/>
        <v>0.16433463621042055</v>
      </c>
    </row>
    <row r="432" spans="1:11" x14ac:dyDescent="0.25">
      <c r="A432" t="str">
        <f t="shared" si="24"/>
        <v>92018</v>
      </c>
      <c r="B432" s="1">
        <v>43369</v>
      </c>
      <c r="C432" t="s">
        <v>285</v>
      </c>
      <c r="D432">
        <v>16285.75</v>
      </c>
      <c r="E432">
        <v>16292.3</v>
      </c>
      <c r="F432">
        <v>15877.9</v>
      </c>
      <c r="G432">
        <v>15932.45</v>
      </c>
      <c r="H432">
        <v>0</v>
      </c>
      <c r="I432" s="8">
        <f t="shared" si="25"/>
        <v>-1.8629618907415435E-2</v>
      </c>
      <c r="J432" s="8">
        <f t="shared" si="26"/>
        <v>-1.880533604202345E-2</v>
      </c>
      <c r="K432" s="8">
        <f t="shared" si="23"/>
        <v>0.1365384066655253</v>
      </c>
    </row>
    <row r="433" spans="1:11" x14ac:dyDescent="0.25">
      <c r="A433" t="str">
        <f t="shared" si="24"/>
        <v>92018</v>
      </c>
      <c r="B433" s="1">
        <v>43370</v>
      </c>
      <c r="C433" t="s">
        <v>286</v>
      </c>
      <c r="D433">
        <v>15979.5</v>
      </c>
      <c r="E433">
        <v>16094.05</v>
      </c>
      <c r="F433">
        <v>15943.9</v>
      </c>
      <c r="G433">
        <v>16018</v>
      </c>
      <c r="H433">
        <v>0</v>
      </c>
      <c r="I433" s="8">
        <f t="shared" si="25"/>
        <v>5.3695445458796787E-3</v>
      </c>
      <c r="J433" s="8">
        <f t="shared" si="26"/>
        <v>5.3551799395503818E-3</v>
      </c>
      <c r="K433" s="8">
        <f t="shared" si="23"/>
        <v>0.1545503034496678</v>
      </c>
    </row>
    <row r="434" spans="1:11" x14ac:dyDescent="0.25">
      <c r="A434" t="str">
        <f t="shared" si="24"/>
        <v>92018</v>
      </c>
      <c r="B434" s="1">
        <v>43371</v>
      </c>
      <c r="C434" t="s">
        <v>287</v>
      </c>
      <c r="D434">
        <v>15932.1</v>
      </c>
      <c r="E434">
        <v>15972</v>
      </c>
      <c r="F434">
        <v>15734.95</v>
      </c>
      <c r="G434">
        <v>15838.05</v>
      </c>
      <c r="H434">
        <v>0</v>
      </c>
      <c r="I434" s="8">
        <f t="shared" si="25"/>
        <v>-1.1234236483955606E-2</v>
      </c>
      <c r="J434" s="8">
        <f t="shared" si="26"/>
        <v>-1.1297817153989873E-2</v>
      </c>
      <c r="K434" s="8">
        <f t="shared" si="23"/>
        <v>0.13213838950641543</v>
      </c>
    </row>
    <row r="435" spans="1:11" x14ac:dyDescent="0.25">
      <c r="A435" t="str">
        <f t="shared" si="24"/>
        <v>102018</v>
      </c>
      <c r="B435" s="1">
        <v>43374</v>
      </c>
      <c r="C435" s="10">
        <v>43110.645833333336</v>
      </c>
      <c r="D435">
        <v>15897.1</v>
      </c>
      <c r="E435">
        <v>16282.05</v>
      </c>
      <c r="F435">
        <v>15861.5</v>
      </c>
      <c r="G435">
        <v>16213.6</v>
      </c>
      <c r="H435">
        <v>0</v>
      </c>
      <c r="I435" s="8">
        <f t="shared" si="25"/>
        <v>2.3711883723059435E-2</v>
      </c>
      <c r="J435" s="8">
        <f t="shared" si="26"/>
        <v>2.3435123475465836E-2</v>
      </c>
      <c r="K435" s="8">
        <f t="shared" si="23"/>
        <v>0.15216418069540882</v>
      </c>
    </row>
    <row r="436" spans="1:11" x14ac:dyDescent="0.25">
      <c r="A436" t="str">
        <f t="shared" si="24"/>
        <v>102018</v>
      </c>
      <c r="B436" s="1">
        <v>43376</v>
      </c>
      <c r="C436" s="10">
        <v>43169.645833333336</v>
      </c>
      <c r="D436">
        <v>16208.75</v>
      </c>
      <c r="E436">
        <v>16278</v>
      </c>
      <c r="F436">
        <v>15874.25</v>
      </c>
      <c r="G436">
        <v>15909.8</v>
      </c>
      <c r="H436">
        <v>0</v>
      </c>
      <c r="I436" s="8">
        <f t="shared" si="25"/>
        <v>-1.8737356293482055E-2</v>
      </c>
      <c r="J436" s="8">
        <f t="shared" si="26"/>
        <v>-1.8915124662528156E-2</v>
      </c>
      <c r="K436" s="8">
        <f t="shared" si="23"/>
        <v>0.11863203152739832</v>
      </c>
    </row>
    <row r="437" spans="1:11" x14ac:dyDescent="0.25">
      <c r="A437" t="str">
        <f t="shared" si="24"/>
        <v>102018</v>
      </c>
      <c r="B437" s="1">
        <v>43377</v>
      </c>
      <c r="C437" s="10">
        <v>43200.645833333336</v>
      </c>
      <c r="D437">
        <v>15835.2</v>
      </c>
      <c r="E437">
        <v>15835.2</v>
      </c>
      <c r="F437">
        <v>15403.9</v>
      </c>
      <c r="G437">
        <v>15441.1</v>
      </c>
      <c r="H437">
        <v>0</v>
      </c>
      <c r="I437" s="8">
        <f t="shared" si="25"/>
        <v>-2.9459829790443592E-2</v>
      </c>
      <c r="J437" s="8">
        <f t="shared" si="26"/>
        <v>-2.9902485978191399E-2</v>
      </c>
      <c r="K437" s="8">
        <f t="shared" si="23"/>
        <v>9.3086226608099176E-2</v>
      </c>
    </row>
    <row r="438" spans="1:11" x14ac:dyDescent="0.25">
      <c r="A438" t="str">
        <f t="shared" si="24"/>
        <v>102018</v>
      </c>
      <c r="B438" s="1">
        <v>43378</v>
      </c>
      <c r="C438" s="10">
        <v>43230.645833333336</v>
      </c>
      <c r="D438">
        <v>15416.9</v>
      </c>
      <c r="E438">
        <v>15710</v>
      </c>
      <c r="F438">
        <v>15265.65</v>
      </c>
      <c r="G438">
        <v>15591.65</v>
      </c>
      <c r="H438">
        <v>0</v>
      </c>
      <c r="I438" s="8">
        <f t="shared" si="25"/>
        <v>9.7499530473865725E-3</v>
      </c>
      <c r="J438" s="8">
        <f t="shared" si="26"/>
        <v>9.7027289621383333E-3</v>
      </c>
      <c r="K438" s="8">
        <f t="shared" si="23"/>
        <v>0.11604094341648463</v>
      </c>
    </row>
    <row r="439" spans="1:11" x14ac:dyDescent="0.25">
      <c r="A439" t="str">
        <f t="shared" si="24"/>
        <v>102018</v>
      </c>
      <c r="B439" s="1">
        <v>43381</v>
      </c>
      <c r="C439" s="10">
        <v>43322.645833333336</v>
      </c>
      <c r="D439">
        <v>15538.2</v>
      </c>
      <c r="E439">
        <v>15644.2</v>
      </c>
      <c r="F439">
        <v>15198.25</v>
      </c>
      <c r="G439">
        <v>15305.2</v>
      </c>
      <c r="H439">
        <v>0</v>
      </c>
      <c r="I439" s="8">
        <f t="shared" si="25"/>
        <v>-1.8372013225027461E-2</v>
      </c>
      <c r="J439" s="8">
        <f t="shared" si="26"/>
        <v>-1.8542874607430815E-2</v>
      </c>
      <c r="K439" s="8">
        <f t="shared" si="23"/>
        <v>9.1984489099918409E-2</v>
      </c>
    </row>
    <row r="440" spans="1:11" x14ac:dyDescent="0.25">
      <c r="A440" t="str">
        <f t="shared" si="24"/>
        <v>102018</v>
      </c>
      <c r="B440" s="1">
        <v>43382</v>
      </c>
      <c r="C440" s="10">
        <v>43353.645833333336</v>
      </c>
      <c r="D440">
        <v>15305.15</v>
      </c>
      <c r="E440">
        <v>15429.95</v>
      </c>
      <c r="F440">
        <v>15137.75</v>
      </c>
      <c r="G440">
        <v>15369.8</v>
      </c>
      <c r="H440">
        <v>0</v>
      </c>
      <c r="I440" s="8">
        <f t="shared" si="25"/>
        <v>4.2207877061390953E-3</v>
      </c>
      <c r="J440" s="8">
        <f t="shared" si="26"/>
        <v>4.2119051671450037E-3</v>
      </c>
      <c r="K440" s="8">
        <f t="shared" si="23"/>
        <v>8.9372982206203933E-2</v>
      </c>
    </row>
    <row r="441" spans="1:11" x14ac:dyDescent="0.25">
      <c r="A441" t="str">
        <f t="shared" si="24"/>
        <v>102018</v>
      </c>
      <c r="B441" s="1">
        <v>43383</v>
      </c>
      <c r="C441" s="10">
        <v>43383.645833333336</v>
      </c>
      <c r="D441">
        <v>15356.3</v>
      </c>
      <c r="E441">
        <v>15380.85</v>
      </c>
      <c r="F441">
        <v>15053.3</v>
      </c>
      <c r="G441">
        <v>15143.2</v>
      </c>
      <c r="H441">
        <v>0</v>
      </c>
      <c r="I441" s="8">
        <f t="shared" si="25"/>
        <v>-1.4743197699384369E-2</v>
      </c>
      <c r="J441" s="8">
        <f t="shared" si="26"/>
        <v>-1.4852958794226488E-2</v>
      </c>
      <c r="K441" s="8">
        <f t="shared" si="23"/>
        <v>6.4716739027262715E-2</v>
      </c>
    </row>
    <row r="442" spans="1:11" x14ac:dyDescent="0.25">
      <c r="A442" t="str">
        <f t="shared" si="24"/>
        <v>102018</v>
      </c>
      <c r="B442" s="1">
        <v>43384</v>
      </c>
      <c r="C442" s="10">
        <v>43414.645833333336</v>
      </c>
      <c r="D442">
        <v>14721.1</v>
      </c>
      <c r="E442">
        <v>14890.65</v>
      </c>
      <c r="F442">
        <v>14554.25</v>
      </c>
      <c r="G442">
        <v>14683</v>
      </c>
      <c r="H442">
        <v>0</v>
      </c>
      <c r="I442" s="8">
        <f t="shared" si="25"/>
        <v>-3.0389877965027234E-2</v>
      </c>
      <c r="J442" s="8">
        <f t="shared" si="26"/>
        <v>-3.086122432907221E-2</v>
      </c>
      <c r="K442" s="8">
        <f t="shared" si="23"/>
        <v>1.0081553611782645E-2</v>
      </c>
    </row>
    <row r="443" spans="1:11" x14ac:dyDescent="0.25">
      <c r="A443" t="str">
        <f t="shared" si="24"/>
        <v>102018</v>
      </c>
      <c r="B443" s="1">
        <v>43385</v>
      </c>
      <c r="C443" s="10">
        <v>43444.645833333336</v>
      </c>
      <c r="D443">
        <v>14701.85</v>
      </c>
      <c r="E443">
        <v>14721.95</v>
      </c>
      <c r="F443">
        <v>14408.45</v>
      </c>
      <c r="G443">
        <v>14539.2</v>
      </c>
      <c r="H443">
        <v>0</v>
      </c>
      <c r="I443" s="8">
        <f t="shared" si="25"/>
        <v>-9.7936389021316961E-3</v>
      </c>
      <c r="J443" s="8">
        <f t="shared" si="26"/>
        <v>-9.8419120218549982E-3</v>
      </c>
      <c r="K443" s="8">
        <f t="shared" si="23"/>
        <v>1.6223868721001455E-3</v>
      </c>
    </row>
    <row r="444" spans="1:11" x14ac:dyDescent="0.25">
      <c r="A444" t="str">
        <f t="shared" si="24"/>
        <v>102018</v>
      </c>
      <c r="B444" s="1">
        <v>43388</v>
      </c>
      <c r="C444" t="s">
        <v>288</v>
      </c>
      <c r="D444">
        <v>14639.5</v>
      </c>
      <c r="E444">
        <v>14846.95</v>
      </c>
      <c r="F444">
        <v>14564.3</v>
      </c>
      <c r="G444">
        <v>14797.2</v>
      </c>
      <c r="H444">
        <v>0</v>
      </c>
      <c r="I444" s="8">
        <f t="shared" si="25"/>
        <v>1.7745130406074505E-2</v>
      </c>
      <c r="J444" s="8">
        <f t="shared" si="26"/>
        <v>1.7589523723402431E-2</v>
      </c>
      <c r="K444" s="8">
        <f t="shared" si="23"/>
        <v>1.8046219788233842E-2</v>
      </c>
    </row>
    <row r="445" spans="1:11" x14ac:dyDescent="0.25">
      <c r="A445" t="str">
        <f t="shared" si="24"/>
        <v>102018</v>
      </c>
      <c r="B445" s="1">
        <v>43389</v>
      </c>
      <c r="C445" t="s">
        <v>289</v>
      </c>
      <c r="D445">
        <v>14876.05</v>
      </c>
      <c r="E445">
        <v>14975.55</v>
      </c>
      <c r="F445">
        <v>14743.9</v>
      </c>
      <c r="G445">
        <v>14887.35</v>
      </c>
      <c r="H445">
        <v>0</v>
      </c>
      <c r="I445" s="8">
        <f t="shared" si="25"/>
        <v>6.0923688265346332E-3</v>
      </c>
      <c r="J445" s="8">
        <f t="shared" si="26"/>
        <v>6.0738853815608543E-3</v>
      </c>
      <c r="K445" s="8">
        <f t="shared" si="23"/>
        <v>1.84921033997969E-2</v>
      </c>
    </row>
    <row r="446" spans="1:11" x14ac:dyDescent="0.25">
      <c r="A446" t="str">
        <f t="shared" si="24"/>
        <v>102018</v>
      </c>
      <c r="B446" s="1">
        <v>43390</v>
      </c>
      <c r="C446" t="s">
        <v>290</v>
      </c>
      <c r="D446">
        <v>15031.05</v>
      </c>
      <c r="E446">
        <v>15190.65</v>
      </c>
      <c r="F446">
        <v>14903.5</v>
      </c>
      <c r="G446">
        <v>14949.6</v>
      </c>
      <c r="H446">
        <v>0</v>
      </c>
      <c r="I446" s="8">
        <f t="shared" si="25"/>
        <v>4.1814023315096538E-3</v>
      </c>
      <c r="J446" s="8">
        <f t="shared" si="26"/>
        <v>4.1726845619994265E-3</v>
      </c>
      <c r="K446" s="8">
        <f t="shared" si="23"/>
        <v>2.2666871889590157E-2</v>
      </c>
    </row>
    <row r="447" spans="1:11" x14ac:dyDescent="0.25">
      <c r="A447" t="str">
        <f t="shared" si="24"/>
        <v>102018</v>
      </c>
      <c r="B447" s="1">
        <v>43392</v>
      </c>
      <c r="C447" t="s">
        <v>291</v>
      </c>
      <c r="D447">
        <v>14776.45</v>
      </c>
      <c r="E447">
        <v>14776.45</v>
      </c>
      <c r="F447">
        <v>14421.65</v>
      </c>
      <c r="G447">
        <v>14476.85</v>
      </c>
      <c r="H447">
        <v>0</v>
      </c>
      <c r="I447" s="8">
        <f t="shared" si="25"/>
        <v>-3.1622919676780659E-2</v>
      </c>
      <c r="J447" s="8">
        <f t="shared" si="26"/>
        <v>-3.2133721770372714E-2</v>
      </c>
      <c r="K447" s="8">
        <f t="shared" si="23"/>
        <v>-1.0583185822563346E-2</v>
      </c>
    </row>
    <row r="448" spans="1:11" x14ac:dyDescent="0.25">
      <c r="A448" t="str">
        <f t="shared" si="24"/>
        <v>102018</v>
      </c>
      <c r="B448" s="1">
        <v>43395</v>
      </c>
      <c r="C448" t="s">
        <v>292</v>
      </c>
      <c r="D448">
        <v>14527.55</v>
      </c>
      <c r="E448">
        <v>14527.55</v>
      </c>
      <c r="F448">
        <v>14299.15</v>
      </c>
      <c r="G448">
        <v>14421.45</v>
      </c>
      <c r="H448">
        <v>0</v>
      </c>
      <c r="I448" s="8">
        <f t="shared" si="25"/>
        <v>-3.8267993382538057E-3</v>
      </c>
      <c r="J448" s="8">
        <f t="shared" si="26"/>
        <v>-3.8341402690053655E-3</v>
      </c>
      <c r="K448" s="8">
        <f t="shared" ref="K448:K511" si="27">+G448/G387-1</f>
        <v>-4.7205457613432866E-3</v>
      </c>
    </row>
    <row r="449" spans="1:11" x14ac:dyDescent="0.25">
      <c r="A449" t="str">
        <f t="shared" si="24"/>
        <v>102018</v>
      </c>
      <c r="B449" s="1">
        <v>43396</v>
      </c>
      <c r="C449" t="s">
        <v>293</v>
      </c>
      <c r="D449">
        <v>14318.95</v>
      </c>
      <c r="E449">
        <v>14406.75</v>
      </c>
      <c r="F449">
        <v>13977.65</v>
      </c>
      <c r="G449">
        <v>14014.7</v>
      </c>
      <c r="H449">
        <v>0</v>
      </c>
      <c r="I449" s="8">
        <f t="shared" si="25"/>
        <v>-2.8204514802603109E-2</v>
      </c>
      <c r="J449" s="8">
        <f t="shared" si="26"/>
        <v>-2.8609902835700363E-2</v>
      </c>
      <c r="K449" s="8">
        <f t="shared" si="27"/>
        <v>-4.6709837158365852E-2</v>
      </c>
    </row>
    <row r="450" spans="1:11" x14ac:dyDescent="0.25">
      <c r="A450" t="str">
        <f t="shared" si="24"/>
        <v>102018</v>
      </c>
      <c r="B450" s="1">
        <v>43397</v>
      </c>
      <c r="C450" t="s">
        <v>294</v>
      </c>
      <c r="D450">
        <v>14125.5</v>
      </c>
      <c r="E450">
        <v>14183.55</v>
      </c>
      <c r="F450">
        <v>13826.3</v>
      </c>
      <c r="G450">
        <v>14049.15</v>
      </c>
      <c r="H450">
        <v>0</v>
      </c>
      <c r="I450" s="8">
        <f t="shared" si="25"/>
        <v>2.4581332458060157E-3</v>
      </c>
      <c r="J450" s="8">
        <f t="shared" si="26"/>
        <v>2.4551169781928737E-3</v>
      </c>
      <c r="K450" s="8">
        <f t="shared" si="27"/>
        <v>-4.3182003922850654E-2</v>
      </c>
    </row>
    <row r="451" spans="1:11" x14ac:dyDescent="0.25">
      <c r="A451" t="str">
        <f t="shared" ref="A451:A514" si="28">+MONTH(B451)&amp;YEAR(B451)</f>
        <v>102018</v>
      </c>
      <c r="B451" s="1">
        <v>43398</v>
      </c>
      <c r="C451" t="s">
        <v>295</v>
      </c>
      <c r="D451">
        <v>13894.8</v>
      </c>
      <c r="E451">
        <v>14179.7</v>
      </c>
      <c r="F451">
        <v>13863.9</v>
      </c>
      <c r="G451">
        <v>14070.8</v>
      </c>
      <c r="H451">
        <v>0</v>
      </c>
      <c r="I451" s="8">
        <f t="shared" si="25"/>
        <v>1.5410184957809214E-3</v>
      </c>
      <c r="J451" s="8">
        <f t="shared" si="26"/>
        <v>1.5398323452090385E-3</v>
      </c>
      <c r="K451" s="8">
        <f t="shared" si="27"/>
        <v>-4.0446266000177311E-2</v>
      </c>
    </row>
    <row r="452" spans="1:11" x14ac:dyDescent="0.25">
      <c r="A452" t="str">
        <f t="shared" si="28"/>
        <v>102018</v>
      </c>
      <c r="B452" s="1">
        <v>43399</v>
      </c>
      <c r="C452" t="s">
        <v>296</v>
      </c>
      <c r="D452">
        <v>14057.05</v>
      </c>
      <c r="E452">
        <v>14070.05</v>
      </c>
      <c r="F452">
        <v>13769.85</v>
      </c>
      <c r="G452">
        <v>13798.6</v>
      </c>
      <c r="H452">
        <v>0</v>
      </c>
      <c r="I452" s="8">
        <f t="shared" ref="I452:I515" si="29">+G452/G451-1</f>
        <v>-1.9345026579867475E-2</v>
      </c>
      <c r="J452" s="8">
        <f t="shared" ref="J452:J515" si="30">+LN(1+I452)</f>
        <v>-1.9534590332761097E-2</v>
      </c>
      <c r="K452" s="8">
        <f t="shared" si="27"/>
        <v>-5.32920307231044E-2</v>
      </c>
    </row>
    <row r="453" spans="1:11" x14ac:dyDescent="0.25">
      <c r="A453" t="str">
        <f t="shared" si="28"/>
        <v>102018</v>
      </c>
      <c r="B453" s="1">
        <v>43402</v>
      </c>
      <c r="C453" t="s">
        <v>297</v>
      </c>
      <c r="D453">
        <v>13837.65</v>
      </c>
      <c r="E453">
        <v>14188</v>
      </c>
      <c r="F453">
        <v>13696.5</v>
      </c>
      <c r="G453">
        <v>14132.65</v>
      </c>
      <c r="H453">
        <v>0</v>
      </c>
      <c r="I453" s="8">
        <f t="shared" si="29"/>
        <v>2.4208977722377512E-2</v>
      </c>
      <c r="J453" s="8">
        <f t="shared" si="30"/>
        <v>2.3920585602874293E-2</v>
      </c>
      <c r="K453" s="8">
        <f t="shared" si="27"/>
        <v>-2.3185490838465328E-2</v>
      </c>
    </row>
    <row r="454" spans="1:11" x14ac:dyDescent="0.25">
      <c r="A454" t="str">
        <f t="shared" si="28"/>
        <v>102018</v>
      </c>
      <c r="B454" s="1">
        <v>43403</v>
      </c>
      <c r="C454" t="s">
        <v>298</v>
      </c>
      <c r="D454">
        <v>14088.25</v>
      </c>
      <c r="E454">
        <v>14437.6</v>
      </c>
      <c r="F454">
        <v>14028.8</v>
      </c>
      <c r="G454">
        <v>14355.85</v>
      </c>
      <c r="H454">
        <v>0</v>
      </c>
      <c r="I454" s="8">
        <f t="shared" si="29"/>
        <v>1.5793216417303357E-2</v>
      </c>
      <c r="J454" s="8">
        <f t="shared" si="30"/>
        <v>1.5669801293505946E-2</v>
      </c>
      <c r="K454" s="8">
        <f t="shared" si="27"/>
        <v>-1.1162082670358564E-2</v>
      </c>
    </row>
    <row r="455" spans="1:11" x14ac:dyDescent="0.25">
      <c r="A455" t="str">
        <f t="shared" si="28"/>
        <v>102018</v>
      </c>
      <c r="B455" s="1">
        <v>43404</v>
      </c>
      <c r="C455" t="s">
        <v>299</v>
      </c>
      <c r="D455">
        <v>14428.7</v>
      </c>
      <c r="E455">
        <v>14994.85</v>
      </c>
      <c r="F455">
        <v>14376.75</v>
      </c>
      <c r="G455">
        <v>14940.1</v>
      </c>
      <c r="H455">
        <v>0</v>
      </c>
      <c r="I455" s="8">
        <f t="shared" si="29"/>
        <v>4.0697694668027307E-2</v>
      </c>
      <c r="J455" s="8">
        <f t="shared" si="30"/>
        <v>3.9891348484847558E-2</v>
      </c>
      <c r="K455" s="8">
        <f t="shared" si="27"/>
        <v>3.6028445516987917E-2</v>
      </c>
    </row>
    <row r="456" spans="1:11" x14ac:dyDescent="0.25">
      <c r="A456" t="str">
        <f t="shared" si="28"/>
        <v>112018</v>
      </c>
      <c r="B456" s="1">
        <v>43405</v>
      </c>
      <c r="C456" s="10">
        <v>43111.645833333336</v>
      </c>
      <c r="D456">
        <v>14991.6</v>
      </c>
      <c r="E456">
        <v>14991.6</v>
      </c>
      <c r="F456">
        <v>14541.2</v>
      </c>
      <c r="G456">
        <v>14622</v>
      </c>
      <c r="H456">
        <v>0</v>
      </c>
      <c r="I456" s="8">
        <f t="shared" si="29"/>
        <v>-2.1291691488008802E-2</v>
      </c>
      <c r="J456" s="8">
        <f t="shared" si="30"/>
        <v>-2.1521629251574501E-2</v>
      </c>
      <c r="K456" s="8">
        <f t="shared" si="27"/>
        <v>2.344424793320421E-3</v>
      </c>
    </row>
    <row r="457" spans="1:11" x14ac:dyDescent="0.25">
      <c r="A457" t="str">
        <f t="shared" si="28"/>
        <v>112018</v>
      </c>
      <c r="B457" s="1">
        <v>43406</v>
      </c>
      <c r="C457" s="10">
        <v>43142.645833333336</v>
      </c>
      <c r="D457">
        <v>14639.05</v>
      </c>
      <c r="E457">
        <v>14780.1</v>
      </c>
      <c r="F457">
        <v>14356.1</v>
      </c>
      <c r="G457">
        <v>14396.7</v>
      </c>
      <c r="H457">
        <v>0</v>
      </c>
      <c r="I457" s="8">
        <f t="shared" si="29"/>
        <v>-1.5408288879770193E-2</v>
      </c>
      <c r="J457" s="8">
        <f t="shared" si="30"/>
        <v>-1.5528230218528876E-2</v>
      </c>
      <c r="K457" s="8">
        <f t="shared" si="27"/>
        <v>-1.9254939762319179E-2</v>
      </c>
    </row>
    <row r="458" spans="1:11" x14ac:dyDescent="0.25">
      <c r="A458" t="str">
        <f t="shared" si="28"/>
        <v>112018</v>
      </c>
      <c r="B458" s="1">
        <v>43409</v>
      </c>
      <c r="C458" s="10">
        <v>43231.791666666664</v>
      </c>
      <c r="D458">
        <v>14377.5</v>
      </c>
      <c r="E458">
        <v>14534.05</v>
      </c>
      <c r="F458">
        <v>14345.25</v>
      </c>
      <c r="G458">
        <v>14471.75</v>
      </c>
      <c r="H458">
        <v>0</v>
      </c>
      <c r="I458" s="8">
        <f t="shared" si="29"/>
        <v>5.213000201435003E-3</v>
      </c>
      <c r="J458" s="8">
        <f t="shared" si="30"/>
        <v>5.1994595537646947E-3</v>
      </c>
      <c r="K458" s="8">
        <f t="shared" si="27"/>
        <v>-5.5557082583180817E-3</v>
      </c>
    </row>
    <row r="459" spans="1:11" x14ac:dyDescent="0.25">
      <c r="A459" t="str">
        <f t="shared" si="28"/>
        <v>112018</v>
      </c>
      <c r="B459" s="1">
        <v>43410</v>
      </c>
      <c r="C459" s="10">
        <v>43262.645833333336</v>
      </c>
      <c r="D459">
        <v>14499.8</v>
      </c>
      <c r="E459">
        <v>14660.15</v>
      </c>
      <c r="F459">
        <v>14468.25</v>
      </c>
      <c r="G459">
        <v>14577.3</v>
      </c>
      <c r="H459">
        <v>0</v>
      </c>
      <c r="I459" s="8">
        <f t="shared" si="29"/>
        <v>7.2935201340542655E-3</v>
      </c>
      <c r="J459" s="8">
        <f t="shared" si="30"/>
        <v>7.2670510400732816E-3</v>
      </c>
      <c r="K459" s="8">
        <f t="shared" si="27"/>
        <v>-4.9013249960748739E-3</v>
      </c>
    </row>
    <row r="460" spans="1:11" x14ac:dyDescent="0.25">
      <c r="A460" t="str">
        <f t="shared" si="28"/>
        <v>112018</v>
      </c>
      <c r="B460" s="1">
        <v>43413</v>
      </c>
      <c r="C460" s="10">
        <v>43354.645833333336</v>
      </c>
      <c r="D460">
        <v>14793.75</v>
      </c>
      <c r="E460">
        <v>14796.9</v>
      </c>
      <c r="F460">
        <v>14483.35</v>
      </c>
      <c r="G460">
        <v>14553.25</v>
      </c>
      <c r="H460">
        <v>0</v>
      </c>
      <c r="I460" s="8">
        <f t="shared" si="29"/>
        <v>-1.6498254134853507E-3</v>
      </c>
      <c r="J460" s="8">
        <f t="shared" si="30"/>
        <v>-1.6511878741872457E-3</v>
      </c>
      <c r="K460" s="8">
        <f t="shared" si="27"/>
        <v>-3.5808305746787283E-3</v>
      </c>
    </row>
    <row r="461" spans="1:11" x14ac:dyDescent="0.25">
      <c r="A461" t="str">
        <f t="shared" si="28"/>
        <v>112018</v>
      </c>
      <c r="B461" s="1">
        <v>43416</v>
      </c>
      <c r="C461" s="10">
        <v>43445.645833333336</v>
      </c>
      <c r="D461">
        <v>14604.95</v>
      </c>
      <c r="E461">
        <v>14821.55</v>
      </c>
      <c r="F461">
        <v>14565.05</v>
      </c>
      <c r="G461">
        <v>14650.5</v>
      </c>
      <c r="H461">
        <v>0</v>
      </c>
      <c r="I461" s="8">
        <f t="shared" si="29"/>
        <v>6.6823561747375582E-3</v>
      </c>
      <c r="J461" s="8">
        <f t="shared" si="30"/>
        <v>6.6601282012582457E-3</v>
      </c>
      <c r="K461" s="8">
        <f t="shared" si="27"/>
        <v>2.5147549396971058E-3</v>
      </c>
    </row>
    <row r="462" spans="1:11" x14ac:dyDescent="0.25">
      <c r="A462" t="str">
        <f t="shared" si="28"/>
        <v>112018</v>
      </c>
      <c r="B462" s="1">
        <v>43417</v>
      </c>
      <c r="C462" t="s">
        <v>300</v>
      </c>
      <c r="D462">
        <v>14637.25</v>
      </c>
      <c r="E462">
        <v>14780</v>
      </c>
      <c r="F462">
        <v>14561.55</v>
      </c>
      <c r="G462">
        <v>14698.2</v>
      </c>
      <c r="H462">
        <v>0</v>
      </c>
      <c r="I462" s="8">
        <f t="shared" si="29"/>
        <v>3.2558615746902664E-3</v>
      </c>
      <c r="J462" s="8">
        <f t="shared" si="30"/>
        <v>3.2505727341060539E-3</v>
      </c>
      <c r="K462" s="8">
        <f t="shared" si="27"/>
        <v>6.1609233170412114E-3</v>
      </c>
    </row>
    <row r="463" spans="1:11" x14ac:dyDescent="0.25">
      <c r="A463" t="str">
        <f t="shared" si="28"/>
        <v>112018</v>
      </c>
      <c r="B463" s="1">
        <v>43418</v>
      </c>
      <c r="C463" t="s">
        <v>301</v>
      </c>
      <c r="D463">
        <v>14662.3</v>
      </c>
      <c r="E463">
        <v>14662.8</v>
      </c>
      <c r="F463">
        <v>14236.7</v>
      </c>
      <c r="G463">
        <v>14338.5</v>
      </c>
      <c r="H463">
        <v>0</v>
      </c>
      <c r="I463" s="8">
        <f t="shared" si="29"/>
        <v>-2.4472384373596778E-2</v>
      </c>
      <c r="J463" s="8">
        <f t="shared" si="30"/>
        <v>-2.4776810117820531E-2</v>
      </c>
      <c r="K463" s="8">
        <f t="shared" si="27"/>
        <v>-1.8136249559176476E-2</v>
      </c>
    </row>
    <row r="464" spans="1:11" x14ac:dyDescent="0.25">
      <c r="A464" t="str">
        <f t="shared" si="28"/>
        <v>112018</v>
      </c>
      <c r="B464" s="1">
        <v>43419</v>
      </c>
      <c r="C464" t="s">
        <v>302</v>
      </c>
      <c r="D464">
        <v>14315.45</v>
      </c>
      <c r="E464">
        <v>14573.1</v>
      </c>
      <c r="F464">
        <v>14264.6</v>
      </c>
      <c r="G464">
        <v>14354.15</v>
      </c>
      <c r="H464">
        <v>0</v>
      </c>
      <c r="I464" s="8">
        <f t="shared" si="29"/>
        <v>1.0914670293267204E-3</v>
      </c>
      <c r="J464" s="8">
        <f t="shared" si="30"/>
        <v>1.0908718122558348E-3</v>
      </c>
      <c r="K464" s="8">
        <f t="shared" si="27"/>
        <v>-2.2150238771603492E-2</v>
      </c>
    </row>
    <row r="465" spans="1:11" x14ac:dyDescent="0.25">
      <c r="A465" t="str">
        <f t="shared" si="28"/>
        <v>112018</v>
      </c>
      <c r="B465" s="1">
        <v>43420</v>
      </c>
      <c r="C465" t="s">
        <v>303</v>
      </c>
      <c r="D465">
        <v>14426.7</v>
      </c>
      <c r="E465">
        <v>14504.5</v>
      </c>
      <c r="F465">
        <v>14356.65</v>
      </c>
      <c r="G465">
        <v>14473.15</v>
      </c>
      <c r="H465">
        <v>0</v>
      </c>
      <c r="I465" s="8">
        <f t="shared" si="29"/>
        <v>8.2902853878494831E-3</v>
      </c>
      <c r="J465" s="8">
        <f t="shared" si="30"/>
        <v>8.2561097260187965E-3</v>
      </c>
      <c r="K465" s="8">
        <f t="shared" si="27"/>
        <v>-2.735841131701422E-2</v>
      </c>
    </row>
    <row r="466" spans="1:11" x14ac:dyDescent="0.25">
      <c r="A466" t="str">
        <f t="shared" si="28"/>
        <v>112018</v>
      </c>
      <c r="B466" s="1">
        <v>43423</v>
      </c>
      <c r="C466" t="s">
        <v>304</v>
      </c>
      <c r="D466">
        <v>14544.8</v>
      </c>
      <c r="E466">
        <v>14618.25</v>
      </c>
      <c r="F466">
        <v>14433.2</v>
      </c>
      <c r="G466">
        <v>14599.8</v>
      </c>
      <c r="H466">
        <v>0</v>
      </c>
      <c r="I466" s="8">
        <f t="shared" si="29"/>
        <v>8.7506866162514463E-3</v>
      </c>
      <c r="J466" s="8">
        <f t="shared" si="30"/>
        <v>8.7126212622621654E-3</v>
      </c>
      <c r="K466" s="8">
        <f t="shared" si="27"/>
        <v>-2.7279844096140815E-2</v>
      </c>
    </row>
    <row r="467" spans="1:11" x14ac:dyDescent="0.25">
      <c r="A467" t="str">
        <f t="shared" si="28"/>
        <v>112018</v>
      </c>
      <c r="B467" s="1">
        <v>43424</v>
      </c>
      <c r="C467" t="s">
        <v>305</v>
      </c>
      <c r="D467">
        <v>14575.25</v>
      </c>
      <c r="E467">
        <v>14575.25</v>
      </c>
      <c r="F467">
        <v>14262.3</v>
      </c>
      <c r="G467">
        <v>14285.1</v>
      </c>
      <c r="H467">
        <v>0</v>
      </c>
      <c r="I467" s="8">
        <f t="shared" si="29"/>
        <v>-2.1555089795750604E-2</v>
      </c>
      <c r="J467" s="8">
        <f t="shared" si="30"/>
        <v>-2.1790793982075094E-2</v>
      </c>
      <c r="K467" s="8">
        <f t="shared" si="27"/>
        <v>-5.0467451235846061E-2</v>
      </c>
    </row>
    <row r="468" spans="1:11" x14ac:dyDescent="0.25">
      <c r="A468" t="str">
        <f t="shared" si="28"/>
        <v>112018</v>
      </c>
      <c r="B468" s="1">
        <v>43425</v>
      </c>
      <c r="C468" t="s">
        <v>306</v>
      </c>
      <c r="D468">
        <v>14244.75</v>
      </c>
      <c r="E468">
        <v>14245.05</v>
      </c>
      <c r="F468">
        <v>13827.15</v>
      </c>
      <c r="G468">
        <v>13879.15</v>
      </c>
      <c r="H468">
        <v>0</v>
      </c>
      <c r="I468" s="8">
        <f t="shared" si="29"/>
        <v>-2.8417721962044395E-2</v>
      </c>
      <c r="J468" s="8">
        <f t="shared" si="30"/>
        <v>-2.8829321997872661E-2</v>
      </c>
      <c r="K468" s="8">
        <f t="shared" si="27"/>
        <v>-8.2455177702559723E-2</v>
      </c>
    </row>
    <row r="469" spans="1:11" x14ac:dyDescent="0.25">
      <c r="A469" t="str">
        <f t="shared" si="28"/>
        <v>112018</v>
      </c>
      <c r="B469" s="1">
        <v>43426</v>
      </c>
      <c r="C469" t="s">
        <v>307</v>
      </c>
      <c r="D469">
        <v>13955</v>
      </c>
      <c r="E469">
        <v>14109.45</v>
      </c>
      <c r="F469">
        <v>13819.7</v>
      </c>
      <c r="G469">
        <v>13835.7</v>
      </c>
      <c r="H469">
        <v>0</v>
      </c>
      <c r="I469" s="8">
        <f t="shared" si="29"/>
        <v>-3.1305951733354709E-3</v>
      </c>
      <c r="J469" s="8">
        <f t="shared" si="30"/>
        <v>-3.1355057377427881E-3</v>
      </c>
      <c r="K469" s="8">
        <f t="shared" si="27"/>
        <v>-7.7380118830896016E-2</v>
      </c>
    </row>
    <row r="470" spans="1:11" x14ac:dyDescent="0.25">
      <c r="A470" t="str">
        <f t="shared" si="28"/>
        <v>112018</v>
      </c>
      <c r="B470" s="1">
        <v>43430</v>
      </c>
      <c r="C470" t="s">
        <v>308</v>
      </c>
      <c r="D470">
        <v>13836.95</v>
      </c>
      <c r="E470">
        <v>14083.7</v>
      </c>
      <c r="F470">
        <v>13581.35</v>
      </c>
      <c r="G470">
        <v>14025.4</v>
      </c>
      <c r="H470">
        <v>0</v>
      </c>
      <c r="I470" s="8">
        <f t="shared" si="29"/>
        <v>1.3710907290559904E-2</v>
      </c>
      <c r="J470" s="8">
        <f t="shared" si="30"/>
        <v>1.3617763228530954E-2</v>
      </c>
      <c r="K470" s="8">
        <f t="shared" si="27"/>
        <v>-7.3292081415823995E-2</v>
      </c>
    </row>
    <row r="471" spans="1:11" x14ac:dyDescent="0.25">
      <c r="A471" t="str">
        <f t="shared" si="28"/>
        <v>112018</v>
      </c>
      <c r="B471" s="1">
        <v>43431</v>
      </c>
      <c r="C471" t="s">
        <v>309</v>
      </c>
      <c r="D471">
        <v>14057.9</v>
      </c>
      <c r="E471">
        <v>14265.25</v>
      </c>
      <c r="F471">
        <v>14000.4</v>
      </c>
      <c r="G471">
        <v>14225.35</v>
      </c>
      <c r="H471">
        <v>0</v>
      </c>
      <c r="I471" s="8">
        <f t="shared" si="29"/>
        <v>1.4256277895817737E-2</v>
      </c>
      <c r="J471" s="8">
        <f t="shared" si="30"/>
        <v>1.4155612777960302E-2</v>
      </c>
      <c r="K471" s="8">
        <f t="shared" si="27"/>
        <v>-7.1570524639487765E-2</v>
      </c>
    </row>
    <row r="472" spans="1:11" x14ac:dyDescent="0.25">
      <c r="A472" t="str">
        <f t="shared" si="28"/>
        <v>112018</v>
      </c>
      <c r="B472" s="1">
        <v>43432</v>
      </c>
      <c r="C472" t="s">
        <v>310</v>
      </c>
      <c r="D472">
        <v>14266.75</v>
      </c>
      <c r="E472">
        <v>14658.9</v>
      </c>
      <c r="F472">
        <v>14250.9</v>
      </c>
      <c r="G472">
        <v>14632.9</v>
      </c>
      <c r="H472">
        <v>0</v>
      </c>
      <c r="I472" s="8">
        <f t="shared" si="29"/>
        <v>2.8649558710330369E-2</v>
      </c>
      <c r="J472" s="8">
        <f t="shared" si="30"/>
        <v>2.8246833939158087E-2</v>
      </c>
      <c r="K472" s="8">
        <f t="shared" si="27"/>
        <v>-4.109750623359687E-2</v>
      </c>
    </row>
    <row r="473" spans="1:11" x14ac:dyDescent="0.25">
      <c r="A473" t="str">
        <f t="shared" si="28"/>
        <v>112018</v>
      </c>
      <c r="B473" s="1">
        <v>43433</v>
      </c>
      <c r="C473" t="s">
        <v>311</v>
      </c>
      <c r="D473">
        <v>14726.75</v>
      </c>
      <c r="E473">
        <v>14732.65</v>
      </c>
      <c r="F473">
        <v>14433.05</v>
      </c>
      <c r="G473">
        <v>14465.3</v>
      </c>
      <c r="H473">
        <v>0</v>
      </c>
      <c r="I473" s="8">
        <f t="shared" si="29"/>
        <v>-1.1453642135188513E-2</v>
      </c>
      <c r="J473" s="8">
        <f t="shared" si="30"/>
        <v>-1.1519740288694737E-2</v>
      </c>
      <c r="K473" s="8">
        <f t="shared" si="27"/>
        <v>-6.7654101366746322E-2</v>
      </c>
    </row>
    <row r="474" spans="1:11" x14ac:dyDescent="0.25">
      <c r="A474" t="str">
        <f t="shared" si="28"/>
        <v>112018</v>
      </c>
      <c r="B474" s="1">
        <v>43434</v>
      </c>
      <c r="C474" t="s">
        <v>312</v>
      </c>
      <c r="D474">
        <v>14494.7</v>
      </c>
      <c r="E474">
        <v>14710.8</v>
      </c>
      <c r="F474">
        <v>14494.6</v>
      </c>
      <c r="G474">
        <v>14638.05</v>
      </c>
      <c r="H474">
        <v>0</v>
      </c>
      <c r="I474" s="8">
        <f t="shared" si="29"/>
        <v>1.194237243610563E-2</v>
      </c>
      <c r="J474" s="8">
        <f t="shared" si="30"/>
        <v>1.1871625010792204E-2</v>
      </c>
      <c r="K474" s="8">
        <f t="shared" si="27"/>
        <v>-6.0642813826561559E-2</v>
      </c>
    </row>
    <row r="475" spans="1:11" x14ac:dyDescent="0.25">
      <c r="A475" t="str">
        <f t="shared" si="28"/>
        <v>122018</v>
      </c>
      <c r="B475" s="1">
        <v>43437</v>
      </c>
      <c r="C475" s="10">
        <v>43171.645833333336</v>
      </c>
      <c r="D475">
        <v>14728.45</v>
      </c>
      <c r="E475">
        <v>14790.8</v>
      </c>
      <c r="F475">
        <v>14630.75</v>
      </c>
      <c r="G475">
        <v>14740.4</v>
      </c>
      <c r="H475">
        <v>0</v>
      </c>
      <c r="I475" s="8">
        <f t="shared" si="29"/>
        <v>6.9920515369192859E-3</v>
      </c>
      <c r="J475" s="8">
        <f t="shared" si="30"/>
        <v>6.9677204946672223E-3</v>
      </c>
      <c r="K475" s="8">
        <f t="shared" si="27"/>
        <v>-5.0534784331028537E-2</v>
      </c>
    </row>
    <row r="476" spans="1:11" x14ac:dyDescent="0.25">
      <c r="A476" t="str">
        <f t="shared" si="28"/>
        <v>122018</v>
      </c>
      <c r="B476" s="1">
        <v>43438</v>
      </c>
      <c r="C476" s="10">
        <v>43202.645833333336</v>
      </c>
      <c r="D476">
        <v>14757.45</v>
      </c>
      <c r="E476">
        <v>15015.1</v>
      </c>
      <c r="F476">
        <v>14728.2</v>
      </c>
      <c r="G476">
        <v>14999.9</v>
      </c>
      <c r="H476">
        <v>0</v>
      </c>
      <c r="I476" s="8">
        <f t="shared" si="29"/>
        <v>1.7604678299096399E-2</v>
      </c>
      <c r="J476" s="8">
        <f t="shared" si="30"/>
        <v>1.745151097827102E-2</v>
      </c>
      <c r="K476" s="8">
        <f t="shared" si="27"/>
        <v>-3.4124605195800406E-2</v>
      </c>
    </row>
    <row r="477" spans="1:11" x14ac:dyDescent="0.25">
      <c r="A477" t="str">
        <f t="shared" si="28"/>
        <v>122018</v>
      </c>
      <c r="B477" s="1">
        <v>43439</v>
      </c>
      <c r="C477" s="10">
        <v>43232.645833333336</v>
      </c>
      <c r="D477">
        <v>14932.45</v>
      </c>
      <c r="E477">
        <v>15062.4</v>
      </c>
      <c r="F477">
        <v>14788.75</v>
      </c>
      <c r="G477">
        <v>15012.95</v>
      </c>
      <c r="H477">
        <v>0</v>
      </c>
      <c r="I477" s="8">
        <f t="shared" si="29"/>
        <v>8.7000580003882E-4</v>
      </c>
      <c r="J477" s="8">
        <f t="shared" si="30"/>
        <v>8.696275643550309E-4</v>
      </c>
      <c r="K477" s="8">
        <f t="shared" si="27"/>
        <v>-5.0498374590485229E-2</v>
      </c>
    </row>
    <row r="478" spans="1:11" x14ac:dyDescent="0.25">
      <c r="A478" t="str">
        <f t="shared" si="28"/>
        <v>122018</v>
      </c>
      <c r="B478" s="1">
        <v>43440</v>
      </c>
      <c r="C478" s="10">
        <v>43263.645833333336</v>
      </c>
      <c r="D478">
        <v>14936.6</v>
      </c>
      <c r="E478">
        <v>15064.25</v>
      </c>
      <c r="F478">
        <v>14664.3</v>
      </c>
      <c r="G478">
        <v>14693.75</v>
      </c>
      <c r="H478">
        <v>0</v>
      </c>
      <c r="I478" s="8">
        <f t="shared" si="29"/>
        <v>-2.1261644113915068E-2</v>
      </c>
      <c r="J478" s="8">
        <f t="shared" si="30"/>
        <v>-2.149092867143345E-2</v>
      </c>
      <c r="K478" s="8">
        <f t="shared" si="27"/>
        <v>-6.5562459061222156E-2</v>
      </c>
    </row>
    <row r="479" spans="1:11" x14ac:dyDescent="0.25">
      <c r="A479" t="str">
        <f t="shared" si="28"/>
        <v>122018</v>
      </c>
      <c r="B479" s="1">
        <v>43441</v>
      </c>
      <c r="C479" s="10">
        <v>43293.645833333336</v>
      </c>
      <c r="D479">
        <v>14686.8</v>
      </c>
      <c r="E479">
        <v>14700.05</v>
      </c>
      <c r="F479">
        <v>14461.95</v>
      </c>
      <c r="G479">
        <v>14662.9</v>
      </c>
      <c r="H479">
        <v>0</v>
      </c>
      <c r="I479" s="8">
        <f t="shared" si="29"/>
        <v>-2.0995321139940515E-3</v>
      </c>
      <c r="J479" s="8">
        <f t="shared" si="30"/>
        <v>-2.1017392213458466E-3</v>
      </c>
      <c r="K479" s="8">
        <f t="shared" si="27"/>
        <v>-8.6349673182251618E-2</v>
      </c>
    </row>
    <row r="480" spans="1:11" x14ac:dyDescent="0.25">
      <c r="A480" t="str">
        <f t="shared" si="28"/>
        <v>122018</v>
      </c>
      <c r="B480" s="1">
        <v>43444</v>
      </c>
      <c r="C480" s="10">
        <v>43385.645833333336</v>
      </c>
      <c r="D480">
        <v>14486</v>
      </c>
      <c r="E480">
        <v>14723.7</v>
      </c>
      <c r="F480">
        <v>14369.5</v>
      </c>
      <c r="G480">
        <v>14419.2</v>
      </c>
      <c r="H480">
        <v>0</v>
      </c>
      <c r="I480" s="8">
        <f t="shared" si="29"/>
        <v>-1.6620177454664375E-2</v>
      </c>
      <c r="J480" s="8">
        <f t="shared" si="30"/>
        <v>-1.6759842269163071E-2</v>
      </c>
      <c r="K480" s="8">
        <f t="shared" si="27"/>
        <v>-0.10104177706843553</v>
      </c>
    </row>
    <row r="481" spans="1:11" x14ac:dyDescent="0.25">
      <c r="A481" t="str">
        <f t="shared" si="28"/>
        <v>122018</v>
      </c>
      <c r="B481" s="1">
        <v>43445</v>
      </c>
      <c r="C481" s="10">
        <v>43416.645833333336</v>
      </c>
      <c r="D481">
        <v>14385.35</v>
      </c>
      <c r="E481">
        <v>14684.45</v>
      </c>
      <c r="F481">
        <v>14307.3</v>
      </c>
      <c r="G481">
        <v>14579.6</v>
      </c>
      <c r="H481">
        <v>0</v>
      </c>
      <c r="I481" s="8">
        <f t="shared" si="29"/>
        <v>1.1124056813138106E-2</v>
      </c>
      <c r="J481" s="8">
        <f t="shared" si="30"/>
        <v>1.1062639546186775E-2</v>
      </c>
      <c r="K481" s="8">
        <f t="shared" si="27"/>
        <v>-9.3401485544082785E-2</v>
      </c>
    </row>
    <row r="482" spans="1:11" x14ac:dyDescent="0.25">
      <c r="A482" t="str">
        <f t="shared" si="28"/>
        <v>122018</v>
      </c>
      <c r="B482" s="1">
        <v>43446</v>
      </c>
      <c r="C482" s="10">
        <v>43446.645833333336</v>
      </c>
      <c r="D482">
        <v>14640.15</v>
      </c>
      <c r="E482">
        <v>14756.5</v>
      </c>
      <c r="F482">
        <v>14521.2</v>
      </c>
      <c r="G482">
        <v>14738.55</v>
      </c>
      <c r="H482">
        <v>0</v>
      </c>
      <c r="I482" s="8">
        <f t="shared" si="29"/>
        <v>1.0902219539630664E-2</v>
      </c>
      <c r="J482" s="8">
        <f t="shared" si="30"/>
        <v>1.0843218782973334E-2</v>
      </c>
      <c r="K482" s="8">
        <f t="shared" si="27"/>
        <v>-8.4834956037951437E-2</v>
      </c>
    </row>
    <row r="483" spans="1:11" x14ac:dyDescent="0.25">
      <c r="A483" t="str">
        <f t="shared" si="28"/>
        <v>122018</v>
      </c>
      <c r="B483" s="1">
        <v>43447</v>
      </c>
      <c r="C483" t="s">
        <v>313</v>
      </c>
      <c r="D483">
        <v>14782.35</v>
      </c>
      <c r="E483">
        <v>14908.9</v>
      </c>
      <c r="F483">
        <v>14652</v>
      </c>
      <c r="G483">
        <v>14841</v>
      </c>
      <c r="H483">
        <v>0</v>
      </c>
      <c r="I483" s="8">
        <f t="shared" si="29"/>
        <v>6.9511586960726568E-3</v>
      </c>
      <c r="J483" s="8">
        <f t="shared" si="30"/>
        <v>6.9271107687876952E-3</v>
      </c>
      <c r="K483" s="8">
        <f t="shared" si="27"/>
        <v>-7.8502108001713644E-2</v>
      </c>
    </row>
    <row r="484" spans="1:11" x14ac:dyDescent="0.25">
      <c r="A484" t="str">
        <f t="shared" si="28"/>
        <v>122018</v>
      </c>
      <c r="B484" s="1">
        <v>43448</v>
      </c>
      <c r="C484" t="s">
        <v>314</v>
      </c>
      <c r="D484">
        <v>14810.4</v>
      </c>
      <c r="E484">
        <v>14913.8</v>
      </c>
      <c r="F484">
        <v>14741.7</v>
      </c>
      <c r="G484">
        <v>14851.4</v>
      </c>
      <c r="H484">
        <v>0</v>
      </c>
      <c r="I484" s="8">
        <f t="shared" si="29"/>
        <v>7.0076140421804212E-4</v>
      </c>
      <c r="J484" s="8">
        <f t="shared" si="30"/>
        <v>7.0051598559179586E-4</v>
      </c>
      <c r="K484" s="8">
        <f t="shared" si="27"/>
        <v>-7.1392841957832132E-2</v>
      </c>
    </row>
    <row r="485" spans="1:11" x14ac:dyDescent="0.25">
      <c r="A485" t="str">
        <f t="shared" si="28"/>
        <v>122018</v>
      </c>
      <c r="B485" s="1">
        <v>43451</v>
      </c>
      <c r="C485" t="s">
        <v>315</v>
      </c>
      <c r="D485">
        <v>14931.05</v>
      </c>
      <c r="E485">
        <v>14931.05</v>
      </c>
      <c r="F485">
        <v>14801.15</v>
      </c>
      <c r="G485">
        <v>14873.05</v>
      </c>
      <c r="H485">
        <v>0</v>
      </c>
      <c r="I485" s="8">
        <f t="shared" si="29"/>
        <v>1.4577750245767795E-3</v>
      </c>
      <c r="J485" s="8">
        <f t="shared" si="30"/>
        <v>1.4567135020810669E-3</v>
      </c>
      <c r="K485" s="8">
        <f t="shared" si="27"/>
        <v>-7.356399164073868E-2</v>
      </c>
    </row>
    <row r="486" spans="1:11" x14ac:dyDescent="0.25">
      <c r="A486" t="str">
        <f t="shared" si="28"/>
        <v>122018</v>
      </c>
      <c r="B486" s="1">
        <v>43452</v>
      </c>
      <c r="C486" t="s">
        <v>316</v>
      </c>
      <c r="D486">
        <v>14776.45</v>
      </c>
      <c r="E486">
        <v>14809.55</v>
      </c>
      <c r="F486">
        <v>14662.1</v>
      </c>
      <c r="G486">
        <v>14730.9</v>
      </c>
      <c r="H486">
        <v>0</v>
      </c>
      <c r="I486" s="8">
        <f t="shared" si="29"/>
        <v>-9.5575554442430821E-3</v>
      </c>
      <c r="J486" s="8">
        <f t="shared" si="30"/>
        <v>-9.6035219969977104E-3</v>
      </c>
      <c r="K486" s="8">
        <f t="shared" si="27"/>
        <v>-8.3471768548763481E-2</v>
      </c>
    </row>
    <row r="487" spans="1:11" x14ac:dyDescent="0.25">
      <c r="A487" t="str">
        <f t="shared" si="28"/>
        <v>122018</v>
      </c>
      <c r="B487" s="1">
        <v>43453</v>
      </c>
      <c r="C487" t="s">
        <v>317</v>
      </c>
      <c r="D487">
        <v>14686.05</v>
      </c>
      <c r="E487">
        <v>14698.9</v>
      </c>
      <c r="F487">
        <v>14463.75</v>
      </c>
      <c r="G487">
        <v>14591.8</v>
      </c>
      <c r="H487">
        <v>0</v>
      </c>
      <c r="I487" s="8">
        <f t="shared" si="29"/>
        <v>-9.44273601748713E-3</v>
      </c>
      <c r="J487" s="8">
        <f t="shared" si="30"/>
        <v>-9.4876013066617689E-3</v>
      </c>
      <c r="K487" s="8">
        <f t="shared" si="27"/>
        <v>-9.4790257943646927E-2</v>
      </c>
    </row>
    <row r="488" spans="1:11" x14ac:dyDescent="0.25">
      <c r="A488" t="str">
        <f t="shared" si="28"/>
        <v>122018</v>
      </c>
      <c r="B488" s="1">
        <v>43454</v>
      </c>
      <c r="C488" t="s">
        <v>318</v>
      </c>
      <c r="D488">
        <v>14468.4</v>
      </c>
      <c r="E488">
        <v>14621.8</v>
      </c>
      <c r="F488">
        <v>14461.3</v>
      </c>
      <c r="G488">
        <v>14542.15</v>
      </c>
      <c r="H488">
        <v>0</v>
      </c>
      <c r="I488" s="8">
        <f t="shared" si="29"/>
        <v>-3.4025959785632942E-3</v>
      </c>
      <c r="J488" s="8">
        <f t="shared" si="30"/>
        <v>-3.4083979732277532E-3</v>
      </c>
      <c r="K488" s="8">
        <f t="shared" si="27"/>
        <v>-9.2873183207535459E-2</v>
      </c>
    </row>
    <row r="489" spans="1:11" x14ac:dyDescent="0.25">
      <c r="A489" t="str">
        <f t="shared" si="28"/>
        <v>122018</v>
      </c>
      <c r="B489" s="1">
        <v>43455</v>
      </c>
      <c r="C489" t="s">
        <v>319</v>
      </c>
      <c r="D489">
        <v>14493.75</v>
      </c>
      <c r="E489">
        <v>14505.5</v>
      </c>
      <c r="F489">
        <v>14171.95</v>
      </c>
      <c r="G489">
        <v>14207.85</v>
      </c>
      <c r="H489">
        <v>0</v>
      </c>
      <c r="I489" s="8">
        <f t="shared" si="29"/>
        <v>-2.2988347665235165E-2</v>
      </c>
      <c r="J489" s="8">
        <f t="shared" si="30"/>
        <v>-2.3256700362815168E-2</v>
      </c>
      <c r="K489" s="8">
        <f t="shared" si="27"/>
        <v>-0.11554443334298226</v>
      </c>
    </row>
    <row r="490" spans="1:11" x14ac:dyDescent="0.25">
      <c r="A490" t="str">
        <f t="shared" si="28"/>
        <v>122018</v>
      </c>
      <c r="B490" s="1">
        <v>43458</v>
      </c>
      <c r="C490" t="s">
        <v>320</v>
      </c>
      <c r="D490">
        <v>14296.8</v>
      </c>
      <c r="E490">
        <v>14371.75</v>
      </c>
      <c r="F490">
        <v>14197.1</v>
      </c>
      <c r="G490">
        <v>14247.75</v>
      </c>
      <c r="H490">
        <v>0</v>
      </c>
      <c r="I490" s="8">
        <f t="shared" si="29"/>
        <v>2.8083066755348884E-3</v>
      </c>
      <c r="J490" s="8">
        <f t="shared" si="30"/>
        <v>2.8043707494793163E-3</v>
      </c>
      <c r="K490" s="8">
        <f t="shared" si="27"/>
        <v>-0.10015157735181734</v>
      </c>
    </row>
    <row r="491" spans="1:11" x14ac:dyDescent="0.25">
      <c r="A491" t="str">
        <f t="shared" si="28"/>
        <v>122018</v>
      </c>
      <c r="B491" s="1">
        <v>43460</v>
      </c>
      <c r="C491" t="s">
        <v>321</v>
      </c>
      <c r="D491">
        <v>14229.2</v>
      </c>
      <c r="E491">
        <v>14229.2</v>
      </c>
      <c r="F491">
        <v>14018.4</v>
      </c>
      <c r="G491">
        <v>14158.9</v>
      </c>
      <c r="H491">
        <v>0</v>
      </c>
      <c r="I491" s="8">
        <f t="shared" si="29"/>
        <v>-6.2360723623028358E-3</v>
      </c>
      <c r="J491" s="8">
        <f t="shared" si="30"/>
        <v>-6.2555978789050485E-3</v>
      </c>
      <c r="K491" s="8">
        <f t="shared" si="27"/>
        <v>-0.12465920261138896</v>
      </c>
    </row>
    <row r="492" spans="1:11" x14ac:dyDescent="0.25">
      <c r="A492" t="str">
        <f t="shared" si="28"/>
        <v>122018</v>
      </c>
      <c r="B492" s="1">
        <v>43461</v>
      </c>
      <c r="C492" t="s">
        <v>322</v>
      </c>
      <c r="D492">
        <v>14300.95</v>
      </c>
      <c r="E492">
        <v>14460.7</v>
      </c>
      <c r="F492">
        <v>14273.85</v>
      </c>
      <c r="G492">
        <v>14354.5</v>
      </c>
      <c r="H492">
        <v>0</v>
      </c>
      <c r="I492" s="8">
        <f t="shared" si="29"/>
        <v>1.3814632492637147E-2</v>
      </c>
      <c r="J492" s="8">
        <f t="shared" si="30"/>
        <v>1.372008026487154E-2</v>
      </c>
      <c r="K492" s="8">
        <f t="shared" si="27"/>
        <v>-0.11582455081337117</v>
      </c>
    </row>
    <row r="493" spans="1:11" x14ac:dyDescent="0.25">
      <c r="A493" t="str">
        <f t="shared" si="28"/>
        <v>122018</v>
      </c>
      <c r="B493" s="1">
        <v>43462</v>
      </c>
      <c r="C493" t="s">
        <v>323</v>
      </c>
      <c r="D493">
        <v>14409.6</v>
      </c>
      <c r="E493">
        <v>14451.7</v>
      </c>
      <c r="F493">
        <v>14368.7</v>
      </c>
      <c r="G493">
        <v>14385.8</v>
      </c>
      <c r="H493">
        <v>0</v>
      </c>
      <c r="I493" s="8">
        <f t="shared" si="29"/>
        <v>2.1805008882231913E-3</v>
      </c>
      <c r="J493" s="8">
        <f t="shared" si="30"/>
        <v>2.1781270463113781E-3</v>
      </c>
      <c r="K493" s="8">
        <f t="shared" si="27"/>
        <v>-9.7075465480826906E-2</v>
      </c>
    </row>
    <row r="494" spans="1:11" x14ac:dyDescent="0.25">
      <c r="A494" t="str">
        <f t="shared" si="28"/>
        <v>122018</v>
      </c>
      <c r="B494" s="1">
        <v>43465</v>
      </c>
      <c r="C494" t="s">
        <v>324</v>
      </c>
      <c r="D494">
        <v>14458.5</v>
      </c>
      <c r="E494">
        <v>14481.4</v>
      </c>
      <c r="F494">
        <v>14394.55</v>
      </c>
      <c r="G494">
        <v>14440.3</v>
      </c>
      <c r="H494">
        <v>0</v>
      </c>
      <c r="I494" s="8">
        <f t="shared" si="29"/>
        <v>3.7884580628120279E-3</v>
      </c>
      <c r="J494" s="8">
        <f t="shared" si="30"/>
        <v>3.781299928729625E-3</v>
      </c>
      <c r="K494" s="8">
        <f t="shared" si="27"/>
        <v>-9.8495442627044572E-2</v>
      </c>
    </row>
    <row r="495" spans="1:11" x14ac:dyDescent="0.25">
      <c r="A495" t="str">
        <f t="shared" si="28"/>
        <v>12019</v>
      </c>
      <c r="B495" s="1">
        <v>43466</v>
      </c>
      <c r="C495" s="10">
        <v>43466.645833333336</v>
      </c>
      <c r="D495">
        <v>14426.45</v>
      </c>
      <c r="E495">
        <v>14480.55</v>
      </c>
      <c r="F495">
        <v>14357.05</v>
      </c>
      <c r="G495">
        <v>14450.9</v>
      </c>
      <c r="H495">
        <v>0</v>
      </c>
      <c r="I495" s="8">
        <f t="shared" si="29"/>
        <v>7.3405677167381889E-4</v>
      </c>
      <c r="J495" s="8">
        <f t="shared" si="30"/>
        <v>7.3378748377547754E-4</v>
      </c>
      <c r="K495" s="8">
        <f t="shared" si="27"/>
        <v>-8.7583383055363506E-2</v>
      </c>
    </row>
    <row r="496" spans="1:11" x14ac:dyDescent="0.25">
      <c r="A496" t="str">
        <f t="shared" si="28"/>
        <v>12019</v>
      </c>
      <c r="B496" s="1">
        <v>43467</v>
      </c>
      <c r="C496" s="10">
        <v>43497.645833333336</v>
      </c>
      <c r="D496">
        <v>14467.4</v>
      </c>
      <c r="E496">
        <v>14593.85</v>
      </c>
      <c r="F496">
        <v>14371</v>
      </c>
      <c r="G496">
        <v>14447.1</v>
      </c>
      <c r="H496">
        <v>0</v>
      </c>
      <c r="I496" s="8">
        <f t="shared" si="29"/>
        <v>-2.6295940045251154E-4</v>
      </c>
      <c r="J496" s="8">
        <f t="shared" si="30"/>
        <v>-2.629939803378582E-4</v>
      </c>
      <c r="K496" s="8">
        <f t="shared" si="27"/>
        <v>-0.1089517442147333</v>
      </c>
    </row>
    <row r="497" spans="1:11" x14ac:dyDescent="0.25">
      <c r="A497" t="str">
        <f t="shared" si="28"/>
        <v>12019</v>
      </c>
      <c r="B497" s="1">
        <v>43468</v>
      </c>
      <c r="C497" s="10">
        <v>43525.645833333336</v>
      </c>
      <c r="D497">
        <v>14479.75</v>
      </c>
      <c r="E497">
        <v>14542.3</v>
      </c>
      <c r="F497">
        <v>14276.5</v>
      </c>
      <c r="G497">
        <v>14322.15</v>
      </c>
      <c r="H497">
        <v>0</v>
      </c>
      <c r="I497" s="8">
        <f t="shared" si="29"/>
        <v>-8.6487945677680145E-3</v>
      </c>
      <c r="J497" s="8">
        <f t="shared" si="30"/>
        <v>-8.6864124481035795E-3</v>
      </c>
      <c r="K497" s="8">
        <f t="shared" si="27"/>
        <v>-9.9790695043306621E-2</v>
      </c>
    </row>
    <row r="498" spans="1:11" x14ac:dyDescent="0.25">
      <c r="A498" t="str">
        <f t="shared" si="28"/>
        <v>12019</v>
      </c>
      <c r="B498" s="1">
        <v>43469</v>
      </c>
      <c r="C498" s="10">
        <v>43556.645833333336</v>
      </c>
      <c r="D498">
        <v>14332.65</v>
      </c>
      <c r="E498">
        <v>14359.2</v>
      </c>
      <c r="F498">
        <v>13958.85</v>
      </c>
      <c r="G498">
        <v>14146.15</v>
      </c>
      <c r="H498">
        <v>0</v>
      </c>
      <c r="I498" s="8">
        <f t="shared" si="29"/>
        <v>-1.228865777833632E-2</v>
      </c>
      <c r="J498" s="8">
        <f t="shared" si="30"/>
        <v>-1.2364787665665879E-2</v>
      </c>
      <c r="K498" s="8">
        <f t="shared" si="27"/>
        <v>-8.3863843897131751E-2</v>
      </c>
    </row>
    <row r="499" spans="1:11" x14ac:dyDescent="0.25">
      <c r="A499" t="str">
        <f t="shared" si="28"/>
        <v>12019</v>
      </c>
      <c r="B499" s="1">
        <v>43472</v>
      </c>
      <c r="C499" s="10">
        <v>43647.645833333336</v>
      </c>
      <c r="D499">
        <v>14238.05</v>
      </c>
      <c r="E499">
        <v>14316</v>
      </c>
      <c r="F499">
        <v>14204.65</v>
      </c>
      <c r="G499">
        <v>14291.5</v>
      </c>
      <c r="H499">
        <v>0</v>
      </c>
      <c r="I499" s="8">
        <f t="shared" si="29"/>
        <v>1.0274880444502532E-2</v>
      </c>
      <c r="J499" s="8">
        <f t="shared" si="30"/>
        <v>1.0222452680608021E-2</v>
      </c>
      <c r="K499" s="8">
        <f t="shared" si="27"/>
        <v>-8.3387582455994091E-2</v>
      </c>
    </row>
    <row r="500" spans="1:11" x14ac:dyDescent="0.25">
      <c r="A500" t="str">
        <f t="shared" si="28"/>
        <v>12019</v>
      </c>
      <c r="B500" s="1">
        <v>43473</v>
      </c>
      <c r="C500" s="10">
        <v>43678.645833333336</v>
      </c>
      <c r="D500">
        <v>14344.6</v>
      </c>
      <c r="E500">
        <v>14357.75</v>
      </c>
      <c r="F500">
        <v>14238.2</v>
      </c>
      <c r="G500">
        <v>14285.7</v>
      </c>
      <c r="H500">
        <v>0</v>
      </c>
      <c r="I500" s="8">
        <f t="shared" si="29"/>
        <v>-4.0583563656715338E-4</v>
      </c>
      <c r="J500" s="8">
        <f t="shared" si="30"/>
        <v>-4.0591801013661454E-4</v>
      </c>
      <c r="K500" s="8">
        <f t="shared" si="27"/>
        <v>-6.6611347777225993E-2</v>
      </c>
    </row>
    <row r="501" spans="1:11" x14ac:dyDescent="0.25">
      <c r="A501" t="str">
        <f t="shared" si="28"/>
        <v>12019</v>
      </c>
      <c r="B501" s="1">
        <v>43474</v>
      </c>
      <c r="C501" s="10">
        <v>43709.645833333336</v>
      </c>
      <c r="D501">
        <v>14417.2</v>
      </c>
      <c r="E501">
        <v>14495.7</v>
      </c>
      <c r="F501">
        <v>14162.2</v>
      </c>
      <c r="G501">
        <v>14326.1</v>
      </c>
      <c r="H501">
        <v>0</v>
      </c>
      <c r="I501" s="8">
        <f t="shared" si="29"/>
        <v>2.8280028280027736E-3</v>
      </c>
      <c r="J501" s="8">
        <f t="shared" si="30"/>
        <v>2.8240115511293357E-3</v>
      </c>
      <c r="K501" s="8">
        <f t="shared" si="27"/>
        <v>-6.7905893375320381E-2</v>
      </c>
    </row>
    <row r="502" spans="1:11" x14ac:dyDescent="0.25">
      <c r="A502" t="str">
        <f t="shared" si="28"/>
        <v>12019</v>
      </c>
      <c r="B502" s="1">
        <v>43475</v>
      </c>
      <c r="C502" s="10">
        <v>43739.645833333336</v>
      </c>
      <c r="D502">
        <v>14388.85</v>
      </c>
      <c r="E502">
        <v>14393.45</v>
      </c>
      <c r="F502">
        <v>14272.25</v>
      </c>
      <c r="G502">
        <v>14323.25</v>
      </c>
      <c r="H502">
        <v>0</v>
      </c>
      <c r="I502" s="8">
        <f t="shared" si="29"/>
        <v>-1.989376033951773E-4</v>
      </c>
      <c r="J502" s="8">
        <f t="shared" si="30"/>
        <v>-1.9895739410498737E-4</v>
      </c>
      <c r="K502" s="8">
        <f t="shared" si="27"/>
        <v>-5.4146415552855487E-2</v>
      </c>
    </row>
    <row r="503" spans="1:11" x14ac:dyDescent="0.25">
      <c r="A503" t="str">
        <f t="shared" si="28"/>
        <v>12019</v>
      </c>
      <c r="B503" s="1">
        <v>43476</v>
      </c>
      <c r="C503" s="10">
        <v>43770.645833333336</v>
      </c>
      <c r="D503">
        <v>14288.95</v>
      </c>
      <c r="E503">
        <v>14326.9</v>
      </c>
      <c r="F503">
        <v>14134.25</v>
      </c>
      <c r="G503">
        <v>14307.1</v>
      </c>
      <c r="H503">
        <v>0</v>
      </c>
      <c r="I503" s="8">
        <f t="shared" si="29"/>
        <v>-1.1275373954933166E-3</v>
      </c>
      <c r="J503" s="8">
        <f t="shared" si="30"/>
        <v>-1.1281735440148908E-3</v>
      </c>
      <c r="K503" s="8">
        <f t="shared" si="27"/>
        <v>-2.5601035210787937E-2</v>
      </c>
    </row>
    <row r="504" spans="1:11" x14ac:dyDescent="0.25">
      <c r="A504" t="str">
        <f t="shared" si="28"/>
        <v>12019</v>
      </c>
      <c r="B504" s="1">
        <v>43479</v>
      </c>
      <c r="C504" t="s">
        <v>325</v>
      </c>
      <c r="D504">
        <v>14474.5</v>
      </c>
      <c r="E504">
        <v>14495.7</v>
      </c>
      <c r="F504">
        <v>14196</v>
      </c>
      <c r="G504">
        <v>14223.6</v>
      </c>
      <c r="H504">
        <v>0</v>
      </c>
      <c r="I504" s="8">
        <f t="shared" si="29"/>
        <v>-5.836263114118112E-3</v>
      </c>
      <c r="J504" s="8">
        <f t="shared" si="30"/>
        <v>-5.8533606539694734E-3</v>
      </c>
      <c r="K504" s="8">
        <f t="shared" si="27"/>
        <v>-2.1706833938593628E-2</v>
      </c>
    </row>
    <row r="505" spans="1:11" x14ac:dyDescent="0.25">
      <c r="A505" t="str">
        <f t="shared" si="28"/>
        <v>12019</v>
      </c>
      <c r="B505" s="1">
        <v>43480</v>
      </c>
      <c r="C505" t="s">
        <v>326</v>
      </c>
      <c r="D505">
        <v>14265.7</v>
      </c>
      <c r="E505">
        <v>14685.5</v>
      </c>
      <c r="F505">
        <v>14262.4</v>
      </c>
      <c r="G505">
        <v>14658.5</v>
      </c>
      <c r="H505">
        <v>0</v>
      </c>
      <c r="I505" s="8">
        <f t="shared" si="29"/>
        <v>3.0575944205404992E-2</v>
      </c>
      <c r="J505" s="8">
        <f t="shared" si="30"/>
        <v>3.0117815096200835E-2</v>
      </c>
      <c r="K505" s="8">
        <f t="shared" si="27"/>
        <v>-9.3733949666153782E-3</v>
      </c>
    </row>
    <row r="506" spans="1:11" x14ac:dyDescent="0.25">
      <c r="A506" t="str">
        <f t="shared" si="28"/>
        <v>12019</v>
      </c>
      <c r="B506" s="1">
        <v>43481</v>
      </c>
      <c r="C506" t="s">
        <v>327</v>
      </c>
      <c r="D506">
        <v>14688.85</v>
      </c>
      <c r="E506">
        <v>14732.75</v>
      </c>
      <c r="F506">
        <v>14610.1</v>
      </c>
      <c r="G506">
        <v>14707.8</v>
      </c>
      <c r="H506">
        <v>0</v>
      </c>
      <c r="I506" s="8">
        <f t="shared" si="29"/>
        <v>3.3632363475115667E-3</v>
      </c>
      <c r="J506" s="8">
        <f t="shared" si="30"/>
        <v>3.3575933171703415E-3</v>
      </c>
      <c r="K506" s="8">
        <f t="shared" si="27"/>
        <v>-1.2060574917631461E-2</v>
      </c>
    </row>
    <row r="507" spans="1:11" x14ac:dyDescent="0.25">
      <c r="A507" t="str">
        <f t="shared" si="28"/>
        <v>12019</v>
      </c>
      <c r="B507" s="1">
        <v>43482</v>
      </c>
      <c r="C507" t="s">
        <v>328</v>
      </c>
      <c r="D507">
        <v>14714.25</v>
      </c>
      <c r="E507">
        <v>14813.9</v>
      </c>
      <c r="F507">
        <v>14660.05</v>
      </c>
      <c r="G507">
        <v>14800.25</v>
      </c>
      <c r="H507">
        <v>0</v>
      </c>
      <c r="I507" s="8">
        <f t="shared" si="29"/>
        <v>6.2857803342444285E-3</v>
      </c>
      <c r="J507" s="8">
        <f t="shared" si="30"/>
        <v>6.2661072146054913E-3</v>
      </c>
      <c r="K507" s="8">
        <f t="shared" si="27"/>
        <v>-9.9902338524108236E-3</v>
      </c>
    </row>
    <row r="508" spans="1:11" x14ac:dyDescent="0.25">
      <c r="A508" t="str">
        <f t="shared" si="28"/>
        <v>12019</v>
      </c>
      <c r="B508" s="1">
        <v>43483</v>
      </c>
      <c r="C508" t="s">
        <v>329</v>
      </c>
      <c r="D508">
        <v>14744.05</v>
      </c>
      <c r="E508">
        <v>14923.75</v>
      </c>
      <c r="F508">
        <v>14709.45</v>
      </c>
      <c r="G508">
        <v>14893</v>
      </c>
      <c r="H508">
        <v>0</v>
      </c>
      <c r="I508" s="8">
        <f t="shared" si="29"/>
        <v>6.2667860340197556E-3</v>
      </c>
      <c r="J508" s="8">
        <f t="shared" si="30"/>
        <v>6.2472313844357348E-3</v>
      </c>
      <c r="K508" s="8">
        <f t="shared" si="27"/>
        <v>2.8745894307117936E-2</v>
      </c>
    </row>
    <row r="509" spans="1:11" x14ac:dyDescent="0.25">
      <c r="A509" t="str">
        <f t="shared" si="28"/>
        <v>12019</v>
      </c>
      <c r="B509" s="1">
        <v>43486</v>
      </c>
      <c r="C509" t="s">
        <v>330</v>
      </c>
      <c r="D509">
        <v>14920.35</v>
      </c>
      <c r="E509">
        <v>15100.2</v>
      </c>
      <c r="F509">
        <v>14850</v>
      </c>
      <c r="G509">
        <v>14966.4</v>
      </c>
      <c r="H509">
        <v>0</v>
      </c>
      <c r="I509" s="8">
        <f t="shared" si="29"/>
        <v>4.9284898945813893E-3</v>
      </c>
      <c r="J509" s="8">
        <f t="shared" si="30"/>
        <v>4.9163846456995166E-3</v>
      </c>
      <c r="K509" s="8">
        <f t="shared" si="27"/>
        <v>3.7787462425761476E-2</v>
      </c>
    </row>
    <row r="510" spans="1:11" x14ac:dyDescent="0.25">
      <c r="A510" t="str">
        <f t="shared" si="28"/>
        <v>12019</v>
      </c>
      <c r="B510" s="1">
        <v>43487</v>
      </c>
      <c r="C510" t="s">
        <v>331</v>
      </c>
      <c r="D510">
        <v>14927.15</v>
      </c>
      <c r="E510">
        <v>15019.6</v>
      </c>
      <c r="F510">
        <v>14814.95</v>
      </c>
      <c r="G510">
        <v>14962.6</v>
      </c>
      <c r="H510">
        <v>0</v>
      </c>
      <c r="I510" s="8">
        <f t="shared" si="29"/>
        <v>-2.5390207397901765E-4</v>
      </c>
      <c r="J510" s="8">
        <f t="shared" si="30"/>
        <v>-2.5393431256768157E-4</v>
      </c>
      <c r="K510" s="8">
        <f t="shared" si="27"/>
        <v>6.7636124925970487E-2</v>
      </c>
    </row>
    <row r="511" spans="1:11" x14ac:dyDescent="0.25">
      <c r="A511" t="str">
        <f t="shared" si="28"/>
        <v>12019</v>
      </c>
      <c r="B511" s="1">
        <v>43488</v>
      </c>
      <c r="C511" t="s">
        <v>332</v>
      </c>
      <c r="D511">
        <v>14975.2</v>
      </c>
      <c r="E511">
        <v>15003.85</v>
      </c>
      <c r="F511">
        <v>14856.85</v>
      </c>
      <c r="G511">
        <v>14888.75</v>
      </c>
      <c r="H511">
        <v>0</v>
      </c>
      <c r="I511" s="8">
        <f t="shared" si="29"/>
        <v>-4.9356395278895571E-3</v>
      </c>
      <c r="J511" s="8">
        <f t="shared" si="30"/>
        <v>-4.9478600238887036E-3</v>
      </c>
      <c r="K511" s="8">
        <f t="shared" si="27"/>
        <v>5.9761622589266983E-2</v>
      </c>
    </row>
    <row r="512" spans="1:11" x14ac:dyDescent="0.25">
      <c r="A512" t="str">
        <f t="shared" si="28"/>
        <v>12019</v>
      </c>
      <c r="B512" s="1">
        <v>43489</v>
      </c>
      <c r="C512" t="s">
        <v>333</v>
      </c>
      <c r="D512">
        <v>14897.45</v>
      </c>
      <c r="E512">
        <v>15003.55</v>
      </c>
      <c r="F512">
        <v>14793.25</v>
      </c>
      <c r="G512">
        <v>14971.9</v>
      </c>
      <c r="H512">
        <v>0</v>
      </c>
      <c r="I512" s="8">
        <f t="shared" si="29"/>
        <v>5.5847535891193623E-3</v>
      </c>
      <c r="J512" s="8">
        <f t="shared" si="30"/>
        <v>5.5692166725192661E-3</v>
      </c>
      <c r="K512" s="8">
        <f t="shared" ref="K512:K575" si="31">+G512/G451-1</f>
        <v>6.4040424140773933E-2</v>
      </c>
    </row>
    <row r="513" spans="1:11" x14ac:dyDescent="0.25">
      <c r="A513" t="str">
        <f t="shared" si="28"/>
        <v>12019</v>
      </c>
      <c r="B513" s="1">
        <v>43490</v>
      </c>
      <c r="C513" t="s">
        <v>334</v>
      </c>
      <c r="D513">
        <v>14952.75</v>
      </c>
      <c r="E513">
        <v>15161.2</v>
      </c>
      <c r="F513">
        <v>14927.25</v>
      </c>
      <c r="G513">
        <v>15039.3</v>
      </c>
      <c r="H513">
        <v>0</v>
      </c>
      <c r="I513" s="8">
        <f t="shared" si="29"/>
        <v>4.5017666428441849E-3</v>
      </c>
      <c r="J513" s="8">
        <f t="shared" si="30"/>
        <v>4.4916639998711311E-3</v>
      </c>
      <c r="K513" s="8">
        <f t="shared" si="31"/>
        <v>8.9914918904816288E-2</v>
      </c>
    </row>
    <row r="514" spans="1:11" x14ac:dyDescent="0.25">
      <c r="A514" t="str">
        <f t="shared" si="28"/>
        <v>12019</v>
      </c>
      <c r="B514" s="1">
        <v>43493</v>
      </c>
      <c r="C514" t="s">
        <v>335</v>
      </c>
      <c r="D514">
        <v>15085.05</v>
      </c>
      <c r="E514">
        <v>15161.7</v>
      </c>
      <c r="F514">
        <v>15026.75</v>
      </c>
      <c r="G514">
        <v>15120.15</v>
      </c>
      <c r="H514">
        <v>0</v>
      </c>
      <c r="I514" s="8">
        <f t="shared" si="29"/>
        <v>5.3759151024317386E-3</v>
      </c>
      <c r="J514" s="8">
        <f t="shared" si="30"/>
        <v>5.3615164517344703E-3</v>
      </c>
      <c r="K514" s="8">
        <f t="shared" si="31"/>
        <v>6.9873661344475479E-2</v>
      </c>
    </row>
    <row r="515" spans="1:11" x14ac:dyDescent="0.25">
      <c r="A515" t="str">
        <f t="shared" ref="A515:A578" si="32">+MONTH(B515)&amp;YEAR(B515)</f>
        <v>12019</v>
      </c>
      <c r="B515" s="1">
        <v>43494</v>
      </c>
      <c r="C515" t="s">
        <v>336</v>
      </c>
      <c r="D515">
        <v>15126.15</v>
      </c>
      <c r="E515">
        <v>15293</v>
      </c>
      <c r="F515">
        <v>14986.7</v>
      </c>
      <c r="G515">
        <v>15231.3</v>
      </c>
      <c r="H515">
        <v>0</v>
      </c>
      <c r="I515" s="8">
        <f t="shared" si="29"/>
        <v>7.3511175484370916E-3</v>
      </c>
      <c r="J515" s="8">
        <f t="shared" si="30"/>
        <v>7.3242297735543142E-3</v>
      </c>
      <c r="K515" s="8">
        <f t="shared" si="31"/>
        <v>6.0982108339109109E-2</v>
      </c>
    </row>
    <row r="516" spans="1:11" x14ac:dyDescent="0.25">
      <c r="A516" t="str">
        <f t="shared" si="32"/>
        <v>12019</v>
      </c>
      <c r="B516" s="1">
        <v>43495</v>
      </c>
      <c r="C516" t="s">
        <v>337</v>
      </c>
      <c r="D516">
        <v>15304</v>
      </c>
      <c r="E516">
        <v>15381.45</v>
      </c>
      <c r="F516">
        <v>15192.4</v>
      </c>
      <c r="G516">
        <v>15255.2</v>
      </c>
      <c r="H516">
        <v>0</v>
      </c>
      <c r="I516" s="8">
        <f t="shared" ref="I516:I579" si="33">+G516/G515-1</f>
        <v>1.5691372371366974E-3</v>
      </c>
      <c r="J516" s="8">
        <f t="shared" ref="J516:J579" si="34">+LN(1+I516)</f>
        <v>1.5679074276273937E-3</v>
      </c>
      <c r="K516" s="8">
        <f t="shared" si="31"/>
        <v>2.1090889619212794E-2</v>
      </c>
    </row>
    <row r="517" spans="1:11" x14ac:dyDescent="0.25">
      <c r="A517" t="str">
        <f t="shared" si="32"/>
        <v>12019</v>
      </c>
      <c r="B517" s="1">
        <v>43496</v>
      </c>
      <c r="C517" t="s">
        <v>338</v>
      </c>
      <c r="D517">
        <v>15299.45</v>
      </c>
      <c r="E517">
        <v>15513.45</v>
      </c>
      <c r="F517">
        <v>15276.05</v>
      </c>
      <c r="G517">
        <v>15499.3</v>
      </c>
      <c r="H517">
        <v>0</v>
      </c>
      <c r="I517" s="8">
        <f t="shared" si="33"/>
        <v>1.6001101263831252E-2</v>
      </c>
      <c r="J517" s="8">
        <f t="shared" si="34"/>
        <v>1.5874433076796458E-2</v>
      </c>
      <c r="K517" s="8">
        <f t="shared" si="31"/>
        <v>5.9998632198057678E-2</v>
      </c>
    </row>
    <row r="518" spans="1:11" x14ac:dyDescent="0.25">
      <c r="A518" t="str">
        <f t="shared" si="32"/>
        <v>22019</v>
      </c>
      <c r="B518" s="1">
        <v>43497</v>
      </c>
      <c r="C518" s="10">
        <v>43467.645833333336</v>
      </c>
      <c r="D518">
        <v>15522.55</v>
      </c>
      <c r="E518">
        <v>15751.75</v>
      </c>
      <c r="F518">
        <v>15485.7</v>
      </c>
      <c r="G518">
        <v>15724.3</v>
      </c>
      <c r="H518">
        <v>0</v>
      </c>
      <c r="I518" s="8">
        <f t="shared" si="33"/>
        <v>1.4516784628983315E-2</v>
      </c>
      <c r="J518" s="8">
        <f t="shared" si="34"/>
        <v>1.4412424877262461E-2</v>
      </c>
      <c r="K518" s="8">
        <f t="shared" si="31"/>
        <v>9.2215577180881692E-2</v>
      </c>
    </row>
    <row r="519" spans="1:11" x14ac:dyDescent="0.25">
      <c r="A519" t="str">
        <f t="shared" si="32"/>
        <v>22019</v>
      </c>
      <c r="B519" s="1">
        <v>43500</v>
      </c>
      <c r="C519" s="10">
        <v>43557.645833333336</v>
      </c>
      <c r="D519">
        <v>15727.2</v>
      </c>
      <c r="E519">
        <v>15819.7</v>
      </c>
      <c r="F519">
        <v>15635.9</v>
      </c>
      <c r="G519">
        <v>15754.8</v>
      </c>
      <c r="H519">
        <v>0</v>
      </c>
      <c r="I519" s="8">
        <f t="shared" si="33"/>
        <v>1.939672990212582E-3</v>
      </c>
      <c r="J519" s="8">
        <f t="shared" si="34"/>
        <v>1.9377942535889401E-3</v>
      </c>
      <c r="K519" s="8">
        <f t="shared" si="31"/>
        <v>8.8658938967298262E-2</v>
      </c>
    </row>
    <row r="520" spans="1:11" x14ac:dyDescent="0.25">
      <c r="A520" t="str">
        <f t="shared" si="32"/>
        <v>22019</v>
      </c>
      <c r="B520" s="1">
        <v>43501</v>
      </c>
      <c r="C520" s="10">
        <v>43587.645833333336</v>
      </c>
      <c r="D520">
        <v>15709</v>
      </c>
      <c r="E520">
        <v>15812.15</v>
      </c>
      <c r="F520">
        <v>15634.95</v>
      </c>
      <c r="G520">
        <v>15738.7</v>
      </c>
      <c r="H520">
        <v>0</v>
      </c>
      <c r="I520" s="8">
        <f t="shared" si="33"/>
        <v>-1.0219107827454943E-3</v>
      </c>
      <c r="J520" s="8">
        <f t="shared" si="34"/>
        <v>-1.0224332895700094E-3</v>
      </c>
      <c r="K520" s="8">
        <f t="shared" si="31"/>
        <v>7.9671818512344617E-2</v>
      </c>
    </row>
    <row r="521" spans="1:11" x14ac:dyDescent="0.25">
      <c r="A521" t="str">
        <f t="shared" si="32"/>
        <v>22019</v>
      </c>
      <c r="B521" s="1">
        <v>43502</v>
      </c>
      <c r="C521" s="10">
        <v>43618.645833333336</v>
      </c>
      <c r="D521">
        <v>15857.7</v>
      </c>
      <c r="E521">
        <v>16090.7</v>
      </c>
      <c r="F521">
        <v>15835.7</v>
      </c>
      <c r="G521">
        <v>16055.6</v>
      </c>
      <c r="H521">
        <v>0</v>
      </c>
      <c r="I521" s="8">
        <f t="shared" si="33"/>
        <v>2.0135081042271574E-2</v>
      </c>
      <c r="J521" s="8">
        <f t="shared" si="34"/>
        <v>1.9935050922168206E-2</v>
      </c>
      <c r="K521" s="8">
        <f t="shared" si="31"/>
        <v>0.10323123700891546</v>
      </c>
    </row>
    <row r="522" spans="1:11" x14ac:dyDescent="0.25">
      <c r="A522" t="str">
        <f t="shared" si="32"/>
        <v>22019</v>
      </c>
      <c r="B522" s="1">
        <v>43503</v>
      </c>
      <c r="C522" s="10">
        <v>43648.645833333336</v>
      </c>
      <c r="D522">
        <v>16045.55</v>
      </c>
      <c r="E522">
        <v>16167.85</v>
      </c>
      <c r="F522">
        <v>16031.15</v>
      </c>
      <c r="G522">
        <v>16085.85</v>
      </c>
      <c r="H522">
        <v>0</v>
      </c>
      <c r="I522" s="8">
        <f t="shared" si="33"/>
        <v>1.8840778295423632E-3</v>
      </c>
      <c r="J522" s="8">
        <f t="shared" si="34"/>
        <v>1.8823051810976693E-3</v>
      </c>
      <c r="K522" s="8">
        <f t="shared" si="31"/>
        <v>9.7972765434626741E-2</v>
      </c>
    </row>
    <row r="523" spans="1:11" x14ac:dyDescent="0.25">
      <c r="A523" t="str">
        <f t="shared" si="32"/>
        <v>22019</v>
      </c>
      <c r="B523" s="1">
        <v>43504</v>
      </c>
      <c r="C523" s="10">
        <v>43679.645833333336</v>
      </c>
      <c r="D523">
        <v>16001.15</v>
      </c>
      <c r="E523">
        <v>16145.7</v>
      </c>
      <c r="F523">
        <v>15979.8</v>
      </c>
      <c r="G523">
        <v>16019.8</v>
      </c>
      <c r="H523">
        <v>0</v>
      </c>
      <c r="I523" s="8">
        <f t="shared" si="33"/>
        <v>-4.1060932434406894E-3</v>
      </c>
      <c r="J523" s="8">
        <f t="shared" si="34"/>
        <v>-4.114546391848147E-3</v>
      </c>
      <c r="K523" s="8">
        <f t="shared" si="31"/>
        <v>8.9915771999292238E-2</v>
      </c>
    </row>
    <row r="524" spans="1:11" x14ac:dyDescent="0.25">
      <c r="A524" t="str">
        <f t="shared" si="32"/>
        <v>22019</v>
      </c>
      <c r="B524" s="1">
        <v>43507</v>
      </c>
      <c r="C524" s="10">
        <v>43771.645833333336</v>
      </c>
      <c r="D524">
        <v>16050.2</v>
      </c>
      <c r="E524">
        <v>16159.05</v>
      </c>
      <c r="F524">
        <v>16002.5</v>
      </c>
      <c r="G524">
        <v>16099.05</v>
      </c>
      <c r="H524">
        <v>0</v>
      </c>
      <c r="I524" s="8">
        <f t="shared" si="33"/>
        <v>4.9470030836840095E-3</v>
      </c>
      <c r="J524" s="8">
        <f t="shared" si="34"/>
        <v>4.9348068705266984E-3</v>
      </c>
      <c r="K524" s="8">
        <f t="shared" si="31"/>
        <v>0.12278481012658227</v>
      </c>
    </row>
    <row r="525" spans="1:11" x14ac:dyDescent="0.25">
      <c r="A525" t="str">
        <f t="shared" si="32"/>
        <v>22019</v>
      </c>
      <c r="B525" s="1">
        <v>43508</v>
      </c>
      <c r="C525" s="10">
        <v>43801.645833333336</v>
      </c>
      <c r="D525">
        <v>16093.45</v>
      </c>
      <c r="E525">
        <v>16094.6</v>
      </c>
      <c r="F525">
        <v>15788.1</v>
      </c>
      <c r="G525">
        <v>15938.65</v>
      </c>
      <c r="H525">
        <v>0</v>
      </c>
      <c r="I525" s="8">
        <f t="shared" si="33"/>
        <v>-9.9633208170668563E-3</v>
      </c>
      <c r="J525" s="8">
        <f t="shared" si="34"/>
        <v>-1.0013286860093425E-2</v>
      </c>
      <c r="K525" s="8">
        <f t="shared" si="31"/>
        <v>0.11038619493317259</v>
      </c>
    </row>
    <row r="526" spans="1:11" x14ac:dyDescent="0.25">
      <c r="A526" t="str">
        <f t="shared" si="32"/>
        <v>22019</v>
      </c>
      <c r="B526" s="1">
        <v>43509</v>
      </c>
      <c r="C526" t="s">
        <v>339</v>
      </c>
      <c r="D526">
        <v>15958.4</v>
      </c>
      <c r="E526">
        <v>16087.3</v>
      </c>
      <c r="F526">
        <v>15885.3</v>
      </c>
      <c r="G526">
        <v>16041.65</v>
      </c>
      <c r="H526">
        <v>0</v>
      </c>
      <c r="I526" s="8">
        <f t="shared" si="33"/>
        <v>6.4622788002748344E-3</v>
      </c>
      <c r="J526" s="8">
        <f t="shared" si="34"/>
        <v>6.4414878000511426E-3</v>
      </c>
      <c r="K526" s="8">
        <f t="shared" si="31"/>
        <v>0.1083730908613536</v>
      </c>
    </row>
    <row r="527" spans="1:11" x14ac:dyDescent="0.25">
      <c r="A527" t="str">
        <f t="shared" si="32"/>
        <v>22019</v>
      </c>
      <c r="B527" s="1">
        <v>43510</v>
      </c>
      <c r="C527" t="s">
        <v>340</v>
      </c>
      <c r="D527">
        <v>15992.45</v>
      </c>
      <c r="E527">
        <v>16002.2</v>
      </c>
      <c r="F527">
        <v>15828.85</v>
      </c>
      <c r="G527">
        <v>15861.65</v>
      </c>
      <c r="H527">
        <v>0</v>
      </c>
      <c r="I527" s="8">
        <f t="shared" si="33"/>
        <v>-1.1220790878743725E-2</v>
      </c>
      <c r="J527" s="8">
        <f t="shared" si="34"/>
        <v>-1.1284218873902057E-2</v>
      </c>
      <c r="K527" s="8">
        <f t="shared" si="31"/>
        <v>8.6429266154330886E-2</v>
      </c>
    </row>
    <row r="528" spans="1:11" x14ac:dyDescent="0.25">
      <c r="A528" t="str">
        <f t="shared" si="32"/>
        <v>22019</v>
      </c>
      <c r="B528" s="1">
        <v>43511</v>
      </c>
      <c r="C528" t="s">
        <v>341</v>
      </c>
      <c r="D528">
        <v>15898.4</v>
      </c>
      <c r="E528">
        <v>15912.45</v>
      </c>
      <c r="F528">
        <v>15620.45</v>
      </c>
      <c r="G528">
        <v>15815.6</v>
      </c>
      <c r="H528">
        <v>0</v>
      </c>
      <c r="I528" s="8">
        <f t="shared" si="33"/>
        <v>-2.9032288570229881E-3</v>
      </c>
      <c r="J528" s="8">
        <f t="shared" si="34"/>
        <v>-2.9074514005749696E-3</v>
      </c>
      <c r="K528" s="8">
        <f t="shared" si="31"/>
        <v>0.10713960700310121</v>
      </c>
    </row>
    <row r="529" spans="1:11" x14ac:dyDescent="0.25">
      <c r="A529" t="str">
        <f t="shared" si="32"/>
        <v>22019</v>
      </c>
      <c r="B529" s="1">
        <v>43514</v>
      </c>
      <c r="C529" t="s">
        <v>342</v>
      </c>
      <c r="D529">
        <v>15895.5</v>
      </c>
      <c r="E529">
        <v>15948.1</v>
      </c>
      <c r="F529">
        <v>15618.05</v>
      </c>
      <c r="G529">
        <v>15659</v>
      </c>
      <c r="H529">
        <v>0</v>
      </c>
      <c r="I529" s="8">
        <f t="shared" si="33"/>
        <v>-9.9016161258504987E-3</v>
      </c>
      <c r="J529" s="8">
        <f t="shared" si="34"/>
        <v>-9.9509631404769809E-3</v>
      </c>
      <c r="K529" s="8">
        <f t="shared" si="31"/>
        <v>0.1282391212718359</v>
      </c>
    </row>
    <row r="530" spans="1:11" x14ac:dyDescent="0.25">
      <c r="A530" t="str">
        <f t="shared" si="32"/>
        <v>22019</v>
      </c>
      <c r="B530" s="1">
        <v>43515</v>
      </c>
      <c r="C530" t="s">
        <v>343</v>
      </c>
      <c r="D530">
        <v>15644.05</v>
      </c>
      <c r="E530">
        <v>15651.9</v>
      </c>
      <c r="F530">
        <v>15287.5</v>
      </c>
      <c r="G530">
        <v>15333.5</v>
      </c>
      <c r="H530">
        <v>0</v>
      </c>
      <c r="I530" s="8">
        <f t="shared" si="33"/>
        <v>-2.078676799284751E-2</v>
      </c>
      <c r="J530" s="8">
        <f t="shared" si="34"/>
        <v>-2.1005854236176402E-2</v>
      </c>
      <c r="K530" s="8">
        <f t="shared" si="31"/>
        <v>0.10825617785872765</v>
      </c>
    </row>
    <row r="531" spans="1:11" x14ac:dyDescent="0.25">
      <c r="A531" t="str">
        <f t="shared" si="32"/>
        <v>22019</v>
      </c>
      <c r="B531" s="1">
        <v>43516</v>
      </c>
      <c r="C531" t="s">
        <v>344</v>
      </c>
      <c r="D531">
        <v>15382.45</v>
      </c>
      <c r="E531">
        <v>15651.7</v>
      </c>
      <c r="F531">
        <v>15330.8</v>
      </c>
      <c r="G531">
        <v>15609.45</v>
      </c>
      <c r="H531">
        <v>0</v>
      </c>
      <c r="I531" s="8">
        <f t="shared" si="33"/>
        <v>1.7996543515831354E-2</v>
      </c>
      <c r="J531" s="8">
        <f t="shared" si="34"/>
        <v>1.7836522755014027E-2</v>
      </c>
      <c r="K531" s="8">
        <f t="shared" si="31"/>
        <v>0.11294152038444549</v>
      </c>
    </row>
    <row r="532" spans="1:11" x14ac:dyDescent="0.25">
      <c r="A532" t="str">
        <f t="shared" si="32"/>
        <v>22019</v>
      </c>
      <c r="B532" s="1">
        <v>43517</v>
      </c>
      <c r="C532" t="s">
        <v>345</v>
      </c>
      <c r="D532">
        <v>15609.15</v>
      </c>
      <c r="E532">
        <v>15691.4</v>
      </c>
      <c r="F532">
        <v>15492.2</v>
      </c>
      <c r="G532">
        <v>15588.9</v>
      </c>
      <c r="H532">
        <v>0</v>
      </c>
      <c r="I532" s="8">
        <f t="shared" si="33"/>
        <v>-1.3165101909421439E-3</v>
      </c>
      <c r="J532" s="8">
        <f t="shared" si="34"/>
        <v>-1.3173775518267763E-3</v>
      </c>
      <c r="K532" s="8">
        <f t="shared" si="31"/>
        <v>9.5853529087157829E-2</v>
      </c>
    </row>
    <row r="533" spans="1:11" x14ac:dyDescent="0.25">
      <c r="A533" t="str">
        <f t="shared" si="32"/>
        <v>22019</v>
      </c>
      <c r="B533" s="1">
        <v>43518</v>
      </c>
      <c r="C533" t="s">
        <v>346</v>
      </c>
      <c r="D533">
        <v>15582.8</v>
      </c>
      <c r="E533">
        <v>15717.3</v>
      </c>
      <c r="F533">
        <v>15543.5</v>
      </c>
      <c r="G533">
        <v>15684.7</v>
      </c>
      <c r="H533">
        <v>0</v>
      </c>
      <c r="I533" s="8">
        <f t="shared" si="33"/>
        <v>6.1453983282977465E-3</v>
      </c>
      <c r="J533" s="8">
        <f t="shared" si="34"/>
        <v>6.1265923753773648E-3</v>
      </c>
      <c r="K533" s="8">
        <f t="shared" si="31"/>
        <v>7.1879121705198612E-2</v>
      </c>
    </row>
    <row r="534" spans="1:11" x14ac:dyDescent="0.25">
      <c r="A534" t="str">
        <f t="shared" si="32"/>
        <v>22019</v>
      </c>
      <c r="B534" s="1">
        <v>43521</v>
      </c>
      <c r="C534" t="s">
        <v>347</v>
      </c>
      <c r="D534">
        <v>15738.95</v>
      </c>
      <c r="E534">
        <v>16029.95</v>
      </c>
      <c r="F534">
        <v>15729.25</v>
      </c>
      <c r="G534">
        <v>16003.7</v>
      </c>
      <c r="H534">
        <v>0</v>
      </c>
      <c r="I534" s="8">
        <f t="shared" si="33"/>
        <v>2.0338291456004853E-2</v>
      </c>
      <c r="J534" s="8">
        <f t="shared" si="34"/>
        <v>2.0134230599927291E-2</v>
      </c>
      <c r="K534" s="8">
        <f t="shared" si="31"/>
        <v>0.10635106081450107</v>
      </c>
    </row>
    <row r="535" spans="1:11" x14ac:dyDescent="0.25">
      <c r="A535" t="str">
        <f t="shared" si="32"/>
        <v>22019</v>
      </c>
      <c r="B535" s="1">
        <v>43522</v>
      </c>
      <c r="C535" t="s">
        <v>348</v>
      </c>
      <c r="D535">
        <v>15933.8</v>
      </c>
      <c r="E535">
        <v>16069.4</v>
      </c>
      <c r="F535">
        <v>15874.95</v>
      </c>
      <c r="G535">
        <v>15989.6</v>
      </c>
      <c r="H535">
        <v>0</v>
      </c>
      <c r="I535" s="8">
        <f t="shared" si="33"/>
        <v>-8.810462580528533E-4</v>
      </c>
      <c r="J535" s="8">
        <f t="shared" si="34"/>
        <v>-8.8143460742653133E-4</v>
      </c>
      <c r="K535" s="8">
        <f t="shared" si="31"/>
        <v>9.2331287295780662E-2</v>
      </c>
    </row>
    <row r="536" spans="1:11" x14ac:dyDescent="0.25">
      <c r="A536" t="str">
        <f t="shared" si="32"/>
        <v>22019</v>
      </c>
      <c r="B536" s="1">
        <v>43523</v>
      </c>
      <c r="C536" t="s">
        <v>349</v>
      </c>
      <c r="D536">
        <v>15983.8</v>
      </c>
      <c r="E536">
        <v>16007.65</v>
      </c>
      <c r="F536">
        <v>15803.7</v>
      </c>
      <c r="G536">
        <v>15902.1</v>
      </c>
      <c r="H536">
        <v>0</v>
      </c>
      <c r="I536" s="8">
        <f t="shared" si="33"/>
        <v>-5.4723069995497031E-3</v>
      </c>
      <c r="J536" s="8">
        <f t="shared" si="34"/>
        <v>-5.4873349215081788E-3</v>
      </c>
      <c r="K536" s="8">
        <f t="shared" si="31"/>
        <v>7.8810615722775479E-2</v>
      </c>
    </row>
    <row r="537" spans="1:11" x14ac:dyDescent="0.25">
      <c r="A537" t="str">
        <f t="shared" si="32"/>
        <v>22019</v>
      </c>
      <c r="B537" s="1">
        <v>43524</v>
      </c>
      <c r="C537" t="s">
        <v>350</v>
      </c>
      <c r="D537">
        <v>15974.1</v>
      </c>
      <c r="E537">
        <v>15974.1</v>
      </c>
      <c r="F537">
        <v>15694.85</v>
      </c>
      <c r="G537">
        <v>15732</v>
      </c>
      <c r="H537">
        <v>0</v>
      </c>
      <c r="I537" s="8">
        <f t="shared" si="33"/>
        <v>-1.0696700435791517E-2</v>
      </c>
      <c r="J537" s="8">
        <f t="shared" si="34"/>
        <v>-1.0754321407123657E-2</v>
      </c>
      <c r="K537" s="8">
        <f t="shared" si="31"/>
        <v>4.8806992046613651E-2</v>
      </c>
    </row>
    <row r="538" spans="1:11" x14ac:dyDescent="0.25">
      <c r="A538" t="str">
        <f t="shared" si="32"/>
        <v>32019</v>
      </c>
      <c r="B538" s="1">
        <v>43525</v>
      </c>
      <c r="C538" s="10">
        <v>43468.645833333336</v>
      </c>
      <c r="D538">
        <v>15778.15</v>
      </c>
      <c r="E538">
        <v>15871.1</v>
      </c>
      <c r="F538">
        <v>15752.2</v>
      </c>
      <c r="G538">
        <v>15848.3</v>
      </c>
      <c r="H538">
        <v>0</v>
      </c>
      <c r="I538" s="8">
        <f t="shared" si="33"/>
        <v>7.3925756420034627E-3</v>
      </c>
      <c r="J538" s="8">
        <f t="shared" si="34"/>
        <v>7.3653844809370402E-3</v>
      </c>
      <c r="K538" s="8">
        <f t="shared" si="31"/>
        <v>5.564196243909425E-2</v>
      </c>
    </row>
    <row r="539" spans="1:11" x14ac:dyDescent="0.25">
      <c r="A539" t="str">
        <f t="shared" si="32"/>
        <v>32019</v>
      </c>
      <c r="B539" s="1">
        <v>43529</v>
      </c>
      <c r="C539" s="10">
        <v>43588.645833333336</v>
      </c>
      <c r="D539">
        <v>15839.2</v>
      </c>
      <c r="E539">
        <v>15839.2</v>
      </c>
      <c r="F539">
        <v>15634.55</v>
      </c>
      <c r="G539">
        <v>15664.1</v>
      </c>
      <c r="H539">
        <v>0</v>
      </c>
      <c r="I539" s="8">
        <f t="shared" si="33"/>
        <v>-1.162269770259261E-2</v>
      </c>
      <c r="J539" s="8">
        <f t="shared" si="34"/>
        <v>-1.1690769217350799E-2</v>
      </c>
      <c r="K539" s="8">
        <f t="shared" si="31"/>
        <v>6.6038281582305514E-2</v>
      </c>
    </row>
    <row r="540" spans="1:11" x14ac:dyDescent="0.25">
      <c r="A540" t="str">
        <f t="shared" si="32"/>
        <v>32019</v>
      </c>
      <c r="B540" s="1">
        <v>43530</v>
      </c>
      <c r="C540" s="10">
        <v>43619.645833333336</v>
      </c>
      <c r="D540">
        <v>15732.35</v>
      </c>
      <c r="E540">
        <v>15814.7</v>
      </c>
      <c r="F540">
        <v>15681.1</v>
      </c>
      <c r="G540">
        <v>15735.05</v>
      </c>
      <c r="H540">
        <v>0</v>
      </c>
      <c r="I540" s="8">
        <f t="shared" si="33"/>
        <v>4.5294654656187205E-3</v>
      </c>
      <c r="J540" s="8">
        <f t="shared" si="34"/>
        <v>4.519238307660484E-3</v>
      </c>
      <c r="K540" s="8">
        <f t="shared" si="31"/>
        <v>7.3119914887232351E-2</v>
      </c>
    </row>
    <row r="541" spans="1:11" x14ac:dyDescent="0.25">
      <c r="A541" t="str">
        <f t="shared" si="32"/>
        <v>32019</v>
      </c>
      <c r="B541" s="1">
        <v>43531</v>
      </c>
      <c r="C541" s="10">
        <v>43649.645833333336</v>
      </c>
      <c r="D541">
        <v>15788.15</v>
      </c>
      <c r="E541">
        <v>15788.15</v>
      </c>
      <c r="F541">
        <v>15558.95</v>
      </c>
      <c r="G541">
        <v>15582.1</v>
      </c>
      <c r="H541">
        <v>0</v>
      </c>
      <c r="I541" s="8">
        <f t="shared" si="33"/>
        <v>-9.7203377173887828E-3</v>
      </c>
      <c r="J541" s="8">
        <f t="shared" si="34"/>
        <v>-9.7678885913323552E-3</v>
      </c>
      <c r="K541" s="8">
        <f t="shared" si="31"/>
        <v>8.0649411895250767E-2</v>
      </c>
    </row>
    <row r="542" spans="1:11" x14ac:dyDescent="0.25">
      <c r="A542" t="str">
        <f t="shared" si="32"/>
        <v>32019</v>
      </c>
      <c r="B542" s="1">
        <v>43532</v>
      </c>
      <c r="C542" s="10">
        <v>43680.645833333336</v>
      </c>
      <c r="D542">
        <v>15544.35</v>
      </c>
      <c r="E542">
        <v>15545.65</v>
      </c>
      <c r="F542">
        <v>15388.2</v>
      </c>
      <c r="G542">
        <v>15408.7</v>
      </c>
      <c r="H542">
        <v>0</v>
      </c>
      <c r="I542" s="8">
        <f t="shared" si="33"/>
        <v>-1.1128153458134671E-2</v>
      </c>
      <c r="J542" s="8">
        <f t="shared" si="34"/>
        <v>-1.1190534580698221E-2</v>
      </c>
      <c r="K542" s="8">
        <f t="shared" si="31"/>
        <v>5.6867129413701312E-2</v>
      </c>
    </row>
    <row r="543" spans="1:11" x14ac:dyDescent="0.25">
      <c r="A543" t="str">
        <f t="shared" si="32"/>
        <v>32019</v>
      </c>
      <c r="B543" s="1">
        <v>43535</v>
      </c>
      <c r="C543" s="10">
        <v>43772.645833333336</v>
      </c>
      <c r="D543">
        <v>15432.9</v>
      </c>
      <c r="E543">
        <v>15500.75</v>
      </c>
      <c r="F543">
        <v>15349.6</v>
      </c>
      <c r="G543">
        <v>15388.5</v>
      </c>
      <c r="H543">
        <v>0</v>
      </c>
      <c r="I543" s="8">
        <f t="shared" si="33"/>
        <v>-1.3109477113578683E-3</v>
      </c>
      <c r="J543" s="8">
        <f t="shared" si="34"/>
        <v>-1.3118077550391943E-3</v>
      </c>
      <c r="K543" s="8">
        <f t="shared" si="31"/>
        <v>4.4098639282697416E-2</v>
      </c>
    </row>
    <row r="544" spans="1:11" x14ac:dyDescent="0.25">
      <c r="A544" t="str">
        <f t="shared" si="32"/>
        <v>32019</v>
      </c>
      <c r="B544" s="1">
        <v>43536</v>
      </c>
      <c r="C544" s="10">
        <v>43802.645833333336</v>
      </c>
      <c r="D544">
        <v>15408.85</v>
      </c>
      <c r="E544">
        <v>15497.2</v>
      </c>
      <c r="F544">
        <v>15349.8</v>
      </c>
      <c r="G544">
        <v>15384.55</v>
      </c>
      <c r="H544">
        <v>0</v>
      </c>
      <c r="I544" s="8">
        <f t="shared" si="33"/>
        <v>-2.5668518699029086E-4</v>
      </c>
      <c r="J544" s="8">
        <f t="shared" si="34"/>
        <v>-2.5671813627141653E-4</v>
      </c>
      <c r="K544" s="8">
        <f t="shared" si="31"/>
        <v>3.6624890506030461E-2</v>
      </c>
    </row>
    <row r="545" spans="1:11" x14ac:dyDescent="0.25">
      <c r="A545" t="str">
        <f t="shared" si="32"/>
        <v>32019</v>
      </c>
      <c r="B545" s="1">
        <v>43537</v>
      </c>
      <c r="C545" t="s">
        <v>351</v>
      </c>
      <c r="D545">
        <v>15442.25</v>
      </c>
      <c r="E545">
        <v>15550.85</v>
      </c>
      <c r="F545">
        <v>15300.25</v>
      </c>
      <c r="G545">
        <v>15342.9</v>
      </c>
      <c r="H545">
        <v>0</v>
      </c>
      <c r="I545" s="8">
        <f t="shared" si="33"/>
        <v>-2.7072615058614247E-3</v>
      </c>
      <c r="J545" s="8">
        <f t="shared" si="34"/>
        <v>-2.7109327658295414E-3</v>
      </c>
      <c r="K545" s="8">
        <f t="shared" si="31"/>
        <v>3.3094523075265725E-2</v>
      </c>
    </row>
    <row r="546" spans="1:11" x14ac:dyDescent="0.25">
      <c r="A546" t="str">
        <f t="shared" si="32"/>
        <v>32019</v>
      </c>
      <c r="B546" s="1">
        <v>43538</v>
      </c>
      <c r="C546" t="s">
        <v>352</v>
      </c>
      <c r="D546">
        <v>15422.6</v>
      </c>
      <c r="E546">
        <v>15437.05</v>
      </c>
      <c r="F546">
        <v>15202.05</v>
      </c>
      <c r="G546">
        <v>15260.45</v>
      </c>
      <c r="H546">
        <v>0</v>
      </c>
      <c r="I546" s="8">
        <f t="shared" si="33"/>
        <v>-5.3738211159558569E-3</v>
      </c>
      <c r="J546" s="8">
        <f t="shared" si="34"/>
        <v>-5.3883120303519329E-3</v>
      </c>
      <c r="K546" s="8">
        <f t="shared" si="31"/>
        <v>2.6047112058387611E-2</v>
      </c>
    </row>
    <row r="547" spans="1:11" x14ac:dyDescent="0.25">
      <c r="A547" t="str">
        <f t="shared" si="32"/>
        <v>32019</v>
      </c>
      <c r="B547" s="1">
        <v>43539</v>
      </c>
      <c r="C547" t="s">
        <v>353</v>
      </c>
      <c r="D547">
        <v>15346</v>
      </c>
      <c r="E547">
        <v>15649.25</v>
      </c>
      <c r="F547">
        <v>15324.85</v>
      </c>
      <c r="G547">
        <v>15546.6</v>
      </c>
      <c r="H547">
        <v>0</v>
      </c>
      <c r="I547" s="8">
        <f t="shared" si="33"/>
        <v>1.8751085321861316E-2</v>
      </c>
      <c r="J547" s="8">
        <f t="shared" si="34"/>
        <v>1.8577450918980266E-2</v>
      </c>
      <c r="K547" s="8">
        <f t="shared" si="31"/>
        <v>5.5373398774005711E-2</v>
      </c>
    </row>
    <row r="548" spans="1:11" x14ac:dyDescent="0.25">
      <c r="A548" t="str">
        <f t="shared" si="32"/>
        <v>32019</v>
      </c>
      <c r="B548" s="1">
        <v>43542</v>
      </c>
      <c r="C548" t="s">
        <v>354</v>
      </c>
      <c r="D548">
        <v>15614.8</v>
      </c>
      <c r="E548">
        <v>15661.3</v>
      </c>
      <c r="F548">
        <v>15304.75</v>
      </c>
      <c r="G548">
        <v>15359.45</v>
      </c>
      <c r="H548">
        <v>0</v>
      </c>
      <c r="I548" s="8">
        <f t="shared" si="33"/>
        <v>-1.2038001878224125E-2</v>
      </c>
      <c r="J548" s="8">
        <f t="shared" si="34"/>
        <v>-1.2111045413504396E-2</v>
      </c>
      <c r="K548" s="8">
        <f t="shared" si="31"/>
        <v>5.2608314258693278E-2</v>
      </c>
    </row>
    <row r="549" spans="1:11" x14ac:dyDescent="0.25">
      <c r="A549" t="str">
        <f t="shared" si="32"/>
        <v>32019</v>
      </c>
      <c r="B549" s="1">
        <v>43543</v>
      </c>
      <c r="C549" t="s">
        <v>355</v>
      </c>
      <c r="D549">
        <v>15432.5</v>
      </c>
      <c r="E549">
        <v>15545.45</v>
      </c>
      <c r="F549">
        <v>15296</v>
      </c>
      <c r="G549">
        <v>15495.55</v>
      </c>
      <c r="H549">
        <v>0</v>
      </c>
      <c r="I549" s="8">
        <f t="shared" si="33"/>
        <v>8.860994371543196E-3</v>
      </c>
      <c r="J549" s="8">
        <f t="shared" si="34"/>
        <v>8.8219661440757467E-3</v>
      </c>
      <c r="K549" s="8">
        <f t="shared" si="31"/>
        <v>6.5561144672555249E-2</v>
      </c>
    </row>
    <row r="550" spans="1:11" x14ac:dyDescent="0.25">
      <c r="A550" t="str">
        <f t="shared" si="32"/>
        <v>32019</v>
      </c>
      <c r="B550" s="1">
        <v>43544</v>
      </c>
      <c r="C550" t="s">
        <v>356</v>
      </c>
      <c r="D550">
        <v>15563.95</v>
      </c>
      <c r="E550">
        <v>15735.25</v>
      </c>
      <c r="F550">
        <v>15554.45</v>
      </c>
      <c r="G550">
        <v>15599.25</v>
      </c>
      <c r="H550">
        <v>0</v>
      </c>
      <c r="I550" s="8">
        <f t="shared" si="33"/>
        <v>6.6922439022816249E-3</v>
      </c>
      <c r="J550" s="8">
        <f t="shared" si="34"/>
        <v>6.6699502458432607E-3</v>
      </c>
      <c r="K550" s="8">
        <f t="shared" si="31"/>
        <v>9.7931777151363475E-2</v>
      </c>
    </row>
    <row r="551" spans="1:11" x14ac:dyDescent="0.25">
      <c r="A551" t="str">
        <f t="shared" si="32"/>
        <v>32019</v>
      </c>
      <c r="B551" s="1">
        <v>43546</v>
      </c>
      <c r="C551" t="s">
        <v>357</v>
      </c>
      <c r="D551">
        <v>15652.3</v>
      </c>
      <c r="E551">
        <v>15652.3</v>
      </c>
      <c r="F551">
        <v>15462.2</v>
      </c>
      <c r="G551">
        <v>15551.1</v>
      </c>
      <c r="H551">
        <v>0</v>
      </c>
      <c r="I551" s="8">
        <f t="shared" si="33"/>
        <v>-3.0866868599451758E-3</v>
      </c>
      <c r="J551" s="8">
        <f t="shared" si="34"/>
        <v>-3.0914605035237135E-3</v>
      </c>
      <c r="K551" s="8">
        <f t="shared" si="31"/>
        <v>9.1477601726588365E-2</v>
      </c>
    </row>
    <row r="552" spans="1:11" x14ac:dyDescent="0.25">
      <c r="A552" t="str">
        <f t="shared" si="32"/>
        <v>32019</v>
      </c>
      <c r="B552" s="1">
        <v>43549</v>
      </c>
      <c r="C552" t="s">
        <v>358</v>
      </c>
      <c r="D552">
        <v>15579.05</v>
      </c>
      <c r="E552">
        <v>15579.05</v>
      </c>
      <c r="F552">
        <v>15388.4</v>
      </c>
      <c r="G552">
        <v>15416.85</v>
      </c>
      <c r="H552">
        <v>0</v>
      </c>
      <c r="I552" s="8">
        <f t="shared" si="33"/>
        <v>-8.6328298319733321E-3</v>
      </c>
      <c r="J552" s="8">
        <f t="shared" si="34"/>
        <v>-8.6703085616500197E-3</v>
      </c>
      <c r="K552" s="8">
        <f t="shared" si="31"/>
        <v>8.8845178650883927E-2</v>
      </c>
    </row>
    <row r="553" spans="1:11" x14ac:dyDescent="0.25">
      <c r="A553" t="str">
        <f t="shared" si="32"/>
        <v>32019</v>
      </c>
      <c r="B553" s="1">
        <v>43550</v>
      </c>
      <c r="C553" t="s">
        <v>359</v>
      </c>
      <c r="D553">
        <v>15415.5</v>
      </c>
      <c r="E553">
        <v>15426.25</v>
      </c>
      <c r="F553">
        <v>15218.25</v>
      </c>
      <c r="G553">
        <v>15356.6</v>
      </c>
      <c r="H553">
        <v>0</v>
      </c>
      <c r="I553" s="8">
        <f t="shared" si="33"/>
        <v>-3.9080616338617036E-3</v>
      </c>
      <c r="J553" s="8">
        <f t="shared" si="34"/>
        <v>-3.9157180610984556E-3</v>
      </c>
      <c r="K553" s="8">
        <f t="shared" si="31"/>
        <v>6.9810860705701971E-2</v>
      </c>
    </row>
    <row r="554" spans="1:11" x14ac:dyDescent="0.25">
      <c r="A554" t="str">
        <f t="shared" si="32"/>
        <v>32019</v>
      </c>
      <c r="B554" s="1">
        <v>43551</v>
      </c>
      <c r="C554" t="s">
        <v>360</v>
      </c>
      <c r="D554">
        <v>15352.6</v>
      </c>
      <c r="E554">
        <v>15421.85</v>
      </c>
      <c r="F554">
        <v>15307.1</v>
      </c>
      <c r="G554">
        <v>15339.4</v>
      </c>
      <c r="H554">
        <v>0</v>
      </c>
      <c r="I554" s="8">
        <f t="shared" si="33"/>
        <v>-1.1200395920972772E-3</v>
      </c>
      <c r="J554" s="8">
        <f t="shared" si="34"/>
        <v>-1.1206673051939978E-3</v>
      </c>
      <c r="K554" s="8">
        <f t="shared" si="31"/>
        <v>6.6287589150412218E-2</v>
      </c>
    </row>
    <row r="555" spans="1:11" x14ac:dyDescent="0.25">
      <c r="A555" t="str">
        <f t="shared" si="32"/>
        <v>32019</v>
      </c>
      <c r="B555" s="1">
        <v>43552</v>
      </c>
      <c r="C555" t="s">
        <v>361</v>
      </c>
      <c r="D555">
        <v>15410.35</v>
      </c>
      <c r="E555">
        <v>15636.5</v>
      </c>
      <c r="F555">
        <v>15399.45</v>
      </c>
      <c r="G555">
        <v>15566.75</v>
      </c>
      <c r="H555">
        <v>0</v>
      </c>
      <c r="I555" s="8">
        <f t="shared" si="33"/>
        <v>1.4821309829589291E-2</v>
      </c>
      <c r="J555" s="8">
        <f t="shared" si="34"/>
        <v>1.4712547566254834E-2</v>
      </c>
      <c r="K555" s="8">
        <f t="shared" si="31"/>
        <v>7.8007382118099988E-2</v>
      </c>
    </row>
    <row r="556" spans="1:11" x14ac:dyDescent="0.25">
      <c r="A556" t="str">
        <f t="shared" si="32"/>
        <v>32019</v>
      </c>
      <c r="B556" s="1">
        <v>43553</v>
      </c>
      <c r="C556" t="s">
        <v>362</v>
      </c>
      <c r="D556">
        <v>15681.6</v>
      </c>
      <c r="E556">
        <v>15729.5</v>
      </c>
      <c r="F556">
        <v>15578.2</v>
      </c>
      <c r="G556">
        <v>15628.2</v>
      </c>
      <c r="H556">
        <v>0</v>
      </c>
      <c r="I556" s="8">
        <f t="shared" si="33"/>
        <v>3.947516340919055E-3</v>
      </c>
      <c r="J556" s="8">
        <f t="shared" si="34"/>
        <v>3.9397453423373856E-3</v>
      </c>
      <c r="K556" s="8">
        <f t="shared" si="31"/>
        <v>8.1468974250738846E-2</v>
      </c>
    </row>
    <row r="557" spans="1:11" x14ac:dyDescent="0.25">
      <c r="A557" t="str">
        <f t="shared" si="32"/>
        <v>42019</v>
      </c>
      <c r="B557" s="1">
        <v>43556</v>
      </c>
      <c r="C557" s="10">
        <v>43469.645833333336</v>
      </c>
      <c r="D557">
        <v>15668.8</v>
      </c>
      <c r="E557">
        <v>15922.05</v>
      </c>
      <c r="F557">
        <v>15662.55</v>
      </c>
      <c r="G557">
        <v>15840.65</v>
      </c>
      <c r="H557">
        <v>0</v>
      </c>
      <c r="I557" s="8">
        <f t="shared" si="33"/>
        <v>1.3594015945534332E-2</v>
      </c>
      <c r="J557" s="8">
        <f t="shared" si="34"/>
        <v>1.3502446244079973E-2</v>
      </c>
      <c r="K557" s="8">
        <f t="shared" si="31"/>
        <v>9.6458804881256466E-2</v>
      </c>
    </row>
    <row r="558" spans="1:11" x14ac:dyDescent="0.25">
      <c r="A558" t="str">
        <f t="shared" si="32"/>
        <v>42019</v>
      </c>
      <c r="B558" s="1">
        <v>43557</v>
      </c>
      <c r="C558" s="10">
        <v>43500.645833333336</v>
      </c>
      <c r="D558">
        <v>15902.9</v>
      </c>
      <c r="E558">
        <v>16013.25</v>
      </c>
      <c r="F558">
        <v>15874.65</v>
      </c>
      <c r="G558">
        <v>15988.4</v>
      </c>
      <c r="H558">
        <v>0</v>
      </c>
      <c r="I558" s="8">
        <f t="shared" si="33"/>
        <v>9.3272687673802146E-3</v>
      </c>
      <c r="J558" s="8">
        <f t="shared" si="34"/>
        <v>9.2840384022981094E-3</v>
      </c>
      <c r="K558" s="8">
        <f t="shared" si="31"/>
        <v>0.11634077285882349</v>
      </c>
    </row>
    <row r="559" spans="1:11" x14ac:dyDescent="0.25">
      <c r="A559" t="str">
        <f t="shared" si="32"/>
        <v>42019</v>
      </c>
      <c r="B559" s="1">
        <v>43558</v>
      </c>
      <c r="C559" s="10">
        <v>43528.645833333336</v>
      </c>
      <c r="D559">
        <v>15996.5</v>
      </c>
      <c r="E559">
        <v>16009.85</v>
      </c>
      <c r="F559">
        <v>15862.5</v>
      </c>
      <c r="G559">
        <v>15962.95</v>
      </c>
      <c r="H559">
        <v>0</v>
      </c>
      <c r="I559" s="8">
        <f t="shared" si="33"/>
        <v>-1.5917790398037868E-3</v>
      </c>
      <c r="J559" s="8">
        <f t="shared" si="34"/>
        <v>-1.593047266062223E-3</v>
      </c>
      <c r="K559" s="8">
        <f t="shared" si="31"/>
        <v>0.12843070376038712</v>
      </c>
    </row>
    <row r="560" spans="1:11" x14ac:dyDescent="0.25">
      <c r="A560" t="str">
        <f t="shared" si="32"/>
        <v>42019</v>
      </c>
      <c r="B560" s="1">
        <v>43559</v>
      </c>
      <c r="C560" s="10">
        <v>43559.645833333336</v>
      </c>
      <c r="D560">
        <v>15947.8</v>
      </c>
      <c r="E560">
        <v>15954.15</v>
      </c>
      <c r="F560">
        <v>15691</v>
      </c>
      <c r="G560">
        <v>15744.8</v>
      </c>
      <c r="H560">
        <v>0</v>
      </c>
      <c r="I560" s="8">
        <f t="shared" si="33"/>
        <v>-1.3666020378438892E-2</v>
      </c>
      <c r="J560" s="8">
        <f t="shared" si="34"/>
        <v>-1.3760260007033339E-2</v>
      </c>
      <c r="K560" s="8">
        <f t="shared" si="31"/>
        <v>0.10168981562467194</v>
      </c>
    </row>
    <row r="561" spans="1:11" x14ac:dyDescent="0.25">
      <c r="A561" t="str">
        <f t="shared" si="32"/>
        <v>42019</v>
      </c>
      <c r="B561" s="1">
        <v>43560</v>
      </c>
      <c r="C561" s="10">
        <v>43589.645833333336</v>
      </c>
      <c r="D561">
        <v>15800.45</v>
      </c>
      <c r="E561">
        <v>15952.5</v>
      </c>
      <c r="F561">
        <v>15759.8</v>
      </c>
      <c r="G561">
        <v>15923.05</v>
      </c>
      <c r="H561">
        <v>0</v>
      </c>
      <c r="I561" s="8">
        <f t="shared" si="33"/>
        <v>1.1321198109852215E-2</v>
      </c>
      <c r="J561" s="8">
        <f t="shared" si="34"/>
        <v>1.1257592954056409E-2</v>
      </c>
      <c r="K561" s="8">
        <f t="shared" si="31"/>
        <v>0.11461461461461453</v>
      </c>
    </row>
    <row r="562" spans="1:11" x14ac:dyDescent="0.25">
      <c r="A562" t="str">
        <f t="shared" si="32"/>
        <v>42019</v>
      </c>
      <c r="B562" s="1">
        <v>43563</v>
      </c>
      <c r="C562" s="10">
        <v>43681.645833333336</v>
      </c>
      <c r="D562">
        <v>15982.85</v>
      </c>
      <c r="E562">
        <v>16061.3</v>
      </c>
      <c r="F562">
        <v>15857.15</v>
      </c>
      <c r="G562">
        <v>16028.25</v>
      </c>
      <c r="H562">
        <v>0</v>
      </c>
      <c r="I562" s="8">
        <f t="shared" si="33"/>
        <v>6.6067744558988561E-3</v>
      </c>
      <c r="J562" s="8">
        <f t="shared" si="34"/>
        <v>6.5850453751263287E-3</v>
      </c>
      <c r="K562" s="8">
        <f t="shared" si="31"/>
        <v>0.11881461109443592</v>
      </c>
    </row>
    <row r="563" spans="1:11" x14ac:dyDescent="0.25">
      <c r="A563" t="str">
        <f t="shared" si="32"/>
        <v>42019</v>
      </c>
      <c r="B563" s="1">
        <v>43564</v>
      </c>
      <c r="C563" s="10">
        <v>43712.645833333336</v>
      </c>
      <c r="D563">
        <v>16048.25</v>
      </c>
      <c r="E563">
        <v>16203.25</v>
      </c>
      <c r="F563">
        <v>15999.65</v>
      </c>
      <c r="G563">
        <v>16121.6</v>
      </c>
      <c r="H563">
        <v>0</v>
      </c>
      <c r="I563" s="8">
        <f t="shared" si="33"/>
        <v>5.8240918378487105E-3</v>
      </c>
      <c r="J563" s="8">
        <f t="shared" si="34"/>
        <v>5.8071973798260552E-3</v>
      </c>
      <c r="K563" s="8">
        <f t="shared" si="31"/>
        <v>0.1255546052746408</v>
      </c>
    </row>
    <row r="564" spans="1:11" x14ac:dyDescent="0.25">
      <c r="A564" t="str">
        <f t="shared" si="32"/>
        <v>42019</v>
      </c>
      <c r="B564" s="1">
        <v>43565</v>
      </c>
      <c r="C564" s="10">
        <v>43742.645833333336</v>
      </c>
      <c r="D564">
        <v>16138.85</v>
      </c>
      <c r="E564">
        <v>16172.8</v>
      </c>
      <c r="F564">
        <v>15978.2</v>
      </c>
      <c r="G564">
        <v>15999.15</v>
      </c>
      <c r="H564">
        <v>0</v>
      </c>
      <c r="I564" s="8">
        <f t="shared" si="33"/>
        <v>-7.5953999603017852E-3</v>
      </c>
      <c r="J564" s="8">
        <f t="shared" si="34"/>
        <v>-7.6243919075009462E-3</v>
      </c>
      <c r="K564" s="8">
        <f t="shared" si="31"/>
        <v>0.11826645511669032</v>
      </c>
    </row>
    <row r="565" spans="1:11" x14ac:dyDescent="0.25">
      <c r="A565" t="str">
        <f t="shared" si="32"/>
        <v>42019</v>
      </c>
      <c r="B565" s="1">
        <v>43566</v>
      </c>
      <c r="C565" s="10">
        <v>43773.645833333336</v>
      </c>
      <c r="D565">
        <v>16018</v>
      </c>
      <c r="E565">
        <v>16030.85</v>
      </c>
      <c r="F565">
        <v>15852.3</v>
      </c>
      <c r="G565">
        <v>15874.75</v>
      </c>
      <c r="H565">
        <v>0</v>
      </c>
      <c r="I565" s="8">
        <f t="shared" si="33"/>
        <v>-7.7754130688192369E-3</v>
      </c>
      <c r="J565" s="8">
        <f t="shared" si="34"/>
        <v>-7.8057992053406694E-3</v>
      </c>
      <c r="K565" s="8">
        <f t="shared" si="31"/>
        <v>0.11608523861750886</v>
      </c>
    </row>
    <row r="566" spans="1:11" x14ac:dyDescent="0.25">
      <c r="A566" t="str">
        <f t="shared" si="32"/>
        <v>42019</v>
      </c>
      <c r="B566" s="1">
        <v>43567</v>
      </c>
      <c r="C566" s="10">
        <v>43803.645833333336</v>
      </c>
      <c r="D566">
        <v>15918.1</v>
      </c>
      <c r="E566">
        <v>15989.7</v>
      </c>
      <c r="F566">
        <v>15832</v>
      </c>
      <c r="G566">
        <v>15911.1</v>
      </c>
      <c r="H566">
        <v>0</v>
      </c>
      <c r="I566" s="8">
        <f t="shared" si="33"/>
        <v>2.2897998393676122E-3</v>
      </c>
      <c r="J566" s="8">
        <f t="shared" si="34"/>
        <v>2.2871822428020138E-3</v>
      </c>
      <c r="K566" s="8">
        <f t="shared" si="31"/>
        <v>8.5452126752396218E-2</v>
      </c>
    </row>
    <row r="567" spans="1:11" x14ac:dyDescent="0.25">
      <c r="A567" t="str">
        <f t="shared" si="32"/>
        <v>42019</v>
      </c>
      <c r="B567" s="1">
        <v>43570</v>
      </c>
      <c r="C567" t="s">
        <v>363</v>
      </c>
      <c r="D567">
        <v>15917.7</v>
      </c>
      <c r="E567">
        <v>16136.6</v>
      </c>
      <c r="F567">
        <v>15862</v>
      </c>
      <c r="G567">
        <v>16113.7</v>
      </c>
      <c r="H567">
        <v>0</v>
      </c>
      <c r="I567" s="8">
        <f t="shared" si="33"/>
        <v>1.2733249115397527E-2</v>
      </c>
      <c r="J567" s="8">
        <f t="shared" si="34"/>
        <v>1.2652862964268107E-2</v>
      </c>
      <c r="K567" s="8">
        <f t="shared" si="31"/>
        <v>9.5588735228926192E-2</v>
      </c>
    </row>
    <row r="568" spans="1:11" x14ac:dyDescent="0.25">
      <c r="A568" t="str">
        <f t="shared" si="32"/>
        <v>42019</v>
      </c>
      <c r="B568" s="1">
        <v>43571</v>
      </c>
      <c r="C568" t="s">
        <v>364</v>
      </c>
      <c r="D568">
        <v>16166.15</v>
      </c>
      <c r="E568">
        <v>16176.6</v>
      </c>
      <c r="F568">
        <v>16064.35</v>
      </c>
      <c r="G568">
        <v>16084.9</v>
      </c>
      <c r="H568">
        <v>0</v>
      </c>
      <c r="I568" s="8">
        <f t="shared" si="33"/>
        <v>-1.7872990064355943E-3</v>
      </c>
      <c r="J568" s="8">
        <f t="shared" si="34"/>
        <v>-1.7888981309980235E-3</v>
      </c>
      <c r="K568" s="8">
        <f t="shared" si="31"/>
        <v>8.6799209472812944E-2</v>
      </c>
    </row>
    <row r="569" spans="1:11" x14ac:dyDescent="0.25">
      <c r="A569" t="str">
        <f t="shared" si="32"/>
        <v>42019</v>
      </c>
      <c r="B569" s="1">
        <v>43573</v>
      </c>
      <c r="C569" t="s">
        <v>365</v>
      </c>
      <c r="D569">
        <v>16177.85</v>
      </c>
      <c r="E569">
        <v>16177.85</v>
      </c>
      <c r="F569">
        <v>16021</v>
      </c>
      <c r="G569">
        <v>16079.3</v>
      </c>
      <c r="H569">
        <v>0</v>
      </c>
      <c r="I569" s="8">
        <f t="shared" si="33"/>
        <v>-3.4815261518572616E-4</v>
      </c>
      <c r="J569" s="8">
        <f t="shared" si="34"/>
        <v>-3.482132343776849E-4</v>
      </c>
      <c r="K569" s="8">
        <f t="shared" si="31"/>
        <v>7.9654871416101392E-2</v>
      </c>
    </row>
    <row r="570" spans="1:11" x14ac:dyDescent="0.25">
      <c r="A570" t="str">
        <f t="shared" si="32"/>
        <v>42019</v>
      </c>
      <c r="B570" s="1">
        <v>43577</v>
      </c>
      <c r="C570" t="s">
        <v>366</v>
      </c>
      <c r="D570">
        <v>16077.55</v>
      </c>
      <c r="E570">
        <v>16204.3</v>
      </c>
      <c r="F570">
        <v>16057.9</v>
      </c>
      <c r="G570">
        <v>16150.6</v>
      </c>
      <c r="H570">
        <v>0</v>
      </c>
      <c r="I570" s="8">
        <f t="shared" si="33"/>
        <v>4.4342726362467388E-3</v>
      </c>
      <c r="J570" s="8">
        <f t="shared" si="34"/>
        <v>4.4244702163925278E-3</v>
      </c>
      <c r="K570" s="8">
        <f t="shared" si="31"/>
        <v>7.9123904212101914E-2</v>
      </c>
    </row>
    <row r="571" spans="1:11" x14ac:dyDescent="0.25">
      <c r="A571" t="str">
        <f t="shared" si="32"/>
        <v>42019</v>
      </c>
      <c r="B571" s="1">
        <v>43578</v>
      </c>
      <c r="C571" t="s">
        <v>367</v>
      </c>
      <c r="D571">
        <v>16179.45</v>
      </c>
      <c r="E571">
        <v>16193.6</v>
      </c>
      <c r="F571">
        <v>16082.45</v>
      </c>
      <c r="G571">
        <v>16166.3</v>
      </c>
      <c r="H571">
        <v>0</v>
      </c>
      <c r="I571" s="8">
        <f t="shared" si="33"/>
        <v>9.7210010773585154E-4</v>
      </c>
      <c r="J571" s="8">
        <f t="shared" si="34"/>
        <v>9.7162792440765478E-4</v>
      </c>
      <c r="K571" s="8">
        <f t="shared" si="31"/>
        <v>8.044724847285889E-2</v>
      </c>
    </row>
    <row r="572" spans="1:11" x14ac:dyDescent="0.25">
      <c r="A572" t="str">
        <f t="shared" si="32"/>
        <v>42019</v>
      </c>
      <c r="B572" s="1">
        <v>43579</v>
      </c>
      <c r="C572" t="s">
        <v>368</v>
      </c>
      <c r="D572">
        <v>16182.9</v>
      </c>
      <c r="E572">
        <v>16405.8</v>
      </c>
      <c r="F572">
        <v>16161.35</v>
      </c>
      <c r="G572">
        <v>16370.35</v>
      </c>
      <c r="H572">
        <v>0</v>
      </c>
      <c r="I572" s="8">
        <f t="shared" si="33"/>
        <v>1.2621935755243952E-2</v>
      </c>
      <c r="J572" s="8">
        <f t="shared" si="34"/>
        <v>1.2542943122951225E-2</v>
      </c>
      <c r="K572" s="8">
        <f t="shared" si="31"/>
        <v>9.9511376038955657E-2</v>
      </c>
    </row>
    <row r="573" spans="1:11" x14ac:dyDescent="0.25">
      <c r="A573" t="str">
        <f t="shared" si="32"/>
        <v>42019</v>
      </c>
      <c r="B573" s="1">
        <v>43580</v>
      </c>
      <c r="C573" t="s">
        <v>369</v>
      </c>
      <c r="D573">
        <v>16361</v>
      </c>
      <c r="E573">
        <v>16388.55</v>
      </c>
      <c r="F573">
        <v>16299.2</v>
      </c>
      <c r="G573">
        <v>16352.8</v>
      </c>
      <c r="H573">
        <v>0</v>
      </c>
      <c r="I573" s="8">
        <f t="shared" si="33"/>
        <v>-1.0720601575410216E-3</v>
      </c>
      <c r="J573" s="8">
        <f t="shared" si="34"/>
        <v>-1.072635225073114E-3</v>
      </c>
      <c r="K573" s="8">
        <f t="shared" si="31"/>
        <v>9.2232782746344721E-2</v>
      </c>
    </row>
    <row r="574" spans="1:11" x14ac:dyDescent="0.25">
      <c r="A574" t="str">
        <f t="shared" si="32"/>
        <v>42019</v>
      </c>
      <c r="B574" s="1">
        <v>43581</v>
      </c>
      <c r="C574" t="s">
        <v>370</v>
      </c>
      <c r="D574">
        <v>16393.8</v>
      </c>
      <c r="E574">
        <v>16523.75</v>
      </c>
      <c r="F574">
        <v>16381.45</v>
      </c>
      <c r="G574">
        <v>16504.45</v>
      </c>
      <c r="H574">
        <v>0</v>
      </c>
      <c r="I574" s="8">
        <f t="shared" si="33"/>
        <v>9.2736412112910394E-3</v>
      </c>
      <c r="J574" s="8">
        <f t="shared" si="34"/>
        <v>9.2309050109113423E-3</v>
      </c>
      <c r="K574" s="8">
        <f t="shared" si="31"/>
        <v>9.7421422539613056E-2</v>
      </c>
    </row>
    <row r="575" spans="1:11" x14ac:dyDescent="0.25">
      <c r="A575" t="str">
        <f t="shared" si="32"/>
        <v>42019</v>
      </c>
      <c r="B575" s="1">
        <v>43585</v>
      </c>
      <c r="C575" t="s">
        <v>371</v>
      </c>
      <c r="D575">
        <v>16510.95</v>
      </c>
      <c r="E575">
        <v>16720.400000000001</v>
      </c>
      <c r="F575">
        <v>16502.45</v>
      </c>
      <c r="G575">
        <v>16705.400000000001</v>
      </c>
      <c r="H575">
        <v>0</v>
      </c>
      <c r="I575" s="8">
        <f t="shared" si="33"/>
        <v>1.2175504182205366E-2</v>
      </c>
      <c r="J575" s="8">
        <f t="shared" si="34"/>
        <v>1.2101978934171524E-2</v>
      </c>
      <c r="K575" s="8">
        <f t="shared" si="31"/>
        <v>0.10484353660512635</v>
      </c>
    </row>
    <row r="576" spans="1:11" x14ac:dyDescent="0.25">
      <c r="A576" t="str">
        <f t="shared" si="32"/>
        <v>52019</v>
      </c>
      <c r="B576" s="1">
        <v>43587</v>
      </c>
      <c r="C576" s="10">
        <v>43501.645833333336</v>
      </c>
      <c r="D576">
        <v>16656.900000000001</v>
      </c>
      <c r="E576">
        <v>16673.599999999999</v>
      </c>
      <c r="F576">
        <v>16387.3</v>
      </c>
      <c r="G576">
        <v>16403.7</v>
      </c>
      <c r="H576">
        <v>0</v>
      </c>
      <c r="I576" s="8">
        <f t="shared" si="33"/>
        <v>-1.8060028493780522E-2</v>
      </c>
      <c r="J576" s="8">
        <f t="shared" si="34"/>
        <v>-1.8225101308516952E-2</v>
      </c>
      <c r="K576" s="8">
        <f t="shared" ref="K576:K639" si="35">+G576/G515-1</f>
        <v>7.6973075180713391E-2</v>
      </c>
    </row>
    <row r="577" spans="1:11" x14ac:dyDescent="0.25">
      <c r="A577" t="str">
        <f t="shared" si="32"/>
        <v>52019</v>
      </c>
      <c r="B577" s="1">
        <v>43588</v>
      </c>
      <c r="C577" s="10">
        <v>43529.645833333336</v>
      </c>
      <c r="D577">
        <v>16259.5</v>
      </c>
      <c r="E577">
        <v>16265.3</v>
      </c>
      <c r="F577">
        <v>16065.45</v>
      </c>
      <c r="G577">
        <v>16092.95</v>
      </c>
      <c r="H577">
        <v>0</v>
      </c>
      <c r="I577" s="8">
        <f t="shared" si="33"/>
        <v>-1.8943896803769844E-2</v>
      </c>
      <c r="J577" s="8">
        <f t="shared" si="34"/>
        <v>-1.9125631249571153E-2</v>
      </c>
      <c r="K577" s="8">
        <f t="shared" si="35"/>
        <v>5.4915700875767026E-2</v>
      </c>
    </row>
    <row r="578" spans="1:11" x14ac:dyDescent="0.25">
      <c r="A578" t="str">
        <f t="shared" si="32"/>
        <v>52019</v>
      </c>
      <c r="B578" s="1">
        <v>43591</v>
      </c>
      <c r="C578" s="10">
        <v>43621.645833333336</v>
      </c>
      <c r="D578">
        <v>15949.3</v>
      </c>
      <c r="E578">
        <v>16146.4</v>
      </c>
      <c r="F578">
        <v>15925.4</v>
      </c>
      <c r="G578">
        <v>16111.35</v>
      </c>
      <c r="H578">
        <v>0</v>
      </c>
      <c r="I578" s="8">
        <f t="shared" si="33"/>
        <v>1.1433578057471472E-3</v>
      </c>
      <c r="J578" s="8">
        <f t="shared" si="34"/>
        <v>1.1427046700089897E-3</v>
      </c>
      <c r="K578" s="8">
        <f t="shared" si="35"/>
        <v>3.9488880142974248E-2</v>
      </c>
    </row>
    <row r="579" spans="1:11" x14ac:dyDescent="0.25">
      <c r="A579" t="str">
        <f t="shared" ref="A579:A642" si="36">+MONTH(B579)&amp;YEAR(B579)</f>
        <v>52019</v>
      </c>
      <c r="B579" s="1">
        <v>43592</v>
      </c>
      <c r="C579" s="10">
        <v>43651.791666666664</v>
      </c>
      <c r="D579">
        <v>16145.65</v>
      </c>
      <c r="E579">
        <v>16225.85</v>
      </c>
      <c r="F579">
        <v>16100.65</v>
      </c>
      <c r="G579">
        <v>16135.75</v>
      </c>
      <c r="H579">
        <v>0</v>
      </c>
      <c r="I579" s="8">
        <f t="shared" si="33"/>
        <v>1.5144603028298675E-3</v>
      </c>
      <c r="J579" s="8">
        <f t="shared" si="34"/>
        <v>1.5133146643622362E-3</v>
      </c>
      <c r="K579" s="8">
        <f t="shared" si="35"/>
        <v>2.6166506617146812E-2</v>
      </c>
    </row>
    <row r="580" spans="1:11" x14ac:dyDescent="0.25">
      <c r="A580" t="str">
        <f t="shared" si="36"/>
        <v>52019</v>
      </c>
      <c r="B580" s="1">
        <v>43593</v>
      </c>
      <c r="C580" s="10">
        <v>43682.645833333336</v>
      </c>
      <c r="D580">
        <v>16106.05</v>
      </c>
      <c r="E580">
        <v>16129.4</v>
      </c>
      <c r="F580">
        <v>15998.6</v>
      </c>
      <c r="G580">
        <v>16061.6</v>
      </c>
      <c r="H580">
        <v>0</v>
      </c>
      <c r="I580" s="8">
        <f t="shared" ref="I580:I643" si="37">+G580/G579-1</f>
        <v>-4.5953860217219367E-3</v>
      </c>
      <c r="J580" s="8">
        <f t="shared" ref="J580:J643" si="38">+LN(1+I580)</f>
        <v>-4.6059772677651128E-3</v>
      </c>
      <c r="K580" s="8">
        <f t="shared" si="35"/>
        <v>1.9473430319648655E-2</v>
      </c>
    </row>
    <row r="581" spans="1:11" x14ac:dyDescent="0.25">
      <c r="A581" t="str">
        <f t="shared" si="36"/>
        <v>52019</v>
      </c>
      <c r="B581" s="1">
        <v>43594</v>
      </c>
      <c r="C581" s="10">
        <v>43713.645833333336</v>
      </c>
      <c r="D581">
        <v>16031.6</v>
      </c>
      <c r="E581">
        <v>16164.9</v>
      </c>
      <c r="F581">
        <v>16002.45</v>
      </c>
      <c r="G581">
        <v>16132.85</v>
      </c>
      <c r="H581">
        <v>0</v>
      </c>
      <c r="I581" s="8">
        <f t="shared" si="37"/>
        <v>4.4360462220451868E-3</v>
      </c>
      <c r="J581" s="8">
        <f t="shared" si="38"/>
        <v>4.4262359707887165E-3</v>
      </c>
      <c r="K581" s="8">
        <f t="shared" si="35"/>
        <v>2.504336444560229E-2</v>
      </c>
    </row>
    <row r="582" spans="1:11" x14ac:dyDescent="0.25">
      <c r="A582" t="str">
        <f t="shared" si="36"/>
        <v>52019</v>
      </c>
      <c r="B582" s="1">
        <v>43595</v>
      </c>
      <c r="C582" s="10">
        <v>43743.645833333336</v>
      </c>
      <c r="D582">
        <v>16117.6</v>
      </c>
      <c r="E582">
        <v>16146.35</v>
      </c>
      <c r="F582">
        <v>15911.95</v>
      </c>
      <c r="G582">
        <v>15949.6</v>
      </c>
      <c r="H582">
        <v>0</v>
      </c>
      <c r="I582" s="8">
        <f t="shared" si="37"/>
        <v>-1.1358811369348909E-2</v>
      </c>
      <c r="J582" s="8">
        <f t="shared" si="38"/>
        <v>-1.1423815381540222E-2</v>
      </c>
      <c r="K582" s="8">
        <f t="shared" si="35"/>
        <v>-6.6020578489748294E-3</v>
      </c>
    </row>
    <row r="583" spans="1:11" x14ac:dyDescent="0.25">
      <c r="A583" t="str">
        <f t="shared" si="36"/>
        <v>52019</v>
      </c>
      <c r="B583" s="1">
        <v>43598</v>
      </c>
      <c r="C583" t="s">
        <v>372</v>
      </c>
      <c r="D583">
        <v>15949</v>
      </c>
      <c r="E583">
        <v>16095.7</v>
      </c>
      <c r="F583">
        <v>15915.15</v>
      </c>
      <c r="G583">
        <v>15955.3</v>
      </c>
      <c r="H583">
        <v>0</v>
      </c>
      <c r="I583" s="8">
        <f t="shared" si="37"/>
        <v>3.5737573356064978E-4</v>
      </c>
      <c r="J583" s="8">
        <f t="shared" si="38"/>
        <v>3.5731189006347227E-4</v>
      </c>
      <c r="K583" s="8">
        <f t="shared" si="35"/>
        <v>-8.1158285076636805E-3</v>
      </c>
    </row>
    <row r="584" spans="1:11" x14ac:dyDescent="0.25">
      <c r="A584" t="str">
        <f t="shared" si="36"/>
        <v>52019</v>
      </c>
      <c r="B584" s="1">
        <v>43599</v>
      </c>
      <c r="C584" t="s">
        <v>373</v>
      </c>
      <c r="D584">
        <v>15942.95</v>
      </c>
      <c r="E584">
        <v>15966.65</v>
      </c>
      <c r="F584">
        <v>15642.95</v>
      </c>
      <c r="G584">
        <v>15762.75</v>
      </c>
      <c r="H584">
        <v>0</v>
      </c>
      <c r="I584" s="8">
        <f t="shared" si="37"/>
        <v>-1.2068090227071782E-2</v>
      </c>
      <c r="J584" s="8">
        <f t="shared" si="38"/>
        <v>-1.2141500843049236E-2</v>
      </c>
      <c r="K584" s="8">
        <f t="shared" si="35"/>
        <v>-1.6045768361652391E-2</v>
      </c>
    </row>
    <row r="585" spans="1:11" x14ac:dyDescent="0.25">
      <c r="A585" t="str">
        <f t="shared" si="36"/>
        <v>52019</v>
      </c>
      <c r="B585" s="1">
        <v>43600</v>
      </c>
      <c r="C585" t="s">
        <v>374</v>
      </c>
      <c r="D585">
        <v>15793.35</v>
      </c>
      <c r="E585">
        <v>15896.3</v>
      </c>
      <c r="F585">
        <v>15743.7</v>
      </c>
      <c r="G585">
        <v>15776.8</v>
      </c>
      <c r="H585">
        <v>0</v>
      </c>
      <c r="I585" s="8">
        <f t="shared" si="37"/>
        <v>8.913419295490943E-4</v>
      </c>
      <c r="J585" s="8">
        <f t="shared" si="38"/>
        <v>8.9094492022792941E-4</v>
      </c>
      <c r="K585" s="8">
        <f t="shared" si="35"/>
        <v>-2.0016709060472482E-2</v>
      </c>
    </row>
    <row r="586" spans="1:11" x14ac:dyDescent="0.25">
      <c r="A586" t="str">
        <f t="shared" si="36"/>
        <v>52019</v>
      </c>
      <c r="B586" s="1">
        <v>43601</v>
      </c>
      <c r="C586" t="s">
        <v>375</v>
      </c>
      <c r="D586">
        <v>15816.65</v>
      </c>
      <c r="E586">
        <v>15994.25</v>
      </c>
      <c r="F586">
        <v>15779.75</v>
      </c>
      <c r="G586">
        <v>15934</v>
      </c>
      <c r="H586">
        <v>0</v>
      </c>
      <c r="I586" s="8">
        <f t="shared" si="37"/>
        <v>9.9639977688759096E-3</v>
      </c>
      <c r="J586" s="8">
        <f t="shared" si="38"/>
        <v>9.9146844444522163E-3</v>
      </c>
      <c r="K586" s="8">
        <f t="shared" si="35"/>
        <v>-2.9174365457551588E-4</v>
      </c>
    </row>
    <row r="587" spans="1:11" x14ac:dyDescent="0.25">
      <c r="A587" t="str">
        <f t="shared" si="36"/>
        <v>52019</v>
      </c>
      <c r="B587" s="1">
        <v>43602</v>
      </c>
      <c r="C587" t="s">
        <v>376</v>
      </c>
      <c r="D587">
        <v>15962.4</v>
      </c>
      <c r="E587">
        <v>16000.35</v>
      </c>
      <c r="F587">
        <v>15803.2</v>
      </c>
      <c r="G587">
        <v>15843.4</v>
      </c>
      <c r="H587">
        <v>0</v>
      </c>
      <c r="I587" s="8">
        <f t="shared" si="37"/>
        <v>-5.6859545625705943E-3</v>
      </c>
      <c r="J587" s="8">
        <f t="shared" si="38"/>
        <v>-5.7021811405044776E-3</v>
      </c>
      <c r="K587" s="8">
        <f t="shared" si="35"/>
        <v>-1.2358454398394225E-2</v>
      </c>
    </row>
    <row r="588" spans="1:11" x14ac:dyDescent="0.25">
      <c r="A588" t="str">
        <f t="shared" si="36"/>
        <v>52019</v>
      </c>
      <c r="B588" s="1">
        <v>43605</v>
      </c>
      <c r="C588" t="s">
        <v>377</v>
      </c>
      <c r="D588">
        <v>15933.3</v>
      </c>
      <c r="E588">
        <v>16009.65</v>
      </c>
      <c r="F588">
        <v>15642.7</v>
      </c>
      <c r="G588">
        <v>15968.2</v>
      </c>
      <c r="H588">
        <v>0</v>
      </c>
      <c r="I588" s="8">
        <f t="shared" si="37"/>
        <v>7.8770970877464208E-3</v>
      </c>
      <c r="J588" s="8">
        <f t="shared" si="38"/>
        <v>7.8462347231008644E-3</v>
      </c>
      <c r="K588" s="8">
        <f t="shared" si="35"/>
        <v>6.7174600372597038E-3</v>
      </c>
    </row>
    <row r="589" spans="1:11" x14ac:dyDescent="0.25">
      <c r="A589" t="str">
        <f t="shared" si="36"/>
        <v>52019</v>
      </c>
      <c r="B589" s="1">
        <v>43606</v>
      </c>
      <c r="C589" t="s">
        <v>378</v>
      </c>
      <c r="D589">
        <v>15982.3</v>
      </c>
      <c r="E589">
        <v>15989.05</v>
      </c>
      <c r="F589">
        <v>15737.15</v>
      </c>
      <c r="G589">
        <v>15766.95</v>
      </c>
      <c r="H589">
        <v>0</v>
      </c>
      <c r="I589" s="8">
        <f t="shared" si="37"/>
        <v>-1.2603173807943291E-2</v>
      </c>
      <c r="J589" s="8">
        <f t="shared" si="38"/>
        <v>-1.268326747076739E-2</v>
      </c>
      <c r="K589" s="8">
        <f t="shared" si="35"/>
        <v>-3.0760767849464798E-3</v>
      </c>
    </row>
    <row r="590" spans="1:11" x14ac:dyDescent="0.25">
      <c r="A590" t="str">
        <f t="shared" si="36"/>
        <v>52019</v>
      </c>
      <c r="B590" s="1">
        <v>43607</v>
      </c>
      <c r="C590" t="s">
        <v>379</v>
      </c>
      <c r="D590">
        <v>15750.05</v>
      </c>
      <c r="E590">
        <v>15812.25</v>
      </c>
      <c r="F590">
        <v>15640.6</v>
      </c>
      <c r="G590">
        <v>15666.15</v>
      </c>
      <c r="H590">
        <v>0</v>
      </c>
      <c r="I590" s="8">
        <f t="shared" si="37"/>
        <v>-6.3931197853739352E-3</v>
      </c>
      <c r="J590" s="8">
        <f t="shared" si="38"/>
        <v>-6.4136432952687046E-3</v>
      </c>
      <c r="K590" s="8">
        <f t="shared" si="35"/>
        <v>4.5660642442046928E-4</v>
      </c>
    </row>
    <row r="591" spans="1:11" x14ac:dyDescent="0.25">
      <c r="A591" t="str">
        <f t="shared" si="36"/>
        <v>52019</v>
      </c>
      <c r="B591" s="1">
        <v>43608</v>
      </c>
      <c r="C591" t="s">
        <v>380</v>
      </c>
      <c r="D591">
        <v>15772.05</v>
      </c>
      <c r="E591">
        <v>15819.05</v>
      </c>
      <c r="F591">
        <v>15506.2</v>
      </c>
      <c r="G591">
        <v>15538.85</v>
      </c>
      <c r="H591">
        <v>0</v>
      </c>
      <c r="I591" s="8">
        <f t="shared" si="37"/>
        <v>-8.1257998934006759E-3</v>
      </c>
      <c r="J591" s="8">
        <f t="shared" si="38"/>
        <v>-8.1589941475612889E-3</v>
      </c>
      <c r="K591" s="8">
        <f t="shared" si="35"/>
        <v>1.3392245736459474E-2</v>
      </c>
    </row>
    <row r="592" spans="1:11" x14ac:dyDescent="0.25">
      <c r="A592" t="str">
        <f t="shared" si="36"/>
        <v>52019</v>
      </c>
      <c r="B592" s="1">
        <v>43609</v>
      </c>
      <c r="C592" t="s">
        <v>381</v>
      </c>
      <c r="D592">
        <v>15622.25</v>
      </c>
      <c r="E592">
        <v>15626.35</v>
      </c>
      <c r="F592">
        <v>15461.85</v>
      </c>
      <c r="G592">
        <v>15569.85</v>
      </c>
      <c r="H592">
        <v>0</v>
      </c>
      <c r="I592" s="8">
        <f t="shared" si="37"/>
        <v>1.9949996299597483E-3</v>
      </c>
      <c r="J592" s="8">
        <f t="shared" si="38"/>
        <v>1.9930122609592938E-3</v>
      </c>
      <c r="K592" s="8">
        <f t="shared" si="35"/>
        <v>-2.5369247475087731E-3</v>
      </c>
    </row>
    <row r="593" spans="1:11" x14ac:dyDescent="0.25">
      <c r="A593" t="str">
        <f t="shared" si="36"/>
        <v>52019</v>
      </c>
      <c r="B593" s="1">
        <v>43612</v>
      </c>
      <c r="C593" t="s">
        <v>382</v>
      </c>
      <c r="D593">
        <v>15587.4</v>
      </c>
      <c r="E593">
        <v>15629.6</v>
      </c>
      <c r="F593">
        <v>15526.4</v>
      </c>
      <c r="G593">
        <v>15556.65</v>
      </c>
      <c r="H593">
        <v>0</v>
      </c>
      <c r="I593" s="8">
        <f t="shared" si="37"/>
        <v>-8.4779236794196855E-4</v>
      </c>
      <c r="J593" s="8">
        <f t="shared" si="38"/>
        <v>-8.4815194713823579E-4</v>
      </c>
      <c r="K593" s="8">
        <f t="shared" si="35"/>
        <v>-2.0687797086388349E-3</v>
      </c>
    </row>
    <row r="594" spans="1:11" x14ac:dyDescent="0.25">
      <c r="A594" t="str">
        <f t="shared" si="36"/>
        <v>52019</v>
      </c>
      <c r="B594" s="1">
        <v>43613</v>
      </c>
      <c r="C594" t="s">
        <v>383</v>
      </c>
      <c r="D594">
        <v>15614.1</v>
      </c>
      <c r="E594">
        <v>15806.2</v>
      </c>
      <c r="F594">
        <v>15554.9</v>
      </c>
      <c r="G594">
        <v>15762.05</v>
      </c>
      <c r="H594">
        <v>0</v>
      </c>
      <c r="I594" s="8">
        <f t="shared" si="37"/>
        <v>1.3203356763827667E-2</v>
      </c>
      <c r="J594" s="8">
        <f t="shared" si="38"/>
        <v>1.311695217170283E-2</v>
      </c>
      <c r="K594" s="8">
        <f t="shared" si="35"/>
        <v>4.9315575050845606E-3</v>
      </c>
    </row>
    <row r="595" spans="1:11" x14ac:dyDescent="0.25">
      <c r="A595" t="str">
        <f t="shared" si="36"/>
        <v>52019</v>
      </c>
      <c r="B595" s="1">
        <v>43614</v>
      </c>
      <c r="C595" t="s">
        <v>384</v>
      </c>
      <c r="D595">
        <v>15773.3</v>
      </c>
      <c r="E595">
        <v>15973</v>
      </c>
      <c r="F595">
        <v>15754.35</v>
      </c>
      <c r="G595">
        <v>15865.6</v>
      </c>
      <c r="H595">
        <v>0</v>
      </c>
      <c r="I595" s="8">
        <f t="shared" si="37"/>
        <v>6.5695769268592219E-3</v>
      </c>
      <c r="J595" s="8">
        <f t="shared" si="38"/>
        <v>6.5480913059824926E-3</v>
      </c>
      <c r="K595" s="8">
        <f t="shared" si="35"/>
        <v>-8.6292544849003727E-3</v>
      </c>
    </row>
    <row r="596" spans="1:11" x14ac:dyDescent="0.25">
      <c r="A596" t="str">
        <f t="shared" si="36"/>
        <v>52019</v>
      </c>
      <c r="B596" s="1">
        <v>43615</v>
      </c>
      <c r="C596" t="s">
        <v>385</v>
      </c>
      <c r="D596">
        <v>15908.95</v>
      </c>
      <c r="E596">
        <v>16034.75</v>
      </c>
      <c r="F596">
        <v>15879.2</v>
      </c>
      <c r="G596">
        <v>15997.35</v>
      </c>
      <c r="H596">
        <v>0</v>
      </c>
      <c r="I596" s="8">
        <f t="shared" si="37"/>
        <v>8.3041296893908711E-3</v>
      </c>
      <c r="J596" s="8">
        <f t="shared" si="38"/>
        <v>8.2698401037666451E-3</v>
      </c>
      <c r="K596" s="8">
        <f t="shared" si="35"/>
        <v>4.8469004853157749E-4</v>
      </c>
    </row>
    <row r="597" spans="1:11" x14ac:dyDescent="0.25">
      <c r="A597" t="str">
        <f t="shared" si="36"/>
        <v>52019</v>
      </c>
      <c r="B597" s="1">
        <v>43616</v>
      </c>
      <c r="C597" t="s">
        <v>386</v>
      </c>
      <c r="D597">
        <v>16070.6</v>
      </c>
      <c r="E597">
        <v>16197.35</v>
      </c>
      <c r="F597">
        <v>16042.6</v>
      </c>
      <c r="G597">
        <v>16160.65</v>
      </c>
      <c r="H597">
        <v>0</v>
      </c>
      <c r="I597" s="8">
        <f t="shared" si="37"/>
        <v>1.020794069017672E-2</v>
      </c>
      <c r="J597" s="8">
        <f t="shared" si="38"/>
        <v>1.0156191533866163E-2</v>
      </c>
      <c r="K597" s="8">
        <f t="shared" si="35"/>
        <v>1.6258858892850503E-2</v>
      </c>
    </row>
    <row r="598" spans="1:11" x14ac:dyDescent="0.25">
      <c r="A598" t="str">
        <f t="shared" si="36"/>
        <v>62019</v>
      </c>
      <c r="B598" s="1">
        <v>43619</v>
      </c>
      <c r="C598" s="10">
        <v>43530.645833333336</v>
      </c>
      <c r="D598">
        <v>16159.5</v>
      </c>
      <c r="E598">
        <v>16391</v>
      </c>
      <c r="F598">
        <v>16082.8</v>
      </c>
      <c r="G598">
        <v>16360.55</v>
      </c>
      <c r="H598">
        <v>0</v>
      </c>
      <c r="I598" s="8">
        <f t="shared" si="37"/>
        <v>1.2369551967278625E-2</v>
      </c>
      <c r="J598" s="8">
        <f t="shared" si="38"/>
        <v>1.2293674135103773E-2</v>
      </c>
      <c r="K598" s="8">
        <f t="shared" si="35"/>
        <v>3.9953597762522275E-2</v>
      </c>
    </row>
    <row r="599" spans="1:11" x14ac:dyDescent="0.25">
      <c r="A599" t="str">
        <f t="shared" si="36"/>
        <v>62019</v>
      </c>
      <c r="B599" s="1">
        <v>43620</v>
      </c>
      <c r="C599" s="10">
        <v>43561.645833333336</v>
      </c>
      <c r="D599">
        <v>16276.8</v>
      </c>
      <c r="E599">
        <v>16285.85</v>
      </c>
      <c r="F599">
        <v>16072.9</v>
      </c>
      <c r="G599">
        <v>16105.2</v>
      </c>
      <c r="H599">
        <v>0</v>
      </c>
      <c r="I599" s="8">
        <f t="shared" si="37"/>
        <v>-1.5607666001448472E-2</v>
      </c>
      <c r="J599" s="8">
        <f t="shared" si="38"/>
        <v>-1.5730747981792598E-2</v>
      </c>
      <c r="K599" s="8">
        <f t="shared" si="35"/>
        <v>1.6209940498350006E-2</v>
      </c>
    </row>
    <row r="600" spans="1:11" x14ac:dyDescent="0.25">
      <c r="A600" t="str">
        <f t="shared" si="36"/>
        <v>62019</v>
      </c>
      <c r="B600" s="1">
        <v>43622</v>
      </c>
      <c r="C600" s="10">
        <v>43622.645833333336</v>
      </c>
      <c r="D600">
        <v>16155.8</v>
      </c>
      <c r="E600">
        <v>16159.75</v>
      </c>
      <c r="F600">
        <v>15991.4</v>
      </c>
      <c r="G600">
        <v>16012.1</v>
      </c>
      <c r="H600">
        <v>0</v>
      </c>
      <c r="I600" s="8">
        <f t="shared" si="37"/>
        <v>-5.78074162382336E-3</v>
      </c>
      <c r="J600" s="8">
        <f t="shared" si="38"/>
        <v>-5.7975147827852205E-3</v>
      </c>
      <c r="K600" s="8">
        <f t="shared" si="35"/>
        <v>2.2216405666460215E-2</v>
      </c>
    </row>
    <row r="601" spans="1:11" x14ac:dyDescent="0.25">
      <c r="A601" t="str">
        <f t="shared" si="36"/>
        <v>62019</v>
      </c>
      <c r="B601" s="1">
        <v>43623</v>
      </c>
      <c r="C601" s="10">
        <v>43652.645833333336</v>
      </c>
      <c r="D601">
        <v>16042.3</v>
      </c>
      <c r="E601">
        <v>16155.05</v>
      </c>
      <c r="F601">
        <v>15972.75</v>
      </c>
      <c r="G601">
        <v>16109.85</v>
      </c>
      <c r="H601">
        <v>0</v>
      </c>
      <c r="I601" s="8">
        <f t="shared" si="37"/>
        <v>6.1047582765534347E-3</v>
      </c>
      <c r="J601" s="8">
        <f t="shared" si="38"/>
        <v>6.0861997317326931E-3</v>
      </c>
      <c r="K601" s="8">
        <f t="shared" si="35"/>
        <v>2.381943495571992E-2</v>
      </c>
    </row>
    <row r="602" spans="1:11" x14ac:dyDescent="0.25">
      <c r="A602" t="str">
        <f t="shared" si="36"/>
        <v>62019</v>
      </c>
      <c r="B602" s="1">
        <v>43626</v>
      </c>
      <c r="C602" s="10">
        <v>43744.645833333336</v>
      </c>
      <c r="D602">
        <v>16176.85</v>
      </c>
      <c r="E602">
        <v>16381.65</v>
      </c>
      <c r="F602">
        <v>16152.2</v>
      </c>
      <c r="G602">
        <v>16362.4</v>
      </c>
      <c r="H602">
        <v>0</v>
      </c>
      <c r="I602" s="8">
        <f t="shared" si="37"/>
        <v>1.5676744352057792E-2</v>
      </c>
      <c r="J602" s="8">
        <f t="shared" si="38"/>
        <v>1.5555133523248514E-2</v>
      </c>
      <c r="K602" s="8">
        <f t="shared" si="35"/>
        <v>5.0076690561605908E-2</v>
      </c>
    </row>
    <row r="603" spans="1:11" x14ac:dyDescent="0.25">
      <c r="A603" t="str">
        <f t="shared" si="36"/>
        <v>62019</v>
      </c>
      <c r="B603" s="1">
        <v>43627</v>
      </c>
      <c r="C603" s="10">
        <v>43775.645833333336</v>
      </c>
      <c r="D603">
        <v>16406.25</v>
      </c>
      <c r="E603">
        <v>16488.650000000001</v>
      </c>
      <c r="F603">
        <v>16380.5</v>
      </c>
      <c r="G603">
        <v>16448.099999999999</v>
      </c>
      <c r="H603">
        <v>0</v>
      </c>
      <c r="I603" s="8">
        <f t="shared" si="37"/>
        <v>5.2376179533564216E-3</v>
      </c>
      <c r="J603" s="8">
        <f t="shared" si="38"/>
        <v>5.2239493389903005E-3</v>
      </c>
      <c r="K603" s="8">
        <f t="shared" si="35"/>
        <v>6.7455398573532888E-2</v>
      </c>
    </row>
    <row r="604" spans="1:11" x14ac:dyDescent="0.25">
      <c r="A604" t="str">
        <f t="shared" si="36"/>
        <v>62019</v>
      </c>
      <c r="B604" s="1">
        <v>43628</v>
      </c>
      <c r="C604" s="10">
        <v>43805.645833333336</v>
      </c>
      <c r="D604">
        <v>16441.75</v>
      </c>
      <c r="E604">
        <v>16446.95</v>
      </c>
      <c r="F604">
        <v>16283.65</v>
      </c>
      <c r="G604">
        <v>16425.95</v>
      </c>
      <c r="H604">
        <v>0</v>
      </c>
      <c r="I604" s="8">
        <f t="shared" si="37"/>
        <v>-1.3466601005586165E-3</v>
      </c>
      <c r="J604" s="8">
        <f t="shared" si="38"/>
        <v>-1.3475676621479912E-3</v>
      </c>
      <c r="K604" s="8">
        <f t="shared" si="35"/>
        <v>6.7417227150144532E-2</v>
      </c>
    </row>
    <row r="605" spans="1:11" x14ac:dyDescent="0.25">
      <c r="A605" t="str">
        <f t="shared" si="36"/>
        <v>62019</v>
      </c>
      <c r="B605" s="1">
        <v>43629</v>
      </c>
      <c r="C605" t="s">
        <v>387</v>
      </c>
      <c r="D605">
        <v>16340.05</v>
      </c>
      <c r="E605">
        <v>16421.8</v>
      </c>
      <c r="F605">
        <v>16282.65</v>
      </c>
      <c r="G605">
        <v>16316.6</v>
      </c>
      <c r="H605">
        <v>0</v>
      </c>
      <c r="I605" s="8">
        <f t="shared" si="37"/>
        <v>-6.6571492059820381E-3</v>
      </c>
      <c r="J605" s="8">
        <f t="shared" si="38"/>
        <v>-6.6794068604376245E-3</v>
      </c>
      <c r="K605" s="8">
        <f t="shared" si="35"/>
        <v>6.0583507479906817E-2</v>
      </c>
    </row>
    <row r="606" spans="1:11" x14ac:dyDescent="0.25">
      <c r="A606" t="str">
        <f t="shared" si="36"/>
        <v>62019</v>
      </c>
      <c r="B606" s="1">
        <v>43630</v>
      </c>
      <c r="C606" t="s">
        <v>388</v>
      </c>
      <c r="D606">
        <v>16326.7</v>
      </c>
      <c r="E606">
        <v>16336.1</v>
      </c>
      <c r="F606">
        <v>16239.2</v>
      </c>
      <c r="G606">
        <v>16268.2</v>
      </c>
      <c r="H606">
        <v>0</v>
      </c>
      <c r="I606" s="8">
        <f t="shared" si="37"/>
        <v>-2.9663042545627905E-3</v>
      </c>
      <c r="J606" s="8">
        <f t="shared" si="38"/>
        <v>-2.9707124545613308E-3</v>
      </c>
      <c r="K606" s="8">
        <f t="shared" si="35"/>
        <v>6.0308025210358052E-2</v>
      </c>
    </row>
    <row r="607" spans="1:11" x14ac:dyDescent="0.25">
      <c r="A607" t="str">
        <f t="shared" si="36"/>
        <v>62019</v>
      </c>
      <c r="B607" s="1">
        <v>43633</v>
      </c>
      <c r="C607" t="s">
        <v>389</v>
      </c>
      <c r="D607">
        <v>16285</v>
      </c>
      <c r="E607">
        <v>16313.55</v>
      </c>
      <c r="F607">
        <v>16190.9</v>
      </c>
      <c r="G607">
        <v>16228.2</v>
      </c>
      <c r="H607">
        <v>0</v>
      </c>
      <c r="I607" s="8">
        <f t="shared" si="37"/>
        <v>-2.4587846227609456E-3</v>
      </c>
      <c r="J607" s="8">
        <f t="shared" si="38"/>
        <v>-2.461812397787561E-3</v>
      </c>
      <c r="K607" s="8">
        <f t="shared" si="35"/>
        <v>6.3415561140071297E-2</v>
      </c>
    </row>
    <row r="608" spans="1:11" x14ac:dyDescent="0.25">
      <c r="A608" t="str">
        <f t="shared" si="36"/>
        <v>62019</v>
      </c>
      <c r="B608" s="1">
        <v>43634</v>
      </c>
      <c r="C608" t="s">
        <v>390</v>
      </c>
      <c r="D608">
        <v>16215.7</v>
      </c>
      <c r="E608">
        <v>16352.4</v>
      </c>
      <c r="F608">
        <v>16212.3</v>
      </c>
      <c r="G608">
        <v>16322.5</v>
      </c>
      <c r="H608">
        <v>0</v>
      </c>
      <c r="I608" s="8">
        <f t="shared" si="37"/>
        <v>5.8108724319394511E-3</v>
      </c>
      <c r="J608" s="8">
        <f t="shared" si="38"/>
        <v>5.7940544327762678E-3</v>
      </c>
      <c r="K608" s="8">
        <f t="shared" si="35"/>
        <v>4.9908018473492577E-2</v>
      </c>
    </row>
    <row r="609" spans="1:11" x14ac:dyDescent="0.25">
      <c r="A609" t="str">
        <f t="shared" si="36"/>
        <v>62019</v>
      </c>
      <c r="B609" s="1">
        <v>43635</v>
      </c>
      <c r="C609" t="s">
        <v>391</v>
      </c>
      <c r="D609">
        <v>16358.75</v>
      </c>
      <c r="E609">
        <v>16391.5</v>
      </c>
      <c r="F609">
        <v>16215.95</v>
      </c>
      <c r="G609">
        <v>16282.7</v>
      </c>
      <c r="H609">
        <v>0</v>
      </c>
      <c r="I609" s="8">
        <f t="shared" si="37"/>
        <v>-2.4383519681421273E-3</v>
      </c>
      <c r="J609" s="8">
        <f t="shared" si="38"/>
        <v>-2.4413295896133311E-3</v>
      </c>
      <c r="K609" s="8">
        <f t="shared" si="35"/>
        <v>6.0109574236056673E-2</v>
      </c>
    </row>
    <row r="610" spans="1:11" x14ac:dyDescent="0.25">
      <c r="A610" t="str">
        <f t="shared" si="36"/>
        <v>62019</v>
      </c>
      <c r="B610" s="1">
        <v>43636</v>
      </c>
      <c r="C610" t="s">
        <v>392</v>
      </c>
      <c r="D610">
        <v>16039</v>
      </c>
      <c r="E610">
        <v>16338.75</v>
      </c>
      <c r="F610">
        <v>15994.95</v>
      </c>
      <c r="G610">
        <v>16316.95</v>
      </c>
      <c r="H610">
        <v>0</v>
      </c>
      <c r="I610" s="8">
        <f t="shared" si="37"/>
        <v>2.1034594999600476E-3</v>
      </c>
      <c r="J610" s="8">
        <f t="shared" si="38"/>
        <v>2.1012503264216816E-3</v>
      </c>
      <c r="K610" s="8">
        <f t="shared" si="35"/>
        <v>5.3008767033116078E-2</v>
      </c>
    </row>
    <row r="611" spans="1:11" x14ac:dyDescent="0.25">
      <c r="A611" t="str">
        <f t="shared" si="36"/>
        <v>62019</v>
      </c>
      <c r="B611" s="1">
        <v>43637</v>
      </c>
      <c r="C611" t="s">
        <v>393</v>
      </c>
      <c r="D611">
        <v>16343.35</v>
      </c>
      <c r="E611">
        <v>16358.95</v>
      </c>
      <c r="F611">
        <v>16154.85</v>
      </c>
      <c r="G611">
        <v>16189.4</v>
      </c>
      <c r="H611">
        <v>0</v>
      </c>
      <c r="I611" s="8">
        <f t="shared" si="37"/>
        <v>-7.8170246277644573E-3</v>
      </c>
      <c r="J611" s="8">
        <f t="shared" si="38"/>
        <v>-7.8477377261786142E-3</v>
      </c>
      <c r="K611" s="8">
        <f t="shared" si="35"/>
        <v>3.783194704873627E-2</v>
      </c>
    </row>
    <row r="612" spans="1:11" x14ac:dyDescent="0.25">
      <c r="A612" t="str">
        <f t="shared" si="36"/>
        <v>62019</v>
      </c>
      <c r="B612" s="1">
        <v>43640</v>
      </c>
      <c r="C612" t="s">
        <v>394</v>
      </c>
      <c r="D612">
        <v>16202.4</v>
      </c>
      <c r="E612">
        <v>16231.6</v>
      </c>
      <c r="F612">
        <v>16142.4</v>
      </c>
      <c r="G612">
        <v>16187.4</v>
      </c>
      <c r="H612">
        <v>0</v>
      </c>
      <c r="I612" s="8">
        <f t="shared" si="37"/>
        <v>-1.2353762338324081E-4</v>
      </c>
      <c r="J612" s="8">
        <f t="shared" si="38"/>
        <v>-1.2354525478395294E-4</v>
      </c>
      <c r="K612" s="8">
        <f t="shared" si="35"/>
        <v>4.0916719717576155E-2</v>
      </c>
    </row>
    <row r="613" spans="1:11" x14ac:dyDescent="0.25">
      <c r="A613" t="str">
        <f t="shared" si="36"/>
        <v>62019</v>
      </c>
      <c r="B613" s="1">
        <v>43641</v>
      </c>
      <c r="C613" t="s">
        <v>395</v>
      </c>
      <c r="D613">
        <v>16158.8</v>
      </c>
      <c r="E613">
        <v>16252.95</v>
      </c>
      <c r="F613">
        <v>16050.6</v>
      </c>
      <c r="G613">
        <v>16214.45</v>
      </c>
      <c r="H613">
        <v>0</v>
      </c>
      <c r="I613" s="8">
        <f t="shared" si="37"/>
        <v>1.6710527941485864E-3</v>
      </c>
      <c r="J613" s="8">
        <f t="shared" si="38"/>
        <v>1.6696581389070298E-3</v>
      </c>
      <c r="K613" s="8">
        <f t="shared" si="35"/>
        <v>5.173560098204244E-2</v>
      </c>
    </row>
    <row r="614" spans="1:11" x14ac:dyDescent="0.25">
      <c r="A614" t="str">
        <f t="shared" si="36"/>
        <v>62019</v>
      </c>
      <c r="B614" s="1">
        <v>43642</v>
      </c>
      <c r="C614" t="s">
        <v>396</v>
      </c>
      <c r="D614">
        <v>16152.7</v>
      </c>
      <c r="E614">
        <v>16255.2</v>
      </c>
      <c r="F614">
        <v>16079.2</v>
      </c>
      <c r="G614">
        <v>16101.75</v>
      </c>
      <c r="H614">
        <v>0</v>
      </c>
      <c r="I614" s="8">
        <f t="shared" si="37"/>
        <v>-6.9505903684676795E-3</v>
      </c>
      <c r="J614" s="8">
        <f t="shared" si="38"/>
        <v>-6.9748582377575849E-3</v>
      </c>
      <c r="K614" s="8">
        <f t="shared" si="35"/>
        <v>4.8523110584374196E-2</v>
      </c>
    </row>
    <row r="615" spans="1:11" x14ac:dyDescent="0.25">
      <c r="A615" t="str">
        <f t="shared" si="36"/>
        <v>62019</v>
      </c>
      <c r="B615" s="1">
        <v>43643</v>
      </c>
      <c r="C615" t="s">
        <v>397</v>
      </c>
      <c r="D615">
        <v>16096.2</v>
      </c>
      <c r="E615">
        <v>16129.4</v>
      </c>
      <c r="F615">
        <v>15946.65</v>
      </c>
      <c r="G615">
        <v>15991.8</v>
      </c>
      <c r="H615">
        <v>0</v>
      </c>
      <c r="I615" s="8">
        <f t="shared" si="37"/>
        <v>-6.8284503237225902E-3</v>
      </c>
      <c r="J615" s="8">
        <f t="shared" si="38"/>
        <v>-6.8518708688783325E-3</v>
      </c>
      <c r="K615" s="8">
        <f t="shared" si="35"/>
        <v>4.2530998604899839E-2</v>
      </c>
    </row>
    <row r="616" spans="1:11" x14ac:dyDescent="0.25">
      <c r="A616" t="str">
        <f t="shared" si="36"/>
        <v>62019</v>
      </c>
      <c r="B616" s="1">
        <v>43644</v>
      </c>
      <c r="C616" t="s">
        <v>398</v>
      </c>
      <c r="D616">
        <v>16069.9</v>
      </c>
      <c r="E616">
        <v>16085.4</v>
      </c>
      <c r="F616">
        <v>15904.8</v>
      </c>
      <c r="G616">
        <v>15936.45</v>
      </c>
      <c r="H616">
        <v>0</v>
      </c>
      <c r="I616" s="8">
        <f t="shared" si="37"/>
        <v>-3.4611488387797928E-3</v>
      </c>
      <c r="J616" s="8">
        <f t="shared" si="38"/>
        <v>-3.4671524714022664E-3</v>
      </c>
      <c r="K616" s="8">
        <f t="shared" si="35"/>
        <v>2.3749337530313053E-2</v>
      </c>
    </row>
    <row r="617" spans="1:11" x14ac:dyDescent="0.25">
      <c r="A617" t="str">
        <f t="shared" si="36"/>
        <v>72019</v>
      </c>
      <c r="B617" s="1">
        <v>43647</v>
      </c>
      <c r="C617" s="10">
        <v>43472.645833333336</v>
      </c>
      <c r="D617">
        <v>15982.7</v>
      </c>
      <c r="E617">
        <v>16023.55</v>
      </c>
      <c r="F617">
        <v>15893.55</v>
      </c>
      <c r="G617">
        <v>15916.7</v>
      </c>
      <c r="H617">
        <v>0</v>
      </c>
      <c r="I617" s="8">
        <f t="shared" si="37"/>
        <v>-1.2392973340988878E-3</v>
      </c>
      <c r="J617" s="8">
        <f t="shared" si="38"/>
        <v>-1.2400658980918665E-3</v>
      </c>
      <c r="K617" s="8">
        <f t="shared" si="35"/>
        <v>1.8460219347077755E-2</v>
      </c>
    </row>
    <row r="618" spans="1:11" x14ac:dyDescent="0.25">
      <c r="A618" t="str">
        <f t="shared" si="36"/>
        <v>72019</v>
      </c>
      <c r="B618" s="1">
        <v>43648</v>
      </c>
      <c r="C618" s="10">
        <v>43503.645833333336</v>
      </c>
      <c r="D618">
        <v>15952.9</v>
      </c>
      <c r="E618">
        <v>16096.95</v>
      </c>
      <c r="F618">
        <v>15886.45</v>
      </c>
      <c r="G618">
        <v>16074.1</v>
      </c>
      <c r="H618">
        <v>0</v>
      </c>
      <c r="I618" s="8">
        <f t="shared" si="37"/>
        <v>9.8889845256868725E-3</v>
      </c>
      <c r="J618" s="8">
        <f t="shared" si="38"/>
        <v>9.840408500726542E-3</v>
      </c>
      <c r="K618" s="8">
        <f t="shared" si="35"/>
        <v>1.4737400296073844E-2</v>
      </c>
    </row>
    <row r="619" spans="1:11" x14ac:dyDescent="0.25">
      <c r="A619" t="str">
        <f t="shared" si="36"/>
        <v>72019</v>
      </c>
      <c r="B619" s="1">
        <v>43649</v>
      </c>
      <c r="C619" s="10">
        <v>43531.645833333336</v>
      </c>
      <c r="D619">
        <v>16091.1</v>
      </c>
      <c r="E619">
        <v>16097.15</v>
      </c>
      <c r="F619">
        <v>15906.4</v>
      </c>
      <c r="G619">
        <v>15927.65</v>
      </c>
      <c r="H619">
        <v>0</v>
      </c>
      <c r="I619" s="8">
        <f t="shared" si="37"/>
        <v>-9.1109300054125208E-3</v>
      </c>
      <c r="J619" s="8">
        <f t="shared" si="38"/>
        <v>-9.1526883600061993E-3</v>
      </c>
      <c r="K619" s="8">
        <f t="shared" si="35"/>
        <v>-3.7996297315553429E-3</v>
      </c>
    </row>
    <row r="620" spans="1:11" x14ac:dyDescent="0.25">
      <c r="A620" t="str">
        <f t="shared" si="36"/>
        <v>72019</v>
      </c>
      <c r="B620" s="1">
        <v>43650</v>
      </c>
      <c r="C620" s="10">
        <v>43562.645833333336</v>
      </c>
      <c r="D620">
        <v>15901.45</v>
      </c>
      <c r="E620">
        <v>15992.6</v>
      </c>
      <c r="F620">
        <v>15896.9</v>
      </c>
      <c r="G620">
        <v>15942.4</v>
      </c>
      <c r="H620">
        <v>0</v>
      </c>
      <c r="I620" s="8">
        <f t="shared" si="37"/>
        <v>9.2606253904370384E-4</v>
      </c>
      <c r="J620" s="8">
        <f t="shared" si="38"/>
        <v>9.2563400767475194E-4</v>
      </c>
      <c r="K620" s="8">
        <f t="shared" si="35"/>
        <v>-1.2873560338159118E-3</v>
      </c>
    </row>
    <row r="621" spans="1:11" x14ac:dyDescent="0.25">
      <c r="A621" t="str">
        <f t="shared" si="36"/>
        <v>72019</v>
      </c>
      <c r="B621" s="1">
        <v>43651</v>
      </c>
      <c r="C621" s="10">
        <v>43592.645833333336</v>
      </c>
      <c r="D621">
        <v>15960.85</v>
      </c>
      <c r="E621">
        <v>15979.45</v>
      </c>
      <c r="F621">
        <v>15520</v>
      </c>
      <c r="G621">
        <v>15550.05</v>
      </c>
      <c r="H621">
        <v>0</v>
      </c>
      <c r="I621" s="8">
        <f t="shared" si="37"/>
        <v>-2.4610472701726227E-2</v>
      </c>
      <c r="J621" s="8">
        <f t="shared" si="38"/>
        <v>-2.4918372591512309E-2</v>
      </c>
      <c r="K621" s="8">
        <f t="shared" si="35"/>
        <v>-1.2369163152278873E-2</v>
      </c>
    </row>
    <row r="622" spans="1:11" x14ac:dyDescent="0.25">
      <c r="A622" t="str">
        <f t="shared" si="36"/>
        <v>72019</v>
      </c>
      <c r="B622" s="1">
        <v>43654</v>
      </c>
      <c r="C622" s="10">
        <v>43684.645833333336</v>
      </c>
      <c r="D622">
        <v>15410.85</v>
      </c>
      <c r="E622">
        <v>15480.15</v>
      </c>
      <c r="F622">
        <v>15317.4</v>
      </c>
      <c r="G622">
        <v>15376</v>
      </c>
      <c r="H622">
        <v>0</v>
      </c>
      <c r="I622" s="8">
        <f t="shared" si="37"/>
        <v>-1.1192890055015892E-2</v>
      </c>
      <c r="J622" s="8">
        <f t="shared" si="38"/>
        <v>-1.1256001826220559E-2</v>
      </c>
      <c r="K622" s="8">
        <f t="shared" si="35"/>
        <v>-3.4355855191059437E-2</v>
      </c>
    </row>
    <row r="623" spans="1:11" x14ac:dyDescent="0.25">
      <c r="A623" t="str">
        <f t="shared" si="36"/>
        <v>72019</v>
      </c>
      <c r="B623" s="1">
        <v>43655</v>
      </c>
      <c r="C623" s="10">
        <v>43715.645833333336</v>
      </c>
      <c r="D623">
        <v>15381.35</v>
      </c>
      <c r="E623">
        <v>15434</v>
      </c>
      <c r="F623">
        <v>15123.6</v>
      </c>
      <c r="G623">
        <v>15254.5</v>
      </c>
      <c r="H623">
        <v>0</v>
      </c>
      <c r="I623" s="8">
        <f t="shared" si="37"/>
        <v>-7.901925078043659E-3</v>
      </c>
      <c r="J623" s="8">
        <f t="shared" si="38"/>
        <v>-7.9333107354238753E-3</v>
      </c>
      <c r="K623" s="8">
        <f t="shared" si="35"/>
        <v>-4.8274140969850055E-2</v>
      </c>
    </row>
    <row r="624" spans="1:11" x14ac:dyDescent="0.25">
      <c r="A624" t="str">
        <f t="shared" si="36"/>
        <v>72019</v>
      </c>
      <c r="B624" s="1">
        <v>43656</v>
      </c>
      <c r="C624" s="10">
        <v>43745.645833333336</v>
      </c>
      <c r="D624">
        <v>15077</v>
      </c>
      <c r="E624">
        <v>15322.75</v>
      </c>
      <c r="F624">
        <v>15045.1</v>
      </c>
      <c r="G624">
        <v>15168.6</v>
      </c>
      <c r="H624">
        <v>0</v>
      </c>
      <c r="I624" s="8">
        <f t="shared" si="37"/>
        <v>-5.6311252417319269E-3</v>
      </c>
      <c r="J624" s="8">
        <f t="shared" si="38"/>
        <v>-5.6470398001774186E-3</v>
      </c>
      <c r="K624" s="8">
        <f t="shared" si="35"/>
        <v>-5.9113239380706672E-2</v>
      </c>
    </row>
    <row r="625" spans="1:11" x14ac:dyDescent="0.25">
      <c r="A625" t="str">
        <f t="shared" si="36"/>
        <v>72019</v>
      </c>
      <c r="B625" s="1">
        <v>43657</v>
      </c>
      <c r="C625" s="10">
        <v>43776.645833333336</v>
      </c>
      <c r="D625">
        <v>15256.55</v>
      </c>
      <c r="E625">
        <v>15258.35</v>
      </c>
      <c r="F625">
        <v>15060.9</v>
      </c>
      <c r="G625">
        <v>15214.3</v>
      </c>
      <c r="H625">
        <v>0</v>
      </c>
      <c r="I625" s="8">
        <f t="shared" si="37"/>
        <v>3.0128027636036059E-3</v>
      </c>
      <c r="J625" s="8">
        <f t="shared" si="38"/>
        <v>3.0082733685263493E-3</v>
      </c>
      <c r="K625" s="8">
        <f t="shared" si="35"/>
        <v>-4.9055731085713927E-2</v>
      </c>
    </row>
    <row r="626" spans="1:11" x14ac:dyDescent="0.25">
      <c r="A626" t="str">
        <f t="shared" si="36"/>
        <v>72019</v>
      </c>
      <c r="B626" s="1">
        <v>43658</v>
      </c>
      <c r="C626" s="10">
        <v>43806.645833333336</v>
      </c>
      <c r="D626">
        <v>15227.6</v>
      </c>
      <c r="E626">
        <v>15293.35</v>
      </c>
      <c r="F626">
        <v>15186.1</v>
      </c>
      <c r="G626">
        <v>15227.4</v>
      </c>
      <c r="H626">
        <v>0</v>
      </c>
      <c r="I626" s="8">
        <f t="shared" si="37"/>
        <v>8.6103205536902649E-4</v>
      </c>
      <c r="J626" s="8">
        <f t="shared" si="38"/>
        <v>8.6066157991441616E-4</v>
      </c>
      <c r="K626" s="8">
        <f t="shared" si="35"/>
        <v>-4.0778594938502999E-2</v>
      </c>
    </row>
    <row r="627" spans="1:11" x14ac:dyDescent="0.25">
      <c r="A627" t="str">
        <f t="shared" si="36"/>
        <v>72019</v>
      </c>
      <c r="B627" s="1">
        <v>43661</v>
      </c>
      <c r="C627" t="s">
        <v>399</v>
      </c>
      <c r="D627">
        <v>15516.25</v>
      </c>
      <c r="E627">
        <v>15697.45</v>
      </c>
      <c r="F627">
        <v>15406.25</v>
      </c>
      <c r="G627">
        <v>15662.05</v>
      </c>
      <c r="H627">
        <v>0</v>
      </c>
      <c r="I627" s="8">
        <f t="shared" si="37"/>
        <v>2.8543940528258149E-2</v>
      </c>
      <c r="J627" s="8">
        <f t="shared" si="38"/>
        <v>2.8144152123175184E-2</v>
      </c>
      <c r="K627" s="8">
        <f t="shared" si="35"/>
        <v>-1.5652594729465674E-2</v>
      </c>
    </row>
    <row r="628" spans="1:11" x14ac:dyDescent="0.25">
      <c r="A628" t="str">
        <f t="shared" si="36"/>
        <v>72019</v>
      </c>
      <c r="B628" s="1">
        <v>43662</v>
      </c>
      <c r="C628" t="s">
        <v>400</v>
      </c>
      <c r="D628">
        <v>15608.75</v>
      </c>
      <c r="E628">
        <v>15630.6</v>
      </c>
      <c r="F628">
        <v>15532.3</v>
      </c>
      <c r="G628">
        <v>15580.45</v>
      </c>
      <c r="H628">
        <v>0</v>
      </c>
      <c r="I628" s="8">
        <f t="shared" si="37"/>
        <v>-5.2100459390691523E-3</v>
      </c>
      <c r="J628" s="8">
        <f t="shared" si="38"/>
        <v>-5.2236655548915786E-3</v>
      </c>
      <c r="K628" s="8">
        <f t="shared" si="35"/>
        <v>-3.3092958166032638E-2</v>
      </c>
    </row>
    <row r="629" spans="1:11" x14ac:dyDescent="0.25">
      <c r="A629" t="str">
        <f t="shared" si="36"/>
        <v>72019</v>
      </c>
      <c r="B629" s="1">
        <v>43663</v>
      </c>
      <c r="C629" t="s">
        <v>401</v>
      </c>
      <c r="D629">
        <v>15602.7</v>
      </c>
      <c r="E629">
        <v>15708.8</v>
      </c>
      <c r="F629">
        <v>15508.95</v>
      </c>
      <c r="G629">
        <v>15676</v>
      </c>
      <c r="H629">
        <v>0</v>
      </c>
      <c r="I629" s="8">
        <f t="shared" si="37"/>
        <v>6.1326855129344438E-3</v>
      </c>
      <c r="J629" s="8">
        <f t="shared" si="38"/>
        <v>6.1139571283252234E-3</v>
      </c>
      <c r="K629" s="8">
        <f t="shared" si="35"/>
        <v>-2.5421357919539367E-2</v>
      </c>
    </row>
    <row r="630" spans="1:11" x14ac:dyDescent="0.25">
      <c r="A630" t="str">
        <f t="shared" si="36"/>
        <v>72019</v>
      </c>
      <c r="B630" s="1">
        <v>43664</v>
      </c>
      <c r="C630" t="s">
        <v>402</v>
      </c>
      <c r="D630">
        <v>15554.9</v>
      </c>
      <c r="E630">
        <v>15636.85</v>
      </c>
      <c r="F630">
        <v>15455.05</v>
      </c>
      <c r="G630">
        <v>15498.5</v>
      </c>
      <c r="H630">
        <v>0</v>
      </c>
      <c r="I630" s="8">
        <f t="shared" si="37"/>
        <v>-1.1323041592242955E-2</v>
      </c>
      <c r="J630" s="8">
        <f t="shared" si="38"/>
        <v>-1.1387635288656909E-2</v>
      </c>
      <c r="K630" s="8">
        <f t="shared" si="35"/>
        <v>-3.6120975415596446E-2</v>
      </c>
    </row>
    <row r="631" spans="1:11" x14ac:dyDescent="0.25">
      <c r="A631" t="str">
        <f t="shared" si="36"/>
        <v>72019</v>
      </c>
      <c r="B631" s="1">
        <v>43665</v>
      </c>
      <c r="C631" t="s">
        <v>403</v>
      </c>
      <c r="D631">
        <v>15520.7</v>
      </c>
      <c r="E631">
        <v>15611.6</v>
      </c>
      <c r="F631">
        <v>15363.05</v>
      </c>
      <c r="G631">
        <v>15383.65</v>
      </c>
      <c r="H631">
        <v>0</v>
      </c>
      <c r="I631" s="8">
        <f t="shared" si="37"/>
        <v>-7.4103945543116945E-3</v>
      </c>
      <c r="J631" s="8">
        <f t="shared" si="38"/>
        <v>-7.437987931091814E-3</v>
      </c>
      <c r="K631" s="8">
        <f t="shared" si="35"/>
        <v>-4.7487399848922029E-2</v>
      </c>
    </row>
    <row r="632" spans="1:11" x14ac:dyDescent="0.25">
      <c r="A632" t="str">
        <f t="shared" si="36"/>
        <v>72019</v>
      </c>
      <c r="B632" s="1">
        <v>43668</v>
      </c>
      <c r="C632" t="s">
        <v>404</v>
      </c>
      <c r="D632">
        <v>15387.45</v>
      </c>
      <c r="E632">
        <v>15494.05</v>
      </c>
      <c r="F632">
        <v>15334.6</v>
      </c>
      <c r="G632">
        <v>15448.25</v>
      </c>
      <c r="H632">
        <v>0</v>
      </c>
      <c r="I632" s="8">
        <f t="shared" si="37"/>
        <v>4.1992635037848558E-3</v>
      </c>
      <c r="J632" s="8">
        <f t="shared" si="38"/>
        <v>4.1904712023306248E-3</v>
      </c>
      <c r="K632" s="8">
        <f t="shared" si="35"/>
        <v>-4.4416471301410909E-2</v>
      </c>
    </row>
    <row r="633" spans="1:11" x14ac:dyDescent="0.25">
      <c r="A633" t="str">
        <f t="shared" si="36"/>
        <v>72019</v>
      </c>
      <c r="B633" s="1">
        <v>43669</v>
      </c>
      <c r="C633" t="s">
        <v>405</v>
      </c>
      <c r="D633">
        <v>15497.55</v>
      </c>
      <c r="E633">
        <v>15645.7</v>
      </c>
      <c r="F633">
        <v>15467.7</v>
      </c>
      <c r="G633">
        <v>15493.4</v>
      </c>
      <c r="H633">
        <v>0</v>
      </c>
      <c r="I633" s="8">
        <f t="shared" si="37"/>
        <v>2.9226611428478932E-3</v>
      </c>
      <c r="J633" s="8">
        <f t="shared" si="38"/>
        <v>2.9183984723112504E-3</v>
      </c>
      <c r="K633" s="8">
        <f t="shared" si="35"/>
        <v>-5.3569410550171503E-2</v>
      </c>
    </row>
    <row r="634" spans="1:11" x14ac:dyDescent="0.25">
      <c r="A634" t="str">
        <f t="shared" si="36"/>
        <v>72019</v>
      </c>
      <c r="B634" s="1">
        <v>43670</v>
      </c>
      <c r="C634" t="s">
        <v>406</v>
      </c>
      <c r="D634">
        <v>15465.8</v>
      </c>
      <c r="E634">
        <v>15531.85</v>
      </c>
      <c r="F634">
        <v>15332.85</v>
      </c>
      <c r="G634">
        <v>15380.75</v>
      </c>
      <c r="H634">
        <v>0</v>
      </c>
      <c r="I634" s="8">
        <f t="shared" si="37"/>
        <v>-7.270837905172467E-3</v>
      </c>
      <c r="J634" s="8">
        <f t="shared" si="38"/>
        <v>-7.2973992743473074E-3</v>
      </c>
      <c r="K634" s="8">
        <f t="shared" si="35"/>
        <v>-5.9442419646788314E-2</v>
      </c>
    </row>
    <row r="635" spans="1:11" x14ac:dyDescent="0.25">
      <c r="A635" t="str">
        <f t="shared" si="36"/>
        <v>72019</v>
      </c>
      <c r="B635" s="1">
        <v>43671</v>
      </c>
      <c r="C635" t="s">
        <v>407</v>
      </c>
      <c r="D635">
        <v>15383.15</v>
      </c>
      <c r="E635">
        <v>15510.6</v>
      </c>
      <c r="F635">
        <v>15343.05</v>
      </c>
      <c r="G635">
        <v>15474.65</v>
      </c>
      <c r="H635">
        <v>0</v>
      </c>
      <c r="I635" s="8">
        <f t="shared" si="37"/>
        <v>6.1050338897647993E-3</v>
      </c>
      <c r="J635" s="8">
        <f t="shared" si="38"/>
        <v>6.0864736725637514E-3</v>
      </c>
      <c r="K635" s="8">
        <f t="shared" si="35"/>
        <v>-6.2395293390570483E-2</v>
      </c>
    </row>
    <row r="636" spans="1:11" x14ac:dyDescent="0.25">
      <c r="A636" t="str">
        <f t="shared" si="36"/>
        <v>72019</v>
      </c>
      <c r="B636" s="1">
        <v>43672</v>
      </c>
      <c r="C636" t="s">
        <v>408</v>
      </c>
      <c r="D636">
        <v>15442.5</v>
      </c>
      <c r="E636">
        <v>15461.65</v>
      </c>
      <c r="F636">
        <v>15265.35</v>
      </c>
      <c r="G636">
        <v>15348.05</v>
      </c>
      <c r="H636">
        <v>0</v>
      </c>
      <c r="I636" s="8">
        <f t="shared" si="37"/>
        <v>-8.181122028608101E-3</v>
      </c>
      <c r="J636" s="8">
        <f t="shared" si="38"/>
        <v>-8.2147710576419234E-3</v>
      </c>
      <c r="K636" s="8">
        <f t="shared" si="35"/>
        <v>-8.1252169957020004E-2</v>
      </c>
    </row>
    <row r="637" spans="1:11" x14ac:dyDescent="0.25">
      <c r="A637" t="str">
        <f t="shared" si="36"/>
        <v>72019</v>
      </c>
      <c r="B637" s="1">
        <v>43675</v>
      </c>
      <c r="C637" t="s">
        <v>409</v>
      </c>
      <c r="D637">
        <v>15365.1</v>
      </c>
      <c r="E637">
        <v>15528.1</v>
      </c>
      <c r="F637">
        <v>15297</v>
      </c>
      <c r="G637">
        <v>15400.85</v>
      </c>
      <c r="H637">
        <v>0</v>
      </c>
      <c r="I637" s="8">
        <f t="shared" si="37"/>
        <v>3.4401764393523493E-3</v>
      </c>
      <c r="J637" s="8">
        <f t="shared" si="38"/>
        <v>3.4342725687484857E-3</v>
      </c>
      <c r="K637" s="8">
        <f t="shared" si="35"/>
        <v>-6.1135597456671409E-2</v>
      </c>
    </row>
    <row r="638" spans="1:11" x14ac:dyDescent="0.25">
      <c r="A638" t="str">
        <f t="shared" si="36"/>
        <v>72019</v>
      </c>
      <c r="B638" s="1">
        <v>43676</v>
      </c>
      <c r="C638" t="s">
        <v>410</v>
      </c>
      <c r="D638">
        <v>15409.45</v>
      </c>
      <c r="E638">
        <v>15527.5</v>
      </c>
      <c r="F638">
        <v>15361.45</v>
      </c>
      <c r="G638">
        <v>15501.65</v>
      </c>
      <c r="H638">
        <v>0</v>
      </c>
      <c r="I638" s="8">
        <f t="shared" si="37"/>
        <v>6.5450932903052816E-3</v>
      </c>
      <c r="J638" s="8">
        <f t="shared" si="38"/>
        <v>6.5237671709320972E-3</v>
      </c>
      <c r="K638" s="8">
        <f t="shared" si="35"/>
        <v>-3.6742797311866471E-2</v>
      </c>
    </row>
    <row r="639" spans="1:11" x14ac:dyDescent="0.25">
      <c r="A639" t="str">
        <f t="shared" si="36"/>
        <v>72019</v>
      </c>
      <c r="B639" s="1">
        <v>43677</v>
      </c>
      <c r="C639" t="s">
        <v>411</v>
      </c>
      <c r="D639">
        <v>15437.6</v>
      </c>
      <c r="E639">
        <v>15649.15</v>
      </c>
      <c r="F639">
        <v>15303.7</v>
      </c>
      <c r="G639">
        <v>15620.2</v>
      </c>
      <c r="H639">
        <v>0</v>
      </c>
      <c r="I639" s="8">
        <f t="shared" si="37"/>
        <v>7.6475730002936171E-3</v>
      </c>
      <c r="J639" s="8">
        <f t="shared" si="38"/>
        <v>7.6184785543461043E-3</v>
      </c>
      <c r="K639" s="8">
        <f t="shared" si="35"/>
        <v>-3.048472039897332E-2</v>
      </c>
    </row>
    <row r="640" spans="1:11" x14ac:dyDescent="0.25">
      <c r="A640" t="str">
        <f t="shared" si="36"/>
        <v>82019</v>
      </c>
      <c r="B640" s="1">
        <v>43678</v>
      </c>
      <c r="C640" s="10">
        <v>43473.645833333336</v>
      </c>
      <c r="D640">
        <v>15576.95</v>
      </c>
      <c r="E640">
        <v>15593.55</v>
      </c>
      <c r="F640">
        <v>15277.75</v>
      </c>
      <c r="G640">
        <v>15332.1</v>
      </c>
      <c r="H640">
        <v>0</v>
      </c>
      <c r="I640" s="8">
        <f t="shared" si="37"/>
        <v>-1.8444066017080485E-2</v>
      </c>
      <c r="J640" s="8">
        <f t="shared" si="38"/>
        <v>-1.861627862355332E-2</v>
      </c>
      <c r="K640" s="8">
        <f t="shared" ref="K640:K703" si="39">+G640/G579-1</f>
        <v>-4.9805555985931838E-2</v>
      </c>
    </row>
    <row r="641" spans="1:11" x14ac:dyDescent="0.25">
      <c r="A641" t="str">
        <f t="shared" si="36"/>
        <v>82019</v>
      </c>
      <c r="B641" s="1">
        <v>43679</v>
      </c>
      <c r="C641" s="10">
        <v>43504.645833333336</v>
      </c>
      <c r="D641">
        <v>15277.65</v>
      </c>
      <c r="E641">
        <v>15461.05</v>
      </c>
      <c r="F641">
        <v>15208.8</v>
      </c>
      <c r="G641">
        <v>15422.1</v>
      </c>
      <c r="H641">
        <v>0</v>
      </c>
      <c r="I641" s="8">
        <f t="shared" si="37"/>
        <v>5.8700373725713018E-3</v>
      </c>
      <c r="J641" s="8">
        <f t="shared" si="38"/>
        <v>5.8528758297091031E-3</v>
      </c>
      <c r="K641" s="8">
        <f t="shared" si="39"/>
        <v>-3.9815460477162889E-2</v>
      </c>
    </row>
    <row r="642" spans="1:11" x14ac:dyDescent="0.25">
      <c r="A642" t="str">
        <f t="shared" si="36"/>
        <v>82019</v>
      </c>
      <c r="B642" s="1">
        <v>43682</v>
      </c>
      <c r="C642" s="10">
        <v>43593.645833333336</v>
      </c>
      <c r="D642">
        <v>15349.7</v>
      </c>
      <c r="E642">
        <v>15544.9</v>
      </c>
      <c r="F642">
        <v>15312.55</v>
      </c>
      <c r="G642">
        <v>15518.55</v>
      </c>
      <c r="H642">
        <v>0</v>
      </c>
      <c r="I642" s="8">
        <f t="shared" si="37"/>
        <v>6.2540120995193682E-3</v>
      </c>
      <c r="J642" s="8">
        <f t="shared" si="38"/>
        <v>6.2345369223338713E-3</v>
      </c>
      <c r="K642" s="8">
        <f t="shared" si="39"/>
        <v>-3.8077587035148852E-2</v>
      </c>
    </row>
    <row r="643" spans="1:11" x14ac:dyDescent="0.25">
      <c r="A643" t="str">
        <f t="shared" ref="A643:A706" si="40">+MONTH(B643)&amp;YEAR(B643)</f>
        <v>82019</v>
      </c>
      <c r="B643" s="1">
        <v>43683</v>
      </c>
      <c r="C643" s="10">
        <v>43624.645833333336</v>
      </c>
      <c r="D643">
        <v>15479.2</v>
      </c>
      <c r="E643">
        <v>15636.5</v>
      </c>
      <c r="F643">
        <v>15434.25</v>
      </c>
      <c r="G643">
        <v>15514.8</v>
      </c>
      <c r="H643">
        <v>0</v>
      </c>
      <c r="I643" s="8">
        <f t="shared" si="37"/>
        <v>-2.4164628782974429E-4</v>
      </c>
      <c r="J643" s="8">
        <f t="shared" si="38"/>
        <v>-2.4167548899828596E-4</v>
      </c>
      <c r="K643" s="8">
        <f t="shared" si="39"/>
        <v>-2.7260871746000004E-2</v>
      </c>
    </row>
    <row r="644" spans="1:11" x14ac:dyDescent="0.25">
      <c r="A644" t="str">
        <f t="shared" si="40"/>
        <v>82019</v>
      </c>
      <c r="B644" s="1">
        <v>43684</v>
      </c>
      <c r="C644" s="10">
        <v>43654.645833333336</v>
      </c>
      <c r="D644">
        <v>15591.15</v>
      </c>
      <c r="E644">
        <v>15730.7</v>
      </c>
      <c r="F644">
        <v>15522.85</v>
      </c>
      <c r="G644">
        <v>15583.35</v>
      </c>
      <c r="H644">
        <v>0</v>
      </c>
      <c r="I644" s="8">
        <f t="shared" ref="I644:I707" si="41">+G644/G643-1</f>
        <v>4.4183618222601861E-3</v>
      </c>
      <c r="J644" s="8">
        <f t="shared" ref="J644:J707" si="42">+LN(1+I644)</f>
        <v>4.408629518360266E-3</v>
      </c>
      <c r="K644" s="8">
        <f t="shared" si="39"/>
        <v>-2.3312002908124518E-2</v>
      </c>
    </row>
    <row r="645" spans="1:11" x14ac:dyDescent="0.25">
      <c r="A645" t="str">
        <f t="shared" si="40"/>
        <v>82019</v>
      </c>
      <c r="B645" s="1">
        <v>43685</v>
      </c>
      <c r="C645" s="10">
        <v>43685.645833333336</v>
      </c>
      <c r="D645">
        <v>15677.45</v>
      </c>
      <c r="E645">
        <v>15919.2</v>
      </c>
      <c r="F645">
        <v>15654.45</v>
      </c>
      <c r="G645">
        <v>15867.95</v>
      </c>
      <c r="H645">
        <v>0</v>
      </c>
      <c r="I645" s="8">
        <f t="shared" si="41"/>
        <v>1.8263082071569903E-2</v>
      </c>
      <c r="J645" s="8">
        <f t="shared" si="42"/>
        <v>1.8098315066673632E-2</v>
      </c>
      <c r="K645" s="8">
        <f t="shared" si="39"/>
        <v>6.6739623479405985E-3</v>
      </c>
    </row>
    <row r="646" spans="1:11" x14ac:dyDescent="0.25">
      <c r="A646" t="str">
        <f t="shared" si="40"/>
        <v>82019</v>
      </c>
      <c r="B646" s="1">
        <v>43686</v>
      </c>
      <c r="C646" s="10">
        <v>43716.645833333336</v>
      </c>
      <c r="D646">
        <v>15898</v>
      </c>
      <c r="E646">
        <v>15945.4</v>
      </c>
      <c r="F646">
        <v>15785.75</v>
      </c>
      <c r="G646">
        <v>15821.35</v>
      </c>
      <c r="H646">
        <v>0</v>
      </c>
      <c r="I646" s="8">
        <f t="shared" si="41"/>
        <v>-2.9367372596964536E-3</v>
      </c>
      <c r="J646" s="8">
        <f t="shared" si="42"/>
        <v>-2.9410579337591368E-3</v>
      </c>
      <c r="K646" s="8">
        <f t="shared" si="39"/>
        <v>2.8237665432788717E-3</v>
      </c>
    </row>
    <row r="647" spans="1:11" x14ac:dyDescent="0.25">
      <c r="A647" t="str">
        <f t="shared" si="40"/>
        <v>82019</v>
      </c>
      <c r="B647" s="1">
        <v>43690</v>
      </c>
      <c r="C647" t="s">
        <v>412</v>
      </c>
      <c r="D647">
        <v>15809.25</v>
      </c>
      <c r="E647">
        <v>15822.4</v>
      </c>
      <c r="F647">
        <v>15379.6</v>
      </c>
      <c r="G647">
        <v>15424.4</v>
      </c>
      <c r="H647">
        <v>0</v>
      </c>
      <c r="I647" s="8">
        <f t="shared" si="41"/>
        <v>-2.5089515117230898E-2</v>
      </c>
      <c r="J647" s="8">
        <f t="shared" si="42"/>
        <v>-2.5409622575767558E-2</v>
      </c>
      <c r="K647" s="8">
        <f t="shared" si="39"/>
        <v>-3.1981925442450154E-2</v>
      </c>
    </row>
    <row r="648" spans="1:11" x14ac:dyDescent="0.25">
      <c r="A648" t="str">
        <f t="shared" si="40"/>
        <v>82019</v>
      </c>
      <c r="B648" s="1">
        <v>43691</v>
      </c>
      <c r="C648" t="s">
        <v>413</v>
      </c>
      <c r="D648">
        <v>15467.35</v>
      </c>
      <c r="E648">
        <v>15518.45</v>
      </c>
      <c r="F648">
        <v>15298.5</v>
      </c>
      <c r="G648">
        <v>15466.25</v>
      </c>
      <c r="H648">
        <v>0</v>
      </c>
      <c r="I648" s="8">
        <f t="shared" si="41"/>
        <v>2.7132335779673777E-3</v>
      </c>
      <c r="J648" s="8">
        <f t="shared" si="42"/>
        <v>2.7095594041703923E-3</v>
      </c>
      <c r="K648" s="8">
        <f t="shared" si="39"/>
        <v>-2.3804865117335927E-2</v>
      </c>
    </row>
    <row r="649" spans="1:11" x14ac:dyDescent="0.25">
      <c r="A649" t="str">
        <f t="shared" si="40"/>
        <v>82019</v>
      </c>
      <c r="B649" s="1">
        <v>43693</v>
      </c>
      <c r="C649" t="s">
        <v>414</v>
      </c>
      <c r="D649">
        <v>15547.4</v>
      </c>
      <c r="E649">
        <v>15552.7</v>
      </c>
      <c r="F649">
        <v>15238.55</v>
      </c>
      <c r="G649">
        <v>15365.35</v>
      </c>
      <c r="H649">
        <v>0</v>
      </c>
      <c r="I649" s="8">
        <f t="shared" si="41"/>
        <v>-6.5238826477006517E-3</v>
      </c>
      <c r="J649" s="8">
        <f t="shared" si="42"/>
        <v>-6.5452561797587679E-3</v>
      </c>
      <c r="K649" s="8">
        <f t="shared" si="39"/>
        <v>-3.7753159404316117E-2</v>
      </c>
    </row>
    <row r="650" spans="1:11" x14ac:dyDescent="0.25">
      <c r="A650" t="str">
        <f t="shared" si="40"/>
        <v>82019</v>
      </c>
      <c r="B650" s="1">
        <v>43696</v>
      </c>
      <c r="C650" t="s">
        <v>415</v>
      </c>
      <c r="D650">
        <v>15420.05</v>
      </c>
      <c r="E650">
        <v>15514.9</v>
      </c>
      <c r="F650">
        <v>15396</v>
      </c>
      <c r="G650">
        <v>15415.15</v>
      </c>
      <c r="H650">
        <v>0</v>
      </c>
      <c r="I650" s="8">
        <f t="shared" si="41"/>
        <v>3.2410586156514931E-3</v>
      </c>
      <c r="J650" s="8">
        <f t="shared" si="42"/>
        <v>3.2358177061864121E-3</v>
      </c>
      <c r="K650" s="8">
        <f t="shared" si="39"/>
        <v>-2.2312495441413893E-2</v>
      </c>
    </row>
    <row r="651" spans="1:11" x14ac:dyDescent="0.25">
      <c r="A651" t="str">
        <f t="shared" si="40"/>
        <v>82019</v>
      </c>
      <c r="B651" s="1">
        <v>43697</v>
      </c>
      <c r="C651" t="s">
        <v>416</v>
      </c>
      <c r="D651">
        <v>15503.8</v>
      </c>
      <c r="E651">
        <v>15691.65</v>
      </c>
      <c r="F651">
        <v>15467.35</v>
      </c>
      <c r="G651">
        <v>15597.75</v>
      </c>
      <c r="H651">
        <v>0</v>
      </c>
      <c r="I651" s="8">
        <f t="shared" si="41"/>
        <v>1.1845489664388698E-2</v>
      </c>
      <c r="J651" s="8">
        <f t="shared" si="42"/>
        <v>1.1775881011526997E-2</v>
      </c>
      <c r="K651" s="8">
        <f t="shared" si="39"/>
        <v>-4.3661014352600613E-3</v>
      </c>
    </row>
    <row r="652" spans="1:11" x14ac:dyDescent="0.25">
      <c r="A652" t="str">
        <f t="shared" si="40"/>
        <v>82019</v>
      </c>
      <c r="B652" s="1">
        <v>43698</v>
      </c>
      <c r="C652" t="s">
        <v>417</v>
      </c>
      <c r="D652">
        <v>15598.5</v>
      </c>
      <c r="E652">
        <v>15680.05</v>
      </c>
      <c r="F652">
        <v>15562</v>
      </c>
      <c r="G652">
        <v>15578.15</v>
      </c>
      <c r="H652">
        <v>0</v>
      </c>
      <c r="I652" s="8">
        <f t="shared" si="41"/>
        <v>-1.2565914955683377E-3</v>
      </c>
      <c r="J652" s="8">
        <f t="shared" si="42"/>
        <v>-1.2573816686809439E-3</v>
      </c>
      <c r="K652" s="8">
        <f t="shared" si="39"/>
        <v>2.5291446921746896E-3</v>
      </c>
    </row>
    <row r="653" spans="1:11" x14ac:dyDescent="0.25">
      <c r="A653" t="str">
        <f t="shared" si="40"/>
        <v>82019</v>
      </c>
      <c r="B653" s="1">
        <v>43699</v>
      </c>
      <c r="C653" t="s">
        <v>418</v>
      </c>
      <c r="D653">
        <v>15581.5</v>
      </c>
      <c r="E653">
        <v>15703.15</v>
      </c>
      <c r="F653">
        <v>15478.8</v>
      </c>
      <c r="G653">
        <v>15632</v>
      </c>
      <c r="H653">
        <v>0</v>
      </c>
      <c r="I653" s="8">
        <f t="shared" si="41"/>
        <v>3.4567647634669019E-3</v>
      </c>
      <c r="J653" s="8">
        <f t="shared" si="42"/>
        <v>3.4508038851049582E-3</v>
      </c>
      <c r="K653" s="8">
        <f t="shared" si="39"/>
        <v>3.9916890657263338E-3</v>
      </c>
    </row>
    <row r="654" spans="1:11" x14ac:dyDescent="0.25">
      <c r="A654" t="str">
        <f t="shared" si="40"/>
        <v>82019</v>
      </c>
      <c r="B654" s="1">
        <v>43700</v>
      </c>
      <c r="C654" t="s">
        <v>419</v>
      </c>
      <c r="D654">
        <v>15647.65</v>
      </c>
      <c r="E654">
        <v>15872.85</v>
      </c>
      <c r="F654">
        <v>15639.4</v>
      </c>
      <c r="G654">
        <v>15816.6</v>
      </c>
      <c r="H654">
        <v>0</v>
      </c>
      <c r="I654" s="8">
        <f t="shared" si="41"/>
        <v>1.1809109518935434E-2</v>
      </c>
      <c r="J654" s="8">
        <f t="shared" si="42"/>
        <v>1.1739926115398118E-2</v>
      </c>
      <c r="K654" s="8">
        <f t="shared" si="39"/>
        <v>1.6709895768047822E-2</v>
      </c>
    </row>
    <row r="655" spans="1:11" x14ac:dyDescent="0.25">
      <c r="A655" t="str">
        <f t="shared" si="40"/>
        <v>82019</v>
      </c>
      <c r="B655" s="1">
        <v>43703</v>
      </c>
      <c r="C655" t="s">
        <v>420</v>
      </c>
      <c r="D655">
        <v>15825.25</v>
      </c>
      <c r="E655">
        <v>15922.55</v>
      </c>
      <c r="F655">
        <v>15628.1</v>
      </c>
      <c r="G655">
        <v>15890.2</v>
      </c>
      <c r="H655">
        <v>0</v>
      </c>
      <c r="I655" s="8">
        <f t="shared" si="41"/>
        <v>4.6533388971081724E-3</v>
      </c>
      <c r="J655" s="8">
        <f t="shared" si="42"/>
        <v>4.6425455860001439E-3</v>
      </c>
      <c r="K655" s="8">
        <f t="shared" si="39"/>
        <v>8.130287621216814E-3</v>
      </c>
    </row>
    <row r="656" spans="1:11" x14ac:dyDescent="0.25">
      <c r="A656" t="str">
        <f t="shared" si="40"/>
        <v>82019</v>
      </c>
      <c r="B656" s="1">
        <v>43704</v>
      </c>
      <c r="C656" t="s">
        <v>421</v>
      </c>
      <c r="D656">
        <v>15817.3</v>
      </c>
      <c r="E656">
        <v>15833.55</v>
      </c>
      <c r="F656">
        <v>15631.5</v>
      </c>
      <c r="G656">
        <v>15675.3</v>
      </c>
      <c r="H656">
        <v>0</v>
      </c>
      <c r="I656" s="8">
        <f t="shared" si="41"/>
        <v>-1.3524058853884857E-2</v>
      </c>
      <c r="J656" s="8">
        <f t="shared" si="42"/>
        <v>-1.3616341910003672E-2</v>
      </c>
      <c r="K656" s="8">
        <f t="shared" si="39"/>
        <v>-1.1994503832190473E-2</v>
      </c>
    </row>
    <row r="657" spans="1:11" x14ac:dyDescent="0.25">
      <c r="A657" t="str">
        <f t="shared" si="40"/>
        <v>82019</v>
      </c>
      <c r="B657" s="1">
        <v>43705</v>
      </c>
      <c r="C657" t="s">
        <v>422</v>
      </c>
      <c r="D657">
        <v>15704.1</v>
      </c>
      <c r="E657">
        <v>15898</v>
      </c>
      <c r="F657">
        <v>15703.1</v>
      </c>
      <c r="G657">
        <v>15879.9</v>
      </c>
      <c r="H657">
        <v>0</v>
      </c>
      <c r="I657" s="8">
        <f t="shared" si="41"/>
        <v>1.3052381772597599E-2</v>
      </c>
      <c r="J657" s="8">
        <f t="shared" si="42"/>
        <v>1.2967933478121235E-2</v>
      </c>
      <c r="K657" s="8">
        <f t="shared" si="39"/>
        <v>-7.3418409924144168E-3</v>
      </c>
    </row>
    <row r="658" spans="1:11" x14ac:dyDescent="0.25">
      <c r="A658" t="str">
        <f t="shared" si="40"/>
        <v>82019</v>
      </c>
      <c r="B658" s="1">
        <v>43706</v>
      </c>
      <c r="C658" t="s">
        <v>423</v>
      </c>
      <c r="D658">
        <v>15774.65</v>
      </c>
      <c r="E658">
        <v>15943.3</v>
      </c>
      <c r="F658">
        <v>15754.9</v>
      </c>
      <c r="G658">
        <v>15884.55</v>
      </c>
      <c r="H658">
        <v>0</v>
      </c>
      <c r="I658" s="8">
        <f t="shared" si="41"/>
        <v>2.9282300266375572E-4</v>
      </c>
      <c r="J658" s="8">
        <f t="shared" si="42"/>
        <v>2.9278013837587339E-4</v>
      </c>
      <c r="K658" s="8">
        <f t="shared" si="39"/>
        <v>-1.7084708845250707E-2</v>
      </c>
    </row>
    <row r="659" spans="1:11" x14ac:dyDescent="0.25">
      <c r="A659" t="str">
        <f t="shared" si="40"/>
        <v>82019</v>
      </c>
      <c r="B659" s="1">
        <v>43707</v>
      </c>
      <c r="C659" t="s">
        <v>424</v>
      </c>
      <c r="D659">
        <v>15893.9</v>
      </c>
      <c r="E659">
        <v>16039.25</v>
      </c>
      <c r="F659">
        <v>15734.2</v>
      </c>
      <c r="G659">
        <v>16010.4</v>
      </c>
      <c r="H659">
        <v>0</v>
      </c>
      <c r="I659" s="8">
        <f t="shared" si="41"/>
        <v>7.92279290253739E-3</v>
      </c>
      <c r="J659" s="8">
        <f t="shared" si="42"/>
        <v>7.8915723729595672E-3</v>
      </c>
      <c r="K659" s="8">
        <f t="shared" si="39"/>
        <v>-2.1402092227950753E-2</v>
      </c>
    </row>
    <row r="660" spans="1:11" x14ac:dyDescent="0.25">
      <c r="A660" t="str">
        <f t="shared" si="40"/>
        <v>92019</v>
      </c>
      <c r="B660" s="1">
        <v>43711</v>
      </c>
      <c r="C660" s="10">
        <v>43533.645833333336</v>
      </c>
      <c r="D660">
        <v>16027.1</v>
      </c>
      <c r="E660">
        <v>16189.45</v>
      </c>
      <c r="F660">
        <v>15935.9</v>
      </c>
      <c r="G660">
        <v>15984.9</v>
      </c>
      <c r="H660">
        <v>0</v>
      </c>
      <c r="I660" s="8">
        <f t="shared" si="41"/>
        <v>-1.5927147354219962E-3</v>
      </c>
      <c r="J660" s="8">
        <f t="shared" si="42"/>
        <v>-1.5939844539148739E-3</v>
      </c>
      <c r="K660" s="8">
        <f t="shared" si="39"/>
        <v>-7.4696371358319302E-3</v>
      </c>
    </row>
    <row r="661" spans="1:11" x14ac:dyDescent="0.25">
      <c r="A661" t="str">
        <f t="shared" si="40"/>
        <v>92019</v>
      </c>
      <c r="B661" s="1">
        <v>43712</v>
      </c>
      <c r="C661" s="10">
        <v>43564.645833333336</v>
      </c>
      <c r="D661">
        <v>15985.75</v>
      </c>
      <c r="E661">
        <v>16090.85</v>
      </c>
      <c r="F661">
        <v>15944.4</v>
      </c>
      <c r="G661">
        <v>16032.5</v>
      </c>
      <c r="H661">
        <v>0</v>
      </c>
      <c r="I661" s="8">
        <f t="shared" si="41"/>
        <v>2.9778103084785457E-3</v>
      </c>
      <c r="J661" s="8">
        <f t="shared" si="42"/>
        <v>2.9733854135174072E-3</v>
      </c>
      <c r="K661" s="8">
        <f t="shared" si="39"/>
        <v>1.2740365098893314E-3</v>
      </c>
    </row>
    <row r="662" spans="1:11" x14ac:dyDescent="0.25">
      <c r="A662" t="str">
        <f t="shared" si="40"/>
        <v>92019</v>
      </c>
      <c r="B662" s="1">
        <v>43713</v>
      </c>
      <c r="C662" s="10">
        <v>43594.645833333336</v>
      </c>
      <c r="D662">
        <v>16109.2</v>
      </c>
      <c r="E662">
        <v>16142.65</v>
      </c>
      <c r="F662">
        <v>15972.2</v>
      </c>
      <c r="G662">
        <v>16030.95</v>
      </c>
      <c r="H662">
        <v>0</v>
      </c>
      <c r="I662" s="8">
        <f t="shared" si="41"/>
        <v>-9.6678621549939336E-5</v>
      </c>
      <c r="J662" s="8">
        <f t="shared" si="42"/>
        <v>-9.6683295229104072E-5</v>
      </c>
      <c r="K662" s="8">
        <f t="shared" si="39"/>
        <v>-4.8976247451093524E-3</v>
      </c>
    </row>
    <row r="663" spans="1:11" x14ac:dyDescent="0.25">
      <c r="A663" t="str">
        <f t="shared" si="40"/>
        <v>92019</v>
      </c>
      <c r="B663" s="1">
        <v>43714</v>
      </c>
      <c r="C663" s="10">
        <v>43625.645833333336</v>
      </c>
      <c r="D663">
        <v>16139.9</v>
      </c>
      <c r="E663">
        <v>16218.8</v>
      </c>
      <c r="F663">
        <v>15991.05</v>
      </c>
      <c r="G663">
        <v>16034.55</v>
      </c>
      <c r="H663">
        <v>0</v>
      </c>
      <c r="I663" s="8">
        <f t="shared" si="41"/>
        <v>2.2456560590589092E-4</v>
      </c>
      <c r="J663" s="8">
        <f t="shared" si="42"/>
        <v>2.2454039482450354E-4</v>
      </c>
      <c r="K663" s="8">
        <f t="shared" si="39"/>
        <v>-2.0036791668703868E-2</v>
      </c>
    </row>
    <row r="664" spans="1:11" x14ac:dyDescent="0.25">
      <c r="A664" t="str">
        <f t="shared" si="40"/>
        <v>92019</v>
      </c>
      <c r="B664" s="1">
        <v>43717</v>
      </c>
      <c r="C664" s="10">
        <v>43717.645833333336</v>
      </c>
      <c r="D664">
        <v>16023.95</v>
      </c>
      <c r="E664">
        <v>16030.45</v>
      </c>
      <c r="F664">
        <v>15883.6</v>
      </c>
      <c r="G664">
        <v>15919.4</v>
      </c>
      <c r="H664">
        <v>0</v>
      </c>
      <c r="I664" s="8">
        <f t="shared" si="41"/>
        <v>-7.1813677340493154E-3</v>
      </c>
      <c r="J664" s="8">
        <f t="shared" si="42"/>
        <v>-7.2072778766777935E-3</v>
      </c>
      <c r="K664" s="8">
        <f t="shared" si="39"/>
        <v>-3.2143530255774211E-2</v>
      </c>
    </row>
    <row r="665" spans="1:11" x14ac:dyDescent="0.25">
      <c r="A665" t="str">
        <f t="shared" si="40"/>
        <v>92019</v>
      </c>
      <c r="B665" s="1">
        <v>43719</v>
      </c>
      <c r="C665" s="10">
        <v>43778.645833333336</v>
      </c>
      <c r="D665">
        <v>15901.15</v>
      </c>
      <c r="E665">
        <v>15955.2</v>
      </c>
      <c r="F665">
        <v>15669.3</v>
      </c>
      <c r="G665">
        <v>15701.8</v>
      </c>
      <c r="H665">
        <v>0</v>
      </c>
      <c r="I665" s="8">
        <f t="shared" si="41"/>
        <v>-1.3668856866464796E-2</v>
      </c>
      <c r="J665" s="8">
        <f t="shared" si="42"/>
        <v>-1.3763135799780101E-2</v>
      </c>
      <c r="K665" s="8">
        <f t="shared" si="39"/>
        <v>-4.4085730201297468E-2</v>
      </c>
    </row>
    <row r="666" spans="1:11" x14ac:dyDescent="0.25">
      <c r="A666" t="str">
        <f t="shared" si="40"/>
        <v>92019</v>
      </c>
      <c r="B666" s="1">
        <v>43720</v>
      </c>
      <c r="C666" s="10">
        <v>43808.645833333336</v>
      </c>
      <c r="D666">
        <v>15674.3</v>
      </c>
      <c r="E666">
        <v>15725.75</v>
      </c>
      <c r="F666">
        <v>15525.15</v>
      </c>
      <c r="G666">
        <v>15583.25</v>
      </c>
      <c r="H666">
        <v>0</v>
      </c>
      <c r="I666" s="8">
        <f t="shared" si="41"/>
        <v>-7.5500897986218174E-3</v>
      </c>
      <c r="J666" s="8">
        <f t="shared" si="42"/>
        <v>-7.5787360053136011E-3</v>
      </c>
      <c r="K666" s="8">
        <f t="shared" si="39"/>
        <v>-4.4945025311645792E-2</v>
      </c>
    </row>
    <row r="667" spans="1:11" x14ac:dyDescent="0.25">
      <c r="A667" t="str">
        <f t="shared" si="40"/>
        <v>92019</v>
      </c>
      <c r="B667" s="1">
        <v>43721</v>
      </c>
      <c r="C667" t="s">
        <v>425</v>
      </c>
      <c r="D667">
        <v>15608.1</v>
      </c>
      <c r="E667">
        <v>15739.7</v>
      </c>
      <c r="F667">
        <v>15586.7</v>
      </c>
      <c r="G667">
        <v>15722.9</v>
      </c>
      <c r="H667">
        <v>0</v>
      </c>
      <c r="I667" s="8">
        <f t="shared" si="41"/>
        <v>8.9615452489051339E-3</v>
      </c>
      <c r="J667" s="8">
        <f t="shared" si="42"/>
        <v>8.9216288998144946E-3</v>
      </c>
      <c r="K667" s="8">
        <f t="shared" si="39"/>
        <v>-3.3519381369788936E-2</v>
      </c>
    </row>
    <row r="668" spans="1:11" x14ac:dyDescent="0.25">
      <c r="A668" t="str">
        <f t="shared" si="40"/>
        <v>92019</v>
      </c>
      <c r="B668" s="1">
        <v>43724</v>
      </c>
      <c r="C668" t="s">
        <v>426</v>
      </c>
      <c r="D668">
        <v>15774.45</v>
      </c>
      <c r="E668">
        <v>15854.15</v>
      </c>
      <c r="F668">
        <v>15602.6</v>
      </c>
      <c r="G668">
        <v>15743.15</v>
      </c>
      <c r="H668">
        <v>0</v>
      </c>
      <c r="I668" s="8">
        <f t="shared" si="41"/>
        <v>1.2879303436388323E-3</v>
      </c>
      <c r="J668" s="8">
        <f t="shared" si="42"/>
        <v>1.28710167279104E-3</v>
      </c>
      <c r="K668" s="8">
        <f t="shared" si="39"/>
        <v>-2.9889328452940012E-2</v>
      </c>
    </row>
    <row r="669" spans="1:11" x14ac:dyDescent="0.25">
      <c r="A669" t="str">
        <f t="shared" si="40"/>
        <v>92019</v>
      </c>
      <c r="B669" s="1">
        <v>43725</v>
      </c>
      <c r="C669" t="s">
        <v>427</v>
      </c>
      <c r="D669">
        <v>15769.85</v>
      </c>
      <c r="E669">
        <v>15769.85</v>
      </c>
      <c r="F669">
        <v>15563.6</v>
      </c>
      <c r="G669">
        <v>15625.65</v>
      </c>
      <c r="H669">
        <v>0</v>
      </c>
      <c r="I669" s="8">
        <f t="shared" si="41"/>
        <v>-7.4635635181015125E-3</v>
      </c>
      <c r="J669" s="8">
        <f t="shared" si="42"/>
        <v>-7.4915552741013332E-3</v>
      </c>
      <c r="K669" s="8">
        <f t="shared" si="39"/>
        <v>-4.2692602236177102E-2</v>
      </c>
    </row>
    <row r="670" spans="1:11" x14ac:dyDescent="0.25">
      <c r="A670" t="str">
        <f t="shared" si="40"/>
        <v>92019</v>
      </c>
      <c r="B670" s="1">
        <v>43726</v>
      </c>
      <c r="C670" t="s">
        <v>428</v>
      </c>
      <c r="D670">
        <v>15649.05</v>
      </c>
      <c r="E670">
        <v>15731.05</v>
      </c>
      <c r="F670">
        <v>15584.1</v>
      </c>
      <c r="G670">
        <v>15702.3</v>
      </c>
      <c r="H670">
        <v>0</v>
      </c>
      <c r="I670" s="8">
        <f t="shared" si="41"/>
        <v>4.9053959355289667E-3</v>
      </c>
      <c r="J670" s="8">
        <f t="shared" si="42"/>
        <v>4.8934036827291364E-3</v>
      </c>
      <c r="K670" s="8">
        <f t="shared" si="39"/>
        <v>-3.5645193978885659E-2</v>
      </c>
    </row>
    <row r="671" spans="1:11" x14ac:dyDescent="0.25">
      <c r="A671" t="str">
        <f t="shared" si="40"/>
        <v>92019</v>
      </c>
      <c r="B671" s="1">
        <v>43727</v>
      </c>
      <c r="C671" t="s">
        <v>429</v>
      </c>
      <c r="D671">
        <v>15667</v>
      </c>
      <c r="E671">
        <v>15675.15</v>
      </c>
      <c r="F671">
        <v>15469.1</v>
      </c>
      <c r="G671">
        <v>15522.45</v>
      </c>
      <c r="H671">
        <v>0</v>
      </c>
      <c r="I671" s="8">
        <f t="shared" si="41"/>
        <v>-1.1453736076880383E-2</v>
      </c>
      <c r="J671" s="8">
        <f t="shared" si="42"/>
        <v>-1.1519835318832258E-2</v>
      </c>
      <c r="K671" s="8">
        <f t="shared" si="39"/>
        <v>-4.8691697896972141E-2</v>
      </c>
    </row>
    <row r="672" spans="1:11" x14ac:dyDescent="0.25">
      <c r="A672" t="str">
        <f t="shared" si="40"/>
        <v>92019</v>
      </c>
      <c r="B672" s="1">
        <v>43728</v>
      </c>
      <c r="C672" t="s">
        <v>430</v>
      </c>
      <c r="D672">
        <v>15541.55</v>
      </c>
      <c r="E672">
        <v>15742.55</v>
      </c>
      <c r="F672">
        <v>15434.15</v>
      </c>
      <c r="G672">
        <v>15491.1</v>
      </c>
      <c r="H672">
        <v>0</v>
      </c>
      <c r="I672" s="8">
        <f t="shared" si="41"/>
        <v>-2.0196554023366176E-3</v>
      </c>
      <c r="J672" s="8">
        <f t="shared" si="42"/>
        <v>-2.0216976565384966E-3</v>
      </c>
      <c r="K672" s="8">
        <f t="shared" si="39"/>
        <v>-4.3133161204244708E-2</v>
      </c>
    </row>
    <row r="673" spans="1:11" x14ac:dyDescent="0.25">
      <c r="A673" t="str">
        <f t="shared" si="40"/>
        <v>92019</v>
      </c>
      <c r="B673" s="1">
        <v>43731</v>
      </c>
      <c r="C673" t="s">
        <v>431</v>
      </c>
      <c r="D673">
        <v>15611.8</v>
      </c>
      <c r="E673">
        <v>15611.8</v>
      </c>
      <c r="F673">
        <v>14735.55</v>
      </c>
      <c r="G673">
        <v>15040.65</v>
      </c>
      <c r="H673">
        <v>0</v>
      </c>
      <c r="I673" s="8">
        <f t="shared" si="41"/>
        <v>-2.9077986714952542E-2</v>
      </c>
      <c r="J673" s="8">
        <f t="shared" si="42"/>
        <v>-2.9509129791642087E-2</v>
      </c>
      <c r="K673" s="8">
        <f t="shared" si="39"/>
        <v>-7.0842136476518824E-2</v>
      </c>
    </row>
    <row r="674" spans="1:11" x14ac:dyDescent="0.25">
      <c r="A674" t="str">
        <f t="shared" si="40"/>
        <v>92019</v>
      </c>
      <c r="B674" s="1">
        <v>43732</v>
      </c>
      <c r="C674" t="s">
        <v>432</v>
      </c>
      <c r="D674">
        <v>15055.05</v>
      </c>
      <c r="E674">
        <v>15380.35</v>
      </c>
      <c r="F674">
        <v>15055.05</v>
      </c>
      <c r="G674">
        <v>15338.65</v>
      </c>
      <c r="H674">
        <v>0</v>
      </c>
      <c r="I674" s="8">
        <f t="shared" si="41"/>
        <v>1.9812973508458676E-2</v>
      </c>
      <c r="J674" s="8">
        <f t="shared" si="42"/>
        <v>1.9619251178374431E-2</v>
      </c>
      <c r="K674" s="8">
        <f t="shared" si="39"/>
        <v>-5.4013549642448644E-2</v>
      </c>
    </row>
    <row r="675" spans="1:11" x14ac:dyDescent="0.25">
      <c r="A675" t="str">
        <f t="shared" si="40"/>
        <v>92019</v>
      </c>
      <c r="B675" s="1">
        <v>43733</v>
      </c>
      <c r="C675" t="s">
        <v>433</v>
      </c>
      <c r="D675">
        <v>15351.85</v>
      </c>
      <c r="E675">
        <v>15471</v>
      </c>
      <c r="F675">
        <v>15268.9</v>
      </c>
      <c r="G675">
        <v>15379.9</v>
      </c>
      <c r="H675">
        <v>0</v>
      </c>
      <c r="I675" s="8">
        <f t="shared" si="41"/>
        <v>2.6892849109927397E-3</v>
      </c>
      <c r="J675" s="8">
        <f t="shared" si="42"/>
        <v>2.6856752544747774E-3</v>
      </c>
      <c r="K675" s="8">
        <f t="shared" si="39"/>
        <v>-4.4830530842920768E-2</v>
      </c>
    </row>
    <row r="676" spans="1:11" x14ac:dyDescent="0.25">
      <c r="A676" t="str">
        <f t="shared" si="40"/>
        <v>92019</v>
      </c>
      <c r="B676" s="1">
        <v>43734</v>
      </c>
      <c r="C676" t="s">
        <v>434</v>
      </c>
      <c r="D676">
        <v>15374.5</v>
      </c>
      <c r="E676">
        <v>15456.85</v>
      </c>
      <c r="F676">
        <v>15208.4</v>
      </c>
      <c r="G676">
        <v>15312.9</v>
      </c>
      <c r="H676">
        <v>0</v>
      </c>
      <c r="I676" s="8">
        <f t="shared" si="41"/>
        <v>-4.3563352167439451E-3</v>
      </c>
      <c r="J676" s="8">
        <f t="shared" si="42"/>
        <v>-4.3658516930348704E-3</v>
      </c>
      <c r="K676" s="8">
        <f t="shared" si="39"/>
        <v>-4.2453007166172618E-2</v>
      </c>
    </row>
    <row r="677" spans="1:11" x14ac:dyDescent="0.25">
      <c r="A677" t="str">
        <f t="shared" si="40"/>
        <v>92019</v>
      </c>
      <c r="B677" s="1">
        <v>43735</v>
      </c>
      <c r="C677" t="s">
        <v>435</v>
      </c>
      <c r="D677">
        <v>15297.7</v>
      </c>
      <c r="E677">
        <v>15412.9</v>
      </c>
      <c r="F677">
        <v>15214.2</v>
      </c>
      <c r="G677">
        <v>15236.4</v>
      </c>
      <c r="H677">
        <v>0</v>
      </c>
      <c r="I677" s="8">
        <f t="shared" si="41"/>
        <v>-4.9957878651333276E-3</v>
      </c>
      <c r="J677" s="8">
        <f t="shared" si="42"/>
        <v>-5.0083085311311368E-3</v>
      </c>
      <c r="K677" s="8">
        <f t="shared" si="39"/>
        <v>-4.392759993599582E-2</v>
      </c>
    </row>
    <row r="678" spans="1:11" x14ac:dyDescent="0.25">
      <c r="A678" t="str">
        <f t="shared" si="40"/>
        <v>92019</v>
      </c>
      <c r="B678" s="1">
        <v>43738</v>
      </c>
      <c r="C678" t="s">
        <v>436</v>
      </c>
      <c r="D678">
        <v>15277.15</v>
      </c>
      <c r="E678">
        <v>15568.45</v>
      </c>
      <c r="F678">
        <v>15259.8</v>
      </c>
      <c r="G678">
        <v>15540.15</v>
      </c>
      <c r="H678">
        <v>0</v>
      </c>
      <c r="I678" s="8">
        <f t="shared" si="41"/>
        <v>1.9935811609041565E-2</v>
      </c>
      <c r="J678" s="8">
        <f t="shared" si="42"/>
        <v>1.9739695520959798E-2</v>
      </c>
      <c r="K678" s="8">
        <f t="shared" si="39"/>
        <v>-2.3657542078445948E-2</v>
      </c>
    </row>
    <row r="679" spans="1:11" x14ac:dyDescent="0.25">
      <c r="A679" t="str">
        <f t="shared" si="40"/>
        <v>102019</v>
      </c>
      <c r="B679" s="1">
        <v>43739</v>
      </c>
      <c r="C679" s="10">
        <v>43475.645833333336</v>
      </c>
      <c r="D679">
        <v>15559.65</v>
      </c>
      <c r="E679">
        <v>15561.5</v>
      </c>
      <c r="F679">
        <v>15240.95</v>
      </c>
      <c r="G679">
        <v>15300.25</v>
      </c>
      <c r="H679">
        <v>0</v>
      </c>
      <c r="I679" s="8">
        <f t="shared" si="41"/>
        <v>-1.5437431427624548E-2</v>
      </c>
      <c r="J679" s="8">
        <f t="shared" si="42"/>
        <v>-1.5557829268392082E-2</v>
      </c>
      <c r="K679" s="8">
        <f t="shared" si="39"/>
        <v>-4.8142664286025316E-2</v>
      </c>
    </row>
    <row r="680" spans="1:11" x14ac:dyDescent="0.25">
      <c r="A680" t="str">
        <f t="shared" si="40"/>
        <v>102019</v>
      </c>
      <c r="B680" s="1">
        <v>43741</v>
      </c>
      <c r="C680" s="10">
        <v>43534.645833333336</v>
      </c>
      <c r="D680">
        <v>15318.8</v>
      </c>
      <c r="E680">
        <v>15417.25</v>
      </c>
      <c r="F680">
        <v>15228.9</v>
      </c>
      <c r="G680">
        <v>15277.95</v>
      </c>
      <c r="H680">
        <v>0</v>
      </c>
      <c r="I680" s="8">
        <f t="shared" si="41"/>
        <v>-1.4574925246318982E-3</v>
      </c>
      <c r="J680" s="8">
        <f t="shared" si="42"/>
        <v>-1.4585557000339469E-3</v>
      </c>
      <c r="K680" s="8">
        <f t="shared" si="39"/>
        <v>-4.07907004485909E-2</v>
      </c>
    </row>
    <row r="681" spans="1:11" x14ac:dyDescent="0.25">
      <c r="A681" t="str">
        <f t="shared" si="40"/>
        <v>102019</v>
      </c>
      <c r="B681" s="1">
        <v>43742</v>
      </c>
      <c r="C681" s="10">
        <v>43565.645833333336</v>
      </c>
      <c r="D681">
        <v>15328.4</v>
      </c>
      <c r="E681">
        <v>15418.8</v>
      </c>
      <c r="F681">
        <v>15285.15</v>
      </c>
      <c r="G681">
        <v>15340.3</v>
      </c>
      <c r="H681">
        <v>0</v>
      </c>
      <c r="I681" s="8">
        <f t="shared" si="41"/>
        <v>4.0810449045847186E-3</v>
      </c>
      <c r="J681" s="8">
        <f t="shared" si="42"/>
        <v>4.07274002820944E-3</v>
      </c>
      <c r="K681" s="8">
        <f t="shared" si="39"/>
        <v>-3.7767211963067093E-2</v>
      </c>
    </row>
    <row r="682" spans="1:11" x14ac:dyDescent="0.25">
      <c r="A682" t="str">
        <f t="shared" si="40"/>
        <v>102019</v>
      </c>
      <c r="B682" s="1">
        <v>43745</v>
      </c>
      <c r="C682" s="10">
        <v>43656.645833333336</v>
      </c>
      <c r="D682">
        <v>15368.15</v>
      </c>
      <c r="E682">
        <v>15472.35</v>
      </c>
      <c r="F682">
        <v>15226.7</v>
      </c>
      <c r="G682">
        <v>15246.75</v>
      </c>
      <c r="H682">
        <v>0</v>
      </c>
      <c r="I682" s="8">
        <f t="shared" si="41"/>
        <v>-6.0983161998134916E-3</v>
      </c>
      <c r="J682" s="8">
        <f t="shared" si="42"/>
        <v>-6.1169868752058397E-3</v>
      </c>
      <c r="K682" s="8">
        <f t="shared" si="39"/>
        <v>-1.9504760434853829E-2</v>
      </c>
    </row>
    <row r="683" spans="1:11" x14ac:dyDescent="0.25">
      <c r="A683" t="str">
        <f t="shared" si="40"/>
        <v>102019</v>
      </c>
      <c r="B683" s="1">
        <v>43747</v>
      </c>
      <c r="C683" s="10">
        <v>43718.645833333336</v>
      </c>
      <c r="D683">
        <v>15305.1</v>
      </c>
      <c r="E683">
        <v>15317.15</v>
      </c>
      <c r="F683">
        <v>15051.35</v>
      </c>
      <c r="G683">
        <v>15128.75</v>
      </c>
      <c r="H683">
        <v>0</v>
      </c>
      <c r="I683" s="8">
        <f t="shared" si="41"/>
        <v>-7.7393542886189381E-3</v>
      </c>
      <c r="J683" s="8">
        <f t="shared" si="42"/>
        <v>-7.7694585164696812E-3</v>
      </c>
      <c r="K683" s="8">
        <f t="shared" si="39"/>
        <v>-1.6080254942767991E-2</v>
      </c>
    </row>
    <row r="684" spans="1:11" x14ac:dyDescent="0.25">
      <c r="A684" t="str">
        <f t="shared" si="40"/>
        <v>102019</v>
      </c>
      <c r="B684" s="1">
        <v>43748</v>
      </c>
      <c r="C684" s="10">
        <v>43748.645833333336</v>
      </c>
      <c r="D684">
        <v>15124.85</v>
      </c>
      <c r="E684">
        <v>15235.6</v>
      </c>
      <c r="F684">
        <v>15034.6</v>
      </c>
      <c r="G684">
        <v>15093.8</v>
      </c>
      <c r="H684">
        <v>0</v>
      </c>
      <c r="I684" s="8">
        <f t="shared" si="41"/>
        <v>-2.3101710319756164E-3</v>
      </c>
      <c r="J684" s="8">
        <f t="shared" si="42"/>
        <v>-2.3128435939176019E-3</v>
      </c>
      <c r="K684" s="8">
        <f t="shared" si="39"/>
        <v>-1.053459634861853E-2</v>
      </c>
    </row>
    <row r="685" spans="1:11" x14ac:dyDescent="0.25">
      <c r="A685" t="str">
        <f t="shared" si="40"/>
        <v>102019</v>
      </c>
      <c r="B685" s="1">
        <v>43749</v>
      </c>
      <c r="C685" s="10">
        <v>43779.645833333336</v>
      </c>
      <c r="D685">
        <v>14871.45</v>
      </c>
      <c r="E685">
        <v>15388.95</v>
      </c>
      <c r="F685">
        <v>14865.1</v>
      </c>
      <c r="G685">
        <v>15321.9</v>
      </c>
      <c r="H685">
        <v>0</v>
      </c>
      <c r="I685" s="8">
        <f t="shared" si="41"/>
        <v>1.5112165259907995E-2</v>
      </c>
      <c r="J685" s="8">
        <f t="shared" si="42"/>
        <v>1.499911403346018E-2</v>
      </c>
      <c r="K685" s="8">
        <f t="shared" si="39"/>
        <v>1.0106404018828341E-2</v>
      </c>
    </row>
    <row r="686" spans="1:11" x14ac:dyDescent="0.25">
      <c r="A686" t="str">
        <f t="shared" si="40"/>
        <v>102019</v>
      </c>
      <c r="B686" s="1">
        <v>43752</v>
      </c>
      <c r="C686" t="s">
        <v>437</v>
      </c>
      <c r="D686">
        <v>15202.2</v>
      </c>
      <c r="E686">
        <v>15338.6</v>
      </c>
      <c r="F686">
        <v>15147.7</v>
      </c>
      <c r="G686">
        <v>15277.75</v>
      </c>
      <c r="H686">
        <v>0</v>
      </c>
      <c r="I686" s="8">
        <f t="shared" si="41"/>
        <v>-2.8814964201567816E-3</v>
      </c>
      <c r="J686" s="8">
        <f t="shared" si="42"/>
        <v>-2.8856559232836951E-3</v>
      </c>
      <c r="K686" s="8">
        <f t="shared" si="39"/>
        <v>4.1704186193252113E-3</v>
      </c>
    </row>
    <row r="687" spans="1:11" x14ac:dyDescent="0.25">
      <c r="A687" t="str">
        <f t="shared" si="40"/>
        <v>102019</v>
      </c>
      <c r="B687" s="1">
        <v>43753</v>
      </c>
      <c r="C687" t="s">
        <v>438</v>
      </c>
      <c r="D687">
        <v>15254.4</v>
      </c>
      <c r="E687">
        <v>15281.45</v>
      </c>
      <c r="F687">
        <v>15191.05</v>
      </c>
      <c r="G687">
        <v>15208.4</v>
      </c>
      <c r="H687">
        <v>0</v>
      </c>
      <c r="I687" s="8">
        <f t="shared" si="41"/>
        <v>-4.5392809805109291E-3</v>
      </c>
      <c r="J687" s="8">
        <f t="shared" si="42"/>
        <v>-4.5496148003536388E-3</v>
      </c>
      <c r="K687" s="8">
        <f t="shared" si="39"/>
        <v>-1.2477507650682229E-3</v>
      </c>
    </row>
    <row r="688" spans="1:11" x14ac:dyDescent="0.25">
      <c r="A688" t="str">
        <f t="shared" si="40"/>
        <v>102019</v>
      </c>
      <c r="B688" s="1">
        <v>43754</v>
      </c>
      <c r="C688" t="s">
        <v>439</v>
      </c>
      <c r="D688">
        <v>15223.5</v>
      </c>
      <c r="E688">
        <v>15373.35</v>
      </c>
      <c r="F688">
        <v>15213.2</v>
      </c>
      <c r="G688">
        <v>15344.95</v>
      </c>
      <c r="H688">
        <v>0</v>
      </c>
      <c r="I688" s="8">
        <f t="shared" si="41"/>
        <v>8.978590778780271E-3</v>
      </c>
      <c r="J688" s="8">
        <f t="shared" si="42"/>
        <v>8.9385228894539454E-3</v>
      </c>
      <c r="K688" s="8">
        <f t="shared" si="39"/>
        <v>-2.0246391755868398E-2</v>
      </c>
    </row>
    <row r="689" spans="1:11" x14ac:dyDescent="0.25">
      <c r="A689" t="str">
        <f t="shared" si="40"/>
        <v>102019</v>
      </c>
      <c r="B689" s="1">
        <v>43755</v>
      </c>
      <c r="C689" t="s">
        <v>440</v>
      </c>
      <c r="D689">
        <v>15257.95</v>
      </c>
      <c r="E689">
        <v>15313.9</v>
      </c>
      <c r="F689">
        <v>15160.2</v>
      </c>
      <c r="G689">
        <v>15281.9</v>
      </c>
      <c r="H689">
        <v>0</v>
      </c>
      <c r="I689" s="8">
        <f t="shared" si="41"/>
        <v>-4.1088436260789951E-3</v>
      </c>
      <c r="J689" s="8">
        <f t="shared" si="42"/>
        <v>-4.1173081181902303E-3</v>
      </c>
      <c r="K689" s="8">
        <f t="shared" si="39"/>
        <v>-1.9161834221733121E-2</v>
      </c>
    </row>
    <row r="690" spans="1:11" x14ac:dyDescent="0.25">
      <c r="A690" t="str">
        <f t="shared" si="40"/>
        <v>102019</v>
      </c>
      <c r="B690" s="1">
        <v>43756</v>
      </c>
      <c r="C690" t="s">
        <v>441</v>
      </c>
      <c r="D690">
        <v>15271.95</v>
      </c>
      <c r="E690">
        <v>15434.55</v>
      </c>
      <c r="F690">
        <v>15241</v>
      </c>
      <c r="G690">
        <v>15410.1</v>
      </c>
      <c r="H690">
        <v>0</v>
      </c>
      <c r="I690" s="8">
        <f t="shared" si="41"/>
        <v>8.3890092200578081E-3</v>
      </c>
      <c r="J690" s="8">
        <f t="shared" si="42"/>
        <v>8.3540170457906127E-3</v>
      </c>
      <c r="K690" s="8">
        <f t="shared" si="39"/>
        <v>-1.6962235264098013E-2</v>
      </c>
    </row>
    <row r="691" spans="1:11" x14ac:dyDescent="0.25">
      <c r="A691" t="str">
        <f t="shared" si="40"/>
        <v>102019</v>
      </c>
      <c r="B691" s="1">
        <v>43760</v>
      </c>
      <c r="C691" t="s">
        <v>442</v>
      </c>
      <c r="D691">
        <v>15033.3</v>
      </c>
      <c r="E691">
        <v>15085.45</v>
      </c>
      <c r="F691">
        <v>14659.45</v>
      </c>
      <c r="G691">
        <v>14688.65</v>
      </c>
      <c r="H691">
        <v>0</v>
      </c>
      <c r="I691" s="8">
        <f t="shared" si="41"/>
        <v>-4.6816698139531931E-2</v>
      </c>
      <c r="J691" s="8">
        <f t="shared" si="42"/>
        <v>-4.7948051892036443E-2</v>
      </c>
      <c r="K691" s="8">
        <f t="shared" si="39"/>
        <v>-5.2253443881665973E-2</v>
      </c>
    </row>
    <row r="692" spans="1:11" x14ac:dyDescent="0.25">
      <c r="A692" t="str">
        <f t="shared" si="40"/>
        <v>102019</v>
      </c>
      <c r="B692" s="1">
        <v>43761</v>
      </c>
      <c r="C692" t="s">
        <v>443</v>
      </c>
      <c r="D692">
        <v>14640.85</v>
      </c>
      <c r="E692">
        <v>14911.2</v>
      </c>
      <c r="F692">
        <v>14566.55</v>
      </c>
      <c r="G692">
        <v>14833.35</v>
      </c>
      <c r="H692">
        <v>0</v>
      </c>
      <c r="I692" s="8">
        <f t="shared" si="41"/>
        <v>9.8511435700354699E-3</v>
      </c>
      <c r="J692" s="8">
        <f t="shared" si="42"/>
        <v>9.8029373873595883E-3</v>
      </c>
      <c r="K692" s="8">
        <f t="shared" si="39"/>
        <v>-3.5771744676978412E-2</v>
      </c>
    </row>
    <row r="693" spans="1:11" x14ac:dyDescent="0.25">
      <c r="A693" t="str">
        <f t="shared" si="40"/>
        <v>102019</v>
      </c>
      <c r="B693" s="1">
        <v>43762</v>
      </c>
      <c r="C693" t="s">
        <v>444</v>
      </c>
      <c r="D693">
        <v>14956.65</v>
      </c>
      <c r="E693">
        <v>14970.35</v>
      </c>
      <c r="F693">
        <v>14756.55</v>
      </c>
      <c r="G693">
        <v>14781.5</v>
      </c>
      <c r="H693">
        <v>0</v>
      </c>
      <c r="I693" s="8">
        <f t="shared" si="41"/>
        <v>-3.4955016904475444E-3</v>
      </c>
      <c r="J693" s="8">
        <f t="shared" si="42"/>
        <v>-3.5016252305424783E-3</v>
      </c>
      <c r="K693" s="8">
        <f t="shared" si="39"/>
        <v>-4.3160228504846798E-2</v>
      </c>
    </row>
    <row r="694" spans="1:11" x14ac:dyDescent="0.25">
      <c r="A694" t="str">
        <f t="shared" si="40"/>
        <v>102019</v>
      </c>
      <c r="B694" s="1">
        <v>43763</v>
      </c>
      <c r="C694" t="s">
        <v>445</v>
      </c>
      <c r="D694">
        <v>14883.4</v>
      </c>
      <c r="E694">
        <v>14943.75</v>
      </c>
      <c r="F694">
        <v>14720.85</v>
      </c>
      <c r="G694">
        <v>14898.85</v>
      </c>
      <c r="H694">
        <v>0</v>
      </c>
      <c r="I694" s="8">
        <f t="shared" si="41"/>
        <v>7.9389777762743918E-3</v>
      </c>
      <c r="J694" s="8">
        <f t="shared" si="42"/>
        <v>7.907629896320309E-3</v>
      </c>
      <c r="K694" s="8">
        <f t="shared" si="39"/>
        <v>-3.8374404585178157E-2</v>
      </c>
    </row>
    <row r="695" spans="1:11" x14ac:dyDescent="0.25">
      <c r="A695" t="str">
        <f t="shared" si="40"/>
        <v>102019</v>
      </c>
      <c r="B695" s="1">
        <v>43765</v>
      </c>
      <c r="C695" t="s">
        <v>446</v>
      </c>
      <c r="D695">
        <v>15012.45</v>
      </c>
      <c r="E695">
        <v>15058.45</v>
      </c>
      <c r="F695">
        <v>14916.05</v>
      </c>
      <c r="G695">
        <v>14956.4</v>
      </c>
      <c r="H695">
        <v>0</v>
      </c>
      <c r="I695" s="8">
        <f t="shared" si="41"/>
        <v>3.8627142363336642E-3</v>
      </c>
      <c r="J695" s="8">
        <f t="shared" si="42"/>
        <v>3.8552731115016696E-3</v>
      </c>
      <c r="K695" s="8">
        <f t="shared" si="39"/>
        <v>-2.7589681907579267E-2</v>
      </c>
    </row>
    <row r="696" spans="1:11" x14ac:dyDescent="0.25">
      <c r="A696" t="str">
        <f t="shared" si="40"/>
        <v>102019</v>
      </c>
      <c r="B696" s="1">
        <v>43767</v>
      </c>
      <c r="C696" t="s">
        <v>447</v>
      </c>
      <c r="D696">
        <v>14980.15</v>
      </c>
      <c r="E696">
        <v>15199.9</v>
      </c>
      <c r="F696">
        <v>14970.5</v>
      </c>
      <c r="G696">
        <v>15181.4</v>
      </c>
      <c r="H696">
        <v>0</v>
      </c>
      <c r="I696" s="8">
        <f t="shared" si="41"/>
        <v>1.5043727100104265E-2</v>
      </c>
      <c r="J696" s="8">
        <f t="shared" si="42"/>
        <v>1.4931692452598134E-2</v>
      </c>
      <c r="K696" s="8">
        <f t="shared" si="39"/>
        <v>-1.8950347826929836E-2</v>
      </c>
    </row>
    <row r="697" spans="1:11" x14ac:dyDescent="0.25">
      <c r="A697" t="str">
        <f t="shared" si="40"/>
        <v>102019</v>
      </c>
      <c r="B697" s="1">
        <v>43768</v>
      </c>
      <c r="C697" t="s">
        <v>448</v>
      </c>
      <c r="D697">
        <v>15343.7</v>
      </c>
      <c r="E697">
        <v>15419.65</v>
      </c>
      <c r="F697">
        <v>15212.75</v>
      </c>
      <c r="G697">
        <v>15395.65</v>
      </c>
      <c r="H697">
        <v>0</v>
      </c>
      <c r="I697" s="8">
        <f t="shared" si="41"/>
        <v>1.4112664181169077E-2</v>
      </c>
      <c r="J697" s="8">
        <f t="shared" si="42"/>
        <v>1.4014007656811499E-2</v>
      </c>
      <c r="K697" s="8">
        <f t="shared" si="39"/>
        <v>3.1013711839615876E-3</v>
      </c>
    </row>
    <row r="698" spans="1:11" x14ac:dyDescent="0.25">
      <c r="A698" t="str">
        <f t="shared" si="40"/>
        <v>102019</v>
      </c>
      <c r="B698" s="1">
        <v>43769</v>
      </c>
      <c r="C698" t="s">
        <v>449</v>
      </c>
      <c r="D698">
        <v>15436.3</v>
      </c>
      <c r="E698">
        <v>15657.75</v>
      </c>
      <c r="F698">
        <v>15417</v>
      </c>
      <c r="G698">
        <v>15559.4</v>
      </c>
      <c r="H698">
        <v>0</v>
      </c>
      <c r="I698" s="8">
        <f t="shared" si="41"/>
        <v>1.0636121242039165E-2</v>
      </c>
      <c r="J698" s="8">
        <f t="shared" si="42"/>
        <v>1.0579955609814331E-2</v>
      </c>
      <c r="K698" s="8">
        <f t="shared" si="39"/>
        <v>1.0294886321209562E-2</v>
      </c>
    </row>
    <row r="699" spans="1:11" x14ac:dyDescent="0.25">
      <c r="A699" t="str">
        <f t="shared" si="40"/>
        <v>112019</v>
      </c>
      <c r="B699" s="1">
        <v>43770</v>
      </c>
      <c r="C699" s="10">
        <v>43476.645833333336</v>
      </c>
      <c r="D699">
        <v>15575.35</v>
      </c>
      <c r="E699">
        <v>15636.3</v>
      </c>
      <c r="F699">
        <v>15411.8</v>
      </c>
      <c r="G699">
        <v>15471.2</v>
      </c>
      <c r="H699">
        <v>0</v>
      </c>
      <c r="I699" s="8">
        <f t="shared" si="41"/>
        <v>-5.6685990462356228E-3</v>
      </c>
      <c r="J699" s="8">
        <f t="shared" si="42"/>
        <v>-5.6847265295109422E-3</v>
      </c>
      <c r="K699" s="8">
        <f t="shared" si="39"/>
        <v>-1.9643070253810846E-3</v>
      </c>
    </row>
    <row r="700" spans="1:11" x14ac:dyDescent="0.25">
      <c r="A700" t="str">
        <f t="shared" si="40"/>
        <v>112019</v>
      </c>
      <c r="B700" s="1">
        <v>43773</v>
      </c>
      <c r="C700" s="10">
        <v>43566.645833333336</v>
      </c>
      <c r="D700">
        <v>15474</v>
      </c>
      <c r="E700">
        <v>15803.35</v>
      </c>
      <c r="F700">
        <v>15428.5</v>
      </c>
      <c r="G700">
        <v>15591.3</v>
      </c>
      <c r="H700">
        <v>0</v>
      </c>
      <c r="I700" s="8">
        <f t="shared" si="41"/>
        <v>7.7628109002532142E-3</v>
      </c>
      <c r="J700" s="8">
        <f t="shared" si="42"/>
        <v>7.7328353136500386E-3</v>
      </c>
      <c r="K700" s="8">
        <f t="shared" si="39"/>
        <v>-1.8501683717239148E-3</v>
      </c>
    </row>
    <row r="701" spans="1:11" x14ac:dyDescent="0.25">
      <c r="A701" t="str">
        <f t="shared" si="40"/>
        <v>112019</v>
      </c>
      <c r="B701" s="1">
        <v>43774</v>
      </c>
      <c r="C701" s="10">
        <v>43596.645833333336</v>
      </c>
      <c r="D701">
        <v>15613.1</v>
      </c>
      <c r="E701">
        <v>15613.1</v>
      </c>
      <c r="F701">
        <v>15422.8</v>
      </c>
      <c r="G701">
        <v>15533.45</v>
      </c>
      <c r="H701">
        <v>0</v>
      </c>
      <c r="I701" s="8">
        <f t="shared" si="41"/>
        <v>-3.7104025963196063E-3</v>
      </c>
      <c r="J701" s="8">
        <f t="shared" si="42"/>
        <v>-3.7173032147028969E-3</v>
      </c>
      <c r="K701" s="8">
        <f t="shared" si="39"/>
        <v>1.3132578055191413E-2</v>
      </c>
    </row>
    <row r="702" spans="1:11" x14ac:dyDescent="0.25">
      <c r="A702" t="str">
        <f t="shared" si="40"/>
        <v>112019</v>
      </c>
      <c r="B702" s="1">
        <v>43775</v>
      </c>
      <c r="C702" s="10">
        <v>43627.645833333336</v>
      </c>
      <c r="D702">
        <v>15554.05</v>
      </c>
      <c r="E702">
        <v>15647.05</v>
      </c>
      <c r="F702">
        <v>15440.4</v>
      </c>
      <c r="G702">
        <v>15561.3</v>
      </c>
      <c r="H702">
        <v>0</v>
      </c>
      <c r="I702" s="8">
        <f t="shared" si="41"/>
        <v>1.7929049889109372E-3</v>
      </c>
      <c r="J702" s="8">
        <f t="shared" si="42"/>
        <v>1.7912996532843956E-3</v>
      </c>
      <c r="K702" s="8">
        <f t="shared" si="39"/>
        <v>9.0260081311883678E-3</v>
      </c>
    </row>
    <row r="703" spans="1:11" x14ac:dyDescent="0.25">
      <c r="A703" t="str">
        <f t="shared" si="40"/>
        <v>112019</v>
      </c>
      <c r="B703" s="1">
        <v>43776</v>
      </c>
      <c r="C703" s="10">
        <v>43657.645833333336</v>
      </c>
      <c r="D703">
        <v>15635.5</v>
      </c>
      <c r="E703">
        <v>15639.7</v>
      </c>
      <c r="F703">
        <v>15532.15</v>
      </c>
      <c r="G703">
        <v>15624.4</v>
      </c>
      <c r="H703">
        <v>0</v>
      </c>
      <c r="I703" s="8">
        <f t="shared" si="41"/>
        <v>4.0549311432849233E-3</v>
      </c>
      <c r="J703" s="8">
        <f t="shared" si="42"/>
        <v>4.0467320669829695E-3</v>
      </c>
      <c r="K703" s="8">
        <f t="shared" si="39"/>
        <v>6.8208692178071129E-3</v>
      </c>
    </row>
    <row r="704" spans="1:11" x14ac:dyDescent="0.25">
      <c r="A704" t="str">
        <f t="shared" si="40"/>
        <v>112019</v>
      </c>
      <c r="B704" s="1">
        <v>43777</v>
      </c>
      <c r="C704" s="10">
        <v>43688.645833333336</v>
      </c>
      <c r="D704">
        <v>15646.4</v>
      </c>
      <c r="E704">
        <v>15658.15</v>
      </c>
      <c r="F704">
        <v>15355.7</v>
      </c>
      <c r="G704">
        <v>15383.3</v>
      </c>
      <c r="H704">
        <v>0</v>
      </c>
      <c r="I704" s="8">
        <f t="shared" si="41"/>
        <v>-1.5430992550113931E-2</v>
      </c>
      <c r="J704" s="8">
        <f t="shared" si="42"/>
        <v>-1.5551289453999742E-2</v>
      </c>
      <c r="K704" s="8">
        <f t="shared" ref="K704:K767" si="43">+G704/G643-1</f>
        <v>-8.475777966844511E-3</v>
      </c>
    </row>
    <row r="705" spans="1:11" x14ac:dyDescent="0.25">
      <c r="A705" t="str">
        <f t="shared" si="40"/>
        <v>112019</v>
      </c>
      <c r="B705" s="1">
        <v>43780</v>
      </c>
      <c r="C705" s="10">
        <v>43780.645833333336</v>
      </c>
      <c r="D705">
        <v>15343.25</v>
      </c>
      <c r="E705">
        <v>15354.05</v>
      </c>
      <c r="F705">
        <v>15228.8</v>
      </c>
      <c r="G705">
        <v>15308.55</v>
      </c>
      <c r="H705">
        <v>0</v>
      </c>
      <c r="I705" s="8">
        <f t="shared" si="41"/>
        <v>-4.8591654586467303E-3</v>
      </c>
      <c r="J705" s="8">
        <f t="shared" si="42"/>
        <v>-4.8710095870874394E-3</v>
      </c>
      <c r="K705" s="8">
        <f t="shared" si="43"/>
        <v>-1.7634205738817466E-2</v>
      </c>
    </row>
    <row r="706" spans="1:11" x14ac:dyDescent="0.25">
      <c r="A706" t="str">
        <f t="shared" si="40"/>
        <v>112019</v>
      </c>
      <c r="B706" s="1">
        <v>43782</v>
      </c>
      <c r="C706" t="s">
        <v>450</v>
      </c>
      <c r="D706">
        <v>15307.9</v>
      </c>
      <c r="E706">
        <v>15374.05</v>
      </c>
      <c r="F706">
        <v>15192.3</v>
      </c>
      <c r="G706">
        <v>15240.95</v>
      </c>
      <c r="H706">
        <v>0</v>
      </c>
      <c r="I706" s="8">
        <f t="shared" si="41"/>
        <v>-4.4158329822222564E-3</v>
      </c>
      <c r="J706" s="8">
        <f t="shared" si="42"/>
        <v>-4.4256115703786934E-3</v>
      </c>
      <c r="K706" s="8">
        <f t="shared" si="43"/>
        <v>-3.9513610768876939E-2</v>
      </c>
    </row>
    <row r="707" spans="1:11" x14ac:dyDescent="0.25">
      <c r="A707" t="str">
        <f t="shared" ref="A707:A770" si="44">+MONTH(B707)&amp;YEAR(B707)</f>
        <v>112019</v>
      </c>
      <c r="B707" s="1">
        <v>43783</v>
      </c>
      <c r="C707" t="s">
        <v>451</v>
      </c>
      <c r="D707">
        <v>15292.9</v>
      </c>
      <c r="E707">
        <v>15410.3</v>
      </c>
      <c r="F707">
        <v>15217.3</v>
      </c>
      <c r="G707">
        <v>15388.75</v>
      </c>
      <c r="H707">
        <v>0</v>
      </c>
      <c r="I707" s="8">
        <f t="shared" si="41"/>
        <v>9.6975582230764967E-3</v>
      </c>
      <c r="J707" s="8">
        <f t="shared" si="42"/>
        <v>9.6508387059871647E-3</v>
      </c>
      <c r="K707" s="8">
        <f t="shared" si="43"/>
        <v>-2.7342799445053689E-2</v>
      </c>
    </row>
    <row r="708" spans="1:11" x14ac:dyDescent="0.25">
      <c r="A708" t="str">
        <f t="shared" si="44"/>
        <v>112019</v>
      </c>
      <c r="B708" s="1">
        <v>43784</v>
      </c>
      <c r="C708" t="s">
        <v>452</v>
      </c>
      <c r="D708">
        <v>15425.05</v>
      </c>
      <c r="E708">
        <v>15471.15</v>
      </c>
      <c r="F708">
        <v>15287.1</v>
      </c>
      <c r="G708">
        <v>15310.65</v>
      </c>
      <c r="H708">
        <v>0</v>
      </c>
      <c r="I708" s="8">
        <f t="shared" ref="I708:I771" si="45">+G708/G707-1</f>
        <v>-5.0751360571846815E-3</v>
      </c>
      <c r="J708" s="8">
        <f t="shared" ref="J708:J771" si="46">+LN(1+I708)</f>
        <v>-5.0880583001528656E-3</v>
      </c>
      <c r="K708" s="8">
        <f t="shared" si="43"/>
        <v>-7.3746790798994155E-3</v>
      </c>
    </row>
    <row r="709" spans="1:11" x14ac:dyDescent="0.25">
      <c r="A709" t="str">
        <f t="shared" si="44"/>
        <v>112019</v>
      </c>
      <c r="B709" s="1">
        <v>43787</v>
      </c>
      <c r="C709" t="s">
        <v>453</v>
      </c>
      <c r="D709">
        <v>15326.8</v>
      </c>
      <c r="E709">
        <v>15373.85</v>
      </c>
      <c r="F709">
        <v>15251</v>
      </c>
      <c r="G709">
        <v>15295.25</v>
      </c>
      <c r="H709">
        <v>0</v>
      </c>
      <c r="I709" s="8">
        <f t="shared" si="45"/>
        <v>-1.0058358071015627E-3</v>
      </c>
      <c r="J709" s="8">
        <f t="shared" si="46"/>
        <v>-1.006341999396343E-3</v>
      </c>
      <c r="K709" s="8">
        <f t="shared" si="43"/>
        <v>-1.1056332336539243E-2</v>
      </c>
    </row>
    <row r="710" spans="1:11" x14ac:dyDescent="0.25">
      <c r="A710" t="str">
        <f t="shared" si="44"/>
        <v>112019</v>
      </c>
      <c r="B710" s="1">
        <v>43788</v>
      </c>
      <c r="C710" t="s">
        <v>454</v>
      </c>
      <c r="D710">
        <v>15318.65</v>
      </c>
      <c r="E710">
        <v>15371.8</v>
      </c>
      <c r="F710">
        <v>15256.85</v>
      </c>
      <c r="G710">
        <v>15304.85</v>
      </c>
      <c r="H710">
        <v>0</v>
      </c>
      <c r="I710" s="8">
        <f t="shared" si="45"/>
        <v>6.2764583776009353E-4</v>
      </c>
      <c r="J710" s="8">
        <f t="shared" si="46"/>
        <v>6.274489504906073E-4</v>
      </c>
      <c r="K710" s="8">
        <f t="shared" si="43"/>
        <v>-3.9374306475283838E-3</v>
      </c>
    </row>
    <row r="711" spans="1:11" x14ac:dyDescent="0.25">
      <c r="A711" t="str">
        <f t="shared" si="44"/>
        <v>112019</v>
      </c>
      <c r="B711" s="1">
        <v>43789</v>
      </c>
      <c r="C711" t="s">
        <v>455</v>
      </c>
      <c r="D711">
        <v>15349.05</v>
      </c>
      <c r="E711">
        <v>15349.05</v>
      </c>
      <c r="F711">
        <v>15235</v>
      </c>
      <c r="G711">
        <v>15318.5</v>
      </c>
      <c r="H711">
        <v>0</v>
      </c>
      <c r="I711" s="8">
        <f t="shared" si="45"/>
        <v>8.9187414447056135E-4</v>
      </c>
      <c r="J711" s="8">
        <f t="shared" si="46"/>
        <v>8.9147666104501028E-4</v>
      </c>
      <c r="K711" s="8">
        <f t="shared" si="43"/>
        <v>-6.2698060025364599E-3</v>
      </c>
    </row>
    <row r="712" spans="1:11" x14ac:dyDescent="0.25">
      <c r="A712" t="str">
        <f t="shared" si="44"/>
        <v>112019</v>
      </c>
      <c r="B712" s="1">
        <v>43790</v>
      </c>
      <c r="C712" t="s">
        <v>456</v>
      </c>
      <c r="D712">
        <v>15353.7</v>
      </c>
      <c r="E712">
        <v>15435.4</v>
      </c>
      <c r="F712">
        <v>15279.4</v>
      </c>
      <c r="G712">
        <v>15293.95</v>
      </c>
      <c r="H712">
        <v>0</v>
      </c>
      <c r="I712" s="8">
        <f t="shared" si="45"/>
        <v>-1.6026373339426137E-3</v>
      </c>
      <c r="J712" s="8">
        <f t="shared" si="46"/>
        <v>-1.6039229309020768E-3</v>
      </c>
      <c r="K712" s="8">
        <f t="shared" si="43"/>
        <v>-1.947716818130818E-2</v>
      </c>
    </row>
    <row r="713" spans="1:11" x14ac:dyDescent="0.25">
      <c r="A713" t="str">
        <f t="shared" si="44"/>
        <v>112019</v>
      </c>
      <c r="B713" s="1">
        <v>43791</v>
      </c>
      <c r="C713" t="s">
        <v>457</v>
      </c>
      <c r="D713">
        <v>15216.55</v>
      </c>
      <c r="E713">
        <v>15220.05</v>
      </c>
      <c r="F713">
        <v>14931.35</v>
      </c>
      <c r="G713">
        <v>14995.9</v>
      </c>
      <c r="H713">
        <v>0</v>
      </c>
      <c r="I713" s="8">
        <f t="shared" si="45"/>
        <v>-1.9488098234923035E-2</v>
      </c>
      <c r="J713" s="8">
        <f t="shared" si="46"/>
        <v>-1.9680494954259317E-2</v>
      </c>
      <c r="K713" s="8">
        <f t="shared" si="43"/>
        <v>-3.737606840350105E-2</v>
      </c>
    </row>
    <row r="714" spans="1:11" x14ac:dyDescent="0.25">
      <c r="A714" t="str">
        <f t="shared" si="44"/>
        <v>112019</v>
      </c>
      <c r="B714" s="1">
        <v>43794</v>
      </c>
      <c r="C714" t="s">
        <v>458</v>
      </c>
      <c r="D714">
        <v>15002.2</v>
      </c>
      <c r="E714">
        <v>15112.9</v>
      </c>
      <c r="F714">
        <v>14950.95</v>
      </c>
      <c r="G714">
        <v>15100.6</v>
      </c>
      <c r="H714">
        <v>0</v>
      </c>
      <c r="I714" s="8">
        <f t="shared" si="45"/>
        <v>6.9819083882929345E-3</v>
      </c>
      <c r="J714" s="8">
        <f t="shared" si="46"/>
        <v>6.9576477242856097E-3</v>
      </c>
      <c r="K714" s="8">
        <f t="shared" si="43"/>
        <v>-3.3994370522006156E-2</v>
      </c>
    </row>
    <row r="715" spans="1:11" x14ac:dyDescent="0.25">
      <c r="A715" t="str">
        <f t="shared" si="44"/>
        <v>112019</v>
      </c>
      <c r="B715" s="1">
        <v>43795</v>
      </c>
      <c r="C715" t="s">
        <v>459</v>
      </c>
      <c r="D715">
        <v>15174.65</v>
      </c>
      <c r="E715">
        <v>15212.65</v>
      </c>
      <c r="F715">
        <v>14867.45</v>
      </c>
      <c r="G715">
        <v>14922.15</v>
      </c>
      <c r="H715">
        <v>0</v>
      </c>
      <c r="I715" s="8">
        <f t="shared" si="45"/>
        <v>-1.1817411228692953E-2</v>
      </c>
      <c r="J715" s="8">
        <f t="shared" si="46"/>
        <v>-1.1887791860186001E-2</v>
      </c>
      <c r="K715" s="8">
        <f t="shared" si="43"/>
        <v>-5.6551344789651403E-2</v>
      </c>
    </row>
    <row r="716" spans="1:11" x14ac:dyDescent="0.25">
      <c r="A716" t="str">
        <f t="shared" si="44"/>
        <v>112019</v>
      </c>
      <c r="B716" s="1">
        <v>43796</v>
      </c>
      <c r="C716" t="s">
        <v>460</v>
      </c>
      <c r="D716">
        <v>14957.5</v>
      </c>
      <c r="E716">
        <v>15049</v>
      </c>
      <c r="F716">
        <v>14946.55</v>
      </c>
      <c r="G716">
        <v>15022.15</v>
      </c>
      <c r="H716">
        <v>0</v>
      </c>
      <c r="I716" s="8">
        <f t="shared" si="45"/>
        <v>6.7014471775179718E-3</v>
      </c>
      <c r="J716" s="8">
        <f t="shared" si="46"/>
        <v>6.67909229816734E-3</v>
      </c>
      <c r="K716" s="8">
        <f t="shared" si="43"/>
        <v>-5.4628009716680803E-2</v>
      </c>
    </row>
    <row r="717" spans="1:11" x14ac:dyDescent="0.25">
      <c r="A717" t="str">
        <f t="shared" si="44"/>
        <v>112019</v>
      </c>
      <c r="B717" s="1">
        <v>43797</v>
      </c>
      <c r="C717" t="s">
        <v>461</v>
      </c>
      <c r="D717">
        <v>15069.15</v>
      </c>
      <c r="E717">
        <v>15136.2</v>
      </c>
      <c r="F717">
        <v>15042.65</v>
      </c>
      <c r="G717">
        <v>15121.8</v>
      </c>
      <c r="H717">
        <v>0</v>
      </c>
      <c r="I717" s="8">
        <f t="shared" si="45"/>
        <v>6.6335378091684216E-3</v>
      </c>
      <c r="J717" s="8">
        <f t="shared" si="46"/>
        <v>6.6116327160494108E-3</v>
      </c>
      <c r="K717" s="8">
        <f t="shared" si="43"/>
        <v>-3.5310328988918838E-2</v>
      </c>
    </row>
    <row r="718" spans="1:11" x14ac:dyDescent="0.25">
      <c r="A718" t="str">
        <f t="shared" si="44"/>
        <v>112019</v>
      </c>
      <c r="B718" s="1">
        <v>43798</v>
      </c>
      <c r="C718" t="s">
        <v>462</v>
      </c>
      <c r="D718">
        <v>15132.95</v>
      </c>
      <c r="E718">
        <v>15147.25</v>
      </c>
      <c r="F718">
        <v>14964.25</v>
      </c>
      <c r="G718">
        <v>14998.05</v>
      </c>
      <c r="H718">
        <v>0</v>
      </c>
      <c r="I718" s="8">
        <f t="shared" si="45"/>
        <v>-8.1835495774312816E-3</v>
      </c>
      <c r="J718" s="8">
        <f t="shared" si="46"/>
        <v>-8.2172186333514651E-3</v>
      </c>
      <c r="K718" s="8">
        <f t="shared" si="43"/>
        <v>-5.5532465569682499E-2</v>
      </c>
    </row>
    <row r="719" spans="1:11" x14ac:dyDescent="0.25">
      <c r="A719" t="str">
        <f t="shared" si="44"/>
        <v>122019</v>
      </c>
      <c r="B719" s="1">
        <v>43801</v>
      </c>
      <c r="C719" s="10">
        <v>43508.645833333336</v>
      </c>
      <c r="D719">
        <v>15056.85</v>
      </c>
      <c r="E719">
        <v>15070.65</v>
      </c>
      <c r="F719">
        <v>14819.4</v>
      </c>
      <c r="G719">
        <v>14843.55</v>
      </c>
      <c r="H719">
        <v>0</v>
      </c>
      <c r="I719" s="8">
        <f t="shared" si="45"/>
        <v>-1.0301339174092594E-2</v>
      </c>
      <c r="J719" s="8">
        <f t="shared" si="46"/>
        <v>-1.0354765191544386E-2</v>
      </c>
      <c r="K719" s="8">
        <f t="shared" si="43"/>
        <v>-6.5535378717055282E-2</v>
      </c>
    </row>
    <row r="720" spans="1:11" x14ac:dyDescent="0.25">
      <c r="A720" t="str">
        <f t="shared" si="44"/>
        <v>122019</v>
      </c>
      <c r="B720" s="1">
        <v>43802</v>
      </c>
      <c r="C720" s="10">
        <v>43536.645833333336</v>
      </c>
      <c r="D720">
        <v>14870.9</v>
      </c>
      <c r="E720">
        <v>14956.45</v>
      </c>
      <c r="F720">
        <v>14808.4</v>
      </c>
      <c r="G720">
        <v>14920.75</v>
      </c>
      <c r="H720">
        <v>0</v>
      </c>
      <c r="I720" s="8">
        <f t="shared" si="45"/>
        <v>5.2009121807115033E-3</v>
      </c>
      <c r="J720" s="8">
        <f t="shared" si="46"/>
        <v>5.187434148797891E-3</v>
      </c>
      <c r="K720" s="8">
        <f t="shared" si="43"/>
        <v>-6.8058886723629586E-2</v>
      </c>
    </row>
    <row r="721" spans="1:11" x14ac:dyDescent="0.25">
      <c r="A721" t="str">
        <f t="shared" si="44"/>
        <v>122019</v>
      </c>
      <c r="B721" s="1">
        <v>43803</v>
      </c>
      <c r="C721" s="10">
        <v>43567.645833333336</v>
      </c>
      <c r="D721">
        <v>14918.5</v>
      </c>
      <c r="E721">
        <v>15188.55</v>
      </c>
      <c r="F721">
        <v>14896.6</v>
      </c>
      <c r="G721">
        <v>15175.15</v>
      </c>
      <c r="H721">
        <v>0</v>
      </c>
      <c r="I721" s="8">
        <f t="shared" si="45"/>
        <v>1.7050081262671046E-2</v>
      </c>
      <c r="J721" s="8">
        <f t="shared" si="46"/>
        <v>1.6906359966725609E-2</v>
      </c>
      <c r="K721" s="8">
        <f t="shared" si="43"/>
        <v>-5.0657182716188354E-2</v>
      </c>
    </row>
    <row r="722" spans="1:11" x14ac:dyDescent="0.25">
      <c r="A722" t="str">
        <f t="shared" si="44"/>
        <v>122019</v>
      </c>
      <c r="B722" s="1">
        <v>43804</v>
      </c>
      <c r="C722" s="10">
        <v>43597.645833333336</v>
      </c>
      <c r="D722">
        <v>15164.15</v>
      </c>
      <c r="E722">
        <v>15385.45</v>
      </c>
      <c r="F722">
        <v>15101.8</v>
      </c>
      <c r="G722">
        <v>15367.5</v>
      </c>
      <c r="H722">
        <v>0</v>
      </c>
      <c r="I722" s="8">
        <f t="shared" si="45"/>
        <v>1.2675327756233035E-2</v>
      </c>
      <c r="J722" s="8">
        <f t="shared" si="46"/>
        <v>1.2595668223570658E-2</v>
      </c>
      <c r="K722" s="8">
        <f t="shared" si="43"/>
        <v>-4.1478247310151262E-2</v>
      </c>
    </row>
    <row r="723" spans="1:11" x14ac:dyDescent="0.25">
      <c r="A723" t="str">
        <f t="shared" si="44"/>
        <v>122019</v>
      </c>
      <c r="B723" s="1">
        <v>43805</v>
      </c>
      <c r="C723" s="10">
        <v>43628.645833333336</v>
      </c>
      <c r="D723">
        <v>15383.45</v>
      </c>
      <c r="E723">
        <v>15390.05</v>
      </c>
      <c r="F723">
        <v>15269.25</v>
      </c>
      <c r="G723">
        <v>15289.6</v>
      </c>
      <c r="H723">
        <v>0</v>
      </c>
      <c r="I723" s="8">
        <f t="shared" si="45"/>
        <v>-5.0691394176020088E-3</v>
      </c>
      <c r="J723" s="8">
        <f t="shared" si="46"/>
        <v>-5.0820310897287313E-3</v>
      </c>
      <c r="K723" s="8">
        <f t="shared" si="43"/>
        <v>-4.6244919982908028E-2</v>
      </c>
    </row>
    <row r="724" spans="1:11" x14ac:dyDescent="0.25">
      <c r="A724" t="str">
        <f t="shared" si="44"/>
        <v>122019</v>
      </c>
      <c r="B724" s="1">
        <v>43808</v>
      </c>
      <c r="C724" s="10">
        <v>43720.645833333336</v>
      </c>
      <c r="D724">
        <v>15309.7</v>
      </c>
      <c r="E724">
        <v>15322.55</v>
      </c>
      <c r="F724">
        <v>15136.25</v>
      </c>
      <c r="G724">
        <v>15157.15</v>
      </c>
      <c r="H724">
        <v>0</v>
      </c>
      <c r="I724" s="8">
        <f t="shared" si="45"/>
        <v>-8.6627511511092603E-3</v>
      </c>
      <c r="J724" s="8">
        <f t="shared" si="46"/>
        <v>-8.7004908912511562E-3</v>
      </c>
      <c r="K724" s="8">
        <f t="shared" si="43"/>
        <v>-5.471934042427129E-2</v>
      </c>
    </row>
    <row r="725" spans="1:11" x14ac:dyDescent="0.25">
      <c r="A725" t="str">
        <f t="shared" si="44"/>
        <v>122019</v>
      </c>
      <c r="B725" s="1">
        <v>43809</v>
      </c>
      <c r="C725" s="10">
        <v>43750.645833333336</v>
      </c>
      <c r="D725">
        <v>15120.05</v>
      </c>
      <c r="E725">
        <v>15123.35</v>
      </c>
      <c r="F725">
        <v>14903.25</v>
      </c>
      <c r="G725">
        <v>14946.55</v>
      </c>
      <c r="H725">
        <v>0</v>
      </c>
      <c r="I725" s="8">
        <f t="shared" si="45"/>
        <v>-1.3894432660493616E-2</v>
      </c>
      <c r="J725" s="8">
        <f t="shared" si="46"/>
        <v>-1.3991863843437499E-2</v>
      </c>
      <c r="K725" s="8">
        <f t="shared" si="43"/>
        <v>-6.1110971519027113E-2</v>
      </c>
    </row>
    <row r="726" spans="1:11" x14ac:dyDescent="0.25">
      <c r="A726" t="str">
        <f t="shared" si="44"/>
        <v>122019</v>
      </c>
      <c r="B726" s="1">
        <v>43810</v>
      </c>
      <c r="C726" s="10">
        <v>43781.645833333336</v>
      </c>
      <c r="D726">
        <v>14972</v>
      </c>
      <c r="E726">
        <v>15147.35</v>
      </c>
      <c r="F726">
        <v>14963.65</v>
      </c>
      <c r="G726">
        <v>15130.3</v>
      </c>
      <c r="H726">
        <v>0</v>
      </c>
      <c r="I726" s="8">
        <f t="shared" si="45"/>
        <v>1.2293806932034412E-2</v>
      </c>
      <c r="J726" s="8">
        <f t="shared" si="46"/>
        <v>1.2218851785060625E-2</v>
      </c>
      <c r="K726" s="8">
        <f t="shared" si="43"/>
        <v>-3.6397100969315588E-2</v>
      </c>
    </row>
    <row r="727" spans="1:11" x14ac:dyDescent="0.25">
      <c r="A727" t="str">
        <f t="shared" si="44"/>
        <v>122019</v>
      </c>
      <c r="B727" s="1">
        <v>43811</v>
      </c>
      <c r="C727" s="10">
        <v>43811.645833333336</v>
      </c>
      <c r="D727">
        <v>15151.1</v>
      </c>
      <c r="E727">
        <v>15184.15</v>
      </c>
      <c r="F727">
        <v>14890.6</v>
      </c>
      <c r="G727">
        <v>14972.65</v>
      </c>
      <c r="H727">
        <v>0</v>
      </c>
      <c r="I727" s="8">
        <f t="shared" si="45"/>
        <v>-1.041948936901449E-2</v>
      </c>
      <c r="J727" s="8">
        <f t="shared" si="46"/>
        <v>-1.0474152286367663E-2</v>
      </c>
      <c r="K727" s="8">
        <f t="shared" si="43"/>
        <v>-3.9183097235814146E-2</v>
      </c>
    </row>
    <row r="728" spans="1:11" x14ac:dyDescent="0.25">
      <c r="A728" t="str">
        <f t="shared" si="44"/>
        <v>122019</v>
      </c>
      <c r="B728" s="1">
        <v>43812</v>
      </c>
      <c r="C728" t="s">
        <v>463</v>
      </c>
      <c r="D728">
        <v>14987.9</v>
      </c>
      <c r="E728">
        <v>15221.45</v>
      </c>
      <c r="F728">
        <v>14965.15</v>
      </c>
      <c r="G728">
        <v>15200.55</v>
      </c>
      <c r="H728">
        <v>0</v>
      </c>
      <c r="I728" s="8">
        <f t="shared" si="45"/>
        <v>1.5221086447622767E-2</v>
      </c>
      <c r="J728" s="8">
        <f t="shared" si="46"/>
        <v>1.5106407934821112E-2</v>
      </c>
      <c r="K728" s="8">
        <f t="shared" si="43"/>
        <v>-3.3222242716038464E-2</v>
      </c>
    </row>
    <row r="729" spans="1:11" x14ac:dyDescent="0.25">
      <c r="A729" t="str">
        <f t="shared" si="44"/>
        <v>122019</v>
      </c>
      <c r="B729" s="1">
        <v>43815</v>
      </c>
      <c r="C729" t="s">
        <v>464</v>
      </c>
      <c r="D729">
        <v>15263.75</v>
      </c>
      <c r="E729">
        <v>15446.25</v>
      </c>
      <c r="F729">
        <v>15223.1</v>
      </c>
      <c r="G729">
        <v>15348.75</v>
      </c>
      <c r="H729">
        <v>0</v>
      </c>
      <c r="I729" s="8">
        <f t="shared" si="45"/>
        <v>9.7496472167126758E-3</v>
      </c>
      <c r="J729" s="8">
        <f t="shared" si="46"/>
        <v>9.7024260844612523E-3</v>
      </c>
      <c r="K729" s="8">
        <f t="shared" si="43"/>
        <v>-2.5052165545014771E-2</v>
      </c>
    </row>
    <row r="730" spans="1:11" x14ac:dyDescent="0.25">
      <c r="A730" t="str">
        <f t="shared" si="44"/>
        <v>122019</v>
      </c>
      <c r="B730" s="1">
        <v>43816</v>
      </c>
      <c r="C730" t="s">
        <v>465</v>
      </c>
      <c r="D730">
        <v>15417.55</v>
      </c>
      <c r="E730">
        <v>15670.35</v>
      </c>
      <c r="F730">
        <v>15387.2</v>
      </c>
      <c r="G730">
        <v>15637.15</v>
      </c>
      <c r="H730">
        <v>0</v>
      </c>
      <c r="I730" s="8">
        <f t="shared" si="45"/>
        <v>1.8789803729945431E-2</v>
      </c>
      <c r="J730" s="8">
        <f t="shared" si="46"/>
        <v>1.8615455955636774E-2</v>
      </c>
      <c r="K730" s="8">
        <f t="shared" si="43"/>
        <v>7.359693836737069E-4</v>
      </c>
    </row>
    <row r="731" spans="1:11" x14ac:dyDescent="0.25">
      <c r="A731" t="str">
        <f t="shared" si="44"/>
        <v>122019</v>
      </c>
      <c r="B731" s="1">
        <v>43817</v>
      </c>
      <c r="C731" t="s">
        <v>466</v>
      </c>
      <c r="D731">
        <v>15680.5</v>
      </c>
      <c r="E731">
        <v>15835.8</v>
      </c>
      <c r="F731">
        <v>15649.15</v>
      </c>
      <c r="G731">
        <v>15710.65</v>
      </c>
      <c r="H731">
        <v>0</v>
      </c>
      <c r="I731" s="8">
        <f t="shared" si="45"/>
        <v>4.7003450117188983E-3</v>
      </c>
      <c r="J731" s="8">
        <f t="shared" si="46"/>
        <v>4.6893328838220573E-3</v>
      </c>
      <c r="K731" s="8">
        <f t="shared" si="43"/>
        <v>5.3176923125919373E-4</v>
      </c>
    </row>
    <row r="732" spans="1:11" x14ac:dyDescent="0.25">
      <c r="A732" t="str">
        <f t="shared" si="44"/>
        <v>122019</v>
      </c>
      <c r="B732" s="1">
        <v>43818</v>
      </c>
      <c r="C732" t="s">
        <v>467</v>
      </c>
      <c r="D732">
        <v>15741.2</v>
      </c>
      <c r="E732">
        <v>15835.5</v>
      </c>
      <c r="F732">
        <v>15654.7</v>
      </c>
      <c r="G732">
        <v>15812.95</v>
      </c>
      <c r="H732">
        <v>0</v>
      </c>
      <c r="I732" s="8">
        <f t="shared" si="45"/>
        <v>6.5115065258281035E-3</v>
      </c>
      <c r="J732" s="8">
        <f t="shared" si="46"/>
        <v>6.4903982487831994E-3</v>
      </c>
      <c r="K732" s="8">
        <f t="shared" si="43"/>
        <v>1.871482916678735E-2</v>
      </c>
    </row>
    <row r="733" spans="1:11" x14ac:dyDescent="0.25">
      <c r="A733" t="str">
        <f t="shared" si="44"/>
        <v>122019</v>
      </c>
      <c r="B733" s="1">
        <v>43819</v>
      </c>
      <c r="C733" t="s">
        <v>468</v>
      </c>
      <c r="D733">
        <v>15811.95</v>
      </c>
      <c r="E733">
        <v>15890.95</v>
      </c>
      <c r="F733">
        <v>15781.25</v>
      </c>
      <c r="G733">
        <v>15844.55</v>
      </c>
      <c r="H733">
        <v>0</v>
      </c>
      <c r="I733" s="8">
        <f t="shared" si="45"/>
        <v>1.9983621019479259E-3</v>
      </c>
      <c r="J733" s="8">
        <f t="shared" si="46"/>
        <v>1.9963680325425638E-3</v>
      </c>
      <c r="K733" s="8">
        <f t="shared" si="43"/>
        <v>2.2816326794094621E-2</v>
      </c>
    </row>
    <row r="734" spans="1:11" x14ac:dyDescent="0.25">
      <c r="A734" t="str">
        <f t="shared" si="44"/>
        <v>122019</v>
      </c>
      <c r="B734" s="1">
        <v>43822</v>
      </c>
      <c r="C734" t="s">
        <v>469</v>
      </c>
      <c r="D734">
        <v>15811.4</v>
      </c>
      <c r="E734">
        <v>15936</v>
      </c>
      <c r="F734">
        <v>15809.05</v>
      </c>
      <c r="G734">
        <v>15865.5</v>
      </c>
      <c r="H734">
        <v>0</v>
      </c>
      <c r="I734" s="8">
        <f t="shared" si="45"/>
        <v>1.3222212053987104E-3</v>
      </c>
      <c r="J734" s="8">
        <f t="shared" si="46"/>
        <v>1.3213478407101483E-3</v>
      </c>
      <c r="K734" s="8">
        <f t="shared" si="43"/>
        <v>5.4841379860577799E-2</v>
      </c>
    </row>
    <row r="735" spans="1:11" x14ac:dyDescent="0.25">
      <c r="A735" t="str">
        <f t="shared" si="44"/>
        <v>122019</v>
      </c>
      <c r="B735" s="1">
        <v>43823</v>
      </c>
      <c r="C735" t="s">
        <v>470</v>
      </c>
      <c r="D735">
        <v>15877.4</v>
      </c>
      <c r="E735">
        <v>15880.15</v>
      </c>
      <c r="F735">
        <v>15739.45</v>
      </c>
      <c r="G735">
        <v>15778.2</v>
      </c>
      <c r="H735">
        <v>0</v>
      </c>
      <c r="I735" s="8">
        <f t="shared" si="45"/>
        <v>-5.5025054363240233E-3</v>
      </c>
      <c r="J735" s="8">
        <f t="shared" si="46"/>
        <v>-5.5176999837159863E-3</v>
      </c>
      <c r="K735" s="8">
        <f t="shared" si="43"/>
        <v>2.8656368063682436E-2</v>
      </c>
    </row>
    <row r="736" spans="1:11" x14ac:dyDescent="0.25">
      <c r="A736" t="str">
        <f t="shared" si="44"/>
        <v>122019</v>
      </c>
      <c r="B736" s="1">
        <v>43825</v>
      </c>
      <c r="C736" t="s">
        <v>471</v>
      </c>
      <c r="D736">
        <v>15784.45</v>
      </c>
      <c r="E736">
        <v>15806.85</v>
      </c>
      <c r="F736">
        <v>15690.95</v>
      </c>
      <c r="G736">
        <v>15706.45</v>
      </c>
      <c r="H736">
        <v>0</v>
      </c>
      <c r="I736" s="8">
        <f t="shared" si="45"/>
        <v>-4.5474135199199406E-3</v>
      </c>
      <c r="J736" s="8">
        <f t="shared" si="46"/>
        <v>-4.5577844573513517E-3</v>
      </c>
      <c r="K736" s="8">
        <f t="shared" si="43"/>
        <v>2.1232257686981226E-2</v>
      </c>
    </row>
    <row r="737" spans="1:11" x14ac:dyDescent="0.25">
      <c r="A737" t="str">
        <f t="shared" si="44"/>
        <v>122019</v>
      </c>
      <c r="B737" s="1">
        <v>43826</v>
      </c>
      <c r="C737" t="s">
        <v>472</v>
      </c>
      <c r="D737">
        <v>15740.4</v>
      </c>
      <c r="E737">
        <v>15824.15</v>
      </c>
      <c r="F737">
        <v>15657.5</v>
      </c>
      <c r="G737">
        <v>15780.7</v>
      </c>
      <c r="H737">
        <v>0</v>
      </c>
      <c r="I737" s="8">
        <f t="shared" si="45"/>
        <v>4.7273572322199531E-3</v>
      </c>
      <c r="J737" s="8">
        <f t="shared" si="46"/>
        <v>4.7162183701448717E-3</v>
      </c>
      <c r="K737" s="8">
        <f t="shared" si="43"/>
        <v>3.0549406056331607E-2</v>
      </c>
    </row>
    <row r="738" spans="1:11" x14ac:dyDescent="0.25">
      <c r="A738" t="str">
        <f t="shared" si="44"/>
        <v>122019</v>
      </c>
      <c r="B738" s="1">
        <v>43829</v>
      </c>
      <c r="C738" t="s">
        <v>473</v>
      </c>
      <c r="D738">
        <v>15801.5</v>
      </c>
      <c r="E738">
        <v>15868.95</v>
      </c>
      <c r="F738">
        <v>15715.1</v>
      </c>
      <c r="G738">
        <v>15775</v>
      </c>
      <c r="H738">
        <v>0</v>
      </c>
      <c r="I738" s="8">
        <f t="shared" si="45"/>
        <v>-3.6120070719303232E-4</v>
      </c>
      <c r="J738" s="8">
        <f t="shared" si="46"/>
        <v>-3.6126595588085851E-4</v>
      </c>
      <c r="K738" s="8">
        <f t="shared" si="43"/>
        <v>3.5349557638287177E-2</v>
      </c>
    </row>
    <row r="739" spans="1:11" x14ac:dyDescent="0.25">
      <c r="A739" t="str">
        <f t="shared" si="44"/>
        <v>122019</v>
      </c>
      <c r="B739" s="1">
        <v>43830</v>
      </c>
      <c r="C739" t="s">
        <v>474</v>
      </c>
      <c r="D739">
        <v>15754.05</v>
      </c>
      <c r="E739">
        <v>15775.25</v>
      </c>
      <c r="F739">
        <v>15634.5</v>
      </c>
      <c r="G739">
        <v>15652.4</v>
      </c>
      <c r="H739">
        <v>0</v>
      </c>
      <c r="I739" s="8">
        <f t="shared" si="45"/>
        <v>-7.7717908082408638E-3</v>
      </c>
      <c r="J739" s="8">
        <f t="shared" si="46"/>
        <v>-7.8021485661463746E-3</v>
      </c>
      <c r="K739" s="8">
        <f t="shared" si="43"/>
        <v>7.2232250010457744E-3</v>
      </c>
    </row>
    <row r="740" spans="1:11" x14ac:dyDescent="0.25">
      <c r="A740" t="str">
        <f t="shared" si="44"/>
        <v>12020</v>
      </c>
      <c r="B740" s="1">
        <v>43831</v>
      </c>
      <c r="C740" s="10">
        <v>43831.645833333336</v>
      </c>
      <c r="D740">
        <v>15705.9</v>
      </c>
      <c r="E740">
        <v>15746.25</v>
      </c>
      <c r="F740">
        <v>15676.7</v>
      </c>
      <c r="G740">
        <v>15722.15</v>
      </c>
      <c r="H740">
        <v>0</v>
      </c>
      <c r="I740" s="8">
        <f t="shared" si="45"/>
        <v>4.4561856328741989E-3</v>
      </c>
      <c r="J740" s="8">
        <f t="shared" si="46"/>
        <v>4.4462862358157166E-3</v>
      </c>
      <c r="K740" s="8">
        <f t="shared" si="43"/>
        <v>2.7574712831489601E-2</v>
      </c>
    </row>
    <row r="741" spans="1:11" x14ac:dyDescent="0.25">
      <c r="A741" t="str">
        <f t="shared" si="44"/>
        <v>12020</v>
      </c>
      <c r="B741" s="1">
        <v>43832</v>
      </c>
      <c r="C741" s="10">
        <v>43862.645833333336</v>
      </c>
      <c r="D741">
        <v>15754.9</v>
      </c>
      <c r="E741">
        <v>15762.1</v>
      </c>
      <c r="F741">
        <v>15679.65</v>
      </c>
      <c r="G741">
        <v>15709.65</v>
      </c>
      <c r="H741">
        <v>0</v>
      </c>
      <c r="I741" s="8">
        <f t="shared" si="45"/>
        <v>-7.9505665573731399E-4</v>
      </c>
      <c r="J741" s="8">
        <f t="shared" si="46"/>
        <v>-7.9537288090262138E-4</v>
      </c>
      <c r="K741" s="8">
        <f t="shared" si="43"/>
        <v>2.82564087459376E-2</v>
      </c>
    </row>
    <row r="742" spans="1:11" x14ac:dyDescent="0.25">
      <c r="A742" t="str">
        <f t="shared" si="44"/>
        <v>12020</v>
      </c>
      <c r="B742" s="1">
        <v>43833</v>
      </c>
      <c r="C742" s="10">
        <v>43891.645833333336</v>
      </c>
      <c r="D742">
        <v>15727.6</v>
      </c>
      <c r="E742">
        <v>16004.45</v>
      </c>
      <c r="F742">
        <v>15722.65</v>
      </c>
      <c r="G742">
        <v>15936.6</v>
      </c>
      <c r="H742">
        <v>0</v>
      </c>
      <c r="I742" s="8">
        <f t="shared" si="45"/>
        <v>1.4446534454936932E-2</v>
      </c>
      <c r="J742" s="8">
        <f t="shared" si="46"/>
        <v>1.4343177519842345E-2</v>
      </c>
      <c r="K742" s="8">
        <f t="shared" si="43"/>
        <v>3.887146926722429E-2</v>
      </c>
    </row>
    <row r="743" spans="1:11" x14ac:dyDescent="0.25">
      <c r="A743" t="str">
        <f t="shared" si="44"/>
        <v>12020</v>
      </c>
      <c r="B743" s="1">
        <v>43836</v>
      </c>
      <c r="C743" s="10">
        <v>43983.645833333336</v>
      </c>
      <c r="D743">
        <v>15934.6</v>
      </c>
      <c r="E743">
        <v>16067.65</v>
      </c>
      <c r="F743">
        <v>15831.85</v>
      </c>
      <c r="G743">
        <v>15879.8</v>
      </c>
      <c r="H743">
        <v>0</v>
      </c>
      <c r="I743" s="8">
        <f t="shared" si="45"/>
        <v>-3.5641228367406796E-3</v>
      </c>
      <c r="J743" s="8">
        <f t="shared" si="46"/>
        <v>-3.5704894546454936E-3</v>
      </c>
      <c r="K743" s="8">
        <f t="shared" si="43"/>
        <v>4.152032400347605E-2</v>
      </c>
    </row>
    <row r="744" spans="1:11" x14ac:dyDescent="0.25">
      <c r="A744" t="str">
        <f t="shared" si="44"/>
        <v>12020</v>
      </c>
      <c r="B744" s="1">
        <v>43837</v>
      </c>
      <c r="C744" s="10">
        <v>44013.645833333336</v>
      </c>
      <c r="D744">
        <v>15893.35</v>
      </c>
      <c r="E744">
        <v>15988.7</v>
      </c>
      <c r="F744">
        <v>15799.8</v>
      </c>
      <c r="G744">
        <v>15895.2</v>
      </c>
      <c r="H744">
        <v>0</v>
      </c>
      <c r="I744" s="8">
        <f t="shared" si="45"/>
        <v>9.697855136714395E-4</v>
      </c>
      <c r="J744" s="8">
        <f t="shared" si="46"/>
        <v>9.6931557550178772E-4</v>
      </c>
      <c r="K744" s="8">
        <f t="shared" si="43"/>
        <v>5.0661819383623907E-2</v>
      </c>
    </row>
    <row r="745" spans="1:11" x14ac:dyDescent="0.25">
      <c r="A745" t="str">
        <f t="shared" si="44"/>
        <v>12020</v>
      </c>
      <c r="B745" s="1">
        <v>43838</v>
      </c>
      <c r="C745" s="10">
        <v>44044.645833333336</v>
      </c>
      <c r="D745">
        <v>15840.9</v>
      </c>
      <c r="E745">
        <v>15974.85</v>
      </c>
      <c r="F745">
        <v>15816.8</v>
      </c>
      <c r="G745">
        <v>15953.45</v>
      </c>
      <c r="H745">
        <v>0</v>
      </c>
      <c r="I745" s="8">
        <f t="shared" si="45"/>
        <v>3.6646283154662118E-3</v>
      </c>
      <c r="J745" s="8">
        <f t="shared" si="46"/>
        <v>3.6579299248743606E-3</v>
      </c>
      <c r="K745" s="8">
        <f t="shared" si="43"/>
        <v>5.6953848600087564E-2</v>
      </c>
    </row>
    <row r="746" spans="1:11" x14ac:dyDescent="0.25">
      <c r="A746" t="str">
        <f t="shared" si="44"/>
        <v>12020</v>
      </c>
      <c r="B746" s="1">
        <v>43839</v>
      </c>
      <c r="C746" s="10">
        <v>44075.645833333336</v>
      </c>
      <c r="D746">
        <v>15970.65</v>
      </c>
      <c r="E746">
        <v>16017.25</v>
      </c>
      <c r="F746">
        <v>15857.25</v>
      </c>
      <c r="G746">
        <v>15925.15</v>
      </c>
      <c r="H746">
        <v>0</v>
      </c>
      <c r="I746" s="8">
        <f t="shared" si="45"/>
        <v>-1.7739109722348934E-3</v>
      </c>
      <c r="J746" s="8">
        <f t="shared" si="46"/>
        <v>-1.7754862154734225E-3</v>
      </c>
      <c r="K746" s="8">
        <f t="shared" si="43"/>
        <v>3.9371748934531547E-2</v>
      </c>
    </row>
    <row r="747" spans="1:11" x14ac:dyDescent="0.25">
      <c r="A747" t="str">
        <f t="shared" si="44"/>
        <v>12020</v>
      </c>
      <c r="B747" s="1">
        <v>43840</v>
      </c>
      <c r="C747" s="10">
        <v>44105.645833333336</v>
      </c>
      <c r="D747">
        <v>16040.65</v>
      </c>
      <c r="E747">
        <v>16059.35</v>
      </c>
      <c r="F747">
        <v>15930.65</v>
      </c>
      <c r="G747">
        <v>15959.9</v>
      </c>
      <c r="H747">
        <v>0</v>
      </c>
      <c r="I747" s="8">
        <f t="shared" si="45"/>
        <v>2.1820830573024974E-3</v>
      </c>
      <c r="J747" s="8">
        <f t="shared" si="46"/>
        <v>2.1797057717296026E-3</v>
      </c>
      <c r="K747" s="8">
        <f t="shared" si="43"/>
        <v>4.4649899363453427E-2</v>
      </c>
    </row>
    <row r="748" spans="1:11" x14ac:dyDescent="0.25">
      <c r="A748" t="str">
        <f t="shared" si="44"/>
        <v>12020</v>
      </c>
      <c r="B748" s="1">
        <v>43843</v>
      </c>
      <c r="C748" t="s">
        <v>475</v>
      </c>
      <c r="D748">
        <v>16135.5</v>
      </c>
      <c r="E748">
        <v>16275.2</v>
      </c>
      <c r="F748">
        <v>16075.75</v>
      </c>
      <c r="G748">
        <v>16225.9</v>
      </c>
      <c r="H748">
        <v>0</v>
      </c>
      <c r="I748" s="8">
        <f t="shared" si="45"/>
        <v>1.6666771095056987E-2</v>
      </c>
      <c r="J748" s="8">
        <f t="shared" si="46"/>
        <v>1.6529404667654783E-2</v>
      </c>
      <c r="K748" s="8">
        <f t="shared" si="43"/>
        <v>6.6903816312038122E-2</v>
      </c>
    </row>
    <row r="749" spans="1:11" x14ac:dyDescent="0.25">
      <c r="A749" t="str">
        <f t="shared" si="44"/>
        <v>12020</v>
      </c>
      <c r="B749" s="1">
        <v>43844</v>
      </c>
      <c r="C749" t="s">
        <v>476</v>
      </c>
      <c r="D749">
        <v>16238.15</v>
      </c>
      <c r="E749">
        <v>16385.95</v>
      </c>
      <c r="F749">
        <v>16226.9</v>
      </c>
      <c r="G749">
        <v>16362.35</v>
      </c>
      <c r="H749">
        <v>0</v>
      </c>
      <c r="I749" s="8">
        <f t="shared" si="45"/>
        <v>8.4093948563717102E-3</v>
      </c>
      <c r="J749" s="8">
        <f t="shared" si="46"/>
        <v>8.3742328851857568E-3</v>
      </c>
      <c r="K749" s="8">
        <f t="shared" si="43"/>
        <v>6.6301942984499762E-2</v>
      </c>
    </row>
    <row r="750" spans="1:11" x14ac:dyDescent="0.25">
      <c r="A750" t="str">
        <f t="shared" si="44"/>
        <v>12020</v>
      </c>
      <c r="B750" s="1">
        <v>43845</v>
      </c>
      <c r="C750" t="s">
        <v>477</v>
      </c>
      <c r="D750">
        <v>16354.2</v>
      </c>
      <c r="E750">
        <v>16366.75</v>
      </c>
      <c r="F750">
        <v>16217.1</v>
      </c>
      <c r="G750">
        <v>16346.85</v>
      </c>
      <c r="H750">
        <v>0</v>
      </c>
      <c r="I750" s="8">
        <f t="shared" si="45"/>
        <v>-9.4729669026760721E-4</v>
      </c>
      <c r="J750" s="8">
        <f t="shared" si="46"/>
        <v>-9.477456593376401E-4</v>
      </c>
      <c r="K750" s="8">
        <f t="shared" si="43"/>
        <v>6.9687015358038007E-2</v>
      </c>
    </row>
    <row r="751" spans="1:11" x14ac:dyDescent="0.25">
      <c r="A751" t="str">
        <f t="shared" si="44"/>
        <v>12020</v>
      </c>
      <c r="B751" s="1">
        <v>43846</v>
      </c>
      <c r="C751" t="s">
        <v>478</v>
      </c>
      <c r="D751">
        <v>16372.15</v>
      </c>
      <c r="E751">
        <v>16423.849999999999</v>
      </c>
      <c r="F751">
        <v>16277.25</v>
      </c>
      <c r="G751">
        <v>16381.65</v>
      </c>
      <c r="H751">
        <v>0</v>
      </c>
      <c r="I751" s="8">
        <f t="shared" si="45"/>
        <v>2.1288505124839041E-3</v>
      </c>
      <c r="J751" s="8">
        <f t="shared" si="46"/>
        <v>2.1265877210923196E-3</v>
      </c>
      <c r="K751" s="8">
        <f t="shared" si="43"/>
        <v>6.3046313781221386E-2</v>
      </c>
    </row>
    <row r="752" spans="1:11" x14ac:dyDescent="0.25">
      <c r="A752" t="str">
        <f t="shared" si="44"/>
        <v>12020</v>
      </c>
      <c r="B752" s="1">
        <v>43847</v>
      </c>
      <c r="C752" t="s">
        <v>479</v>
      </c>
      <c r="D752">
        <v>16396.5</v>
      </c>
      <c r="E752">
        <v>16447.349999999999</v>
      </c>
      <c r="F752">
        <v>16310.75</v>
      </c>
      <c r="G752">
        <v>16356.6</v>
      </c>
      <c r="H752">
        <v>0</v>
      </c>
      <c r="I752" s="8">
        <f t="shared" si="45"/>
        <v>-1.5291499940481845E-3</v>
      </c>
      <c r="J752" s="8">
        <f t="shared" si="46"/>
        <v>-1.5303203371392453E-3</v>
      </c>
      <c r="K752" s="8">
        <f t="shared" si="43"/>
        <v>0.11355366218134422</v>
      </c>
    </row>
    <row r="753" spans="1:11" x14ac:dyDescent="0.25">
      <c r="A753" t="str">
        <f t="shared" si="44"/>
        <v>12020</v>
      </c>
      <c r="B753" s="1">
        <v>43850</v>
      </c>
      <c r="C753" t="s">
        <v>480</v>
      </c>
      <c r="D753">
        <v>16389.599999999999</v>
      </c>
      <c r="E753">
        <v>16465.05</v>
      </c>
      <c r="F753">
        <v>16162.5</v>
      </c>
      <c r="G753">
        <v>16207.15</v>
      </c>
      <c r="H753">
        <v>0</v>
      </c>
      <c r="I753" s="8">
        <f t="shared" si="45"/>
        <v>-9.1369844588728988E-3</v>
      </c>
      <c r="J753" s="8">
        <f t="shared" si="46"/>
        <v>-9.1789827221032978E-3</v>
      </c>
      <c r="K753" s="8">
        <f t="shared" si="43"/>
        <v>9.2615626274577201E-2</v>
      </c>
    </row>
    <row r="754" spans="1:11" x14ac:dyDescent="0.25">
      <c r="A754" t="str">
        <f t="shared" si="44"/>
        <v>12020</v>
      </c>
      <c r="B754" s="1">
        <v>43851</v>
      </c>
      <c r="C754" t="s">
        <v>481</v>
      </c>
      <c r="D754">
        <v>16190.8</v>
      </c>
      <c r="E754">
        <v>16221.5</v>
      </c>
      <c r="F754">
        <v>16133.6</v>
      </c>
      <c r="G754">
        <v>16175.2</v>
      </c>
      <c r="H754">
        <v>0</v>
      </c>
      <c r="I754" s="8">
        <f t="shared" si="45"/>
        <v>-1.9713521501312226E-3</v>
      </c>
      <c r="J754" s="8">
        <f t="shared" si="46"/>
        <v>-1.9732978222716238E-3</v>
      </c>
      <c r="K754" s="8">
        <f t="shared" si="43"/>
        <v>9.4286777390657273E-2</v>
      </c>
    </row>
    <row r="755" spans="1:11" x14ac:dyDescent="0.25">
      <c r="A755" t="str">
        <f t="shared" si="44"/>
        <v>12020</v>
      </c>
      <c r="B755" s="1">
        <v>43852</v>
      </c>
      <c r="C755" t="s">
        <v>482</v>
      </c>
      <c r="D755">
        <v>16245.95</v>
      </c>
      <c r="E755">
        <v>16404.599999999999</v>
      </c>
      <c r="F755">
        <v>16211.8</v>
      </c>
      <c r="G755">
        <v>16334.55</v>
      </c>
      <c r="H755">
        <v>0</v>
      </c>
      <c r="I755" s="8">
        <f t="shared" si="45"/>
        <v>9.8515010633561939E-3</v>
      </c>
      <c r="J755" s="8">
        <f t="shared" si="46"/>
        <v>9.8032913932541415E-3</v>
      </c>
      <c r="K755" s="8">
        <f t="shared" si="43"/>
        <v>9.6363142121707268E-2</v>
      </c>
    </row>
    <row r="756" spans="1:11" x14ac:dyDescent="0.25">
      <c r="A756" t="str">
        <f t="shared" si="44"/>
        <v>12020</v>
      </c>
      <c r="B756" s="1">
        <v>43853</v>
      </c>
      <c r="C756" t="s">
        <v>483</v>
      </c>
      <c r="D756">
        <v>16380.6</v>
      </c>
      <c r="E756">
        <v>16501.2</v>
      </c>
      <c r="F756">
        <v>16367.75</v>
      </c>
      <c r="G756">
        <v>16474.400000000001</v>
      </c>
      <c r="H756">
        <v>0</v>
      </c>
      <c r="I756" s="8">
        <f t="shared" si="45"/>
        <v>8.5616071455902887E-3</v>
      </c>
      <c r="J756" s="8">
        <f t="shared" si="46"/>
        <v>8.5251644447931606E-3</v>
      </c>
      <c r="K756" s="8">
        <f t="shared" si="43"/>
        <v>0.10149501216870371</v>
      </c>
    </row>
    <row r="757" spans="1:11" x14ac:dyDescent="0.25">
      <c r="A757" t="str">
        <f t="shared" si="44"/>
        <v>12020</v>
      </c>
      <c r="B757" s="1">
        <v>43854</v>
      </c>
      <c r="C757" t="s">
        <v>484</v>
      </c>
      <c r="D757">
        <v>16410.5</v>
      </c>
      <c r="E757">
        <v>16498.75</v>
      </c>
      <c r="F757">
        <v>16356.95</v>
      </c>
      <c r="G757">
        <v>16472.75</v>
      </c>
      <c r="H757">
        <v>0</v>
      </c>
      <c r="I757" s="8">
        <f t="shared" si="45"/>
        <v>-1.0015539260921358E-4</v>
      </c>
      <c r="J757" s="8">
        <f t="shared" si="46"/>
        <v>-1.0016040849546276E-4</v>
      </c>
      <c r="K757" s="8">
        <f t="shared" si="43"/>
        <v>8.5061325042486313E-2</v>
      </c>
    </row>
    <row r="758" spans="1:11" x14ac:dyDescent="0.25">
      <c r="A758" t="str">
        <f t="shared" si="44"/>
        <v>12020</v>
      </c>
      <c r="B758" s="1">
        <v>43857</v>
      </c>
      <c r="C758" t="s">
        <v>485</v>
      </c>
      <c r="D758">
        <v>16456.2</v>
      </c>
      <c r="E758">
        <v>16483.900000000001</v>
      </c>
      <c r="F758">
        <v>16385.650000000001</v>
      </c>
      <c r="G758">
        <v>16393.55</v>
      </c>
      <c r="H758">
        <v>0</v>
      </c>
      <c r="I758" s="8">
        <f t="shared" si="45"/>
        <v>-4.8079403863957593E-3</v>
      </c>
      <c r="J758" s="8">
        <f t="shared" si="46"/>
        <v>-4.8195357131312639E-3</v>
      </c>
      <c r="K758" s="8">
        <f t="shared" si="43"/>
        <v>6.4817009999577735E-2</v>
      </c>
    </row>
    <row r="759" spans="1:11" x14ac:dyDescent="0.25">
      <c r="A759" t="str">
        <f t="shared" si="44"/>
        <v>12020</v>
      </c>
      <c r="B759" s="1">
        <v>43858</v>
      </c>
      <c r="C759" t="s">
        <v>486</v>
      </c>
      <c r="D759">
        <v>16442.849999999999</v>
      </c>
      <c r="E759">
        <v>16448.05</v>
      </c>
      <c r="F759">
        <v>16320.6</v>
      </c>
      <c r="G759">
        <v>16429.75</v>
      </c>
      <c r="H759">
        <v>0</v>
      </c>
      <c r="I759" s="8">
        <f t="shared" si="45"/>
        <v>2.2081855363846881E-3</v>
      </c>
      <c r="J759" s="8">
        <f t="shared" si="46"/>
        <v>2.2057510778684918E-3</v>
      </c>
      <c r="K759" s="8">
        <f t="shared" si="43"/>
        <v>5.593724693754254E-2</v>
      </c>
    </row>
    <row r="760" spans="1:11" x14ac:dyDescent="0.25">
      <c r="A760" t="str">
        <f t="shared" si="44"/>
        <v>12020</v>
      </c>
      <c r="B760" s="1">
        <v>43859</v>
      </c>
      <c r="C760" t="s">
        <v>487</v>
      </c>
      <c r="D760">
        <v>16513.2</v>
      </c>
      <c r="E760">
        <v>16577.95</v>
      </c>
      <c r="F760">
        <v>16452</v>
      </c>
      <c r="G760">
        <v>16479.3</v>
      </c>
      <c r="H760">
        <v>0</v>
      </c>
      <c r="I760" s="8">
        <f t="shared" si="45"/>
        <v>3.0158706005873892E-3</v>
      </c>
      <c r="J760" s="8">
        <f t="shared" si="46"/>
        <v>3.0113319858078667E-3</v>
      </c>
      <c r="K760" s="8">
        <f t="shared" si="43"/>
        <v>6.5159780753916818E-2</v>
      </c>
    </row>
    <row r="761" spans="1:11" x14ac:dyDescent="0.25">
      <c r="A761" t="str">
        <f t="shared" si="44"/>
        <v>12020</v>
      </c>
      <c r="B761" s="1">
        <v>43860</v>
      </c>
      <c r="C761" t="s">
        <v>488</v>
      </c>
      <c r="D761">
        <v>16509</v>
      </c>
      <c r="E761">
        <v>16514.099999999999</v>
      </c>
      <c r="F761">
        <v>16287.75</v>
      </c>
      <c r="G761">
        <v>16327.9</v>
      </c>
      <c r="H761">
        <v>0</v>
      </c>
      <c r="I761" s="8">
        <f t="shared" si="45"/>
        <v>-9.1872834404373993E-3</v>
      </c>
      <c r="J761" s="8">
        <f t="shared" si="46"/>
        <v>-9.2297468110614667E-3</v>
      </c>
      <c r="K761" s="8">
        <f t="shared" si="43"/>
        <v>4.7244296498688332E-2</v>
      </c>
    </row>
    <row r="762" spans="1:11" x14ac:dyDescent="0.25">
      <c r="A762" t="str">
        <f t="shared" si="44"/>
        <v>12020</v>
      </c>
      <c r="B762" s="1">
        <v>43861</v>
      </c>
      <c r="C762" t="s">
        <v>489</v>
      </c>
      <c r="D762">
        <v>16333.15</v>
      </c>
      <c r="E762">
        <v>16365.8</v>
      </c>
      <c r="F762">
        <v>16098.45</v>
      </c>
      <c r="G762">
        <v>16144.15</v>
      </c>
      <c r="H762">
        <v>0</v>
      </c>
      <c r="I762" s="8">
        <f t="shared" si="45"/>
        <v>-1.1253743592256171E-2</v>
      </c>
      <c r="J762" s="8">
        <f t="shared" si="46"/>
        <v>-1.1317546094299373E-2</v>
      </c>
      <c r="K762" s="8">
        <f t="shared" si="43"/>
        <v>3.9315155358275122E-2</v>
      </c>
    </row>
    <row r="763" spans="1:11" x14ac:dyDescent="0.25">
      <c r="A763" t="str">
        <f t="shared" si="44"/>
        <v>22020</v>
      </c>
      <c r="B763" s="1">
        <v>43862</v>
      </c>
      <c r="C763" s="10">
        <v>43832.708333333336</v>
      </c>
      <c r="D763">
        <v>16138.6</v>
      </c>
      <c r="E763">
        <v>16319.75</v>
      </c>
      <c r="F763">
        <v>15968.5</v>
      </c>
      <c r="G763">
        <v>16258.7</v>
      </c>
      <c r="H763">
        <v>0</v>
      </c>
      <c r="I763" s="8">
        <f t="shared" si="45"/>
        <v>7.0954494352444275E-3</v>
      </c>
      <c r="J763" s="8">
        <f t="shared" si="46"/>
        <v>7.0703951782309397E-3</v>
      </c>
      <c r="K763" s="8">
        <f t="shared" si="43"/>
        <v>4.481630712087048E-2</v>
      </c>
    </row>
    <row r="764" spans="1:11" x14ac:dyDescent="0.25">
      <c r="A764" t="str">
        <f t="shared" si="44"/>
        <v>22020</v>
      </c>
      <c r="B764" s="1">
        <v>43864</v>
      </c>
      <c r="C764" s="10">
        <v>43892.645833333336</v>
      </c>
      <c r="D764">
        <v>16282</v>
      </c>
      <c r="E764">
        <v>16418.900000000001</v>
      </c>
      <c r="F764">
        <v>16034.3</v>
      </c>
      <c r="G764">
        <v>16059.9</v>
      </c>
      <c r="H764">
        <v>0</v>
      </c>
      <c r="I764" s="8">
        <f t="shared" si="45"/>
        <v>-1.2227299845621209E-2</v>
      </c>
      <c r="J764" s="8">
        <f t="shared" si="46"/>
        <v>-1.2302668274753419E-2</v>
      </c>
      <c r="K764" s="8">
        <f t="shared" si="43"/>
        <v>2.7873070325900473E-2</v>
      </c>
    </row>
    <row r="765" spans="1:11" x14ac:dyDescent="0.25">
      <c r="A765" t="str">
        <f t="shared" si="44"/>
        <v>22020</v>
      </c>
      <c r="B765" s="1">
        <v>43865</v>
      </c>
      <c r="C765" s="10">
        <v>43923.645833333336</v>
      </c>
      <c r="D765">
        <v>16174.8</v>
      </c>
      <c r="E765">
        <v>16377.45</v>
      </c>
      <c r="F765">
        <v>16155.8</v>
      </c>
      <c r="G765">
        <v>16350.85</v>
      </c>
      <c r="H765">
        <v>0</v>
      </c>
      <c r="I765" s="8">
        <f t="shared" si="45"/>
        <v>1.8116551161588834E-2</v>
      </c>
      <c r="J765" s="8">
        <f t="shared" si="46"/>
        <v>1.7954401910361691E-2</v>
      </c>
      <c r="K765" s="8">
        <f t="shared" si="43"/>
        <v>6.2896127618911502E-2</v>
      </c>
    </row>
    <row r="766" spans="1:11" x14ac:dyDescent="0.25">
      <c r="A766" t="str">
        <f t="shared" si="44"/>
        <v>22020</v>
      </c>
      <c r="B766" s="1">
        <v>43866</v>
      </c>
      <c r="C766" s="10">
        <v>43953.645833333336</v>
      </c>
      <c r="D766">
        <v>16354.45</v>
      </c>
      <c r="E766">
        <v>16463.599999999999</v>
      </c>
      <c r="F766">
        <v>16283.25</v>
      </c>
      <c r="G766">
        <v>16448.55</v>
      </c>
      <c r="H766">
        <v>0</v>
      </c>
      <c r="I766" s="8">
        <f t="shared" si="45"/>
        <v>5.9752245296116335E-3</v>
      </c>
      <c r="J766" s="8">
        <f t="shared" si="46"/>
        <v>5.9574436701171924E-3</v>
      </c>
      <c r="K766" s="8">
        <f t="shared" si="43"/>
        <v>7.4468189345169966E-2</v>
      </c>
    </row>
    <row r="767" spans="1:11" x14ac:dyDescent="0.25">
      <c r="A767" t="str">
        <f t="shared" si="44"/>
        <v>22020</v>
      </c>
      <c r="B767" s="1">
        <v>43867</v>
      </c>
      <c r="C767" s="10">
        <v>43984.645833333336</v>
      </c>
      <c r="D767">
        <v>16480.75</v>
      </c>
      <c r="E767">
        <v>16621.349999999999</v>
      </c>
      <c r="F767">
        <v>16330.65</v>
      </c>
      <c r="G767">
        <v>16371.15</v>
      </c>
      <c r="H767">
        <v>0</v>
      </c>
      <c r="I767" s="8">
        <f t="shared" si="45"/>
        <v>-4.7055819509925767E-3</v>
      </c>
      <c r="J767" s="8">
        <f t="shared" si="46"/>
        <v>-4.7166880558956259E-3</v>
      </c>
      <c r="K767" s="8">
        <f t="shared" si="43"/>
        <v>7.4155482433837738E-2</v>
      </c>
    </row>
    <row r="768" spans="1:11" x14ac:dyDescent="0.25">
      <c r="A768" t="str">
        <f t="shared" si="44"/>
        <v>22020</v>
      </c>
      <c r="B768" s="1">
        <v>43868</v>
      </c>
      <c r="C768" s="10">
        <v>44014.645833333336</v>
      </c>
      <c r="D768">
        <v>16453</v>
      </c>
      <c r="E768">
        <v>16493.25</v>
      </c>
      <c r="F768">
        <v>16382.4</v>
      </c>
      <c r="G768">
        <v>16470.150000000001</v>
      </c>
      <c r="H768">
        <v>0</v>
      </c>
      <c r="I768" s="8">
        <f t="shared" si="45"/>
        <v>6.0472233166273259E-3</v>
      </c>
      <c r="J768" s="8">
        <f t="shared" si="46"/>
        <v>6.0290122424494696E-3</v>
      </c>
      <c r="K768" s="8">
        <f t="shared" ref="K768:K831" si="47">+G768/G707-1</f>
        <v>7.0272114369263283E-2</v>
      </c>
    </row>
    <row r="769" spans="1:11" x14ac:dyDescent="0.25">
      <c r="A769" t="str">
        <f t="shared" si="44"/>
        <v>22020</v>
      </c>
      <c r="B769" s="1">
        <v>43871</v>
      </c>
      <c r="C769" s="10">
        <v>44106.645833333336</v>
      </c>
      <c r="D769">
        <v>16481.5</v>
      </c>
      <c r="E769">
        <v>16522.400000000001</v>
      </c>
      <c r="F769">
        <v>16306.25</v>
      </c>
      <c r="G769">
        <v>16431.95</v>
      </c>
      <c r="H769">
        <v>0</v>
      </c>
      <c r="I769" s="8">
        <f t="shared" si="45"/>
        <v>-2.3193474254940005E-3</v>
      </c>
      <c r="J769" s="8">
        <f t="shared" si="46"/>
        <v>-2.3220412778598388E-3</v>
      </c>
      <c r="K769" s="8">
        <f t="shared" si="47"/>
        <v>7.3236603279416723E-2</v>
      </c>
    </row>
    <row r="770" spans="1:11" x14ac:dyDescent="0.25">
      <c r="A770" t="str">
        <f t="shared" si="44"/>
        <v>22020</v>
      </c>
      <c r="B770" s="1">
        <v>43872</v>
      </c>
      <c r="C770" s="10">
        <v>44137.645833333336</v>
      </c>
      <c r="D770">
        <v>16482.400000000001</v>
      </c>
      <c r="E770">
        <v>16512.099999999999</v>
      </c>
      <c r="F770">
        <v>16409.150000000001</v>
      </c>
      <c r="G770">
        <v>16452.3</v>
      </c>
      <c r="H770">
        <v>0</v>
      </c>
      <c r="I770" s="8">
        <f t="shared" si="45"/>
        <v>1.2384409640973093E-3</v>
      </c>
      <c r="J770" s="8">
        <f t="shared" si="46"/>
        <v>1.2376747286462E-3</v>
      </c>
      <c r="K770" s="8">
        <f t="shared" si="47"/>
        <v>7.5647668393782341E-2</v>
      </c>
    </row>
    <row r="771" spans="1:11" x14ac:dyDescent="0.25">
      <c r="A771" t="str">
        <f t="shared" ref="A771:A834" si="48">+MONTH(B771)&amp;YEAR(B771)</f>
        <v>22020</v>
      </c>
      <c r="B771" s="1">
        <v>43873</v>
      </c>
      <c r="C771" s="10">
        <v>44167.645833333336</v>
      </c>
      <c r="D771">
        <v>16462.25</v>
      </c>
      <c r="E771">
        <v>16599.05</v>
      </c>
      <c r="F771">
        <v>16419.45</v>
      </c>
      <c r="G771">
        <v>16538.099999999999</v>
      </c>
      <c r="H771">
        <v>0</v>
      </c>
      <c r="I771" s="8">
        <f t="shared" si="45"/>
        <v>5.2150763115186294E-3</v>
      </c>
      <c r="J771" s="8">
        <f t="shared" si="46"/>
        <v>5.2015248950796926E-3</v>
      </c>
      <c r="K771" s="8">
        <f t="shared" si="47"/>
        <v>8.0579032136871565E-2</v>
      </c>
    </row>
    <row r="772" spans="1:11" x14ac:dyDescent="0.25">
      <c r="A772" t="str">
        <f t="shared" si="48"/>
        <v>22020</v>
      </c>
      <c r="B772" s="1">
        <v>43874</v>
      </c>
      <c r="C772" t="s">
        <v>490</v>
      </c>
      <c r="D772">
        <v>16578.75</v>
      </c>
      <c r="E772">
        <v>16696.849999999999</v>
      </c>
      <c r="F772">
        <v>16513.75</v>
      </c>
      <c r="G772">
        <v>16673.05</v>
      </c>
      <c r="H772">
        <v>0</v>
      </c>
      <c r="I772" s="8">
        <f t="shared" ref="I772:I835" si="49">+G772/G771-1</f>
        <v>8.1599458220715793E-3</v>
      </c>
      <c r="J772" s="8">
        <f t="shared" ref="J772:J835" si="50">+LN(1+I772)</f>
        <v>8.1268334721920719E-3</v>
      </c>
      <c r="K772" s="8">
        <f t="shared" si="47"/>
        <v>8.8425759702320583E-2</v>
      </c>
    </row>
    <row r="773" spans="1:11" x14ac:dyDescent="0.25">
      <c r="A773" t="str">
        <f t="shared" si="48"/>
        <v>22020</v>
      </c>
      <c r="B773" s="1">
        <v>43875</v>
      </c>
      <c r="C773" t="s">
        <v>491</v>
      </c>
      <c r="D773">
        <v>16682.3</v>
      </c>
      <c r="E773">
        <v>16828.2</v>
      </c>
      <c r="F773">
        <v>16624.25</v>
      </c>
      <c r="G773">
        <v>16642.75</v>
      </c>
      <c r="H773">
        <v>0</v>
      </c>
      <c r="I773" s="8">
        <f t="shared" si="49"/>
        <v>-1.8173039725785101E-3</v>
      </c>
      <c r="J773" s="8">
        <f t="shared" si="50"/>
        <v>-1.8189572727792041E-3</v>
      </c>
      <c r="K773" s="8">
        <f t="shared" si="47"/>
        <v>8.8191735947874772E-2</v>
      </c>
    </row>
    <row r="774" spans="1:11" x14ac:dyDescent="0.25">
      <c r="A774" t="str">
        <f t="shared" si="48"/>
        <v>22020</v>
      </c>
      <c r="B774" s="1">
        <v>43878</v>
      </c>
      <c r="C774" t="s">
        <v>492</v>
      </c>
      <c r="D774">
        <v>16707.650000000001</v>
      </c>
      <c r="E774">
        <v>16737.650000000001</v>
      </c>
      <c r="F774">
        <v>16596.2</v>
      </c>
      <c r="G774">
        <v>16647.7</v>
      </c>
      <c r="H774">
        <v>0</v>
      </c>
      <c r="I774" s="8">
        <f t="shared" si="49"/>
        <v>2.9742680746869254E-4</v>
      </c>
      <c r="J774" s="8">
        <f t="shared" si="50"/>
        <v>2.9738258488422949E-4</v>
      </c>
      <c r="K774" s="8">
        <f t="shared" si="47"/>
        <v>0.11015010769610378</v>
      </c>
    </row>
    <row r="775" spans="1:11" x14ac:dyDescent="0.25">
      <c r="A775" t="str">
        <f t="shared" si="48"/>
        <v>22020</v>
      </c>
      <c r="B775" s="1">
        <v>43879</v>
      </c>
      <c r="C775" t="s">
        <v>493</v>
      </c>
      <c r="D775">
        <v>16586.900000000001</v>
      </c>
      <c r="E775">
        <v>16773.2</v>
      </c>
      <c r="F775">
        <v>16526.400000000001</v>
      </c>
      <c r="G775">
        <v>16748.75</v>
      </c>
      <c r="H775">
        <v>0</v>
      </c>
      <c r="I775" s="8">
        <f t="shared" si="49"/>
        <v>6.0699075547974157E-3</v>
      </c>
      <c r="J775" s="8">
        <f t="shared" si="50"/>
        <v>6.0515598743174281E-3</v>
      </c>
      <c r="K775" s="8">
        <f t="shared" si="47"/>
        <v>0.1091446697482219</v>
      </c>
    </row>
    <row r="776" spans="1:11" x14ac:dyDescent="0.25">
      <c r="A776" t="str">
        <f t="shared" si="48"/>
        <v>22020</v>
      </c>
      <c r="B776" s="1">
        <v>43880</v>
      </c>
      <c r="C776" t="s">
        <v>494</v>
      </c>
      <c r="D776">
        <v>16796.400000000001</v>
      </c>
      <c r="E776">
        <v>16882.45</v>
      </c>
      <c r="F776">
        <v>16754.25</v>
      </c>
      <c r="G776">
        <v>16772.5</v>
      </c>
      <c r="H776">
        <v>0</v>
      </c>
      <c r="I776" s="8">
        <f t="shared" si="49"/>
        <v>1.4180162698709253E-3</v>
      </c>
      <c r="J776" s="8">
        <f t="shared" si="50"/>
        <v>1.4170118342253875E-3</v>
      </c>
      <c r="K776" s="8">
        <f t="shared" si="47"/>
        <v>0.12400022784920406</v>
      </c>
    </row>
    <row r="777" spans="1:11" x14ac:dyDescent="0.25">
      <c r="A777" t="str">
        <f t="shared" si="48"/>
        <v>22020</v>
      </c>
      <c r="B777" s="1">
        <v>43881</v>
      </c>
      <c r="C777" t="s">
        <v>495</v>
      </c>
      <c r="D777">
        <v>16826.3</v>
      </c>
      <c r="E777">
        <v>16843.650000000001</v>
      </c>
      <c r="F777">
        <v>16623.900000000001</v>
      </c>
      <c r="G777">
        <v>16649.400000000001</v>
      </c>
      <c r="H777">
        <v>0</v>
      </c>
      <c r="I777" s="8">
        <f t="shared" si="49"/>
        <v>-7.3393948427484812E-3</v>
      </c>
      <c r="J777" s="8">
        <f t="shared" si="50"/>
        <v>-7.3664607138027452E-3</v>
      </c>
      <c r="K777" s="8">
        <f t="shared" si="47"/>
        <v>0.10832337581504659</v>
      </c>
    </row>
    <row r="778" spans="1:11" x14ac:dyDescent="0.25">
      <c r="A778" t="str">
        <f t="shared" si="48"/>
        <v>22020</v>
      </c>
      <c r="B778" s="1">
        <v>43885</v>
      </c>
      <c r="C778" t="s">
        <v>496</v>
      </c>
      <c r="D778">
        <v>16642.75</v>
      </c>
      <c r="E778">
        <v>16749.25</v>
      </c>
      <c r="F778">
        <v>16416.849999999999</v>
      </c>
      <c r="G778">
        <v>16461.8</v>
      </c>
      <c r="H778">
        <v>0</v>
      </c>
      <c r="I778" s="8">
        <f t="shared" si="49"/>
        <v>-1.1267673309548809E-2</v>
      </c>
      <c r="J778" s="8">
        <f t="shared" si="50"/>
        <v>-1.1331634456531892E-2</v>
      </c>
      <c r="K778" s="8">
        <f t="shared" si="47"/>
        <v>8.8613789363700013E-2</v>
      </c>
    </row>
    <row r="779" spans="1:11" x14ac:dyDescent="0.25">
      <c r="A779" t="str">
        <f t="shared" si="48"/>
        <v>22020</v>
      </c>
      <c r="B779" s="1">
        <v>43886</v>
      </c>
      <c r="C779" t="s">
        <v>497</v>
      </c>
      <c r="D779">
        <v>16490.400000000001</v>
      </c>
      <c r="E779">
        <v>16642.400000000001</v>
      </c>
      <c r="F779">
        <v>16443.25</v>
      </c>
      <c r="G779">
        <v>16562.5</v>
      </c>
      <c r="H779">
        <v>0</v>
      </c>
      <c r="I779" s="8">
        <f t="shared" si="49"/>
        <v>6.1171925305860686E-3</v>
      </c>
      <c r="J779" s="8">
        <f t="shared" si="50"/>
        <v>6.0985584618695994E-3</v>
      </c>
      <c r="K779" s="8">
        <f t="shared" si="47"/>
        <v>0.1043102269961762</v>
      </c>
    </row>
    <row r="780" spans="1:11" x14ac:dyDescent="0.25">
      <c r="A780" t="str">
        <f t="shared" si="48"/>
        <v>22020</v>
      </c>
      <c r="B780" s="1">
        <v>43887</v>
      </c>
      <c r="C780" t="s">
        <v>498</v>
      </c>
      <c r="D780">
        <v>16497.150000000001</v>
      </c>
      <c r="E780">
        <v>16539.25</v>
      </c>
      <c r="F780">
        <v>16297.25</v>
      </c>
      <c r="G780">
        <v>16332.25</v>
      </c>
      <c r="H780">
        <v>0</v>
      </c>
      <c r="I780" s="8">
        <f t="shared" si="49"/>
        <v>-1.3901886792452856E-2</v>
      </c>
      <c r="J780" s="8">
        <f t="shared" si="50"/>
        <v>-1.399942303423792E-2</v>
      </c>
      <c r="K780" s="8">
        <f t="shared" si="47"/>
        <v>0.10029271973348708</v>
      </c>
    </row>
    <row r="781" spans="1:11" x14ac:dyDescent="0.25">
      <c r="A781" t="str">
        <f t="shared" si="48"/>
        <v>22020</v>
      </c>
      <c r="B781" s="1">
        <v>43888</v>
      </c>
      <c r="C781" t="s">
        <v>499</v>
      </c>
      <c r="D781">
        <v>16244.95</v>
      </c>
      <c r="E781">
        <v>16258.65</v>
      </c>
      <c r="F781">
        <v>16053.7</v>
      </c>
      <c r="G781">
        <v>16123.8</v>
      </c>
      <c r="H781">
        <v>0</v>
      </c>
      <c r="I781" s="8">
        <f t="shared" si="49"/>
        <v>-1.2763091429533691E-2</v>
      </c>
      <c r="J781" s="8">
        <f t="shared" si="50"/>
        <v>-1.28452394042199E-2</v>
      </c>
      <c r="K781" s="8">
        <f t="shared" si="47"/>
        <v>8.0629324933398028E-2</v>
      </c>
    </row>
    <row r="782" spans="1:11" x14ac:dyDescent="0.25">
      <c r="A782" t="str">
        <f t="shared" si="48"/>
        <v>22020</v>
      </c>
      <c r="B782" s="1">
        <v>43889</v>
      </c>
      <c r="C782" t="s">
        <v>500</v>
      </c>
      <c r="D782">
        <v>15726.15</v>
      </c>
      <c r="E782">
        <v>15788.45</v>
      </c>
      <c r="F782">
        <v>15156.8</v>
      </c>
      <c r="G782">
        <v>15212.95</v>
      </c>
      <c r="H782">
        <v>0</v>
      </c>
      <c r="I782" s="8">
        <f t="shared" si="49"/>
        <v>-5.6491025688733321E-2</v>
      </c>
      <c r="J782" s="8">
        <f t="shared" si="50"/>
        <v>-5.8149402495115222E-2</v>
      </c>
      <c r="K782" s="8">
        <f t="shared" si="47"/>
        <v>2.4909144225921942E-3</v>
      </c>
    </row>
    <row r="783" spans="1:11" x14ac:dyDescent="0.25">
      <c r="A783" t="str">
        <f t="shared" si="48"/>
        <v>32020</v>
      </c>
      <c r="B783" s="1">
        <v>43892</v>
      </c>
      <c r="C783" s="10">
        <v>43864.645833333336</v>
      </c>
      <c r="D783">
        <v>15355.05</v>
      </c>
      <c r="E783">
        <v>15722</v>
      </c>
      <c r="F783">
        <v>15298</v>
      </c>
      <c r="G783">
        <v>15427.65</v>
      </c>
      <c r="H783">
        <v>0</v>
      </c>
      <c r="I783" s="8">
        <f t="shared" si="49"/>
        <v>1.411297611574347E-2</v>
      </c>
      <c r="J783" s="8">
        <f t="shared" si="50"/>
        <v>1.4014315250373277E-2</v>
      </c>
      <c r="K783" s="8">
        <f t="shared" si="47"/>
        <v>3.9141044411907799E-3</v>
      </c>
    </row>
    <row r="784" spans="1:11" x14ac:dyDescent="0.25">
      <c r="A784" t="str">
        <f t="shared" si="48"/>
        <v>32020</v>
      </c>
      <c r="B784" s="1">
        <v>43893</v>
      </c>
      <c r="C784" s="10">
        <v>43893.645833333336</v>
      </c>
      <c r="D784">
        <v>15615.05</v>
      </c>
      <c r="E784">
        <v>15793.1</v>
      </c>
      <c r="F784">
        <v>15495.7</v>
      </c>
      <c r="G784">
        <v>15723.2</v>
      </c>
      <c r="H784">
        <v>0</v>
      </c>
      <c r="I784" s="8">
        <f t="shared" si="49"/>
        <v>1.9157162626842084E-2</v>
      </c>
      <c r="J784" s="8">
        <f t="shared" si="50"/>
        <v>1.8975974562784135E-2</v>
      </c>
      <c r="K784" s="8">
        <f t="shared" si="47"/>
        <v>2.8359146086228471E-2</v>
      </c>
    </row>
    <row r="785" spans="1:11" x14ac:dyDescent="0.25">
      <c r="A785" t="str">
        <f t="shared" si="48"/>
        <v>32020</v>
      </c>
      <c r="B785" s="1">
        <v>43894</v>
      </c>
      <c r="C785" s="10">
        <v>43924.645833333336</v>
      </c>
      <c r="D785">
        <v>15824.9</v>
      </c>
      <c r="E785">
        <v>15919.95</v>
      </c>
      <c r="F785">
        <v>15612.75</v>
      </c>
      <c r="G785">
        <v>15864.3</v>
      </c>
      <c r="H785">
        <v>0</v>
      </c>
      <c r="I785" s="8">
        <f t="shared" si="49"/>
        <v>8.9740002035207933E-3</v>
      </c>
      <c r="J785" s="8">
        <f t="shared" si="50"/>
        <v>8.9339731539646184E-3</v>
      </c>
      <c r="K785" s="8">
        <f t="shared" si="47"/>
        <v>4.6654549173162474E-2</v>
      </c>
    </row>
    <row r="786" spans="1:11" x14ac:dyDescent="0.25">
      <c r="A786" t="str">
        <f t="shared" si="48"/>
        <v>32020</v>
      </c>
      <c r="B786" s="1">
        <v>43895</v>
      </c>
      <c r="C786" s="10">
        <v>43954.645833333336</v>
      </c>
      <c r="D786">
        <v>15912.05</v>
      </c>
      <c r="E786">
        <v>16150.6</v>
      </c>
      <c r="F786">
        <v>15841.1</v>
      </c>
      <c r="G786">
        <v>15871.35</v>
      </c>
      <c r="H786">
        <v>0</v>
      </c>
      <c r="I786" s="8">
        <f t="shared" si="49"/>
        <v>4.4439401675466783E-4</v>
      </c>
      <c r="J786" s="8">
        <f t="shared" si="50"/>
        <v>4.4429530297772926E-4</v>
      </c>
      <c r="K786" s="8">
        <f t="shared" si="47"/>
        <v>6.1873810344193148E-2</v>
      </c>
    </row>
    <row r="787" spans="1:11" x14ac:dyDescent="0.25">
      <c r="A787" t="str">
        <f t="shared" si="48"/>
        <v>32020</v>
      </c>
      <c r="B787" s="1">
        <v>43896</v>
      </c>
      <c r="C787" s="10">
        <v>43985.645833333336</v>
      </c>
      <c r="D787">
        <v>15607.35</v>
      </c>
      <c r="E787">
        <v>15699.95</v>
      </c>
      <c r="F787">
        <v>15443</v>
      </c>
      <c r="G787">
        <v>15663.5</v>
      </c>
      <c r="H787">
        <v>0</v>
      </c>
      <c r="I787" s="8">
        <f t="shared" si="49"/>
        <v>-1.309592441726759E-2</v>
      </c>
      <c r="J787" s="8">
        <f t="shared" si="50"/>
        <v>-1.3182432131141812E-2</v>
      </c>
      <c r="K787" s="8">
        <f t="shared" si="47"/>
        <v>3.5240543809442082E-2</v>
      </c>
    </row>
    <row r="788" spans="1:11" x14ac:dyDescent="0.25">
      <c r="A788" t="str">
        <f t="shared" si="48"/>
        <v>32020</v>
      </c>
      <c r="B788" s="1">
        <v>43899</v>
      </c>
      <c r="C788" s="10">
        <v>44077.645833333336</v>
      </c>
      <c r="D788">
        <v>15333.55</v>
      </c>
      <c r="E788">
        <v>15371</v>
      </c>
      <c r="F788">
        <v>14705.4</v>
      </c>
      <c r="G788">
        <v>14854.9</v>
      </c>
      <c r="H788">
        <v>0</v>
      </c>
      <c r="I788" s="8">
        <f t="shared" si="49"/>
        <v>-5.1623200434130379E-2</v>
      </c>
      <c r="J788" s="8">
        <f t="shared" si="50"/>
        <v>-5.3003387800068157E-2</v>
      </c>
      <c r="K788" s="8">
        <f t="shared" si="47"/>
        <v>-7.8643393120122473E-3</v>
      </c>
    </row>
    <row r="789" spans="1:11" x14ac:dyDescent="0.25">
      <c r="A789" t="str">
        <f t="shared" si="48"/>
        <v>32020</v>
      </c>
      <c r="B789" s="1">
        <v>43901</v>
      </c>
      <c r="C789" s="10">
        <v>44138.645833333336</v>
      </c>
      <c r="D789">
        <v>14524.15</v>
      </c>
      <c r="E789">
        <v>14823.8</v>
      </c>
      <c r="F789">
        <v>14356.1</v>
      </c>
      <c r="G789">
        <v>14681.4</v>
      </c>
      <c r="H789">
        <v>0</v>
      </c>
      <c r="I789" s="8">
        <f t="shared" si="49"/>
        <v>-1.1679647792984138E-2</v>
      </c>
      <c r="J789" s="8">
        <f t="shared" si="50"/>
        <v>-1.1748390665200965E-2</v>
      </c>
      <c r="K789" s="8">
        <f t="shared" si="47"/>
        <v>-3.4153369450447446E-2</v>
      </c>
    </row>
    <row r="790" spans="1:11" x14ac:dyDescent="0.25">
      <c r="A790" t="str">
        <f t="shared" si="48"/>
        <v>32020</v>
      </c>
      <c r="B790" s="1">
        <v>43902</v>
      </c>
      <c r="C790" s="10">
        <v>44168.645833333336</v>
      </c>
      <c r="D790">
        <v>14177.4</v>
      </c>
      <c r="E790">
        <v>14231.95</v>
      </c>
      <c r="F790">
        <v>13317.65</v>
      </c>
      <c r="G790">
        <v>13384.85</v>
      </c>
      <c r="H790">
        <v>0</v>
      </c>
      <c r="I790" s="8">
        <f t="shared" si="49"/>
        <v>-8.8312422521012901E-2</v>
      </c>
      <c r="J790" s="8">
        <f t="shared" si="50"/>
        <v>-9.2457916151558836E-2</v>
      </c>
      <c r="K790" s="8">
        <f t="shared" si="47"/>
        <v>-0.12795178760485382</v>
      </c>
    </row>
    <row r="791" spans="1:11" x14ac:dyDescent="0.25">
      <c r="A791" t="str">
        <f t="shared" si="48"/>
        <v>32020</v>
      </c>
      <c r="B791" s="1">
        <v>43903</v>
      </c>
      <c r="C791" t="s">
        <v>501</v>
      </c>
      <c r="D791">
        <v>12561.95</v>
      </c>
      <c r="E791">
        <v>13835.35</v>
      </c>
      <c r="F791">
        <v>11624.85</v>
      </c>
      <c r="G791">
        <v>13539.1</v>
      </c>
      <c r="H791">
        <v>0</v>
      </c>
      <c r="I791" s="8">
        <f t="shared" si="49"/>
        <v>1.1524223282292967E-2</v>
      </c>
      <c r="J791" s="8">
        <f t="shared" si="50"/>
        <v>1.145832522057111E-2</v>
      </c>
      <c r="K791" s="8">
        <f t="shared" si="47"/>
        <v>-0.13417086873247364</v>
      </c>
    </row>
    <row r="792" spans="1:11" x14ac:dyDescent="0.25">
      <c r="A792" t="str">
        <f t="shared" si="48"/>
        <v>32020</v>
      </c>
      <c r="B792" s="1">
        <v>43906</v>
      </c>
      <c r="C792" t="s">
        <v>502</v>
      </c>
      <c r="D792">
        <v>12963.7</v>
      </c>
      <c r="E792">
        <v>13078.65</v>
      </c>
      <c r="F792">
        <v>12355.15</v>
      </c>
      <c r="G792">
        <v>12451.35</v>
      </c>
      <c r="H792">
        <v>0</v>
      </c>
      <c r="I792" s="8">
        <f t="shared" si="49"/>
        <v>-8.034138162802551E-2</v>
      </c>
      <c r="J792" s="8">
        <f t="shared" si="50"/>
        <v>-8.3752744788425287E-2</v>
      </c>
      <c r="K792" s="8">
        <f t="shared" si="47"/>
        <v>-0.20745799823686473</v>
      </c>
    </row>
    <row r="793" spans="1:11" x14ac:dyDescent="0.25">
      <c r="A793" t="str">
        <f t="shared" si="48"/>
        <v>32020</v>
      </c>
      <c r="B793" s="1">
        <v>43907</v>
      </c>
      <c r="C793" t="s">
        <v>503</v>
      </c>
      <c r="D793">
        <v>12517.5</v>
      </c>
      <c r="E793">
        <v>12677.2</v>
      </c>
      <c r="F793">
        <v>11999.55</v>
      </c>
      <c r="G793">
        <v>12099.25</v>
      </c>
      <c r="H793">
        <v>0</v>
      </c>
      <c r="I793" s="8">
        <f t="shared" si="49"/>
        <v>-2.827805820252427E-2</v>
      </c>
      <c r="J793" s="8">
        <f t="shared" si="50"/>
        <v>-2.8685583556577642E-2</v>
      </c>
      <c r="K793" s="8">
        <f t="shared" si="47"/>
        <v>-0.23485181449381676</v>
      </c>
    </row>
    <row r="794" spans="1:11" x14ac:dyDescent="0.25">
      <c r="A794" t="str">
        <f t="shared" si="48"/>
        <v>32020</v>
      </c>
      <c r="B794" s="1">
        <v>43908</v>
      </c>
      <c r="C794" t="s">
        <v>504</v>
      </c>
      <c r="D794">
        <v>12287.8</v>
      </c>
      <c r="E794">
        <v>12451.1</v>
      </c>
      <c r="F794">
        <v>11643.9</v>
      </c>
      <c r="G794">
        <v>11753</v>
      </c>
      <c r="H794">
        <v>0</v>
      </c>
      <c r="I794" s="8">
        <f t="shared" si="49"/>
        <v>-2.8617476289852672E-2</v>
      </c>
      <c r="J794" s="8">
        <f t="shared" si="50"/>
        <v>-2.9034940059849221E-2</v>
      </c>
      <c r="K794" s="8">
        <f t="shared" si="47"/>
        <v>-0.25823074811212687</v>
      </c>
    </row>
    <row r="795" spans="1:11" x14ac:dyDescent="0.25">
      <c r="A795" t="str">
        <f t="shared" si="48"/>
        <v>32020</v>
      </c>
      <c r="B795" s="1">
        <v>43909</v>
      </c>
      <c r="C795" t="s">
        <v>505</v>
      </c>
      <c r="D795">
        <v>11183.95</v>
      </c>
      <c r="E795">
        <v>11698.3</v>
      </c>
      <c r="F795">
        <v>10991.25</v>
      </c>
      <c r="G795">
        <v>11340</v>
      </c>
      <c r="H795">
        <v>0</v>
      </c>
      <c r="I795" s="8">
        <f t="shared" si="49"/>
        <v>-3.5139964264443102E-2</v>
      </c>
      <c r="J795" s="8">
        <f t="shared" si="50"/>
        <v>-3.5772228851111039E-2</v>
      </c>
      <c r="K795" s="8">
        <f t="shared" si="47"/>
        <v>-0.28524156187954997</v>
      </c>
    </row>
    <row r="796" spans="1:11" x14ac:dyDescent="0.25">
      <c r="A796" t="str">
        <f t="shared" si="48"/>
        <v>32020</v>
      </c>
      <c r="B796" s="1">
        <v>43910</v>
      </c>
      <c r="C796" t="s">
        <v>506</v>
      </c>
      <c r="D796">
        <v>11382.4</v>
      </c>
      <c r="E796">
        <v>12710.55</v>
      </c>
      <c r="F796">
        <v>11363.5</v>
      </c>
      <c r="G796">
        <v>12363.45</v>
      </c>
      <c r="H796">
        <v>0</v>
      </c>
      <c r="I796" s="8">
        <f t="shared" si="49"/>
        <v>9.025132275132286E-2</v>
      </c>
      <c r="J796" s="8">
        <f t="shared" si="50"/>
        <v>8.6408240995057006E-2</v>
      </c>
      <c r="K796" s="8">
        <f t="shared" si="47"/>
        <v>-0.21642202532608279</v>
      </c>
    </row>
    <row r="797" spans="1:11" x14ac:dyDescent="0.25">
      <c r="A797" t="str">
        <f t="shared" si="48"/>
        <v>32020</v>
      </c>
      <c r="B797" s="1">
        <v>43913</v>
      </c>
      <c r="C797" t="s">
        <v>507</v>
      </c>
      <c r="D797">
        <v>11328.25</v>
      </c>
      <c r="E797">
        <v>11602.45</v>
      </c>
      <c r="F797">
        <v>11108.65</v>
      </c>
      <c r="G797">
        <v>11179.6</v>
      </c>
      <c r="H797">
        <v>0</v>
      </c>
      <c r="I797" s="8">
        <f t="shared" si="49"/>
        <v>-9.5754016880401527E-2</v>
      </c>
      <c r="J797" s="8">
        <f t="shared" si="50"/>
        <v>-0.10065385038307707</v>
      </c>
      <c r="K797" s="8">
        <f t="shared" si="47"/>
        <v>-0.288215987699321</v>
      </c>
    </row>
    <row r="798" spans="1:11" x14ac:dyDescent="0.25">
      <c r="A798" t="str">
        <f t="shared" si="48"/>
        <v>32020</v>
      </c>
      <c r="B798" s="1">
        <v>43914</v>
      </c>
      <c r="C798" t="s">
        <v>508</v>
      </c>
      <c r="D798">
        <v>11159.75</v>
      </c>
      <c r="E798">
        <v>12053.8</v>
      </c>
      <c r="F798">
        <v>11159.3</v>
      </c>
      <c r="G798">
        <v>11865.05</v>
      </c>
      <c r="H798">
        <v>0</v>
      </c>
      <c r="I798" s="8">
        <f t="shared" si="49"/>
        <v>6.1312569322694799E-2</v>
      </c>
      <c r="J798" s="8">
        <f t="shared" si="50"/>
        <v>5.9506415042272269E-2</v>
      </c>
      <c r="K798" s="8">
        <f t="shared" si="47"/>
        <v>-0.24812904370528566</v>
      </c>
    </row>
    <row r="799" spans="1:11" x14ac:dyDescent="0.25">
      <c r="A799" t="str">
        <f t="shared" si="48"/>
        <v>32020</v>
      </c>
      <c r="B799" s="1">
        <v>43915</v>
      </c>
      <c r="C799" t="s">
        <v>509</v>
      </c>
      <c r="D799">
        <v>11856.9</v>
      </c>
      <c r="E799">
        <v>12514.25</v>
      </c>
      <c r="F799">
        <v>11657.25</v>
      </c>
      <c r="G799">
        <v>12233.35</v>
      </c>
      <c r="H799">
        <v>0</v>
      </c>
      <c r="I799" s="8">
        <f t="shared" si="49"/>
        <v>3.1040745719571383E-2</v>
      </c>
      <c r="J799" s="8">
        <f t="shared" si="50"/>
        <v>3.0568724835448799E-2</v>
      </c>
      <c r="K799" s="8">
        <f t="shared" si="47"/>
        <v>-0.22451030110935022</v>
      </c>
    </row>
    <row r="800" spans="1:11" x14ac:dyDescent="0.25">
      <c r="A800" t="str">
        <f t="shared" si="48"/>
        <v>32020</v>
      </c>
      <c r="B800" s="1">
        <v>43916</v>
      </c>
      <c r="C800" t="s">
        <v>510</v>
      </c>
      <c r="D800">
        <v>12496.95</v>
      </c>
      <c r="E800">
        <v>12751.55</v>
      </c>
      <c r="F800">
        <v>12306.35</v>
      </c>
      <c r="G800">
        <v>12535.6</v>
      </c>
      <c r="H800">
        <v>0</v>
      </c>
      <c r="I800" s="8">
        <f t="shared" si="49"/>
        <v>2.4707050807832642E-2</v>
      </c>
      <c r="J800" s="8">
        <f t="shared" si="50"/>
        <v>2.440676765067968E-2</v>
      </c>
      <c r="K800" s="8">
        <f t="shared" si="47"/>
        <v>-0.19912601262426211</v>
      </c>
    </row>
    <row r="801" spans="1:11" x14ac:dyDescent="0.25">
      <c r="A801" t="str">
        <f t="shared" si="48"/>
        <v>32020</v>
      </c>
      <c r="B801" s="1">
        <v>43917</v>
      </c>
      <c r="C801" t="s">
        <v>511</v>
      </c>
      <c r="D801">
        <v>12778.15</v>
      </c>
      <c r="E801">
        <v>12949.6</v>
      </c>
      <c r="F801">
        <v>12403.85</v>
      </c>
      <c r="G801">
        <v>12569.1</v>
      </c>
      <c r="H801">
        <v>0</v>
      </c>
      <c r="I801" s="8">
        <f t="shared" si="49"/>
        <v>2.6723890360254021E-3</v>
      </c>
      <c r="J801" s="8">
        <f t="shared" si="50"/>
        <v>2.6688245534892715E-3</v>
      </c>
      <c r="K801" s="8">
        <f t="shared" si="47"/>
        <v>-0.20054827106979645</v>
      </c>
    </row>
    <row r="802" spans="1:11" x14ac:dyDescent="0.25">
      <c r="A802" t="str">
        <f t="shared" si="48"/>
        <v>32020</v>
      </c>
      <c r="B802" s="1">
        <v>43920</v>
      </c>
      <c r="C802" t="s">
        <v>512</v>
      </c>
      <c r="D802">
        <v>12152.95</v>
      </c>
      <c r="E802">
        <v>12774.6</v>
      </c>
      <c r="F802">
        <v>12152.95</v>
      </c>
      <c r="G802">
        <v>12318.8</v>
      </c>
      <c r="H802">
        <v>0</v>
      </c>
      <c r="I802" s="8">
        <f t="shared" si="49"/>
        <v>-1.99139158730538E-2</v>
      </c>
      <c r="J802" s="8">
        <f t="shared" si="50"/>
        <v>-2.0114870229445952E-2</v>
      </c>
      <c r="K802" s="8">
        <f t="shared" si="47"/>
        <v>-0.21584503792255083</v>
      </c>
    </row>
    <row r="803" spans="1:11" x14ac:dyDescent="0.25">
      <c r="A803" t="str">
        <f t="shared" si="48"/>
        <v>32020</v>
      </c>
      <c r="B803" s="1">
        <v>43921</v>
      </c>
      <c r="C803" t="s">
        <v>513</v>
      </c>
      <c r="D803">
        <v>12681.75</v>
      </c>
      <c r="E803">
        <v>12930.8</v>
      </c>
      <c r="F803">
        <v>12466.6</v>
      </c>
      <c r="G803">
        <v>12763.65</v>
      </c>
      <c r="H803">
        <v>0</v>
      </c>
      <c r="I803" s="8">
        <f t="shared" si="49"/>
        <v>3.6111471896613345E-2</v>
      </c>
      <c r="J803" s="8">
        <f t="shared" si="50"/>
        <v>3.5474736404807819E-2</v>
      </c>
      <c r="K803" s="8">
        <f t="shared" si="47"/>
        <v>-0.19909830202176126</v>
      </c>
    </row>
    <row r="804" spans="1:11" x14ac:dyDescent="0.25">
      <c r="A804" t="str">
        <f t="shared" si="48"/>
        <v>42020</v>
      </c>
      <c r="B804" s="1">
        <v>43922</v>
      </c>
      <c r="C804" s="10">
        <v>43834.645833333336</v>
      </c>
      <c r="D804">
        <v>12680.5</v>
      </c>
      <c r="E804">
        <v>12690.6</v>
      </c>
      <c r="F804">
        <v>11989.6</v>
      </c>
      <c r="G804">
        <v>12045.85</v>
      </c>
      <c r="H804">
        <v>0</v>
      </c>
      <c r="I804" s="8">
        <f t="shared" si="49"/>
        <v>-5.6237831654738168E-2</v>
      </c>
      <c r="J804" s="8">
        <f t="shared" si="50"/>
        <v>-5.7881084891151013E-2</v>
      </c>
      <c r="K804" s="8">
        <f t="shared" si="47"/>
        <v>-0.24143566039874553</v>
      </c>
    </row>
    <row r="805" spans="1:11" x14ac:dyDescent="0.25">
      <c r="A805" t="str">
        <f t="shared" si="48"/>
        <v>42020</v>
      </c>
      <c r="B805" s="1">
        <v>43924</v>
      </c>
      <c r="C805" s="10">
        <v>43894.645833333336</v>
      </c>
      <c r="D805">
        <v>12129.85</v>
      </c>
      <c r="E805">
        <v>12146.95</v>
      </c>
      <c r="F805">
        <v>11621.2</v>
      </c>
      <c r="G805">
        <v>11680.05</v>
      </c>
      <c r="H805">
        <v>0</v>
      </c>
      <c r="I805" s="8">
        <f t="shared" si="49"/>
        <v>-3.0367304922442218E-2</v>
      </c>
      <c r="J805" s="8">
        <f t="shared" si="50"/>
        <v>-3.0837944064850686E-2</v>
      </c>
      <c r="K805" s="8">
        <f t="shared" si="47"/>
        <v>-0.26518382908047722</v>
      </c>
    </row>
    <row r="806" spans="1:11" x14ac:dyDescent="0.25">
      <c r="A806" t="str">
        <f t="shared" si="48"/>
        <v>42020</v>
      </c>
      <c r="B806" s="1">
        <v>43928</v>
      </c>
      <c r="C806" s="10">
        <v>44016.645833333336</v>
      </c>
      <c r="D806">
        <v>12147</v>
      </c>
      <c r="E806">
        <v>12647.4</v>
      </c>
      <c r="F806">
        <v>12132.3</v>
      </c>
      <c r="G806">
        <v>12588.95</v>
      </c>
      <c r="H806">
        <v>0</v>
      </c>
      <c r="I806" s="8">
        <f t="shared" si="49"/>
        <v>7.7816447703562996E-2</v>
      </c>
      <c r="J806" s="8">
        <f t="shared" si="50"/>
        <v>7.4937186842054845E-2</v>
      </c>
      <c r="K806" s="8">
        <f t="shared" si="47"/>
        <v>-0.21089482212311439</v>
      </c>
    </row>
    <row r="807" spans="1:11" x14ac:dyDescent="0.25">
      <c r="A807" t="str">
        <f t="shared" si="48"/>
        <v>42020</v>
      </c>
      <c r="B807" s="1">
        <v>43929</v>
      </c>
      <c r="C807" s="10">
        <v>44047.645833333336</v>
      </c>
      <c r="D807">
        <v>12468.6</v>
      </c>
      <c r="E807">
        <v>12897.5</v>
      </c>
      <c r="F807">
        <v>12437.75</v>
      </c>
      <c r="G807">
        <v>12491.55</v>
      </c>
      <c r="H807">
        <v>0</v>
      </c>
      <c r="I807" s="8">
        <f t="shared" si="49"/>
        <v>-7.7369439071567347E-3</v>
      </c>
      <c r="J807" s="8">
        <f t="shared" si="50"/>
        <v>-7.7670293376596589E-3</v>
      </c>
      <c r="K807" s="8">
        <f t="shared" si="47"/>
        <v>-0.21560864418859482</v>
      </c>
    </row>
    <row r="808" spans="1:11" x14ac:dyDescent="0.25">
      <c r="A808" t="str">
        <f t="shared" si="48"/>
        <v>42020</v>
      </c>
      <c r="B808" s="1">
        <v>43930</v>
      </c>
      <c r="C808" s="10">
        <v>44078.645833333336</v>
      </c>
      <c r="D808">
        <v>12810.8</v>
      </c>
      <c r="E808">
        <v>12867.35</v>
      </c>
      <c r="F808">
        <v>12648.8</v>
      </c>
      <c r="G808">
        <v>12728.55</v>
      </c>
      <c r="H808">
        <v>0</v>
      </c>
      <c r="I808" s="8">
        <f t="shared" si="49"/>
        <v>1.8972825630126033E-2</v>
      </c>
      <c r="J808" s="8">
        <f t="shared" si="50"/>
        <v>1.8795086201118517E-2</v>
      </c>
      <c r="K808" s="8">
        <f t="shared" si="47"/>
        <v>-0.20246680743613688</v>
      </c>
    </row>
    <row r="809" spans="1:11" x14ac:dyDescent="0.25">
      <c r="A809" t="str">
        <f t="shared" si="48"/>
        <v>42020</v>
      </c>
      <c r="B809" s="1">
        <v>43934</v>
      </c>
      <c r="C809" t="s">
        <v>514</v>
      </c>
      <c r="D809">
        <v>12698.85</v>
      </c>
      <c r="E809">
        <v>12795.7</v>
      </c>
      <c r="F809">
        <v>12527.15</v>
      </c>
      <c r="G809">
        <v>12603.1</v>
      </c>
      <c r="H809">
        <v>0</v>
      </c>
      <c r="I809" s="8">
        <f t="shared" si="49"/>
        <v>-9.8557966146968212E-3</v>
      </c>
      <c r="J809" s="8">
        <f t="shared" si="50"/>
        <v>-9.9046864757323175E-3</v>
      </c>
      <c r="K809" s="8">
        <f t="shared" si="47"/>
        <v>-0.22327266900449283</v>
      </c>
    </row>
    <row r="810" spans="1:11" x14ac:dyDescent="0.25">
      <c r="A810" t="str">
        <f t="shared" si="48"/>
        <v>42020</v>
      </c>
      <c r="B810" s="1">
        <v>43936</v>
      </c>
      <c r="C810" t="s">
        <v>515</v>
      </c>
      <c r="D810">
        <v>12792.45</v>
      </c>
      <c r="E810">
        <v>12951.4</v>
      </c>
      <c r="F810">
        <v>12661</v>
      </c>
      <c r="G810">
        <v>12702.6</v>
      </c>
      <c r="H810">
        <v>0</v>
      </c>
      <c r="I810" s="8">
        <f t="shared" si="49"/>
        <v>7.8948830049749841E-3</v>
      </c>
      <c r="J810" s="8">
        <f t="shared" si="50"/>
        <v>7.863881478194867E-3</v>
      </c>
      <c r="K810" s="8">
        <f t="shared" si="47"/>
        <v>-0.22366897175527967</v>
      </c>
    </row>
    <row r="811" spans="1:11" x14ac:dyDescent="0.25">
      <c r="A811" t="str">
        <f t="shared" si="48"/>
        <v>42020</v>
      </c>
      <c r="B811" s="1">
        <v>43937</v>
      </c>
      <c r="C811" t="s">
        <v>516</v>
      </c>
      <c r="D811">
        <v>12430.3</v>
      </c>
      <c r="E811">
        <v>12605.4</v>
      </c>
      <c r="F811">
        <v>12205.9</v>
      </c>
      <c r="G811">
        <v>12463.6</v>
      </c>
      <c r="H811">
        <v>0</v>
      </c>
      <c r="I811" s="8">
        <f t="shared" si="49"/>
        <v>-1.8815045738667657E-2</v>
      </c>
      <c r="J811" s="8">
        <f t="shared" si="50"/>
        <v>-1.8994300733580077E-2</v>
      </c>
      <c r="K811" s="8">
        <f t="shared" si="47"/>
        <v>-0.23755341243114114</v>
      </c>
    </row>
    <row r="812" spans="1:11" x14ac:dyDescent="0.25">
      <c r="A812" t="str">
        <f t="shared" si="48"/>
        <v>42020</v>
      </c>
      <c r="B812" s="1">
        <v>43938</v>
      </c>
      <c r="C812" t="s">
        <v>517</v>
      </c>
      <c r="D812">
        <v>12878.35</v>
      </c>
      <c r="E812">
        <v>12992.05</v>
      </c>
      <c r="F812">
        <v>12596.65</v>
      </c>
      <c r="G812">
        <v>12649.25</v>
      </c>
      <c r="H812">
        <v>0</v>
      </c>
      <c r="I812" s="8">
        <f t="shared" si="49"/>
        <v>1.4895375332969474E-2</v>
      </c>
      <c r="J812" s="8">
        <f t="shared" si="50"/>
        <v>1.4785528691112786E-2</v>
      </c>
      <c r="K812" s="8">
        <f t="shared" si="47"/>
        <v>-0.22784029691758767</v>
      </c>
    </row>
    <row r="813" spans="1:11" x14ac:dyDescent="0.25">
      <c r="A813" t="str">
        <f t="shared" si="48"/>
        <v>42020</v>
      </c>
      <c r="B813" s="1">
        <v>43941</v>
      </c>
      <c r="C813" t="s">
        <v>518</v>
      </c>
      <c r="D813">
        <v>12812.6</v>
      </c>
      <c r="E813">
        <v>12937.95</v>
      </c>
      <c r="F813">
        <v>12742.55</v>
      </c>
      <c r="G813">
        <v>12847.65</v>
      </c>
      <c r="H813">
        <v>0</v>
      </c>
      <c r="I813" s="8">
        <f t="shared" si="49"/>
        <v>1.5684724390774063E-2</v>
      </c>
      <c r="J813" s="8">
        <f t="shared" si="50"/>
        <v>1.556299036097937E-2</v>
      </c>
      <c r="K813" s="8">
        <f t="shared" si="47"/>
        <v>-0.21452808040790883</v>
      </c>
    </row>
    <row r="814" spans="1:11" x14ac:dyDescent="0.25">
      <c r="A814" t="str">
        <f t="shared" si="48"/>
        <v>42020</v>
      </c>
      <c r="B814" s="1">
        <v>43942</v>
      </c>
      <c r="C814" t="s">
        <v>519</v>
      </c>
      <c r="D814">
        <v>12513.65</v>
      </c>
      <c r="E814">
        <v>12632.5</v>
      </c>
      <c r="F814">
        <v>12375.8</v>
      </c>
      <c r="G814">
        <v>12408.85</v>
      </c>
      <c r="H814">
        <v>0</v>
      </c>
      <c r="I814" s="8">
        <f t="shared" si="49"/>
        <v>-3.4154106003821627E-2</v>
      </c>
      <c r="J814" s="8">
        <f t="shared" si="50"/>
        <v>-3.4750987520547005E-2</v>
      </c>
      <c r="K814" s="8">
        <f t="shared" si="47"/>
        <v>-0.23435952650527692</v>
      </c>
    </row>
    <row r="815" spans="1:11" x14ac:dyDescent="0.25">
      <c r="A815" t="str">
        <f t="shared" si="48"/>
        <v>42020</v>
      </c>
      <c r="B815" s="1">
        <v>43943</v>
      </c>
      <c r="C815" t="s">
        <v>520</v>
      </c>
      <c r="D815">
        <v>12393.9</v>
      </c>
      <c r="E815">
        <v>12619.45</v>
      </c>
      <c r="F815">
        <v>12322.95</v>
      </c>
      <c r="G815">
        <v>12571.3</v>
      </c>
      <c r="H815">
        <v>0</v>
      </c>
      <c r="I815" s="8">
        <f t="shared" si="49"/>
        <v>1.309146294781538E-2</v>
      </c>
      <c r="J815" s="8">
        <f t="shared" si="50"/>
        <v>1.3006510379089507E-2</v>
      </c>
      <c r="K815" s="8">
        <f t="shared" si="47"/>
        <v>-0.22280404569958956</v>
      </c>
    </row>
    <row r="816" spans="1:11" x14ac:dyDescent="0.25">
      <c r="A816" t="str">
        <f t="shared" si="48"/>
        <v>42020</v>
      </c>
      <c r="B816" s="1">
        <v>43944</v>
      </c>
      <c r="C816" t="s">
        <v>521</v>
      </c>
      <c r="D816">
        <v>12639.8</v>
      </c>
      <c r="E816">
        <v>13199.75</v>
      </c>
      <c r="F816">
        <v>12596.6</v>
      </c>
      <c r="G816">
        <v>13128.2</v>
      </c>
      <c r="H816">
        <v>0</v>
      </c>
      <c r="I816" s="8">
        <f t="shared" si="49"/>
        <v>4.4299316697557156E-2</v>
      </c>
      <c r="J816" s="8">
        <f t="shared" si="50"/>
        <v>4.3346150186918099E-2</v>
      </c>
      <c r="K816" s="8">
        <f t="shared" si="47"/>
        <v>-0.19629252106730821</v>
      </c>
    </row>
    <row r="817" spans="1:11" x14ac:dyDescent="0.25">
      <c r="A817" t="str">
        <f t="shared" si="48"/>
        <v>42020</v>
      </c>
      <c r="B817" s="1">
        <v>43945</v>
      </c>
      <c r="C817" t="s">
        <v>522</v>
      </c>
      <c r="D817">
        <v>13001.9</v>
      </c>
      <c r="E817">
        <v>13101.4</v>
      </c>
      <c r="F817">
        <v>12792.9</v>
      </c>
      <c r="G817">
        <v>12816.2</v>
      </c>
      <c r="H817">
        <v>0</v>
      </c>
      <c r="I817" s="8">
        <f t="shared" si="49"/>
        <v>-2.3765634283450909E-2</v>
      </c>
      <c r="J817" s="8">
        <f t="shared" si="50"/>
        <v>-2.4052592587412533E-2</v>
      </c>
      <c r="K817" s="8">
        <f t="shared" si="47"/>
        <v>-0.22205361045015304</v>
      </c>
    </row>
    <row r="818" spans="1:11" x14ac:dyDescent="0.25">
      <c r="A818" t="str">
        <f t="shared" si="48"/>
        <v>42020</v>
      </c>
      <c r="B818" s="1">
        <v>43948</v>
      </c>
      <c r="C818" t="s">
        <v>523</v>
      </c>
      <c r="D818">
        <v>12957.35</v>
      </c>
      <c r="E818">
        <v>13248.95</v>
      </c>
      <c r="F818">
        <v>12928.05</v>
      </c>
      <c r="G818">
        <v>13121.15</v>
      </c>
      <c r="H818">
        <v>0</v>
      </c>
      <c r="I818" s="8">
        <f t="shared" si="49"/>
        <v>2.3794104336698707E-2</v>
      </c>
      <c r="J818" s="8">
        <f t="shared" si="50"/>
        <v>2.3515436416344099E-2</v>
      </c>
      <c r="K818" s="8">
        <f t="shared" si="47"/>
        <v>-0.20346329544247321</v>
      </c>
    </row>
    <row r="819" spans="1:11" x14ac:dyDescent="0.25">
      <c r="A819" t="str">
        <f t="shared" si="48"/>
        <v>42020</v>
      </c>
      <c r="B819" s="1">
        <v>43949</v>
      </c>
      <c r="C819" t="s">
        <v>524</v>
      </c>
      <c r="D819">
        <v>13301.95</v>
      </c>
      <c r="E819">
        <v>13317.2</v>
      </c>
      <c r="F819">
        <v>13067.75</v>
      </c>
      <c r="G819">
        <v>13133.65</v>
      </c>
      <c r="H819">
        <v>0</v>
      </c>
      <c r="I819" s="8">
        <f t="shared" si="49"/>
        <v>9.5266039943142644E-4</v>
      </c>
      <c r="J819" s="8">
        <f t="shared" si="50"/>
        <v>9.5220690650675099E-4</v>
      </c>
      <c r="K819" s="8">
        <f t="shared" si="47"/>
        <v>-0.19885259751548623</v>
      </c>
    </row>
    <row r="820" spans="1:11" x14ac:dyDescent="0.25">
      <c r="A820" t="str">
        <f t="shared" si="48"/>
        <v>42020</v>
      </c>
      <c r="B820" s="1">
        <v>43950</v>
      </c>
      <c r="C820" t="s">
        <v>525</v>
      </c>
      <c r="D820">
        <v>13250.6</v>
      </c>
      <c r="E820">
        <v>13470.8</v>
      </c>
      <c r="F820">
        <v>13144.8</v>
      </c>
      <c r="G820">
        <v>13424.95</v>
      </c>
      <c r="H820">
        <v>0</v>
      </c>
      <c r="I820" s="8">
        <f t="shared" si="49"/>
        <v>2.2179668256729901E-2</v>
      </c>
      <c r="J820" s="8">
        <f t="shared" si="50"/>
        <v>2.1937276972983432E-2</v>
      </c>
      <c r="K820" s="8">
        <f t="shared" si="47"/>
        <v>-0.18288774935711127</v>
      </c>
    </row>
    <row r="821" spans="1:11" x14ac:dyDescent="0.25">
      <c r="A821" t="str">
        <f t="shared" si="48"/>
        <v>42020</v>
      </c>
      <c r="B821" s="1">
        <v>43951</v>
      </c>
      <c r="C821" t="s">
        <v>526</v>
      </c>
      <c r="D821">
        <v>13841.6</v>
      </c>
      <c r="E821">
        <v>14212.1</v>
      </c>
      <c r="F821">
        <v>13750.25</v>
      </c>
      <c r="G821">
        <v>14108.4</v>
      </c>
      <c r="H821">
        <v>0</v>
      </c>
      <c r="I821" s="8">
        <f t="shared" si="49"/>
        <v>5.0908941932744645E-2</v>
      </c>
      <c r="J821" s="8">
        <f t="shared" si="50"/>
        <v>4.9655448686351779E-2</v>
      </c>
      <c r="K821" s="8">
        <f t="shared" si="47"/>
        <v>-0.14387140230470952</v>
      </c>
    </row>
    <row r="822" spans="1:11" x14ac:dyDescent="0.25">
      <c r="A822" t="str">
        <f t="shared" si="48"/>
        <v>52020</v>
      </c>
      <c r="B822" s="1">
        <v>43955</v>
      </c>
      <c r="C822" s="10">
        <v>43926.645833333336</v>
      </c>
      <c r="D822">
        <v>13646.1</v>
      </c>
      <c r="E822">
        <v>13700.25</v>
      </c>
      <c r="F822">
        <v>13424.35</v>
      </c>
      <c r="G822">
        <v>13454.25</v>
      </c>
      <c r="H822">
        <v>0</v>
      </c>
      <c r="I822" s="8">
        <f t="shared" si="49"/>
        <v>-4.63659947265459E-2</v>
      </c>
      <c r="J822" s="8">
        <f t="shared" si="50"/>
        <v>-4.7475323414386136E-2</v>
      </c>
      <c r="K822" s="8">
        <f t="shared" si="47"/>
        <v>-0.17599630081026951</v>
      </c>
    </row>
    <row r="823" spans="1:11" x14ac:dyDescent="0.25">
      <c r="A823" t="str">
        <f t="shared" si="48"/>
        <v>52020</v>
      </c>
      <c r="B823" s="1">
        <v>43956</v>
      </c>
      <c r="C823" s="10">
        <v>43956.645833333336</v>
      </c>
      <c r="D823">
        <v>13637.8</v>
      </c>
      <c r="E823">
        <v>13667.85</v>
      </c>
      <c r="F823">
        <v>13351.45</v>
      </c>
      <c r="G823">
        <v>13388.05</v>
      </c>
      <c r="H823">
        <v>0</v>
      </c>
      <c r="I823" s="8">
        <f t="shared" si="49"/>
        <v>-4.9203783191185124E-3</v>
      </c>
      <c r="J823" s="8">
        <f t="shared" si="50"/>
        <v>-4.9325232352862691E-3</v>
      </c>
      <c r="K823" s="8">
        <f t="shared" si="47"/>
        <v>-0.17071818584440801</v>
      </c>
    </row>
    <row r="824" spans="1:11" x14ac:dyDescent="0.25">
      <c r="A824" t="str">
        <f t="shared" si="48"/>
        <v>52020</v>
      </c>
      <c r="B824" s="1">
        <v>43957</v>
      </c>
      <c r="C824" s="10">
        <v>43987.645833333336</v>
      </c>
      <c r="D824">
        <v>13437.3</v>
      </c>
      <c r="E824">
        <v>13580.05</v>
      </c>
      <c r="F824">
        <v>13262.25</v>
      </c>
      <c r="G824">
        <v>13394.7</v>
      </c>
      <c r="H824">
        <v>0</v>
      </c>
      <c r="I824" s="8">
        <f t="shared" si="49"/>
        <v>4.967116196907817E-4</v>
      </c>
      <c r="J824" s="8">
        <f t="shared" si="50"/>
        <v>4.965882993089683E-4</v>
      </c>
      <c r="K824" s="8">
        <f t="shared" si="47"/>
        <v>-0.17615184485844504</v>
      </c>
    </row>
    <row r="825" spans="1:11" x14ac:dyDescent="0.25">
      <c r="A825" t="str">
        <f t="shared" si="48"/>
        <v>52020</v>
      </c>
      <c r="B825" s="1">
        <v>43958</v>
      </c>
      <c r="C825" s="10">
        <v>44017.645833333336</v>
      </c>
      <c r="D825">
        <v>13408</v>
      </c>
      <c r="E825">
        <v>13489.55</v>
      </c>
      <c r="F825">
        <v>13268.4</v>
      </c>
      <c r="G825">
        <v>13292.7</v>
      </c>
      <c r="H825">
        <v>0</v>
      </c>
      <c r="I825" s="8">
        <f t="shared" si="49"/>
        <v>-7.6149521825796818E-3</v>
      </c>
      <c r="J825" s="8">
        <f t="shared" si="50"/>
        <v>-7.6440939674140848E-3</v>
      </c>
      <c r="K825" s="8">
        <f t="shared" si="47"/>
        <v>-0.17230493340556285</v>
      </c>
    </row>
    <row r="826" spans="1:11" x14ac:dyDescent="0.25">
      <c r="A826" t="str">
        <f t="shared" si="48"/>
        <v>52020</v>
      </c>
      <c r="B826" s="1">
        <v>43959</v>
      </c>
      <c r="C826" s="10">
        <v>44048.645833333336</v>
      </c>
      <c r="D826">
        <v>13509.45</v>
      </c>
      <c r="E826">
        <v>13530.85</v>
      </c>
      <c r="F826">
        <v>13324</v>
      </c>
      <c r="G826">
        <v>13403.6</v>
      </c>
      <c r="H826">
        <v>0</v>
      </c>
      <c r="I826" s="8">
        <f t="shared" si="49"/>
        <v>8.3429250641329222E-3</v>
      </c>
      <c r="J826" s="8">
        <f t="shared" si="50"/>
        <v>8.3083152297490429E-3</v>
      </c>
      <c r="K826" s="8">
        <f t="shared" si="47"/>
        <v>-0.18025056801328376</v>
      </c>
    </row>
    <row r="827" spans="1:11" x14ac:dyDescent="0.25">
      <c r="A827" t="str">
        <f t="shared" si="48"/>
        <v>52020</v>
      </c>
      <c r="B827" s="1">
        <v>43962</v>
      </c>
      <c r="C827" s="10">
        <v>44140.645833333336</v>
      </c>
      <c r="D827">
        <v>13521.6</v>
      </c>
      <c r="E827">
        <v>13763.8</v>
      </c>
      <c r="F827">
        <v>13489.25</v>
      </c>
      <c r="G827">
        <v>13593.55</v>
      </c>
      <c r="H827">
        <v>0</v>
      </c>
      <c r="I827" s="8">
        <f t="shared" si="49"/>
        <v>1.4171565847981071E-2</v>
      </c>
      <c r="J827" s="8">
        <f t="shared" si="50"/>
        <v>1.4072087945517097E-2</v>
      </c>
      <c r="K827" s="8">
        <f t="shared" si="47"/>
        <v>-0.1735715306212402</v>
      </c>
    </row>
    <row r="828" spans="1:11" x14ac:dyDescent="0.25">
      <c r="A828" t="str">
        <f t="shared" si="48"/>
        <v>52020</v>
      </c>
      <c r="B828" s="1">
        <v>43963</v>
      </c>
      <c r="C828" s="10">
        <v>44170.645833333336</v>
      </c>
      <c r="D828">
        <v>13537.15</v>
      </c>
      <c r="E828">
        <v>13733.5</v>
      </c>
      <c r="F828">
        <v>13480.75</v>
      </c>
      <c r="G828">
        <v>13687.75</v>
      </c>
      <c r="H828">
        <v>0</v>
      </c>
      <c r="I828" s="8">
        <f t="shared" si="49"/>
        <v>6.9297571274611336E-3</v>
      </c>
      <c r="J828" s="8">
        <f t="shared" si="50"/>
        <v>6.9058567130546354E-3</v>
      </c>
      <c r="K828" s="8">
        <f t="shared" si="47"/>
        <v>-0.16391029341249697</v>
      </c>
    </row>
    <row r="829" spans="1:11" x14ac:dyDescent="0.25">
      <c r="A829" t="str">
        <f t="shared" si="48"/>
        <v>52020</v>
      </c>
      <c r="B829" s="1">
        <v>43964</v>
      </c>
      <c r="C829" t="s">
        <v>527</v>
      </c>
      <c r="D829">
        <v>13960.35</v>
      </c>
      <c r="E829">
        <v>13960.35</v>
      </c>
      <c r="F829">
        <v>13612.8</v>
      </c>
      <c r="G829">
        <v>13776.95</v>
      </c>
      <c r="H829">
        <v>0</v>
      </c>
      <c r="I829" s="8">
        <f t="shared" si="49"/>
        <v>6.5167759492978927E-3</v>
      </c>
      <c r="J829" s="8">
        <f t="shared" si="50"/>
        <v>6.495633568640029E-3</v>
      </c>
      <c r="K829" s="8">
        <f t="shared" si="47"/>
        <v>-0.1635200650874461</v>
      </c>
    </row>
    <row r="830" spans="1:11" x14ac:dyDescent="0.25">
      <c r="A830" t="str">
        <f t="shared" si="48"/>
        <v>52020</v>
      </c>
      <c r="B830" s="1">
        <v>43965</v>
      </c>
      <c r="C830" t="s">
        <v>528</v>
      </c>
      <c r="D830">
        <v>13396.05</v>
      </c>
      <c r="E830">
        <v>13483.7</v>
      </c>
      <c r="F830">
        <v>13246.8</v>
      </c>
      <c r="G830">
        <v>13293.75</v>
      </c>
      <c r="H830">
        <v>0</v>
      </c>
      <c r="I830" s="8">
        <f t="shared" si="49"/>
        <v>-3.5073074954906636E-2</v>
      </c>
      <c r="J830" s="8">
        <f t="shared" si="50"/>
        <v>-3.570290585233174E-2</v>
      </c>
      <c r="K830" s="8">
        <f t="shared" si="47"/>
        <v>-0.19098159378527813</v>
      </c>
    </row>
    <row r="831" spans="1:11" x14ac:dyDescent="0.25">
      <c r="A831" t="str">
        <f t="shared" si="48"/>
        <v>52020</v>
      </c>
      <c r="B831" s="1">
        <v>43966</v>
      </c>
      <c r="C831" t="s">
        <v>529</v>
      </c>
      <c r="D831">
        <v>13375.45</v>
      </c>
      <c r="E831">
        <v>13375.8</v>
      </c>
      <c r="F831">
        <v>13108.4</v>
      </c>
      <c r="G831">
        <v>13196.35</v>
      </c>
      <c r="H831">
        <v>0</v>
      </c>
      <c r="I831" s="8">
        <f t="shared" si="49"/>
        <v>-7.3267512929007239E-3</v>
      </c>
      <c r="J831" s="8">
        <f t="shared" si="50"/>
        <v>-7.3537237629636527E-3</v>
      </c>
      <c r="K831" s="8">
        <f t="shared" si="47"/>
        <v>-0.19790242093810584</v>
      </c>
    </row>
    <row r="832" spans="1:11" x14ac:dyDescent="0.25">
      <c r="A832" t="str">
        <f t="shared" si="48"/>
        <v>52020</v>
      </c>
      <c r="B832" s="1">
        <v>43969</v>
      </c>
      <c r="C832" t="s">
        <v>530</v>
      </c>
      <c r="D832">
        <v>13278.25</v>
      </c>
      <c r="E832">
        <v>13408.8</v>
      </c>
      <c r="F832">
        <v>13109.95</v>
      </c>
      <c r="G832">
        <v>13314.4</v>
      </c>
      <c r="H832">
        <v>0</v>
      </c>
      <c r="I832" s="8">
        <f t="shared" si="49"/>
        <v>8.9456554274476296E-3</v>
      </c>
      <c r="J832" s="8">
        <f t="shared" si="50"/>
        <v>8.9058800869330039E-3</v>
      </c>
      <c r="K832" s="8">
        <f t="shared" ref="K832:K895" si="51">+G832/G771-1</f>
        <v>-0.19492565651435168</v>
      </c>
    </row>
    <row r="833" spans="1:11" x14ac:dyDescent="0.25">
      <c r="A833" t="str">
        <f t="shared" si="48"/>
        <v>52020</v>
      </c>
      <c r="B833" s="1">
        <v>43970</v>
      </c>
      <c r="C833" t="s">
        <v>531</v>
      </c>
      <c r="D833">
        <v>13272.35</v>
      </c>
      <c r="E833">
        <v>13524.2</v>
      </c>
      <c r="F833">
        <v>13197.6</v>
      </c>
      <c r="G833">
        <v>13446.6</v>
      </c>
      <c r="H833">
        <v>0</v>
      </c>
      <c r="I833" s="8">
        <f t="shared" si="49"/>
        <v>9.9290993210359169E-3</v>
      </c>
      <c r="J833" s="8">
        <f t="shared" si="50"/>
        <v>9.8801296970809378E-3</v>
      </c>
      <c r="K833" s="8">
        <f t="shared" si="51"/>
        <v>-0.19351288456521143</v>
      </c>
    </row>
    <row r="834" spans="1:11" x14ac:dyDescent="0.25">
      <c r="A834" t="str">
        <f t="shared" si="48"/>
        <v>52020</v>
      </c>
      <c r="B834" s="1">
        <v>43971</v>
      </c>
      <c r="C834" t="s">
        <v>532</v>
      </c>
      <c r="D834">
        <v>13443.5</v>
      </c>
      <c r="E834">
        <v>13556.9</v>
      </c>
      <c r="F834">
        <v>13362.55</v>
      </c>
      <c r="G834">
        <v>13517.4</v>
      </c>
      <c r="H834">
        <v>0</v>
      </c>
      <c r="I834" s="8">
        <f t="shared" si="49"/>
        <v>5.2652715184506871E-3</v>
      </c>
      <c r="J834" s="8">
        <f t="shared" si="50"/>
        <v>5.2514584415544602E-3</v>
      </c>
      <c r="K834" s="8">
        <f t="shared" si="51"/>
        <v>-0.18779047933784987</v>
      </c>
    </row>
    <row r="835" spans="1:11" x14ac:dyDescent="0.25">
      <c r="A835" t="str">
        <f t="shared" ref="A835:A898" si="52">+MONTH(B835)&amp;YEAR(B835)</f>
        <v>52020</v>
      </c>
      <c r="B835" s="1">
        <v>43972</v>
      </c>
      <c r="C835" t="s">
        <v>533</v>
      </c>
      <c r="D835">
        <v>13495.4</v>
      </c>
      <c r="E835">
        <v>13732</v>
      </c>
      <c r="F835">
        <v>13468.5</v>
      </c>
      <c r="G835">
        <v>13647.9</v>
      </c>
      <c r="H835">
        <v>0</v>
      </c>
      <c r="I835" s="8">
        <f t="shared" si="49"/>
        <v>9.6542234453371734E-3</v>
      </c>
      <c r="J835" s="8">
        <f t="shared" si="50"/>
        <v>9.607919212574114E-3</v>
      </c>
      <c r="K835" s="8">
        <f t="shared" si="51"/>
        <v>-0.18019305970194088</v>
      </c>
    </row>
    <row r="836" spans="1:11" x14ac:dyDescent="0.25">
      <c r="A836" t="str">
        <f t="shared" si="52"/>
        <v>52020</v>
      </c>
      <c r="B836" s="1">
        <v>43973</v>
      </c>
      <c r="C836" t="s">
        <v>534</v>
      </c>
      <c r="D836">
        <v>13622.25</v>
      </c>
      <c r="E836">
        <v>13902.8</v>
      </c>
      <c r="F836">
        <v>13571.65</v>
      </c>
      <c r="G836">
        <v>13842.65</v>
      </c>
      <c r="H836">
        <v>0</v>
      </c>
      <c r="I836" s="8">
        <f t="shared" ref="I836:I899" si="53">+G836/G835-1</f>
        <v>1.426959458964383E-2</v>
      </c>
      <c r="J836" s="8">
        <f t="shared" ref="J836:J899" si="54">+LN(1+I836)</f>
        <v>1.4168742207569172E-2</v>
      </c>
      <c r="K836" s="8">
        <f t="shared" si="51"/>
        <v>-0.17351145607881191</v>
      </c>
    </row>
    <row r="837" spans="1:11" x14ac:dyDescent="0.25">
      <c r="A837" t="str">
        <f t="shared" si="52"/>
        <v>52020</v>
      </c>
      <c r="B837" s="1">
        <v>43977</v>
      </c>
      <c r="C837" t="s">
        <v>535</v>
      </c>
      <c r="D837">
        <v>13860.85</v>
      </c>
      <c r="E837">
        <v>13930.85</v>
      </c>
      <c r="F837">
        <v>13522.95</v>
      </c>
      <c r="G837">
        <v>13574.95</v>
      </c>
      <c r="H837">
        <v>0</v>
      </c>
      <c r="I837" s="8">
        <f t="shared" si="53"/>
        <v>-1.933878267528244E-2</v>
      </c>
      <c r="J837" s="8">
        <f t="shared" si="54"/>
        <v>-1.9528223277194515E-2</v>
      </c>
      <c r="K837" s="8">
        <f t="shared" si="51"/>
        <v>-0.19064242062900572</v>
      </c>
    </row>
    <row r="838" spans="1:11" x14ac:dyDescent="0.25">
      <c r="A838" t="str">
        <f t="shared" si="52"/>
        <v>52020</v>
      </c>
      <c r="B838" s="1">
        <v>43978</v>
      </c>
      <c r="C838" t="s">
        <v>536</v>
      </c>
      <c r="D838">
        <v>13667.15</v>
      </c>
      <c r="E838">
        <v>14017.05</v>
      </c>
      <c r="F838">
        <v>13488.1</v>
      </c>
      <c r="G838">
        <v>13952.9</v>
      </c>
      <c r="H838">
        <v>0</v>
      </c>
      <c r="I838" s="8">
        <f t="shared" si="53"/>
        <v>2.7841723173934296E-2</v>
      </c>
      <c r="J838" s="8">
        <f t="shared" si="54"/>
        <v>2.7461189394914671E-2</v>
      </c>
      <c r="K838" s="8">
        <f t="shared" si="51"/>
        <v>-0.16195778826864637</v>
      </c>
    </row>
    <row r="839" spans="1:11" x14ac:dyDescent="0.25">
      <c r="A839" t="str">
        <f t="shared" si="52"/>
        <v>52020</v>
      </c>
      <c r="B839" s="1">
        <v>43979</v>
      </c>
      <c r="C839" t="s">
        <v>537</v>
      </c>
      <c r="D839">
        <v>13964.9</v>
      </c>
      <c r="E839">
        <v>14068.3</v>
      </c>
      <c r="F839">
        <v>13759.15</v>
      </c>
      <c r="G839">
        <v>14028.6</v>
      </c>
      <c r="H839">
        <v>0</v>
      </c>
      <c r="I839" s="8">
        <f t="shared" si="53"/>
        <v>5.4253954375076408E-3</v>
      </c>
      <c r="J839" s="8">
        <f t="shared" si="54"/>
        <v>5.4107309960323381E-3</v>
      </c>
      <c r="K839" s="8">
        <f t="shared" si="51"/>
        <v>-0.14780886658810088</v>
      </c>
    </row>
    <row r="840" spans="1:11" x14ac:dyDescent="0.25">
      <c r="A840" t="str">
        <f t="shared" si="52"/>
        <v>52020</v>
      </c>
      <c r="B840" s="1">
        <v>43980</v>
      </c>
      <c r="C840" t="s">
        <v>538</v>
      </c>
      <c r="D840">
        <v>13893.4</v>
      </c>
      <c r="E840">
        <v>14080.55</v>
      </c>
      <c r="F840">
        <v>13762.95</v>
      </c>
      <c r="G840">
        <v>14010.5</v>
      </c>
      <c r="H840">
        <v>0</v>
      </c>
      <c r="I840" s="8">
        <f t="shared" si="53"/>
        <v>-1.2902214048443605E-3</v>
      </c>
      <c r="J840" s="8">
        <f t="shared" si="54"/>
        <v>-1.2910544571061212E-3</v>
      </c>
      <c r="K840" s="8">
        <f t="shared" si="51"/>
        <v>-0.15408301886792453</v>
      </c>
    </row>
    <row r="841" spans="1:11" x14ac:dyDescent="0.25">
      <c r="A841" t="str">
        <f t="shared" si="52"/>
        <v>62020</v>
      </c>
      <c r="B841" s="1">
        <v>43983</v>
      </c>
      <c r="C841" s="10">
        <v>43836.645833333336</v>
      </c>
      <c r="D841">
        <v>14155.65</v>
      </c>
      <c r="E841">
        <v>14431.35</v>
      </c>
      <c r="F841">
        <v>14140.85</v>
      </c>
      <c r="G841">
        <v>14307.1</v>
      </c>
      <c r="H841">
        <v>0</v>
      </c>
      <c r="I841" s="8">
        <f t="shared" si="53"/>
        <v>2.1169836908033313E-2</v>
      </c>
      <c r="J841" s="8">
        <f t="shared" si="54"/>
        <v>2.0948869039483016E-2</v>
      </c>
      <c r="K841" s="8">
        <f t="shared" si="51"/>
        <v>-0.1239969998010072</v>
      </c>
    </row>
    <row r="842" spans="1:11" x14ac:dyDescent="0.25">
      <c r="A842" t="str">
        <f t="shared" si="52"/>
        <v>62020</v>
      </c>
      <c r="B842" s="1">
        <v>43984</v>
      </c>
      <c r="C842" s="10">
        <v>43867.645833333336</v>
      </c>
      <c r="D842">
        <v>14358</v>
      </c>
      <c r="E842">
        <v>14492.3</v>
      </c>
      <c r="F842">
        <v>14269.7</v>
      </c>
      <c r="G842">
        <v>14422.4</v>
      </c>
      <c r="H842">
        <v>0</v>
      </c>
      <c r="I842" s="8">
        <f t="shared" si="53"/>
        <v>8.0589357731475353E-3</v>
      </c>
      <c r="J842" s="8">
        <f t="shared" si="54"/>
        <v>8.0266359689044973E-3</v>
      </c>
      <c r="K842" s="8">
        <f t="shared" si="51"/>
        <v>-0.10552103102246368</v>
      </c>
    </row>
    <row r="843" spans="1:11" x14ac:dyDescent="0.25">
      <c r="A843" t="str">
        <f t="shared" si="52"/>
        <v>62020</v>
      </c>
      <c r="B843" s="1">
        <v>43985</v>
      </c>
      <c r="C843" s="10">
        <v>43896.645833333336</v>
      </c>
      <c r="D843">
        <v>14507.25</v>
      </c>
      <c r="E843">
        <v>14549</v>
      </c>
      <c r="F843">
        <v>14317.2</v>
      </c>
      <c r="G843">
        <v>14361.7</v>
      </c>
      <c r="H843">
        <v>0</v>
      </c>
      <c r="I843" s="8">
        <f t="shared" si="53"/>
        <v>-4.2087308631018061E-3</v>
      </c>
      <c r="J843" s="8">
        <f t="shared" si="54"/>
        <v>-4.217612499879936E-3</v>
      </c>
      <c r="K843" s="8">
        <f t="shared" si="51"/>
        <v>-5.595561676072025E-2</v>
      </c>
    </row>
    <row r="844" spans="1:11" x14ac:dyDescent="0.25">
      <c r="A844" t="str">
        <f t="shared" si="52"/>
        <v>62020</v>
      </c>
      <c r="B844" s="1">
        <v>43986</v>
      </c>
      <c r="C844" s="10">
        <v>43927.645833333336</v>
      </c>
      <c r="D844">
        <v>14380.85</v>
      </c>
      <c r="E844">
        <v>14695.1</v>
      </c>
      <c r="F844">
        <v>14380.85</v>
      </c>
      <c r="G844">
        <v>14627.45</v>
      </c>
      <c r="H844">
        <v>0</v>
      </c>
      <c r="I844" s="8">
        <f t="shared" si="53"/>
        <v>1.8504076815418768E-2</v>
      </c>
      <c r="J844" s="8">
        <f t="shared" si="54"/>
        <v>1.8334959440992015E-2</v>
      </c>
      <c r="K844" s="8">
        <f t="shared" si="51"/>
        <v>-5.1867912481810219E-2</v>
      </c>
    </row>
    <row r="845" spans="1:11" x14ac:dyDescent="0.25">
      <c r="A845" t="str">
        <f t="shared" si="52"/>
        <v>62020</v>
      </c>
      <c r="B845" s="1">
        <v>43987</v>
      </c>
      <c r="C845" s="10">
        <v>43957.645833333336</v>
      </c>
      <c r="D845">
        <v>14715.9</v>
      </c>
      <c r="E845">
        <v>14732.85</v>
      </c>
      <c r="F845">
        <v>14599.75</v>
      </c>
      <c r="G845">
        <v>14627.45</v>
      </c>
      <c r="H845">
        <v>0</v>
      </c>
      <c r="I845" s="8">
        <f t="shared" si="53"/>
        <v>0</v>
      </c>
      <c r="J845" s="8">
        <f t="shared" si="54"/>
        <v>0</v>
      </c>
      <c r="K845" s="8">
        <f t="shared" si="51"/>
        <v>-6.9690012211254704E-2</v>
      </c>
    </row>
    <row r="846" spans="1:11" x14ac:dyDescent="0.25">
      <c r="A846" t="str">
        <f t="shared" si="52"/>
        <v>62020</v>
      </c>
      <c r="B846" s="1">
        <v>43990</v>
      </c>
      <c r="C846" s="10">
        <v>44049.645833333336</v>
      </c>
      <c r="D846">
        <v>14824.75</v>
      </c>
      <c r="E846">
        <v>14990.25</v>
      </c>
      <c r="F846">
        <v>14713.45</v>
      </c>
      <c r="G846">
        <v>14894.6</v>
      </c>
      <c r="H846">
        <v>0</v>
      </c>
      <c r="I846" s="8">
        <f t="shared" si="53"/>
        <v>1.8263607122225745E-2</v>
      </c>
      <c r="J846" s="8">
        <f t="shared" si="54"/>
        <v>1.8098830700137833E-2</v>
      </c>
      <c r="K846" s="8">
        <f t="shared" si="51"/>
        <v>-6.1124663552756697E-2</v>
      </c>
    </row>
    <row r="847" spans="1:11" x14ac:dyDescent="0.25">
      <c r="A847" t="str">
        <f t="shared" si="52"/>
        <v>62020</v>
      </c>
      <c r="B847" s="1">
        <v>43991</v>
      </c>
      <c r="C847" s="10">
        <v>44080.645833333336</v>
      </c>
      <c r="D847">
        <v>14869.4</v>
      </c>
      <c r="E847">
        <v>14983.2</v>
      </c>
      <c r="F847">
        <v>14712.3</v>
      </c>
      <c r="G847">
        <v>14737.85</v>
      </c>
      <c r="H847">
        <v>0</v>
      </c>
      <c r="I847" s="8">
        <f t="shared" si="53"/>
        <v>-1.0523948276556561E-2</v>
      </c>
      <c r="J847" s="8">
        <f t="shared" si="54"/>
        <v>-1.0579716634174686E-2</v>
      </c>
      <c r="K847" s="8">
        <f t="shared" si="51"/>
        <v>-7.1417995318608707E-2</v>
      </c>
    </row>
    <row r="848" spans="1:11" x14ac:dyDescent="0.25">
      <c r="A848" t="str">
        <f t="shared" si="52"/>
        <v>62020</v>
      </c>
      <c r="B848" s="1">
        <v>43992</v>
      </c>
      <c r="C848" s="10">
        <v>44110.645833333336</v>
      </c>
      <c r="D848">
        <v>14774.8</v>
      </c>
      <c r="E848">
        <v>14882.6</v>
      </c>
      <c r="F848">
        <v>14690.9</v>
      </c>
      <c r="G848">
        <v>14842.05</v>
      </c>
      <c r="H848">
        <v>0</v>
      </c>
      <c r="I848" s="8">
        <f t="shared" si="53"/>
        <v>7.0702307324337355E-3</v>
      </c>
      <c r="J848" s="8">
        <f t="shared" si="54"/>
        <v>7.0453538392186389E-3</v>
      </c>
      <c r="K848" s="8">
        <f t="shared" si="51"/>
        <v>-5.2443579021291598E-2</v>
      </c>
    </row>
    <row r="849" spans="1:11" x14ac:dyDescent="0.25">
      <c r="A849" t="str">
        <f t="shared" si="52"/>
        <v>62020</v>
      </c>
      <c r="B849" s="1">
        <v>43993</v>
      </c>
      <c r="C849" s="10">
        <v>44141.645833333336</v>
      </c>
      <c r="D849">
        <v>14823.95</v>
      </c>
      <c r="E849">
        <v>14840.65</v>
      </c>
      <c r="F849">
        <v>14585.45</v>
      </c>
      <c r="G849">
        <v>14619.45</v>
      </c>
      <c r="H849">
        <v>0</v>
      </c>
      <c r="I849" s="8">
        <f t="shared" si="53"/>
        <v>-1.49979281837751E-2</v>
      </c>
      <c r="J849" s="8">
        <f t="shared" si="54"/>
        <v>-1.5111534445534456E-2</v>
      </c>
      <c r="K849" s="8">
        <f t="shared" si="51"/>
        <v>-1.5849988892553846E-2</v>
      </c>
    </row>
    <row r="850" spans="1:11" x14ac:dyDescent="0.25">
      <c r="A850" t="str">
        <f t="shared" si="52"/>
        <v>62020</v>
      </c>
      <c r="B850" s="1">
        <v>43994</v>
      </c>
      <c r="C850" s="10">
        <v>44171.645833333336</v>
      </c>
      <c r="D850">
        <v>14125.8</v>
      </c>
      <c r="E850">
        <v>14442.65</v>
      </c>
      <c r="F850">
        <v>14123.55</v>
      </c>
      <c r="G850">
        <v>14402.75</v>
      </c>
      <c r="H850">
        <v>0</v>
      </c>
      <c r="I850" s="8">
        <f t="shared" si="53"/>
        <v>-1.4822719048938282E-2</v>
      </c>
      <c r="J850" s="8">
        <f t="shared" si="54"/>
        <v>-1.4933673343647858E-2</v>
      </c>
      <c r="K850" s="8">
        <f t="shared" si="51"/>
        <v>-1.8979797566989531E-2</v>
      </c>
    </row>
    <row r="851" spans="1:11" x14ac:dyDescent="0.25">
      <c r="A851" t="str">
        <f t="shared" si="52"/>
        <v>62020</v>
      </c>
      <c r="B851" s="1">
        <v>43997</v>
      </c>
      <c r="C851" t="s">
        <v>539</v>
      </c>
      <c r="D851">
        <v>14444.25</v>
      </c>
      <c r="E851">
        <v>14571.95</v>
      </c>
      <c r="F851">
        <v>14238.05</v>
      </c>
      <c r="G851">
        <v>14396.7</v>
      </c>
      <c r="H851">
        <v>0</v>
      </c>
      <c r="I851" s="8">
        <f t="shared" si="53"/>
        <v>-4.2005866935124203E-4</v>
      </c>
      <c r="J851" s="8">
        <f t="shared" si="54"/>
        <v>-4.2014691870822753E-4</v>
      </c>
      <c r="K851" s="8">
        <f t="shared" si="51"/>
        <v>7.5596663391819918E-2</v>
      </c>
    </row>
    <row r="852" spans="1:11" x14ac:dyDescent="0.25">
      <c r="A852" t="str">
        <f t="shared" si="52"/>
        <v>62020</v>
      </c>
      <c r="B852" s="1">
        <v>43998</v>
      </c>
      <c r="C852" t="s">
        <v>540</v>
      </c>
      <c r="D852">
        <v>14634</v>
      </c>
      <c r="E852">
        <v>14667.4</v>
      </c>
      <c r="F852">
        <v>14375.5</v>
      </c>
      <c r="G852">
        <v>14450.8</v>
      </c>
      <c r="H852">
        <v>0</v>
      </c>
      <c r="I852" s="8">
        <f t="shared" si="53"/>
        <v>3.7578056082294697E-3</v>
      </c>
      <c r="J852" s="8">
        <f t="shared" si="54"/>
        <v>3.7507626951528619E-3</v>
      </c>
      <c r="K852" s="8">
        <f t="shared" si="51"/>
        <v>6.7338301659637612E-2</v>
      </c>
    </row>
    <row r="853" spans="1:11" x14ac:dyDescent="0.25">
      <c r="A853" t="str">
        <f t="shared" si="52"/>
        <v>62020</v>
      </c>
      <c r="B853" s="1">
        <v>43999</v>
      </c>
      <c r="C853" t="s">
        <v>541</v>
      </c>
      <c r="D853">
        <v>14418.8</v>
      </c>
      <c r="E853">
        <v>14559.55</v>
      </c>
      <c r="F853">
        <v>14382.95</v>
      </c>
      <c r="G853">
        <v>14478.45</v>
      </c>
      <c r="H853">
        <v>0</v>
      </c>
      <c r="I853" s="8">
        <f t="shared" si="53"/>
        <v>1.9133888781244224E-3</v>
      </c>
      <c r="J853" s="8">
        <f t="shared" si="54"/>
        <v>1.9115606812878251E-3</v>
      </c>
      <c r="K853" s="8">
        <f t="shared" si="51"/>
        <v>0.16280162392029784</v>
      </c>
    </row>
    <row r="854" spans="1:11" x14ac:dyDescent="0.25">
      <c r="A854" t="str">
        <f t="shared" si="52"/>
        <v>62020</v>
      </c>
      <c r="B854" s="1">
        <v>44000</v>
      </c>
      <c r="C854" t="s">
        <v>542</v>
      </c>
      <c r="D854">
        <v>14478.65</v>
      </c>
      <c r="E854">
        <v>14623.95</v>
      </c>
      <c r="F854">
        <v>14443</v>
      </c>
      <c r="G854">
        <v>14551.25</v>
      </c>
      <c r="H854">
        <v>0</v>
      </c>
      <c r="I854" s="8">
        <f t="shared" si="53"/>
        <v>5.0281625450236955E-3</v>
      </c>
      <c r="J854" s="8">
        <f t="shared" si="54"/>
        <v>5.015563551277435E-3</v>
      </c>
      <c r="K854" s="8">
        <f t="shared" si="51"/>
        <v>0.20265718949521672</v>
      </c>
    </row>
    <row r="855" spans="1:11" x14ac:dyDescent="0.25">
      <c r="A855" t="str">
        <f t="shared" si="52"/>
        <v>62020</v>
      </c>
      <c r="B855" s="1">
        <v>44001</v>
      </c>
      <c r="C855" t="s">
        <v>543</v>
      </c>
      <c r="D855">
        <v>14532.7</v>
      </c>
      <c r="E855">
        <v>14625.8</v>
      </c>
      <c r="F855">
        <v>14422.45</v>
      </c>
      <c r="G855">
        <v>14499.8</v>
      </c>
      <c r="H855">
        <v>0</v>
      </c>
      <c r="I855" s="8">
        <f t="shared" si="53"/>
        <v>-3.5357787131690133E-3</v>
      </c>
      <c r="J855" s="8">
        <f t="shared" si="54"/>
        <v>-3.5420443523590103E-3</v>
      </c>
      <c r="K855" s="8">
        <f t="shared" si="51"/>
        <v>0.23371054198927932</v>
      </c>
    </row>
    <row r="856" spans="1:11" x14ac:dyDescent="0.25">
      <c r="A856" t="str">
        <f t="shared" si="52"/>
        <v>62020</v>
      </c>
      <c r="B856" s="1">
        <v>44004</v>
      </c>
      <c r="C856" t="s">
        <v>544</v>
      </c>
      <c r="D856">
        <v>14537.8</v>
      </c>
      <c r="E856">
        <v>14550.35</v>
      </c>
      <c r="F856">
        <v>14432.45</v>
      </c>
      <c r="G856">
        <v>14463.7</v>
      </c>
      <c r="H856">
        <v>0</v>
      </c>
      <c r="I856" s="8">
        <f t="shared" si="53"/>
        <v>-2.4896895129586927E-3</v>
      </c>
      <c r="J856" s="8">
        <f t="shared" si="54"/>
        <v>-2.4927939436770394E-3</v>
      </c>
      <c r="K856" s="8">
        <f t="shared" si="51"/>
        <v>0.27545855379188722</v>
      </c>
    </row>
    <row r="857" spans="1:11" x14ac:dyDescent="0.25">
      <c r="A857" t="str">
        <f t="shared" si="52"/>
        <v>62020</v>
      </c>
      <c r="B857" s="1">
        <v>44005</v>
      </c>
      <c r="C857" t="s">
        <v>545</v>
      </c>
      <c r="D857">
        <v>14398.45</v>
      </c>
      <c r="E857">
        <v>14725.4</v>
      </c>
      <c r="F857">
        <v>14320.7</v>
      </c>
      <c r="G857">
        <v>14680.4</v>
      </c>
      <c r="H857">
        <v>0</v>
      </c>
      <c r="I857" s="8">
        <f t="shared" si="53"/>
        <v>1.498233508714919E-2</v>
      </c>
      <c r="J857" s="8">
        <f t="shared" si="54"/>
        <v>1.4871208487276385E-2</v>
      </c>
      <c r="K857" s="8">
        <f t="shared" si="51"/>
        <v>0.18740319247459225</v>
      </c>
    </row>
    <row r="858" spans="1:11" x14ac:dyDescent="0.25">
      <c r="A858" t="str">
        <f t="shared" si="52"/>
        <v>62020</v>
      </c>
      <c r="B858" s="1">
        <v>44006</v>
      </c>
      <c r="C858" t="s">
        <v>546</v>
      </c>
      <c r="D858">
        <v>14675.7</v>
      </c>
      <c r="E858">
        <v>14761.2</v>
      </c>
      <c r="F858">
        <v>14547.2</v>
      </c>
      <c r="G858">
        <v>14581.45</v>
      </c>
      <c r="H858">
        <v>0</v>
      </c>
      <c r="I858" s="8">
        <f t="shared" si="53"/>
        <v>-6.7402795564153184E-3</v>
      </c>
      <c r="J858" s="8">
        <f t="shared" si="54"/>
        <v>-6.7630978328398345E-3</v>
      </c>
      <c r="K858" s="8">
        <f t="shared" si="51"/>
        <v>0.30429085119324495</v>
      </c>
    </row>
    <row r="859" spans="1:11" x14ac:dyDescent="0.25">
      <c r="A859" t="str">
        <f t="shared" si="52"/>
        <v>62020</v>
      </c>
      <c r="B859" s="1">
        <v>44007</v>
      </c>
      <c r="C859" t="s">
        <v>547</v>
      </c>
      <c r="D859">
        <v>14486.4</v>
      </c>
      <c r="E859">
        <v>14590.5</v>
      </c>
      <c r="F859">
        <v>14383.6</v>
      </c>
      <c r="G859">
        <v>14411.2</v>
      </c>
      <c r="H859">
        <v>0</v>
      </c>
      <c r="I859" s="8">
        <f t="shared" si="53"/>
        <v>-1.1675793559625447E-2</v>
      </c>
      <c r="J859" s="8">
        <f t="shared" si="54"/>
        <v>-1.1744490891372802E-2</v>
      </c>
      <c r="K859" s="8">
        <f t="shared" si="51"/>
        <v>0.21459243745285539</v>
      </c>
    </row>
    <row r="860" spans="1:11" x14ac:dyDescent="0.25">
      <c r="A860" t="str">
        <f t="shared" si="52"/>
        <v>62020</v>
      </c>
      <c r="B860" s="1">
        <v>44008</v>
      </c>
      <c r="C860" t="s">
        <v>548</v>
      </c>
      <c r="D860">
        <v>14496.7</v>
      </c>
      <c r="E860">
        <v>15086</v>
      </c>
      <c r="F860">
        <v>14476.45</v>
      </c>
      <c r="G860">
        <v>14994.65</v>
      </c>
      <c r="H860">
        <v>0</v>
      </c>
      <c r="I860" s="8">
        <f t="shared" si="53"/>
        <v>4.0485872099478071E-2</v>
      </c>
      <c r="J860" s="8">
        <f t="shared" si="54"/>
        <v>3.968778876751837E-2</v>
      </c>
      <c r="K860" s="8">
        <f t="shared" si="51"/>
        <v>0.22571903852992015</v>
      </c>
    </row>
    <row r="861" spans="1:11" x14ac:dyDescent="0.25">
      <c r="A861" t="str">
        <f t="shared" si="52"/>
        <v>62020</v>
      </c>
      <c r="B861" s="1">
        <v>44011</v>
      </c>
      <c r="C861" t="s">
        <v>549</v>
      </c>
      <c r="D861">
        <v>14874.2</v>
      </c>
      <c r="E861">
        <v>14979.2</v>
      </c>
      <c r="F861">
        <v>14737.45</v>
      </c>
      <c r="G861">
        <v>14768</v>
      </c>
      <c r="H861">
        <v>0</v>
      </c>
      <c r="I861" s="8">
        <f t="shared" si="53"/>
        <v>-1.5115391156178992E-2</v>
      </c>
      <c r="J861" s="8">
        <f t="shared" si="54"/>
        <v>-1.5230793054363421E-2</v>
      </c>
      <c r="K861" s="8">
        <f t="shared" si="51"/>
        <v>0.17808481444845081</v>
      </c>
    </row>
    <row r="862" spans="1:11" x14ac:dyDescent="0.25">
      <c r="A862" t="str">
        <f t="shared" si="52"/>
        <v>62020</v>
      </c>
      <c r="B862" s="1">
        <v>44012</v>
      </c>
      <c r="C862" t="s">
        <v>550</v>
      </c>
      <c r="D862">
        <v>14812.7</v>
      </c>
      <c r="E862">
        <v>14854.4</v>
      </c>
      <c r="F862">
        <v>14692.45</v>
      </c>
      <c r="G862">
        <v>14754.3</v>
      </c>
      <c r="H862">
        <v>0</v>
      </c>
      <c r="I862" s="8">
        <f t="shared" si="53"/>
        <v>-9.2768147345612118E-4</v>
      </c>
      <c r="J862" s="8">
        <f t="shared" si="54"/>
        <v>-9.2811203621821206E-4</v>
      </c>
      <c r="K862" s="8">
        <f t="shared" si="51"/>
        <v>0.1738549299472516</v>
      </c>
    </row>
    <row r="863" spans="1:11" x14ac:dyDescent="0.25">
      <c r="A863" t="str">
        <f t="shared" si="52"/>
        <v>72020</v>
      </c>
      <c r="B863" s="1">
        <v>44013</v>
      </c>
      <c r="C863" s="10">
        <v>43837.645833333336</v>
      </c>
      <c r="D863">
        <v>14767.35</v>
      </c>
      <c r="E863">
        <v>14842.85</v>
      </c>
      <c r="F863">
        <v>14704.5</v>
      </c>
      <c r="G863">
        <v>14732.15</v>
      </c>
      <c r="H863">
        <v>0</v>
      </c>
      <c r="I863" s="8">
        <f t="shared" si="53"/>
        <v>-1.5012572605952457E-3</v>
      </c>
      <c r="J863" s="8">
        <f t="shared" si="54"/>
        <v>-1.5023852763790993E-3</v>
      </c>
      <c r="K863" s="8">
        <f t="shared" si="51"/>
        <v>0.19590788063772457</v>
      </c>
    </row>
    <row r="864" spans="1:11" x14ac:dyDescent="0.25">
      <c r="A864" t="str">
        <f t="shared" si="52"/>
        <v>72020</v>
      </c>
      <c r="B864" s="1">
        <v>44014</v>
      </c>
      <c r="C864" s="10">
        <v>43868.645833333336</v>
      </c>
      <c r="D864">
        <v>14803.5</v>
      </c>
      <c r="E864">
        <v>15195.2</v>
      </c>
      <c r="F864">
        <v>14782.45</v>
      </c>
      <c r="G864">
        <v>15122.55</v>
      </c>
      <c r="H864">
        <v>0</v>
      </c>
      <c r="I864" s="8">
        <f t="shared" si="53"/>
        <v>2.6499865939458855E-2</v>
      </c>
      <c r="J864" s="8">
        <f t="shared" si="54"/>
        <v>2.6154826877192273E-2</v>
      </c>
      <c r="K864" s="8">
        <f t="shared" si="51"/>
        <v>0.18481390511334927</v>
      </c>
    </row>
    <row r="865" spans="1:11" x14ac:dyDescent="0.25">
      <c r="A865" t="str">
        <f t="shared" si="52"/>
        <v>72020</v>
      </c>
      <c r="B865" s="1">
        <v>44015</v>
      </c>
      <c r="C865" s="10">
        <v>43897.645833333336</v>
      </c>
      <c r="D865">
        <v>15164.25</v>
      </c>
      <c r="E865">
        <v>15336.85</v>
      </c>
      <c r="F865">
        <v>15148.5</v>
      </c>
      <c r="G865">
        <v>15285.9</v>
      </c>
      <c r="H865">
        <v>0</v>
      </c>
      <c r="I865" s="8">
        <f t="shared" si="53"/>
        <v>1.0801749704910879E-2</v>
      </c>
      <c r="J865" s="8">
        <f t="shared" si="54"/>
        <v>1.074382754040676E-2</v>
      </c>
      <c r="K865" s="8">
        <f t="shared" si="51"/>
        <v>0.26897645247118285</v>
      </c>
    </row>
    <row r="866" spans="1:11" x14ac:dyDescent="0.25">
      <c r="A866" t="str">
        <f t="shared" si="52"/>
        <v>72020</v>
      </c>
      <c r="B866" s="1">
        <v>44018</v>
      </c>
      <c r="C866" s="10">
        <v>43989.645833333336</v>
      </c>
      <c r="D866">
        <v>15351.7</v>
      </c>
      <c r="E866">
        <v>15580.5</v>
      </c>
      <c r="F866">
        <v>15351.7</v>
      </c>
      <c r="G866">
        <v>15464.95</v>
      </c>
      <c r="H866">
        <v>0</v>
      </c>
      <c r="I866" s="8">
        <f t="shared" si="53"/>
        <v>1.1713409089422422E-2</v>
      </c>
      <c r="J866" s="8">
        <f t="shared" si="54"/>
        <v>1.1645338159292563E-2</v>
      </c>
      <c r="K866" s="8">
        <f t="shared" si="51"/>
        <v>0.32404827034130856</v>
      </c>
    </row>
    <row r="867" spans="1:11" x14ac:dyDescent="0.25">
      <c r="A867" t="str">
        <f t="shared" si="52"/>
        <v>72020</v>
      </c>
      <c r="B867" s="1">
        <v>44019</v>
      </c>
      <c r="C867" s="10">
        <v>44019.645833333336</v>
      </c>
      <c r="D867">
        <v>15528.05</v>
      </c>
      <c r="E867">
        <v>15806.85</v>
      </c>
      <c r="F867">
        <v>15440.1</v>
      </c>
      <c r="G867">
        <v>15784.95</v>
      </c>
      <c r="H867">
        <v>0</v>
      </c>
      <c r="I867" s="8">
        <f t="shared" si="53"/>
        <v>2.0691951800684727E-2</v>
      </c>
      <c r="J867" s="8">
        <f t="shared" si="54"/>
        <v>2.0480781416004418E-2</v>
      </c>
      <c r="K867" s="8">
        <f t="shared" si="51"/>
        <v>0.25387343662497663</v>
      </c>
    </row>
    <row r="868" spans="1:11" x14ac:dyDescent="0.25">
      <c r="A868" t="str">
        <f t="shared" si="52"/>
        <v>72020</v>
      </c>
      <c r="B868" s="1">
        <v>44020</v>
      </c>
      <c r="C868" s="10">
        <v>44050.645833333336</v>
      </c>
      <c r="D868">
        <v>15765</v>
      </c>
      <c r="E868">
        <v>15765.05</v>
      </c>
      <c r="F868">
        <v>15473.5</v>
      </c>
      <c r="G868">
        <v>15513.65</v>
      </c>
      <c r="H868">
        <v>0</v>
      </c>
      <c r="I868" s="8">
        <f t="shared" si="53"/>
        <v>-1.7187257482602192E-2</v>
      </c>
      <c r="J868" s="8">
        <f t="shared" si="54"/>
        <v>-1.7336672894746892E-2</v>
      </c>
      <c r="K868" s="8">
        <f t="shared" si="51"/>
        <v>0.24193154572491005</v>
      </c>
    </row>
    <row r="869" spans="1:11" x14ac:dyDescent="0.25">
      <c r="A869" t="str">
        <f t="shared" si="52"/>
        <v>72020</v>
      </c>
      <c r="B869" s="1">
        <v>44021</v>
      </c>
      <c r="C869" s="10">
        <v>44081.645833333336</v>
      </c>
      <c r="D869">
        <v>15572.35</v>
      </c>
      <c r="E869">
        <v>15663.45</v>
      </c>
      <c r="F869">
        <v>15468.4</v>
      </c>
      <c r="G869">
        <v>15535.95</v>
      </c>
      <c r="H869">
        <v>0</v>
      </c>
      <c r="I869" s="8">
        <f t="shared" si="53"/>
        <v>1.4374437994928435E-3</v>
      </c>
      <c r="J869" s="8">
        <f t="shared" si="54"/>
        <v>1.4364116661252438E-3</v>
      </c>
      <c r="K869" s="8">
        <f t="shared" si="51"/>
        <v>0.22055929387086515</v>
      </c>
    </row>
    <row r="870" spans="1:11" x14ac:dyDescent="0.25">
      <c r="A870" t="str">
        <f t="shared" si="52"/>
        <v>72020</v>
      </c>
      <c r="B870" s="1">
        <v>44022</v>
      </c>
      <c r="C870" s="10">
        <v>44111.645833333336</v>
      </c>
      <c r="D870">
        <v>15471.7</v>
      </c>
      <c r="E870">
        <v>15656.05</v>
      </c>
      <c r="F870">
        <v>15417.5</v>
      </c>
      <c r="G870">
        <v>15565.2</v>
      </c>
      <c r="H870">
        <v>0</v>
      </c>
      <c r="I870" s="8">
        <f t="shared" si="53"/>
        <v>1.8827300551302883E-3</v>
      </c>
      <c r="J870" s="8">
        <f t="shared" si="54"/>
        <v>1.8809599403173832E-3</v>
      </c>
      <c r="K870" s="8">
        <f t="shared" si="51"/>
        <v>0.23502947687473719</v>
      </c>
    </row>
    <row r="871" spans="1:11" x14ac:dyDescent="0.25">
      <c r="A871" t="str">
        <f t="shared" si="52"/>
        <v>72020</v>
      </c>
      <c r="B871" s="1">
        <v>44025</v>
      </c>
      <c r="C871" t="s">
        <v>551</v>
      </c>
      <c r="D871">
        <v>15643.1</v>
      </c>
      <c r="E871">
        <v>15885.55</v>
      </c>
      <c r="F871">
        <v>15624.8</v>
      </c>
      <c r="G871">
        <v>15819.2</v>
      </c>
      <c r="H871">
        <v>0</v>
      </c>
      <c r="I871" s="8">
        <f t="shared" si="53"/>
        <v>1.6318453987099524E-2</v>
      </c>
      <c r="J871" s="8">
        <f t="shared" si="54"/>
        <v>1.6186739008240893E-2</v>
      </c>
      <c r="K871" s="8">
        <f t="shared" si="51"/>
        <v>0.2453513453938565</v>
      </c>
    </row>
    <row r="872" spans="1:11" x14ac:dyDescent="0.25">
      <c r="A872" t="str">
        <f t="shared" si="52"/>
        <v>72020</v>
      </c>
      <c r="B872" s="1">
        <v>44026</v>
      </c>
      <c r="C872" t="s">
        <v>552</v>
      </c>
      <c r="D872">
        <v>15779.5</v>
      </c>
      <c r="E872">
        <v>15941.65</v>
      </c>
      <c r="F872">
        <v>15611.85</v>
      </c>
      <c r="G872">
        <v>15640.55</v>
      </c>
      <c r="H872">
        <v>0</v>
      </c>
      <c r="I872" s="8">
        <f t="shared" si="53"/>
        <v>-1.1293238596136401E-2</v>
      </c>
      <c r="J872" s="8">
        <f t="shared" si="54"/>
        <v>-1.1357491421475024E-2</v>
      </c>
      <c r="K872" s="8">
        <f t="shared" si="51"/>
        <v>0.25489826374402247</v>
      </c>
    </row>
    <row r="873" spans="1:11" x14ac:dyDescent="0.25">
      <c r="A873" t="str">
        <f t="shared" si="52"/>
        <v>72020</v>
      </c>
      <c r="B873" s="1">
        <v>44027</v>
      </c>
      <c r="C873" t="s">
        <v>553</v>
      </c>
      <c r="D873">
        <v>15853.8</v>
      </c>
      <c r="E873">
        <v>16624.650000000001</v>
      </c>
      <c r="F873">
        <v>15830.5</v>
      </c>
      <c r="G873">
        <v>16459.849999999999</v>
      </c>
      <c r="H873">
        <v>0</v>
      </c>
      <c r="I873" s="8">
        <f t="shared" si="53"/>
        <v>5.2383068370357666E-2</v>
      </c>
      <c r="J873" s="8">
        <f t="shared" si="54"/>
        <v>5.1057181466928399E-2</v>
      </c>
      <c r="K873" s="8">
        <f t="shared" si="51"/>
        <v>0.30125106231594745</v>
      </c>
    </row>
    <row r="874" spans="1:11" x14ac:dyDescent="0.25">
      <c r="A874" t="str">
        <f t="shared" si="52"/>
        <v>72020</v>
      </c>
      <c r="B874" s="1">
        <v>44028</v>
      </c>
      <c r="C874" t="s">
        <v>554</v>
      </c>
      <c r="D874">
        <v>16971.25</v>
      </c>
      <c r="E874">
        <v>17491.150000000001</v>
      </c>
      <c r="F874">
        <v>16715.75</v>
      </c>
      <c r="G874">
        <v>16926.05</v>
      </c>
      <c r="H874">
        <v>0</v>
      </c>
      <c r="I874" s="8">
        <f t="shared" si="53"/>
        <v>2.8323465888206778E-2</v>
      </c>
      <c r="J874" s="8">
        <f t="shared" si="54"/>
        <v>2.7929773072578164E-2</v>
      </c>
      <c r="K874" s="8">
        <f t="shared" si="51"/>
        <v>0.31744326783497367</v>
      </c>
    </row>
    <row r="875" spans="1:11" x14ac:dyDescent="0.25">
      <c r="A875" t="str">
        <f t="shared" si="52"/>
        <v>72020</v>
      </c>
      <c r="B875" s="1">
        <v>44029</v>
      </c>
      <c r="C875" t="s">
        <v>555</v>
      </c>
      <c r="D875">
        <v>16936.95</v>
      </c>
      <c r="E875">
        <v>16975.2</v>
      </c>
      <c r="F875">
        <v>16693.349999999999</v>
      </c>
      <c r="G875">
        <v>16821.349999999999</v>
      </c>
      <c r="H875">
        <v>0</v>
      </c>
      <c r="I875" s="8">
        <f t="shared" si="53"/>
        <v>-6.185731461268329E-3</v>
      </c>
      <c r="J875" s="8">
        <f t="shared" si="54"/>
        <v>-6.2049423614093206E-3</v>
      </c>
      <c r="K875" s="8">
        <f t="shared" si="51"/>
        <v>0.35559298403961681</v>
      </c>
    </row>
    <row r="876" spans="1:11" x14ac:dyDescent="0.25">
      <c r="A876" t="str">
        <f t="shared" si="52"/>
        <v>72020</v>
      </c>
      <c r="B876" s="1">
        <v>44032</v>
      </c>
      <c r="C876" t="s">
        <v>556</v>
      </c>
      <c r="D876">
        <v>16880.349999999999</v>
      </c>
      <c r="E876">
        <v>17376.150000000001</v>
      </c>
      <c r="F876">
        <v>16849.150000000001</v>
      </c>
      <c r="G876">
        <v>17258.3</v>
      </c>
      <c r="H876">
        <v>0</v>
      </c>
      <c r="I876" s="8">
        <f t="shared" si="53"/>
        <v>2.5975917509593494E-2</v>
      </c>
      <c r="J876" s="8">
        <f t="shared" si="54"/>
        <v>2.5644274260229253E-2</v>
      </c>
      <c r="K876" s="8">
        <f t="shared" si="51"/>
        <v>0.37283335852298483</v>
      </c>
    </row>
    <row r="877" spans="1:11" x14ac:dyDescent="0.25">
      <c r="A877" t="str">
        <f t="shared" si="52"/>
        <v>72020</v>
      </c>
      <c r="B877" s="1">
        <v>44033</v>
      </c>
      <c r="C877" t="s">
        <v>557</v>
      </c>
      <c r="D877">
        <v>17453.349999999999</v>
      </c>
      <c r="E877">
        <v>17514.05</v>
      </c>
      <c r="F877">
        <v>17219.7</v>
      </c>
      <c r="G877">
        <v>17273.2</v>
      </c>
      <c r="H877">
        <v>0</v>
      </c>
      <c r="I877" s="8">
        <f t="shared" si="53"/>
        <v>8.6335270565474076E-4</v>
      </c>
      <c r="J877" s="8">
        <f t="shared" si="54"/>
        <v>8.6298023107676618E-4</v>
      </c>
      <c r="K877" s="8">
        <f t="shared" si="51"/>
        <v>0.31573254520802552</v>
      </c>
    </row>
    <row r="878" spans="1:11" x14ac:dyDescent="0.25">
      <c r="A878" t="str">
        <f t="shared" si="52"/>
        <v>72020</v>
      </c>
      <c r="B878" s="1">
        <v>44034</v>
      </c>
      <c r="C878" t="s">
        <v>558</v>
      </c>
      <c r="D878">
        <v>17317.3</v>
      </c>
      <c r="E878">
        <v>17321.7</v>
      </c>
      <c r="F878">
        <v>16978.400000000001</v>
      </c>
      <c r="G878">
        <v>17076.05</v>
      </c>
      <c r="H878">
        <v>0</v>
      </c>
      <c r="I878" s="8">
        <f t="shared" si="53"/>
        <v>-1.141363499525283E-2</v>
      </c>
      <c r="J878" s="8">
        <f t="shared" si="54"/>
        <v>-1.1479270431028249E-2</v>
      </c>
      <c r="K878" s="8">
        <f t="shared" si="51"/>
        <v>0.33238011266990197</v>
      </c>
    </row>
    <row r="879" spans="1:11" x14ac:dyDescent="0.25">
      <c r="A879" t="str">
        <f t="shared" si="52"/>
        <v>72020</v>
      </c>
      <c r="B879" s="1">
        <v>44035</v>
      </c>
      <c r="C879" t="s">
        <v>559</v>
      </c>
      <c r="D879">
        <v>17071.8</v>
      </c>
      <c r="E879">
        <v>17082.55</v>
      </c>
      <c r="F879">
        <v>16949.150000000001</v>
      </c>
      <c r="G879">
        <v>17045.2</v>
      </c>
      <c r="H879">
        <v>0</v>
      </c>
      <c r="I879" s="8">
        <f t="shared" si="53"/>
        <v>-1.8066238972126447E-3</v>
      </c>
      <c r="J879" s="8">
        <f t="shared" si="54"/>
        <v>-1.8082578103732346E-3</v>
      </c>
      <c r="K879" s="8">
        <f t="shared" si="51"/>
        <v>0.29906296323111925</v>
      </c>
    </row>
    <row r="880" spans="1:11" x14ac:dyDescent="0.25">
      <c r="A880" t="str">
        <f t="shared" si="52"/>
        <v>72020</v>
      </c>
      <c r="B880" s="1">
        <v>44036</v>
      </c>
      <c r="C880" t="s">
        <v>560</v>
      </c>
      <c r="D880">
        <v>16944.55</v>
      </c>
      <c r="E880">
        <v>17322.7</v>
      </c>
      <c r="F880">
        <v>16944.55</v>
      </c>
      <c r="G880">
        <v>17286</v>
      </c>
      <c r="H880">
        <v>0</v>
      </c>
      <c r="I880" s="8">
        <f t="shared" si="53"/>
        <v>1.412714429868811E-2</v>
      </c>
      <c r="J880" s="8">
        <f t="shared" si="54"/>
        <v>1.4028286163188054E-2</v>
      </c>
      <c r="K880" s="8">
        <f t="shared" si="51"/>
        <v>0.31616115855074556</v>
      </c>
    </row>
    <row r="881" spans="1:11" x14ac:dyDescent="0.25">
      <c r="A881" t="str">
        <f t="shared" si="52"/>
        <v>72020</v>
      </c>
      <c r="B881" s="1">
        <v>44039</v>
      </c>
      <c r="C881" t="s">
        <v>561</v>
      </c>
      <c r="D881">
        <v>17323</v>
      </c>
      <c r="E881">
        <v>17735.650000000001</v>
      </c>
      <c r="F881">
        <v>17290.55</v>
      </c>
      <c r="G881">
        <v>17626.75</v>
      </c>
      <c r="H881">
        <v>0</v>
      </c>
      <c r="I881" s="8">
        <f t="shared" si="53"/>
        <v>1.9712484091171989E-2</v>
      </c>
      <c r="J881" s="8">
        <f t="shared" si="54"/>
        <v>1.9520709219024462E-2</v>
      </c>
      <c r="K881" s="8">
        <f t="shared" si="51"/>
        <v>0.312984405900953</v>
      </c>
    </row>
    <row r="882" spans="1:11" x14ac:dyDescent="0.25">
      <c r="A882" t="str">
        <f t="shared" si="52"/>
        <v>72020</v>
      </c>
      <c r="B882" s="1">
        <v>44040</v>
      </c>
      <c r="C882" t="s">
        <v>562</v>
      </c>
      <c r="D882">
        <v>17647.900000000001</v>
      </c>
      <c r="E882">
        <v>18103.650000000001</v>
      </c>
      <c r="F882">
        <v>17634.400000000001</v>
      </c>
      <c r="G882">
        <v>18042.75</v>
      </c>
      <c r="H882">
        <v>0</v>
      </c>
      <c r="I882" s="8">
        <f t="shared" si="53"/>
        <v>2.3600493568014524E-2</v>
      </c>
      <c r="J882" s="8">
        <f t="shared" si="54"/>
        <v>2.3326307491749455E-2</v>
      </c>
      <c r="K882" s="8">
        <f t="shared" si="51"/>
        <v>0.27886578208726709</v>
      </c>
    </row>
    <row r="883" spans="1:11" x14ac:dyDescent="0.25">
      <c r="A883" t="str">
        <f t="shared" si="52"/>
        <v>72020</v>
      </c>
      <c r="B883" s="1">
        <v>44041</v>
      </c>
      <c r="C883" t="s">
        <v>563</v>
      </c>
      <c r="D883">
        <v>17959.8</v>
      </c>
      <c r="E883">
        <v>18108.7</v>
      </c>
      <c r="F883">
        <v>17783.3</v>
      </c>
      <c r="G883">
        <v>17880.5</v>
      </c>
      <c r="H883">
        <v>0</v>
      </c>
      <c r="I883" s="8">
        <f t="shared" si="53"/>
        <v>-8.9925316262764454E-3</v>
      </c>
      <c r="J883" s="8">
        <f t="shared" si="54"/>
        <v>-9.0332084810268443E-3</v>
      </c>
      <c r="K883" s="8">
        <f t="shared" si="51"/>
        <v>0.32898526487912738</v>
      </c>
    </row>
    <row r="884" spans="1:11" x14ac:dyDescent="0.25">
      <c r="A884" t="str">
        <f t="shared" si="52"/>
        <v>72020</v>
      </c>
      <c r="B884" s="1">
        <v>44042</v>
      </c>
      <c r="C884" t="s">
        <v>564</v>
      </c>
      <c r="D884">
        <v>17995.25</v>
      </c>
      <c r="E884">
        <v>18252.7</v>
      </c>
      <c r="F884">
        <v>17967.2</v>
      </c>
      <c r="G884">
        <v>18003.55</v>
      </c>
      <c r="H884">
        <v>0</v>
      </c>
      <c r="I884" s="8">
        <f t="shared" si="53"/>
        <v>6.881798607421441E-3</v>
      </c>
      <c r="J884" s="8">
        <f t="shared" si="54"/>
        <v>6.858227112447584E-3</v>
      </c>
      <c r="K884" s="8">
        <f t="shared" si="51"/>
        <v>0.34474774145600007</v>
      </c>
    </row>
    <row r="885" spans="1:11" x14ac:dyDescent="0.25">
      <c r="A885" t="str">
        <f t="shared" si="52"/>
        <v>72020</v>
      </c>
      <c r="B885" s="1">
        <v>44043</v>
      </c>
      <c r="C885" t="s">
        <v>565</v>
      </c>
      <c r="D885">
        <v>18166.3</v>
      </c>
      <c r="E885">
        <v>18353.5</v>
      </c>
      <c r="F885">
        <v>17909.3</v>
      </c>
      <c r="G885">
        <v>18071.849999999999</v>
      </c>
      <c r="H885">
        <v>0</v>
      </c>
      <c r="I885" s="8">
        <f t="shared" si="53"/>
        <v>3.7936962432407739E-3</v>
      </c>
      <c r="J885" s="8">
        <f t="shared" si="54"/>
        <v>3.786518325812427E-3</v>
      </c>
      <c r="K885" s="8">
        <f t="shared" si="51"/>
        <v>0.34917915294855417</v>
      </c>
    </row>
    <row r="886" spans="1:11" x14ac:dyDescent="0.25">
      <c r="A886" t="str">
        <f t="shared" si="52"/>
        <v>82020</v>
      </c>
      <c r="B886" s="1">
        <v>44046</v>
      </c>
      <c r="C886" s="10">
        <v>43898.645833333336</v>
      </c>
      <c r="D886">
        <v>18099.400000000001</v>
      </c>
      <c r="E886">
        <v>18140.849999999999</v>
      </c>
      <c r="F886">
        <v>17840.3</v>
      </c>
      <c r="G886">
        <v>17965.8</v>
      </c>
      <c r="H886">
        <v>0</v>
      </c>
      <c r="I886" s="8">
        <f t="shared" si="53"/>
        <v>-5.8682425982951036E-3</v>
      </c>
      <c r="J886" s="8">
        <f t="shared" si="54"/>
        <v>-5.8855283918853186E-3</v>
      </c>
      <c r="K886" s="8">
        <f t="shared" si="51"/>
        <v>0.35155386038953695</v>
      </c>
    </row>
    <row r="887" spans="1:11" x14ac:dyDescent="0.25">
      <c r="A887" t="str">
        <f t="shared" si="52"/>
        <v>82020</v>
      </c>
      <c r="B887" s="1">
        <v>44047</v>
      </c>
      <c r="C887" s="10">
        <v>43929.645833333336</v>
      </c>
      <c r="D887">
        <v>18029.400000000001</v>
      </c>
      <c r="E887">
        <v>18092</v>
      </c>
      <c r="F887">
        <v>17716.400000000001</v>
      </c>
      <c r="G887">
        <v>17808</v>
      </c>
      <c r="H887">
        <v>0</v>
      </c>
      <c r="I887" s="8">
        <f t="shared" si="53"/>
        <v>-8.7833550412449446E-3</v>
      </c>
      <c r="J887" s="8">
        <f t="shared" si="54"/>
        <v>-8.8221560733792691E-3</v>
      </c>
      <c r="K887" s="8">
        <f t="shared" si="51"/>
        <v>0.32859828702736582</v>
      </c>
    </row>
    <row r="888" spans="1:11" x14ac:dyDescent="0.25">
      <c r="A888" t="str">
        <f t="shared" si="52"/>
        <v>82020</v>
      </c>
      <c r="B888" s="1">
        <v>44048</v>
      </c>
      <c r="C888" s="10">
        <v>43959.645833333336</v>
      </c>
      <c r="D888">
        <v>17889.55</v>
      </c>
      <c r="E888">
        <v>18139.25</v>
      </c>
      <c r="F888">
        <v>17818.150000000001</v>
      </c>
      <c r="G888">
        <v>17869.8</v>
      </c>
      <c r="H888">
        <v>0</v>
      </c>
      <c r="I888" s="8">
        <f t="shared" si="53"/>
        <v>3.4703504043125388E-3</v>
      </c>
      <c r="J888" s="8">
        <f t="shared" si="54"/>
        <v>3.4643426337153766E-3</v>
      </c>
      <c r="K888" s="8">
        <f t="shared" si="51"/>
        <v>0.31457934093743001</v>
      </c>
    </row>
    <row r="889" spans="1:11" x14ac:dyDescent="0.25">
      <c r="A889" t="str">
        <f t="shared" si="52"/>
        <v>82020</v>
      </c>
      <c r="B889" s="1">
        <v>44049</v>
      </c>
      <c r="C889" s="10">
        <v>43990.645833333336</v>
      </c>
      <c r="D889">
        <v>18009.7</v>
      </c>
      <c r="E889">
        <v>18222.8</v>
      </c>
      <c r="F889">
        <v>17943.849999999999</v>
      </c>
      <c r="G889">
        <v>18188.75</v>
      </c>
      <c r="H889">
        <v>0</v>
      </c>
      <c r="I889" s="8">
        <f t="shared" si="53"/>
        <v>1.7848548948505405E-2</v>
      </c>
      <c r="J889" s="8">
        <f t="shared" si="54"/>
        <v>1.7691133925446946E-2</v>
      </c>
      <c r="K889" s="8">
        <f t="shared" si="51"/>
        <v>0.32883417654472069</v>
      </c>
    </row>
    <row r="890" spans="1:11" x14ac:dyDescent="0.25">
      <c r="A890" t="str">
        <f t="shared" si="52"/>
        <v>82020</v>
      </c>
      <c r="B890" s="1">
        <v>44050</v>
      </c>
      <c r="C890" s="10">
        <v>44020.645833333336</v>
      </c>
      <c r="D890">
        <v>18182.3</v>
      </c>
      <c r="E890">
        <v>18182.3</v>
      </c>
      <c r="F890">
        <v>17977.7</v>
      </c>
      <c r="G890">
        <v>18004.150000000001</v>
      </c>
      <c r="H890">
        <v>0</v>
      </c>
      <c r="I890" s="8">
        <f t="shared" si="53"/>
        <v>-1.0149130643941962E-2</v>
      </c>
      <c r="J890" s="8">
        <f t="shared" si="54"/>
        <v>-1.0200984214478759E-2</v>
      </c>
      <c r="K890" s="8">
        <f t="shared" si="51"/>
        <v>0.30683133785054029</v>
      </c>
    </row>
    <row r="891" spans="1:11" x14ac:dyDescent="0.25">
      <c r="A891" t="str">
        <f t="shared" si="52"/>
        <v>82020</v>
      </c>
      <c r="B891" s="1">
        <v>44053</v>
      </c>
      <c r="C891" s="10">
        <v>44112.645833333336</v>
      </c>
      <c r="D891">
        <v>18090.25</v>
      </c>
      <c r="E891">
        <v>18205.25</v>
      </c>
      <c r="F891">
        <v>18016.8</v>
      </c>
      <c r="G891">
        <v>18159.55</v>
      </c>
      <c r="H891">
        <v>0</v>
      </c>
      <c r="I891" s="8">
        <f t="shared" si="53"/>
        <v>8.6313433291766994E-3</v>
      </c>
      <c r="J891" s="8">
        <f t="shared" si="54"/>
        <v>8.5943062525689409E-3</v>
      </c>
      <c r="K891" s="8">
        <f t="shared" si="51"/>
        <v>0.36602162670427818</v>
      </c>
    </row>
    <row r="892" spans="1:11" x14ac:dyDescent="0.25">
      <c r="A892" t="str">
        <f t="shared" si="52"/>
        <v>82020</v>
      </c>
      <c r="B892" s="1">
        <v>44054</v>
      </c>
      <c r="C892" s="10">
        <v>44143.645833333336</v>
      </c>
      <c r="D892">
        <v>18202.5</v>
      </c>
      <c r="E892">
        <v>18331.650000000001</v>
      </c>
      <c r="F892">
        <v>18036.5</v>
      </c>
      <c r="G892">
        <v>18057.099999999999</v>
      </c>
      <c r="H892">
        <v>0</v>
      </c>
      <c r="I892" s="8">
        <f t="shared" si="53"/>
        <v>-5.6416596226228632E-3</v>
      </c>
      <c r="J892" s="8">
        <f t="shared" si="54"/>
        <v>-5.6576338935360867E-3</v>
      </c>
      <c r="K892" s="8">
        <f t="shared" si="51"/>
        <v>0.36834048808950937</v>
      </c>
    </row>
    <row r="893" spans="1:11" x14ac:dyDescent="0.25">
      <c r="A893" t="str">
        <f t="shared" si="52"/>
        <v>82020</v>
      </c>
      <c r="B893" s="1">
        <v>44055</v>
      </c>
      <c r="C893" s="10">
        <v>44173.645833333336</v>
      </c>
      <c r="D893">
        <v>18077.150000000001</v>
      </c>
      <c r="E893">
        <v>18109.8</v>
      </c>
      <c r="F893">
        <v>17900</v>
      </c>
      <c r="G893">
        <v>18066</v>
      </c>
      <c r="H893">
        <v>0</v>
      </c>
      <c r="I893" s="8">
        <f t="shared" si="53"/>
        <v>4.9288091664778655E-4</v>
      </c>
      <c r="J893" s="8">
        <f t="shared" si="54"/>
        <v>4.9275949074615688E-4</v>
      </c>
      <c r="K893" s="8">
        <f t="shared" si="51"/>
        <v>0.35687676500630894</v>
      </c>
    </row>
    <row r="894" spans="1:11" x14ac:dyDescent="0.25">
      <c r="A894" t="str">
        <f t="shared" si="52"/>
        <v>82020</v>
      </c>
      <c r="B894" s="1">
        <v>44056</v>
      </c>
      <c r="C894" t="s">
        <v>566</v>
      </c>
      <c r="D894">
        <v>18141.349999999999</v>
      </c>
      <c r="E894">
        <v>18344.05</v>
      </c>
      <c r="F894">
        <v>18032.900000000001</v>
      </c>
      <c r="G894">
        <v>18107.2</v>
      </c>
      <c r="H894">
        <v>0</v>
      </c>
      <c r="I894" s="8">
        <f t="shared" si="53"/>
        <v>2.2805269567143238E-3</v>
      </c>
      <c r="J894" s="8">
        <f t="shared" si="54"/>
        <v>2.2779305018883634E-3</v>
      </c>
      <c r="K894" s="8">
        <f t="shared" si="51"/>
        <v>0.34660062766796074</v>
      </c>
    </row>
    <row r="895" spans="1:11" x14ac:dyDescent="0.25">
      <c r="A895" t="str">
        <f t="shared" si="52"/>
        <v>82020</v>
      </c>
      <c r="B895" s="1">
        <v>44057</v>
      </c>
      <c r="C895" t="s">
        <v>567</v>
      </c>
      <c r="D895">
        <v>18137.3</v>
      </c>
      <c r="E895">
        <v>18230.099999999999</v>
      </c>
      <c r="F895">
        <v>17994.650000000001</v>
      </c>
      <c r="G895">
        <v>18022.650000000001</v>
      </c>
      <c r="H895">
        <v>0</v>
      </c>
      <c r="I895" s="8">
        <f t="shared" si="53"/>
        <v>-4.66941327206849E-3</v>
      </c>
      <c r="J895" s="8">
        <f t="shared" si="54"/>
        <v>-4.6803490379075342E-3</v>
      </c>
      <c r="K895" s="8">
        <f t="shared" si="51"/>
        <v>0.33329264503528799</v>
      </c>
    </row>
    <row r="896" spans="1:11" x14ac:dyDescent="0.25">
      <c r="A896" t="str">
        <f t="shared" si="52"/>
        <v>82020</v>
      </c>
      <c r="B896" s="1">
        <v>44060</v>
      </c>
      <c r="C896" t="s">
        <v>568</v>
      </c>
      <c r="D896">
        <v>18136.650000000001</v>
      </c>
      <c r="E896">
        <v>18306.95</v>
      </c>
      <c r="F896">
        <v>18103.3</v>
      </c>
      <c r="G896">
        <v>18223.599999999999</v>
      </c>
      <c r="H896">
        <v>0</v>
      </c>
      <c r="I896" s="8">
        <f t="shared" si="53"/>
        <v>1.114985865008733E-2</v>
      </c>
      <c r="J896" s="8">
        <f t="shared" si="54"/>
        <v>1.1088157194170396E-2</v>
      </c>
      <c r="K896" s="8">
        <f t="shared" ref="K896:K959" si="55">+G896/G835-1</f>
        <v>0.33526769686178826</v>
      </c>
    </row>
    <row r="897" spans="1:11" x14ac:dyDescent="0.25">
      <c r="A897" t="str">
        <f t="shared" si="52"/>
        <v>82020</v>
      </c>
      <c r="B897" s="1">
        <v>44061</v>
      </c>
      <c r="C897" t="s">
        <v>569</v>
      </c>
      <c r="D897">
        <v>18318.599999999999</v>
      </c>
      <c r="E897">
        <v>18375.150000000001</v>
      </c>
      <c r="F897">
        <v>18209.55</v>
      </c>
      <c r="G897">
        <v>18270.349999999999</v>
      </c>
      <c r="H897">
        <v>0</v>
      </c>
      <c r="I897" s="8">
        <f t="shared" si="53"/>
        <v>2.565354814636045E-3</v>
      </c>
      <c r="J897" s="8">
        <f t="shared" si="54"/>
        <v>2.5620699087402945E-3</v>
      </c>
      <c r="K897" s="8">
        <f t="shared" si="55"/>
        <v>0.31985927549999449</v>
      </c>
    </row>
    <row r="898" spans="1:11" x14ac:dyDescent="0.25">
      <c r="A898" t="str">
        <f t="shared" si="52"/>
        <v>82020</v>
      </c>
      <c r="B898" s="1">
        <v>44062</v>
      </c>
      <c r="C898" t="s">
        <v>570</v>
      </c>
      <c r="D898">
        <v>18340</v>
      </c>
      <c r="E898">
        <v>18354.8</v>
      </c>
      <c r="F898">
        <v>18187.55</v>
      </c>
      <c r="G898">
        <v>18210.849999999999</v>
      </c>
      <c r="H898">
        <v>0</v>
      </c>
      <c r="I898" s="8">
        <f t="shared" si="53"/>
        <v>-3.2566425930538045E-3</v>
      </c>
      <c r="J898" s="8">
        <f t="shared" si="54"/>
        <v>-3.2619569947512652E-3</v>
      </c>
      <c r="K898" s="8">
        <f t="shared" si="55"/>
        <v>0.34150402027263427</v>
      </c>
    </row>
    <row r="899" spans="1:11" x14ac:dyDescent="0.25">
      <c r="A899" t="str">
        <f t="shared" ref="A899:A962" si="56">+MONTH(B899)&amp;YEAR(B899)</f>
        <v>82020</v>
      </c>
      <c r="B899" s="1">
        <v>44063</v>
      </c>
      <c r="C899" t="s">
        <v>571</v>
      </c>
      <c r="D899">
        <v>18181.400000000001</v>
      </c>
      <c r="E899">
        <v>18252.3</v>
      </c>
      <c r="F899">
        <v>18083.25</v>
      </c>
      <c r="G899">
        <v>18126.099999999999</v>
      </c>
      <c r="H899">
        <v>0</v>
      </c>
      <c r="I899" s="8">
        <f t="shared" si="53"/>
        <v>-4.6538190144885805E-3</v>
      </c>
      <c r="J899" s="8">
        <f t="shared" si="54"/>
        <v>-4.6646817454237422E-3</v>
      </c>
      <c r="K899" s="8">
        <f t="shared" si="55"/>
        <v>0.29909194504368264</v>
      </c>
    </row>
    <row r="900" spans="1:11" x14ac:dyDescent="0.25">
      <c r="A900" t="str">
        <f t="shared" si="56"/>
        <v>82020</v>
      </c>
      <c r="B900" s="1">
        <v>44064</v>
      </c>
      <c r="C900" t="s">
        <v>572</v>
      </c>
      <c r="D900">
        <v>18266.900000000001</v>
      </c>
      <c r="E900">
        <v>18282.55</v>
      </c>
      <c r="F900">
        <v>18047.95</v>
      </c>
      <c r="G900">
        <v>18065.3</v>
      </c>
      <c r="H900">
        <v>0</v>
      </c>
      <c r="I900" s="8">
        <f t="shared" ref="I900:I963" si="57">+G900/G899-1</f>
        <v>-3.3542791885733392E-3</v>
      </c>
      <c r="J900" s="8">
        <f t="shared" ref="J900:J963" si="58">+LN(1+I900)</f>
        <v>-3.3599173946194912E-3</v>
      </c>
      <c r="K900" s="8">
        <f t="shared" si="55"/>
        <v>0.2877478864605163</v>
      </c>
    </row>
    <row r="901" spans="1:11" x14ac:dyDescent="0.25">
      <c r="A901" t="str">
        <f t="shared" si="56"/>
        <v>82020</v>
      </c>
      <c r="B901" s="1">
        <v>44067</v>
      </c>
      <c r="C901" t="s">
        <v>573</v>
      </c>
      <c r="D901">
        <v>18092.55</v>
      </c>
      <c r="E901">
        <v>18112.900000000001</v>
      </c>
      <c r="F901">
        <v>17915.599999999999</v>
      </c>
      <c r="G901">
        <v>18010.95</v>
      </c>
      <c r="H901">
        <v>0</v>
      </c>
      <c r="I901" s="8">
        <f t="shared" si="57"/>
        <v>-3.0085301655659036E-3</v>
      </c>
      <c r="J901" s="8">
        <f t="shared" si="58"/>
        <v>-3.013064889965169E-3</v>
      </c>
      <c r="K901" s="8">
        <f t="shared" si="55"/>
        <v>0.28553227936190728</v>
      </c>
    </row>
    <row r="902" spans="1:11" x14ac:dyDescent="0.25">
      <c r="A902" t="str">
        <f t="shared" si="56"/>
        <v>82020</v>
      </c>
      <c r="B902" s="1">
        <v>44068</v>
      </c>
      <c r="C902" t="s">
        <v>574</v>
      </c>
      <c r="D902">
        <v>18028.8</v>
      </c>
      <c r="E902">
        <v>18047.5</v>
      </c>
      <c r="F902">
        <v>17914.5</v>
      </c>
      <c r="G902">
        <v>17973.7</v>
      </c>
      <c r="H902">
        <v>0</v>
      </c>
      <c r="I902" s="8">
        <f t="shared" si="57"/>
        <v>-2.0681862977799392E-3</v>
      </c>
      <c r="J902" s="8">
        <f t="shared" si="58"/>
        <v>-2.0703279484589835E-3</v>
      </c>
      <c r="K902" s="8">
        <f t="shared" si="55"/>
        <v>0.25627835130809173</v>
      </c>
    </row>
    <row r="903" spans="1:11" x14ac:dyDescent="0.25">
      <c r="A903" t="str">
        <f t="shared" si="56"/>
        <v>82020</v>
      </c>
      <c r="B903" s="1">
        <v>44069</v>
      </c>
      <c r="C903" t="s">
        <v>575</v>
      </c>
      <c r="D903">
        <v>18022.7</v>
      </c>
      <c r="E903">
        <v>18156.150000000001</v>
      </c>
      <c r="F903">
        <v>17940.7</v>
      </c>
      <c r="G903">
        <v>18128</v>
      </c>
      <c r="H903">
        <v>0</v>
      </c>
      <c r="I903" s="8">
        <f t="shared" si="57"/>
        <v>8.5847655185076199E-3</v>
      </c>
      <c r="J903" s="8">
        <f t="shared" si="58"/>
        <v>8.5481259643260879E-3</v>
      </c>
      <c r="K903" s="8">
        <f t="shared" si="55"/>
        <v>0.25693365875305085</v>
      </c>
    </row>
    <row r="904" spans="1:11" x14ac:dyDescent="0.25">
      <c r="A904" t="str">
        <f t="shared" si="56"/>
        <v>82020</v>
      </c>
      <c r="B904" s="1">
        <v>44070</v>
      </c>
      <c r="C904" t="s">
        <v>576</v>
      </c>
      <c r="D904">
        <v>18231.95</v>
      </c>
      <c r="E904">
        <v>18305.55</v>
      </c>
      <c r="F904">
        <v>18075.75</v>
      </c>
      <c r="G904">
        <v>18102.650000000001</v>
      </c>
      <c r="H904">
        <v>0</v>
      </c>
      <c r="I904" s="8">
        <f t="shared" si="57"/>
        <v>-1.3983892321269842E-3</v>
      </c>
      <c r="J904" s="8">
        <f t="shared" si="58"/>
        <v>-1.3993678908194996E-3</v>
      </c>
      <c r="K904" s="8">
        <f t="shared" si="55"/>
        <v>0.26048100155274101</v>
      </c>
    </row>
    <row r="905" spans="1:11" x14ac:dyDescent="0.25">
      <c r="A905" t="str">
        <f t="shared" si="56"/>
        <v>82020</v>
      </c>
      <c r="B905" s="1">
        <v>44071</v>
      </c>
      <c r="C905" t="s">
        <v>577</v>
      </c>
      <c r="D905">
        <v>18216.3</v>
      </c>
      <c r="E905">
        <v>18253.599999999999</v>
      </c>
      <c r="F905">
        <v>18093.45</v>
      </c>
      <c r="G905">
        <v>18122</v>
      </c>
      <c r="H905">
        <v>0</v>
      </c>
      <c r="I905" s="8">
        <f t="shared" si="57"/>
        <v>1.0689042764455703E-3</v>
      </c>
      <c r="J905" s="8">
        <f t="shared" si="58"/>
        <v>1.0683334050378456E-3</v>
      </c>
      <c r="K905" s="8">
        <f t="shared" si="55"/>
        <v>0.2389035682911238</v>
      </c>
    </row>
    <row r="906" spans="1:11" x14ac:dyDescent="0.25">
      <c r="A906" t="str">
        <f t="shared" si="56"/>
        <v>82020</v>
      </c>
      <c r="B906" s="1">
        <v>44074</v>
      </c>
      <c r="C906" t="s">
        <v>578</v>
      </c>
      <c r="D906">
        <v>18163.25</v>
      </c>
      <c r="E906">
        <v>18426.400000000001</v>
      </c>
      <c r="F906">
        <v>17791.849999999999</v>
      </c>
      <c r="G906">
        <v>17928.849999999999</v>
      </c>
      <c r="H906">
        <v>0</v>
      </c>
      <c r="I906" s="8">
        <f t="shared" si="57"/>
        <v>-1.0658315859176759E-2</v>
      </c>
      <c r="J906" s="8">
        <f t="shared" si="58"/>
        <v>-1.0715522555449216E-2</v>
      </c>
      <c r="K906" s="8">
        <f t="shared" si="55"/>
        <v>0.22569894274121594</v>
      </c>
    </row>
    <row r="907" spans="1:11" x14ac:dyDescent="0.25">
      <c r="A907" t="str">
        <f t="shared" si="56"/>
        <v>92020</v>
      </c>
      <c r="B907" s="1">
        <v>44075</v>
      </c>
      <c r="C907" s="10">
        <v>43839.645833333336</v>
      </c>
      <c r="D907">
        <v>17954.599999999999</v>
      </c>
      <c r="E907">
        <v>18154.400000000001</v>
      </c>
      <c r="F907">
        <v>17775.650000000001</v>
      </c>
      <c r="G907">
        <v>17814.05</v>
      </c>
      <c r="H907">
        <v>0</v>
      </c>
      <c r="I907" s="8">
        <f t="shared" si="57"/>
        <v>-6.4030877607877956E-3</v>
      </c>
      <c r="J907" s="8">
        <f t="shared" si="58"/>
        <v>-6.423675457497658E-3</v>
      </c>
      <c r="K907" s="8">
        <f t="shared" si="55"/>
        <v>0.19600727780537897</v>
      </c>
    </row>
    <row r="908" spans="1:11" x14ac:dyDescent="0.25">
      <c r="A908" t="str">
        <f t="shared" si="56"/>
        <v>92020</v>
      </c>
      <c r="B908" s="1">
        <v>44076</v>
      </c>
      <c r="C908" s="10">
        <v>43870.645833333336</v>
      </c>
      <c r="D908">
        <v>17860.650000000001</v>
      </c>
      <c r="E908">
        <v>18114.849999999999</v>
      </c>
      <c r="F908">
        <v>17858.3</v>
      </c>
      <c r="G908">
        <v>18077</v>
      </c>
      <c r="H908">
        <v>0</v>
      </c>
      <c r="I908" s="8">
        <f t="shared" si="57"/>
        <v>1.4760820812785402E-2</v>
      </c>
      <c r="J908" s="8">
        <f t="shared" si="58"/>
        <v>1.4652940205795217E-2</v>
      </c>
      <c r="K908" s="8">
        <f t="shared" si="55"/>
        <v>0.22656968282347822</v>
      </c>
    </row>
    <row r="909" spans="1:11" x14ac:dyDescent="0.25">
      <c r="A909" t="str">
        <f t="shared" si="56"/>
        <v>92020</v>
      </c>
      <c r="B909" s="1">
        <v>44077</v>
      </c>
      <c r="C909" s="10">
        <v>43899.645833333336</v>
      </c>
      <c r="D909">
        <v>18148.25</v>
      </c>
      <c r="E909">
        <v>18497.95</v>
      </c>
      <c r="F909">
        <v>18108</v>
      </c>
      <c r="G909">
        <v>18348.55</v>
      </c>
      <c r="H909">
        <v>0</v>
      </c>
      <c r="I909" s="8">
        <f t="shared" si="57"/>
        <v>1.5021850970846851E-2</v>
      </c>
      <c r="J909" s="8">
        <f t="shared" si="58"/>
        <v>1.4910140312120929E-2</v>
      </c>
      <c r="K909" s="8">
        <f t="shared" si="55"/>
        <v>0.23625442577002498</v>
      </c>
    </row>
    <row r="910" spans="1:11" x14ac:dyDescent="0.25">
      <c r="A910" t="str">
        <f t="shared" si="56"/>
        <v>92020</v>
      </c>
      <c r="B910" s="1">
        <v>44078</v>
      </c>
      <c r="C910" s="10">
        <v>43930.645833333336</v>
      </c>
      <c r="D910">
        <v>18049.2</v>
      </c>
      <c r="E910">
        <v>18259.8</v>
      </c>
      <c r="F910">
        <v>18012.8</v>
      </c>
      <c r="G910">
        <v>18073.95</v>
      </c>
      <c r="H910">
        <v>0</v>
      </c>
      <c r="I910" s="8">
        <f t="shared" si="57"/>
        <v>-1.4965760237184877E-2</v>
      </c>
      <c r="J910" s="8">
        <f t="shared" si="58"/>
        <v>-1.5078877233681039E-2</v>
      </c>
      <c r="K910" s="8">
        <f t="shared" si="55"/>
        <v>0.23629479905194795</v>
      </c>
    </row>
    <row r="911" spans="1:11" x14ac:dyDescent="0.25">
      <c r="A911" t="str">
        <f t="shared" si="56"/>
        <v>92020</v>
      </c>
      <c r="B911" s="1">
        <v>44081</v>
      </c>
      <c r="C911" s="10">
        <v>44021.645833333336</v>
      </c>
      <c r="D911">
        <v>18093.05</v>
      </c>
      <c r="E911">
        <v>18208.95</v>
      </c>
      <c r="F911">
        <v>17962.349999999999</v>
      </c>
      <c r="G911">
        <v>18176.8</v>
      </c>
      <c r="H911">
        <v>0</v>
      </c>
      <c r="I911" s="8">
        <f t="shared" si="57"/>
        <v>5.6905103754296693E-3</v>
      </c>
      <c r="J911" s="8">
        <f t="shared" si="58"/>
        <v>5.6743805834991194E-3</v>
      </c>
      <c r="K911" s="8">
        <f t="shared" si="55"/>
        <v>0.26203676381246632</v>
      </c>
    </row>
    <row r="912" spans="1:11" x14ac:dyDescent="0.25">
      <c r="A912" t="str">
        <f t="shared" si="56"/>
        <v>92020</v>
      </c>
      <c r="B912" s="1">
        <v>44082</v>
      </c>
      <c r="C912" s="10">
        <v>44052.645833333336</v>
      </c>
      <c r="D912">
        <v>18304.25</v>
      </c>
      <c r="E912">
        <v>18671.75</v>
      </c>
      <c r="F912">
        <v>18213.55</v>
      </c>
      <c r="G912">
        <v>18395.75</v>
      </c>
      <c r="H912">
        <v>0</v>
      </c>
      <c r="I912" s="8">
        <f t="shared" si="57"/>
        <v>1.2045574578583684E-2</v>
      </c>
      <c r="J912" s="8">
        <f t="shared" si="58"/>
        <v>1.1973604019827029E-2</v>
      </c>
      <c r="K912" s="8">
        <f t="shared" si="55"/>
        <v>0.27777546243236295</v>
      </c>
    </row>
    <row r="913" spans="1:11" x14ac:dyDescent="0.25">
      <c r="A913" t="str">
        <f t="shared" si="56"/>
        <v>92020</v>
      </c>
      <c r="B913" s="1">
        <v>44083</v>
      </c>
      <c r="C913" s="10">
        <v>44083.645833333336</v>
      </c>
      <c r="D913">
        <v>18264.2</v>
      </c>
      <c r="E913">
        <v>18439.55</v>
      </c>
      <c r="F913">
        <v>18193.45</v>
      </c>
      <c r="G913">
        <v>18261.5</v>
      </c>
      <c r="H913">
        <v>0</v>
      </c>
      <c r="I913" s="8">
        <f t="shared" si="57"/>
        <v>-7.2978813041055801E-3</v>
      </c>
      <c r="J913" s="8">
        <f t="shared" si="58"/>
        <v>-7.3246411126284237E-3</v>
      </c>
      <c r="K913" s="8">
        <f t="shared" si="55"/>
        <v>0.263701663575719</v>
      </c>
    </row>
    <row r="914" spans="1:11" x14ac:dyDescent="0.25">
      <c r="A914" t="str">
        <f t="shared" si="56"/>
        <v>92020</v>
      </c>
      <c r="B914" s="1">
        <v>44084</v>
      </c>
      <c r="C914" s="10">
        <v>44113.645833333336</v>
      </c>
      <c r="D914">
        <v>18385.95</v>
      </c>
      <c r="E914">
        <v>18416.75</v>
      </c>
      <c r="F914">
        <v>18217.099999999999</v>
      </c>
      <c r="G914">
        <v>18395.849999999999</v>
      </c>
      <c r="H914">
        <v>0</v>
      </c>
      <c r="I914" s="8">
        <f t="shared" si="57"/>
        <v>7.3570079128220112E-3</v>
      </c>
      <c r="J914" s="8">
        <f t="shared" si="58"/>
        <v>7.3300771360685123E-3</v>
      </c>
      <c r="K914" s="8">
        <f t="shared" si="55"/>
        <v>0.27056763672906969</v>
      </c>
    </row>
    <row r="915" spans="1:11" x14ac:dyDescent="0.25">
      <c r="A915" t="str">
        <f t="shared" si="56"/>
        <v>92020</v>
      </c>
      <c r="B915" s="1">
        <v>44085</v>
      </c>
      <c r="C915" s="10">
        <v>44144.645833333336</v>
      </c>
      <c r="D915">
        <v>18347.650000000001</v>
      </c>
      <c r="E915">
        <v>18740.849999999999</v>
      </c>
      <c r="F915">
        <v>18338.099999999999</v>
      </c>
      <c r="G915">
        <v>18633.25</v>
      </c>
      <c r="H915">
        <v>0</v>
      </c>
      <c r="I915" s="8">
        <f t="shared" si="57"/>
        <v>1.2905084570704828E-2</v>
      </c>
      <c r="J915" s="8">
        <f t="shared" si="58"/>
        <v>1.2822523513105366E-2</v>
      </c>
      <c r="K915" s="8">
        <f t="shared" si="55"/>
        <v>0.28052572803023801</v>
      </c>
    </row>
    <row r="916" spans="1:11" x14ac:dyDescent="0.25">
      <c r="A916" t="str">
        <f t="shared" si="56"/>
        <v>92020</v>
      </c>
      <c r="B916" s="1">
        <v>44088</v>
      </c>
      <c r="C916" t="s">
        <v>579</v>
      </c>
      <c r="D916">
        <v>18804.849999999999</v>
      </c>
      <c r="E916">
        <v>19592.3</v>
      </c>
      <c r="F916">
        <v>18799.55</v>
      </c>
      <c r="G916">
        <v>19505.099999999999</v>
      </c>
      <c r="H916">
        <v>0</v>
      </c>
      <c r="I916" s="8">
        <f t="shared" si="57"/>
        <v>4.679001247769432E-2</v>
      </c>
      <c r="J916" s="8">
        <f t="shared" si="58"/>
        <v>4.5728350624989131E-2</v>
      </c>
      <c r="K916" s="8">
        <f t="shared" si="55"/>
        <v>0.34519786479813508</v>
      </c>
    </row>
    <row r="917" spans="1:11" x14ac:dyDescent="0.25">
      <c r="A917" t="str">
        <f t="shared" si="56"/>
        <v>92020</v>
      </c>
      <c r="B917" s="1">
        <v>44089</v>
      </c>
      <c r="C917" t="s">
        <v>580</v>
      </c>
      <c r="D917">
        <v>19511.5</v>
      </c>
      <c r="E917">
        <v>19823</v>
      </c>
      <c r="F917">
        <v>19392.349999999999</v>
      </c>
      <c r="G917">
        <v>19627.3</v>
      </c>
      <c r="H917">
        <v>0</v>
      </c>
      <c r="I917" s="8">
        <f t="shared" si="57"/>
        <v>6.2650281208505021E-3</v>
      </c>
      <c r="J917" s="8">
        <f t="shared" si="58"/>
        <v>6.2454844175983517E-3</v>
      </c>
      <c r="K917" s="8">
        <f t="shared" si="55"/>
        <v>0.35700408609138723</v>
      </c>
    </row>
    <row r="918" spans="1:11" x14ac:dyDescent="0.25">
      <c r="A918" t="str">
        <f t="shared" si="56"/>
        <v>92020</v>
      </c>
      <c r="B918" s="1">
        <v>44090</v>
      </c>
      <c r="C918" t="s">
        <v>581</v>
      </c>
      <c r="D918">
        <v>19642.3</v>
      </c>
      <c r="E918">
        <v>19802.400000000001</v>
      </c>
      <c r="F918">
        <v>19533.7</v>
      </c>
      <c r="G918">
        <v>19770.349999999999</v>
      </c>
      <c r="H918">
        <v>0</v>
      </c>
      <c r="I918" s="8">
        <f t="shared" si="57"/>
        <v>7.2883178022447037E-3</v>
      </c>
      <c r="J918" s="8">
        <f t="shared" si="58"/>
        <v>7.2618863635020856E-3</v>
      </c>
      <c r="K918" s="8">
        <f t="shared" si="55"/>
        <v>0.34671739189667861</v>
      </c>
    </row>
    <row r="919" spans="1:11" x14ac:dyDescent="0.25">
      <c r="A919" t="str">
        <f t="shared" si="56"/>
        <v>92020</v>
      </c>
      <c r="B919" s="1">
        <v>44091</v>
      </c>
      <c r="C919" t="s">
        <v>582</v>
      </c>
      <c r="D919">
        <v>19660.45</v>
      </c>
      <c r="E919">
        <v>20014.650000000001</v>
      </c>
      <c r="F919">
        <v>19605.05</v>
      </c>
      <c r="G919">
        <v>19817.7</v>
      </c>
      <c r="H919">
        <v>0</v>
      </c>
      <c r="I919" s="8">
        <f t="shared" si="57"/>
        <v>2.3950005943245145E-3</v>
      </c>
      <c r="J919" s="8">
        <f t="shared" si="58"/>
        <v>2.3921371514546994E-3</v>
      </c>
      <c r="K919" s="8">
        <f t="shared" si="55"/>
        <v>0.35910351851153344</v>
      </c>
    </row>
    <row r="920" spans="1:11" x14ac:dyDescent="0.25">
      <c r="A920" t="str">
        <f t="shared" si="56"/>
        <v>92020</v>
      </c>
      <c r="B920" s="1">
        <v>44092</v>
      </c>
      <c r="C920" t="s">
        <v>583</v>
      </c>
      <c r="D920">
        <v>19889.95</v>
      </c>
      <c r="E920">
        <v>20067.7</v>
      </c>
      <c r="F920">
        <v>19777.75</v>
      </c>
      <c r="G920">
        <v>19827.099999999999</v>
      </c>
      <c r="H920">
        <v>0</v>
      </c>
      <c r="I920" s="8">
        <f t="shared" si="57"/>
        <v>4.7432345832243428E-4</v>
      </c>
      <c r="J920" s="8">
        <f t="shared" si="58"/>
        <v>4.7421100250975823E-4</v>
      </c>
      <c r="K920" s="8">
        <f t="shared" si="55"/>
        <v>0.3758118685466858</v>
      </c>
    </row>
    <row r="921" spans="1:11" x14ac:dyDescent="0.25">
      <c r="A921" t="str">
        <f t="shared" si="56"/>
        <v>92020</v>
      </c>
      <c r="B921" s="1">
        <v>44095</v>
      </c>
      <c r="C921" t="s">
        <v>584</v>
      </c>
      <c r="D921">
        <v>19855.55</v>
      </c>
      <c r="E921">
        <v>20331.599999999999</v>
      </c>
      <c r="F921">
        <v>19683.849999999999</v>
      </c>
      <c r="G921">
        <v>19729</v>
      </c>
      <c r="H921">
        <v>0</v>
      </c>
      <c r="I921" s="8">
        <f t="shared" si="57"/>
        <v>-4.947773501924102E-3</v>
      </c>
      <c r="J921" s="8">
        <f t="shared" si="58"/>
        <v>-4.9600542582507907E-3</v>
      </c>
      <c r="K921" s="8">
        <f t="shared" si="55"/>
        <v>0.3157359458206761</v>
      </c>
    </row>
    <row r="922" spans="1:11" x14ac:dyDescent="0.25">
      <c r="A922" t="str">
        <f t="shared" si="56"/>
        <v>92020</v>
      </c>
      <c r="B922" s="1">
        <v>44096</v>
      </c>
      <c r="C922" t="s">
        <v>585</v>
      </c>
      <c r="D922">
        <v>19813.349999999999</v>
      </c>
      <c r="E922">
        <v>20113.400000000001</v>
      </c>
      <c r="F922">
        <v>19376.7</v>
      </c>
      <c r="G922">
        <v>19866.099999999999</v>
      </c>
      <c r="H922">
        <v>0</v>
      </c>
      <c r="I922" s="8">
        <f t="shared" si="57"/>
        <v>6.9491611333569736E-3</v>
      </c>
      <c r="J922" s="8">
        <f t="shared" si="58"/>
        <v>6.9251269936266152E-3</v>
      </c>
      <c r="K922" s="8">
        <f t="shared" si="55"/>
        <v>0.345212621885157</v>
      </c>
    </row>
    <row r="923" spans="1:11" x14ac:dyDescent="0.25">
      <c r="A923" t="str">
        <f t="shared" si="56"/>
        <v>92020</v>
      </c>
      <c r="B923" s="1">
        <v>44097</v>
      </c>
      <c r="C923" t="s">
        <v>586</v>
      </c>
      <c r="D923">
        <v>20016.8</v>
      </c>
      <c r="E923">
        <v>20226.3</v>
      </c>
      <c r="F923">
        <v>19615.150000000001</v>
      </c>
      <c r="G923">
        <v>19805.650000000001</v>
      </c>
      <c r="H923">
        <v>0</v>
      </c>
      <c r="I923" s="8">
        <f t="shared" si="57"/>
        <v>-3.042872028228838E-3</v>
      </c>
      <c r="J923" s="8">
        <f t="shared" si="58"/>
        <v>-3.0475109761923806E-3</v>
      </c>
      <c r="K923" s="8">
        <f t="shared" si="55"/>
        <v>0.34236459879492775</v>
      </c>
    </row>
    <row r="924" spans="1:11" x14ac:dyDescent="0.25">
      <c r="A924" t="str">
        <f t="shared" si="56"/>
        <v>92020</v>
      </c>
      <c r="B924" s="1">
        <v>44098</v>
      </c>
      <c r="C924" t="s">
        <v>587</v>
      </c>
      <c r="D924">
        <v>19630.3</v>
      </c>
      <c r="E924">
        <v>19658</v>
      </c>
      <c r="F924">
        <v>18914.7</v>
      </c>
      <c r="G924">
        <v>18973.05</v>
      </c>
      <c r="H924">
        <v>0</v>
      </c>
      <c r="I924" s="8">
        <f t="shared" si="57"/>
        <v>-4.2038509213280117E-2</v>
      </c>
      <c r="J924" s="8">
        <f t="shared" si="58"/>
        <v>-4.294769932786114E-2</v>
      </c>
      <c r="K924" s="8">
        <f t="shared" si="55"/>
        <v>0.28786701194326691</v>
      </c>
    </row>
    <row r="925" spans="1:11" x14ac:dyDescent="0.25">
      <c r="A925" t="str">
        <f t="shared" si="56"/>
        <v>92020</v>
      </c>
      <c r="B925" s="1">
        <v>44099</v>
      </c>
      <c r="C925" t="s">
        <v>588</v>
      </c>
      <c r="D925">
        <v>19108.75</v>
      </c>
      <c r="E925">
        <v>19678.5</v>
      </c>
      <c r="F925">
        <v>19077.849999999999</v>
      </c>
      <c r="G925">
        <v>19629.349999999999</v>
      </c>
      <c r="H925">
        <v>0</v>
      </c>
      <c r="I925" s="8">
        <f t="shared" si="57"/>
        <v>3.4591170107072911E-2</v>
      </c>
      <c r="J925" s="8">
        <f t="shared" si="58"/>
        <v>3.4006343954949135E-2</v>
      </c>
      <c r="K925" s="8">
        <f t="shared" si="55"/>
        <v>0.29801852200852363</v>
      </c>
    </row>
    <row r="926" spans="1:11" x14ac:dyDescent="0.25">
      <c r="A926" t="str">
        <f t="shared" si="56"/>
        <v>92020</v>
      </c>
      <c r="B926" s="1">
        <v>44102</v>
      </c>
      <c r="C926" t="s">
        <v>589</v>
      </c>
      <c r="D926">
        <v>19774.75</v>
      </c>
      <c r="E926">
        <v>19836.95</v>
      </c>
      <c r="F926">
        <v>19463.650000000001</v>
      </c>
      <c r="G926">
        <v>19783.05</v>
      </c>
      <c r="H926">
        <v>0</v>
      </c>
      <c r="I926" s="8">
        <f t="shared" si="57"/>
        <v>7.8301115421550715E-3</v>
      </c>
      <c r="J926" s="8">
        <f t="shared" si="58"/>
        <v>7.7996153079410652E-3</v>
      </c>
      <c r="K926" s="8">
        <f t="shared" si="55"/>
        <v>0.29420250034345385</v>
      </c>
    </row>
    <row r="927" spans="1:11" x14ac:dyDescent="0.25">
      <c r="A927" t="str">
        <f t="shared" si="56"/>
        <v>92020</v>
      </c>
      <c r="B927" s="1">
        <v>44103</v>
      </c>
      <c r="C927" t="s">
        <v>590</v>
      </c>
      <c r="D927">
        <v>19891.05</v>
      </c>
      <c r="E927">
        <v>20146.349999999999</v>
      </c>
      <c r="F927">
        <v>19782.349999999999</v>
      </c>
      <c r="G927">
        <v>19831.8</v>
      </c>
      <c r="H927">
        <v>0</v>
      </c>
      <c r="I927" s="8">
        <f t="shared" si="57"/>
        <v>2.4642307429845189E-3</v>
      </c>
      <c r="J927" s="8">
        <f t="shared" si="58"/>
        <v>2.4611995051655304E-3</v>
      </c>
      <c r="K927" s="8">
        <f t="shared" si="55"/>
        <v>0.28237078037756325</v>
      </c>
    </row>
    <row r="928" spans="1:11" x14ac:dyDescent="0.25">
      <c r="A928" t="str">
        <f t="shared" si="56"/>
        <v>92020</v>
      </c>
      <c r="B928" s="1">
        <v>44104</v>
      </c>
      <c r="C928" t="s">
        <v>591</v>
      </c>
      <c r="D928">
        <v>19880.599999999999</v>
      </c>
      <c r="E928">
        <v>20048.55</v>
      </c>
      <c r="F928">
        <v>19741.650000000001</v>
      </c>
      <c r="G928">
        <v>19951.349999999999</v>
      </c>
      <c r="H928">
        <v>0</v>
      </c>
      <c r="I928" s="8">
        <f t="shared" si="57"/>
        <v>6.0281971379299026E-3</v>
      </c>
      <c r="J928" s="8">
        <f t="shared" si="58"/>
        <v>6.0101002488884203E-3</v>
      </c>
      <c r="K928" s="8">
        <f t="shared" si="55"/>
        <v>0.2639476209934144</v>
      </c>
    </row>
    <row r="929" spans="1:11" x14ac:dyDescent="0.25">
      <c r="A929" t="str">
        <f t="shared" si="56"/>
        <v>102020</v>
      </c>
      <c r="B929" s="1">
        <v>44105</v>
      </c>
      <c r="C929" s="10">
        <v>43840.645833333336</v>
      </c>
      <c r="D929">
        <v>20129.8</v>
      </c>
      <c r="E929">
        <v>20196.05</v>
      </c>
      <c r="F929">
        <v>20009.3</v>
      </c>
      <c r="G929">
        <v>20110.400000000001</v>
      </c>
      <c r="H929">
        <v>0</v>
      </c>
      <c r="I929" s="8">
        <f t="shared" si="57"/>
        <v>7.9718916263813444E-3</v>
      </c>
      <c r="J929" s="8">
        <f t="shared" si="58"/>
        <v>7.9402839690865621E-3</v>
      </c>
      <c r="K929" s="8">
        <f t="shared" si="55"/>
        <v>0.29630357781695493</v>
      </c>
    </row>
    <row r="930" spans="1:11" x14ac:dyDescent="0.25">
      <c r="A930" t="str">
        <f t="shared" si="56"/>
        <v>102020</v>
      </c>
      <c r="B930" s="1">
        <v>44109</v>
      </c>
      <c r="C930" s="10">
        <v>43961.645833333336</v>
      </c>
      <c r="D930">
        <v>20375.900000000001</v>
      </c>
      <c r="E930">
        <v>20940.900000000001</v>
      </c>
      <c r="F930">
        <v>20341.45</v>
      </c>
      <c r="G930">
        <v>20809</v>
      </c>
      <c r="H930">
        <v>0</v>
      </c>
      <c r="I930" s="8">
        <f t="shared" si="57"/>
        <v>3.4738244888216974E-2</v>
      </c>
      <c r="J930" s="8">
        <f t="shared" si="58"/>
        <v>3.414849124220648E-2</v>
      </c>
      <c r="K930" s="8">
        <f t="shared" si="55"/>
        <v>0.33940956298134317</v>
      </c>
    </row>
    <row r="931" spans="1:11" x14ac:dyDescent="0.25">
      <c r="A931" t="str">
        <f t="shared" si="56"/>
        <v>102020</v>
      </c>
      <c r="B931" s="1">
        <v>44110</v>
      </c>
      <c r="C931" s="10">
        <v>43992.645833333336</v>
      </c>
      <c r="D931">
        <v>20995.3</v>
      </c>
      <c r="E931">
        <v>20995.3</v>
      </c>
      <c r="F931">
        <v>20573.900000000001</v>
      </c>
      <c r="G931">
        <v>20896.75</v>
      </c>
      <c r="H931">
        <v>0</v>
      </c>
      <c r="I931" s="8">
        <f t="shared" si="57"/>
        <v>4.2169253688308928E-3</v>
      </c>
      <c r="J931" s="8">
        <f t="shared" si="58"/>
        <v>4.2080590560278274E-3</v>
      </c>
      <c r="K931" s="8">
        <f t="shared" si="55"/>
        <v>0.34253013131858245</v>
      </c>
    </row>
    <row r="932" spans="1:11" x14ac:dyDescent="0.25">
      <c r="A932" t="str">
        <f t="shared" si="56"/>
        <v>102020</v>
      </c>
      <c r="B932" s="1">
        <v>44111</v>
      </c>
      <c r="C932" s="10">
        <v>44022.645833333336</v>
      </c>
      <c r="D932">
        <v>20897.55</v>
      </c>
      <c r="E932">
        <v>21121.599999999999</v>
      </c>
      <c r="F932">
        <v>20771.650000000001</v>
      </c>
      <c r="G932">
        <v>21017.4</v>
      </c>
      <c r="H932">
        <v>0</v>
      </c>
      <c r="I932" s="8">
        <f t="shared" si="57"/>
        <v>5.7736250852407078E-3</v>
      </c>
      <c r="J932" s="8">
        <f t="shared" si="58"/>
        <v>5.757021589513682E-3</v>
      </c>
      <c r="K932" s="8">
        <f t="shared" si="55"/>
        <v>0.32860068777182172</v>
      </c>
    </row>
    <row r="933" spans="1:11" x14ac:dyDescent="0.25">
      <c r="A933" t="str">
        <f t="shared" si="56"/>
        <v>102020</v>
      </c>
      <c r="B933" s="1">
        <v>44112</v>
      </c>
      <c r="C933" s="10">
        <v>44053.645833333336</v>
      </c>
      <c r="D933">
        <v>21531.85</v>
      </c>
      <c r="E933">
        <v>22169.3</v>
      </c>
      <c r="F933">
        <v>21501.95</v>
      </c>
      <c r="G933">
        <v>21697.25</v>
      </c>
      <c r="H933">
        <v>0</v>
      </c>
      <c r="I933" s="8">
        <f t="shared" si="57"/>
        <v>3.2347007717415055E-2</v>
      </c>
      <c r="J933" s="8">
        <f t="shared" si="58"/>
        <v>3.1834858328945496E-2</v>
      </c>
      <c r="K933" s="8">
        <f t="shared" si="55"/>
        <v>0.38724341535304063</v>
      </c>
    </row>
    <row r="934" spans="1:11" x14ac:dyDescent="0.25">
      <c r="A934" t="str">
        <f t="shared" si="56"/>
        <v>102020</v>
      </c>
      <c r="B934" s="1">
        <v>44113</v>
      </c>
      <c r="C934" s="10">
        <v>44084.645833333336</v>
      </c>
      <c r="D934">
        <v>21703.45</v>
      </c>
      <c r="E934">
        <v>21922.75</v>
      </c>
      <c r="F934">
        <v>21540.65</v>
      </c>
      <c r="G934">
        <v>21837.65</v>
      </c>
      <c r="H934">
        <v>0</v>
      </c>
      <c r="I934" s="8">
        <f t="shared" si="57"/>
        <v>6.470866123587049E-3</v>
      </c>
      <c r="J934" s="8">
        <f t="shared" si="58"/>
        <v>6.4500199496000951E-3</v>
      </c>
      <c r="K934" s="8">
        <f t="shared" si="55"/>
        <v>0.32672229698326549</v>
      </c>
    </row>
    <row r="935" spans="1:11" x14ac:dyDescent="0.25">
      <c r="A935" t="str">
        <f t="shared" si="56"/>
        <v>102020</v>
      </c>
      <c r="B935" s="1">
        <v>44116</v>
      </c>
      <c r="C935" s="10">
        <v>44175.645833333336</v>
      </c>
      <c r="D935">
        <v>21990.85</v>
      </c>
      <c r="E935">
        <v>22320</v>
      </c>
      <c r="F935">
        <v>21845.05</v>
      </c>
      <c r="G935">
        <v>22202.1</v>
      </c>
      <c r="H935">
        <v>0</v>
      </c>
      <c r="I935" s="8">
        <f t="shared" si="57"/>
        <v>1.6689066818087017E-2</v>
      </c>
      <c r="J935" s="8">
        <f t="shared" si="58"/>
        <v>1.6551334644312295E-2</v>
      </c>
      <c r="K935" s="8">
        <f t="shared" si="55"/>
        <v>0.31171182880825699</v>
      </c>
    </row>
    <row r="936" spans="1:11" x14ac:dyDescent="0.25">
      <c r="A936" t="str">
        <f t="shared" si="56"/>
        <v>102020</v>
      </c>
      <c r="B936" s="1">
        <v>44117</v>
      </c>
      <c r="C936" t="s">
        <v>592</v>
      </c>
      <c r="D936">
        <v>22230.2</v>
      </c>
      <c r="E936">
        <v>22619</v>
      </c>
      <c r="F936">
        <v>22186.05</v>
      </c>
      <c r="G936">
        <v>22492.6</v>
      </c>
      <c r="H936">
        <v>0</v>
      </c>
      <c r="I936" s="8">
        <f t="shared" si="57"/>
        <v>1.3084347877002633E-2</v>
      </c>
      <c r="J936" s="8">
        <f t="shared" si="58"/>
        <v>1.2999487226631795E-2</v>
      </c>
      <c r="K936" s="8">
        <f t="shared" si="55"/>
        <v>0.33714594845241308</v>
      </c>
    </row>
    <row r="937" spans="1:11" x14ac:dyDescent="0.25">
      <c r="A937" t="str">
        <f t="shared" si="56"/>
        <v>102020</v>
      </c>
      <c r="B937" s="1">
        <v>44118</v>
      </c>
      <c r="C937" t="s">
        <v>593</v>
      </c>
      <c r="D937">
        <v>22475.85</v>
      </c>
      <c r="E937">
        <v>22490.3</v>
      </c>
      <c r="F937">
        <v>22129.95</v>
      </c>
      <c r="G937">
        <v>22204.05</v>
      </c>
      <c r="H937">
        <v>0</v>
      </c>
      <c r="I937" s="8">
        <f t="shared" si="57"/>
        <v>-1.2828663649377958E-2</v>
      </c>
      <c r="J937" s="8">
        <f t="shared" si="58"/>
        <v>-1.2911661553779954E-2</v>
      </c>
      <c r="K937" s="8">
        <f t="shared" si="55"/>
        <v>0.2865722579860126</v>
      </c>
    </row>
    <row r="938" spans="1:11" x14ac:dyDescent="0.25">
      <c r="A938" t="str">
        <f t="shared" si="56"/>
        <v>102020</v>
      </c>
      <c r="B938" s="1">
        <v>44119</v>
      </c>
      <c r="C938" t="s">
        <v>594</v>
      </c>
      <c r="D938">
        <v>22473.65</v>
      </c>
      <c r="E938">
        <v>22570.5</v>
      </c>
      <c r="F938">
        <v>21364.15</v>
      </c>
      <c r="G938">
        <v>21567.3</v>
      </c>
      <c r="H938">
        <v>0</v>
      </c>
      <c r="I938" s="8">
        <f t="shared" si="57"/>
        <v>-2.8677200780938605E-2</v>
      </c>
      <c r="J938" s="8">
        <f t="shared" si="58"/>
        <v>-2.9096425958302103E-2</v>
      </c>
      <c r="K938" s="8">
        <f t="shared" si="55"/>
        <v>0.24859898571196992</v>
      </c>
    </row>
    <row r="939" spans="1:11" x14ac:dyDescent="0.25">
      <c r="A939" t="str">
        <f t="shared" si="56"/>
        <v>102020</v>
      </c>
      <c r="B939" s="1">
        <v>44120</v>
      </c>
      <c r="C939" t="s">
        <v>595</v>
      </c>
      <c r="D939">
        <v>21638.25</v>
      </c>
      <c r="E939">
        <v>21908.799999999999</v>
      </c>
      <c r="F939">
        <v>21247.55</v>
      </c>
      <c r="G939">
        <v>21538.15</v>
      </c>
      <c r="H939">
        <v>0</v>
      </c>
      <c r="I939" s="8">
        <f t="shared" si="57"/>
        <v>-1.3515831838013526E-3</v>
      </c>
      <c r="J939" s="8">
        <f t="shared" si="58"/>
        <v>-1.3524973962016392E-3</v>
      </c>
      <c r="K939" s="8">
        <f t="shared" si="55"/>
        <v>0.26130750378454048</v>
      </c>
    </row>
    <row r="940" spans="1:11" x14ac:dyDescent="0.25">
      <c r="A940" t="str">
        <f t="shared" si="56"/>
        <v>102020</v>
      </c>
      <c r="B940" s="1">
        <v>44123</v>
      </c>
      <c r="C940" t="s">
        <v>596</v>
      </c>
      <c r="D940">
        <v>21683.8</v>
      </c>
      <c r="E940">
        <v>21683.8</v>
      </c>
      <c r="F940">
        <v>21354.9</v>
      </c>
      <c r="G940">
        <v>21391.9</v>
      </c>
      <c r="H940">
        <v>0</v>
      </c>
      <c r="I940" s="8">
        <f t="shared" si="57"/>
        <v>-6.7902767879320924E-3</v>
      </c>
      <c r="J940" s="8">
        <f t="shared" si="58"/>
        <v>-6.8134356134556011E-3</v>
      </c>
      <c r="K940" s="8">
        <f t="shared" si="55"/>
        <v>0.25501020815244169</v>
      </c>
    </row>
    <row r="941" spans="1:11" x14ac:dyDescent="0.25">
      <c r="A941" t="str">
        <f t="shared" si="56"/>
        <v>102020</v>
      </c>
      <c r="B941" s="1">
        <v>44124</v>
      </c>
      <c r="C941" t="s">
        <v>597</v>
      </c>
      <c r="D941">
        <v>21397.5</v>
      </c>
      <c r="E941">
        <v>21779.8</v>
      </c>
      <c r="F941">
        <v>21346.05</v>
      </c>
      <c r="G941">
        <v>21694.35</v>
      </c>
      <c r="H941">
        <v>0</v>
      </c>
      <c r="I941" s="8">
        <f t="shared" si="57"/>
        <v>1.4138529069414041E-2</v>
      </c>
      <c r="J941" s="8">
        <f t="shared" si="58"/>
        <v>1.4039512277079873E-2</v>
      </c>
      <c r="K941" s="8">
        <f t="shared" si="55"/>
        <v>0.25502429711905572</v>
      </c>
    </row>
    <row r="942" spans="1:11" x14ac:dyDescent="0.25">
      <c r="A942" t="str">
        <f t="shared" si="56"/>
        <v>102020</v>
      </c>
      <c r="B942" s="1">
        <v>44125</v>
      </c>
      <c r="C942" t="s">
        <v>598</v>
      </c>
      <c r="D942">
        <v>21757.05</v>
      </c>
      <c r="E942">
        <v>21892.3</v>
      </c>
      <c r="F942">
        <v>21406.1</v>
      </c>
      <c r="G942">
        <v>21577.65</v>
      </c>
      <c r="H942">
        <v>0</v>
      </c>
      <c r="I942" s="8">
        <f t="shared" si="57"/>
        <v>-5.3792807804795562E-3</v>
      </c>
      <c r="J942" s="8">
        <f t="shared" si="58"/>
        <v>-5.3938012077174146E-3</v>
      </c>
      <c r="K942" s="8">
        <f t="shared" si="55"/>
        <v>0.22414228374487655</v>
      </c>
    </row>
    <row r="943" spans="1:11" x14ac:dyDescent="0.25">
      <c r="A943" t="str">
        <f t="shared" si="56"/>
        <v>102020</v>
      </c>
      <c r="B943" s="1">
        <v>44126</v>
      </c>
      <c r="C943" t="s">
        <v>599</v>
      </c>
      <c r="D943">
        <v>21480.7</v>
      </c>
      <c r="E943">
        <v>21767.05</v>
      </c>
      <c r="F943">
        <v>21290.45</v>
      </c>
      <c r="G943">
        <v>21413.5</v>
      </c>
      <c r="H943">
        <v>0</v>
      </c>
      <c r="I943" s="8">
        <f t="shared" si="57"/>
        <v>-7.6074085917605672E-3</v>
      </c>
      <c r="J943" s="8">
        <f t="shared" si="58"/>
        <v>-7.6364925206121202E-3</v>
      </c>
      <c r="K943" s="8">
        <f t="shared" si="55"/>
        <v>0.18682019093541724</v>
      </c>
    </row>
    <row r="944" spans="1:11" x14ac:dyDescent="0.25">
      <c r="A944" t="str">
        <f t="shared" si="56"/>
        <v>102020</v>
      </c>
      <c r="B944" s="1">
        <v>44127</v>
      </c>
      <c r="C944" t="s">
        <v>600</v>
      </c>
      <c r="D944">
        <v>21546.65</v>
      </c>
      <c r="E944">
        <v>21621.599999999999</v>
      </c>
      <c r="F944">
        <v>21385.15</v>
      </c>
      <c r="G944">
        <v>21523.599999999999</v>
      </c>
      <c r="H944">
        <v>0</v>
      </c>
      <c r="I944" s="8">
        <f t="shared" si="57"/>
        <v>5.1416162701098944E-3</v>
      </c>
      <c r="J944" s="8">
        <f t="shared" si="58"/>
        <v>5.1284432954685349E-3</v>
      </c>
      <c r="K944" s="8">
        <f t="shared" si="55"/>
        <v>0.20374709879477626</v>
      </c>
    </row>
    <row r="945" spans="1:11" x14ac:dyDescent="0.25">
      <c r="A945" t="str">
        <f t="shared" si="56"/>
        <v>102020</v>
      </c>
      <c r="B945" s="1">
        <v>44130</v>
      </c>
      <c r="C945" t="s">
        <v>601</v>
      </c>
      <c r="D945">
        <v>21493.3</v>
      </c>
      <c r="E945">
        <v>21595.8</v>
      </c>
      <c r="F945">
        <v>21148.65</v>
      </c>
      <c r="G945">
        <v>21265.7</v>
      </c>
      <c r="H945">
        <v>0</v>
      </c>
      <c r="I945" s="8">
        <f t="shared" si="57"/>
        <v>-1.1982196286866365E-2</v>
      </c>
      <c r="J945" s="8">
        <f t="shared" si="58"/>
        <v>-1.2054561444062223E-2</v>
      </c>
      <c r="K945" s="8">
        <f t="shared" si="55"/>
        <v>0.18119481991051778</v>
      </c>
    </row>
    <row r="946" spans="1:11" x14ac:dyDescent="0.25">
      <c r="A946" t="str">
        <f t="shared" si="56"/>
        <v>102020</v>
      </c>
      <c r="B946" s="1">
        <v>44131</v>
      </c>
      <c r="C946" t="s">
        <v>602</v>
      </c>
      <c r="D946">
        <v>21287.1</v>
      </c>
      <c r="E946">
        <v>21371.599999999999</v>
      </c>
      <c r="F946">
        <v>20932.7</v>
      </c>
      <c r="G946">
        <v>21023.4</v>
      </c>
      <c r="H946">
        <v>0</v>
      </c>
      <c r="I946" s="8">
        <f t="shared" si="57"/>
        <v>-1.1393934834028507E-2</v>
      </c>
      <c r="J946" s="8">
        <f t="shared" si="58"/>
        <v>-1.1459343021915851E-2</v>
      </c>
      <c r="K946" s="8">
        <f t="shared" si="55"/>
        <v>0.1633230687505709</v>
      </c>
    </row>
    <row r="947" spans="1:11" x14ac:dyDescent="0.25">
      <c r="A947" t="str">
        <f t="shared" si="56"/>
        <v>102020</v>
      </c>
      <c r="B947" s="1">
        <v>44132</v>
      </c>
      <c r="C947" t="s">
        <v>603</v>
      </c>
      <c r="D947">
        <v>21121.9</v>
      </c>
      <c r="E947">
        <v>21194.75</v>
      </c>
      <c r="F947">
        <v>20701</v>
      </c>
      <c r="G947">
        <v>20810.3</v>
      </c>
      <c r="H947">
        <v>0</v>
      </c>
      <c r="I947" s="8">
        <f t="shared" si="57"/>
        <v>-1.0136324286271536E-2</v>
      </c>
      <c r="J947" s="8">
        <f t="shared" si="58"/>
        <v>-1.0188046634459966E-2</v>
      </c>
      <c r="K947" s="8">
        <f t="shared" si="55"/>
        <v>0.15832860212180933</v>
      </c>
    </row>
    <row r="948" spans="1:11" x14ac:dyDescent="0.25">
      <c r="A948" t="str">
        <f t="shared" si="56"/>
        <v>102020</v>
      </c>
      <c r="B948" s="1">
        <v>44133</v>
      </c>
      <c r="C948" t="s">
        <v>604</v>
      </c>
      <c r="D948">
        <v>20667.7</v>
      </c>
      <c r="E948">
        <v>20961.05</v>
      </c>
      <c r="F948">
        <v>20548.3</v>
      </c>
      <c r="G948">
        <v>20876.95</v>
      </c>
      <c r="H948">
        <v>0</v>
      </c>
      <c r="I948" s="8">
        <f t="shared" si="57"/>
        <v>3.2027409503947446E-3</v>
      </c>
      <c r="J948" s="8">
        <f t="shared" si="58"/>
        <v>3.1976231001180099E-3</v>
      </c>
      <c r="K948" s="8">
        <f t="shared" si="55"/>
        <v>0.17233546720575021</v>
      </c>
    </row>
    <row r="949" spans="1:11" x14ac:dyDescent="0.25">
      <c r="A949" t="str">
        <f t="shared" si="56"/>
        <v>102020</v>
      </c>
      <c r="B949" s="1">
        <v>44134</v>
      </c>
      <c r="C949" t="s">
        <v>605</v>
      </c>
      <c r="D949">
        <v>20912.95</v>
      </c>
      <c r="E949">
        <v>21197.3</v>
      </c>
      <c r="F949">
        <v>20797.5</v>
      </c>
      <c r="G949">
        <v>20916.849999999999</v>
      </c>
      <c r="H949">
        <v>0</v>
      </c>
      <c r="I949" s="8">
        <f t="shared" si="57"/>
        <v>1.9111987143713982E-3</v>
      </c>
      <c r="J949" s="8">
        <f t="shared" si="58"/>
        <v>1.9093746977775054E-3</v>
      </c>
      <c r="K949" s="8">
        <f t="shared" si="55"/>
        <v>0.17051393971952677</v>
      </c>
    </row>
    <row r="950" spans="1:11" x14ac:dyDescent="0.25">
      <c r="A950" t="str">
        <f t="shared" si="56"/>
        <v>112020</v>
      </c>
      <c r="B950" s="1">
        <v>44137</v>
      </c>
      <c r="C950" s="10">
        <v>43872.645833333336</v>
      </c>
      <c r="D950">
        <v>20964.150000000001</v>
      </c>
      <c r="E950">
        <v>21012.45</v>
      </c>
      <c r="F950">
        <v>20669.349999999999</v>
      </c>
      <c r="G950">
        <v>20732.3</v>
      </c>
      <c r="H950">
        <v>0</v>
      </c>
      <c r="I950" s="8">
        <f t="shared" si="57"/>
        <v>-8.8230302363883073E-3</v>
      </c>
      <c r="J950" s="8">
        <f t="shared" si="58"/>
        <v>-8.8621836388980534E-3</v>
      </c>
      <c r="K950" s="8">
        <f t="shared" si="55"/>
        <v>0.13984193526218136</v>
      </c>
    </row>
    <row r="951" spans="1:11" x14ac:dyDescent="0.25">
      <c r="A951" t="str">
        <f t="shared" si="56"/>
        <v>112020</v>
      </c>
      <c r="B951" s="1">
        <v>44138</v>
      </c>
      <c r="C951" s="10">
        <v>43901.645833333336</v>
      </c>
      <c r="D951">
        <v>20792.25</v>
      </c>
      <c r="E951">
        <v>21017.95</v>
      </c>
      <c r="F951">
        <v>20679.650000000001</v>
      </c>
      <c r="G951">
        <v>20736</v>
      </c>
      <c r="H951">
        <v>0</v>
      </c>
      <c r="I951" s="8">
        <f t="shared" si="57"/>
        <v>1.7846548622202363E-4</v>
      </c>
      <c r="J951" s="8">
        <f t="shared" si="58"/>
        <v>1.7844956315158823E-4</v>
      </c>
      <c r="K951" s="8">
        <f t="shared" si="55"/>
        <v>0.15173446122144041</v>
      </c>
    </row>
    <row r="952" spans="1:11" x14ac:dyDescent="0.25">
      <c r="A952" t="str">
        <f t="shared" si="56"/>
        <v>112020</v>
      </c>
      <c r="B952" s="1">
        <v>44139</v>
      </c>
      <c r="C952" s="10">
        <v>43932.645833333336</v>
      </c>
      <c r="D952">
        <v>20769.900000000001</v>
      </c>
      <c r="E952">
        <v>21468.45</v>
      </c>
      <c r="F952">
        <v>20765.8</v>
      </c>
      <c r="G952">
        <v>21104.55</v>
      </c>
      <c r="H952">
        <v>0</v>
      </c>
      <c r="I952" s="8">
        <f t="shared" si="57"/>
        <v>1.7773437500000044E-2</v>
      </c>
      <c r="J952" s="8">
        <f t="shared" si="58"/>
        <v>1.7617336875661201E-2</v>
      </c>
      <c r="K952" s="8">
        <f t="shared" si="55"/>
        <v>0.16217362214372044</v>
      </c>
    </row>
    <row r="953" spans="1:11" x14ac:dyDescent="0.25">
      <c r="A953" t="str">
        <f t="shared" si="56"/>
        <v>112020</v>
      </c>
      <c r="B953" s="1">
        <v>44140</v>
      </c>
      <c r="C953" s="10">
        <v>43962.645833333336</v>
      </c>
      <c r="D953">
        <v>21383.7</v>
      </c>
      <c r="E953">
        <v>21596</v>
      </c>
      <c r="F953">
        <v>21284.6</v>
      </c>
      <c r="G953">
        <v>21385.65</v>
      </c>
      <c r="H953">
        <v>0</v>
      </c>
      <c r="I953" s="8">
        <f t="shared" si="57"/>
        <v>1.33194026880461E-2</v>
      </c>
      <c r="J953" s="8">
        <f t="shared" si="58"/>
        <v>1.3231479308202065E-2</v>
      </c>
      <c r="K953" s="8">
        <f t="shared" si="55"/>
        <v>0.18433469383234313</v>
      </c>
    </row>
    <row r="954" spans="1:11" x14ac:dyDescent="0.25">
      <c r="A954" t="str">
        <f t="shared" si="56"/>
        <v>112020</v>
      </c>
      <c r="B954" s="1">
        <v>44141</v>
      </c>
      <c r="C954" s="10">
        <v>43993.645833333336</v>
      </c>
      <c r="D954">
        <v>21435.15</v>
      </c>
      <c r="E954">
        <v>21582.2</v>
      </c>
      <c r="F954">
        <v>21251.55</v>
      </c>
      <c r="G954">
        <v>21492.3</v>
      </c>
      <c r="H954">
        <v>0</v>
      </c>
      <c r="I954" s="8">
        <f t="shared" si="57"/>
        <v>4.9869889388443056E-3</v>
      </c>
      <c r="J954" s="8">
        <f t="shared" si="58"/>
        <v>4.9745950977264728E-3</v>
      </c>
      <c r="K954" s="8">
        <f t="shared" si="55"/>
        <v>0.18965459980073063</v>
      </c>
    </row>
    <row r="955" spans="1:11" x14ac:dyDescent="0.25">
      <c r="A955" t="str">
        <f t="shared" si="56"/>
        <v>112020</v>
      </c>
      <c r="B955" s="1">
        <v>44144</v>
      </c>
      <c r="C955" s="10">
        <v>44085.645833333336</v>
      </c>
      <c r="D955">
        <v>21751.65</v>
      </c>
      <c r="E955">
        <v>21926.9</v>
      </c>
      <c r="F955">
        <v>21620.55</v>
      </c>
      <c r="G955">
        <v>21820.15</v>
      </c>
      <c r="H955">
        <v>0</v>
      </c>
      <c r="I955" s="8">
        <f t="shared" si="57"/>
        <v>1.5254300377344654E-2</v>
      </c>
      <c r="J955" s="8">
        <f t="shared" si="58"/>
        <v>1.5139123356973344E-2</v>
      </c>
      <c r="K955" s="8">
        <f t="shared" si="55"/>
        <v>0.20505379075726782</v>
      </c>
    </row>
    <row r="956" spans="1:11" x14ac:dyDescent="0.25">
      <c r="A956" t="str">
        <f t="shared" si="56"/>
        <v>112020</v>
      </c>
      <c r="B956" s="1">
        <v>44145</v>
      </c>
      <c r="C956" s="10">
        <v>44115.645833333336</v>
      </c>
      <c r="D956">
        <v>21633.1</v>
      </c>
      <c r="E956">
        <v>21633.1</v>
      </c>
      <c r="F956">
        <v>20862.7</v>
      </c>
      <c r="G956">
        <v>20978.5</v>
      </c>
      <c r="H956">
        <v>0</v>
      </c>
      <c r="I956" s="8">
        <f t="shared" si="57"/>
        <v>-3.8572145471044039E-2</v>
      </c>
      <c r="J956" s="8">
        <f t="shared" si="58"/>
        <v>-3.9335751059773341E-2</v>
      </c>
      <c r="K956" s="8">
        <f t="shared" si="55"/>
        <v>0.16400751276865488</v>
      </c>
    </row>
    <row r="957" spans="1:11" x14ac:dyDescent="0.25">
      <c r="A957" t="str">
        <f t="shared" si="56"/>
        <v>112020</v>
      </c>
      <c r="B957" s="1">
        <v>44146</v>
      </c>
      <c r="C957" s="10">
        <v>44146.645833333336</v>
      </c>
      <c r="D957">
        <v>21029.25</v>
      </c>
      <c r="E957">
        <v>21365.65</v>
      </c>
      <c r="F957">
        <v>20967.8</v>
      </c>
      <c r="G957">
        <v>21330.5</v>
      </c>
      <c r="H957">
        <v>0</v>
      </c>
      <c r="I957" s="8">
        <f t="shared" si="57"/>
        <v>1.6779083347236545E-2</v>
      </c>
      <c r="J957" s="8">
        <f t="shared" si="58"/>
        <v>1.6639869622547394E-2</v>
      </c>
      <c r="K957" s="8">
        <f t="shared" si="55"/>
        <v>0.17048771922122974</v>
      </c>
    </row>
    <row r="958" spans="1:11" x14ac:dyDescent="0.25">
      <c r="A958" t="str">
        <f t="shared" si="56"/>
        <v>112020</v>
      </c>
      <c r="B958" s="1">
        <v>44147</v>
      </c>
      <c r="C958" s="10">
        <v>44176.645833333336</v>
      </c>
      <c r="D958">
        <v>21380.2</v>
      </c>
      <c r="E958">
        <v>21610.05</v>
      </c>
      <c r="F958">
        <v>21291.7</v>
      </c>
      <c r="G958">
        <v>21363.35</v>
      </c>
      <c r="H958">
        <v>0</v>
      </c>
      <c r="I958" s="8">
        <f t="shared" si="57"/>
        <v>1.5400482876630761E-3</v>
      </c>
      <c r="J958" s="8">
        <f t="shared" si="58"/>
        <v>1.5388636294301975E-3</v>
      </c>
      <c r="K958" s="8">
        <f t="shared" si="55"/>
        <v>0.16929068134983738</v>
      </c>
    </row>
    <row r="959" spans="1:11" x14ac:dyDescent="0.25">
      <c r="A959" t="str">
        <f t="shared" si="56"/>
        <v>112020</v>
      </c>
      <c r="B959" s="1">
        <v>44148</v>
      </c>
      <c r="C959" t="s">
        <v>606</v>
      </c>
      <c r="D959">
        <v>21305.35</v>
      </c>
      <c r="E959">
        <v>21462</v>
      </c>
      <c r="F959">
        <v>21219.8</v>
      </c>
      <c r="G959">
        <v>21436.85</v>
      </c>
      <c r="H959">
        <v>0</v>
      </c>
      <c r="I959" s="8">
        <f t="shared" si="57"/>
        <v>3.4404716488753984E-3</v>
      </c>
      <c r="J959" s="8">
        <f t="shared" si="58"/>
        <v>3.434566766137185E-3</v>
      </c>
      <c r="K959" s="8">
        <f t="shared" si="55"/>
        <v>0.17714714030372014</v>
      </c>
    </row>
    <row r="960" spans="1:11" x14ac:dyDescent="0.25">
      <c r="A960" t="str">
        <f t="shared" si="56"/>
        <v>112020</v>
      </c>
      <c r="B960" s="1">
        <v>44152</v>
      </c>
      <c r="C960" t="s">
        <v>607</v>
      </c>
      <c r="D960">
        <v>21704.05</v>
      </c>
      <c r="E960">
        <v>21706.2</v>
      </c>
      <c r="F960">
        <v>21361.45</v>
      </c>
      <c r="G960">
        <v>21488.55</v>
      </c>
      <c r="H960">
        <v>0</v>
      </c>
      <c r="I960" s="8">
        <f t="shared" si="57"/>
        <v>2.411734933070786E-3</v>
      </c>
      <c r="J960" s="8">
        <f t="shared" si="58"/>
        <v>2.4088313678598114E-3</v>
      </c>
      <c r="K960" s="8">
        <f t="shared" ref="K960:K1023" si="59">+G960/G899-1</f>
        <v>0.1855032246318844</v>
      </c>
    </row>
    <row r="961" spans="1:11" x14ac:dyDescent="0.25">
      <c r="A961" t="str">
        <f t="shared" si="56"/>
        <v>112020</v>
      </c>
      <c r="B961" s="1">
        <v>44153</v>
      </c>
      <c r="C961" t="s">
        <v>608</v>
      </c>
      <c r="D961">
        <v>21519.15</v>
      </c>
      <c r="E961">
        <v>21557.1</v>
      </c>
      <c r="F961">
        <v>21153.85</v>
      </c>
      <c r="G961">
        <v>21314.85</v>
      </c>
      <c r="H961">
        <v>0</v>
      </c>
      <c r="I961" s="8">
        <f t="shared" si="57"/>
        <v>-8.0833746343983437E-3</v>
      </c>
      <c r="J961" s="8">
        <f t="shared" si="58"/>
        <v>-8.1162222398943589E-3</v>
      </c>
      <c r="K961" s="8">
        <f t="shared" si="59"/>
        <v>0.17987799815115157</v>
      </c>
    </row>
    <row r="962" spans="1:11" x14ac:dyDescent="0.25">
      <c r="A962" t="str">
        <f t="shared" si="56"/>
        <v>112020</v>
      </c>
      <c r="B962" s="1">
        <v>44154</v>
      </c>
      <c r="C962" t="s">
        <v>609</v>
      </c>
      <c r="D962">
        <v>21285.75</v>
      </c>
      <c r="E962">
        <v>21451.8</v>
      </c>
      <c r="F962">
        <v>21070.25</v>
      </c>
      <c r="G962">
        <v>21114.45</v>
      </c>
      <c r="H962">
        <v>0</v>
      </c>
      <c r="I962" s="8">
        <f t="shared" si="57"/>
        <v>-9.401895861335996E-3</v>
      </c>
      <c r="J962" s="8">
        <f t="shared" si="58"/>
        <v>-9.4463726813716186E-3</v>
      </c>
      <c r="K962" s="8">
        <f t="shared" si="59"/>
        <v>0.17231184362845942</v>
      </c>
    </row>
    <row r="963" spans="1:11" x14ac:dyDescent="0.25">
      <c r="A963" t="str">
        <f t="shared" ref="A963:A1026" si="60">+MONTH(B963)&amp;YEAR(B963)</f>
        <v>112020</v>
      </c>
      <c r="B963" s="1">
        <v>44155</v>
      </c>
      <c r="C963" t="s">
        <v>610</v>
      </c>
      <c r="D963">
        <v>21275.35</v>
      </c>
      <c r="E963">
        <v>21500.65</v>
      </c>
      <c r="F963">
        <v>21121.75</v>
      </c>
      <c r="G963">
        <v>21409.25</v>
      </c>
      <c r="H963">
        <v>0</v>
      </c>
      <c r="I963" s="8">
        <f t="shared" si="57"/>
        <v>1.3962002325421663E-2</v>
      </c>
      <c r="J963" s="8">
        <f t="shared" si="58"/>
        <v>1.3865431415006669E-2</v>
      </c>
      <c r="K963" s="8">
        <f t="shared" si="59"/>
        <v>0.19114317029882555</v>
      </c>
    </row>
    <row r="964" spans="1:11" x14ac:dyDescent="0.25">
      <c r="A964" t="str">
        <f t="shared" si="60"/>
        <v>112020</v>
      </c>
      <c r="B964" s="1">
        <v>44158</v>
      </c>
      <c r="C964" t="s">
        <v>611</v>
      </c>
      <c r="D964">
        <v>21551.85</v>
      </c>
      <c r="E964">
        <v>22047.05</v>
      </c>
      <c r="F964">
        <v>21432.65</v>
      </c>
      <c r="G964">
        <v>22007.05</v>
      </c>
      <c r="H964">
        <v>0</v>
      </c>
      <c r="I964" s="8">
        <f t="shared" ref="I964:I1027" si="61">+G964/G963-1</f>
        <v>2.792251012996716E-2</v>
      </c>
      <c r="J964" s="8">
        <f t="shared" ref="J964:J1027" si="62">+LN(1+I964)</f>
        <v>2.7539784940810139E-2</v>
      </c>
      <c r="K964" s="8">
        <f t="shared" si="59"/>
        <v>0.21398113415710496</v>
      </c>
    </row>
    <row r="965" spans="1:11" x14ac:dyDescent="0.25">
      <c r="A965" t="str">
        <f t="shared" si="60"/>
        <v>112020</v>
      </c>
      <c r="B965" s="1">
        <v>44159</v>
      </c>
      <c r="C965" t="s">
        <v>612</v>
      </c>
      <c r="D965">
        <v>22099.599999999999</v>
      </c>
      <c r="E965">
        <v>22281.85</v>
      </c>
      <c r="F965">
        <v>22016.95</v>
      </c>
      <c r="G965">
        <v>22064.3</v>
      </c>
      <c r="H965">
        <v>0</v>
      </c>
      <c r="I965" s="8">
        <f t="shared" si="61"/>
        <v>2.6014390842934443E-3</v>
      </c>
      <c r="J965" s="8">
        <f t="shared" si="62"/>
        <v>2.5980611986131242E-3</v>
      </c>
      <c r="K965" s="8">
        <f t="shared" si="59"/>
        <v>0.21884364996285055</v>
      </c>
    </row>
    <row r="966" spans="1:11" x14ac:dyDescent="0.25">
      <c r="A966" t="str">
        <f t="shared" si="60"/>
        <v>112020</v>
      </c>
      <c r="B966" s="1">
        <v>44160</v>
      </c>
      <c r="C966" t="s">
        <v>613</v>
      </c>
      <c r="D966">
        <v>22087.9</v>
      </c>
      <c r="E966">
        <v>22132.9</v>
      </c>
      <c r="F966">
        <v>21675.9</v>
      </c>
      <c r="G966">
        <v>21705.9</v>
      </c>
      <c r="H966">
        <v>0</v>
      </c>
      <c r="I966" s="8">
        <f t="shared" si="61"/>
        <v>-1.6243433963461285E-2</v>
      </c>
      <c r="J966" s="8">
        <f t="shared" si="62"/>
        <v>-1.6376804775681562E-2</v>
      </c>
      <c r="K966" s="8">
        <f t="shared" si="59"/>
        <v>0.19776514733473127</v>
      </c>
    </row>
    <row r="967" spans="1:11" x14ac:dyDescent="0.25">
      <c r="A967" t="str">
        <f t="shared" si="60"/>
        <v>112020</v>
      </c>
      <c r="B967" s="1">
        <v>44161</v>
      </c>
      <c r="C967" t="s">
        <v>614</v>
      </c>
      <c r="D967">
        <v>21717.4</v>
      </c>
      <c r="E967">
        <v>21919.15</v>
      </c>
      <c r="F967">
        <v>21544.05</v>
      </c>
      <c r="G967">
        <v>21859.9</v>
      </c>
      <c r="H967">
        <v>0</v>
      </c>
      <c r="I967" s="8">
        <f t="shared" si="61"/>
        <v>7.094845180342757E-3</v>
      </c>
      <c r="J967" s="8">
        <f t="shared" si="62"/>
        <v>7.0697951804022481E-3</v>
      </c>
      <c r="K967" s="8">
        <f t="shared" si="59"/>
        <v>0.21925834618505946</v>
      </c>
    </row>
    <row r="968" spans="1:11" x14ac:dyDescent="0.25">
      <c r="A968" t="str">
        <f t="shared" si="60"/>
        <v>112020</v>
      </c>
      <c r="B968" s="1">
        <v>44162</v>
      </c>
      <c r="C968" t="s">
        <v>615</v>
      </c>
      <c r="D968">
        <v>21879.15</v>
      </c>
      <c r="E968">
        <v>21972.95</v>
      </c>
      <c r="F968">
        <v>21701.3</v>
      </c>
      <c r="G968">
        <v>21764.9</v>
      </c>
      <c r="H968">
        <v>0</v>
      </c>
      <c r="I968" s="8">
        <f t="shared" si="61"/>
        <v>-4.345857025878419E-3</v>
      </c>
      <c r="J968" s="8">
        <f t="shared" si="62"/>
        <v>-4.3553277113131984E-3</v>
      </c>
      <c r="K968" s="8">
        <f t="shared" si="59"/>
        <v>0.22178280626808622</v>
      </c>
    </row>
    <row r="969" spans="1:11" x14ac:dyDescent="0.25">
      <c r="A969" t="str">
        <f t="shared" si="60"/>
        <v>122020</v>
      </c>
      <c r="B969" s="1">
        <v>44166</v>
      </c>
      <c r="C969" s="10">
        <v>43842.645833333336</v>
      </c>
      <c r="D969">
        <v>21921.1</v>
      </c>
      <c r="E969">
        <v>22216.45</v>
      </c>
      <c r="F969">
        <v>21814.400000000001</v>
      </c>
      <c r="G969">
        <v>22170.9</v>
      </c>
      <c r="H969">
        <v>0</v>
      </c>
      <c r="I969" s="8">
        <f t="shared" si="61"/>
        <v>1.8653887681542303E-2</v>
      </c>
      <c r="J969" s="8">
        <f t="shared" si="62"/>
        <v>1.8482037742237629E-2</v>
      </c>
      <c r="K969" s="8">
        <f t="shared" si="59"/>
        <v>0.22647010012723356</v>
      </c>
    </row>
    <row r="970" spans="1:11" x14ac:dyDescent="0.25">
      <c r="A970" t="str">
        <f t="shared" si="60"/>
        <v>122020</v>
      </c>
      <c r="B970" s="1">
        <v>44167</v>
      </c>
      <c r="C970" s="10">
        <v>43873.645833333336</v>
      </c>
      <c r="D970">
        <v>22149.35</v>
      </c>
      <c r="E970">
        <v>22371.55</v>
      </c>
      <c r="F970">
        <v>21961.45</v>
      </c>
      <c r="G970">
        <v>22319</v>
      </c>
      <c r="H970">
        <v>0</v>
      </c>
      <c r="I970" s="8">
        <f t="shared" si="61"/>
        <v>6.6799272920810004E-3</v>
      </c>
      <c r="J970" s="8">
        <f t="shared" si="62"/>
        <v>6.6577154386109035E-3</v>
      </c>
      <c r="K970" s="8">
        <f t="shared" si="59"/>
        <v>0.2163903959713438</v>
      </c>
    </row>
    <row r="971" spans="1:11" x14ac:dyDescent="0.25">
      <c r="A971" t="str">
        <f t="shared" si="60"/>
        <v>122020</v>
      </c>
      <c r="B971" s="1">
        <v>44168</v>
      </c>
      <c r="C971" s="10">
        <v>43902.645833333336</v>
      </c>
      <c r="D971">
        <v>22458.75</v>
      </c>
      <c r="E971">
        <v>22458.799999999999</v>
      </c>
      <c r="F971">
        <v>22147.3</v>
      </c>
      <c r="G971">
        <v>22202.2</v>
      </c>
      <c r="H971">
        <v>0</v>
      </c>
      <c r="I971" s="8">
        <f t="shared" si="61"/>
        <v>-5.2332093731797258E-3</v>
      </c>
      <c r="J971" s="8">
        <f t="shared" si="62"/>
        <v>-5.2469505747066384E-3</v>
      </c>
      <c r="K971" s="8">
        <f t="shared" si="59"/>
        <v>0.22840884256070204</v>
      </c>
    </row>
    <row r="972" spans="1:11" x14ac:dyDescent="0.25">
      <c r="A972" t="str">
        <f t="shared" si="60"/>
        <v>122020</v>
      </c>
      <c r="B972" s="1">
        <v>44169</v>
      </c>
      <c r="C972" s="10">
        <v>43933.645833333336</v>
      </c>
      <c r="D972">
        <v>22222.25</v>
      </c>
      <c r="E972">
        <v>22347.85</v>
      </c>
      <c r="F972">
        <v>22130.3</v>
      </c>
      <c r="G972">
        <v>22309.8</v>
      </c>
      <c r="H972">
        <v>0</v>
      </c>
      <c r="I972" s="8">
        <f t="shared" si="61"/>
        <v>4.8463665762852326E-3</v>
      </c>
      <c r="J972" s="8">
        <f t="shared" si="62"/>
        <v>4.8346607470474345E-3</v>
      </c>
      <c r="K972" s="8">
        <f t="shared" si="59"/>
        <v>0.22737775626072798</v>
      </c>
    </row>
    <row r="973" spans="1:11" x14ac:dyDescent="0.25">
      <c r="A973" t="str">
        <f t="shared" si="60"/>
        <v>122020</v>
      </c>
      <c r="B973" s="1">
        <v>44172</v>
      </c>
      <c r="C973" s="10">
        <v>44024.645833333336</v>
      </c>
      <c r="D973">
        <v>22333.3</v>
      </c>
      <c r="E973">
        <v>22482.9</v>
      </c>
      <c r="F973">
        <v>22271</v>
      </c>
      <c r="G973">
        <v>22440.9</v>
      </c>
      <c r="H973">
        <v>0</v>
      </c>
      <c r="I973" s="8">
        <f t="shared" si="61"/>
        <v>5.876341338783897E-3</v>
      </c>
      <c r="J973" s="8">
        <f t="shared" si="62"/>
        <v>5.859142987716023E-3</v>
      </c>
      <c r="K973" s="8">
        <f t="shared" si="59"/>
        <v>0.21989589986817615</v>
      </c>
    </row>
    <row r="974" spans="1:11" x14ac:dyDescent="0.25">
      <c r="A974" t="str">
        <f t="shared" si="60"/>
        <v>122020</v>
      </c>
      <c r="B974" s="1">
        <v>44173</v>
      </c>
      <c r="C974" s="10">
        <v>44055.645833333336</v>
      </c>
      <c r="D974">
        <v>22484.35</v>
      </c>
      <c r="E974">
        <v>22737.95</v>
      </c>
      <c r="F974">
        <v>22387.35</v>
      </c>
      <c r="G974">
        <v>22617.4</v>
      </c>
      <c r="H974">
        <v>0</v>
      </c>
      <c r="I974" s="8">
        <f t="shared" si="61"/>
        <v>7.8651034495051952E-3</v>
      </c>
      <c r="J974" s="8">
        <f t="shared" si="62"/>
        <v>7.8343347507351807E-3</v>
      </c>
      <c r="K974" s="8">
        <f t="shared" si="59"/>
        <v>0.23852914601757802</v>
      </c>
    </row>
    <row r="975" spans="1:11" x14ac:dyDescent="0.25">
      <c r="A975" t="str">
        <f t="shared" si="60"/>
        <v>122020</v>
      </c>
      <c r="B975" s="1">
        <v>44174</v>
      </c>
      <c r="C975" s="10">
        <v>44086.645833333336</v>
      </c>
      <c r="D975">
        <v>22799.95</v>
      </c>
      <c r="E975">
        <v>22895.5</v>
      </c>
      <c r="F975">
        <v>22720.5</v>
      </c>
      <c r="G975">
        <v>22803.45</v>
      </c>
      <c r="H975">
        <v>0</v>
      </c>
      <c r="I975" s="8">
        <f t="shared" si="61"/>
        <v>8.2259676178517704E-3</v>
      </c>
      <c r="J975" s="8">
        <f t="shared" si="62"/>
        <v>8.1923187499493948E-3</v>
      </c>
      <c r="K975" s="8">
        <f t="shared" si="59"/>
        <v>0.23959751791844375</v>
      </c>
    </row>
    <row r="976" spans="1:11" x14ac:dyDescent="0.25">
      <c r="A976" t="str">
        <f t="shared" si="60"/>
        <v>122020</v>
      </c>
      <c r="B976" s="1">
        <v>44175</v>
      </c>
      <c r="C976" s="10">
        <v>44116.645833333336</v>
      </c>
      <c r="D976">
        <v>22693.95</v>
      </c>
      <c r="E976">
        <v>22809.55</v>
      </c>
      <c r="F976">
        <v>22606.6</v>
      </c>
      <c r="G976">
        <v>22755.75</v>
      </c>
      <c r="H976">
        <v>0</v>
      </c>
      <c r="I976" s="8">
        <f t="shared" si="61"/>
        <v>-2.0917887424929393E-3</v>
      </c>
      <c r="J976" s="8">
        <f t="shared" si="62"/>
        <v>-2.0939795882887603E-3</v>
      </c>
      <c r="K976" s="8">
        <f t="shared" si="59"/>
        <v>0.22124428105671323</v>
      </c>
    </row>
    <row r="977" spans="1:11" x14ac:dyDescent="0.25">
      <c r="A977" t="str">
        <f t="shared" si="60"/>
        <v>122020</v>
      </c>
      <c r="B977" s="1">
        <v>44176</v>
      </c>
      <c r="C977" s="10">
        <v>44147.645833333336</v>
      </c>
      <c r="D977">
        <v>22754.5</v>
      </c>
      <c r="E977">
        <v>22901.75</v>
      </c>
      <c r="F977">
        <v>22541.1</v>
      </c>
      <c r="G977">
        <v>22664</v>
      </c>
      <c r="H977">
        <v>0</v>
      </c>
      <c r="I977" s="8">
        <f t="shared" si="61"/>
        <v>-4.0319479691945936E-3</v>
      </c>
      <c r="J977" s="8">
        <f t="shared" si="62"/>
        <v>-4.0400981862852665E-3</v>
      </c>
      <c r="K977" s="8">
        <f t="shared" si="59"/>
        <v>0.1619525149832608</v>
      </c>
    </row>
    <row r="978" spans="1:11" x14ac:dyDescent="0.25">
      <c r="A978" t="str">
        <f t="shared" si="60"/>
        <v>122020</v>
      </c>
      <c r="B978" s="1">
        <v>44179</v>
      </c>
      <c r="C978" t="s">
        <v>616</v>
      </c>
      <c r="D978">
        <v>22786</v>
      </c>
      <c r="E978">
        <v>22792.45</v>
      </c>
      <c r="F978">
        <v>22487.3</v>
      </c>
      <c r="G978">
        <v>22746.7</v>
      </c>
      <c r="H978">
        <v>0</v>
      </c>
      <c r="I978" s="8">
        <f t="shared" si="61"/>
        <v>3.6489587010237745E-3</v>
      </c>
      <c r="J978" s="8">
        <f t="shared" si="62"/>
        <v>3.6423174022031566E-3</v>
      </c>
      <c r="K978" s="8">
        <f t="shared" si="59"/>
        <v>0.15893169208194724</v>
      </c>
    </row>
    <row r="979" spans="1:11" x14ac:dyDescent="0.25">
      <c r="A979" t="str">
        <f t="shared" si="60"/>
        <v>122020</v>
      </c>
      <c r="B979" s="1">
        <v>44180</v>
      </c>
      <c r="C979" t="s">
        <v>617</v>
      </c>
      <c r="D979">
        <v>22656.35</v>
      </c>
      <c r="E979">
        <v>22779.7</v>
      </c>
      <c r="F979">
        <v>22608.35</v>
      </c>
      <c r="G979">
        <v>22715.1</v>
      </c>
      <c r="H979">
        <v>0</v>
      </c>
      <c r="I979" s="8">
        <f t="shared" si="61"/>
        <v>-1.3892125011540912E-3</v>
      </c>
      <c r="J979" s="8">
        <f t="shared" si="62"/>
        <v>-1.3901783514586167E-3</v>
      </c>
      <c r="K979" s="8">
        <f t="shared" si="59"/>
        <v>0.14894779303350725</v>
      </c>
    </row>
    <row r="980" spans="1:11" x14ac:dyDescent="0.25">
      <c r="A980" t="str">
        <f t="shared" si="60"/>
        <v>122020</v>
      </c>
      <c r="B980" s="1">
        <v>44181</v>
      </c>
      <c r="C980" t="s">
        <v>618</v>
      </c>
      <c r="D980">
        <v>22830.400000000001</v>
      </c>
      <c r="E980">
        <v>22933.8</v>
      </c>
      <c r="F980">
        <v>22701.55</v>
      </c>
      <c r="G980">
        <v>22906.25</v>
      </c>
      <c r="H980">
        <v>0</v>
      </c>
      <c r="I980" s="8">
        <f t="shared" si="61"/>
        <v>8.4151071313796066E-3</v>
      </c>
      <c r="J980" s="8">
        <f t="shared" si="62"/>
        <v>8.3798975079650631E-3</v>
      </c>
      <c r="K980" s="8">
        <f t="shared" si="59"/>
        <v>0.1558480550215211</v>
      </c>
    </row>
    <row r="981" spans="1:11" x14ac:dyDescent="0.25">
      <c r="A981" t="str">
        <f t="shared" si="60"/>
        <v>122020</v>
      </c>
      <c r="B981" s="1">
        <v>44182</v>
      </c>
      <c r="C981" t="s">
        <v>619</v>
      </c>
      <c r="D981">
        <v>22913.15</v>
      </c>
      <c r="E981">
        <v>22960.5</v>
      </c>
      <c r="F981">
        <v>22835.4</v>
      </c>
      <c r="G981">
        <v>22892.25</v>
      </c>
      <c r="H981">
        <v>0</v>
      </c>
      <c r="I981" s="8">
        <f t="shared" si="61"/>
        <v>-6.1118690313777257E-4</v>
      </c>
      <c r="J981" s="8">
        <f t="shared" si="62"/>
        <v>-6.1137375399079787E-4</v>
      </c>
      <c r="K981" s="8">
        <f t="shared" si="59"/>
        <v>0.15459396482592025</v>
      </c>
    </row>
    <row r="982" spans="1:11" x14ac:dyDescent="0.25">
      <c r="A982" t="str">
        <f t="shared" si="60"/>
        <v>122020</v>
      </c>
      <c r="B982" s="1">
        <v>44183</v>
      </c>
      <c r="C982" t="s">
        <v>620</v>
      </c>
      <c r="D982">
        <v>23173.15</v>
      </c>
      <c r="E982">
        <v>23416.5</v>
      </c>
      <c r="F982">
        <v>23148.5</v>
      </c>
      <c r="G982">
        <v>23256.6</v>
      </c>
      <c r="H982">
        <v>0</v>
      </c>
      <c r="I982" s="8">
        <f t="shared" si="61"/>
        <v>1.5915866723454464E-2</v>
      </c>
      <c r="J982" s="8">
        <f t="shared" si="62"/>
        <v>1.5790537384433388E-2</v>
      </c>
      <c r="K982" s="8">
        <f t="shared" si="59"/>
        <v>0.17880277763698094</v>
      </c>
    </row>
    <row r="983" spans="1:11" x14ac:dyDescent="0.25">
      <c r="A983" t="str">
        <f t="shared" si="60"/>
        <v>122020</v>
      </c>
      <c r="B983" s="1">
        <v>44186</v>
      </c>
      <c r="C983" t="s">
        <v>621</v>
      </c>
      <c r="D983">
        <v>23233.5</v>
      </c>
      <c r="E983">
        <v>23506.7</v>
      </c>
      <c r="F983">
        <v>22458.15</v>
      </c>
      <c r="G983">
        <v>22844.6</v>
      </c>
      <c r="H983">
        <v>0</v>
      </c>
      <c r="I983" s="8">
        <f t="shared" si="61"/>
        <v>-1.771540121943882E-2</v>
      </c>
      <c r="J983" s="8">
        <f t="shared" si="62"/>
        <v>-1.7874197157238918E-2</v>
      </c>
      <c r="K983" s="8">
        <f t="shared" si="59"/>
        <v>0.1499287731361465</v>
      </c>
    </row>
    <row r="984" spans="1:11" x14ac:dyDescent="0.25">
      <c r="A984" t="str">
        <f t="shared" si="60"/>
        <v>122020</v>
      </c>
      <c r="B984" s="1">
        <v>44187</v>
      </c>
      <c r="C984" t="s">
        <v>622</v>
      </c>
      <c r="D984">
        <v>22921.85</v>
      </c>
      <c r="E984">
        <v>23680.9</v>
      </c>
      <c r="F984">
        <v>22745.25</v>
      </c>
      <c r="G984">
        <v>23611.599999999999</v>
      </c>
      <c r="H984">
        <v>0</v>
      </c>
      <c r="I984" s="8">
        <f t="shared" si="61"/>
        <v>3.357467410241366E-2</v>
      </c>
      <c r="J984" s="8">
        <f t="shared" si="62"/>
        <v>3.30233511361126E-2</v>
      </c>
      <c r="K984" s="8">
        <f t="shared" si="59"/>
        <v>0.19216486204694094</v>
      </c>
    </row>
    <row r="985" spans="1:11" x14ac:dyDescent="0.25">
      <c r="A985" t="str">
        <f t="shared" si="60"/>
        <v>122020</v>
      </c>
      <c r="B985" s="1">
        <v>44188</v>
      </c>
      <c r="C985" t="s">
        <v>623</v>
      </c>
      <c r="D985">
        <v>23787.8</v>
      </c>
      <c r="E985">
        <v>24228.799999999999</v>
      </c>
      <c r="F985">
        <v>23758.400000000001</v>
      </c>
      <c r="G985">
        <v>24167.75</v>
      </c>
      <c r="H985">
        <v>0</v>
      </c>
      <c r="I985" s="8">
        <f t="shared" si="61"/>
        <v>2.35541005268598E-2</v>
      </c>
      <c r="J985" s="8">
        <f t="shared" si="62"/>
        <v>2.3280983077758943E-2</v>
      </c>
      <c r="K985" s="8">
        <f t="shared" si="59"/>
        <v>0.27379361778944356</v>
      </c>
    </row>
    <row r="986" spans="1:11" x14ac:dyDescent="0.25">
      <c r="A986" t="str">
        <f t="shared" si="60"/>
        <v>122020</v>
      </c>
      <c r="B986" s="1">
        <v>44189</v>
      </c>
      <c r="C986" t="s">
        <v>624</v>
      </c>
      <c r="D986">
        <v>24163.200000000001</v>
      </c>
      <c r="E986">
        <v>24163.200000000001</v>
      </c>
      <c r="F986">
        <v>23828.05</v>
      </c>
      <c r="G986">
        <v>24009.25</v>
      </c>
      <c r="H986">
        <v>0</v>
      </c>
      <c r="I986" s="8">
        <f t="shared" si="61"/>
        <v>-6.5583266956998898E-3</v>
      </c>
      <c r="J986" s="8">
        <f t="shared" si="62"/>
        <v>-6.5799270133127885E-3</v>
      </c>
      <c r="K986" s="8">
        <f t="shared" si="59"/>
        <v>0.22313015968435024</v>
      </c>
    </row>
    <row r="987" spans="1:11" x14ac:dyDescent="0.25">
      <c r="A987" t="str">
        <f t="shared" si="60"/>
        <v>122020</v>
      </c>
      <c r="B987" s="1">
        <v>44193</v>
      </c>
      <c r="C987" t="s">
        <v>625</v>
      </c>
      <c r="D987">
        <v>24065.4</v>
      </c>
      <c r="E987">
        <v>24192.05</v>
      </c>
      <c r="F987">
        <v>24037.8</v>
      </c>
      <c r="G987">
        <v>24100.3</v>
      </c>
      <c r="H987">
        <v>0</v>
      </c>
      <c r="I987" s="8">
        <f t="shared" si="61"/>
        <v>3.7922883888501513E-3</v>
      </c>
      <c r="J987" s="8">
        <f t="shared" si="62"/>
        <v>3.785115791224718E-3</v>
      </c>
      <c r="K987" s="8">
        <f t="shared" si="59"/>
        <v>0.21822974718256294</v>
      </c>
    </row>
    <row r="988" spans="1:11" x14ac:dyDescent="0.25">
      <c r="A988" t="str">
        <f t="shared" si="60"/>
        <v>122020</v>
      </c>
      <c r="B988" s="1">
        <v>44194</v>
      </c>
      <c r="C988" t="s">
        <v>626</v>
      </c>
      <c r="D988">
        <v>24093.05</v>
      </c>
      <c r="E988">
        <v>24424.2</v>
      </c>
      <c r="F988">
        <v>24090.3</v>
      </c>
      <c r="G988">
        <v>24274.05</v>
      </c>
      <c r="H988">
        <v>0</v>
      </c>
      <c r="I988" s="8">
        <f t="shared" si="61"/>
        <v>7.2094538242262196E-3</v>
      </c>
      <c r="J988" s="8">
        <f t="shared" si="62"/>
        <v>7.1835899472244948E-3</v>
      </c>
      <c r="K988" s="8">
        <f t="shared" si="59"/>
        <v>0.22399630895833966</v>
      </c>
    </row>
    <row r="989" spans="1:11" x14ac:dyDescent="0.25">
      <c r="A989" t="str">
        <f t="shared" si="60"/>
        <v>122020</v>
      </c>
      <c r="B989" s="1">
        <v>44195</v>
      </c>
      <c r="C989" t="s">
        <v>627</v>
      </c>
      <c r="D989">
        <v>24312.5</v>
      </c>
      <c r="E989">
        <v>24394.75</v>
      </c>
      <c r="F989">
        <v>24176.25</v>
      </c>
      <c r="G989">
        <v>24330.05</v>
      </c>
      <c r="H989">
        <v>0</v>
      </c>
      <c r="I989" s="8">
        <f t="shared" si="61"/>
        <v>2.306990386853558E-3</v>
      </c>
      <c r="J989" s="8">
        <f t="shared" si="62"/>
        <v>2.3043333702209372E-3</v>
      </c>
      <c r="K989" s="8">
        <f t="shared" si="59"/>
        <v>0.21946885799707805</v>
      </c>
    </row>
    <row r="990" spans="1:11" x14ac:dyDescent="0.25">
      <c r="A990" t="str">
        <f t="shared" si="60"/>
        <v>122020</v>
      </c>
      <c r="B990" s="1">
        <v>44196</v>
      </c>
      <c r="C990" t="s">
        <v>628</v>
      </c>
      <c r="D990">
        <v>24255.95</v>
      </c>
      <c r="E990">
        <v>24295.200000000001</v>
      </c>
      <c r="F990">
        <v>24137.8</v>
      </c>
      <c r="G990">
        <v>24251.35</v>
      </c>
      <c r="H990">
        <v>0</v>
      </c>
      <c r="I990" s="8">
        <f t="shared" si="61"/>
        <v>-3.23468303599872E-3</v>
      </c>
      <c r="J990" s="8">
        <f t="shared" si="62"/>
        <v>-3.2399259322951138E-3</v>
      </c>
      <c r="K990" s="8">
        <f t="shared" si="59"/>
        <v>0.2059108719866336</v>
      </c>
    </row>
    <row r="991" spans="1:11" x14ac:dyDescent="0.25">
      <c r="A991" t="str">
        <f t="shared" si="60"/>
        <v>12021</v>
      </c>
      <c r="B991" s="1">
        <v>44197</v>
      </c>
      <c r="C991" s="10">
        <v>44197.645833333336</v>
      </c>
      <c r="D991">
        <v>24300.2</v>
      </c>
      <c r="E991">
        <v>24500.7</v>
      </c>
      <c r="F991">
        <v>24288.95</v>
      </c>
      <c r="G991">
        <v>24456.1</v>
      </c>
      <c r="H991">
        <v>0</v>
      </c>
      <c r="I991" s="8">
        <f t="shared" si="61"/>
        <v>8.4428289559137504E-3</v>
      </c>
      <c r="J991" s="8">
        <f t="shared" si="62"/>
        <v>8.4073876192315711E-3</v>
      </c>
      <c r="K991" s="8">
        <f t="shared" si="59"/>
        <v>0.17526551011581515</v>
      </c>
    </row>
    <row r="992" spans="1:11" x14ac:dyDescent="0.25">
      <c r="A992" t="str">
        <f t="shared" si="60"/>
        <v>12021</v>
      </c>
      <c r="B992" s="1">
        <v>44200</v>
      </c>
      <c r="C992" s="10">
        <v>44287.645833333336</v>
      </c>
      <c r="D992">
        <v>24612.05</v>
      </c>
      <c r="E992">
        <v>25158.85</v>
      </c>
      <c r="F992">
        <v>24508.95</v>
      </c>
      <c r="G992">
        <v>25110.05</v>
      </c>
      <c r="H992">
        <v>0</v>
      </c>
      <c r="I992" s="8">
        <f t="shared" si="61"/>
        <v>2.6739750001022244E-2</v>
      </c>
      <c r="J992" s="8">
        <f t="shared" si="62"/>
        <v>2.6388490849767594E-2</v>
      </c>
      <c r="K992" s="8">
        <f t="shared" si="59"/>
        <v>0.20162465455154499</v>
      </c>
    </row>
    <row r="993" spans="1:11" x14ac:dyDescent="0.25">
      <c r="A993" t="str">
        <f t="shared" si="60"/>
        <v>12021</v>
      </c>
      <c r="B993" s="1">
        <v>44201</v>
      </c>
      <c r="C993" s="10">
        <v>44317.645833333336</v>
      </c>
      <c r="D993">
        <v>25057.65</v>
      </c>
      <c r="E993">
        <v>25824.15</v>
      </c>
      <c r="F993">
        <v>25029.85</v>
      </c>
      <c r="G993">
        <v>25769.15</v>
      </c>
      <c r="H993">
        <v>0</v>
      </c>
      <c r="I993" s="8">
        <f t="shared" si="61"/>
        <v>2.6248454304153235E-2</v>
      </c>
      <c r="J993" s="8">
        <f t="shared" si="62"/>
        <v>2.5909875624198078E-2</v>
      </c>
      <c r="K993" s="8">
        <f t="shared" si="59"/>
        <v>0.22608648072549409</v>
      </c>
    </row>
    <row r="994" spans="1:11" x14ac:dyDescent="0.25">
      <c r="A994" t="str">
        <f t="shared" si="60"/>
        <v>12021</v>
      </c>
      <c r="B994" s="1">
        <v>44202</v>
      </c>
      <c r="C994" s="10">
        <v>44348.645833333336</v>
      </c>
      <c r="D994">
        <v>25841.3</v>
      </c>
      <c r="E994">
        <v>26036.7</v>
      </c>
      <c r="F994">
        <v>25240.5</v>
      </c>
      <c r="G994">
        <v>25419.15</v>
      </c>
      <c r="H994">
        <v>0</v>
      </c>
      <c r="I994" s="8">
        <f t="shared" si="61"/>
        <v>-1.3582132123100665E-2</v>
      </c>
      <c r="J994" s="8">
        <f t="shared" si="62"/>
        <v>-1.3675213065629974E-2</v>
      </c>
      <c r="K994" s="8">
        <f t="shared" si="59"/>
        <v>0.1715378677021282</v>
      </c>
    </row>
    <row r="995" spans="1:11" x14ac:dyDescent="0.25">
      <c r="A995" t="str">
        <f t="shared" si="60"/>
        <v>12021</v>
      </c>
      <c r="B995" s="1">
        <v>44203</v>
      </c>
      <c r="C995" s="10">
        <v>44378.645833333336</v>
      </c>
      <c r="D995">
        <v>25692.05</v>
      </c>
      <c r="E995">
        <v>25702.3</v>
      </c>
      <c r="F995">
        <v>25131.9</v>
      </c>
      <c r="G995">
        <v>25251.200000000001</v>
      </c>
      <c r="H995">
        <v>0</v>
      </c>
      <c r="I995" s="8">
        <f t="shared" si="61"/>
        <v>-6.6072232942486764E-3</v>
      </c>
      <c r="J995" s="8">
        <f t="shared" si="62"/>
        <v>-6.6291476200507184E-3</v>
      </c>
      <c r="K995" s="8">
        <f t="shared" si="59"/>
        <v>0.15631489652045882</v>
      </c>
    </row>
    <row r="996" spans="1:11" x14ac:dyDescent="0.25">
      <c r="A996" t="str">
        <f t="shared" si="60"/>
        <v>12021</v>
      </c>
      <c r="B996" s="1">
        <v>44204</v>
      </c>
      <c r="C996" s="10">
        <v>44409.645833333336</v>
      </c>
      <c r="D996">
        <v>25558.3</v>
      </c>
      <c r="E996">
        <v>26227.5</v>
      </c>
      <c r="F996">
        <v>25523.75</v>
      </c>
      <c r="G996">
        <v>26162.400000000001</v>
      </c>
      <c r="H996">
        <v>0</v>
      </c>
      <c r="I996" s="8">
        <f t="shared" si="61"/>
        <v>3.6085413762514396E-2</v>
      </c>
      <c r="J996" s="8">
        <f t="shared" si="62"/>
        <v>3.5449586155542744E-2</v>
      </c>
      <c r="K996" s="8">
        <f t="shared" si="59"/>
        <v>0.17837501857932381</v>
      </c>
    </row>
    <row r="997" spans="1:11" x14ac:dyDescent="0.25">
      <c r="A997" t="str">
        <f t="shared" si="60"/>
        <v>12021</v>
      </c>
      <c r="B997" s="1">
        <v>44207</v>
      </c>
      <c r="C997" s="10">
        <v>44501.645833333336</v>
      </c>
      <c r="D997">
        <v>26703.200000000001</v>
      </c>
      <c r="E997">
        <v>27095.75</v>
      </c>
      <c r="F997">
        <v>26528</v>
      </c>
      <c r="G997">
        <v>27027.75</v>
      </c>
      <c r="H997">
        <v>0</v>
      </c>
      <c r="I997" s="8">
        <f t="shared" si="61"/>
        <v>3.3076093936336148E-2</v>
      </c>
      <c r="J997" s="8">
        <f t="shared" si="62"/>
        <v>3.2540850480016349E-2</v>
      </c>
      <c r="K997" s="8">
        <f t="shared" si="59"/>
        <v>0.20162853560726646</v>
      </c>
    </row>
    <row r="998" spans="1:11" x14ac:dyDescent="0.25">
      <c r="A998" t="str">
        <f t="shared" si="60"/>
        <v>12021</v>
      </c>
      <c r="B998" s="1">
        <v>44208</v>
      </c>
      <c r="C998" s="10">
        <v>44531.645833333336</v>
      </c>
      <c r="D998">
        <v>27008</v>
      </c>
      <c r="E998">
        <v>27127.25</v>
      </c>
      <c r="F998">
        <v>26805</v>
      </c>
      <c r="G998">
        <v>26982.1</v>
      </c>
      <c r="H998">
        <v>0</v>
      </c>
      <c r="I998" s="8">
        <f t="shared" si="61"/>
        <v>-1.6890048191211537E-3</v>
      </c>
      <c r="J998" s="8">
        <f t="shared" si="62"/>
        <v>-1.690432795893612E-3</v>
      </c>
      <c r="K998" s="8">
        <f t="shared" si="59"/>
        <v>0.21518822016704164</v>
      </c>
    </row>
    <row r="999" spans="1:11" x14ac:dyDescent="0.25">
      <c r="A999" t="str">
        <f t="shared" si="60"/>
        <v>12021</v>
      </c>
      <c r="B999" s="1">
        <v>44209</v>
      </c>
      <c r="C999" t="s">
        <v>629</v>
      </c>
      <c r="D999">
        <v>27077.7</v>
      </c>
      <c r="E999">
        <v>27103.9</v>
      </c>
      <c r="F999">
        <v>26737.4</v>
      </c>
      <c r="G999">
        <v>27004.3</v>
      </c>
      <c r="H999">
        <v>0</v>
      </c>
      <c r="I999" s="8">
        <f t="shared" si="61"/>
        <v>8.2276768672562284E-4</v>
      </c>
      <c r="J999" s="8">
        <f t="shared" si="62"/>
        <v>8.2242939893458834E-4</v>
      </c>
      <c r="K999" s="8">
        <f t="shared" si="59"/>
        <v>0.25209460618621704</v>
      </c>
    </row>
    <row r="1000" spans="1:11" x14ac:dyDescent="0.25">
      <c r="A1000" t="str">
        <f t="shared" si="60"/>
        <v>12021</v>
      </c>
      <c r="B1000" s="1">
        <v>44210</v>
      </c>
      <c r="C1000" t="s">
        <v>630</v>
      </c>
      <c r="D1000">
        <v>26804.65</v>
      </c>
      <c r="E1000">
        <v>27176.5</v>
      </c>
      <c r="F1000">
        <v>26245.1</v>
      </c>
      <c r="G1000">
        <v>26965.55</v>
      </c>
      <c r="H1000">
        <v>0</v>
      </c>
      <c r="I1000" s="8">
        <f t="shared" si="61"/>
        <v>-1.4349566550512227E-3</v>
      </c>
      <c r="J1000" s="8">
        <f t="shared" si="62"/>
        <v>-1.4359871913200567E-3</v>
      </c>
      <c r="K1000" s="8">
        <f t="shared" si="59"/>
        <v>0.25199007342784774</v>
      </c>
    </row>
    <row r="1001" spans="1:11" x14ac:dyDescent="0.25">
      <c r="A1001" t="str">
        <f t="shared" si="60"/>
        <v>12021</v>
      </c>
      <c r="B1001" s="1">
        <v>44211</v>
      </c>
      <c r="C1001" t="s">
        <v>631</v>
      </c>
      <c r="D1001">
        <v>26939.7</v>
      </c>
      <c r="E1001">
        <v>27037.65</v>
      </c>
      <c r="F1001">
        <v>26301.4</v>
      </c>
      <c r="G1001">
        <v>26362.799999999999</v>
      </c>
      <c r="H1001">
        <v>0</v>
      </c>
      <c r="I1001" s="8">
        <f t="shared" si="61"/>
        <v>-2.2352594328689745E-2</v>
      </c>
      <c r="J1001" s="8">
        <f t="shared" si="62"/>
        <v>-2.2606199850861701E-2</v>
      </c>
      <c r="K1001" s="8">
        <f t="shared" si="59"/>
        <v>0.2323730009957039</v>
      </c>
    </row>
    <row r="1002" spans="1:11" x14ac:dyDescent="0.25">
      <c r="A1002" t="str">
        <f t="shared" si="60"/>
        <v>12021</v>
      </c>
      <c r="B1002" s="1">
        <v>44214</v>
      </c>
      <c r="C1002" t="s">
        <v>632</v>
      </c>
      <c r="D1002">
        <v>26395.599999999999</v>
      </c>
      <c r="E1002">
        <v>26423.599999999999</v>
      </c>
      <c r="F1002">
        <v>25830.400000000001</v>
      </c>
      <c r="G1002">
        <v>25916.25</v>
      </c>
      <c r="H1002">
        <v>0</v>
      </c>
      <c r="I1002" s="8">
        <f t="shared" si="61"/>
        <v>-1.6938640812053318E-2</v>
      </c>
      <c r="J1002" s="8">
        <f t="shared" si="62"/>
        <v>-1.7083740449420268E-2</v>
      </c>
      <c r="K1002" s="8">
        <f t="shared" si="59"/>
        <v>0.19460827358275323</v>
      </c>
    </row>
    <row r="1003" spans="1:11" x14ac:dyDescent="0.25">
      <c r="A1003" t="str">
        <f t="shared" si="60"/>
        <v>12021</v>
      </c>
      <c r="B1003" s="1">
        <v>44215</v>
      </c>
      <c r="C1003" t="s">
        <v>633</v>
      </c>
      <c r="D1003">
        <v>26080.1</v>
      </c>
      <c r="E1003">
        <v>26254.05</v>
      </c>
      <c r="F1003">
        <v>25987.3</v>
      </c>
      <c r="G1003">
        <v>26043.5</v>
      </c>
      <c r="H1003">
        <v>0</v>
      </c>
      <c r="I1003" s="8">
        <f t="shared" si="61"/>
        <v>4.9100467853180341E-3</v>
      </c>
      <c r="J1003" s="8">
        <f t="shared" si="62"/>
        <v>4.8980318189153918E-3</v>
      </c>
      <c r="K1003" s="8">
        <f t="shared" si="59"/>
        <v>0.20696646761811399</v>
      </c>
    </row>
    <row r="1004" spans="1:11" x14ac:dyDescent="0.25">
      <c r="A1004" t="str">
        <f t="shared" si="60"/>
        <v>12021</v>
      </c>
      <c r="B1004" s="1">
        <v>44216</v>
      </c>
      <c r="C1004" t="s">
        <v>634</v>
      </c>
      <c r="D1004">
        <v>26147.200000000001</v>
      </c>
      <c r="E1004">
        <v>26758.1</v>
      </c>
      <c r="F1004">
        <v>26142.95</v>
      </c>
      <c r="G1004">
        <v>26619.7</v>
      </c>
      <c r="H1004">
        <v>0</v>
      </c>
      <c r="I1004" s="8">
        <f t="shared" si="61"/>
        <v>2.2124522433620619E-2</v>
      </c>
      <c r="J1004" s="8">
        <f t="shared" si="62"/>
        <v>2.1883326270956027E-2</v>
      </c>
      <c r="K1004" s="8">
        <f t="shared" si="59"/>
        <v>0.24312699932285708</v>
      </c>
    </row>
    <row r="1005" spans="1:11" x14ac:dyDescent="0.25">
      <c r="A1005" t="str">
        <f t="shared" si="60"/>
        <v>12021</v>
      </c>
      <c r="B1005" s="1">
        <v>44217</v>
      </c>
      <c r="C1005" t="s">
        <v>635</v>
      </c>
      <c r="D1005">
        <v>26808.5</v>
      </c>
      <c r="E1005">
        <v>26872.95</v>
      </c>
      <c r="F1005">
        <v>26321.8</v>
      </c>
      <c r="G1005">
        <v>26450.15</v>
      </c>
      <c r="H1005">
        <v>0</v>
      </c>
      <c r="I1005" s="8">
        <f t="shared" si="61"/>
        <v>-6.3693430053681777E-3</v>
      </c>
      <c r="J1005" s="8">
        <f t="shared" si="62"/>
        <v>-6.389713815715614E-3</v>
      </c>
      <c r="K1005" s="8">
        <f t="shared" si="59"/>
        <v>0.2288906130944639</v>
      </c>
    </row>
    <row r="1006" spans="1:11" x14ac:dyDescent="0.25">
      <c r="A1006" t="str">
        <f t="shared" si="60"/>
        <v>12021</v>
      </c>
      <c r="B1006" s="1">
        <v>44218</v>
      </c>
      <c r="C1006" t="s">
        <v>636</v>
      </c>
      <c r="D1006">
        <v>26316.55</v>
      </c>
      <c r="E1006">
        <v>26667.55</v>
      </c>
      <c r="F1006">
        <v>26292.799999999999</v>
      </c>
      <c r="G1006">
        <v>26489.75</v>
      </c>
      <c r="H1006">
        <v>0</v>
      </c>
      <c r="I1006" s="8">
        <f t="shared" si="61"/>
        <v>1.4971559707599447E-3</v>
      </c>
      <c r="J1006" s="8">
        <f t="shared" si="62"/>
        <v>1.4960363501180618E-3</v>
      </c>
      <c r="K1006" s="8">
        <f t="shared" si="59"/>
        <v>0.2456561505146786</v>
      </c>
    </row>
    <row r="1007" spans="1:11" x14ac:dyDescent="0.25">
      <c r="A1007" t="str">
        <f t="shared" si="60"/>
        <v>12021</v>
      </c>
      <c r="B1007" s="1">
        <v>44221</v>
      </c>
      <c r="C1007" t="s">
        <v>637</v>
      </c>
      <c r="D1007">
        <v>26607.65</v>
      </c>
      <c r="E1007">
        <v>26685.8</v>
      </c>
      <c r="F1007">
        <v>25911.8</v>
      </c>
      <c r="G1007">
        <v>26023.3</v>
      </c>
      <c r="H1007">
        <v>0</v>
      </c>
      <c r="I1007" s="8">
        <f t="shared" si="61"/>
        <v>-1.7608697703828891E-2</v>
      </c>
      <c r="J1007" s="8">
        <f t="shared" si="62"/>
        <v>-1.7765575154336185E-2</v>
      </c>
      <c r="K1007" s="8">
        <f t="shared" si="59"/>
        <v>0.23782547066601967</v>
      </c>
    </row>
    <row r="1008" spans="1:11" x14ac:dyDescent="0.25">
      <c r="A1008" t="str">
        <f t="shared" si="60"/>
        <v>12021</v>
      </c>
      <c r="B1008" s="1">
        <v>44223</v>
      </c>
      <c r="C1008" t="s">
        <v>638</v>
      </c>
      <c r="D1008">
        <v>26073.1</v>
      </c>
      <c r="E1008">
        <v>26236.55</v>
      </c>
      <c r="F1008">
        <v>25628.7</v>
      </c>
      <c r="G1008">
        <v>25865.3</v>
      </c>
      <c r="H1008">
        <v>0</v>
      </c>
      <c r="I1008" s="8">
        <f t="shared" si="61"/>
        <v>-6.0714820948918335E-3</v>
      </c>
      <c r="J1008" s="8">
        <f t="shared" si="62"/>
        <v>-6.0899884878181567E-3</v>
      </c>
      <c r="K1008" s="8">
        <f t="shared" si="59"/>
        <v>0.24290855970360825</v>
      </c>
    </row>
    <row r="1009" spans="1:11" x14ac:dyDescent="0.25">
      <c r="A1009" t="str">
        <f t="shared" si="60"/>
        <v>12021</v>
      </c>
      <c r="B1009" s="1">
        <v>44224</v>
      </c>
      <c r="C1009" t="s">
        <v>639</v>
      </c>
      <c r="D1009">
        <v>25639.9</v>
      </c>
      <c r="E1009">
        <v>25807.65</v>
      </c>
      <c r="F1009">
        <v>25239.7</v>
      </c>
      <c r="G1009">
        <v>25301.25</v>
      </c>
      <c r="H1009">
        <v>0</v>
      </c>
      <c r="I1009" s="8">
        <f t="shared" si="61"/>
        <v>-2.1807208886036489E-2</v>
      </c>
      <c r="J1009" s="8">
        <f t="shared" si="62"/>
        <v>-2.2048500446088696E-2</v>
      </c>
      <c r="K1009" s="8">
        <f t="shared" si="59"/>
        <v>0.21192271859634659</v>
      </c>
    </row>
    <row r="1010" spans="1:11" x14ac:dyDescent="0.25">
      <c r="A1010" t="str">
        <f t="shared" si="60"/>
        <v>12021</v>
      </c>
      <c r="B1010" s="1">
        <v>44225</v>
      </c>
      <c r="C1010" t="s">
        <v>640</v>
      </c>
      <c r="D1010">
        <v>25516.799999999999</v>
      </c>
      <c r="E1010">
        <v>25539.85</v>
      </c>
      <c r="F1010">
        <v>24559.65</v>
      </c>
      <c r="G1010">
        <v>24645.75</v>
      </c>
      <c r="H1010">
        <v>0</v>
      </c>
      <c r="I1010" s="8">
        <f t="shared" si="61"/>
        <v>-2.5907810878909143E-2</v>
      </c>
      <c r="J1010" s="8">
        <f t="shared" si="62"/>
        <v>-2.624932979697877E-2</v>
      </c>
      <c r="K1010" s="8">
        <f t="shared" si="59"/>
        <v>0.17827254103748902</v>
      </c>
    </row>
    <row r="1011" spans="1:11" x14ac:dyDescent="0.25">
      <c r="A1011" t="str">
        <f t="shared" si="60"/>
        <v>22021</v>
      </c>
      <c r="B1011" s="1">
        <v>44228</v>
      </c>
      <c r="C1011" s="10">
        <v>44198.645833333336</v>
      </c>
      <c r="D1011">
        <v>24709.25</v>
      </c>
      <c r="E1011">
        <v>25139.15</v>
      </c>
      <c r="F1011">
        <v>24308.9</v>
      </c>
      <c r="G1011">
        <v>24922.7</v>
      </c>
      <c r="H1011">
        <v>0</v>
      </c>
      <c r="I1011" s="8">
        <f t="shared" si="61"/>
        <v>1.1237231571366246E-2</v>
      </c>
      <c r="J1011" s="8">
        <f t="shared" si="62"/>
        <v>1.1174562929012888E-2</v>
      </c>
      <c r="K1011" s="8">
        <f t="shared" si="59"/>
        <v>0.2021193982336742</v>
      </c>
    </row>
    <row r="1012" spans="1:11" x14ac:dyDescent="0.25">
      <c r="A1012" t="str">
        <f t="shared" si="60"/>
        <v>22021</v>
      </c>
      <c r="B1012" s="1">
        <v>44229</v>
      </c>
      <c r="C1012" s="10">
        <v>44229.645833333336</v>
      </c>
      <c r="D1012">
        <v>25277.45</v>
      </c>
      <c r="E1012">
        <v>25574.75</v>
      </c>
      <c r="F1012">
        <v>25107.200000000001</v>
      </c>
      <c r="G1012">
        <v>25447.8</v>
      </c>
      <c r="H1012">
        <v>0</v>
      </c>
      <c r="I1012" s="8">
        <f t="shared" si="61"/>
        <v>2.1069145798809918E-2</v>
      </c>
      <c r="J1012" s="8">
        <f t="shared" si="62"/>
        <v>2.0850260492532722E-2</v>
      </c>
      <c r="K1012" s="8">
        <f t="shared" si="59"/>
        <v>0.22722800925925912</v>
      </c>
    </row>
    <row r="1013" spans="1:11" x14ac:dyDescent="0.25">
      <c r="A1013" t="str">
        <f t="shared" si="60"/>
        <v>22021</v>
      </c>
      <c r="B1013" s="1">
        <v>44230</v>
      </c>
      <c r="C1013" s="10">
        <v>44257.645833333336</v>
      </c>
      <c r="D1013">
        <v>25590.05</v>
      </c>
      <c r="E1013">
        <v>25949.7</v>
      </c>
      <c r="F1013">
        <v>25341.4</v>
      </c>
      <c r="G1013">
        <v>25680.9</v>
      </c>
      <c r="H1013">
        <v>0</v>
      </c>
      <c r="I1013" s="8">
        <f t="shared" si="61"/>
        <v>9.1599273807558834E-3</v>
      </c>
      <c r="J1013" s="8">
        <f t="shared" si="62"/>
        <v>9.1182296844354912E-3</v>
      </c>
      <c r="K1013" s="8">
        <f t="shared" si="59"/>
        <v>0.21684186585357201</v>
      </c>
    </row>
    <row r="1014" spans="1:11" x14ac:dyDescent="0.25">
      <c r="A1014" t="str">
        <f t="shared" si="60"/>
        <v>22021</v>
      </c>
      <c r="B1014" s="1">
        <v>44231</v>
      </c>
      <c r="C1014" s="10">
        <v>44288.645833333336</v>
      </c>
      <c r="D1014">
        <v>25749.7</v>
      </c>
      <c r="E1014">
        <v>25862.5</v>
      </c>
      <c r="F1014">
        <v>25505.25</v>
      </c>
      <c r="G1014">
        <v>25570.05</v>
      </c>
      <c r="H1014">
        <v>0</v>
      </c>
      <c r="I1014" s="8">
        <f t="shared" si="61"/>
        <v>-4.3164375080313455E-3</v>
      </c>
      <c r="J1014" s="8">
        <f t="shared" si="62"/>
        <v>-4.3257802189230737E-3</v>
      </c>
      <c r="K1014" s="8">
        <f t="shared" si="59"/>
        <v>0.19566391482138723</v>
      </c>
    </row>
    <row r="1015" spans="1:11" x14ac:dyDescent="0.25">
      <c r="A1015" t="str">
        <f t="shared" si="60"/>
        <v>22021</v>
      </c>
      <c r="B1015" s="1">
        <v>44232</v>
      </c>
      <c r="C1015" s="10">
        <v>44318.645833333336</v>
      </c>
      <c r="D1015">
        <v>25689.7</v>
      </c>
      <c r="E1015">
        <v>25733.5</v>
      </c>
      <c r="F1015">
        <v>25188.400000000001</v>
      </c>
      <c r="G1015">
        <v>25331.599999999999</v>
      </c>
      <c r="H1015">
        <v>0</v>
      </c>
      <c r="I1015" s="8">
        <f t="shared" si="61"/>
        <v>-9.3253630712494262E-3</v>
      </c>
      <c r="J1015" s="8">
        <f t="shared" si="62"/>
        <v>-9.3691164929243856E-3</v>
      </c>
      <c r="K1015" s="8">
        <f t="shared" si="59"/>
        <v>0.17863606966215806</v>
      </c>
    </row>
    <row r="1016" spans="1:11" x14ac:dyDescent="0.25">
      <c r="A1016" t="str">
        <f t="shared" si="60"/>
        <v>22021</v>
      </c>
      <c r="B1016" s="1">
        <v>44235</v>
      </c>
      <c r="C1016" s="10">
        <v>44410.645833333336</v>
      </c>
      <c r="D1016">
        <v>25588.5</v>
      </c>
      <c r="E1016">
        <v>26028</v>
      </c>
      <c r="F1016">
        <v>25415.95</v>
      </c>
      <c r="G1016">
        <v>25915.599999999999</v>
      </c>
      <c r="H1016">
        <v>0</v>
      </c>
      <c r="I1016" s="8">
        <f t="shared" si="61"/>
        <v>2.3054208972192791E-2</v>
      </c>
      <c r="J1016" s="8">
        <f t="shared" si="62"/>
        <v>2.2792475763205415E-2</v>
      </c>
      <c r="K1016" s="8">
        <f t="shared" si="59"/>
        <v>0.18769119369023568</v>
      </c>
    </row>
    <row r="1017" spans="1:11" x14ac:dyDescent="0.25">
      <c r="A1017" t="str">
        <f t="shared" si="60"/>
        <v>22021</v>
      </c>
      <c r="B1017" s="1">
        <v>44236</v>
      </c>
      <c r="C1017" s="10">
        <v>44441.645833333336</v>
      </c>
      <c r="D1017">
        <v>25933.8</v>
      </c>
      <c r="E1017">
        <v>26301.200000000001</v>
      </c>
      <c r="F1017">
        <v>25659.9</v>
      </c>
      <c r="G1017">
        <v>25779.15</v>
      </c>
      <c r="H1017">
        <v>0</v>
      </c>
      <c r="I1017" s="8">
        <f t="shared" si="61"/>
        <v>-5.2651684699561718E-3</v>
      </c>
      <c r="J1017" s="8">
        <f t="shared" si="62"/>
        <v>-5.2790783160698721E-3</v>
      </c>
      <c r="K1017" s="8">
        <f t="shared" si="59"/>
        <v>0.22883666611054188</v>
      </c>
    </row>
    <row r="1018" spans="1:11" x14ac:dyDescent="0.25">
      <c r="A1018" t="str">
        <f t="shared" si="60"/>
        <v>22021</v>
      </c>
      <c r="B1018" s="1">
        <v>44237</v>
      </c>
      <c r="C1018" s="10">
        <v>44471.645833333336</v>
      </c>
      <c r="D1018">
        <v>25779.9</v>
      </c>
      <c r="E1018">
        <v>25941.05</v>
      </c>
      <c r="F1018">
        <v>25570.2</v>
      </c>
      <c r="G1018">
        <v>25885.3</v>
      </c>
      <c r="H1018">
        <v>0</v>
      </c>
      <c r="I1018" s="8">
        <f t="shared" si="61"/>
        <v>4.1176687361685893E-3</v>
      </c>
      <c r="J1018" s="8">
        <f t="shared" si="62"/>
        <v>4.1092143385843671E-3</v>
      </c>
      <c r="K1018" s="8">
        <f t="shared" si="59"/>
        <v>0.2135346100653992</v>
      </c>
    </row>
    <row r="1019" spans="1:11" x14ac:dyDescent="0.25">
      <c r="A1019" t="str">
        <f t="shared" si="60"/>
        <v>22021</v>
      </c>
      <c r="B1019" s="1">
        <v>44238</v>
      </c>
      <c r="C1019" s="10">
        <v>44502.645833333336</v>
      </c>
      <c r="D1019">
        <v>25860.85</v>
      </c>
      <c r="E1019">
        <v>26080.15</v>
      </c>
      <c r="F1019">
        <v>25795.85</v>
      </c>
      <c r="G1019">
        <v>26043.45</v>
      </c>
      <c r="H1019">
        <v>0</v>
      </c>
      <c r="I1019" s="8">
        <f t="shared" si="61"/>
        <v>6.1096452426667724E-3</v>
      </c>
      <c r="J1019" s="8">
        <f t="shared" si="62"/>
        <v>6.0910570333252076E-3</v>
      </c>
      <c r="K1019" s="8">
        <f t="shared" si="59"/>
        <v>0.21907144712790849</v>
      </c>
    </row>
    <row r="1020" spans="1:11" x14ac:dyDescent="0.25">
      <c r="A1020" t="str">
        <f t="shared" si="60"/>
        <v>22021</v>
      </c>
      <c r="B1020" s="1">
        <v>44239</v>
      </c>
      <c r="C1020" s="10">
        <v>44532.645833333336</v>
      </c>
      <c r="D1020">
        <v>26111.8</v>
      </c>
      <c r="E1020">
        <v>26455.05</v>
      </c>
      <c r="F1020">
        <v>26012.25</v>
      </c>
      <c r="G1020">
        <v>26093.8</v>
      </c>
      <c r="H1020">
        <v>0</v>
      </c>
      <c r="I1020" s="8">
        <f t="shared" si="61"/>
        <v>1.9333076070950916E-3</v>
      </c>
      <c r="J1020" s="8">
        <f t="shared" si="62"/>
        <v>1.9314411731500649E-3</v>
      </c>
      <c r="K1020" s="8">
        <f t="shared" si="59"/>
        <v>0.21724040612310125</v>
      </c>
    </row>
    <row r="1021" spans="1:11" x14ac:dyDescent="0.25">
      <c r="A1021" t="str">
        <f t="shared" si="60"/>
        <v>22021</v>
      </c>
      <c r="B1021" s="1">
        <v>44242</v>
      </c>
      <c r="C1021" t="s">
        <v>641</v>
      </c>
      <c r="D1021">
        <v>26243.1</v>
      </c>
      <c r="E1021">
        <v>26279.3</v>
      </c>
      <c r="F1021">
        <v>25959.1</v>
      </c>
      <c r="G1021">
        <v>26001.1</v>
      </c>
      <c r="H1021">
        <v>0</v>
      </c>
      <c r="I1021" s="8">
        <f t="shared" si="61"/>
        <v>-3.5525680429834283E-3</v>
      </c>
      <c r="J1021" s="8">
        <f t="shared" si="62"/>
        <v>-3.5588933981132308E-3</v>
      </c>
      <c r="K1021" s="8">
        <f t="shared" si="59"/>
        <v>0.209997882593288</v>
      </c>
    </row>
    <row r="1022" spans="1:11" x14ac:dyDescent="0.25">
      <c r="A1022" t="str">
        <f t="shared" si="60"/>
        <v>22021</v>
      </c>
      <c r="B1022" s="1">
        <v>44243</v>
      </c>
      <c r="C1022" t="s">
        <v>642</v>
      </c>
      <c r="D1022">
        <v>26130.400000000001</v>
      </c>
      <c r="E1022">
        <v>26167.85</v>
      </c>
      <c r="F1022">
        <v>25519.95</v>
      </c>
      <c r="G1022">
        <v>25613.95</v>
      </c>
      <c r="H1022">
        <v>0</v>
      </c>
      <c r="I1022" s="8">
        <f t="shared" si="61"/>
        <v>-1.4889754664225707E-2</v>
      </c>
      <c r="J1022" s="8">
        <f t="shared" si="62"/>
        <v>-1.5001719874338357E-2</v>
      </c>
      <c r="K1022" s="8">
        <f t="shared" si="59"/>
        <v>0.20169506236262524</v>
      </c>
    </row>
    <row r="1023" spans="1:11" x14ac:dyDescent="0.25">
      <c r="A1023" t="str">
        <f t="shared" si="60"/>
        <v>22021</v>
      </c>
      <c r="B1023" s="1">
        <v>44244</v>
      </c>
      <c r="C1023" t="s">
        <v>643</v>
      </c>
      <c r="D1023">
        <v>25610.400000000001</v>
      </c>
      <c r="E1023">
        <v>25672.25</v>
      </c>
      <c r="F1023">
        <v>25234.7</v>
      </c>
      <c r="G1023">
        <v>25282.95</v>
      </c>
      <c r="H1023">
        <v>0</v>
      </c>
      <c r="I1023" s="8">
        <f t="shared" si="61"/>
        <v>-1.2922645667692745E-2</v>
      </c>
      <c r="J1023" s="8">
        <f t="shared" si="62"/>
        <v>-1.300686943597768E-2</v>
      </c>
      <c r="K1023" s="8">
        <f t="shared" si="59"/>
        <v>0.19742403898751792</v>
      </c>
    </row>
    <row r="1024" spans="1:11" x14ac:dyDescent="0.25">
      <c r="A1024" t="str">
        <f t="shared" si="60"/>
        <v>22021</v>
      </c>
      <c r="B1024" s="1">
        <v>44245</v>
      </c>
      <c r="C1024" t="s">
        <v>644</v>
      </c>
      <c r="D1024">
        <v>25270.95</v>
      </c>
      <c r="E1024">
        <v>25686.85</v>
      </c>
      <c r="F1024">
        <v>25262.65</v>
      </c>
      <c r="G1024">
        <v>25618.55</v>
      </c>
      <c r="H1024">
        <v>0</v>
      </c>
      <c r="I1024" s="8">
        <f t="shared" si="61"/>
        <v>1.3273767499441202E-2</v>
      </c>
      <c r="J1024" s="8">
        <f t="shared" si="62"/>
        <v>1.3186442949367017E-2</v>
      </c>
      <c r="K1024" s="8">
        <f t="shared" ref="K1024:K1087" si="63">+G1024/G963-1</f>
        <v>0.19661127783551491</v>
      </c>
    </row>
    <row r="1025" spans="1:11" x14ac:dyDescent="0.25">
      <c r="A1025" t="str">
        <f t="shared" si="60"/>
        <v>22021</v>
      </c>
      <c r="B1025" s="1">
        <v>44246</v>
      </c>
      <c r="C1025" t="s">
        <v>645</v>
      </c>
      <c r="D1025">
        <v>25634.95</v>
      </c>
      <c r="E1025">
        <v>25676</v>
      </c>
      <c r="F1025">
        <v>25292.65</v>
      </c>
      <c r="G1025">
        <v>25503.200000000001</v>
      </c>
      <c r="H1025">
        <v>0</v>
      </c>
      <c r="I1025" s="8">
        <f t="shared" si="61"/>
        <v>-4.5025967511821419E-3</v>
      </c>
      <c r="J1025" s="8">
        <f t="shared" si="62"/>
        <v>-4.5127639706725566E-3</v>
      </c>
      <c r="K1025" s="8">
        <f t="shared" si="63"/>
        <v>0.15886500007951998</v>
      </c>
    </row>
    <row r="1026" spans="1:11" x14ac:dyDescent="0.25">
      <c r="A1026" t="str">
        <f t="shared" si="60"/>
        <v>22021</v>
      </c>
      <c r="B1026" s="1">
        <v>44249</v>
      </c>
      <c r="C1026" t="s">
        <v>646</v>
      </c>
      <c r="D1026">
        <v>25579.75</v>
      </c>
      <c r="E1026">
        <v>25617.35</v>
      </c>
      <c r="F1026">
        <v>24646.45</v>
      </c>
      <c r="G1026">
        <v>24766.45</v>
      </c>
      <c r="H1026">
        <v>0</v>
      </c>
      <c r="I1026" s="8">
        <f t="shared" si="61"/>
        <v>-2.888853163524574E-2</v>
      </c>
      <c r="J1026" s="8">
        <f t="shared" si="62"/>
        <v>-2.9314019787517062E-2</v>
      </c>
      <c r="K1026" s="8">
        <f t="shared" si="63"/>
        <v>0.12246706217736358</v>
      </c>
    </row>
    <row r="1027" spans="1:11" x14ac:dyDescent="0.25">
      <c r="A1027" t="str">
        <f t="shared" ref="A1027:A1090" si="64">+MONTH(B1027)&amp;YEAR(B1027)</f>
        <v>22021</v>
      </c>
      <c r="B1027" s="1">
        <v>44250</v>
      </c>
      <c r="C1027" t="s">
        <v>647</v>
      </c>
      <c r="D1027">
        <v>24933.7</v>
      </c>
      <c r="E1027">
        <v>25199.599999999999</v>
      </c>
      <c r="F1027">
        <v>24709.15</v>
      </c>
      <c r="G1027">
        <v>24807.8</v>
      </c>
      <c r="H1027">
        <v>0</v>
      </c>
      <c r="I1027" s="8">
        <f t="shared" si="61"/>
        <v>1.6695973787119733E-3</v>
      </c>
      <c r="J1027" s="8">
        <f t="shared" si="62"/>
        <v>1.668205150433514E-3</v>
      </c>
      <c r="K1027" s="8">
        <f t="shared" si="63"/>
        <v>0.14290584587600597</v>
      </c>
    </row>
    <row r="1028" spans="1:11" x14ac:dyDescent="0.25">
      <c r="A1028" t="str">
        <f t="shared" si="64"/>
        <v>22021</v>
      </c>
      <c r="B1028" s="1">
        <v>44251</v>
      </c>
      <c r="C1028" t="s">
        <v>648</v>
      </c>
      <c r="D1028">
        <v>24814.55</v>
      </c>
      <c r="E1028">
        <v>24872.35</v>
      </c>
      <c r="F1028">
        <v>24518.7</v>
      </c>
      <c r="G1028">
        <v>24779.4</v>
      </c>
      <c r="H1028">
        <v>0</v>
      </c>
      <c r="I1028" s="8">
        <f t="shared" ref="I1028:I1079" si="65">+G1028/G1027-1</f>
        <v>-1.1448012318705514E-3</v>
      </c>
      <c r="J1028" s="8">
        <f t="shared" ref="J1028:J1091" si="66">+LN(1+I1028)</f>
        <v>-1.1454570173445864E-3</v>
      </c>
      <c r="K1028" s="8">
        <f t="shared" si="63"/>
        <v>0.13355504828475895</v>
      </c>
    </row>
    <row r="1029" spans="1:11" x14ac:dyDescent="0.25">
      <c r="A1029" t="str">
        <f t="shared" si="64"/>
        <v>22021</v>
      </c>
      <c r="B1029" s="1">
        <v>44252</v>
      </c>
      <c r="C1029" t="s">
        <v>649</v>
      </c>
      <c r="D1029">
        <v>24979</v>
      </c>
      <c r="E1029">
        <v>25199.8</v>
      </c>
      <c r="F1029">
        <v>24830.7</v>
      </c>
      <c r="G1029">
        <v>24872.45</v>
      </c>
      <c r="H1029">
        <v>0</v>
      </c>
      <c r="I1029" s="8">
        <f t="shared" si="65"/>
        <v>3.7551353140108379E-3</v>
      </c>
      <c r="J1029" s="8">
        <f t="shared" si="66"/>
        <v>3.7481023942758907E-3</v>
      </c>
      <c r="K1029" s="8">
        <f t="shared" si="63"/>
        <v>0.14277805089846485</v>
      </c>
    </row>
    <row r="1030" spans="1:11" x14ac:dyDescent="0.25">
      <c r="A1030" t="str">
        <f t="shared" si="64"/>
        <v>22021</v>
      </c>
      <c r="B1030" s="1">
        <v>44253</v>
      </c>
      <c r="C1030" t="s">
        <v>650</v>
      </c>
      <c r="D1030">
        <v>24611.200000000001</v>
      </c>
      <c r="E1030">
        <v>24689</v>
      </c>
      <c r="F1030">
        <v>24212.799999999999</v>
      </c>
      <c r="G1030">
        <v>24301.45</v>
      </c>
      <c r="H1030">
        <v>0</v>
      </c>
      <c r="I1030" s="8">
        <f t="shared" si="65"/>
        <v>-2.295712726329735E-2</v>
      </c>
      <c r="J1030" s="8">
        <f t="shared" si="66"/>
        <v>-2.3224745878905023E-2</v>
      </c>
      <c r="K1030" s="8">
        <f t="shared" si="63"/>
        <v>9.6096685294688067E-2</v>
      </c>
    </row>
    <row r="1031" spans="1:11" x14ac:dyDescent="0.25">
      <c r="A1031" t="str">
        <f t="shared" si="64"/>
        <v>32021</v>
      </c>
      <c r="B1031" s="1">
        <v>44256</v>
      </c>
      <c r="C1031" s="10">
        <v>44199.645833333336</v>
      </c>
      <c r="D1031">
        <v>24494.65</v>
      </c>
      <c r="E1031">
        <v>24846.1</v>
      </c>
      <c r="F1031">
        <v>24451.45</v>
      </c>
      <c r="G1031">
        <v>24556.3</v>
      </c>
      <c r="H1031">
        <v>0</v>
      </c>
      <c r="I1031" s="8">
        <f t="shared" si="65"/>
        <v>1.0487028551794175E-2</v>
      </c>
      <c r="J1031" s="8">
        <f t="shared" si="66"/>
        <v>1.0432421115906197E-2</v>
      </c>
      <c r="K1031" s="8">
        <f t="shared" si="63"/>
        <v>0.10024194632376004</v>
      </c>
    </row>
    <row r="1032" spans="1:11" x14ac:dyDescent="0.25">
      <c r="A1032" t="str">
        <f t="shared" si="64"/>
        <v>32021</v>
      </c>
      <c r="B1032" s="1">
        <v>44257</v>
      </c>
      <c r="C1032" s="10">
        <v>44230.645833333336</v>
      </c>
      <c r="D1032">
        <v>24809.7</v>
      </c>
      <c r="E1032">
        <v>25435.4</v>
      </c>
      <c r="F1032">
        <v>24770.35</v>
      </c>
      <c r="G1032">
        <v>25301.85</v>
      </c>
      <c r="H1032">
        <v>0</v>
      </c>
      <c r="I1032" s="8">
        <f t="shared" si="65"/>
        <v>3.0360844263997322E-2</v>
      </c>
      <c r="J1032" s="8">
        <f t="shared" si="66"/>
        <v>2.9909075125725122E-2</v>
      </c>
      <c r="K1032" s="8">
        <f t="shared" si="63"/>
        <v>0.13961003864481891</v>
      </c>
    </row>
    <row r="1033" spans="1:11" x14ac:dyDescent="0.25">
      <c r="A1033" t="str">
        <f t="shared" si="64"/>
        <v>32021</v>
      </c>
      <c r="B1033" s="1">
        <v>44258</v>
      </c>
      <c r="C1033" s="10">
        <v>44258.645833333336</v>
      </c>
      <c r="D1033">
        <v>25582.6</v>
      </c>
      <c r="E1033">
        <v>25814.9</v>
      </c>
      <c r="F1033">
        <v>25331.4</v>
      </c>
      <c r="G1033">
        <v>25772.65</v>
      </c>
      <c r="H1033">
        <v>0</v>
      </c>
      <c r="I1033" s="8">
        <f t="shared" si="65"/>
        <v>1.8607335036766148E-2</v>
      </c>
      <c r="J1033" s="8">
        <f t="shared" si="66"/>
        <v>1.843633653881302E-2</v>
      </c>
      <c r="K1033" s="8">
        <f t="shared" si="63"/>
        <v>0.15521654160951703</v>
      </c>
    </row>
    <row r="1034" spans="1:11" x14ac:dyDescent="0.25">
      <c r="A1034" t="str">
        <f t="shared" si="64"/>
        <v>32021</v>
      </c>
      <c r="B1034" s="1">
        <v>44259</v>
      </c>
      <c r="C1034" s="10">
        <v>44289.645833333336</v>
      </c>
      <c r="D1034">
        <v>25471.7</v>
      </c>
      <c r="E1034">
        <v>25981.35</v>
      </c>
      <c r="F1034">
        <v>25450.45</v>
      </c>
      <c r="G1034">
        <v>25631.85</v>
      </c>
      <c r="H1034">
        <v>0</v>
      </c>
      <c r="I1034" s="8">
        <f t="shared" si="65"/>
        <v>-5.4631557096380678E-3</v>
      </c>
      <c r="J1034" s="8">
        <f t="shared" si="66"/>
        <v>-5.4781333197098138E-3</v>
      </c>
      <c r="K1034" s="8">
        <f t="shared" si="63"/>
        <v>0.14219349491330546</v>
      </c>
    </row>
    <row r="1035" spans="1:11" x14ac:dyDescent="0.25">
      <c r="A1035" t="str">
        <f t="shared" si="64"/>
        <v>32021</v>
      </c>
      <c r="B1035" s="1">
        <v>44260</v>
      </c>
      <c r="C1035" s="10">
        <v>44319.645833333336</v>
      </c>
      <c r="D1035">
        <v>25504.7</v>
      </c>
      <c r="E1035">
        <v>25697.75</v>
      </c>
      <c r="F1035">
        <v>25113.45</v>
      </c>
      <c r="G1035">
        <v>25229.599999999999</v>
      </c>
      <c r="H1035">
        <v>0</v>
      </c>
      <c r="I1035" s="8">
        <f t="shared" si="65"/>
        <v>-1.5693365870976916E-2</v>
      </c>
      <c r="J1035" s="8">
        <f t="shared" si="66"/>
        <v>-1.5817810423506669E-2</v>
      </c>
      <c r="K1035" s="8">
        <f t="shared" si="63"/>
        <v>0.11549514975196074</v>
      </c>
    </row>
    <row r="1036" spans="1:11" x14ac:dyDescent="0.25">
      <c r="A1036" t="str">
        <f t="shared" si="64"/>
        <v>32021</v>
      </c>
      <c r="B1036" s="1">
        <v>44263</v>
      </c>
      <c r="C1036" s="10">
        <v>44411.645833333336</v>
      </c>
      <c r="D1036">
        <v>25368.2</v>
      </c>
      <c r="E1036">
        <v>25549.3</v>
      </c>
      <c r="F1036">
        <v>25259.599999999999</v>
      </c>
      <c r="G1036">
        <v>25347.95</v>
      </c>
      <c r="H1036">
        <v>0</v>
      </c>
      <c r="I1036" s="8">
        <f t="shared" si="65"/>
        <v>4.6909186035450912E-3</v>
      </c>
      <c r="J1036" s="8">
        <f t="shared" si="66"/>
        <v>4.6799505317191457E-3</v>
      </c>
      <c r="K1036" s="8">
        <f t="shared" si="63"/>
        <v>0.11158399277302333</v>
      </c>
    </row>
    <row r="1037" spans="1:11" x14ac:dyDescent="0.25">
      <c r="A1037" t="str">
        <f t="shared" si="64"/>
        <v>32021</v>
      </c>
      <c r="B1037" s="1">
        <v>44264</v>
      </c>
      <c r="C1037" s="10">
        <v>44442.645833333336</v>
      </c>
      <c r="D1037">
        <v>25388.799999999999</v>
      </c>
      <c r="E1037">
        <v>25685.8</v>
      </c>
      <c r="F1037">
        <v>25095.35</v>
      </c>
      <c r="G1037">
        <v>25582.35</v>
      </c>
      <c r="H1037">
        <v>0</v>
      </c>
      <c r="I1037" s="8">
        <f t="shared" si="65"/>
        <v>9.2472961324288061E-3</v>
      </c>
      <c r="J1037" s="8">
        <f t="shared" si="66"/>
        <v>9.2048016612989291E-3</v>
      </c>
      <c r="K1037" s="8">
        <f t="shared" si="63"/>
        <v>0.12421475890708944</v>
      </c>
    </row>
    <row r="1038" spans="1:11" x14ac:dyDescent="0.25">
      <c r="A1038" t="str">
        <f t="shared" si="64"/>
        <v>32021</v>
      </c>
      <c r="B1038" s="1">
        <v>44265</v>
      </c>
      <c r="C1038" s="10">
        <v>44472.645833333336</v>
      </c>
      <c r="D1038">
        <v>25862.05</v>
      </c>
      <c r="E1038">
        <v>26136.55</v>
      </c>
      <c r="F1038">
        <v>25782.3</v>
      </c>
      <c r="G1038">
        <v>26010.1</v>
      </c>
      <c r="H1038">
        <v>0</v>
      </c>
      <c r="I1038" s="8">
        <f t="shared" si="65"/>
        <v>1.6720512384515107E-2</v>
      </c>
      <c r="J1038" s="8">
        <f t="shared" si="66"/>
        <v>1.6582263549882736E-2</v>
      </c>
      <c r="K1038" s="8">
        <f t="shared" si="63"/>
        <v>0.14763942816801978</v>
      </c>
    </row>
    <row r="1039" spans="1:11" x14ac:dyDescent="0.25">
      <c r="A1039" t="str">
        <f t="shared" si="64"/>
        <v>32021</v>
      </c>
      <c r="B1039" s="1">
        <v>44267</v>
      </c>
      <c r="C1039" s="10">
        <v>44533.645833333336</v>
      </c>
      <c r="D1039">
        <v>26060.45</v>
      </c>
      <c r="E1039">
        <v>26298</v>
      </c>
      <c r="F1039">
        <v>25819.9</v>
      </c>
      <c r="G1039">
        <v>25888.25</v>
      </c>
      <c r="H1039">
        <v>0</v>
      </c>
      <c r="I1039" s="8">
        <f t="shared" si="65"/>
        <v>-4.6847186285327025E-3</v>
      </c>
      <c r="J1039" s="8">
        <f t="shared" si="66"/>
        <v>-4.6957263149107285E-3</v>
      </c>
      <c r="K1039" s="8">
        <f t="shared" si="63"/>
        <v>0.13811014344937944</v>
      </c>
    </row>
    <row r="1040" spans="1:11" x14ac:dyDescent="0.25">
      <c r="A1040" t="str">
        <f t="shared" si="64"/>
        <v>32021</v>
      </c>
      <c r="B1040" s="1">
        <v>44270</v>
      </c>
      <c r="C1040" t="s">
        <v>651</v>
      </c>
      <c r="D1040">
        <v>25859.15</v>
      </c>
      <c r="E1040">
        <v>26094.15</v>
      </c>
      <c r="F1040">
        <v>25651.8</v>
      </c>
      <c r="G1040">
        <v>26032.05</v>
      </c>
      <c r="H1040">
        <v>0</v>
      </c>
      <c r="I1040" s="8">
        <f t="shared" si="65"/>
        <v>5.5546435158806418E-3</v>
      </c>
      <c r="J1040" s="8">
        <f t="shared" si="66"/>
        <v>5.5392733744223628E-3</v>
      </c>
      <c r="K1040" s="8">
        <f t="shared" si="63"/>
        <v>0.14602401046000235</v>
      </c>
    </row>
    <row r="1041" spans="1:11" x14ac:dyDescent="0.25">
      <c r="A1041" t="str">
        <f t="shared" si="64"/>
        <v>32021</v>
      </c>
      <c r="B1041" s="1">
        <v>44271</v>
      </c>
      <c r="C1041" t="s">
        <v>652</v>
      </c>
      <c r="D1041">
        <v>26132.45</v>
      </c>
      <c r="E1041">
        <v>26602.65</v>
      </c>
      <c r="F1041">
        <v>26111.1</v>
      </c>
      <c r="G1041">
        <v>26363.85</v>
      </c>
      <c r="H1041">
        <v>0</v>
      </c>
      <c r="I1041" s="8">
        <f t="shared" si="65"/>
        <v>1.2745826778912894E-2</v>
      </c>
      <c r="J1041" s="8">
        <f t="shared" si="66"/>
        <v>1.2665282409786175E-2</v>
      </c>
      <c r="K1041" s="8">
        <f t="shared" si="63"/>
        <v>0.15094570259208728</v>
      </c>
    </row>
    <row r="1042" spans="1:11" x14ac:dyDescent="0.25">
      <c r="A1042" t="str">
        <f t="shared" si="64"/>
        <v>32021</v>
      </c>
      <c r="B1042" s="1">
        <v>44272</v>
      </c>
      <c r="C1042" t="s">
        <v>653</v>
      </c>
      <c r="D1042">
        <v>26378.2</v>
      </c>
      <c r="E1042">
        <v>26657.1</v>
      </c>
      <c r="F1042">
        <v>26113.75</v>
      </c>
      <c r="G1042">
        <v>26183.5</v>
      </c>
      <c r="H1042">
        <v>0</v>
      </c>
      <c r="I1042" s="8">
        <f t="shared" si="65"/>
        <v>-6.8408066348427665E-3</v>
      </c>
      <c r="J1042" s="8">
        <f t="shared" si="66"/>
        <v>-6.86431221195639E-3</v>
      </c>
      <c r="K1042" s="8">
        <f t="shared" si="63"/>
        <v>0.14377136367111132</v>
      </c>
    </row>
    <row r="1043" spans="1:11" x14ac:dyDescent="0.25">
      <c r="A1043" t="str">
        <f t="shared" si="64"/>
        <v>32021</v>
      </c>
      <c r="B1043" s="1">
        <v>44273</v>
      </c>
      <c r="C1043" t="s">
        <v>654</v>
      </c>
      <c r="D1043">
        <v>26365.9</v>
      </c>
      <c r="E1043">
        <v>26395.95</v>
      </c>
      <c r="F1043">
        <v>25012.5</v>
      </c>
      <c r="G1043">
        <v>25373.35</v>
      </c>
      <c r="H1043">
        <v>0</v>
      </c>
      <c r="I1043" s="8">
        <f t="shared" si="65"/>
        <v>-3.0941241621632032E-2</v>
      </c>
      <c r="J1043" s="8">
        <f t="shared" si="66"/>
        <v>-3.1430030768419354E-2</v>
      </c>
      <c r="K1043" s="8">
        <f t="shared" si="63"/>
        <v>9.1017173619531766E-2</v>
      </c>
    </row>
    <row r="1044" spans="1:11" x14ac:dyDescent="0.25">
      <c r="A1044" t="str">
        <f t="shared" si="64"/>
        <v>32021</v>
      </c>
      <c r="B1044" s="1">
        <v>44274</v>
      </c>
      <c r="C1044" t="s">
        <v>655</v>
      </c>
      <c r="D1044">
        <v>25273.35</v>
      </c>
      <c r="E1044">
        <v>25687.4</v>
      </c>
      <c r="F1044">
        <v>25028.3</v>
      </c>
      <c r="G1044">
        <v>25562.75</v>
      </c>
      <c r="H1044">
        <v>0</v>
      </c>
      <c r="I1044" s="8">
        <f t="shared" si="65"/>
        <v>7.4645247868334597E-3</v>
      </c>
      <c r="J1044" s="8">
        <f t="shared" si="66"/>
        <v>7.4368030890807789E-3</v>
      </c>
      <c r="K1044" s="8">
        <f t="shared" si="63"/>
        <v>0.1189843551648968</v>
      </c>
    </row>
    <row r="1045" spans="1:11" x14ac:dyDescent="0.25">
      <c r="A1045" t="str">
        <f t="shared" si="64"/>
        <v>32021</v>
      </c>
      <c r="B1045" s="1">
        <v>44277</v>
      </c>
      <c r="C1045" t="s">
        <v>656</v>
      </c>
      <c r="D1045">
        <v>25649.05</v>
      </c>
      <c r="E1045">
        <v>26102.799999999999</v>
      </c>
      <c r="F1045">
        <v>25418.45</v>
      </c>
      <c r="G1045">
        <v>26035.35</v>
      </c>
      <c r="H1045">
        <v>0</v>
      </c>
      <c r="I1045" s="8">
        <f t="shared" si="65"/>
        <v>1.8487838749743135E-2</v>
      </c>
      <c r="J1045" s="8">
        <f t="shared" si="66"/>
        <v>1.8319016259723694E-2</v>
      </c>
      <c r="K1045" s="8">
        <f t="shared" si="63"/>
        <v>0.10265081570075729</v>
      </c>
    </row>
    <row r="1046" spans="1:11" x14ac:dyDescent="0.25">
      <c r="A1046" t="str">
        <f t="shared" si="64"/>
        <v>32021</v>
      </c>
      <c r="B1046" s="1">
        <v>44278</v>
      </c>
      <c r="C1046" t="s">
        <v>657</v>
      </c>
      <c r="D1046">
        <v>26105.7</v>
      </c>
      <c r="E1046">
        <v>26315.8</v>
      </c>
      <c r="F1046">
        <v>25928</v>
      </c>
      <c r="G1046">
        <v>26105.7</v>
      </c>
      <c r="H1046">
        <v>0</v>
      </c>
      <c r="I1046" s="8">
        <f t="shared" si="65"/>
        <v>2.702095420265227E-3</v>
      </c>
      <c r="J1046" s="8">
        <f t="shared" si="66"/>
        <v>2.6984513234240173E-3</v>
      </c>
      <c r="K1046" s="8">
        <f t="shared" si="63"/>
        <v>8.0187439873385058E-2</v>
      </c>
    </row>
    <row r="1047" spans="1:11" x14ac:dyDescent="0.25">
      <c r="A1047" t="str">
        <f t="shared" si="64"/>
        <v>32021</v>
      </c>
      <c r="B1047" s="1">
        <v>44279</v>
      </c>
      <c r="C1047" t="s">
        <v>658</v>
      </c>
      <c r="D1047">
        <v>25863.55</v>
      </c>
      <c r="E1047">
        <v>26114.6</v>
      </c>
      <c r="F1047">
        <v>25738.15</v>
      </c>
      <c r="G1047">
        <v>25802.95</v>
      </c>
      <c r="H1047">
        <v>0</v>
      </c>
      <c r="I1047" s="8">
        <f t="shared" si="65"/>
        <v>-1.1597084161696469E-2</v>
      </c>
      <c r="J1047" s="8">
        <f t="shared" si="66"/>
        <v>-1.1664854813045671E-2</v>
      </c>
      <c r="K1047" s="8">
        <f t="shared" si="63"/>
        <v>7.4708706019555038E-2</v>
      </c>
    </row>
    <row r="1048" spans="1:11" x14ac:dyDescent="0.25">
      <c r="A1048" t="str">
        <f t="shared" si="64"/>
        <v>32021</v>
      </c>
      <c r="B1048" s="1">
        <v>44280</v>
      </c>
      <c r="C1048" t="s">
        <v>659</v>
      </c>
      <c r="D1048">
        <v>25739.8</v>
      </c>
      <c r="E1048">
        <v>25766</v>
      </c>
      <c r="F1048">
        <v>25131.4</v>
      </c>
      <c r="G1048">
        <v>25237.1</v>
      </c>
      <c r="H1048">
        <v>0</v>
      </c>
      <c r="I1048" s="8">
        <f t="shared" si="65"/>
        <v>-2.1929663081159401E-2</v>
      </c>
      <c r="J1048" s="8">
        <f t="shared" si="66"/>
        <v>-2.2173692393458257E-2</v>
      </c>
      <c r="K1048" s="8">
        <f t="shared" si="63"/>
        <v>4.7169537308664244E-2</v>
      </c>
    </row>
    <row r="1049" spans="1:11" x14ac:dyDescent="0.25">
      <c r="A1049" t="str">
        <f t="shared" si="64"/>
        <v>32021</v>
      </c>
      <c r="B1049" s="1">
        <v>44281</v>
      </c>
      <c r="C1049" t="s">
        <v>660</v>
      </c>
      <c r="D1049">
        <v>25475.3</v>
      </c>
      <c r="E1049">
        <v>25687.05</v>
      </c>
      <c r="F1049">
        <v>25276.6</v>
      </c>
      <c r="G1049">
        <v>25385.1</v>
      </c>
      <c r="H1049">
        <v>0</v>
      </c>
      <c r="I1049" s="8">
        <f t="shared" si="65"/>
        <v>5.8643821992225842E-3</v>
      </c>
      <c r="J1049" s="8">
        <f t="shared" si="66"/>
        <v>5.8472536429097777E-3</v>
      </c>
      <c r="K1049" s="8">
        <f t="shared" si="63"/>
        <v>4.5771101237741529E-2</v>
      </c>
    </row>
    <row r="1050" spans="1:11" x14ac:dyDescent="0.25">
      <c r="A1050" t="str">
        <f t="shared" si="64"/>
        <v>32021</v>
      </c>
      <c r="B1050" s="1">
        <v>44285</v>
      </c>
      <c r="C1050" t="s">
        <v>661</v>
      </c>
      <c r="D1050">
        <v>25531.1</v>
      </c>
      <c r="E1050">
        <v>26306.65</v>
      </c>
      <c r="F1050">
        <v>25429.200000000001</v>
      </c>
      <c r="G1050">
        <v>26121.1</v>
      </c>
      <c r="H1050">
        <v>0</v>
      </c>
      <c r="I1050" s="8">
        <f t="shared" si="65"/>
        <v>2.8993385883845146E-2</v>
      </c>
      <c r="J1050" s="8">
        <f t="shared" si="66"/>
        <v>2.8581029118762154E-2</v>
      </c>
      <c r="K1050" s="8">
        <f t="shared" si="63"/>
        <v>7.3614727466651209E-2</v>
      </c>
    </row>
    <row r="1051" spans="1:11" x14ac:dyDescent="0.25">
      <c r="A1051" t="str">
        <f t="shared" si="64"/>
        <v>32021</v>
      </c>
      <c r="B1051" s="1">
        <v>44286</v>
      </c>
      <c r="C1051" t="s">
        <v>662</v>
      </c>
      <c r="D1051">
        <v>26130.6</v>
      </c>
      <c r="E1051">
        <v>26130.6</v>
      </c>
      <c r="F1051">
        <v>25788</v>
      </c>
      <c r="G1051">
        <v>25855</v>
      </c>
      <c r="H1051">
        <v>0</v>
      </c>
      <c r="I1051" s="8">
        <f t="shared" si="65"/>
        <v>-1.0187166696655092E-2</v>
      </c>
      <c r="J1051" s="8">
        <f t="shared" si="66"/>
        <v>-1.0239410996428354E-2</v>
      </c>
      <c r="K1051" s="8">
        <f t="shared" si="63"/>
        <v>6.6126215653973919E-2</v>
      </c>
    </row>
    <row r="1052" spans="1:11" x14ac:dyDescent="0.25">
      <c r="A1052" t="str">
        <f t="shared" si="64"/>
        <v>42021</v>
      </c>
      <c r="B1052" s="1">
        <v>44287</v>
      </c>
      <c r="C1052" s="10">
        <v>44200.645833333336</v>
      </c>
      <c r="D1052">
        <v>26039.85</v>
      </c>
      <c r="E1052">
        <v>26289.1</v>
      </c>
      <c r="F1052">
        <v>25855.35</v>
      </c>
      <c r="G1052">
        <v>25980.400000000001</v>
      </c>
      <c r="H1052">
        <v>0</v>
      </c>
      <c r="I1052" s="8">
        <f t="shared" si="65"/>
        <v>4.8501257010249432E-3</v>
      </c>
      <c r="J1052" s="8">
        <f t="shared" si="66"/>
        <v>4.8384017345588929E-3</v>
      </c>
      <c r="K1052" s="8">
        <f t="shared" si="63"/>
        <v>6.2328008145207336E-2</v>
      </c>
    </row>
    <row r="1053" spans="1:11" x14ac:dyDescent="0.25">
      <c r="A1053" t="str">
        <f t="shared" si="64"/>
        <v>42021</v>
      </c>
      <c r="B1053" s="1">
        <v>44291</v>
      </c>
      <c r="C1053" s="10">
        <v>44320.645833333336</v>
      </c>
      <c r="D1053">
        <v>26035.5</v>
      </c>
      <c r="E1053">
        <v>26630.799999999999</v>
      </c>
      <c r="F1053">
        <v>25978.95</v>
      </c>
      <c r="G1053">
        <v>26491.4</v>
      </c>
      <c r="H1053">
        <v>0</v>
      </c>
      <c r="I1053" s="8">
        <f t="shared" si="65"/>
        <v>1.9668673307570383E-2</v>
      </c>
      <c r="J1053" s="8">
        <f t="shared" si="66"/>
        <v>1.9477744436841003E-2</v>
      </c>
      <c r="K1053" s="8">
        <f t="shared" si="63"/>
        <v>5.501183788961006E-2</v>
      </c>
    </row>
    <row r="1054" spans="1:11" x14ac:dyDescent="0.25">
      <c r="A1054" t="str">
        <f t="shared" si="64"/>
        <v>42021</v>
      </c>
      <c r="B1054" s="1">
        <v>44292</v>
      </c>
      <c r="C1054" s="10">
        <v>44351.645833333336</v>
      </c>
      <c r="D1054">
        <v>26715.200000000001</v>
      </c>
      <c r="E1054">
        <v>26715.200000000001</v>
      </c>
      <c r="F1054">
        <v>26403.45</v>
      </c>
      <c r="G1054">
        <v>26532.2</v>
      </c>
      <c r="H1054">
        <v>0</v>
      </c>
      <c r="I1054" s="8">
        <f t="shared" si="65"/>
        <v>1.5401224548343695E-3</v>
      </c>
      <c r="J1054" s="8">
        <f t="shared" si="66"/>
        <v>1.5389376825533591E-3</v>
      </c>
      <c r="K1054" s="8">
        <f t="shared" si="63"/>
        <v>2.9610988332948507E-2</v>
      </c>
    </row>
    <row r="1055" spans="1:11" x14ac:dyDescent="0.25">
      <c r="A1055" t="str">
        <f t="shared" si="64"/>
        <v>42021</v>
      </c>
      <c r="B1055" s="1">
        <v>44293</v>
      </c>
      <c r="C1055" s="10">
        <v>44381.645833333336</v>
      </c>
      <c r="D1055">
        <v>26514.95</v>
      </c>
      <c r="E1055">
        <v>26899.200000000001</v>
      </c>
      <c r="F1055">
        <v>26401.7</v>
      </c>
      <c r="G1055">
        <v>26831</v>
      </c>
      <c r="H1055">
        <v>0</v>
      </c>
      <c r="I1055" s="8">
        <f t="shared" si="65"/>
        <v>1.1261787563790371E-2</v>
      </c>
      <c r="J1055" s="8">
        <f t="shared" si="66"/>
        <v>1.1198845751593273E-2</v>
      </c>
      <c r="K1055" s="8">
        <f t="shared" si="63"/>
        <v>5.5542769919529222E-2</v>
      </c>
    </row>
    <row r="1056" spans="1:11" x14ac:dyDescent="0.25">
      <c r="A1056" t="str">
        <f t="shared" si="64"/>
        <v>42021</v>
      </c>
      <c r="B1056" s="1">
        <v>44294</v>
      </c>
      <c r="C1056" s="10">
        <v>44412.645833333336</v>
      </c>
      <c r="D1056">
        <v>26899.5</v>
      </c>
      <c r="E1056">
        <v>27413.55</v>
      </c>
      <c r="F1056">
        <v>26845.85</v>
      </c>
      <c r="G1056">
        <v>27148.400000000001</v>
      </c>
      <c r="H1056">
        <v>0</v>
      </c>
      <c r="I1056" s="8">
        <f t="shared" si="65"/>
        <v>1.1829600089448888E-2</v>
      </c>
      <c r="J1056" s="8">
        <f t="shared" si="66"/>
        <v>1.1760177329626096E-2</v>
      </c>
      <c r="K1056" s="8">
        <f t="shared" si="63"/>
        <v>7.5133062983145482E-2</v>
      </c>
    </row>
    <row r="1057" spans="1:11" x14ac:dyDescent="0.25">
      <c r="A1057" t="str">
        <f t="shared" si="64"/>
        <v>42021</v>
      </c>
      <c r="B1057" s="1">
        <v>44295</v>
      </c>
      <c r="C1057" s="10">
        <v>44443.645833333336</v>
      </c>
      <c r="D1057">
        <v>27322.05</v>
      </c>
      <c r="E1057">
        <v>27520.1</v>
      </c>
      <c r="F1057">
        <v>27109.95</v>
      </c>
      <c r="G1057">
        <v>27367.05</v>
      </c>
      <c r="H1057">
        <v>0</v>
      </c>
      <c r="I1057" s="8">
        <f t="shared" si="65"/>
        <v>8.0538816283832748E-3</v>
      </c>
      <c r="J1057" s="8">
        <f t="shared" si="66"/>
        <v>8.0216222169748955E-3</v>
      </c>
      <c r="K1057" s="8">
        <f t="shared" si="63"/>
        <v>4.604508760664161E-2</v>
      </c>
    </row>
    <row r="1058" spans="1:11" x14ac:dyDescent="0.25">
      <c r="A1058" t="str">
        <f t="shared" si="64"/>
        <v>42021</v>
      </c>
      <c r="B1058" s="1">
        <v>44298</v>
      </c>
      <c r="C1058" s="10">
        <v>44534.645833333336</v>
      </c>
      <c r="D1058">
        <v>27504.400000000001</v>
      </c>
      <c r="E1058">
        <v>27524.6</v>
      </c>
      <c r="F1058">
        <v>26545.65</v>
      </c>
      <c r="G1058">
        <v>26727.8</v>
      </c>
      <c r="H1058">
        <v>0</v>
      </c>
      <c r="I1058" s="8">
        <f t="shared" si="65"/>
        <v>-2.3358381703544984E-2</v>
      </c>
      <c r="J1058" s="8">
        <f t="shared" si="66"/>
        <v>-2.3635512763456986E-2</v>
      </c>
      <c r="K1058" s="8">
        <f t="shared" si="63"/>
        <v>-1.1097853132428726E-2</v>
      </c>
    </row>
    <row r="1059" spans="1:11" x14ac:dyDescent="0.25">
      <c r="A1059" t="str">
        <f t="shared" si="64"/>
        <v>42021</v>
      </c>
      <c r="B1059" s="1">
        <v>44299</v>
      </c>
      <c r="C1059" t="s">
        <v>663</v>
      </c>
      <c r="D1059">
        <v>26737.7</v>
      </c>
      <c r="E1059">
        <v>26759.200000000001</v>
      </c>
      <c r="F1059">
        <v>25513.4</v>
      </c>
      <c r="G1059">
        <v>25851.3</v>
      </c>
      <c r="H1059">
        <v>0</v>
      </c>
      <c r="I1059" s="8">
        <f t="shared" si="65"/>
        <v>-3.2793570739080624E-2</v>
      </c>
      <c r="J1059" s="8">
        <f t="shared" si="66"/>
        <v>-3.3343332411547015E-2</v>
      </c>
      <c r="K1059" s="8">
        <f t="shared" si="63"/>
        <v>-4.1909265772493542E-2</v>
      </c>
    </row>
    <row r="1060" spans="1:11" x14ac:dyDescent="0.25">
      <c r="A1060" t="str">
        <f t="shared" si="64"/>
        <v>42021</v>
      </c>
      <c r="B1060" s="1">
        <v>44301</v>
      </c>
      <c r="C1060" t="s">
        <v>664</v>
      </c>
      <c r="D1060">
        <v>25577</v>
      </c>
      <c r="E1060">
        <v>26084.15</v>
      </c>
      <c r="F1060">
        <v>25293.3</v>
      </c>
      <c r="G1060">
        <v>26010.85</v>
      </c>
      <c r="H1060">
        <v>0</v>
      </c>
      <c r="I1060" s="8">
        <f t="shared" si="65"/>
        <v>6.1718366194349894E-3</v>
      </c>
      <c r="J1060" s="8">
        <f t="shared" si="66"/>
        <v>6.1528688398230424E-3</v>
      </c>
      <c r="K1060" s="8">
        <f t="shared" si="63"/>
        <v>-3.6788585521565165E-2</v>
      </c>
    </row>
    <row r="1061" spans="1:11" x14ac:dyDescent="0.25">
      <c r="A1061" t="str">
        <f t="shared" si="64"/>
        <v>42021</v>
      </c>
      <c r="B1061" s="1">
        <v>44302</v>
      </c>
      <c r="C1061" t="s">
        <v>665</v>
      </c>
      <c r="D1061">
        <v>26183.45</v>
      </c>
      <c r="E1061">
        <v>26476.65</v>
      </c>
      <c r="F1061">
        <v>26131.200000000001</v>
      </c>
      <c r="G1061">
        <v>26324.9</v>
      </c>
      <c r="H1061">
        <v>0</v>
      </c>
      <c r="I1061" s="8">
        <f t="shared" si="65"/>
        <v>1.2073807661033831E-2</v>
      </c>
      <c r="J1061" s="8">
        <f t="shared" si="66"/>
        <v>1.200150067720772E-2</v>
      </c>
      <c r="K1061" s="8">
        <f t="shared" si="63"/>
        <v>-2.3758091342472087E-2</v>
      </c>
    </row>
    <row r="1062" spans="1:11" x14ac:dyDescent="0.25">
      <c r="A1062" t="str">
        <f t="shared" si="64"/>
        <v>42021</v>
      </c>
      <c r="B1062" s="1">
        <v>44305</v>
      </c>
      <c r="C1062" t="s">
        <v>666</v>
      </c>
      <c r="D1062">
        <v>26012.400000000001</v>
      </c>
      <c r="E1062">
        <v>26524.65</v>
      </c>
      <c r="F1062">
        <v>25875.9</v>
      </c>
      <c r="G1062">
        <v>26236.9</v>
      </c>
      <c r="H1062">
        <v>0</v>
      </c>
      <c r="I1062" s="8">
        <f t="shared" si="65"/>
        <v>-3.3428427078545653E-3</v>
      </c>
      <c r="J1062" s="8">
        <f t="shared" si="66"/>
        <v>-3.3484424894813618E-3</v>
      </c>
      <c r="K1062" s="8">
        <f t="shared" si="63"/>
        <v>-4.7756687453531788E-3</v>
      </c>
    </row>
    <row r="1063" spans="1:11" x14ac:dyDescent="0.25">
      <c r="A1063" t="str">
        <f t="shared" si="64"/>
        <v>42021</v>
      </c>
      <c r="B1063" s="1">
        <v>44306</v>
      </c>
      <c r="C1063" t="s">
        <v>667</v>
      </c>
      <c r="D1063">
        <v>26495.599999999999</v>
      </c>
      <c r="E1063">
        <v>26496.5</v>
      </c>
      <c r="F1063">
        <v>25736.45</v>
      </c>
      <c r="G1063">
        <v>25877.599999999999</v>
      </c>
      <c r="H1063">
        <v>0</v>
      </c>
      <c r="I1063" s="8">
        <f t="shared" si="65"/>
        <v>-1.3694453231898662E-2</v>
      </c>
      <c r="J1063" s="8">
        <f t="shared" si="66"/>
        <v>-1.3789087223644756E-2</v>
      </c>
      <c r="K1063" s="8">
        <f t="shared" si="63"/>
        <v>-1.4913423045387342E-3</v>
      </c>
    </row>
    <row r="1064" spans="1:11" x14ac:dyDescent="0.25">
      <c r="A1064" t="str">
        <f t="shared" si="64"/>
        <v>42021</v>
      </c>
      <c r="B1064" s="1">
        <v>44308</v>
      </c>
      <c r="C1064" t="s">
        <v>668</v>
      </c>
      <c r="D1064">
        <v>25902.6</v>
      </c>
      <c r="E1064">
        <v>26055</v>
      </c>
      <c r="F1064">
        <v>25718.6</v>
      </c>
      <c r="G1064">
        <v>25826.7</v>
      </c>
      <c r="H1064">
        <v>0</v>
      </c>
      <c r="I1064" s="8">
        <f t="shared" si="65"/>
        <v>-1.9669521130243339E-3</v>
      </c>
      <c r="J1064" s="8">
        <f t="shared" si="66"/>
        <v>-1.9688891037272088E-3</v>
      </c>
      <c r="K1064" s="8">
        <f t="shared" si="63"/>
        <v>-8.3245339528097428E-3</v>
      </c>
    </row>
    <row r="1065" spans="1:11" x14ac:dyDescent="0.25">
      <c r="A1065" t="str">
        <f t="shared" si="64"/>
        <v>42021</v>
      </c>
      <c r="B1065" s="1">
        <v>44309</v>
      </c>
      <c r="C1065" t="s">
        <v>669</v>
      </c>
      <c r="D1065">
        <v>25746.45</v>
      </c>
      <c r="E1065">
        <v>25926.05</v>
      </c>
      <c r="F1065">
        <v>25531.95</v>
      </c>
      <c r="G1065">
        <v>25609.1</v>
      </c>
      <c r="H1065">
        <v>0</v>
      </c>
      <c r="I1065" s="8">
        <f t="shared" si="65"/>
        <v>-8.4253892289762877E-3</v>
      </c>
      <c r="J1065" s="8">
        <f t="shared" si="66"/>
        <v>-8.4610834540368891E-3</v>
      </c>
      <c r="K1065" s="8">
        <f t="shared" si="63"/>
        <v>-3.7964364737393841E-2</v>
      </c>
    </row>
    <row r="1066" spans="1:11" x14ac:dyDescent="0.25">
      <c r="A1066" t="str">
        <f t="shared" si="64"/>
        <v>42021</v>
      </c>
      <c r="B1066" s="1">
        <v>44312</v>
      </c>
      <c r="C1066" t="s">
        <v>670</v>
      </c>
      <c r="D1066">
        <v>25633.1</v>
      </c>
      <c r="E1066">
        <v>25887.1</v>
      </c>
      <c r="F1066">
        <v>25521.200000000001</v>
      </c>
      <c r="G1066">
        <v>25680.3</v>
      </c>
      <c r="H1066">
        <v>0</v>
      </c>
      <c r="I1066" s="8">
        <f t="shared" si="65"/>
        <v>2.7802617038474864E-3</v>
      </c>
      <c r="J1066" s="8">
        <f t="shared" si="66"/>
        <v>2.7764039250454376E-3</v>
      </c>
      <c r="K1066" s="8">
        <f t="shared" si="63"/>
        <v>-2.9105695052769165E-2</v>
      </c>
    </row>
    <row r="1067" spans="1:11" x14ac:dyDescent="0.25">
      <c r="A1067" t="str">
        <f t="shared" si="64"/>
        <v>42021</v>
      </c>
      <c r="B1067" s="1">
        <v>44313</v>
      </c>
      <c r="C1067" t="s">
        <v>671</v>
      </c>
      <c r="D1067">
        <v>25737.200000000001</v>
      </c>
      <c r="E1067">
        <v>25871.45</v>
      </c>
      <c r="F1067">
        <v>25686.95</v>
      </c>
      <c r="G1067">
        <v>25815.75</v>
      </c>
      <c r="H1067">
        <v>0</v>
      </c>
      <c r="I1067" s="8">
        <f t="shared" si="65"/>
        <v>5.274471092627353E-3</v>
      </c>
      <c r="J1067" s="8">
        <f t="shared" si="66"/>
        <v>5.2606097893062656E-3</v>
      </c>
      <c r="K1067" s="8">
        <f t="shared" si="63"/>
        <v>-2.5443803735407111E-2</v>
      </c>
    </row>
    <row r="1068" spans="1:11" x14ac:dyDescent="0.25">
      <c r="A1068" t="str">
        <f t="shared" si="64"/>
        <v>42021</v>
      </c>
      <c r="B1068" s="1">
        <v>44314</v>
      </c>
      <c r="C1068" t="s">
        <v>672</v>
      </c>
      <c r="D1068">
        <v>25952.65</v>
      </c>
      <c r="E1068">
        <v>25992.5</v>
      </c>
      <c r="F1068">
        <v>25781.15</v>
      </c>
      <c r="G1068">
        <v>25962.1</v>
      </c>
      <c r="H1068">
        <v>0</v>
      </c>
      <c r="I1068" s="8">
        <f t="shared" si="65"/>
        <v>5.6690198812738846E-3</v>
      </c>
      <c r="J1068" s="8">
        <f t="shared" si="66"/>
        <v>5.653011460939654E-3</v>
      </c>
      <c r="K1068" s="8">
        <f t="shared" si="63"/>
        <v>-2.3517386342239988E-3</v>
      </c>
    </row>
    <row r="1069" spans="1:11" x14ac:dyDescent="0.25">
      <c r="A1069" t="str">
        <f t="shared" si="64"/>
        <v>42021</v>
      </c>
      <c r="B1069" s="1">
        <v>44315</v>
      </c>
      <c r="C1069" t="s">
        <v>673</v>
      </c>
      <c r="D1069">
        <v>26162.2</v>
      </c>
      <c r="E1069">
        <v>26162.2</v>
      </c>
      <c r="F1069">
        <v>25827.15</v>
      </c>
      <c r="G1069">
        <v>25874.3</v>
      </c>
      <c r="H1069">
        <v>0</v>
      </c>
      <c r="I1069" s="8">
        <f t="shared" si="65"/>
        <v>-3.3818527777028651E-3</v>
      </c>
      <c r="J1069" s="8">
        <f t="shared" si="66"/>
        <v>-3.387584167266592E-3</v>
      </c>
      <c r="K1069" s="8">
        <f t="shared" si="63"/>
        <v>3.4795652863106596E-4</v>
      </c>
    </row>
    <row r="1070" spans="1:11" x14ac:dyDescent="0.25">
      <c r="A1070" t="str">
        <f t="shared" si="64"/>
        <v>42021</v>
      </c>
      <c r="B1070" s="1">
        <v>44316</v>
      </c>
      <c r="C1070" t="s">
        <v>674</v>
      </c>
      <c r="D1070">
        <v>25777.75</v>
      </c>
      <c r="E1070">
        <v>26154.3</v>
      </c>
      <c r="F1070">
        <v>25593.9</v>
      </c>
      <c r="G1070">
        <v>25664.45</v>
      </c>
      <c r="H1070">
        <v>0</v>
      </c>
      <c r="I1070" s="8">
        <f t="shared" si="65"/>
        <v>-8.1103643383588775E-3</v>
      </c>
      <c r="J1070" s="8">
        <f t="shared" si="66"/>
        <v>-8.1434322598367519E-3</v>
      </c>
      <c r="K1070" s="8">
        <f t="shared" si="63"/>
        <v>1.4355021985079874E-2</v>
      </c>
    </row>
    <row r="1071" spans="1:11" x14ac:dyDescent="0.25">
      <c r="A1071" t="str">
        <f t="shared" si="64"/>
        <v>52021</v>
      </c>
      <c r="B1071" s="1">
        <v>44319</v>
      </c>
      <c r="C1071" s="10">
        <v>44260.645833333336</v>
      </c>
      <c r="D1071">
        <v>25544.85</v>
      </c>
      <c r="E1071">
        <v>25785.599999999999</v>
      </c>
      <c r="F1071">
        <v>25427.9</v>
      </c>
      <c r="G1071">
        <v>25676.05</v>
      </c>
      <c r="H1071">
        <v>0</v>
      </c>
      <c r="I1071" s="8">
        <f t="shared" si="65"/>
        <v>4.5198708719640379E-4</v>
      </c>
      <c r="J1071" s="8">
        <f t="shared" si="66"/>
        <v>4.5188497180164219E-4</v>
      </c>
      <c r="K1071" s="8">
        <f t="shared" si="63"/>
        <v>4.1804367893044425E-2</v>
      </c>
    </row>
    <row r="1072" spans="1:11" x14ac:dyDescent="0.25">
      <c r="A1072" t="str">
        <f t="shared" si="64"/>
        <v>52021</v>
      </c>
      <c r="B1072" s="1">
        <v>44320</v>
      </c>
      <c r="C1072" s="10">
        <v>44291.645833333336</v>
      </c>
      <c r="D1072">
        <v>25783.200000000001</v>
      </c>
      <c r="E1072">
        <v>25801.25</v>
      </c>
      <c r="F1072">
        <v>25398.95</v>
      </c>
      <c r="G1072">
        <v>25489</v>
      </c>
      <c r="H1072">
        <v>0</v>
      </c>
      <c r="I1072" s="8">
        <f t="shared" si="65"/>
        <v>-7.2849990555400312E-3</v>
      </c>
      <c r="J1072" s="8">
        <f t="shared" si="66"/>
        <v>-7.3116642440013788E-3</v>
      </c>
      <c r="K1072" s="8">
        <f t="shared" si="63"/>
        <v>2.2722257219322195E-2</v>
      </c>
    </row>
    <row r="1073" spans="1:11" x14ac:dyDescent="0.25">
      <c r="A1073" t="str">
        <f t="shared" si="64"/>
        <v>52021</v>
      </c>
      <c r="B1073" s="1">
        <v>44321</v>
      </c>
      <c r="C1073" s="10">
        <v>44321.645833333336</v>
      </c>
      <c r="D1073">
        <v>25670.55</v>
      </c>
      <c r="E1073">
        <v>25857.65</v>
      </c>
      <c r="F1073">
        <v>25564.6</v>
      </c>
      <c r="G1073">
        <v>25786.95</v>
      </c>
      <c r="H1073">
        <v>0</v>
      </c>
      <c r="I1073" s="8">
        <f t="shared" si="65"/>
        <v>1.1689356192867484E-2</v>
      </c>
      <c r="J1073" s="8">
        <f t="shared" si="66"/>
        <v>1.1621563459594834E-2</v>
      </c>
      <c r="K1073" s="8">
        <f t="shared" si="63"/>
        <v>1.3327281729658358E-2</v>
      </c>
    </row>
    <row r="1074" spans="1:11" x14ac:dyDescent="0.25">
      <c r="A1074" t="str">
        <f t="shared" si="64"/>
        <v>52021</v>
      </c>
      <c r="B1074" s="1">
        <v>44322</v>
      </c>
      <c r="C1074" s="10">
        <v>44352.645833333336</v>
      </c>
      <c r="D1074">
        <v>25868.25</v>
      </c>
      <c r="E1074">
        <v>26387.65</v>
      </c>
      <c r="F1074">
        <v>25639.599999999999</v>
      </c>
      <c r="G1074">
        <v>26258.7</v>
      </c>
      <c r="H1074">
        <v>0</v>
      </c>
      <c r="I1074" s="8">
        <f t="shared" si="65"/>
        <v>1.8294137150768108E-2</v>
      </c>
      <c r="J1074" s="8">
        <f t="shared" si="66"/>
        <v>1.8128812691692458E-2</v>
      </c>
      <c r="K1074" s="8">
        <f t="shared" si="63"/>
        <v>2.2499211476233238E-2</v>
      </c>
    </row>
    <row r="1075" spans="1:11" x14ac:dyDescent="0.25">
      <c r="A1075" t="str">
        <f t="shared" si="64"/>
        <v>52021</v>
      </c>
      <c r="B1075" s="1">
        <v>44323</v>
      </c>
      <c r="C1075" s="10">
        <v>44382.645833333336</v>
      </c>
      <c r="D1075">
        <v>26378.799999999999</v>
      </c>
      <c r="E1075">
        <v>26454.1</v>
      </c>
      <c r="F1075">
        <v>26180.25</v>
      </c>
      <c r="G1075">
        <v>26269.45</v>
      </c>
      <c r="H1075">
        <v>0</v>
      </c>
      <c r="I1075" s="8">
        <f t="shared" si="65"/>
        <v>4.0938812660185064E-4</v>
      </c>
      <c r="J1075" s="8">
        <f t="shared" si="66"/>
        <v>4.0930435014669352E-4</v>
      </c>
      <c r="K1075" s="8">
        <f t="shared" si="63"/>
        <v>2.7352312568806214E-2</v>
      </c>
    </row>
    <row r="1076" spans="1:11" x14ac:dyDescent="0.25">
      <c r="A1076" t="str">
        <f t="shared" si="64"/>
        <v>52021</v>
      </c>
      <c r="B1076" s="1">
        <v>44326</v>
      </c>
      <c r="C1076" s="10">
        <v>44474.645833333336</v>
      </c>
      <c r="D1076">
        <v>26340.6</v>
      </c>
      <c r="E1076">
        <v>26390.799999999999</v>
      </c>
      <c r="F1076">
        <v>26106.35</v>
      </c>
      <c r="G1076">
        <v>26273.45</v>
      </c>
      <c r="H1076">
        <v>0</v>
      </c>
      <c r="I1076" s="8">
        <f t="shared" si="65"/>
        <v>1.5226812894830744E-4</v>
      </c>
      <c r="J1076" s="8">
        <f t="shared" si="66"/>
        <v>1.522565373334348E-4</v>
      </c>
      <c r="K1076" s="8">
        <f t="shared" si="63"/>
        <v>3.7180833425445092E-2</v>
      </c>
    </row>
    <row r="1077" spans="1:11" x14ac:dyDescent="0.25">
      <c r="A1077" t="str">
        <f t="shared" si="64"/>
        <v>52021</v>
      </c>
      <c r="B1077" s="1">
        <v>44327</v>
      </c>
      <c r="C1077" s="10">
        <v>44505.645833333336</v>
      </c>
      <c r="D1077">
        <v>26098.9</v>
      </c>
      <c r="E1077">
        <v>26146.5</v>
      </c>
      <c r="F1077">
        <v>25968.1</v>
      </c>
      <c r="G1077">
        <v>26106.7</v>
      </c>
      <c r="H1077">
        <v>0</v>
      </c>
      <c r="I1077" s="8">
        <f t="shared" si="65"/>
        <v>-6.3467112236877954E-3</v>
      </c>
      <c r="J1077" s="8">
        <f t="shared" si="66"/>
        <v>-6.3669372198199717E-3</v>
      </c>
      <c r="K1077" s="8">
        <f t="shared" si="63"/>
        <v>7.3739369337388894E-3</v>
      </c>
    </row>
    <row r="1078" spans="1:11" x14ac:dyDescent="0.25">
      <c r="A1078" t="str">
        <f t="shared" si="64"/>
        <v>52021</v>
      </c>
      <c r="B1078" s="1">
        <v>44328</v>
      </c>
      <c r="C1078" s="10">
        <v>44535.645833333336</v>
      </c>
      <c r="D1078">
        <v>26105.200000000001</v>
      </c>
      <c r="E1078">
        <v>26105.200000000001</v>
      </c>
      <c r="F1078">
        <v>25728.45</v>
      </c>
      <c r="G1078">
        <v>25855.45</v>
      </c>
      <c r="H1078">
        <v>0</v>
      </c>
      <c r="I1078" s="8">
        <f t="shared" si="65"/>
        <v>-9.6239662615343891E-3</v>
      </c>
      <c r="J1078" s="8">
        <f t="shared" si="66"/>
        <v>-9.6705759123805867E-3</v>
      </c>
      <c r="K1078" s="8">
        <f t="shared" si="63"/>
        <v>2.9597562371139752E-3</v>
      </c>
    </row>
    <row r="1079" spans="1:11" x14ac:dyDescent="0.25">
      <c r="A1079" t="str">
        <f t="shared" si="64"/>
        <v>52021</v>
      </c>
      <c r="B1079" s="1">
        <v>44330</v>
      </c>
      <c r="C1079" t="s">
        <v>675</v>
      </c>
      <c r="D1079">
        <v>25896.2</v>
      </c>
      <c r="E1079">
        <v>25901.200000000001</v>
      </c>
      <c r="F1079">
        <v>25461.95</v>
      </c>
      <c r="G1079">
        <v>25588.2</v>
      </c>
      <c r="H1079">
        <v>0</v>
      </c>
      <c r="I1079" s="8">
        <f t="shared" si="65"/>
        <v>-1.0336312073469966E-2</v>
      </c>
      <c r="J1079" s="8">
        <f t="shared" si="66"/>
        <v>-1.0390102732852124E-2</v>
      </c>
      <c r="K1079" s="8">
        <f t="shared" si="63"/>
        <v>-1.1477556760014274E-2</v>
      </c>
    </row>
    <row r="1080" spans="1:11" x14ac:dyDescent="0.25">
      <c r="A1080" t="str">
        <f t="shared" si="64"/>
        <v>11900</v>
      </c>
      <c r="I1080" s="8">
        <f t="shared" ref="I1080:I1143" si="67">+G1080/G1079-1</f>
        <v>-1</v>
      </c>
      <c r="J1080" s="8" t="e">
        <f t="shared" si="66"/>
        <v>#NUM!</v>
      </c>
      <c r="K1080" s="8">
        <f t="shared" si="63"/>
        <v>-1</v>
      </c>
    </row>
    <row r="1081" spans="1:11" x14ac:dyDescent="0.25">
      <c r="A1081" t="str">
        <f t="shared" si="64"/>
        <v>11900</v>
      </c>
      <c r="I1081" s="8" t="e">
        <f t="shared" si="67"/>
        <v>#DIV/0!</v>
      </c>
      <c r="J1081" s="8" t="e">
        <f t="shared" si="66"/>
        <v>#DIV/0!</v>
      </c>
      <c r="K1081" s="8">
        <f t="shared" si="63"/>
        <v>-1</v>
      </c>
    </row>
    <row r="1082" spans="1:11" x14ac:dyDescent="0.25">
      <c r="A1082" t="str">
        <f t="shared" si="64"/>
        <v>11900</v>
      </c>
      <c r="I1082" s="8" t="e">
        <f t="shared" si="67"/>
        <v>#DIV/0!</v>
      </c>
      <c r="J1082" s="8" t="e">
        <f t="shared" si="66"/>
        <v>#DIV/0!</v>
      </c>
      <c r="K1082" s="8">
        <f t="shared" si="63"/>
        <v>-1</v>
      </c>
    </row>
    <row r="1083" spans="1:11" x14ac:dyDescent="0.25">
      <c r="A1083" t="str">
        <f t="shared" si="64"/>
        <v>11900</v>
      </c>
      <c r="I1083" s="8" t="e">
        <f t="shared" si="67"/>
        <v>#DIV/0!</v>
      </c>
      <c r="J1083" s="8" t="e">
        <f t="shared" si="66"/>
        <v>#DIV/0!</v>
      </c>
      <c r="K1083" s="8">
        <f t="shared" si="63"/>
        <v>-1</v>
      </c>
    </row>
    <row r="1084" spans="1:11" x14ac:dyDescent="0.25">
      <c r="A1084" t="str">
        <f t="shared" si="64"/>
        <v>11900</v>
      </c>
      <c r="I1084" s="8" t="e">
        <f t="shared" si="67"/>
        <v>#DIV/0!</v>
      </c>
      <c r="J1084" s="8" t="e">
        <f t="shared" si="66"/>
        <v>#DIV/0!</v>
      </c>
      <c r="K1084" s="8">
        <f t="shared" si="63"/>
        <v>-1</v>
      </c>
    </row>
    <row r="1085" spans="1:11" x14ac:dyDescent="0.25">
      <c r="A1085" t="str">
        <f t="shared" si="64"/>
        <v>11900</v>
      </c>
      <c r="I1085" s="8" t="e">
        <f t="shared" si="67"/>
        <v>#DIV/0!</v>
      </c>
      <c r="J1085" s="8" t="e">
        <f t="shared" si="66"/>
        <v>#DIV/0!</v>
      </c>
      <c r="K1085" s="8">
        <f t="shared" si="63"/>
        <v>-1</v>
      </c>
    </row>
    <row r="1086" spans="1:11" x14ac:dyDescent="0.25">
      <c r="A1086" t="str">
        <f t="shared" si="64"/>
        <v>11900</v>
      </c>
      <c r="I1086" s="8" t="e">
        <f t="shared" si="67"/>
        <v>#DIV/0!</v>
      </c>
      <c r="J1086" s="8" t="e">
        <f t="shared" si="66"/>
        <v>#DIV/0!</v>
      </c>
      <c r="K1086" s="8">
        <f t="shared" si="63"/>
        <v>-1</v>
      </c>
    </row>
    <row r="1087" spans="1:11" x14ac:dyDescent="0.25">
      <c r="A1087" t="str">
        <f t="shared" si="64"/>
        <v>11900</v>
      </c>
      <c r="I1087" s="8" t="e">
        <f t="shared" si="67"/>
        <v>#DIV/0!</v>
      </c>
      <c r="J1087" s="8" t="e">
        <f t="shared" si="66"/>
        <v>#DIV/0!</v>
      </c>
      <c r="K1087" s="8">
        <f t="shared" si="63"/>
        <v>-1</v>
      </c>
    </row>
    <row r="1088" spans="1:11" x14ac:dyDescent="0.25">
      <c r="A1088" t="str">
        <f t="shared" si="64"/>
        <v>11900</v>
      </c>
      <c r="I1088" s="8" t="e">
        <f t="shared" si="67"/>
        <v>#DIV/0!</v>
      </c>
      <c r="J1088" s="8" t="e">
        <f t="shared" si="66"/>
        <v>#DIV/0!</v>
      </c>
      <c r="K1088" s="8">
        <f t="shared" ref="K1088:K1151" si="68">+G1088/G1027-1</f>
        <v>-1</v>
      </c>
    </row>
    <row r="1089" spans="1:11" x14ac:dyDescent="0.25">
      <c r="A1089" t="str">
        <f t="shared" si="64"/>
        <v>11900</v>
      </c>
      <c r="I1089" s="8" t="e">
        <f t="shared" si="67"/>
        <v>#DIV/0!</v>
      </c>
      <c r="J1089" s="8" t="e">
        <f t="shared" si="66"/>
        <v>#DIV/0!</v>
      </c>
      <c r="K1089" s="8">
        <f t="shared" si="68"/>
        <v>-1</v>
      </c>
    </row>
    <row r="1090" spans="1:11" x14ac:dyDescent="0.25">
      <c r="A1090" t="str">
        <f t="shared" si="64"/>
        <v>11900</v>
      </c>
      <c r="I1090" s="8" t="e">
        <f t="shared" si="67"/>
        <v>#DIV/0!</v>
      </c>
      <c r="J1090" s="8" t="e">
        <f t="shared" si="66"/>
        <v>#DIV/0!</v>
      </c>
      <c r="K1090" s="8">
        <f t="shared" si="68"/>
        <v>-1</v>
      </c>
    </row>
    <row r="1091" spans="1:11" x14ac:dyDescent="0.25">
      <c r="A1091" t="str">
        <f t="shared" ref="A1091:A1154" si="69">+MONTH(B1091)&amp;YEAR(B1091)</f>
        <v>11900</v>
      </c>
      <c r="I1091" s="8" t="e">
        <f t="shared" si="67"/>
        <v>#DIV/0!</v>
      </c>
      <c r="J1091" s="8" t="e">
        <f t="shared" si="66"/>
        <v>#DIV/0!</v>
      </c>
      <c r="K1091" s="8">
        <f t="shared" si="68"/>
        <v>-1</v>
      </c>
    </row>
    <row r="1092" spans="1:11" x14ac:dyDescent="0.25">
      <c r="A1092" t="str">
        <f t="shared" si="69"/>
        <v>11900</v>
      </c>
      <c r="I1092" s="8" t="e">
        <f t="shared" si="67"/>
        <v>#DIV/0!</v>
      </c>
      <c r="J1092" s="8" t="e">
        <f t="shared" ref="J1092:J1155" si="70">+LN(1+I1092)</f>
        <v>#DIV/0!</v>
      </c>
      <c r="K1092" s="8">
        <f t="shared" si="68"/>
        <v>-1</v>
      </c>
    </row>
    <row r="1093" spans="1:11" x14ac:dyDescent="0.25">
      <c r="A1093" t="str">
        <f t="shared" si="69"/>
        <v>11900</v>
      </c>
      <c r="I1093" s="8" t="e">
        <f t="shared" si="67"/>
        <v>#DIV/0!</v>
      </c>
      <c r="J1093" s="8" t="e">
        <f t="shared" si="70"/>
        <v>#DIV/0!</v>
      </c>
      <c r="K1093" s="8">
        <f t="shared" si="68"/>
        <v>-1</v>
      </c>
    </row>
    <row r="1094" spans="1:11" x14ac:dyDescent="0.25">
      <c r="A1094" t="str">
        <f t="shared" si="69"/>
        <v>11900</v>
      </c>
      <c r="I1094" s="8" t="e">
        <f t="shared" si="67"/>
        <v>#DIV/0!</v>
      </c>
      <c r="J1094" s="8" t="e">
        <f t="shared" si="70"/>
        <v>#DIV/0!</v>
      </c>
      <c r="K1094" s="8">
        <f t="shared" si="68"/>
        <v>-1</v>
      </c>
    </row>
    <row r="1095" spans="1:11" x14ac:dyDescent="0.25">
      <c r="A1095" t="str">
        <f t="shared" si="69"/>
        <v>11900</v>
      </c>
      <c r="I1095" s="8" t="e">
        <f t="shared" si="67"/>
        <v>#DIV/0!</v>
      </c>
      <c r="J1095" s="8" t="e">
        <f t="shared" si="70"/>
        <v>#DIV/0!</v>
      </c>
      <c r="K1095" s="8">
        <f t="shared" si="68"/>
        <v>-1</v>
      </c>
    </row>
    <row r="1096" spans="1:11" x14ac:dyDescent="0.25">
      <c r="A1096" t="str">
        <f t="shared" si="69"/>
        <v>11900</v>
      </c>
      <c r="I1096" s="8" t="e">
        <f t="shared" si="67"/>
        <v>#DIV/0!</v>
      </c>
      <c r="J1096" s="8" t="e">
        <f t="shared" si="70"/>
        <v>#DIV/0!</v>
      </c>
      <c r="K1096" s="8">
        <f t="shared" si="68"/>
        <v>-1</v>
      </c>
    </row>
    <row r="1097" spans="1:11" x14ac:dyDescent="0.25">
      <c r="A1097" t="str">
        <f t="shared" si="69"/>
        <v>11900</v>
      </c>
      <c r="I1097" s="8" t="e">
        <f t="shared" si="67"/>
        <v>#DIV/0!</v>
      </c>
      <c r="J1097" s="8" t="e">
        <f t="shared" si="70"/>
        <v>#DIV/0!</v>
      </c>
      <c r="K1097" s="8">
        <f t="shared" si="68"/>
        <v>-1</v>
      </c>
    </row>
    <row r="1098" spans="1:11" x14ac:dyDescent="0.25">
      <c r="A1098" t="str">
        <f t="shared" si="69"/>
        <v>11900</v>
      </c>
      <c r="I1098" s="8" t="e">
        <f t="shared" si="67"/>
        <v>#DIV/0!</v>
      </c>
      <c r="J1098" s="8" t="e">
        <f t="shared" si="70"/>
        <v>#DIV/0!</v>
      </c>
      <c r="K1098" s="8">
        <f t="shared" si="68"/>
        <v>-1</v>
      </c>
    </row>
    <row r="1099" spans="1:11" x14ac:dyDescent="0.25">
      <c r="A1099" t="str">
        <f t="shared" si="69"/>
        <v>11900</v>
      </c>
      <c r="I1099" s="8" t="e">
        <f t="shared" si="67"/>
        <v>#DIV/0!</v>
      </c>
      <c r="J1099" s="8" t="e">
        <f t="shared" si="70"/>
        <v>#DIV/0!</v>
      </c>
      <c r="K1099" s="8">
        <f t="shared" si="68"/>
        <v>-1</v>
      </c>
    </row>
    <row r="1100" spans="1:11" x14ac:dyDescent="0.25">
      <c r="A1100" t="str">
        <f t="shared" si="69"/>
        <v>11900</v>
      </c>
      <c r="I1100" s="8" t="e">
        <f t="shared" si="67"/>
        <v>#DIV/0!</v>
      </c>
      <c r="J1100" s="8" t="e">
        <f t="shared" si="70"/>
        <v>#DIV/0!</v>
      </c>
      <c r="K1100" s="8">
        <f t="shared" si="68"/>
        <v>-1</v>
      </c>
    </row>
    <row r="1101" spans="1:11" x14ac:dyDescent="0.25">
      <c r="A1101" t="str">
        <f t="shared" si="69"/>
        <v>11900</v>
      </c>
      <c r="I1101" s="8" t="e">
        <f t="shared" si="67"/>
        <v>#DIV/0!</v>
      </c>
      <c r="J1101" s="8" t="e">
        <f t="shared" si="70"/>
        <v>#DIV/0!</v>
      </c>
      <c r="K1101" s="8">
        <f t="shared" si="68"/>
        <v>-1</v>
      </c>
    </row>
    <row r="1102" spans="1:11" x14ac:dyDescent="0.25">
      <c r="A1102" t="str">
        <f t="shared" si="69"/>
        <v>11900</v>
      </c>
      <c r="I1102" s="8" t="e">
        <f t="shared" si="67"/>
        <v>#DIV/0!</v>
      </c>
      <c r="J1102" s="8" t="e">
        <f t="shared" si="70"/>
        <v>#DIV/0!</v>
      </c>
      <c r="K1102" s="8">
        <f t="shared" si="68"/>
        <v>-1</v>
      </c>
    </row>
    <row r="1103" spans="1:11" x14ac:dyDescent="0.25">
      <c r="A1103" t="str">
        <f t="shared" si="69"/>
        <v>11900</v>
      </c>
      <c r="I1103" s="8" t="e">
        <f t="shared" si="67"/>
        <v>#DIV/0!</v>
      </c>
      <c r="J1103" s="8" t="e">
        <f t="shared" si="70"/>
        <v>#DIV/0!</v>
      </c>
      <c r="K1103" s="8">
        <f t="shared" si="68"/>
        <v>-1</v>
      </c>
    </row>
    <row r="1104" spans="1:11" x14ac:dyDescent="0.25">
      <c r="A1104" t="str">
        <f t="shared" si="69"/>
        <v>11900</v>
      </c>
      <c r="I1104" s="8" t="e">
        <f t="shared" si="67"/>
        <v>#DIV/0!</v>
      </c>
      <c r="J1104" s="8" t="e">
        <f t="shared" si="70"/>
        <v>#DIV/0!</v>
      </c>
      <c r="K1104" s="8">
        <f t="shared" si="68"/>
        <v>-1</v>
      </c>
    </row>
    <row r="1105" spans="1:11" x14ac:dyDescent="0.25">
      <c r="A1105" t="str">
        <f t="shared" si="69"/>
        <v>11900</v>
      </c>
      <c r="I1105" s="8" t="e">
        <f t="shared" si="67"/>
        <v>#DIV/0!</v>
      </c>
      <c r="J1105" s="8" t="e">
        <f t="shared" si="70"/>
        <v>#DIV/0!</v>
      </c>
      <c r="K1105" s="8">
        <f t="shared" si="68"/>
        <v>-1</v>
      </c>
    </row>
    <row r="1106" spans="1:11" x14ac:dyDescent="0.25">
      <c r="A1106" t="str">
        <f t="shared" si="69"/>
        <v>11900</v>
      </c>
      <c r="I1106" s="8" t="e">
        <f t="shared" si="67"/>
        <v>#DIV/0!</v>
      </c>
      <c r="J1106" s="8" t="e">
        <f t="shared" si="70"/>
        <v>#DIV/0!</v>
      </c>
      <c r="K1106" s="8">
        <f t="shared" si="68"/>
        <v>-1</v>
      </c>
    </row>
    <row r="1107" spans="1:11" x14ac:dyDescent="0.25">
      <c r="A1107" t="str">
        <f t="shared" si="69"/>
        <v>11900</v>
      </c>
      <c r="I1107" s="8" t="e">
        <f t="shared" si="67"/>
        <v>#DIV/0!</v>
      </c>
      <c r="J1107" s="8" t="e">
        <f t="shared" si="70"/>
        <v>#DIV/0!</v>
      </c>
      <c r="K1107" s="8">
        <f t="shared" si="68"/>
        <v>-1</v>
      </c>
    </row>
    <row r="1108" spans="1:11" x14ac:dyDescent="0.25">
      <c r="A1108" t="str">
        <f t="shared" si="69"/>
        <v>11900</v>
      </c>
      <c r="I1108" s="8" t="e">
        <f t="shared" si="67"/>
        <v>#DIV/0!</v>
      </c>
      <c r="J1108" s="8" t="e">
        <f t="shared" si="70"/>
        <v>#DIV/0!</v>
      </c>
      <c r="K1108" s="8">
        <f t="shared" si="68"/>
        <v>-1</v>
      </c>
    </row>
    <row r="1109" spans="1:11" x14ac:dyDescent="0.25">
      <c r="A1109" t="str">
        <f t="shared" si="69"/>
        <v>11900</v>
      </c>
      <c r="I1109" s="8" t="e">
        <f t="shared" si="67"/>
        <v>#DIV/0!</v>
      </c>
      <c r="J1109" s="8" t="e">
        <f t="shared" si="70"/>
        <v>#DIV/0!</v>
      </c>
      <c r="K1109" s="8">
        <f t="shared" si="68"/>
        <v>-1</v>
      </c>
    </row>
    <row r="1110" spans="1:11" x14ac:dyDescent="0.25">
      <c r="A1110" t="str">
        <f t="shared" si="69"/>
        <v>11900</v>
      </c>
      <c r="I1110" s="8" t="e">
        <f t="shared" si="67"/>
        <v>#DIV/0!</v>
      </c>
      <c r="J1110" s="8" t="e">
        <f t="shared" si="70"/>
        <v>#DIV/0!</v>
      </c>
      <c r="K1110" s="8">
        <f t="shared" si="68"/>
        <v>-1</v>
      </c>
    </row>
    <row r="1111" spans="1:11" x14ac:dyDescent="0.25">
      <c r="A1111" t="str">
        <f t="shared" si="69"/>
        <v>11900</v>
      </c>
      <c r="I1111" s="8" t="e">
        <f t="shared" si="67"/>
        <v>#DIV/0!</v>
      </c>
      <c r="J1111" s="8" t="e">
        <f t="shared" si="70"/>
        <v>#DIV/0!</v>
      </c>
      <c r="K1111" s="8">
        <f t="shared" si="68"/>
        <v>-1</v>
      </c>
    </row>
    <row r="1112" spans="1:11" x14ac:dyDescent="0.25">
      <c r="A1112" t="str">
        <f t="shared" si="69"/>
        <v>11900</v>
      </c>
      <c r="I1112" s="8" t="e">
        <f t="shared" si="67"/>
        <v>#DIV/0!</v>
      </c>
      <c r="J1112" s="8" t="e">
        <f t="shared" si="70"/>
        <v>#DIV/0!</v>
      </c>
      <c r="K1112" s="8">
        <f t="shared" si="68"/>
        <v>-1</v>
      </c>
    </row>
    <row r="1113" spans="1:11" x14ac:dyDescent="0.25">
      <c r="A1113" t="str">
        <f t="shared" si="69"/>
        <v>11900</v>
      </c>
      <c r="I1113" s="8" t="e">
        <f t="shared" si="67"/>
        <v>#DIV/0!</v>
      </c>
      <c r="J1113" s="8" t="e">
        <f t="shared" si="70"/>
        <v>#DIV/0!</v>
      </c>
      <c r="K1113" s="8">
        <f t="shared" si="68"/>
        <v>-1</v>
      </c>
    </row>
    <row r="1114" spans="1:11" x14ac:dyDescent="0.25">
      <c r="A1114" t="str">
        <f t="shared" si="69"/>
        <v>11900</v>
      </c>
      <c r="I1114" s="8" t="e">
        <f t="shared" si="67"/>
        <v>#DIV/0!</v>
      </c>
      <c r="J1114" s="8" t="e">
        <f t="shared" si="70"/>
        <v>#DIV/0!</v>
      </c>
      <c r="K1114" s="8">
        <f t="shared" si="68"/>
        <v>-1</v>
      </c>
    </row>
    <row r="1115" spans="1:11" x14ac:dyDescent="0.25">
      <c r="A1115" t="str">
        <f t="shared" si="69"/>
        <v>11900</v>
      </c>
      <c r="I1115" s="8" t="e">
        <f t="shared" si="67"/>
        <v>#DIV/0!</v>
      </c>
      <c r="J1115" s="8" t="e">
        <f t="shared" si="70"/>
        <v>#DIV/0!</v>
      </c>
      <c r="K1115" s="8">
        <f t="shared" si="68"/>
        <v>-1</v>
      </c>
    </row>
    <row r="1116" spans="1:11" x14ac:dyDescent="0.25">
      <c r="A1116" t="str">
        <f t="shared" si="69"/>
        <v>11900</v>
      </c>
      <c r="I1116" s="8" t="e">
        <f t="shared" si="67"/>
        <v>#DIV/0!</v>
      </c>
      <c r="J1116" s="8" t="e">
        <f t="shared" si="70"/>
        <v>#DIV/0!</v>
      </c>
      <c r="K1116" s="8">
        <f t="shared" si="68"/>
        <v>-1</v>
      </c>
    </row>
    <row r="1117" spans="1:11" x14ac:dyDescent="0.25">
      <c r="A1117" t="str">
        <f t="shared" si="69"/>
        <v>11900</v>
      </c>
      <c r="I1117" s="8" t="e">
        <f t="shared" si="67"/>
        <v>#DIV/0!</v>
      </c>
      <c r="J1117" s="8" t="e">
        <f t="shared" si="70"/>
        <v>#DIV/0!</v>
      </c>
      <c r="K1117" s="8">
        <f t="shared" si="68"/>
        <v>-1</v>
      </c>
    </row>
    <row r="1118" spans="1:11" x14ac:dyDescent="0.25">
      <c r="A1118" t="str">
        <f t="shared" si="69"/>
        <v>11900</v>
      </c>
      <c r="I1118" s="8" t="e">
        <f t="shared" si="67"/>
        <v>#DIV/0!</v>
      </c>
      <c r="J1118" s="8" t="e">
        <f t="shared" si="70"/>
        <v>#DIV/0!</v>
      </c>
      <c r="K1118" s="8">
        <f t="shared" si="68"/>
        <v>-1</v>
      </c>
    </row>
    <row r="1119" spans="1:11" x14ac:dyDescent="0.25">
      <c r="A1119" t="str">
        <f t="shared" si="69"/>
        <v>11900</v>
      </c>
      <c r="I1119" s="8" t="e">
        <f t="shared" si="67"/>
        <v>#DIV/0!</v>
      </c>
      <c r="J1119" s="8" t="e">
        <f t="shared" si="70"/>
        <v>#DIV/0!</v>
      </c>
      <c r="K1119" s="8">
        <f t="shared" si="68"/>
        <v>-1</v>
      </c>
    </row>
    <row r="1120" spans="1:11" x14ac:dyDescent="0.25">
      <c r="A1120" t="str">
        <f t="shared" si="69"/>
        <v>11900</v>
      </c>
      <c r="I1120" s="8" t="e">
        <f t="shared" si="67"/>
        <v>#DIV/0!</v>
      </c>
      <c r="J1120" s="8" t="e">
        <f t="shared" si="70"/>
        <v>#DIV/0!</v>
      </c>
      <c r="K1120" s="8">
        <f t="shared" si="68"/>
        <v>-1</v>
      </c>
    </row>
    <row r="1121" spans="1:11" x14ac:dyDescent="0.25">
      <c r="A1121" t="str">
        <f t="shared" si="69"/>
        <v>11900</v>
      </c>
      <c r="I1121" s="8" t="e">
        <f t="shared" si="67"/>
        <v>#DIV/0!</v>
      </c>
      <c r="J1121" s="8" t="e">
        <f t="shared" si="70"/>
        <v>#DIV/0!</v>
      </c>
      <c r="K1121" s="8">
        <f t="shared" si="68"/>
        <v>-1</v>
      </c>
    </row>
    <row r="1122" spans="1:11" x14ac:dyDescent="0.25">
      <c r="A1122" t="str">
        <f t="shared" si="69"/>
        <v>11900</v>
      </c>
      <c r="I1122" s="8" t="e">
        <f t="shared" si="67"/>
        <v>#DIV/0!</v>
      </c>
      <c r="J1122" s="8" t="e">
        <f t="shared" si="70"/>
        <v>#DIV/0!</v>
      </c>
      <c r="K1122" s="8">
        <f t="shared" si="68"/>
        <v>-1</v>
      </c>
    </row>
    <row r="1123" spans="1:11" x14ac:dyDescent="0.25">
      <c r="A1123" t="str">
        <f t="shared" si="69"/>
        <v>11900</v>
      </c>
      <c r="I1123" s="8" t="e">
        <f t="shared" si="67"/>
        <v>#DIV/0!</v>
      </c>
      <c r="J1123" s="8" t="e">
        <f t="shared" si="70"/>
        <v>#DIV/0!</v>
      </c>
      <c r="K1123" s="8">
        <f t="shared" si="68"/>
        <v>-1</v>
      </c>
    </row>
    <row r="1124" spans="1:11" x14ac:dyDescent="0.25">
      <c r="A1124" t="str">
        <f t="shared" si="69"/>
        <v>11900</v>
      </c>
      <c r="I1124" s="8" t="e">
        <f t="shared" si="67"/>
        <v>#DIV/0!</v>
      </c>
      <c r="J1124" s="8" t="e">
        <f t="shared" si="70"/>
        <v>#DIV/0!</v>
      </c>
      <c r="K1124" s="8">
        <f t="shared" si="68"/>
        <v>-1</v>
      </c>
    </row>
    <row r="1125" spans="1:11" x14ac:dyDescent="0.25">
      <c r="A1125" t="str">
        <f t="shared" si="69"/>
        <v>11900</v>
      </c>
      <c r="I1125" s="8" t="e">
        <f t="shared" si="67"/>
        <v>#DIV/0!</v>
      </c>
      <c r="J1125" s="8" t="e">
        <f t="shared" si="70"/>
        <v>#DIV/0!</v>
      </c>
      <c r="K1125" s="8">
        <f t="shared" si="68"/>
        <v>-1</v>
      </c>
    </row>
    <row r="1126" spans="1:11" x14ac:dyDescent="0.25">
      <c r="A1126" t="str">
        <f t="shared" si="69"/>
        <v>11900</v>
      </c>
      <c r="I1126" s="8" t="e">
        <f t="shared" si="67"/>
        <v>#DIV/0!</v>
      </c>
      <c r="J1126" s="8" t="e">
        <f t="shared" si="70"/>
        <v>#DIV/0!</v>
      </c>
      <c r="K1126" s="8">
        <f t="shared" si="68"/>
        <v>-1</v>
      </c>
    </row>
    <row r="1127" spans="1:11" x14ac:dyDescent="0.25">
      <c r="A1127" t="str">
        <f t="shared" si="69"/>
        <v>11900</v>
      </c>
      <c r="I1127" s="8" t="e">
        <f t="shared" si="67"/>
        <v>#DIV/0!</v>
      </c>
      <c r="J1127" s="8" t="e">
        <f t="shared" si="70"/>
        <v>#DIV/0!</v>
      </c>
      <c r="K1127" s="8">
        <f t="shared" si="68"/>
        <v>-1</v>
      </c>
    </row>
    <row r="1128" spans="1:11" x14ac:dyDescent="0.25">
      <c r="A1128" t="str">
        <f t="shared" si="69"/>
        <v>11900</v>
      </c>
      <c r="I1128" s="8" t="e">
        <f t="shared" si="67"/>
        <v>#DIV/0!</v>
      </c>
      <c r="J1128" s="8" t="e">
        <f t="shared" si="70"/>
        <v>#DIV/0!</v>
      </c>
      <c r="K1128" s="8">
        <f t="shared" si="68"/>
        <v>-1</v>
      </c>
    </row>
    <row r="1129" spans="1:11" x14ac:dyDescent="0.25">
      <c r="A1129" t="str">
        <f t="shared" si="69"/>
        <v>11900</v>
      </c>
      <c r="I1129" s="8" t="e">
        <f t="shared" si="67"/>
        <v>#DIV/0!</v>
      </c>
      <c r="J1129" s="8" t="e">
        <f t="shared" si="70"/>
        <v>#DIV/0!</v>
      </c>
      <c r="K1129" s="8">
        <f t="shared" si="68"/>
        <v>-1</v>
      </c>
    </row>
    <row r="1130" spans="1:11" x14ac:dyDescent="0.25">
      <c r="A1130" t="str">
        <f t="shared" si="69"/>
        <v>11900</v>
      </c>
      <c r="I1130" s="8" t="e">
        <f t="shared" si="67"/>
        <v>#DIV/0!</v>
      </c>
      <c r="J1130" s="8" t="e">
        <f t="shared" si="70"/>
        <v>#DIV/0!</v>
      </c>
      <c r="K1130" s="8">
        <f t="shared" si="68"/>
        <v>-1</v>
      </c>
    </row>
    <row r="1131" spans="1:11" x14ac:dyDescent="0.25">
      <c r="A1131" t="str">
        <f t="shared" si="69"/>
        <v>11900</v>
      </c>
      <c r="I1131" s="8" t="e">
        <f t="shared" si="67"/>
        <v>#DIV/0!</v>
      </c>
      <c r="J1131" s="8" t="e">
        <f t="shared" si="70"/>
        <v>#DIV/0!</v>
      </c>
      <c r="K1131" s="8">
        <f t="shared" si="68"/>
        <v>-1</v>
      </c>
    </row>
    <row r="1132" spans="1:11" x14ac:dyDescent="0.25">
      <c r="A1132" t="str">
        <f t="shared" si="69"/>
        <v>11900</v>
      </c>
      <c r="I1132" s="8" t="e">
        <f t="shared" si="67"/>
        <v>#DIV/0!</v>
      </c>
      <c r="J1132" s="8" t="e">
        <f t="shared" si="70"/>
        <v>#DIV/0!</v>
      </c>
      <c r="K1132" s="8">
        <f t="shared" si="68"/>
        <v>-1</v>
      </c>
    </row>
    <row r="1133" spans="1:11" x14ac:dyDescent="0.25">
      <c r="A1133" t="str">
        <f t="shared" si="69"/>
        <v>11900</v>
      </c>
      <c r="I1133" s="8" t="e">
        <f t="shared" si="67"/>
        <v>#DIV/0!</v>
      </c>
      <c r="J1133" s="8" t="e">
        <f t="shared" si="70"/>
        <v>#DIV/0!</v>
      </c>
      <c r="K1133" s="8">
        <f t="shared" si="68"/>
        <v>-1</v>
      </c>
    </row>
    <row r="1134" spans="1:11" x14ac:dyDescent="0.25">
      <c r="A1134" t="str">
        <f t="shared" si="69"/>
        <v>11900</v>
      </c>
      <c r="I1134" s="8" t="e">
        <f t="shared" si="67"/>
        <v>#DIV/0!</v>
      </c>
      <c r="J1134" s="8" t="e">
        <f t="shared" si="70"/>
        <v>#DIV/0!</v>
      </c>
      <c r="K1134" s="8">
        <f t="shared" si="68"/>
        <v>-1</v>
      </c>
    </row>
    <row r="1135" spans="1:11" x14ac:dyDescent="0.25">
      <c r="A1135" t="str">
        <f t="shared" si="69"/>
        <v>11900</v>
      </c>
      <c r="I1135" s="8" t="e">
        <f t="shared" si="67"/>
        <v>#DIV/0!</v>
      </c>
      <c r="J1135" s="8" t="e">
        <f t="shared" si="70"/>
        <v>#DIV/0!</v>
      </c>
      <c r="K1135" s="8">
        <f t="shared" si="68"/>
        <v>-1</v>
      </c>
    </row>
    <row r="1136" spans="1:11" x14ac:dyDescent="0.25">
      <c r="A1136" t="str">
        <f t="shared" si="69"/>
        <v>11900</v>
      </c>
      <c r="I1136" s="8" t="e">
        <f t="shared" si="67"/>
        <v>#DIV/0!</v>
      </c>
      <c r="J1136" s="8" t="e">
        <f t="shared" si="70"/>
        <v>#DIV/0!</v>
      </c>
      <c r="K1136" s="8">
        <f t="shared" si="68"/>
        <v>-1</v>
      </c>
    </row>
    <row r="1137" spans="1:11" x14ac:dyDescent="0.25">
      <c r="A1137" t="str">
        <f t="shared" si="69"/>
        <v>11900</v>
      </c>
      <c r="I1137" s="8" t="e">
        <f t="shared" si="67"/>
        <v>#DIV/0!</v>
      </c>
      <c r="J1137" s="8" t="e">
        <f t="shared" si="70"/>
        <v>#DIV/0!</v>
      </c>
      <c r="K1137" s="8">
        <f t="shared" si="68"/>
        <v>-1</v>
      </c>
    </row>
    <row r="1138" spans="1:11" x14ac:dyDescent="0.25">
      <c r="A1138" t="str">
        <f t="shared" si="69"/>
        <v>11900</v>
      </c>
      <c r="I1138" s="8" t="e">
        <f t="shared" si="67"/>
        <v>#DIV/0!</v>
      </c>
      <c r="J1138" s="8" t="e">
        <f t="shared" si="70"/>
        <v>#DIV/0!</v>
      </c>
      <c r="K1138" s="8">
        <f t="shared" si="68"/>
        <v>-1</v>
      </c>
    </row>
    <row r="1139" spans="1:11" x14ac:dyDescent="0.25">
      <c r="A1139" t="str">
        <f t="shared" si="69"/>
        <v>11900</v>
      </c>
      <c r="I1139" s="8" t="e">
        <f t="shared" si="67"/>
        <v>#DIV/0!</v>
      </c>
      <c r="J1139" s="8" t="e">
        <f t="shared" si="70"/>
        <v>#DIV/0!</v>
      </c>
      <c r="K1139" s="8">
        <f t="shared" si="68"/>
        <v>-1</v>
      </c>
    </row>
    <row r="1140" spans="1:11" x14ac:dyDescent="0.25">
      <c r="A1140" t="str">
        <f t="shared" si="69"/>
        <v>11900</v>
      </c>
      <c r="I1140" s="8" t="e">
        <f t="shared" si="67"/>
        <v>#DIV/0!</v>
      </c>
      <c r="J1140" s="8" t="e">
        <f t="shared" si="70"/>
        <v>#DIV/0!</v>
      </c>
      <c r="K1140" s="8">
        <f t="shared" si="68"/>
        <v>-1</v>
      </c>
    </row>
    <row r="1141" spans="1:11" x14ac:dyDescent="0.25">
      <c r="A1141" t="str">
        <f t="shared" si="69"/>
        <v>11900</v>
      </c>
      <c r="I1141" s="8" t="e">
        <f t="shared" si="67"/>
        <v>#DIV/0!</v>
      </c>
      <c r="J1141" s="8" t="e">
        <f t="shared" si="70"/>
        <v>#DIV/0!</v>
      </c>
      <c r="K1141" s="8" t="e">
        <f t="shared" si="68"/>
        <v>#DIV/0!</v>
      </c>
    </row>
    <row r="1142" spans="1:11" x14ac:dyDescent="0.25">
      <c r="A1142" t="str">
        <f t="shared" si="69"/>
        <v>11900</v>
      </c>
      <c r="I1142" s="8" t="e">
        <f t="shared" si="67"/>
        <v>#DIV/0!</v>
      </c>
      <c r="J1142" s="8" t="e">
        <f t="shared" si="70"/>
        <v>#DIV/0!</v>
      </c>
      <c r="K1142" s="8" t="e">
        <f t="shared" si="68"/>
        <v>#DIV/0!</v>
      </c>
    </row>
    <row r="1143" spans="1:11" x14ac:dyDescent="0.25">
      <c r="A1143" t="str">
        <f t="shared" si="69"/>
        <v>11900</v>
      </c>
      <c r="I1143" s="8" t="e">
        <f t="shared" si="67"/>
        <v>#DIV/0!</v>
      </c>
      <c r="J1143" s="8" t="e">
        <f t="shared" si="70"/>
        <v>#DIV/0!</v>
      </c>
      <c r="K1143" s="8" t="e">
        <f t="shared" si="68"/>
        <v>#DIV/0!</v>
      </c>
    </row>
    <row r="1144" spans="1:11" x14ac:dyDescent="0.25">
      <c r="A1144" t="str">
        <f t="shared" si="69"/>
        <v>11900</v>
      </c>
      <c r="I1144" s="8" t="e">
        <f t="shared" ref="I1144:I1207" si="71">+G1144/G1143-1</f>
        <v>#DIV/0!</v>
      </c>
      <c r="J1144" s="8" t="e">
        <f t="shared" si="70"/>
        <v>#DIV/0!</v>
      </c>
      <c r="K1144" s="8" t="e">
        <f t="shared" si="68"/>
        <v>#DIV/0!</v>
      </c>
    </row>
    <row r="1145" spans="1:11" x14ac:dyDescent="0.25">
      <c r="A1145" t="str">
        <f t="shared" si="69"/>
        <v>11900</v>
      </c>
      <c r="I1145" s="8" t="e">
        <f t="shared" si="71"/>
        <v>#DIV/0!</v>
      </c>
      <c r="J1145" s="8" t="e">
        <f t="shared" si="70"/>
        <v>#DIV/0!</v>
      </c>
      <c r="K1145" s="8" t="e">
        <f t="shared" si="68"/>
        <v>#DIV/0!</v>
      </c>
    </row>
    <row r="1146" spans="1:11" x14ac:dyDescent="0.25">
      <c r="A1146" t="str">
        <f t="shared" si="69"/>
        <v>11900</v>
      </c>
      <c r="I1146" s="8" t="e">
        <f t="shared" si="71"/>
        <v>#DIV/0!</v>
      </c>
      <c r="J1146" s="8" t="e">
        <f t="shared" si="70"/>
        <v>#DIV/0!</v>
      </c>
      <c r="K1146" s="8" t="e">
        <f t="shared" si="68"/>
        <v>#DIV/0!</v>
      </c>
    </row>
    <row r="1147" spans="1:11" x14ac:dyDescent="0.25">
      <c r="A1147" t="str">
        <f t="shared" si="69"/>
        <v>11900</v>
      </c>
      <c r="I1147" s="8" t="e">
        <f t="shared" si="71"/>
        <v>#DIV/0!</v>
      </c>
      <c r="J1147" s="8" t="e">
        <f t="shared" si="70"/>
        <v>#DIV/0!</v>
      </c>
      <c r="K1147" s="8" t="e">
        <f t="shared" si="68"/>
        <v>#DIV/0!</v>
      </c>
    </row>
    <row r="1148" spans="1:11" x14ac:dyDescent="0.25">
      <c r="A1148" t="str">
        <f t="shared" si="69"/>
        <v>11900</v>
      </c>
      <c r="I1148" s="8" t="e">
        <f t="shared" si="71"/>
        <v>#DIV/0!</v>
      </c>
      <c r="J1148" s="8" t="e">
        <f t="shared" si="70"/>
        <v>#DIV/0!</v>
      </c>
      <c r="K1148" s="8" t="e">
        <f t="shared" si="68"/>
        <v>#DIV/0!</v>
      </c>
    </row>
    <row r="1149" spans="1:11" x14ac:dyDescent="0.25">
      <c r="A1149" t="str">
        <f t="shared" si="69"/>
        <v>11900</v>
      </c>
      <c r="I1149" s="8" t="e">
        <f t="shared" si="71"/>
        <v>#DIV/0!</v>
      </c>
      <c r="J1149" s="8" t="e">
        <f t="shared" si="70"/>
        <v>#DIV/0!</v>
      </c>
      <c r="K1149" s="8" t="e">
        <f t="shared" si="68"/>
        <v>#DIV/0!</v>
      </c>
    </row>
    <row r="1150" spans="1:11" x14ac:dyDescent="0.25">
      <c r="A1150" t="str">
        <f t="shared" si="69"/>
        <v>11900</v>
      </c>
      <c r="I1150" s="8" t="e">
        <f t="shared" si="71"/>
        <v>#DIV/0!</v>
      </c>
      <c r="J1150" s="8" t="e">
        <f t="shared" si="70"/>
        <v>#DIV/0!</v>
      </c>
      <c r="K1150" s="8" t="e">
        <f t="shared" si="68"/>
        <v>#DIV/0!</v>
      </c>
    </row>
    <row r="1151" spans="1:11" x14ac:dyDescent="0.25">
      <c r="A1151" t="str">
        <f t="shared" si="69"/>
        <v>11900</v>
      </c>
      <c r="I1151" s="8" t="e">
        <f t="shared" si="71"/>
        <v>#DIV/0!</v>
      </c>
      <c r="J1151" s="8" t="e">
        <f t="shared" si="70"/>
        <v>#DIV/0!</v>
      </c>
      <c r="K1151" s="8" t="e">
        <f t="shared" si="68"/>
        <v>#DIV/0!</v>
      </c>
    </row>
    <row r="1152" spans="1:11" x14ac:dyDescent="0.25">
      <c r="A1152" t="str">
        <f t="shared" si="69"/>
        <v>11900</v>
      </c>
      <c r="I1152" s="8" t="e">
        <f t="shared" si="71"/>
        <v>#DIV/0!</v>
      </c>
      <c r="J1152" s="8" t="e">
        <f t="shared" si="70"/>
        <v>#DIV/0!</v>
      </c>
      <c r="K1152" s="8" t="e">
        <f t="shared" ref="K1152:K1215" si="72">+G1152/G1091-1</f>
        <v>#DIV/0!</v>
      </c>
    </row>
    <row r="1153" spans="1:11" x14ac:dyDescent="0.25">
      <c r="A1153" t="str">
        <f t="shared" si="69"/>
        <v>11900</v>
      </c>
      <c r="I1153" s="8" t="e">
        <f t="shared" si="71"/>
        <v>#DIV/0!</v>
      </c>
      <c r="J1153" s="8" t="e">
        <f t="shared" si="70"/>
        <v>#DIV/0!</v>
      </c>
      <c r="K1153" s="8" t="e">
        <f t="shared" si="72"/>
        <v>#DIV/0!</v>
      </c>
    </row>
    <row r="1154" spans="1:11" x14ac:dyDescent="0.25">
      <c r="A1154" t="str">
        <f t="shared" si="69"/>
        <v>11900</v>
      </c>
      <c r="I1154" s="8" t="e">
        <f t="shared" si="71"/>
        <v>#DIV/0!</v>
      </c>
      <c r="J1154" s="8" t="e">
        <f t="shared" si="70"/>
        <v>#DIV/0!</v>
      </c>
      <c r="K1154" s="8" t="e">
        <f t="shared" si="72"/>
        <v>#DIV/0!</v>
      </c>
    </row>
    <row r="1155" spans="1:11" x14ac:dyDescent="0.25">
      <c r="A1155" t="str">
        <f t="shared" ref="A1155:A1218" si="73">+MONTH(B1155)&amp;YEAR(B1155)</f>
        <v>11900</v>
      </c>
      <c r="I1155" s="8" t="e">
        <f t="shared" si="71"/>
        <v>#DIV/0!</v>
      </c>
      <c r="J1155" s="8" t="e">
        <f t="shared" si="70"/>
        <v>#DIV/0!</v>
      </c>
      <c r="K1155" s="8" t="e">
        <f t="shared" si="72"/>
        <v>#DIV/0!</v>
      </c>
    </row>
    <row r="1156" spans="1:11" x14ac:dyDescent="0.25">
      <c r="A1156" t="str">
        <f t="shared" si="73"/>
        <v>11900</v>
      </c>
      <c r="I1156" s="8" t="e">
        <f t="shared" si="71"/>
        <v>#DIV/0!</v>
      </c>
      <c r="J1156" s="8" t="e">
        <f t="shared" ref="J1156:J1219" si="74">+LN(1+I1156)</f>
        <v>#DIV/0!</v>
      </c>
      <c r="K1156" s="8" t="e">
        <f t="shared" si="72"/>
        <v>#DIV/0!</v>
      </c>
    </row>
    <row r="1157" spans="1:11" x14ac:dyDescent="0.25">
      <c r="A1157" t="str">
        <f t="shared" si="73"/>
        <v>11900</v>
      </c>
      <c r="I1157" s="8" t="e">
        <f t="shared" si="71"/>
        <v>#DIV/0!</v>
      </c>
      <c r="J1157" s="8" t="e">
        <f t="shared" si="74"/>
        <v>#DIV/0!</v>
      </c>
      <c r="K1157" s="8" t="e">
        <f t="shared" si="72"/>
        <v>#DIV/0!</v>
      </c>
    </row>
    <row r="1158" spans="1:11" x14ac:dyDescent="0.25">
      <c r="A1158" t="str">
        <f t="shared" si="73"/>
        <v>11900</v>
      </c>
      <c r="I1158" s="8" t="e">
        <f t="shared" si="71"/>
        <v>#DIV/0!</v>
      </c>
      <c r="J1158" s="8" t="e">
        <f t="shared" si="74"/>
        <v>#DIV/0!</v>
      </c>
      <c r="K1158" s="8" t="e">
        <f t="shared" si="72"/>
        <v>#DIV/0!</v>
      </c>
    </row>
    <row r="1159" spans="1:11" x14ac:dyDescent="0.25">
      <c r="A1159" t="str">
        <f t="shared" si="73"/>
        <v>11900</v>
      </c>
      <c r="I1159" s="8" t="e">
        <f t="shared" si="71"/>
        <v>#DIV/0!</v>
      </c>
      <c r="J1159" s="8" t="e">
        <f t="shared" si="74"/>
        <v>#DIV/0!</v>
      </c>
      <c r="K1159" s="8" t="e">
        <f t="shared" si="72"/>
        <v>#DIV/0!</v>
      </c>
    </row>
    <row r="1160" spans="1:11" x14ac:dyDescent="0.25">
      <c r="A1160" t="str">
        <f t="shared" si="73"/>
        <v>11900</v>
      </c>
      <c r="I1160" s="8" t="e">
        <f t="shared" si="71"/>
        <v>#DIV/0!</v>
      </c>
      <c r="J1160" s="8" t="e">
        <f t="shared" si="74"/>
        <v>#DIV/0!</v>
      </c>
      <c r="K1160" s="8" t="e">
        <f t="shared" si="72"/>
        <v>#DIV/0!</v>
      </c>
    </row>
    <row r="1161" spans="1:11" x14ac:dyDescent="0.25">
      <c r="A1161" t="str">
        <f t="shared" si="73"/>
        <v>11900</v>
      </c>
      <c r="I1161" s="8" t="e">
        <f t="shared" si="71"/>
        <v>#DIV/0!</v>
      </c>
      <c r="J1161" s="8" t="e">
        <f t="shared" si="74"/>
        <v>#DIV/0!</v>
      </c>
      <c r="K1161" s="8" t="e">
        <f t="shared" si="72"/>
        <v>#DIV/0!</v>
      </c>
    </row>
    <row r="1162" spans="1:11" x14ac:dyDescent="0.25">
      <c r="A1162" t="str">
        <f t="shared" si="73"/>
        <v>11900</v>
      </c>
      <c r="I1162" s="8" t="e">
        <f t="shared" si="71"/>
        <v>#DIV/0!</v>
      </c>
      <c r="J1162" s="8" t="e">
        <f t="shared" si="74"/>
        <v>#DIV/0!</v>
      </c>
      <c r="K1162" s="8" t="e">
        <f t="shared" si="72"/>
        <v>#DIV/0!</v>
      </c>
    </row>
    <row r="1163" spans="1:11" x14ac:dyDescent="0.25">
      <c r="A1163" t="str">
        <f t="shared" si="73"/>
        <v>11900</v>
      </c>
      <c r="I1163" s="8" t="e">
        <f t="shared" si="71"/>
        <v>#DIV/0!</v>
      </c>
      <c r="J1163" s="8" t="e">
        <f t="shared" si="74"/>
        <v>#DIV/0!</v>
      </c>
      <c r="K1163" s="8" t="e">
        <f t="shared" si="72"/>
        <v>#DIV/0!</v>
      </c>
    </row>
    <row r="1164" spans="1:11" x14ac:dyDescent="0.25">
      <c r="A1164" t="str">
        <f t="shared" si="73"/>
        <v>11900</v>
      </c>
      <c r="I1164" s="8" t="e">
        <f t="shared" si="71"/>
        <v>#DIV/0!</v>
      </c>
      <c r="J1164" s="8" t="e">
        <f t="shared" si="74"/>
        <v>#DIV/0!</v>
      </c>
      <c r="K1164" s="8" t="e">
        <f t="shared" si="72"/>
        <v>#DIV/0!</v>
      </c>
    </row>
    <row r="1165" spans="1:11" x14ac:dyDescent="0.25">
      <c r="A1165" t="str">
        <f t="shared" si="73"/>
        <v>11900</v>
      </c>
      <c r="I1165" s="8" t="e">
        <f t="shared" si="71"/>
        <v>#DIV/0!</v>
      </c>
      <c r="J1165" s="8" t="e">
        <f t="shared" si="74"/>
        <v>#DIV/0!</v>
      </c>
      <c r="K1165" s="8" t="e">
        <f t="shared" si="72"/>
        <v>#DIV/0!</v>
      </c>
    </row>
    <row r="1166" spans="1:11" x14ac:dyDescent="0.25">
      <c r="A1166" t="str">
        <f t="shared" si="73"/>
        <v>11900</v>
      </c>
      <c r="I1166" s="8" t="e">
        <f t="shared" si="71"/>
        <v>#DIV/0!</v>
      </c>
      <c r="J1166" s="8" t="e">
        <f t="shared" si="74"/>
        <v>#DIV/0!</v>
      </c>
      <c r="K1166" s="8" t="e">
        <f t="shared" si="72"/>
        <v>#DIV/0!</v>
      </c>
    </row>
    <row r="1167" spans="1:11" x14ac:dyDescent="0.25">
      <c r="A1167" t="str">
        <f t="shared" si="73"/>
        <v>11900</v>
      </c>
      <c r="I1167" s="8" t="e">
        <f t="shared" si="71"/>
        <v>#DIV/0!</v>
      </c>
      <c r="J1167" s="8" t="e">
        <f t="shared" si="74"/>
        <v>#DIV/0!</v>
      </c>
      <c r="K1167" s="8" t="e">
        <f t="shared" si="72"/>
        <v>#DIV/0!</v>
      </c>
    </row>
    <row r="1168" spans="1:11" x14ac:dyDescent="0.25">
      <c r="A1168" t="str">
        <f t="shared" si="73"/>
        <v>11900</v>
      </c>
      <c r="I1168" s="8" t="e">
        <f t="shared" si="71"/>
        <v>#DIV/0!</v>
      </c>
      <c r="J1168" s="8" t="e">
        <f t="shared" si="74"/>
        <v>#DIV/0!</v>
      </c>
      <c r="K1168" s="8" t="e">
        <f t="shared" si="72"/>
        <v>#DIV/0!</v>
      </c>
    </row>
    <row r="1169" spans="1:11" x14ac:dyDescent="0.25">
      <c r="A1169" t="str">
        <f t="shared" si="73"/>
        <v>11900</v>
      </c>
      <c r="I1169" s="8" t="e">
        <f t="shared" si="71"/>
        <v>#DIV/0!</v>
      </c>
      <c r="J1169" s="8" t="e">
        <f t="shared" si="74"/>
        <v>#DIV/0!</v>
      </c>
      <c r="K1169" s="8" t="e">
        <f t="shared" si="72"/>
        <v>#DIV/0!</v>
      </c>
    </row>
    <row r="1170" spans="1:11" x14ac:dyDescent="0.25">
      <c r="A1170" t="str">
        <f t="shared" si="73"/>
        <v>11900</v>
      </c>
      <c r="I1170" s="8" t="e">
        <f t="shared" si="71"/>
        <v>#DIV/0!</v>
      </c>
      <c r="J1170" s="8" t="e">
        <f t="shared" si="74"/>
        <v>#DIV/0!</v>
      </c>
      <c r="K1170" s="8" t="e">
        <f t="shared" si="72"/>
        <v>#DIV/0!</v>
      </c>
    </row>
    <row r="1171" spans="1:11" x14ac:dyDescent="0.25">
      <c r="A1171" t="str">
        <f t="shared" si="73"/>
        <v>11900</v>
      </c>
      <c r="I1171" s="8" t="e">
        <f t="shared" si="71"/>
        <v>#DIV/0!</v>
      </c>
      <c r="J1171" s="8" t="e">
        <f t="shared" si="74"/>
        <v>#DIV/0!</v>
      </c>
      <c r="K1171" s="8" t="e">
        <f t="shared" si="72"/>
        <v>#DIV/0!</v>
      </c>
    </row>
    <row r="1172" spans="1:11" x14ac:dyDescent="0.25">
      <c r="A1172" t="str">
        <f t="shared" si="73"/>
        <v>11900</v>
      </c>
      <c r="I1172" s="8" t="e">
        <f t="shared" si="71"/>
        <v>#DIV/0!</v>
      </c>
      <c r="J1172" s="8" t="e">
        <f t="shared" si="74"/>
        <v>#DIV/0!</v>
      </c>
      <c r="K1172" s="8" t="e">
        <f t="shared" si="72"/>
        <v>#DIV/0!</v>
      </c>
    </row>
    <row r="1173" spans="1:11" x14ac:dyDescent="0.25">
      <c r="A1173" t="str">
        <f t="shared" si="73"/>
        <v>11900</v>
      </c>
      <c r="I1173" s="8" t="e">
        <f t="shared" si="71"/>
        <v>#DIV/0!</v>
      </c>
      <c r="J1173" s="8" t="e">
        <f t="shared" si="74"/>
        <v>#DIV/0!</v>
      </c>
      <c r="K1173" s="8" t="e">
        <f t="shared" si="72"/>
        <v>#DIV/0!</v>
      </c>
    </row>
    <row r="1174" spans="1:11" x14ac:dyDescent="0.25">
      <c r="A1174" t="str">
        <f t="shared" si="73"/>
        <v>11900</v>
      </c>
      <c r="I1174" s="8" t="e">
        <f t="shared" si="71"/>
        <v>#DIV/0!</v>
      </c>
      <c r="J1174" s="8" t="e">
        <f t="shared" si="74"/>
        <v>#DIV/0!</v>
      </c>
      <c r="K1174" s="8" t="e">
        <f t="shared" si="72"/>
        <v>#DIV/0!</v>
      </c>
    </row>
    <row r="1175" spans="1:11" x14ac:dyDescent="0.25">
      <c r="A1175" t="str">
        <f t="shared" si="73"/>
        <v>11900</v>
      </c>
      <c r="I1175" s="8" t="e">
        <f t="shared" si="71"/>
        <v>#DIV/0!</v>
      </c>
      <c r="J1175" s="8" t="e">
        <f t="shared" si="74"/>
        <v>#DIV/0!</v>
      </c>
      <c r="K1175" s="8" t="e">
        <f t="shared" si="72"/>
        <v>#DIV/0!</v>
      </c>
    </row>
    <row r="1176" spans="1:11" x14ac:dyDescent="0.25">
      <c r="A1176" t="str">
        <f t="shared" si="73"/>
        <v>11900</v>
      </c>
      <c r="I1176" s="8" t="e">
        <f t="shared" si="71"/>
        <v>#DIV/0!</v>
      </c>
      <c r="J1176" s="8" t="e">
        <f t="shared" si="74"/>
        <v>#DIV/0!</v>
      </c>
      <c r="K1176" s="8" t="e">
        <f t="shared" si="72"/>
        <v>#DIV/0!</v>
      </c>
    </row>
    <row r="1177" spans="1:11" x14ac:dyDescent="0.25">
      <c r="A1177" t="str">
        <f t="shared" si="73"/>
        <v>11900</v>
      </c>
      <c r="I1177" s="8" t="e">
        <f t="shared" si="71"/>
        <v>#DIV/0!</v>
      </c>
      <c r="J1177" s="8" t="e">
        <f t="shared" si="74"/>
        <v>#DIV/0!</v>
      </c>
      <c r="K1177" s="8" t="e">
        <f t="shared" si="72"/>
        <v>#DIV/0!</v>
      </c>
    </row>
    <row r="1178" spans="1:11" x14ac:dyDescent="0.25">
      <c r="A1178" t="str">
        <f t="shared" si="73"/>
        <v>11900</v>
      </c>
      <c r="I1178" s="8" t="e">
        <f t="shared" si="71"/>
        <v>#DIV/0!</v>
      </c>
      <c r="J1178" s="8" t="e">
        <f t="shared" si="74"/>
        <v>#DIV/0!</v>
      </c>
      <c r="K1178" s="8" t="e">
        <f t="shared" si="72"/>
        <v>#DIV/0!</v>
      </c>
    </row>
    <row r="1179" spans="1:11" x14ac:dyDescent="0.25">
      <c r="A1179" t="str">
        <f t="shared" si="73"/>
        <v>11900</v>
      </c>
      <c r="I1179" s="8" t="e">
        <f t="shared" si="71"/>
        <v>#DIV/0!</v>
      </c>
      <c r="J1179" s="8" t="e">
        <f t="shared" si="74"/>
        <v>#DIV/0!</v>
      </c>
      <c r="K1179" s="8" t="e">
        <f t="shared" si="72"/>
        <v>#DIV/0!</v>
      </c>
    </row>
    <row r="1180" spans="1:11" x14ac:dyDescent="0.25">
      <c r="A1180" t="str">
        <f t="shared" si="73"/>
        <v>11900</v>
      </c>
      <c r="I1180" s="8" t="e">
        <f t="shared" si="71"/>
        <v>#DIV/0!</v>
      </c>
      <c r="J1180" s="8" t="e">
        <f t="shared" si="74"/>
        <v>#DIV/0!</v>
      </c>
      <c r="K1180" s="8" t="e">
        <f t="shared" si="72"/>
        <v>#DIV/0!</v>
      </c>
    </row>
    <row r="1181" spans="1:11" x14ac:dyDescent="0.25">
      <c r="A1181" t="str">
        <f t="shared" si="73"/>
        <v>11900</v>
      </c>
      <c r="I1181" s="8" t="e">
        <f t="shared" si="71"/>
        <v>#DIV/0!</v>
      </c>
      <c r="J1181" s="8" t="e">
        <f t="shared" si="74"/>
        <v>#DIV/0!</v>
      </c>
      <c r="K1181" s="8" t="e">
        <f t="shared" si="72"/>
        <v>#DIV/0!</v>
      </c>
    </row>
    <row r="1182" spans="1:11" x14ac:dyDescent="0.25">
      <c r="A1182" t="str">
        <f t="shared" si="73"/>
        <v>11900</v>
      </c>
      <c r="I1182" s="8" t="e">
        <f t="shared" si="71"/>
        <v>#DIV/0!</v>
      </c>
      <c r="J1182" s="8" t="e">
        <f t="shared" si="74"/>
        <v>#DIV/0!</v>
      </c>
      <c r="K1182" s="8" t="e">
        <f t="shared" si="72"/>
        <v>#DIV/0!</v>
      </c>
    </row>
    <row r="1183" spans="1:11" x14ac:dyDescent="0.25">
      <c r="A1183" t="str">
        <f t="shared" si="73"/>
        <v>11900</v>
      </c>
      <c r="I1183" s="8" t="e">
        <f t="shared" si="71"/>
        <v>#DIV/0!</v>
      </c>
      <c r="J1183" s="8" t="e">
        <f t="shared" si="74"/>
        <v>#DIV/0!</v>
      </c>
      <c r="K1183" s="8" t="e">
        <f t="shared" si="72"/>
        <v>#DIV/0!</v>
      </c>
    </row>
    <row r="1184" spans="1:11" x14ac:dyDescent="0.25">
      <c r="A1184" t="str">
        <f t="shared" si="73"/>
        <v>11900</v>
      </c>
      <c r="I1184" s="8" t="e">
        <f t="shared" si="71"/>
        <v>#DIV/0!</v>
      </c>
      <c r="J1184" s="8" t="e">
        <f t="shared" si="74"/>
        <v>#DIV/0!</v>
      </c>
      <c r="K1184" s="8" t="e">
        <f t="shared" si="72"/>
        <v>#DIV/0!</v>
      </c>
    </row>
    <row r="1185" spans="1:11" x14ac:dyDescent="0.25">
      <c r="A1185" t="str">
        <f t="shared" si="73"/>
        <v>11900</v>
      </c>
      <c r="I1185" s="8" t="e">
        <f t="shared" si="71"/>
        <v>#DIV/0!</v>
      </c>
      <c r="J1185" s="8" t="e">
        <f t="shared" si="74"/>
        <v>#DIV/0!</v>
      </c>
      <c r="K1185" s="8" t="e">
        <f t="shared" si="72"/>
        <v>#DIV/0!</v>
      </c>
    </row>
    <row r="1186" spans="1:11" x14ac:dyDescent="0.25">
      <c r="A1186" t="str">
        <f t="shared" si="73"/>
        <v>11900</v>
      </c>
      <c r="I1186" s="8" t="e">
        <f t="shared" si="71"/>
        <v>#DIV/0!</v>
      </c>
      <c r="J1186" s="8" t="e">
        <f t="shared" si="74"/>
        <v>#DIV/0!</v>
      </c>
      <c r="K1186" s="8" t="e">
        <f t="shared" si="72"/>
        <v>#DIV/0!</v>
      </c>
    </row>
    <row r="1187" spans="1:11" x14ac:dyDescent="0.25">
      <c r="A1187" t="str">
        <f t="shared" si="73"/>
        <v>11900</v>
      </c>
      <c r="I1187" s="8" t="e">
        <f t="shared" si="71"/>
        <v>#DIV/0!</v>
      </c>
      <c r="J1187" s="8" t="e">
        <f t="shared" si="74"/>
        <v>#DIV/0!</v>
      </c>
      <c r="K1187" s="8" t="e">
        <f t="shared" si="72"/>
        <v>#DIV/0!</v>
      </c>
    </row>
    <row r="1188" spans="1:11" x14ac:dyDescent="0.25">
      <c r="A1188" t="str">
        <f t="shared" si="73"/>
        <v>11900</v>
      </c>
      <c r="I1188" s="8" t="e">
        <f t="shared" si="71"/>
        <v>#DIV/0!</v>
      </c>
      <c r="J1188" s="8" t="e">
        <f t="shared" si="74"/>
        <v>#DIV/0!</v>
      </c>
      <c r="K1188" s="8" t="e">
        <f t="shared" si="72"/>
        <v>#DIV/0!</v>
      </c>
    </row>
    <row r="1189" spans="1:11" x14ac:dyDescent="0.25">
      <c r="A1189" t="str">
        <f t="shared" si="73"/>
        <v>11900</v>
      </c>
      <c r="I1189" s="8" t="e">
        <f t="shared" si="71"/>
        <v>#DIV/0!</v>
      </c>
      <c r="J1189" s="8" t="e">
        <f t="shared" si="74"/>
        <v>#DIV/0!</v>
      </c>
      <c r="K1189" s="8" t="e">
        <f t="shared" si="72"/>
        <v>#DIV/0!</v>
      </c>
    </row>
    <row r="1190" spans="1:11" x14ac:dyDescent="0.25">
      <c r="A1190" t="str">
        <f t="shared" si="73"/>
        <v>11900</v>
      </c>
      <c r="I1190" s="8" t="e">
        <f t="shared" si="71"/>
        <v>#DIV/0!</v>
      </c>
      <c r="J1190" s="8" t="e">
        <f t="shared" si="74"/>
        <v>#DIV/0!</v>
      </c>
      <c r="K1190" s="8" t="e">
        <f t="shared" si="72"/>
        <v>#DIV/0!</v>
      </c>
    </row>
    <row r="1191" spans="1:11" x14ac:dyDescent="0.25">
      <c r="A1191" t="str">
        <f t="shared" si="73"/>
        <v>11900</v>
      </c>
      <c r="I1191" s="8" t="e">
        <f t="shared" si="71"/>
        <v>#DIV/0!</v>
      </c>
      <c r="J1191" s="8" t="e">
        <f t="shared" si="74"/>
        <v>#DIV/0!</v>
      </c>
      <c r="K1191" s="8" t="e">
        <f t="shared" si="72"/>
        <v>#DIV/0!</v>
      </c>
    </row>
    <row r="1192" spans="1:11" x14ac:dyDescent="0.25">
      <c r="A1192" t="str">
        <f t="shared" si="73"/>
        <v>11900</v>
      </c>
      <c r="I1192" s="8" t="e">
        <f t="shared" si="71"/>
        <v>#DIV/0!</v>
      </c>
      <c r="J1192" s="8" t="e">
        <f t="shared" si="74"/>
        <v>#DIV/0!</v>
      </c>
      <c r="K1192" s="8" t="e">
        <f t="shared" si="72"/>
        <v>#DIV/0!</v>
      </c>
    </row>
    <row r="1193" spans="1:11" x14ac:dyDescent="0.25">
      <c r="A1193" t="str">
        <f t="shared" si="73"/>
        <v>11900</v>
      </c>
      <c r="I1193" s="8" t="e">
        <f t="shared" si="71"/>
        <v>#DIV/0!</v>
      </c>
      <c r="J1193" s="8" t="e">
        <f t="shared" si="74"/>
        <v>#DIV/0!</v>
      </c>
      <c r="K1193" s="8" t="e">
        <f t="shared" si="72"/>
        <v>#DIV/0!</v>
      </c>
    </row>
    <row r="1194" spans="1:11" x14ac:dyDescent="0.25">
      <c r="A1194" t="str">
        <f t="shared" si="73"/>
        <v>11900</v>
      </c>
      <c r="I1194" s="8" t="e">
        <f t="shared" si="71"/>
        <v>#DIV/0!</v>
      </c>
      <c r="J1194" s="8" t="e">
        <f t="shared" si="74"/>
        <v>#DIV/0!</v>
      </c>
      <c r="K1194" s="8" t="e">
        <f t="shared" si="72"/>
        <v>#DIV/0!</v>
      </c>
    </row>
    <row r="1195" spans="1:11" x14ac:dyDescent="0.25">
      <c r="A1195" t="str">
        <f t="shared" si="73"/>
        <v>11900</v>
      </c>
      <c r="I1195" s="8" t="e">
        <f t="shared" si="71"/>
        <v>#DIV/0!</v>
      </c>
      <c r="J1195" s="8" t="e">
        <f t="shared" si="74"/>
        <v>#DIV/0!</v>
      </c>
      <c r="K1195" s="8" t="e">
        <f t="shared" si="72"/>
        <v>#DIV/0!</v>
      </c>
    </row>
    <row r="1196" spans="1:11" x14ac:dyDescent="0.25">
      <c r="A1196" t="str">
        <f t="shared" si="73"/>
        <v>11900</v>
      </c>
      <c r="I1196" s="8" t="e">
        <f t="shared" si="71"/>
        <v>#DIV/0!</v>
      </c>
      <c r="J1196" s="8" t="e">
        <f t="shared" si="74"/>
        <v>#DIV/0!</v>
      </c>
      <c r="K1196" s="8" t="e">
        <f t="shared" si="72"/>
        <v>#DIV/0!</v>
      </c>
    </row>
    <row r="1197" spans="1:11" x14ac:dyDescent="0.25">
      <c r="A1197" t="str">
        <f t="shared" si="73"/>
        <v>11900</v>
      </c>
      <c r="I1197" s="8" t="e">
        <f t="shared" si="71"/>
        <v>#DIV/0!</v>
      </c>
      <c r="J1197" s="8" t="e">
        <f t="shared" si="74"/>
        <v>#DIV/0!</v>
      </c>
      <c r="K1197" s="8" t="e">
        <f t="shared" si="72"/>
        <v>#DIV/0!</v>
      </c>
    </row>
    <row r="1198" spans="1:11" x14ac:dyDescent="0.25">
      <c r="A1198" t="str">
        <f t="shared" si="73"/>
        <v>11900</v>
      </c>
      <c r="I1198" s="8" t="e">
        <f t="shared" si="71"/>
        <v>#DIV/0!</v>
      </c>
      <c r="J1198" s="8" t="e">
        <f t="shared" si="74"/>
        <v>#DIV/0!</v>
      </c>
      <c r="K1198" s="8" t="e">
        <f t="shared" si="72"/>
        <v>#DIV/0!</v>
      </c>
    </row>
    <row r="1199" spans="1:11" x14ac:dyDescent="0.25">
      <c r="A1199" t="str">
        <f t="shared" si="73"/>
        <v>11900</v>
      </c>
      <c r="I1199" s="8" t="e">
        <f t="shared" si="71"/>
        <v>#DIV/0!</v>
      </c>
      <c r="J1199" s="8" t="e">
        <f t="shared" si="74"/>
        <v>#DIV/0!</v>
      </c>
      <c r="K1199" s="8" t="e">
        <f t="shared" si="72"/>
        <v>#DIV/0!</v>
      </c>
    </row>
    <row r="1200" spans="1:11" x14ac:dyDescent="0.25">
      <c r="A1200" t="str">
        <f t="shared" si="73"/>
        <v>11900</v>
      </c>
      <c r="I1200" s="8" t="e">
        <f t="shared" si="71"/>
        <v>#DIV/0!</v>
      </c>
      <c r="J1200" s="8" t="e">
        <f t="shared" si="74"/>
        <v>#DIV/0!</v>
      </c>
      <c r="K1200" s="8" t="e">
        <f t="shared" si="72"/>
        <v>#DIV/0!</v>
      </c>
    </row>
    <row r="1201" spans="1:11" x14ac:dyDescent="0.25">
      <c r="A1201" t="str">
        <f t="shared" si="73"/>
        <v>11900</v>
      </c>
      <c r="I1201" s="8" t="e">
        <f t="shared" si="71"/>
        <v>#DIV/0!</v>
      </c>
      <c r="J1201" s="8" t="e">
        <f t="shared" si="74"/>
        <v>#DIV/0!</v>
      </c>
      <c r="K1201" s="8" t="e">
        <f t="shared" si="72"/>
        <v>#DIV/0!</v>
      </c>
    </row>
    <row r="1202" spans="1:11" x14ac:dyDescent="0.25">
      <c r="A1202" t="str">
        <f t="shared" si="73"/>
        <v>11900</v>
      </c>
      <c r="I1202" s="8" t="e">
        <f t="shared" si="71"/>
        <v>#DIV/0!</v>
      </c>
      <c r="J1202" s="8" t="e">
        <f t="shared" si="74"/>
        <v>#DIV/0!</v>
      </c>
      <c r="K1202" s="8" t="e">
        <f t="shared" si="72"/>
        <v>#DIV/0!</v>
      </c>
    </row>
    <row r="1203" spans="1:11" x14ac:dyDescent="0.25">
      <c r="A1203" t="str">
        <f t="shared" si="73"/>
        <v>11900</v>
      </c>
      <c r="I1203" s="8" t="e">
        <f t="shared" si="71"/>
        <v>#DIV/0!</v>
      </c>
      <c r="J1203" s="8" t="e">
        <f t="shared" si="74"/>
        <v>#DIV/0!</v>
      </c>
      <c r="K1203" s="8" t="e">
        <f t="shared" si="72"/>
        <v>#DIV/0!</v>
      </c>
    </row>
    <row r="1204" spans="1:11" x14ac:dyDescent="0.25">
      <c r="A1204" t="str">
        <f t="shared" si="73"/>
        <v>11900</v>
      </c>
      <c r="I1204" s="8" t="e">
        <f t="shared" si="71"/>
        <v>#DIV/0!</v>
      </c>
      <c r="J1204" s="8" t="e">
        <f t="shared" si="74"/>
        <v>#DIV/0!</v>
      </c>
      <c r="K1204" s="8" t="e">
        <f t="shared" si="72"/>
        <v>#DIV/0!</v>
      </c>
    </row>
    <row r="1205" spans="1:11" x14ac:dyDescent="0.25">
      <c r="A1205" t="str">
        <f t="shared" si="73"/>
        <v>11900</v>
      </c>
      <c r="I1205" s="8" t="e">
        <f t="shared" si="71"/>
        <v>#DIV/0!</v>
      </c>
      <c r="J1205" s="8" t="e">
        <f t="shared" si="74"/>
        <v>#DIV/0!</v>
      </c>
      <c r="K1205" s="8" t="e">
        <f t="shared" si="72"/>
        <v>#DIV/0!</v>
      </c>
    </row>
    <row r="1206" spans="1:11" x14ac:dyDescent="0.25">
      <c r="A1206" t="str">
        <f t="shared" si="73"/>
        <v>11900</v>
      </c>
      <c r="I1206" s="8" t="e">
        <f t="shared" si="71"/>
        <v>#DIV/0!</v>
      </c>
      <c r="J1206" s="8" t="e">
        <f t="shared" si="74"/>
        <v>#DIV/0!</v>
      </c>
      <c r="K1206" s="8" t="e">
        <f t="shared" si="72"/>
        <v>#DIV/0!</v>
      </c>
    </row>
    <row r="1207" spans="1:11" x14ac:dyDescent="0.25">
      <c r="A1207" t="str">
        <f t="shared" si="73"/>
        <v>11900</v>
      </c>
      <c r="I1207" s="8" t="e">
        <f t="shared" si="71"/>
        <v>#DIV/0!</v>
      </c>
      <c r="J1207" s="8" t="e">
        <f t="shared" si="74"/>
        <v>#DIV/0!</v>
      </c>
      <c r="K1207" s="8" t="e">
        <f t="shared" si="72"/>
        <v>#DIV/0!</v>
      </c>
    </row>
    <row r="1208" spans="1:11" x14ac:dyDescent="0.25">
      <c r="A1208" t="str">
        <f t="shared" si="73"/>
        <v>11900</v>
      </c>
      <c r="I1208" s="8" t="e">
        <f t="shared" ref="I1208:I1238" si="75">+G1208/G1207-1</f>
        <v>#DIV/0!</v>
      </c>
      <c r="J1208" s="8" t="e">
        <f t="shared" si="74"/>
        <v>#DIV/0!</v>
      </c>
      <c r="K1208" s="8" t="e">
        <f t="shared" si="72"/>
        <v>#DIV/0!</v>
      </c>
    </row>
    <row r="1209" spans="1:11" x14ac:dyDescent="0.25">
      <c r="A1209" t="str">
        <f t="shared" si="73"/>
        <v>11900</v>
      </c>
      <c r="I1209" s="8" t="e">
        <f t="shared" si="75"/>
        <v>#DIV/0!</v>
      </c>
      <c r="J1209" s="8" t="e">
        <f t="shared" si="74"/>
        <v>#DIV/0!</v>
      </c>
      <c r="K1209" s="8" t="e">
        <f t="shared" si="72"/>
        <v>#DIV/0!</v>
      </c>
    </row>
    <row r="1210" spans="1:11" x14ac:dyDescent="0.25">
      <c r="A1210" t="str">
        <f t="shared" si="73"/>
        <v>11900</v>
      </c>
      <c r="I1210" s="8" t="e">
        <f t="shared" si="75"/>
        <v>#DIV/0!</v>
      </c>
      <c r="J1210" s="8" t="e">
        <f t="shared" si="74"/>
        <v>#DIV/0!</v>
      </c>
      <c r="K1210" s="8" t="e">
        <f t="shared" si="72"/>
        <v>#DIV/0!</v>
      </c>
    </row>
    <row r="1211" spans="1:11" x14ac:dyDescent="0.25">
      <c r="A1211" t="str">
        <f t="shared" si="73"/>
        <v>11900</v>
      </c>
      <c r="I1211" s="8" t="e">
        <f t="shared" si="75"/>
        <v>#DIV/0!</v>
      </c>
      <c r="J1211" s="8" t="e">
        <f t="shared" si="74"/>
        <v>#DIV/0!</v>
      </c>
      <c r="K1211" s="8" t="e">
        <f t="shared" si="72"/>
        <v>#DIV/0!</v>
      </c>
    </row>
    <row r="1212" spans="1:11" x14ac:dyDescent="0.25">
      <c r="A1212" t="str">
        <f t="shared" si="73"/>
        <v>11900</v>
      </c>
      <c r="I1212" s="8" t="e">
        <f t="shared" si="75"/>
        <v>#DIV/0!</v>
      </c>
      <c r="J1212" s="8" t="e">
        <f t="shared" si="74"/>
        <v>#DIV/0!</v>
      </c>
      <c r="K1212" s="8" t="e">
        <f t="shared" si="72"/>
        <v>#DIV/0!</v>
      </c>
    </row>
    <row r="1213" spans="1:11" x14ac:dyDescent="0.25">
      <c r="A1213" t="str">
        <f t="shared" si="73"/>
        <v>11900</v>
      </c>
      <c r="I1213" s="8" t="e">
        <f t="shared" si="75"/>
        <v>#DIV/0!</v>
      </c>
      <c r="J1213" s="8" t="e">
        <f t="shared" si="74"/>
        <v>#DIV/0!</v>
      </c>
      <c r="K1213" s="8" t="e">
        <f t="shared" si="72"/>
        <v>#DIV/0!</v>
      </c>
    </row>
    <row r="1214" spans="1:11" x14ac:dyDescent="0.25">
      <c r="A1214" t="str">
        <f t="shared" si="73"/>
        <v>11900</v>
      </c>
      <c r="I1214" s="8" t="e">
        <f t="shared" si="75"/>
        <v>#DIV/0!</v>
      </c>
      <c r="J1214" s="8" t="e">
        <f t="shared" si="74"/>
        <v>#DIV/0!</v>
      </c>
      <c r="K1214" s="8" t="e">
        <f t="shared" si="72"/>
        <v>#DIV/0!</v>
      </c>
    </row>
    <row r="1215" spans="1:11" x14ac:dyDescent="0.25">
      <c r="A1215" t="str">
        <f t="shared" si="73"/>
        <v>11900</v>
      </c>
      <c r="I1215" s="8" t="e">
        <f t="shared" si="75"/>
        <v>#DIV/0!</v>
      </c>
      <c r="J1215" s="8" t="e">
        <f t="shared" si="74"/>
        <v>#DIV/0!</v>
      </c>
      <c r="K1215" s="8" t="e">
        <f t="shared" si="72"/>
        <v>#DIV/0!</v>
      </c>
    </row>
    <row r="1216" spans="1:11" x14ac:dyDescent="0.25">
      <c r="A1216" t="str">
        <f t="shared" si="73"/>
        <v>11900</v>
      </c>
      <c r="I1216" s="8" t="e">
        <f t="shared" si="75"/>
        <v>#DIV/0!</v>
      </c>
      <c r="J1216" s="8" t="e">
        <f t="shared" si="74"/>
        <v>#DIV/0!</v>
      </c>
      <c r="K1216" s="8" t="e">
        <f t="shared" ref="K1216:K1238" si="76">+G1216/G1155-1</f>
        <v>#DIV/0!</v>
      </c>
    </row>
    <row r="1217" spans="1:11" x14ac:dyDescent="0.25">
      <c r="A1217" t="str">
        <f t="shared" si="73"/>
        <v>11900</v>
      </c>
      <c r="I1217" s="8" t="e">
        <f t="shared" si="75"/>
        <v>#DIV/0!</v>
      </c>
      <c r="J1217" s="8" t="e">
        <f t="shared" si="74"/>
        <v>#DIV/0!</v>
      </c>
      <c r="K1217" s="8" t="e">
        <f t="shared" si="76"/>
        <v>#DIV/0!</v>
      </c>
    </row>
    <row r="1218" spans="1:11" x14ac:dyDescent="0.25">
      <c r="A1218" t="str">
        <f t="shared" si="73"/>
        <v>11900</v>
      </c>
      <c r="I1218" s="8" t="e">
        <f t="shared" si="75"/>
        <v>#DIV/0!</v>
      </c>
      <c r="J1218" s="8" t="e">
        <f t="shared" si="74"/>
        <v>#DIV/0!</v>
      </c>
      <c r="K1218" s="8" t="e">
        <f t="shared" si="76"/>
        <v>#DIV/0!</v>
      </c>
    </row>
    <row r="1219" spans="1:11" x14ac:dyDescent="0.25">
      <c r="A1219" t="str">
        <f t="shared" ref="A1219:A1238" si="77">+MONTH(B1219)&amp;YEAR(B1219)</f>
        <v>11900</v>
      </c>
      <c r="I1219" s="8" t="e">
        <f t="shared" si="75"/>
        <v>#DIV/0!</v>
      </c>
      <c r="J1219" s="8" t="e">
        <f t="shared" si="74"/>
        <v>#DIV/0!</v>
      </c>
      <c r="K1219" s="8" t="e">
        <f t="shared" si="76"/>
        <v>#DIV/0!</v>
      </c>
    </row>
    <row r="1220" spans="1:11" x14ac:dyDescent="0.25">
      <c r="A1220" t="str">
        <f t="shared" si="77"/>
        <v>11900</v>
      </c>
      <c r="I1220" s="8" t="e">
        <f t="shared" si="75"/>
        <v>#DIV/0!</v>
      </c>
      <c r="J1220" s="8" t="e">
        <f t="shared" ref="J1220:J1238" si="78">+LN(1+I1220)</f>
        <v>#DIV/0!</v>
      </c>
      <c r="K1220" s="8" t="e">
        <f t="shared" si="76"/>
        <v>#DIV/0!</v>
      </c>
    </row>
    <row r="1221" spans="1:11" x14ac:dyDescent="0.25">
      <c r="A1221" t="str">
        <f t="shared" si="77"/>
        <v>11900</v>
      </c>
      <c r="I1221" s="8" t="e">
        <f t="shared" si="75"/>
        <v>#DIV/0!</v>
      </c>
      <c r="J1221" s="8" t="e">
        <f t="shared" si="78"/>
        <v>#DIV/0!</v>
      </c>
      <c r="K1221" s="8" t="e">
        <f t="shared" si="76"/>
        <v>#DIV/0!</v>
      </c>
    </row>
    <row r="1222" spans="1:11" x14ac:dyDescent="0.25">
      <c r="A1222" t="str">
        <f t="shared" si="77"/>
        <v>11900</v>
      </c>
      <c r="I1222" s="8" t="e">
        <f t="shared" si="75"/>
        <v>#DIV/0!</v>
      </c>
      <c r="J1222" s="8" t="e">
        <f t="shared" si="78"/>
        <v>#DIV/0!</v>
      </c>
      <c r="K1222" s="8" t="e">
        <f t="shared" si="76"/>
        <v>#DIV/0!</v>
      </c>
    </row>
    <row r="1223" spans="1:11" x14ac:dyDescent="0.25">
      <c r="A1223" t="str">
        <f t="shared" si="77"/>
        <v>11900</v>
      </c>
      <c r="I1223" s="8" t="e">
        <f t="shared" si="75"/>
        <v>#DIV/0!</v>
      </c>
      <c r="J1223" s="8" t="e">
        <f t="shared" si="78"/>
        <v>#DIV/0!</v>
      </c>
      <c r="K1223" s="8" t="e">
        <f t="shared" si="76"/>
        <v>#DIV/0!</v>
      </c>
    </row>
    <row r="1224" spans="1:11" x14ac:dyDescent="0.25">
      <c r="A1224" t="str">
        <f t="shared" si="77"/>
        <v>11900</v>
      </c>
      <c r="I1224" s="8" t="e">
        <f t="shared" si="75"/>
        <v>#DIV/0!</v>
      </c>
      <c r="J1224" s="8" t="e">
        <f t="shared" si="78"/>
        <v>#DIV/0!</v>
      </c>
      <c r="K1224" s="8" t="e">
        <f t="shared" si="76"/>
        <v>#DIV/0!</v>
      </c>
    </row>
    <row r="1225" spans="1:11" x14ac:dyDescent="0.25">
      <c r="A1225" t="str">
        <f t="shared" si="77"/>
        <v>11900</v>
      </c>
      <c r="I1225" s="8" t="e">
        <f t="shared" si="75"/>
        <v>#DIV/0!</v>
      </c>
      <c r="J1225" s="8" t="e">
        <f t="shared" si="78"/>
        <v>#DIV/0!</v>
      </c>
      <c r="K1225" s="8" t="e">
        <f t="shared" si="76"/>
        <v>#DIV/0!</v>
      </c>
    </row>
    <row r="1226" spans="1:11" x14ac:dyDescent="0.25">
      <c r="A1226" t="str">
        <f t="shared" si="77"/>
        <v>11900</v>
      </c>
      <c r="I1226" s="8" t="e">
        <f t="shared" si="75"/>
        <v>#DIV/0!</v>
      </c>
      <c r="J1226" s="8" t="e">
        <f t="shared" si="78"/>
        <v>#DIV/0!</v>
      </c>
      <c r="K1226" s="8" t="e">
        <f t="shared" si="76"/>
        <v>#DIV/0!</v>
      </c>
    </row>
    <row r="1227" spans="1:11" x14ac:dyDescent="0.25">
      <c r="A1227" t="str">
        <f t="shared" si="77"/>
        <v>11900</v>
      </c>
      <c r="I1227" s="8" t="e">
        <f t="shared" si="75"/>
        <v>#DIV/0!</v>
      </c>
      <c r="J1227" s="8" t="e">
        <f t="shared" si="78"/>
        <v>#DIV/0!</v>
      </c>
      <c r="K1227" s="8" t="e">
        <f t="shared" si="76"/>
        <v>#DIV/0!</v>
      </c>
    </row>
    <row r="1228" spans="1:11" x14ac:dyDescent="0.25">
      <c r="A1228" t="str">
        <f t="shared" si="77"/>
        <v>11900</v>
      </c>
      <c r="I1228" s="8" t="e">
        <f t="shared" si="75"/>
        <v>#DIV/0!</v>
      </c>
      <c r="J1228" s="8" t="e">
        <f t="shared" si="78"/>
        <v>#DIV/0!</v>
      </c>
      <c r="K1228" s="8" t="e">
        <f t="shared" si="76"/>
        <v>#DIV/0!</v>
      </c>
    </row>
    <row r="1229" spans="1:11" x14ac:dyDescent="0.25">
      <c r="A1229" t="str">
        <f t="shared" si="77"/>
        <v>11900</v>
      </c>
      <c r="I1229" s="8" t="e">
        <f t="shared" si="75"/>
        <v>#DIV/0!</v>
      </c>
      <c r="J1229" s="8" t="e">
        <f t="shared" si="78"/>
        <v>#DIV/0!</v>
      </c>
      <c r="K1229" s="8" t="e">
        <f t="shared" si="76"/>
        <v>#DIV/0!</v>
      </c>
    </row>
    <row r="1230" spans="1:11" x14ac:dyDescent="0.25">
      <c r="A1230" t="str">
        <f t="shared" si="77"/>
        <v>11900</v>
      </c>
      <c r="I1230" s="8" t="e">
        <f t="shared" si="75"/>
        <v>#DIV/0!</v>
      </c>
      <c r="J1230" s="8" t="e">
        <f t="shared" si="78"/>
        <v>#DIV/0!</v>
      </c>
      <c r="K1230" s="8" t="e">
        <f t="shared" si="76"/>
        <v>#DIV/0!</v>
      </c>
    </row>
    <row r="1231" spans="1:11" x14ac:dyDescent="0.25">
      <c r="A1231" t="str">
        <f t="shared" si="77"/>
        <v>11900</v>
      </c>
      <c r="I1231" s="8" t="e">
        <f t="shared" si="75"/>
        <v>#DIV/0!</v>
      </c>
      <c r="J1231" s="8" t="e">
        <f t="shared" si="78"/>
        <v>#DIV/0!</v>
      </c>
      <c r="K1231" s="8" t="e">
        <f t="shared" si="76"/>
        <v>#DIV/0!</v>
      </c>
    </row>
    <row r="1232" spans="1:11" x14ac:dyDescent="0.25">
      <c r="A1232" t="str">
        <f t="shared" si="77"/>
        <v>11900</v>
      </c>
      <c r="I1232" s="8" t="e">
        <f t="shared" si="75"/>
        <v>#DIV/0!</v>
      </c>
      <c r="J1232" s="8" t="e">
        <f t="shared" si="78"/>
        <v>#DIV/0!</v>
      </c>
      <c r="K1232" s="8" t="e">
        <f t="shared" si="76"/>
        <v>#DIV/0!</v>
      </c>
    </row>
    <row r="1233" spans="1:11" x14ac:dyDescent="0.25">
      <c r="A1233" t="str">
        <f t="shared" si="77"/>
        <v>11900</v>
      </c>
      <c r="I1233" s="8" t="e">
        <f t="shared" si="75"/>
        <v>#DIV/0!</v>
      </c>
      <c r="J1233" s="8" t="e">
        <f t="shared" si="78"/>
        <v>#DIV/0!</v>
      </c>
      <c r="K1233" s="8" t="e">
        <f t="shared" si="76"/>
        <v>#DIV/0!</v>
      </c>
    </row>
    <row r="1234" spans="1:11" x14ac:dyDescent="0.25">
      <c r="A1234" t="str">
        <f t="shared" si="77"/>
        <v>11900</v>
      </c>
      <c r="I1234" s="8" t="e">
        <f t="shared" si="75"/>
        <v>#DIV/0!</v>
      </c>
      <c r="J1234" s="8" t="e">
        <f t="shared" si="78"/>
        <v>#DIV/0!</v>
      </c>
      <c r="K1234" s="8" t="e">
        <f t="shared" si="76"/>
        <v>#DIV/0!</v>
      </c>
    </row>
    <row r="1235" spans="1:11" x14ac:dyDescent="0.25">
      <c r="A1235" t="str">
        <f t="shared" si="77"/>
        <v>11900</v>
      </c>
      <c r="I1235" s="8" t="e">
        <f t="shared" si="75"/>
        <v>#DIV/0!</v>
      </c>
      <c r="J1235" s="8" t="e">
        <f t="shared" si="78"/>
        <v>#DIV/0!</v>
      </c>
      <c r="K1235" s="8" t="e">
        <f t="shared" si="76"/>
        <v>#DIV/0!</v>
      </c>
    </row>
    <row r="1236" spans="1:11" x14ac:dyDescent="0.25">
      <c r="A1236" t="str">
        <f t="shared" si="77"/>
        <v>11900</v>
      </c>
      <c r="I1236" s="8" t="e">
        <f t="shared" si="75"/>
        <v>#DIV/0!</v>
      </c>
      <c r="J1236" s="8" t="e">
        <f t="shared" si="78"/>
        <v>#DIV/0!</v>
      </c>
      <c r="K1236" s="8" t="e">
        <f t="shared" si="76"/>
        <v>#DIV/0!</v>
      </c>
    </row>
    <row r="1237" spans="1:11" x14ac:dyDescent="0.25">
      <c r="A1237" t="str">
        <f t="shared" si="77"/>
        <v>11900</v>
      </c>
      <c r="I1237" s="8" t="e">
        <f t="shared" si="75"/>
        <v>#DIV/0!</v>
      </c>
      <c r="J1237" s="8" t="e">
        <f t="shared" si="78"/>
        <v>#DIV/0!</v>
      </c>
      <c r="K1237" s="8" t="e">
        <f t="shared" si="76"/>
        <v>#DIV/0!</v>
      </c>
    </row>
    <row r="1238" spans="1:11" x14ac:dyDescent="0.25">
      <c r="A1238" t="str">
        <f t="shared" si="77"/>
        <v>11900</v>
      </c>
      <c r="I1238" s="8" t="e">
        <f t="shared" si="75"/>
        <v>#DIV/0!</v>
      </c>
      <c r="J1238" s="8" t="e">
        <f t="shared" si="78"/>
        <v>#DIV/0!</v>
      </c>
      <c r="K1238" s="8" t="e">
        <f t="shared" si="76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E6F1C-9229-4E42-8503-FCBD841F06F9}">
  <dimension ref="A1:K1238"/>
  <sheetViews>
    <sheetView topLeftCell="A42" workbookViewId="0">
      <selection activeCell="K63" sqref="K63"/>
    </sheetView>
  </sheetViews>
  <sheetFormatPr defaultRowHeight="15" x14ac:dyDescent="0.25"/>
  <cols>
    <col min="2" max="2" width="10.7109375" bestFit="1" customWidth="1"/>
    <col min="3" max="3" width="18.5703125" customWidth="1"/>
  </cols>
  <sheetData>
    <row r="1" spans="1:11" x14ac:dyDescent="0.25">
      <c r="A1" t="s">
        <v>27</v>
      </c>
      <c r="B1" t="s">
        <v>7</v>
      </c>
      <c r="C1" s="6" t="str">
        <f ca="1">IFERROR(__xludf.DUMMYFUNCTION("GOOGLEFINANCE(A1,""all"", DATE(2017,1,1),DATE(2021,5,14),""Daily"")"),"Date")</f>
        <v>Date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26</v>
      </c>
      <c r="J1" t="s">
        <v>679</v>
      </c>
      <c r="K1" t="s">
        <v>688</v>
      </c>
    </row>
    <row r="2" spans="1:11" x14ac:dyDescent="0.25">
      <c r="A2" t="str">
        <f>+MONTH(B2)&amp;YEAR(B2)</f>
        <v>12017</v>
      </c>
      <c r="B2" s="1">
        <v>42737</v>
      </c>
      <c r="C2" s="7">
        <f ca="1">IFERROR(__xludf.DUMMYFUNCTION("""COMPUTED_VALUE"""),42737.6458333333)</f>
        <v>42737.645833333299</v>
      </c>
      <c r="D2">
        <v>10301.85</v>
      </c>
      <c r="E2">
        <v>10364.6</v>
      </c>
      <c r="F2">
        <v>10245.4</v>
      </c>
      <c r="G2">
        <v>10310.200000000001</v>
      </c>
      <c r="H2">
        <v>0</v>
      </c>
    </row>
    <row r="3" spans="1:11" x14ac:dyDescent="0.25">
      <c r="A3" t="str">
        <f t="shared" ref="A3:A66" si="0">+MONTH(B3)&amp;YEAR(B3)</f>
        <v>12017</v>
      </c>
      <c r="B3" s="1">
        <v>42738</v>
      </c>
      <c r="C3" s="7">
        <f ca="1">IFERROR(__xludf.DUMMYFUNCTION("""COMPUTED_VALUE"""),42738.6458333333)</f>
        <v>42738.645833333299</v>
      </c>
      <c r="D3">
        <v>10350.15</v>
      </c>
      <c r="E3">
        <v>10382.549999999999</v>
      </c>
      <c r="F3">
        <v>10280</v>
      </c>
      <c r="G3">
        <v>10317.450000000001</v>
      </c>
      <c r="H3">
        <v>0</v>
      </c>
      <c r="I3" s="8">
        <f>+G3/G2-1</f>
        <v>7.0318713507022679E-4</v>
      </c>
      <c r="J3" s="8">
        <f>+LN(1+I3)</f>
        <v>7.0294001483782215E-4</v>
      </c>
    </row>
    <row r="4" spans="1:11" x14ac:dyDescent="0.25">
      <c r="A4" t="str">
        <f t="shared" si="0"/>
        <v>12017</v>
      </c>
      <c r="B4" s="1">
        <v>42739</v>
      </c>
      <c r="C4" s="7">
        <f ca="1">IFERROR(__xludf.DUMMYFUNCTION("""COMPUTED_VALUE"""),42739.6458333333)</f>
        <v>42739.645833333299</v>
      </c>
      <c r="D4">
        <v>10355.700000000001</v>
      </c>
      <c r="E4">
        <v>10392.6</v>
      </c>
      <c r="F4">
        <v>10291.450000000001</v>
      </c>
      <c r="G4">
        <v>10303.799999999999</v>
      </c>
      <c r="H4">
        <v>0</v>
      </c>
      <c r="I4" s="8">
        <f t="shared" ref="I4:I67" si="1">+G4/G3-1</f>
        <v>-1.3230013230014492E-3</v>
      </c>
      <c r="J4" s="8">
        <f t="shared" ref="J4:J67" si="2">+LN(1+I4)</f>
        <v>-1.3238772619159132E-3</v>
      </c>
    </row>
    <row r="5" spans="1:11" x14ac:dyDescent="0.25">
      <c r="A5" t="str">
        <f t="shared" si="0"/>
        <v>12017</v>
      </c>
      <c r="B5" s="1">
        <v>42740</v>
      </c>
      <c r="C5" s="7">
        <f ca="1">IFERROR(__xludf.DUMMYFUNCTION("""COMPUTED_VALUE"""),42740.6458333333)</f>
        <v>42740.645833333299</v>
      </c>
      <c r="D5">
        <v>10369.799999999999</v>
      </c>
      <c r="E5">
        <v>10464.700000000001</v>
      </c>
      <c r="F5">
        <v>10342.6</v>
      </c>
      <c r="G5">
        <v>10457.75</v>
      </c>
      <c r="H5">
        <v>0</v>
      </c>
      <c r="I5" s="8">
        <f t="shared" si="1"/>
        <v>1.4941089695064136E-2</v>
      </c>
      <c r="J5" s="8">
        <f t="shared" si="2"/>
        <v>1.4830571100085135E-2</v>
      </c>
    </row>
    <row r="6" spans="1:11" x14ac:dyDescent="0.25">
      <c r="A6" t="str">
        <f t="shared" si="0"/>
        <v>12017</v>
      </c>
      <c r="B6" s="1">
        <v>42741</v>
      </c>
      <c r="C6" s="7">
        <f ca="1">IFERROR(__xludf.DUMMYFUNCTION("""COMPUTED_VALUE"""),42741.6458333333)</f>
        <v>42741.645833333299</v>
      </c>
      <c r="D6">
        <v>10503.4</v>
      </c>
      <c r="E6">
        <v>10559.55</v>
      </c>
      <c r="F6">
        <v>10455.299999999999</v>
      </c>
      <c r="G6">
        <v>10472.700000000001</v>
      </c>
      <c r="H6">
        <v>0</v>
      </c>
      <c r="I6" s="8">
        <f t="shared" si="1"/>
        <v>1.4295618082285078E-3</v>
      </c>
      <c r="J6" s="8">
        <f t="shared" si="2"/>
        <v>1.4285409575436872E-3</v>
      </c>
    </row>
    <row r="7" spans="1:11" x14ac:dyDescent="0.25">
      <c r="A7" t="str">
        <f t="shared" si="0"/>
        <v>12017</v>
      </c>
      <c r="B7" s="1">
        <v>42744</v>
      </c>
      <c r="C7" s="7">
        <f ca="1">IFERROR(__xludf.DUMMYFUNCTION("""COMPUTED_VALUE"""),42744.6458333333)</f>
        <v>42744.645833333299</v>
      </c>
      <c r="D7">
        <v>10507.15</v>
      </c>
      <c r="E7">
        <v>10525.7</v>
      </c>
      <c r="F7">
        <v>10307.450000000001</v>
      </c>
      <c r="G7">
        <v>10323.450000000001</v>
      </c>
      <c r="H7">
        <v>0</v>
      </c>
      <c r="I7" s="8">
        <f t="shared" si="1"/>
        <v>-1.4251339196195811E-2</v>
      </c>
      <c r="J7" s="8">
        <f t="shared" si="2"/>
        <v>-1.4353864780936632E-2</v>
      </c>
    </row>
    <row r="8" spans="1:11" x14ac:dyDescent="0.25">
      <c r="A8" t="str">
        <f t="shared" si="0"/>
        <v>12017</v>
      </c>
      <c r="B8" s="1">
        <v>42745</v>
      </c>
      <c r="C8" s="7">
        <f ca="1">IFERROR(__xludf.DUMMYFUNCTION("""COMPUTED_VALUE"""),42745.6458333333)</f>
        <v>42745.645833333299</v>
      </c>
      <c r="D8">
        <v>10355.450000000001</v>
      </c>
      <c r="E8">
        <v>10380.299999999999</v>
      </c>
      <c r="F8">
        <v>10321.549999999999</v>
      </c>
      <c r="G8">
        <v>10366.700000000001</v>
      </c>
      <c r="H8">
        <v>0</v>
      </c>
      <c r="I8" s="8">
        <f t="shared" si="1"/>
        <v>4.1894909163118221E-3</v>
      </c>
      <c r="J8" s="8">
        <f t="shared" si="2"/>
        <v>4.1807394335666315E-3</v>
      </c>
    </row>
    <row r="9" spans="1:11" x14ac:dyDescent="0.25">
      <c r="A9" t="str">
        <f t="shared" si="0"/>
        <v>12017</v>
      </c>
      <c r="B9" s="1">
        <v>42746</v>
      </c>
      <c r="C9" s="7">
        <f ca="1">IFERROR(__xludf.DUMMYFUNCTION("""COMPUTED_VALUE"""),42746.6458333333)</f>
        <v>42746.645833333299</v>
      </c>
      <c r="D9">
        <v>10406.450000000001</v>
      </c>
      <c r="E9">
        <v>10475.200000000001</v>
      </c>
      <c r="F9">
        <v>10397.299999999999</v>
      </c>
      <c r="G9">
        <v>10464.65</v>
      </c>
      <c r="H9">
        <v>0</v>
      </c>
      <c r="I9" s="8">
        <f t="shared" si="1"/>
        <v>9.4485226735603334E-3</v>
      </c>
      <c r="J9" s="8">
        <f t="shared" si="2"/>
        <v>9.4041645766261492E-3</v>
      </c>
    </row>
    <row r="10" spans="1:11" x14ac:dyDescent="0.25">
      <c r="A10" t="str">
        <f t="shared" si="0"/>
        <v>12017</v>
      </c>
      <c r="B10" s="1">
        <v>42747</v>
      </c>
      <c r="C10" s="7">
        <f ca="1">IFERROR(__xludf.DUMMYFUNCTION("""COMPUTED_VALUE"""),42747.6458333333)</f>
        <v>42747.645833333299</v>
      </c>
      <c r="D10">
        <v>10277.35</v>
      </c>
      <c r="E10">
        <v>10419.15</v>
      </c>
      <c r="F10">
        <v>10230.1</v>
      </c>
      <c r="G10">
        <v>10401.75</v>
      </c>
      <c r="H10">
        <v>0</v>
      </c>
      <c r="I10" s="8">
        <f t="shared" si="1"/>
        <v>-6.0107122550682179E-3</v>
      </c>
      <c r="J10" s="8">
        <f t="shared" si="2"/>
        <v>-6.0288493002020223E-3</v>
      </c>
    </row>
    <row r="11" spans="1:11" x14ac:dyDescent="0.25">
      <c r="A11" t="str">
        <f t="shared" si="0"/>
        <v>12017</v>
      </c>
      <c r="B11" s="1">
        <v>42748</v>
      </c>
      <c r="C11" s="7">
        <f ca="1">IFERROR(__xludf.DUMMYFUNCTION("""COMPUTED_VALUE"""),42748.6458333333)</f>
        <v>42748.645833333299</v>
      </c>
      <c r="D11">
        <v>10421</v>
      </c>
      <c r="E11">
        <v>10488.7</v>
      </c>
      <c r="F11">
        <v>10363.049999999999</v>
      </c>
      <c r="G11">
        <v>10445.1</v>
      </c>
      <c r="H11">
        <v>0</v>
      </c>
      <c r="I11" s="8">
        <f t="shared" si="1"/>
        <v>4.1675679573149882E-3</v>
      </c>
      <c r="J11" s="8">
        <f t="shared" si="2"/>
        <v>4.1589076991139931E-3</v>
      </c>
    </row>
    <row r="12" spans="1:11" x14ac:dyDescent="0.25">
      <c r="A12" t="str">
        <f t="shared" si="0"/>
        <v>12017</v>
      </c>
      <c r="B12" s="1">
        <v>42751</v>
      </c>
      <c r="C12" s="7">
        <f ca="1">IFERROR(__xludf.DUMMYFUNCTION("""COMPUTED_VALUE"""),42751.6458333333)</f>
        <v>42751.645833333299</v>
      </c>
      <c r="D12">
        <v>10432.1</v>
      </c>
      <c r="E12">
        <v>10480.200000000001</v>
      </c>
      <c r="F12">
        <v>10403.85</v>
      </c>
      <c r="G12">
        <v>10418.200000000001</v>
      </c>
      <c r="H12">
        <v>0</v>
      </c>
      <c r="I12" s="8">
        <f t="shared" si="1"/>
        <v>-2.5753702693128711E-3</v>
      </c>
      <c r="J12" s="8">
        <f t="shared" si="2"/>
        <v>-2.5786922400871572E-3</v>
      </c>
    </row>
    <row r="13" spans="1:11" x14ac:dyDescent="0.25">
      <c r="A13" t="str">
        <f t="shared" si="0"/>
        <v>12017</v>
      </c>
      <c r="B13" s="1">
        <v>42752</v>
      </c>
      <c r="C13" s="7">
        <f ca="1">IFERROR(__xludf.DUMMYFUNCTION("""COMPUTED_VALUE"""),42752.6458333333)</f>
        <v>42752.645833333299</v>
      </c>
      <c r="D13">
        <v>10420.549999999999</v>
      </c>
      <c r="E13">
        <v>10475.75</v>
      </c>
      <c r="F13">
        <v>10408.9</v>
      </c>
      <c r="G13">
        <v>10426.65</v>
      </c>
      <c r="H13">
        <v>0</v>
      </c>
      <c r="I13" s="8">
        <f t="shared" si="1"/>
        <v>8.1108060893431144E-4</v>
      </c>
      <c r="J13" s="8">
        <f t="shared" si="2"/>
        <v>8.1075186080602853E-4</v>
      </c>
    </row>
    <row r="14" spans="1:11" x14ac:dyDescent="0.25">
      <c r="A14" t="str">
        <f t="shared" si="0"/>
        <v>12017</v>
      </c>
      <c r="B14" s="1">
        <v>42753</v>
      </c>
      <c r="C14" s="7">
        <f ca="1">IFERROR(__xludf.DUMMYFUNCTION("""COMPUTED_VALUE"""),42753.6458333333)</f>
        <v>42753.645833333299</v>
      </c>
      <c r="D14">
        <v>10426.950000000001</v>
      </c>
      <c r="E14">
        <v>10502.9</v>
      </c>
      <c r="F14">
        <v>10413.799999999999</v>
      </c>
      <c r="G14">
        <v>10452.450000000001</v>
      </c>
      <c r="H14">
        <v>0</v>
      </c>
      <c r="I14" s="8">
        <f t="shared" si="1"/>
        <v>2.4744285077182848E-3</v>
      </c>
      <c r="J14" s="8">
        <f t="shared" si="2"/>
        <v>2.4713721502854216E-3</v>
      </c>
    </row>
    <row r="15" spans="1:11" x14ac:dyDescent="0.25">
      <c r="A15" t="str">
        <f t="shared" si="0"/>
        <v>12017</v>
      </c>
      <c r="B15" s="1">
        <v>42754</v>
      </c>
      <c r="C15" s="7">
        <f ca="1">IFERROR(__xludf.DUMMYFUNCTION("""COMPUTED_VALUE"""),42754.6458333333)</f>
        <v>42754.645833333299</v>
      </c>
      <c r="D15">
        <v>10452.950000000001</v>
      </c>
      <c r="E15">
        <v>10497.25</v>
      </c>
      <c r="F15">
        <v>10368.6</v>
      </c>
      <c r="G15">
        <v>10389.75</v>
      </c>
      <c r="H15">
        <v>0</v>
      </c>
      <c r="I15" s="8">
        <f t="shared" si="1"/>
        <v>-5.9985936311582888E-3</v>
      </c>
      <c r="J15" s="8">
        <f t="shared" si="2"/>
        <v>-6.0166574685742774E-3</v>
      </c>
    </row>
    <row r="16" spans="1:11" x14ac:dyDescent="0.25">
      <c r="A16" t="str">
        <f t="shared" si="0"/>
        <v>12017</v>
      </c>
      <c r="B16" s="1">
        <v>42755</v>
      </c>
      <c r="C16" s="7">
        <f ca="1">IFERROR(__xludf.DUMMYFUNCTION("""COMPUTED_VALUE"""),42755.6458333333)</f>
        <v>42755.645833333299</v>
      </c>
      <c r="D16">
        <v>10385.75</v>
      </c>
      <c r="E16">
        <v>10434.049999999999</v>
      </c>
      <c r="F16">
        <v>10281.799999999999</v>
      </c>
      <c r="G16">
        <v>10307.85</v>
      </c>
      <c r="H16">
        <v>0</v>
      </c>
      <c r="I16" s="8">
        <f t="shared" si="1"/>
        <v>-7.8827690752905077E-3</v>
      </c>
      <c r="J16" s="8">
        <f t="shared" si="2"/>
        <v>-7.9140023441446623E-3</v>
      </c>
    </row>
    <row r="17" spans="1:10" x14ac:dyDescent="0.25">
      <c r="A17" t="str">
        <f t="shared" si="0"/>
        <v>12017</v>
      </c>
      <c r="B17" s="1">
        <v>42758</v>
      </c>
      <c r="C17" s="7">
        <f ca="1">IFERROR(__xludf.DUMMYFUNCTION("""COMPUTED_VALUE"""),42758.6458333333)</f>
        <v>42758.645833333299</v>
      </c>
      <c r="D17">
        <v>10268.9</v>
      </c>
      <c r="E17">
        <v>10307.65</v>
      </c>
      <c r="F17">
        <v>10195.450000000001</v>
      </c>
      <c r="G17">
        <v>10214.15</v>
      </c>
      <c r="H17">
        <v>0</v>
      </c>
      <c r="I17" s="8">
        <f t="shared" si="1"/>
        <v>-9.0901594415907505E-3</v>
      </c>
      <c r="J17" s="8">
        <f t="shared" si="2"/>
        <v>-9.1317270367236719E-3</v>
      </c>
    </row>
    <row r="18" spans="1:10" x14ac:dyDescent="0.25">
      <c r="A18" t="str">
        <f t="shared" si="0"/>
        <v>12017</v>
      </c>
      <c r="B18" s="1">
        <v>42759</v>
      </c>
      <c r="C18" s="7">
        <f ca="1">IFERROR(__xludf.DUMMYFUNCTION("""COMPUTED_VALUE"""),42759.6458333333)</f>
        <v>42759.645833333299</v>
      </c>
      <c r="D18">
        <v>10229.049999999999</v>
      </c>
      <c r="E18">
        <v>10359.9</v>
      </c>
      <c r="F18">
        <v>10227.950000000001</v>
      </c>
      <c r="G18">
        <v>10339.450000000001</v>
      </c>
      <c r="H18">
        <v>0</v>
      </c>
      <c r="I18" s="8">
        <f t="shared" si="1"/>
        <v>1.2267295859175853E-2</v>
      </c>
      <c r="J18" s="8">
        <f t="shared" si="2"/>
        <v>1.2192662333111238E-2</v>
      </c>
    </row>
    <row r="19" spans="1:10" x14ac:dyDescent="0.25">
      <c r="A19" t="str">
        <f t="shared" si="0"/>
        <v>12017</v>
      </c>
      <c r="B19" s="1">
        <v>42760</v>
      </c>
      <c r="C19" s="7">
        <f ca="1">IFERROR(__xludf.DUMMYFUNCTION("""COMPUTED_VALUE"""),42760.6458333333)</f>
        <v>42760.645833333299</v>
      </c>
      <c r="D19">
        <v>10373</v>
      </c>
      <c r="E19">
        <v>10383.25</v>
      </c>
      <c r="F19">
        <v>10315.799999999999</v>
      </c>
      <c r="G19">
        <v>10332.6</v>
      </c>
      <c r="H19">
        <v>0</v>
      </c>
      <c r="I19" s="8">
        <f t="shared" si="1"/>
        <v>-6.6251106200043708E-4</v>
      </c>
      <c r="J19" s="8">
        <f t="shared" si="2"/>
        <v>-6.627306194322474E-4</v>
      </c>
    </row>
    <row r="20" spans="1:10" x14ac:dyDescent="0.25">
      <c r="A20" t="str">
        <f t="shared" si="0"/>
        <v>12017</v>
      </c>
      <c r="B20" s="1">
        <v>42762</v>
      </c>
      <c r="C20" s="7">
        <f ca="1">IFERROR(__xludf.DUMMYFUNCTION("""COMPUTED_VALUE"""),42762.6458333333)</f>
        <v>42762.645833333299</v>
      </c>
      <c r="D20">
        <v>10331.4</v>
      </c>
      <c r="E20">
        <v>10402.75</v>
      </c>
      <c r="F20">
        <v>10327.35</v>
      </c>
      <c r="G20">
        <v>10367.200000000001</v>
      </c>
      <c r="H20">
        <v>0</v>
      </c>
      <c r="I20" s="8">
        <f t="shared" si="1"/>
        <v>3.3486247411107506E-3</v>
      </c>
      <c r="J20" s="8">
        <f t="shared" si="2"/>
        <v>3.3430305822960403E-3</v>
      </c>
    </row>
    <row r="21" spans="1:10" x14ac:dyDescent="0.25">
      <c r="A21" t="str">
        <f t="shared" si="0"/>
        <v>12017</v>
      </c>
      <c r="B21" s="1">
        <v>42765</v>
      </c>
      <c r="C21" s="7">
        <f ca="1">IFERROR(__xludf.DUMMYFUNCTION("""COMPUTED_VALUE"""),42765.6458333333)</f>
        <v>42765.645833333299</v>
      </c>
      <c r="D21">
        <v>10367.049999999999</v>
      </c>
      <c r="E21">
        <v>10469.450000000001</v>
      </c>
      <c r="F21">
        <v>10356.65</v>
      </c>
      <c r="G21">
        <v>10412.15</v>
      </c>
      <c r="H21">
        <v>0</v>
      </c>
      <c r="I21" s="8">
        <f t="shared" si="1"/>
        <v>4.3357897985953908E-3</v>
      </c>
      <c r="J21" s="8">
        <f t="shared" si="2"/>
        <v>4.3264173435705582E-3</v>
      </c>
    </row>
    <row r="22" spans="1:10" x14ac:dyDescent="0.25">
      <c r="A22" t="str">
        <f t="shared" si="0"/>
        <v>12017</v>
      </c>
      <c r="B22" s="1">
        <v>42766</v>
      </c>
      <c r="C22" s="7">
        <f ca="1">IFERROR(__xludf.DUMMYFUNCTION("""COMPUTED_VALUE"""),42766.6458333333)</f>
        <v>42766.645833333299</v>
      </c>
      <c r="D22">
        <v>10439.200000000001</v>
      </c>
      <c r="E22">
        <v>10446.200000000001</v>
      </c>
      <c r="F22">
        <v>10218.049999999999</v>
      </c>
      <c r="G22">
        <v>10236.35</v>
      </c>
      <c r="H22">
        <v>0</v>
      </c>
      <c r="I22" s="8">
        <f t="shared" si="1"/>
        <v>-1.6884120954845927E-2</v>
      </c>
      <c r="J22" s="8">
        <f t="shared" si="2"/>
        <v>-1.7028282725506876E-2</v>
      </c>
    </row>
    <row r="23" spans="1:10" x14ac:dyDescent="0.25">
      <c r="A23" t="str">
        <f t="shared" si="0"/>
        <v>22017</v>
      </c>
      <c r="B23" s="1">
        <v>42767</v>
      </c>
      <c r="C23" s="7">
        <f ca="1">IFERROR(__xludf.DUMMYFUNCTION("""COMPUTED_VALUE"""),42767.6458333333)</f>
        <v>42767.645833333299</v>
      </c>
      <c r="D23">
        <v>10222.85</v>
      </c>
      <c r="E23">
        <v>10274.549999999999</v>
      </c>
      <c r="F23">
        <v>10065.65</v>
      </c>
      <c r="G23">
        <v>10189.5</v>
      </c>
      <c r="H23">
        <v>0</v>
      </c>
      <c r="I23" s="8">
        <f t="shared" si="1"/>
        <v>-4.5768267009237418E-3</v>
      </c>
      <c r="J23" s="8">
        <f t="shared" si="2"/>
        <v>-4.587332439802254E-3</v>
      </c>
    </row>
    <row r="24" spans="1:10" x14ac:dyDescent="0.25">
      <c r="A24" t="str">
        <f t="shared" si="0"/>
        <v>22017</v>
      </c>
      <c r="B24" s="1">
        <v>42768</v>
      </c>
      <c r="C24" s="7">
        <f ca="1">IFERROR(__xludf.DUMMYFUNCTION("""COMPUTED_VALUE"""),42768.6458333333)</f>
        <v>42768.645833333299</v>
      </c>
      <c r="D24">
        <v>10209.35</v>
      </c>
      <c r="E24">
        <v>10434.5</v>
      </c>
      <c r="F24">
        <v>10128.299999999999</v>
      </c>
      <c r="G24">
        <v>10402</v>
      </c>
      <c r="H24">
        <v>0</v>
      </c>
      <c r="I24" s="8">
        <f t="shared" si="1"/>
        <v>2.0854801511359655E-2</v>
      </c>
      <c r="J24" s="8">
        <f t="shared" si="2"/>
        <v>2.0640317033551393E-2</v>
      </c>
    </row>
    <row r="25" spans="1:10" x14ac:dyDescent="0.25">
      <c r="A25" t="str">
        <f t="shared" si="0"/>
        <v>22017</v>
      </c>
      <c r="B25" s="1">
        <v>42769</v>
      </c>
      <c r="C25" s="7">
        <f ca="1">IFERROR(__xludf.DUMMYFUNCTION("""COMPUTED_VALUE"""),42769.6458333333)</f>
        <v>42769.645833333299</v>
      </c>
      <c r="D25">
        <v>10473.950000000001</v>
      </c>
      <c r="E25">
        <v>10576.15</v>
      </c>
      <c r="F25">
        <v>10417.85</v>
      </c>
      <c r="G25">
        <v>10555</v>
      </c>
      <c r="H25">
        <v>0</v>
      </c>
      <c r="I25" s="8">
        <f t="shared" si="1"/>
        <v>1.4708709863487712E-2</v>
      </c>
      <c r="J25" s="8">
        <f t="shared" si="2"/>
        <v>1.4601585949403128E-2</v>
      </c>
    </row>
    <row r="26" spans="1:10" x14ac:dyDescent="0.25">
      <c r="A26" t="str">
        <f t="shared" si="0"/>
        <v>22017</v>
      </c>
      <c r="B26" s="1">
        <v>42772</v>
      </c>
      <c r="C26" s="7">
        <f ca="1">IFERROR(__xludf.DUMMYFUNCTION("""COMPUTED_VALUE"""),42772.6458333333)</f>
        <v>42772.645833333299</v>
      </c>
      <c r="D26">
        <v>10630.05</v>
      </c>
      <c r="E26">
        <v>10774.65</v>
      </c>
      <c r="F26">
        <v>10510.8</v>
      </c>
      <c r="G26">
        <v>10710.8</v>
      </c>
      <c r="H26">
        <v>0</v>
      </c>
      <c r="I26" s="8">
        <f t="shared" si="1"/>
        <v>1.476077688299382E-2</v>
      </c>
      <c r="J26" s="8">
        <f t="shared" si="2"/>
        <v>1.4652896915010205E-2</v>
      </c>
    </row>
    <row r="27" spans="1:10" x14ac:dyDescent="0.25">
      <c r="A27" t="str">
        <f t="shared" si="0"/>
        <v>22017</v>
      </c>
      <c r="B27" s="1">
        <v>42773</v>
      </c>
      <c r="C27" s="7">
        <f ca="1">IFERROR(__xludf.DUMMYFUNCTION("""COMPUTED_VALUE"""),42773.6458333333)</f>
        <v>42773.645833333299</v>
      </c>
      <c r="D27">
        <v>10722.4</v>
      </c>
      <c r="E27">
        <v>10806.8</v>
      </c>
      <c r="F27">
        <v>10570.9</v>
      </c>
      <c r="G27">
        <v>10604</v>
      </c>
      <c r="H27">
        <v>0</v>
      </c>
      <c r="I27" s="8">
        <f t="shared" si="1"/>
        <v>-9.9712439780408335E-3</v>
      </c>
      <c r="J27" s="8">
        <f t="shared" si="2"/>
        <v>-1.002128978851503E-2</v>
      </c>
    </row>
    <row r="28" spans="1:10" x14ac:dyDescent="0.25">
      <c r="A28" t="str">
        <f t="shared" si="0"/>
        <v>22017</v>
      </c>
      <c r="B28" s="1">
        <v>42774</v>
      </c>
      <c r="C28" s="7">
        <f ca="1">IFERROR(__xludf.DUMMYFUNCTION("""COMPUTED_VALUE"""),42774.6458333333)</f>
        <v>42774.645833333299</v>
      </c>
      <c r="D28">
        <v>10623.4</v>
      </c>
      <c r="E28">
        <v>10663.6</v>
      </c>
      <c r="F28">
        <v>10523.55</v>
      </c>
      <c r="G28">
        <v>10583.4</v>
      </c>
      <c r="H28">
        <v>0</v>
      </c>
      <c r="I28" s="8">
        <f t="shared" si="1"/>
        <v>-1.9426631459826815E-3</v>
      </c>
      <c r="J28" s="8">
        <f t="shared" si="2"/>
        <v>-1.9445525634297083E-3</v>
      </c>
    </row>
    <row r="29" spans="1:10" x14ac:dyDescent="0.25">
      <c r="A29" t="str">
        <f t="shared" si="0"/>
        <v>22017</v>
      </c>
      <c r="B29" s="1">
        <v>42775</v>
      </c>
      <c r="C29" s="7">
        <f ca="1">IFERROR(__xludf.DUMMYFUNCTION("""COMPUTED_VALUE"""),42775.6458333333)</f>
        <v>42775.645833333299</v>
      </c>
      <c r="D29">
        <v>10638.75</v>
      </c>
      <c r="E29">
        <v>10659</v>
      </c>
      <c r="F29">
        <v>10521.7</v>
      </c>
      <c r="G29">
        <v>10542.6</v>
      </c>
      <c r="H29">
        <v>0</v>
      </c>
      <c r="I29" s="8">
        <f t="shared" si="1"/>
        <v>-3.8550938261805445E-3</v>
      </c>
      <c r="J29" s="8">
        <f t="shared" si="2"/>
        <v>-3.862543853585121E-3</v>
      </c>
    </row>
    <row r="30" spans="1:10" x14ac:dyDescent="0.25">
      <c r="A30" t="str">
        <f t="shared" si="0"/>
        <v>22017</v>
      </c>
      <c r="B30" s="1">
        <v>42776</v>
      </c>
      <c r="C30" s="7">
        <f ca="1">IFERROR(__xludf.DUMMYFUNCTION("""COMPUTED_VALUE"""),42776.6458333333)</f>
        <v>42776.645833333299</v>
      </c>
      <c r="D30">
        <v>10572.95</v>
      </c>
      <c r="E30">
        <v>10595.6</v>
      </c>
      <c r="F30">
        <v>10417.6</v>
      </c>
      <c r="G30">
        <v>10438.1</v>
      </c>
      <c r="H30">
        <v>0</v>
      </c>
      <c r="I30" s="8">
        <f t="shared" si="1"/>
        <v>-9.9121658793845935E-3</v>
      </c>
      <c r="J30" s="8">
        <f t="shared" si="2"/>
        <v>-9.9616184550512608E-3</v>
      </c>
    </row>
    <row r="31" spans="1:10" x14ac:dyDescent="0.25">
      <c r="A31" t="str">
        <f t="shared" si="0"/>
        <v>22017</v>
      </c>
      <c r="B31" s="1">
        <v>42779</v>
      </c>
      <c r="C31" s="7">
        <f ca="1">IFERROR(__xludf.DUMMYFUNCTION("""COMPUTED_VALUE"""),42779.6458333333)</f>
        <v>42779.645833333299</v>
      </c>
      <c r="D31">
        <v>10465.9</v>
      </c>
      <c r="E31">
        <v>10485.450000000001</v>
      </c>
      <c r="F31">
        <v>10341.65</v>
      </c>
      <c r="G31">
        <v>10403.6</v>
      </c>
      <c r="H31">
        <v>0</v>
      </c>
      <c r="I31" s="8">
        <f t="shared" si="1"/>
        <v>-3.3051992220806126E-3</v>
      </c>
      <c r="J31" s="8">
        <f t="shared" si="2"/>
        <v>-3.3106734586526329E-3</v>
      </c>
    </row>
    <row r="32" spans="1:10" x14ac:dyDescent="0.25">
      <c r="A32" t="str">
        <f t="shared" si="0"/>
        <v>22017</v>
      </c>
      <c r="B32" s="1">
        <v>42780</v>
      </c>
      <c r="C32" s="7">
        <f ca="1">IFERROR(__xludf.DUMMYFUNCTION("""COMPUTED_VALUE"""),42780.6458333333)</f>
        <v>42780.645833333299</v>
      </c>
      <c r="D32">
        <v>10435.549999999999</v>
      </c>
      <c r="E32">
        <v>10440.1</v>
      </c>
      <c r="F32">
        <v>10269.1</v>
      </c>
      <c r="G32">
        <v>10322.25</v>
      </c>
      <c r="H32">
        <v>0</v>
      </c>
      <c r="I32" s="8">
        <f t="shared" si="1"/>
        <v>-7.819408666230987E-3</v>
      </c>
      <c r="J32" s="8">
        <f t="shared" si="2"/>
        <v>-7.8501405504458315E-3</v>
      </c>
    </row>
    <row r="33" spans="1:10" x14ac:dyDescent="0.25">
      <c r="A33" t="str">
        <f t="shared" si="0"/>
        <v>22017</v>
      </c>
      <c r="B33" s="1">
        <v>42781</v>
      </c>
      <c r="C33" s="7">
        <f ca="1">IFERROR(__xludf.DUMMYFUNCTION("""COMPUTED_VALUE"""),42781.6458333333)</f>
        <v>42781.645833333299</v>
      </c>
      <c r="D33">
        <v>10334.200000000001</v>
      </c>
      <c r="E33">
        <v>10341.200000000001</v>
      </c>
      <c r="F33">
        <v>10124.75</v>
      </c>
      <c r="G33">
        <v>10137.65</v>
      </c>
      <c r="H33">
        <v>0</v>
      </c>
      <c r="I33" s="8">
        <f t="shared" si="1"/>
        <v>-1.7883697837196344E-2</v>
      </c>
      <c r="J33" s="8">
        <f t="shared" si="2"/>
        <v>-1.80455436660788E-2</v>
      </c>
    </row>
    <row r="34" spans="1:10" x14ac:dyDescent="0.25">
      <c r="A34" t="str">
        <f t="shared" si="0"/>
        <v>22017</v>
      </c>
      <c r="B34" s="1">
        <v>42782</v>
      </c>
      <c r="C34" s="7">
        <f ca="1">IFERROR(__xludf.DUMMYFUNCTION("""COMPUTED_VALUE"""),42782.6458333333)</f>
        <v>42782.645833333299</v>
      </c>
      <c r="D34">
        <v>10157.5</v>
      </c>
      <c r="E34">
        <v>10436.85</v>
      </c>
      <c r="F34">
        <v>10105.5</v>
      </c>
      <c r="G34">
        <v>10407.75</v>
      </c>
      <c r="H34">
        <v>0</v>
      </c>
      <c r="I34" s="8">
        <f t="shared" si="1"/>
        <v>2.6643255586846992E-2</v>
      </c>
      <c r="J34" s="8">
        <f t="shared" si="2"/>
        <v>2.6294505057556698E-2</v>
      </c>
    </row>
    <row r="35" spans="1:10" x14ac:dyDescent="0.25">
      <c r="A35" t="str">
        <f t="shared" si="0"/>
        <v>22017</v>
      </c>
      <c r="B35" s="1">
        <v>42783</v>
      </c>
      <c r="C35" s="7">
        <f ca="1">IFERROR(__xludf.DUMMYFUNCTION("""COMPUTED_VALUE"""),42783.6458333333)</f>
        <v>42783.645833333299</v>
      </c>
      <c r="D35">
        <v>10485.549999999999</v>
      </c>
      <c r="E35">
        <v>10646.1</v>
      </c>
      <c r="F35">
        <v>10431.799999999999</v>
      </c>
      <c r="G35">
        <v>10624.4</v>
      </c>
      <c r="H35">
        <v>0</v>
      </c>
      <c r="I35" s="8">
        <f t="shared" si="1"/>
        <v>2.0816218683192833E-2</v>
      </c>
      <c r="J35" s="8">
        <f t="shared" si="2"/>
        <v>2.0602521690629063E-2</v>
      </c>
    </row>
    <row r="36" spans="1:10" x14ac:dyDescent="0.25">
      <c r="A36" t="str">
        <f t="shared" si="0"/>
        <v>22017</v>
      </c>
      <c r="B36" s="1">
        <v>42786</v>
      </c>
      <c r="C36" s="7">
        <f ca="1">IFERROR(__xludf.DUMMYFUNCTION("""COMPUTED_VALUE"""),42786.6458333333)</f>
        <v>42786.645833333299</v>
      </c>
      <c r="D36">
        <v>10646.95</v>
      </c>
      <c r="E36">
        <v>10685.1</v>
      </c>
      <c r="F36">
        <v>10574.2</v>
      </c>
      <c r="G36">
        <v>10641.6</v>
      </c>
      <c r="H36">
        <v>0</v>
      </c>
      <c r="I36" s="8">
        <f t="shared" si="1"/>
        <v>1.6189149504914901E-3</v>
      </c>
      <c r="J36" s="8">
        <f t="shared" si="2"/>
        <v>1.6176059202982914E-3</v>
      </c>
    </row>
    <row r="37" spans="1:10" x14ac:dyDescent="0.25">
      <c r="A37" t="str">
        <f t="shared" si="0"/>
        <v>22017</v>
      </c>
      <c r="B37" s="1">
        <v>42787</v>
      </c>
      <c r="C37" s="7">
        <f ca="1">IFERROR(__xludf.DUMMYFUNCTION("""COMPUTED_VALUE"""),42787.6458333333)</f>
        <v>42787.645833333299</v>
      </c>
      <c r="D37">
        <v>10645.85</v>
      </c>
      <c r="E37">
        <v>10684.85</v>
      </c>
      <c r="F37">
        <v>10607.2</v>
      </c>
      <c r="G37">
        <v>10644.6</v>
      </c>
      <c r="H37">
        <v>0</v>
      </c>
      <c r="I37" s="8">
        <f t="shared" si="1"/>
        <v>2.8191249436182453E-4</v>
      </c>
      <c r="J37" s="8">
        <f t="shared" si="2"/>
        <v>2.8187276450130651E-4</v>
      </c>
    </row>
    <row r="38" spans="1:10" x14ac:dyDescent="0.25">
      <c r="A38" t="str">
        <f t="shared" si="0"/>
        <v>22017</v>
      </c>
      <c r="B38" s="1">
        <v>42788</v>
      </c>
      <c r="C38" s="7">
        <f ca="1">IFERROR(__xludf.DUMMYFUNCTION("""COMPUTED_VALUE"""),42788.6458333333)</f>
        <v>42788.645833333299</v>
      </c>
      <c r="D38">
        <v>10657.85</v>
      </c>
      <c r="E38">
        <v>10671.05</v>
      </c>
      <c r="F38">
        <v>10529.95</v>
      </c>
      <c r="G38">
        <v>10582.3</v>
      </c>
      <c r="H38">
        <v>0</v>
      </c>
      <c r="I38" s="8">
        <f t="shared" si="1"/>
        <v>-5.8527328410650226E-3</v>
      </c>
      <c r="J38" s="8">
        <f t="shared" si="2"/>
        <v>-5.8699272040854088E-3</v>
      </c>
    </row>
    <row r="39" spans="1:10" x14ac:dyDescent="0.25">
      <c r="A39" t="str">
        <f t="shared" si="0"/>
        <v>22017</v>
      </c>
      <c r="B39" s="1">
        <v>42789</v>
      </c>
      <c r="C39" s="7">
        <f ca="1">IFERROR(__xludf.DUMMYFUNCTION("""COMPUTED_VALUE"""),42789.6458333333)</f>
        <v>42789.645833333299</v>
      </c>
      <c r="D39">
        <v>10605.05</v>
      </c>
      <c r="E39">
        <v>10644.75</v>
      </c>
      <c r="F39">
        <v>10535.45</v>
      </c>
      <c r="G39">
        <v>10561.6</v>
      </c>
      <c r="H39">
        <v>0</v>
      </c>
      <c r="I39" s="8">
        <f t="shared" si="1"/>
        <v>-1.9560965007605624E-3</v>
      </c>
      <c r="J39" s="8">
        <f t="shared" si="2"/>
        <v>-1.9580121560661082E-3</v>
      </c>
    </row>
    <row r="40" spans="1:10" x14ac:dyDescent="0.25">
      <c r="A40" t="str">
        <f t="shared" si="0"/>
        <v>22017</v>
      </c>
      <c r="B40" s="1">
        <v>42793</v>
      </c>
      <c r="C40" s="7">
        <f ca="1">IFERROR(__xludf.DUMMYFUNCTION("""COMPUTED_VALUE"""),42793.6458333333)</f>
        <v>42793.645833333299</v>
      </c>
      <c r="D40">
        <v>10576.65</v>
      </c>
      <c r="E40">
        <v>10646.65</v>
      </c>
      <c r="F40">
        <v>10534.9</v>
      </c>
      <c r="G40">
        <v>10571.7</v>
      </c>
      <c r="H40">
        <v>0</v>
      </c>
      <c r="I40" s="8">
        <f t="shared" si="1"/>
        <v>9.5629450083323242E-4</v>
      </c>
      <c r="J40" s="8">
        <f t="shared" si="2"/>
        <v>9.5583754254832958E-4</v>
      </c>
    </row>
    <row r="41" spans="1:10" x14ac:dyDescent="0.25">
      <c r="A41" t="str">
        <f t="shared" si="0"/>
        <v>22017</v>
      </c>
      <c r="B41" s="1">
        <v>42794</v>
      </c>
      <c r="C41" s="7">
        <f ca="1">IFERROR(__xludf.DUMMYFUNCTION("""COMPUTED_VALUE"""),42794.6458333333)</f>
        <v>42794.645833333299</v>
      </c>
      <c r="D41">
        <v>10595.35</v>
      </c>
      <c r="E41">
        <v>10641.8</v>
      </c>
      <c r="F41">
        <v>10573.05</v>
      </c>
      <c r="G41">
        <v>10585.15</v>
      </c>
      <c r="H41">
        <v>0</v>
      </c>
      <c r="I41" s="8">
        <f t="shared" si="1"/>
        <v>1.2722646310432406E-3</v>
      </c>
      <c r="J41" s="8">
        <f t="shared" si="2"/>
        <v>1.2714559881966659E-3</v>
      </c>
    </row>
    <row r="42" spans="1:10" x14ac:dyDescent="0.25">
      <c r="A42" t="str">
        <f t="shared" si="0"/>
        <v>32017</v>
      </c>
      <c r="B42" s="1">
        <v>42795</v>
      </c>
      <c r="C42" s="7">
        <f ca="1">IFERROR(__xludf.DUMMYFUNCTION("""COMPUTED_VALUE"""),42795.6458333333)</f>
        <v>42795.645833333299</v>
      </c>
      <c r="D42">
        <v>10619.85</v>
      </c>
      <c r="E42">
        <v>10759</v>
      </c>
      <c r="F42">
        <v>10609.75</v>
      </c>
      <c r="G42">
        <v>10700.8</v>
      </c>
      <c r="H42">
        <v>0</v>
      </c>
      <c r="I42" s="8">
        <f t="shared" si="1"/>
        <v>1.09256836228111E-2</v>
      </c>
      <c r="J42" s="8">
        <f t="shared" si="2"/>
        <v>1.0866429545021664E-2</v>
      </c>
    </row>
    <row r="43" spans="1:10" x14ac:dyDescent="0.25">
      <c r="A43" t="str">
        <f t="shared" si="0"/>
        <v>32017</v>
      </c>
      <c r="B43" s="1">
        <v>42796</v>
      </c>
      <c r="C43" s="7">
        <f ca="1">IFERROR(__xludf.DUMMYFUNCTION("""COMPUTED_VALUE"""),42796.6458333333)</f>
        <v>42796.645833333299</v>
      </c>
      <c r="D43">
        <v>10743.75</v>
      </c>
      <c r="E43">
        <v>10754.8</v>
      </c>
      <c r="F43">
        <v>10512.55</v>
      </c>
      <c r="G43">
        <v>10541.1</v>
      </c>
      <c r="H43">
        <v>0</v>
      </c>
      <c r="I43" s="8">
        <f t="shared" si="1"/>
        <v>-1.4924117822966432E-2</v>
      </c>
      <c r="J43" s="8">
        <f t="shared" si="2"/>
        <v>-1.5036603034121427E-2</v>
      </c>
    </row>
    <row r="44" spans="1:10" x14ac:dyDescent="0.25">
      <c r="A44" t="str">
        <f t="shared" si="0"/>
        <v>32017</v>
      </c>
      <c r="B44" s="1">
        <v>42797</v>
      </c>
      <c r="C44" s="7">
        <f ca="1">IFERROR(__xludf.DUMMYFUNCTION("""COMPUTED_VALUE"""),42797.6458333333)</f>
        <v>42797.645833333299</v>
      </c>
      <c r="D44">
        <v>10530.15</v>
      </c>
      <c r="E44">
        <v>10634.95</v>
      </c>
      <c r="F44">
        <v>10513</v>
      </c>
      <c r="G44">
        <v>10614.05</v>
      </c>
      <c r="H44">
        <v>0</v>
      </c>
      <c r="I44" s="8">
        <f t="shared" si="1"/>
        <v>6.9205301154526833E-3</v>
      </c>
      <c r="J44" s="8">
        <f t="shared" si="2"/>
        <v>6.8966931599673334E-3</v>
      </c>
    </row>
    <row r="45" spans="1:10" x14ac:dyDescent="0.25">
      <c r="A45" t="str">
        <f t="shared" si="0"/>
        <v>32017</v>
      </c>
      <c r="B45" s="1">
        <v>42800</v>
      </c>
      <c r="C45" s="7">
        <f ca="1">IFERROR(__xludf.DUMMYFUNCTION("""COMPUTED_VALUE"""),42800.6458333333)</f>
        <v>42800.645833333299</v>
      </c>
      <c r="D45">
        <v>10623.65</v>
      </c>
      <c r="E45">
        <v>10633.65</v>
      </c>
      <c r="F45">
        <v>10568.25</v>
      </c>
      <c r="G45">
        <v>10612.85</v>
      </c>
      <c r="H45">
        <v>0</v>
      </c>
      <c r="I45" s="8">
        <f t="shared" si="1"/>
        <v>-1.1305769239822183E-4</v>
      </c>
      <c r="J45" s="8">
        <f t="shared" si="2"/>
        <v>-1.130640839008706E-4</v>
      </c>
    </row>
    <row r="46" spans="1:10" x14ac:dyDescent="0.25">
      <c r="A46" t="str">
        <f t="shared" si="0"/>
        <v>32017</v>
      </c>
      <c r="B46" s="1">
        <v>42801</v>
      </c>
      <c r="C46" s="7">
        <f ca="1">IFERROR(__xludf.DUMMYFUNCTION("""COMPUTED_VALUE"""),42801.6458333333)</f>
        <v>42801.645833333299</v>
      </c>
      <c r="D46">
        <v>10632.75</v>
      </c>
      <c r="E46">
        <v>10634.5</v>
      </c>
      <c r="F46">
        <v>10530.2</v>
      </c>
      <c r="G46">
        <v>10560.9</v>
      </c>
      <c r="H46">
        <v>0</v>
      </c>
      <c r="I46" s="8">
        <f t="shared" si="1"/>
        <v>-4.895009351870705E-3</v>
      </c>
      <c r="J46" s="8">
        <f t="shared" si="2"/>
        <v>-4.9070291508761868E-3</v>
      </c>
    </row>
    <row r="47" spans="1:10" x14ac:dyDescent="0.25">
      <c r="A47" t="str">
        <f t="shared" si="0"/>
        <v>32017</v>
      </c>
      <c r="B47" s="1">
        <v>42802</v>
      </c>
      <c r="C47" s="7">
        <f ca="1">IFERROR(__xludf.DUMMYFUNCTION("""COMPUTED_VALUE"""),42802.6458333333)</f>
        <v>42802.645833333299</v>
      </c>
      <c r="D47">
        <v>10558.75</v>
      </c>
      <c r="E47">
        <v>10656.5</v>
      </c>
      <c r="F47">
        <v>10520.95</v>
      </c>
      <c r="G47">
        <v>10584.35</v>
      </c>
      <c r="H47">
        <v>0</v>
      </c>
      <c r="I47" s="8">
        <f t="shared" si="1"/>
        <v>2.220454696095997E-3</v>
      </c>
      <c r="J47" s="8">
        <f t="shared" si="2"/>
        <v>2.2179931297581904E-3</v>
      </c>
    </row>
    <row r="48" spans="1:10" x14ac:dyDescent="0.25">
      <c r="A48" t="str">
        <f t="shared" si="0"/>
        <v>32017</v>
      </c>
      <c r="B48" s="1">
        <v>42803</v>
      </c>
      <c r="C48" s="7">
        <f ca="1">IFERROR(__xludf.DUMMYFUNCTION("""COMPUTED_VALUE"""),42803.6458333333)</f>
        <v>42803.645833333299</v>
      </c>
      <c r="D48">
        <v>10538.3</v>
      </c>
      <c r="E48">
        <v>10567.3</v>
      </c>
      <c r="F48">
        <v>10481.200000000001</v>
      </c>
      <c r="G48">
        <v>10499.05</v>
      </c>
      <c r="H48">
        <v>0</v>
      </c>
      <c r="I48" s="8">
        <f t="shared" si="1"/>
        <v>-8.0590683414665243E-3</v>
      </c>
      <c r="J48" s="8">
        <f t="shared" si="2"/>
        <v>-8.0917181691792239E-3</v>
      </c>
    </row>
    <row r="49" spans="1:11" x14ac:dyDescent="0.25">
      <c r="A49" t="str">
        <f t="shared" si="0"/>
        <v>32017</v>
      </c>
      <c r="B49" s="1">
        <v>42804</v>
      </c>
      <c r="C49" s="7">
        <f ca="1">IFERROR(__xludf.DUMMYFUNCTION("""COMPUTED_VALUE"""),42804.6458333333)</f>
        <v>42804.645833333299</v>
      </c>
      <c r="D49">
        <v>10490.45</v>
      </c>
      <c r="E49">
        <v>10549.4</v>
      </c>
      <c r="F49">
        <v>10444.35</v>
      </c>
      <c r="G49">
        <v>10468.35</v>
      </c>
      <c r="H49">
        <v>0</v>
      </c>
      <c r="I49" s="8">
        <f t="shared" si="1"/>
        <v>-2.92407408289308E-3</v>
      </c>
      <c r="J49" s="8">
        <f t="shared" si="2"/>
        <v>-2.9283575396486638E-3</v>
      </c>
    </row>
    <row r="50" spans="1:11" x14ac:dyDescent="0.25">
      <c r="A50" t="str">
        <f t="shared" si="0"/>
        <v>32017</v>
      </c>
      <c r="B50" s="1">
        <v>42808</v>
      </c>
      <c r="C50" s="7">
        <f ca="1">IFERROR(__xludf.DUMMYFUNCTION("""COMPUTED_VALUE"""),42808.6458333333)</f>
        <v>42808.645833333299</v>
      </c>
      <c r="D50">
        <v>10602.95</v>
      </c>
      <c r="E50">
        <v>10752.6</v>
      </c>
      <c r="F50">
        <v>10468.85</v>
      </c>
      <c r="G50">
        <v>10648.05</v>
      </c>
      <c r="H50">
        <v>0</v>
      </c>
      <c r="I50" s="8">
        <f t="shared" si="1"/>
        <v>1.7166029030362795E-2</v>
      </c>
      <c r="J50" s="8">
        <f t="shared" si="2"/>
        <v>1.7020357459155859E-2</v>
      </c>
    </row>
    <row r="51" spans="1:11" x14ac:dyDescent="0.25">
      <c r="A51" t="str">
        <f t="shared" si="0"/>
        <v>32017</v>
      </c>
      <c r="B51" s="1">
        <v>42809</v>
      </c>
      <c r="C51" s="7">
        <f ca="1">IFERROR(__xludf.DUMMYFUNCTION("""COMPUTED_VALUE"""),42809.6458333333)</f>
        <v>42809.645833333299</v>
      </c>
      <c r="D51">
        <v>10694.15</v>
      </c>
      <c r="E51">
        <v>10729.55</v>
      </c>
      <c r="F51">
        <v>10656.35</v>
      </c>
      <c r="G51">
        <v>10671.05</v>
      </c>
      <c r="H51">
        <v>0</v>
      </c>
      <c r="I51" s="8">
        <f t="shared" si="1"/>
        <v>2.1600199097486783E-3</v>
      </c>
      <c r="J51" s="8">
        <f t="shared" si="2"/>
        <v>2.1576904206355454E-3</v>
      </c>
    </row>
    <row r="52" spans="1:11" x14ac:dyDescent="0.25">
      <c r="A52" t="str">
        <f t="shared" si="0"/>
        <v>32017</v>
      </c>
      <c r="B52" s="1">
        <v>42810</v>
      </c>
      <c r="C52" s="7">
        <f ca="1">IFERROR(__xludf.DUMMYFUNCTION("""COMPUTED_VALUE"""),42810.6458333333)</f>
        <v>42810.645833333299</v>
      </c>
      <c r="D52">
        <v>10724.25</v>
      </c>
      <c r="E52">
        <v>10775.2</v>
      </c>
      <c r="F52">
        <v>10698.45</v>
      </c>
      <c r="G52">
        <v>10731.2</v>
      </c>
      <c r="H52">
        <v>0</v>
      </c>
      <c r="I52" s="8">
        <f t="shared" si="1"/>
        <v>5.6367461496291682E-3</v>
      </c>
      <c r="J52" s="8">
        <f t="shared" si="2"/>
        <v>5.6209191434088632E-3</v>
      </c>
    </row>
    <row r="53" spans="1:11" x14ac:dyDescent="0.25">
      <c r="A53" t="str">
        <f t="shared" si="0"/>
        <v>32017</v>
      </c>
      <c r="B53" s="1">
        <v>42811</v>
      </c>
      <c r="C53" s="7">
        <f ca="1">IFERROR(__xludf.DUMMYFUNCTION("""COMPUTED_VALUE"""),42811.6458333333)</f>
        <v>42811.645833333299</v>
      </c>
      <c r="D53">
        <v>10776.65</v>
      </c>
      <c r="E53">
        <v>10783.9</v>
      </c>
      <c r="F53">
        <v>10643.8</v>
      </c>
      <c r="G53">
        <v>10674.95</v>
      </c>
      <c r="H53">
        <v>0</v>
      </c>
      <c r="I53" s="8">
        <f t="shared" si="1"/>
        <v>-5.2417250633666201E-3</v>
      </c>
      <c r="J53" s="8">
        <f t="shared" si="2"/>
        <v>-5.2555111003660974E-3</v>
      </c>
    </row>
    <row r="54" spans="1:11" x14ac:dyDescent="0.25">
      <c r="A54" t="str">
        <f t="shared" si="0"/>
        <v>32017</v>
      </c>
      <c r="B54" s="1">
        <v>42814</v>
      </c>
      <c r="C54" s="7">
        <f ca="1">IFERROR(__xludf.DUMMYFUNCTION("""COMPUTED_VALUE"""),42814.6458333333)</f>
        <v>42814.645833333299</v>
      </c>
      <c r="D54">
        <v>10704.9</v>
      </c>
      <c r="E54">
        <v>10724.15</v>
      </c>
      <c r="F54">
        <v>10673.3</v>
      </c>
      <c r="G54">
        <v>10710.6</v>
      </c>
      <c r="H54">
        <v>0</v>
      </c>
      <c r="I54" s="8">
        <f t="shared" si="1"/>
        <v>3.3395940964593418E-3</v>
      </c>
      <c r="J54" s="8">
        <f t="shared" si="2"/>
        <v>3.334030036454693E-3</v>
      </c>
    </row>
    <row r="55" spans="1:11" x14ac:dyDescent="0.25">
      <c r="A55" t="str">
        <f t="shared" si="0"/>
        <v>32017</v>
      </c>
      <c r="B55" s="1">
        <v>42815</v>
      </c>
      <c r="C55" s="7">
        <f ca="1">IFERROR(__xludf.DUMMYFUNCTION("""COMPUTED_VALUE"""),42815.6458333333)</f>
        <v>42815.645833333299</v>
      </c>
      <c r="D55">
        <v>10669.65</v>
      </c>
      <c r="E55">
        <v>10669.65</v>
      </c>
      <c r="F55">
        <v>10425.15</v>
      </c>
      <c r="G55">
        <v>10493.75</v>
      </c>
      <c r="H55">
        <v>0</v>
      </c>
      <c r="I55" s="8">
        <f t="shared" si="1"/>
        <v>-2.0246298059865997E-2</v>
      </c>
      <c r="J55" s="8">
        <f t="shared" si="2"/>
        <v>-2.0454063455710613E-2</v>
      </c>
    </row>
    <row r="56" spans="1:11" x14ac:dyDescent="0.25">
      <c r="A56" t="str">
        <f t="shared" si="0"/>
        <v>32017</v>
      </c>
      <c r="B56" s="1">
        <v>42816</v>
      </c>
      <c r="C56" s="7">
        <f ca="1">IFERROR(__xludf.DUMMYFUNCTION("""COMPUTED_VALUE"""),42816.6458333333)</f>
        <v>42816.645833333299</v>
      </c>
      <c r="D56">
        <v>10417.75</v>
      </c>
      <c r="E56">
        <v>10525.4</v>
      </c>
      <c r="F56">
        <v>10373.299999999999</v>
      </c>
      <c r="G56">
        <v>10510.55</v>
      </c>
      <c r="H56">
        <v>0</v>
      </c>
      <c r="I56" s="8">
        <f t="shared" si="1"/>
        <v>1.6009529481832985E-3</v>
      </c>
      <c r="J56" s="8">
        <f t="shared" si="2"/>
        <v>1.599672789146278E-3</v>
      </c>
    </row>
    <row r="57" spans="1:11" x14ac:dyDescent="0.25">
      <c r="A57" t="str">
        <f t="shared" si="0"/>
        <v>32017</v>
      </c>
      <c r="B57" s="1">
        <v>42817</v>
      </c>
      <c r="C57" s="7">
        <f ca="1">IFERROR(__xludf.DUMMYFUNCTION("""COMPUTED_VALUE"""),42817.6458333333)</f>
        <v>42817.645833333299</v>
      </c>
      <c r="D57">
        <v>10541.55</v>
      </c>
      <c r="E57">
        <v>10586.05</v>
      </c>
      <c r="F57">
        <v>10499.75</v>
      </c>
      <c r="G57">
        <v>10575.2</v>
      </c>
      <c r="H57">
        <v>0</v>
      </c>
      <c r="I57" s="8">
        <f t="shared" si="1"/>
        <v>6.1509626042406396E-3</v>
      </c>
      <c r="J57" s="8">
        <f t="shared" si="2"/>
        <v>6.1321226501926795E-3</v>
      </c>
    </row>
    <row r="58" spans="1:11" x14ac:dyDescent="0.25">
      <c r="A58" t="str">
        <f t="shared" si="0"/>
        <v>32017</v>
      </c>
      <c r="B58" s="1">
        <v>42818</v>
      </c>
      <c r="C58" s="7">
        <f ca="1">IFERROR(__xludf.DUMMYFUNCTION("""COMPUTED_VALUE"""),42818.6458333333)</f>
        <v>42818.645833333299</v>
      </c>
      <c r="D58">
        <v>10581.4</v>
      </c>
      <c r="E58">
        <v>10620.2</v>
      </c>
      <c r="F58">
        <v>10516.7</v>
      </c>
      <c r="G58">
        <v>10556.35</v>
      </c>
      <c r="H58">
        <v>0</v>
      </c>
      <c r="I58" s="8">
        <f t="shared" si="1"/>
        <v>-1.7824721991074322E-3</v>
      </c>
      <c r="J58" s="8">
        <f t="shared" si="2"/>
        <v>-1.784062692966126E-3</v>
      </c>
    </row>
    <row r="59" spans="1:11" x14ac:dyDescent="0.25">
      <c r="A59" t="str">
        <f t="shared" si="0"/>
        <v>32017</v>
      </c>
      <c r="B59" s="1">
        <v>42821</v>
      </c>
      <c r="C59" s="7">
        <f ca="1">IFERROR(__xludf.DUMMYFUNCTION("""COMPUTED_VALUE"""),42821.6458333333)</f>
        <v>42821.645833333299</v>
      </c>
      <c r="D59">
        <v>10526.5</v>
      </c>
      <c r="E59">
        <v>10543.7</v>
      </c>
      <c r="F59">
        <v>10427.549999999999</v>
      </c>
      <c r="G59">
        <v>10441.9</v>
      </c>
      <c r="H59">
        <v>0</v>
      </c>
      <c r="I59" s="8">
        <f t="shared" si="1"/>
        <v>-1.0841815589668791E-2</v>
      </c>
      <c r="J59" s="8">
        <f t="shared" si="2"/>
        <v>-1.0901016357025823E-2</v>
      </c>
    </row>
    <row r="60" spans="1:11" x14ac:dyDescent="0.25">
      <c r="A60" t="str">
        <f t="shared" si="0"/>
        <v>32017</v>
      </c>
      <c r="B60" s="1">
        <v>42822</v>
      </c>
      <c r="C60" s="7">
        <f ca="1">IFERROR(__xludf.DUMMYFUNCTION("""COMPUTED_VALUE"""),42822.6458333333)</f>
        <v>42822.645833333299</v>
      </c>
      <c r="D60">
        <v>10484.1</v>
      </c>
      <c r="E60">
        <v>10525.05</v>
      </c>
      <c r="F60">
        <v>10455.299999999999</v>
      </c>
      <c r="G60">
        <v>10497.7</v>
      </c>
      <c r="H60">
        <v>0</v>
      </c>
      <c r="I60" s="8">
        <f t="shared" si="1"/>
        <v>5.3438550455378042E-3</v>
      </c>
      <c r="J60" s="8">
        <f t="shared" si="2"/>
        <v>5.3296273169354509E-3</v>
      </c>
    </row>
    <row r="61" spans="1:11" x14ac:dyDescent="0.25">
      <c r="A61" t="str">
        <f t="shared" si="0"/>
        <v>32017</v>
      </c>
      <c r="B61" s="1">
        <v>42823</v>
      </c>
      <c r="C61" s="7">
        <f ca="1">IFERROR(__xludf.DUMMYFUNCTION("""COMPUTED_VALUE"""),42823.6458333333)</f>
        <v>42823.645833333299</v>
      </c>
      <c r="D61">
        <v>10522.65</v>
      </c>
      <c r="E61">
        <v>10522.65</v>
      </c>
      <c r="F61">
        <v>10401.75</v>
      </c>
      <c r="G61">
        <v>10419.5</v>
      </c>
      <c r="H61">
        <v>0</v>
      </c>
      <c r="I61" s="8">
        <f t="shared" si="1"/>
        <v>-7.4492507882679693E-3</v>
      </c>
      <c r="J61" s="8">
        <f t="shared" si="2"/>
        <v>-7.4771350209890848E-3</v>
      </c>
    </row>
    <row r="62" spans="1:11" x14ac:dyDescent="0.25">
      <c r="A62" t="str">
        <f t="shared" si="0"/>
        <v>32017</v>
      </c>
      <c r="B62" s="1">
        <v>42824</v>
      </c>
      <c r="C62" s="7">
        <f ca="1">IFERROR(__xludf.DUMMYFUNCTION("""COMPUTED_VALUE"""),42824.6458333333)</f>
        <v>42824.645833333299</v>
      </c>
      <c r="D62">
        <v>10444.4</v>
      </c>
      <c r="E62">
        <v>10469.200000000001</v>
      </c>
      <c r="F62">
        <v>10389.5</v>
      </c>
      <c r="G62">
        <v>10407.299999999999</v>
      </c>
      <c r="H62">
        <v>0</v>
      </c>
      <c r="I62" s="8">
        <f t="shared" si="1"/>
        <v>-1.1708815202265965E-3</v>
      </c>
      <c r="J62" s="8">
        <f t="shared" si="2"/>
        <v>-1.1715675375427489E-3</v>
      </c>
    </row>
    <row r="63" spans="1:11" x14ac:dyDescent="0.25">
      <c r="A63" t="str">
        <f t="shared" si="0"/>
        <v>32017</v>
      </c>
      <c r="B63" s="1">
        <v>42825</v>
      </c>
      <c r="C63" s="7">
        <f ca="1">IFERROR(__xludf.DUMMYFUNCTION("""COMPUTED_VALUE"""),42825.6458333333)</f>
        <v>42825.645833333299</v>
      </c>
      <c r="D63">
        <v>10420.799999999999</v>
      </c>
      <c r="E63">
        <v>10461.549999999999</v>
      </c>
      <c r="F63">
        <v>10389.950000000001</v>
      </c>
      <c r="G63">
        <v>10411.15</v>
      </c>
      <c r="H63">
        <v>0</v>
      </c>
      <c r="I63" s="8">
        <f t="shared" si="1"/>
        <v>3.6993264343299082E-4</v>
      </c>
      <c r="J63" s="8">
        <f t="shared" si="2"/>
        <v>3.6986423522308544E-4</v>
      </c>
      <c r="K63" s="8">
        <f>+G63/G2-1</f>
        <v>9.7912746600452571E-3</v>
      </c>
    </row>
    <row r="64" spans="1:11" x14ac:dyDescent="0.25">
      <c r="A64" t="str">
        <f t="shared" si="0"/>
        <v>42017</v>
      </c>
      <c r="B64" s="1">
        <v>42828</v>
      </c>
      <c r="C64" s="7">
        <f ca="1">IFERROR(__xludf.DUMMYFUNCTION("""COMPUTED_VALUE"""),42828.6458333333)</f>
        <v>42828.645833333299</v>
      </c>
      <c r="D64">
        <v>10439.6</v>
      </c>
      <c r="E64">
        <v>10512.7</v>
      </c>
      <c r="F64">
        <v>10398.65</v>
      </c>
      <c r="G64">
        <v>10503.65</v>
      </c>
      <c r="H64">
        <v>0</v>
      </c>
      <c r="I64" s="8">
        <f t="shared" si="1"/>
        <v>8.884705339948118E-3</v>
      </c>
      <c r="J64" s="8">
        <f t="shared" si="2"/>
        <v>8.8454685789062654E-3</v>
      </c>
      <c r="K64" s="8">
        <f t="shared" ref="K64:K127" si="3">+G64/G3-1</f>
        <v>1.8047094970171873E-2</v>
      </c>
    </row>
    <row r="65" spans="1:11" x14ac:dyDescent="0.25">
      <c r="A65" t="str">
        <f t="shared" si="0"/>
        <v>42017</v>
      </c>
      <c r="B65" s="1">
        <v>42830</v>
      </c>
      <c r="C65" s="7">
        <f ca="1">IFERROR(__xludf.DUMMYFUNCTION("""COMPUTED_VALUE"""),42830.6458333333)</f>
        <v>42830.645833333299</v>
      </c>
      <c r="D65">
        <v>10551.7</v>
      </c>
      <c r="E65">
        <v>10556.9</v>
      </c>
      <c r="F65">
        <v>10499.5</v>
      </c>
      <c r="G65">
        <v>10541.15</v>
      </c>
      <c r="H65">
        <v>0</v>
      </c>
      <c r="I65" s="8">
        <f t="shared" si="1"/>
        <v>3.5701875062479349E-3</v>
      </c>
      <c r="J65" s="8">
        <f t="shared" si="2"/>
        <v>3.5638295151529365E-3</v>
      </c>
      <c r="K65" s="8">
        <f t="shared" si="3"/>
        <v>2.303519090044448E-2</v>
      </c>
    </row>
    <row r="66" spans="1:11" x14ac:dyDescent="0.25">
      <c r="A66" t="str">
        <f t="shared" si="0"/>
        <v>42017</v>
      </c>
      <c r="B66" s="1">
        <v>42831</v>
      </c>
      <c r="C66" s="7">
        <f ca="1">IFERROR(__xludf.DUMMYFUNCTION("""COMPUTED_VALUE"""),42831.6458333333)</f>
        <v>42831.645833333299</v>
      </c>
      <c r="D66">
        <v>10542</v>
      </c>
      <c r="E66">
        <v>10544.3</v>
      </c>
      <c r="F66">
        <v>10434.9</v>
      </c>
      <c r="G66">
        <v>10469.700000000001</v>
      </c>
      <c r="H66">
        <v>0</v>
      </c>
      <c r="I66" s="8">
        <f t="shared" si="1"/>
        <v>-6.7781978247154484E-3</v>
      </c>
      <c r="J66" s="8">
        <f t="shared" si="2"/>
        <v>-6.8012741439436456E-3</v>
      </c>
      <c r="K66" s="8">
        <f t="shared" si="3"/>
        <v>1.142693217948576E-3</v>
      </c>
    </row>
    <row r="67" spans="1:11" x14ac:dyDescent="0.25">
      <c r="A67" t="str">
        <f t="shared" ref="A67:A130" si="4">+MONTH(B67)&amp;YEAR(B67)</f>
        <v>42017</v>
      </c>
      <c r="B67" s="1">
        <v>42832</v>
      </c>
      <c r="C67" s="7">
        <f ca="1">IFERROR(__xludf.DUMMYFUNCTION("""COMPUTED_VALUE"""),42832.6458333333)</f>
        <v>42832.645833333299</v>
      </c>
      <c r="D67">
        <v>10455.799999999999</v>
      </c>
      <c r="E67">
        <v>10455.799999999999</v>
      </c>
      <c r="F67">
        <v>10260.65</v>
      </c>
      <c r="G67">
        <v>10285.799999999999</v>
      </c>
      <c r="H67">
        <v>0</v>
      </c>
      <c r="I67" s="8">
        <f t="shared" si="1"/>
        <v>-1.7564973208401558E-2</v>
      </c>
      <c r="J67" s="8">
        <f t="shared" si="2"/>
        <v>-1.7721067917449908E-2</v>
      </c>
      <c r="K67" s="8">
        <f t="shared" si="3"/>
        <v>-1.7846400641668425E-2</v>
      </c>
    </row>
    <row r="68" spans="1:11" x14ac:dyDescent="0.25">
      <c r="A68" t="str">
        <f t="shared" si="4"/>
        <v>42017</v>
      </c>
      <c r="B68" s="1">
        <v>42835</v>
      </c>
      <c r="C68" s="7">
        <f ca="1">IFERROR(__xludf.DUMMYFUNCTION("""COMPUTED_VALUE"""),42835.6458333333)</f>
        <v>42835.645833333299</v>
      </c>
      <c r="D68">
        <v>10317.049999999999</v>
      </c>
      <c r="E68">
        <v>10335.6</v>
      </c>
      <c r="F68">
        <v>10275.15</v>
      </c>
      <c r="G68">
        <v>10315.799999999999</v>
      </c>
      <c r="H68">
        <v>0</v>
      </c>
      <c r="I68" s="8">
        <f t="shared" ref="I68:I131" si="5">+G68/G67-1</f>
        <v>2.916642361313615E-3</v>
      </c>
      <c r="J68" s="8">
        <f t="shared" ref="J68:J131" si="6">+LN(1+I68)</f>
        <v>2.9123972123660676E-3</v>
      </c>
      <c r="K68" s="8">
        <f t="shared" si="3"/>
        <v>-7.4103134126690673E-4</v>
      </c>
    </row>
    <row r="69" spans="1:11" x14ac:dyDescent="0.25">
      <c r="A69" t="str">
        <f t="shared" si="4"/>
        <v>42017</v>
      </c>
      <c r="B69" s="1">
        <v>42836</v>
      </c>
      <c r="C69" s="7">
        <f ca="1">IFERROR(__xludf.DUMMYFUNCTION("""COMPUTED_VALUE"""),42836.6458333333)</f>
        <v>42836.645833333299</v>
      </c>
      <c r="D69">
        <v>10340.85</v>
      </c>
      <c r="E69">
        <v>10368.549999999999</v>
      </c>
      <c r="F69">
        <v>10321.4</v>
      </c>
      <c r="G69">
        <v>10355.549999999999</v>
      </c>
      <c r="H69">
        <v>0</v>
      </c>
      <c r="I69" s="8">
        <f t="shared" si="5"/>
        <v>3.8533123945792003E-3</v>
      </c>
      <c r="J69" s="8">
        <f t="shared" si="6"/>
        <v>3.8459074027761089E-3</v>
      </c>
      <c r="K69" s="8">
        <f t="shared" si="3"/>
        <v>-1.0755592425749638E-3</v>
      </c>
    </row>
    <row r="70" spans="1:11" x14ac:dyDescent="0.25">
      <c r="A70" t="str">
        <f t="shared" si="4"/>
        <v>42017</v>
      </c>
      <c r="B70" s="1">
        <v>42837</v>
      </c>
      <c r="C70" s="7">
        <f ca="1">IFERROR(__xludf.DUMMYFUNCTION("""COMPUTED_VALUE"""),42837.6458333333)</f>
        <v>42837.645833333299</v>
      </c>
      <c r="D70">
        <v>10356</v>
      </c>
      <c r="E70">
        <v>10481.1</v>
      </c>
      <c r="F70">
        <v>10257.299999999999</v>
      </c>
      <c r="G70">
        <v>10445.200000000001</v>
      </c>
      <c r="H70">
        <v>0</v>
      </c>
      <c r="I70" s="8">
        <f t="shared" si="5"/>
        <v>8.6571934856189969E-3</v>
      </c>
      <c r="J70" s="8">
        <f t="shared" si="6"/>
        <v>8.6199348683786842E-3</v>
      </c>
      <c r="K70" s="8">
        <f t="shared" si="3"/>
        <v>-1.8586383682205332E-3</v>
      </c>
    </row>
    <row r="71" spans="1:11" x14ac:dyDescent="0.25">
      <c r="A71" t="str">
        <f t="shared" si="4"/>
        <v>42017</v>
      </c>
      <c r="B71" s="1">
        <v>42838</v>
      </c>
      <c r="C71" s="7">
        <f ca="1">IFERROR(__xludf.DUMMYFUNCTION("""COMPUTED_VALUE"""),42838.6458333333)</f>
        <v>42838.645833333299</v>
      </c>
      <c r="D71">
        <v>10494.85</v>
      </c>
      <c r="E71">
        <v>10577.4</v>
      </c>
      <c r="F71">
        <v>10448.049999999999</v>
      </c>
      <c r="G71">
        <v>10531.95</v>
      </c>
      <c r="H71">
        <v>0</v>
      </c>
      <c r="I71" s="8">
        <f t="shared" si="5"/>
        <v>8.3052502584919363E-3</v>
      </c>
      <c r="J71" s="8">
        <f t="shared" si="6"/>
        <v>8.2709514435354743E-3</v>
      </c>
      <c r="K71" s="8">
        <f t="shared" si="3"/>
        <v>1.2517124522316125E-2</v>
      </c>
    </row>
    <row r="72" spans="1:11" x14ac:dyDescent="0.25">
      <c r="A72" t="str">
        <f t="shared" si="4"/>
        <v>42017</v>
      </c>
      <c r="B72" s="1">
        <v>42842</v>
      </c>
      <c r="C72" s="7">
        <f ca="1">IFERROR(__xludf.DUMMYFUNCTION("""COMPUTED_VALUE"""),42842.6458333333)</f>
        <v>42842.645833333299</v>
      </c>
      <c r="D72">
        <v>10533</v>
      </c>
      <c r="E72">
        <v>10542.85</v>
      </c>
      <c r="F72">
        <v>10432.799999999999</v>
      </c>
      <c r="G72">
        <v>10448.549999999999</v>
      </c>
      <c r="H72">
        <v>0</v>
      </c>
      <c r="I72" s="8">
        <f t="shared" si="5"/>
        <v>-7.9187614829163699E-3</v>
      </c>
      <c r="J72" s="8">
        <f t="shared" si="6"/>
        <v>-7.9502813839525451E-3</v>
      </c>
      <c r="K72" s="8">
        <f t="shared" si="3"/>
        <v>3.3029841743958954E-4</v>
      </c>
    </row>
    <row r="73" spans="1:11" x14ac:dyDescent="0.25">
      <c r="A73" t="str">
        <f t="shared" si="4"/>
        <v>42017</v>
      </c>
      <c r="B73" s="1">
        <v>42843</v>
      </c>
      <c r="C73" s="7">
        <f ca="1">IFERROR(__xludf.DUMMYFUNCTION("""COMPUTED_VALUE"""),42843.6458333333)</f>
        <v>42843.645833333299</v>
      </c>
      <c r="D73">
        <v>10474.700000000001</v>
      </c>
      <c r="E73">
        <v>10484</v>
      </c>
      <c r="F73">
        <v>10343.5</v>
      </c>
      <c r="G73">
        <v>10355.799999999999</v>
      </c>
      <c r="H73">
        <v>0</v>
      </c>
      <c r="I73" s="8">
        <f t="shared" si="5"/>
        <v>-8.8768297993501166E-3</v>
      </c>
      <c r="J73" s="8">
        <f t="shared" si="6"/>
        <v>-8.916463575513494E-3</v>
      </c>
      <c r="K73" s="8">
        <f t="shared" si="3"/>
        <v>-5.9895183429000687E-3</v>
      </c>
    </row>
    <row r="74" spans="1:11" x14ac:dyDescent="0.25">
      <c r="A74" t="str">
        <f t="shared" si="4"/>
        <v>42017</v>
      </c>
      <c r="B74" s="1">
        <v>42844</v>
      </c>
      <c r="C74" s="7">
        <f ca="1">IFERROR(__xludf.DUMMYFUNCTION("""COMPUTED_VALUE"""),42844.6458333333)</f>
        <v>42844.645833333299</v>
      </c>
      <c r="D74">
        <v>10387.35</v>
      </c>
      <c r="E74">
        <v>10411.950000000001</v>
      </c>
      <c r="F74">
        <v>10307.35</v>
      </c>
      <c r="G74">
        <v>10321.049999999999</v>
      </c>
      <c r="H74">
        <v>0</v>
      </c>
      <c r="I74" s="8">
        <f t="shared" si="5"/>
        <v>-3.3556074856602169E-3</v>
      </c>
      <c r="J74" s="8">
        <f t="shared" si="6"/>
        <v>-3.3612501630689989E-3</v>
      </c>
      <c r="K74" s="8">
        <f t="shared" si="3"/>
        <v>-1.0127893426939649E-2</v>
      </c>
    </row>
    <row r="75" spans="1:11" x14ac:dyDescent="0.25">
      <c r="A75" t="str">
        <f t="shared" si="4"/>
        <v>42017</v>
      </c>
      <c r="B75" s="1">
        <v>42845</v>
      </c>
      <c r="C75" s="7">
        <f ca="1">IFERROR(__xludf.DUMMYFUNCTION("""COMPUTED_VALUE"""),42845.6458333333)</f>
        <v>42845.645833333299</v>
      </c>
      <c r="D75">
        <v>10350.15</v>
      </c>
      <c r="E75">
        <v>10371.15</v>
      </c>
      <c r="F75">
        <v>10282.450000000001</v>
      </c>
      <c r="G75">
        <v>10303.950000000001</v>
      </c>
      <c r="H75">
        <v>0</v>
      </c>
      <c r="I75" s="8">
        <f t="shared" si="5"/>
        <v>-1.6568081735868212E-3</v>
      </c>
      <c r="J75" s="8">
        <f t="shared" si="6"/>
        <v>-1.6581821981219655E-3</v>
      </c>
      <c r="K75" s="8">
        <f t="shared" si="3"/>
        <v>-1.4207195442216936E-2</v>
      </c>
    </row>
    <row r="76" spans="1:11" x14ac:dyDescent="0.25">
      <c r="A76" t="str">
        <f t="shared" si="4"/>
        <v>42017</v>
      </c>
      <c r="B76" s="1">
        <v>42846</v>
      </c>
      <c r="C76" s="7">
        <f ca="1">IFERROR(__xludf.DUMMYFUNCTION("""COMPUTED_VALUE"""),42846.6458333333)</f>
        <v>42846.645833333299</v>
      </c>
      <c r="D76">
        <v>10340.950000000001</v>
      </c>
      <c r="E76">
        <v>10340.950000000001</v>
      </c>
      <c r="F76">
        <v>10192.5</v>
      </c>
      <c r="G76">
        <v>10208.5</v>
      </c>
      <c r="H76">
        <v>0</v>
      </c>
      <c r="I76" s="8">
        <f t="shared" si="5"/>
        <v>-9.2634378078310098E-3</v>
      </c>
      <c r="J76" s="8">
        <f t="shared" si="6"/>
        <v>-9.306610271635183E-3</v>
      </c>
      <c r="K76" s="8">
        <f t="shared" si="3"/>
        <v>-1.7445078081763321E-2</v>
      </c>
    </row>
    <row r="77" spans="1:11" x14ac:dyDescent="0.25">
      <c r="A77" t="str">
        <f t="shared" si="4"/>
        <v>42017</v>
      </c>
      <c r="B77" s="1">
        <v>42849</v>
      </c>
      <c r="C77" s="7">
        <f ca="1">IFERROR(__xludf.DUMMYFUNCTION("""COMPUTED_VALUE"""),42849.6458333333)</f>
        <v>42849.645833333299</v>
      </c>
      <c r="D77">
        <v>10175.700000000001</v>
      </c>
      <c r="E77">
        <v>10212.950000000001</v>
      </c>
      <c r="F77">
        <v>10103.25</v>
      </c>
      <c r="G77">
        <v>10177.75</v>
      </c>
      <c r="H77">
        <v>0</v>
      </c>
      <c r="I77" s="8">
        <f t="shared" si="5"/>
        <v>-3.0121957192535964E-3</v>
      </c>
      <c r="J77" s="8">
        <f t="shared" si="6"/>
        <v>-3.0167415116184445E-3</v>
      </c>
      <c r="K77" s="8">
        <f t="shared" si="3"/>
        <v>-1.2621448701717664E-2</v>
      </c>
    </row>
    <row r="78" spans="1:11" x14ac:dyDescent="0.25">
      <c r="A78" t="str">
        <f t="shared" si="4"/>
        <v>42017</v>
      </c>
      <c r="B78" s="1">
        <v>42850</v>
      </c>
      <c r="C78" s="7">
        <f ca="1">IFERROR(__xludf.DUMMYFUNCTION("""COMPUTED_VALUE"""),42850.6458333333)</f>
        <v>42850.645833333299</v>
      </c>
      <c r="D78">
        <v>10217.450000000001</v>
      </c>
      <c r="E78">
        <v>10252.35</v>
      </c>
      <c r="F78">
        <v>10197.25</v>
      </c>
      <c r="G78">
        <v>10241.450000000001</v>
      </c>
      <c r="H78">
        <v>0</v>
      </c>
      <c r="I78" s="8">
        <f t="shared" si="5"/>
        <v>6.2587507061975245E-3</v>
      </c>
      <c r="J78" s="8">
        <f t="shared" si="6"/>
        <v>6.2392460668081245E-3</v>
      </c>
      <c r="K78" s="8">
        <f t="shared" si="3"/>
        <v>2.6727627849600921E-3</v>
      </c>
    </row>
    <row r="79" spans="1:11" x14ac:dyDescent="0.25">
      <c r="A79" t="str">
        <f t="shared" si="4"/>
        <v>42017</v>
      </c>
      <c r="B79" s="1">
        <v>42851</v>
      </c>
      <c r="C79" s="7">
        <f ca="1">IFERROR(__xludf.DUMMYFUNCTION("""COMPUTED_VALUE"""),42851.6458333333)</f>
        <v>42851.645833333299</v>
      </c>
      <c r="D79">
        <v>10230.5</v>
      </c>
      <c r="E79">
        <v>10247.25</v>
      </c>
      <c r="F79">
        <v>10137.25</v>
      </c>
      <c r="G79">
        <v>10197.200000000001</v>
      </c>
      <c r="H79">
        <v>0</v>
      </c>
      <c r="I79" s="8">
        <f t="shared" si="5"/>
        <v>-4.3206772478506794E-3</v>
      </c>
      <c r="J79" s="8">
        <f t="shared" si="6"/>
        <v>-4.3300383477159286E-3</v>
      </c>
      <c r="K79" s="8">
        <f t="shared" si="3"/>
        <v>-1.3757985192635935E-2</v>
      </c>
    </row>
    <row r="80" spans="1:11" x14ac:dyDescent="0.25">
      <c r="A80" t="str">
        <f t="shared" si="4"/>
        <v>42017</v>
      </c>
      <c r="B80" s="1">
        <v>42852</v>
      </c>
      <c r="C80" s="7">
        <f ca="1">IFERROR(__xludf.DUMMYFUNCTION("""COMPUTED_VALUE"""),42852.6458333333)</f>
        <v>42852.645833333299</v>
      </c>
      <c r="D80">
        <v>10225</v>
      </c>
      <c r="E80">
        <v>10226.049999999999</v>
      </c>
      <c r="F80">
        <v>10079.549999999999</v>
      </c>
      <c r="G80">
        <v>10100</v>
      </c>
      <c r="H80">
        <v>0</v>
      </c>
      <c r="I80" s="8">
        <f t="shared" si="5"/>
        <v>-9.5320283999530409E-3</v>
      </c>
      <c r="J80" s="8">
        <f t="shared" si="6"/>
        <v>-9.5777489543772444E-3</v>
      </c>
      <c r="K80" s="8">
        <f t="shared" si="3"/>
        <v>-2.2511274993709307E-2</v>
      </c>
    </row>
    <row r="81" spans="1:11" x14ac:dyDescent="0.25">
      <c r="A81" t="str">
        <f t="shared" si="4"/>
        <v>42017</v>
      </c>
      <c r="B81" s="1">
        <v>42853</v>
      </c>
      <c r="C81" s="7">
        <f ca="1">IFERROR(__xludf.DUMMYFUNCTION("""COMPUTED_VALUE"""),42853.6458333333)</f>
        <v>42853.645833333299</v>
      </c>
      <c r="D81">
        <v>10119.450000000001</v>
      </c>
      <c r="E81">
        <v>10162.200000000001</v>
      </c>
      <c r="F81">
        <v>10075.049999999999</v>
      </c>
      <c r="G81">
        <v>10120.9</v>
      </c>
      <c r="H81">
        <v>0</v>
      </c>
      <c r="I81" s="8">
        <f t="shared" si="5"/>
        <v>2.0693069306929601E-3</v>
      </c>
      <c r="J81" s="8">
        <f t="shared" si="6"/>
        <v>2.0671688641421423E-3</v>
      </c>
      <c r="K81" s="8">
        <f t="shared" si="3"/>
        <v>-2.3757620186742878E-2</v>
      </c>
    </row>
    <row r="82" spans="1:11" x14ac:dyDescent="0.25">
      <c r="A82" t="str">
        <f t="shared" si="4"/>
        <v>52017</v>
      </c>
      <c r="B82" s="1">
        <v>42857</v>
      </c>
      <c r="C82" s="7">
        <f ca="1">IFERROR(__xludf.DUMMYFUNCTION("""COMPUTED_VALUE"""),42857.6458333333)</f>
        <v>42857.645833333299</v>
      </c>
      <c r="D82">
        <v>10132.049999999999</v>
      </c>
      <c r="E82">
        <v>10150.6</v>
      </c>
      <c r="F82">
        <v>9979.65</v>
      </c>
      <c r="G82">
        <v>10036.35</v>
      </c>
      <c r="H82">
        <v>0</v>
      </c>
      <c r="I82" s="8">
        <f t="shared" si="5"/>
        <v>-8.3540001383275442E-3</v>
      </c>
      <c r="J82" s="8">
        <f t="shared" si="6"/>
        <v>-8.3890903633067528E-3</v>
      </c>
      <c r="K82" s="8">
        <f t="shared" si="3"/>
        <v>-3.6092449686183858E-2</v>
      </c>
    </row>
    <row r="83" spans="1:11" x14ac:dyDescent="0.25">
      <c r="A83" t="str">
        <f t="shared" si="4"/>
        <v>52017</v>
      </c>
      <c r="B83" s="1">
        <v>42858</v>
      </c>
      <c r="C83" s="7">
        <f ca="1">IFERROR(__xludf.DUMMYFUNCTION("""COMPUTED_VALUE"""),42858.6458333333)</f>
        <v>42858.645833333299</v>
      </c>
      <c r="D83">
        <v>10058.65</v>
      </c>
      <c r="E83">
        <v>10092.6</v>
      </c>
      <c r="F83">
        <v>9959.1</v>
      </c>
      <c r="G83">
        <v>9981.7999999999993</v>
      </c>
      <c r="H83">
        <v>0</v>
      </c>
      <c r="I83" s="8">
        <f t="shared" si="5"/>
        <v>-5.4352428920874107E-3</v>
      </c>
      <c r="J83" s="8">
        <f t="shared" si="6"/>
        <v>-5.4500675662733202E-3</v>
      </c>
      <c r="K83" s="8">
        <f t="shared" si="3"/>
        <v>-2.4867262256566214E-2</v>
      </c>
    </row>
    <row r="84" spans="1:11" x14ac:dyDescent="0.25">
      <c r="A84" t="str">
        <f t="shared" si="4"/>
        <v>52017</v>
      </c>
      <c r="B84" s="1">
        <v>42859</v>
      </c>
      <c r="C84" s="7">
        <f ca="1">IFERROR(__xludf.DUMMYFUNCTION("""COMPUTED_VALUE"""),42859.6458333333)</f>
        <v>42859.645833333299</v>
      </c>
      <c r="D84">
        <v>9996.7999999999993</v>
      </c>
      <c r="E84">
        <v>10060.15</v>
      </c>
      <c r="F84">
        <v>9942.65</v>
      </c>
      <c r="G84">
        <v>9979</v>
      </c>
      <c r="H84">
        <v>0</v>
      </c>
      <c r="I84" s="8">
        <f t="shared" si="5"/>
        <v>-2.8051052916300279E-4</v>
      </c>
      <c r="J84" s="8">
        <f t="shared" si="6"/>
        <v>-2.8054987960046853E-4</v>
      </c>
      <c r="K84" s="8">
        <f t="shared" si="3"/>
        <v>-2.0658521026546972E-2</v>
      </c>
    </row>
    <row r="85" spans="1:11" x14ac:dyDescent="0.25">
      <c r="A85" t="str">
        <f t="shared" si="4"/>
        <v>52017</v>
      </c>
      <c r="B85" s="1">
        <v>42860</v>
      </c>
      <c r="C85" s="7">
        <f ca="1">IFERROR(__xludf.DUMMYFUNCTION("""COMPUTED_VALUE"""),42860.6458333333)</f>
        <v>42860.645833333299</v>
      </c>
      <c r="D85">
        <v>9969.85</v>
      </c>
      <c r="E85">
        <v>10048.799999999999</v>
      </c>
      <c r="F85">
        <v>9908.7000000000007</v>
      </c>
      <c r="G85">
        <v>9935.15</v>
      </c>
      <c r="H85">
        <v>0</v>
      </c>
      <c r="I85" s="8">
        <f t="shared" si="5"/>
        <v>-4.3942278785449318E-3</v>
      </c>
      <c r="J85" s="8">
        <f t="shared" si="6"/>
        <v>-4.403910874474704E-3</v>
      </c>
      <c r="K85" s="8">
        <f t="shared" si="3"/>
        <v>-4.4880792155354787E-2</v>
      </c>
    </row>
    <row r="86" spans="1:11" x14ac:dyDescent="0.25">
      <c r="A86" t="str">
        <f t="shared" si="4"/>
        <v>52017</v>
      </c>
      <c r="B86" s="1">
        <v>42863</v>
      </c>
      <c r="C86" s="7">
        <f ca="1">IFERROR(__xludf.DUMMYFUNCTION("""COMPUTED_VALUE"""),42863.6458333333)</f>
        <v>42863.645833333299</v>
      </c>
      <c r="D86">
        <v>9951.0499999999993</v>
      </c>
      <c r="E86">
        <v>10033.75</v>
      </c>
      <c r="F86">
        <v>9924.5</v>
      </c>
      <c r="G86">
        <v>10021.049999999999</v>
      </c>
      <c r="H86">
        <v>0</v>
      </c>
      <c r="I86" s="8">
        <f t="shared" si="5"/>
        <v>8.6460697624091143E-3</v>
      </c>
      <c r="J86" s="8">
        <f t="shared" si="6"/>
        <v>8.6089065580471132E-3</v>
      </c>
      <c r="K86" s="8">
        <f t="shared" si="3"/>
        <v>-5.0587399336807226E-2</v>
      </c>
    </row>
    <row r="87" spans="1:11" x14ac:dyDescent="0.25">
      <c r="A87" t="str">
        <f t="shared" si="4"/>
        <v>52017</v>
      </c>
      <c r="B87" s="1">
        <v>42864</v>
      </c>
      <c r="C87" s="7">
        <f ca="1">IFERROR(__xludf.DUMMYFUNCTION("""COMPUTED_VALUE"""),42864.6458333333)</f>
        <v>42864.645833333299</v>
      </c>
      <c r="D87">
        <v>10037.1</v>
      </c>
      <c r="E87">
        <v>10040</v>
      </c>
      <c r="F87">
        <v>9940.1</v>
      </c>
      <c r="G87">
        <v>9997.7000000000007</v>
      </c>
      <c r="H87">
        <v>0</v>
      </c>
      <c r="I87" s="8">
        <f t="shared" si="5"/>
        <v>-2.3300951497097211E-3</v>
      </c>
      <c r="J87" s="8">
        <f t="shared" si="6"/>
        <v>-2.332814045758524E-3</v>
      </c>
      <c r="K87" s="8">
        <f t="shared" si="3"/>
        <v>-6.657765993203113E-2</v>
      </c>
    </row>
    <row r="88" spans="1:11" x14ac:dyDescent="0.25">
      <c r="A88" t="str">
        <f t="shared" si="4"/>
        <v>52017</v>
      </c>
      <c r="B88" s="1">
        <v>42865</v>
      </c>
      <c r="C88" s="7">
        <f ca="1">IFERROR(__xludf.DUMMYFUNCTION("""COMPUTED_VALUE"""),42865.6458333333)</f>
        <v>42865.645833333299</v>
      </c>
      <c r="D88">
        <v>10029</v>
      </c>
      <c r="E88">
        <v>10150.15</v>
      </c>
      <c r="F88">
        <v>10023.700000000001</v>
      </c>
      <c r="G88">
        <v>10106.200000000001</v>
      </c>
      <c r="H88">
        <v>0</v>
      </c>
      <c r="I88" s="8">
        <f t="shared" si="5"/>
        <v>1.0852496074096996E-2</v>
      </c>
      <c r="J88" s="8">
        <f t="shared" si="6"/>
        <v>1.0794030357533109E-2</v>
      </c>
      <c r="K88" s="8">
        <f t="shared" si="3"/>
        <v>-4.6944549226706878E-2</v>
      </c>
    </row>
    <row r="89" spans="1:11" x14ac:dyDescent="0.25">
      <c r="A89" t="str">
        <f t="shared" si="4"/>
        <v>52017</v>
      </c>
      <c r="B89" s="1">
        <v>42866</v>
      </c>
      <c r="C89" s="7">
        <f ca="1">IFERROR(__xludf.DUMMYFUNCTION("""COMPUTED_VALUE"""),42866.6458333333)</f>
        <v>42866.645833333299</v>
      </c>
      <c r="D89">
        <v>10152</v>
      </c>
      <c r="E89">
        <v>10197.1</v>
      </c>
      <c r="F89">
        <v>10113.1</v>
      </c>
      <c r="G89">
        <v>10178.85</v>
      </c>
      <c r="H89">
        <v>0</v>
      </c>
      <c r="I89" s="8">
        <f t="shared" si="5"/>
        <v>7.1886564683065757E-3</v>
      </c>
      <c r="J89" s="8">
        <f t="shared" si="6"/>
        <v>7.1629412424683509E-3</v>
      </c>
      <c r="K89" s="8">
        <f t="shared" si="3"/>
        <v>-3.8224956063268811E-2</v>
      </c>
    </row>
    <row r="90" spans="1:11" x14ac:dyDescent="0.25">
      <c r="A90" t="str">
        <f t="shared" si="4"/>
        <v>52017</v>
      </c>
      <c r="B90" s="1">
        <v>42867</v>
      </c>
      <c r="C90" s="7">
        <f ca="1">IFERROR(__xludf.DUMMYFUNCTION("""COMPUTED_VALUE"""),42867.6458333333)</f>
        <v>42867.645833333299</v>
      </c>
      <c r="D90">
        <v>10133.799999999999</v>
      </c>
      <c r="E90">
        <v>10148.700000000001</v>
      </c>
      <c r="F90">
        <v>10014.35</v>
      </c>
      <c r="G90">
        <v>10121.4</v>
      </c>
      <c r="H90">
        <v>0</v>
      </c>
      <c r="I90" s="8">
        <f t="shared" si="5"/>
        <v>-5.6440560574132492E-3</v>
      </c>
      <c r="J90" s="8">
        <f t="shared" si="6"/>
        <v>-5.6600439278072555E-3</v>
      </c>
      <c r="K90" s="8">
        <f t="shared" si="3"/>
        <v>-3.9952193955950177E-2</v>
      </c>
    </row>
    <row r="91" spans="1:11" x14ac:dyDescent="0.25">
      <c r="A91" t="str">
        <f t="shared" si="4"/>
        <v>52017</v>
      </c>
      <c r="B91" s="1">
        <v>42870</v>
      </c>
      <c r="C91" s="7">
        <f ca="1">IFERROR(__xludf.DUMMYFUNCTION("""COMPUTED_VALUE"""),42870.6458333333)</f>
        <v>42870.645833333299</v>
      </c>
      <c r="D91">
        <v>10159.25</v>
      </c>
      <c r="E91">
        <v>10278.35</v>
      </c>
      <c r="F91">
        <v>10114.049999999999</v>
      </c>
      <c r="G91">
        <v>10252.85</v>
      </c>
      <c r="H91">
        <v>0</v>
      </c>
      <c r="I91" s="8">
        <f t="shared" si="5"/>
        <v>1.2987333768055942E-2</v>
      </c>
      <c r="J91" s="8">
        <f t="shared" si="6"/>
        <v>1.2903721504323229E-2</v>
      </c>
      <c r="K91" s="8">
        <f t="shared" si="3"/>
        <v>-1.7747482779433055E-2</v>
      </c>
    </row>
    <row r="92" spans="1:11" x14ac:dyDescent="0.25">
      <c r="A92" t="str">
        <f t="shared" si="4"/>
        <v>52017</v>
      </c>
      <c r="B92" s="1">
        <v>42871</v>
      </c>
      <c r="C92" s="7">
        <f ca="1">IFERROR(__xludf.DUMMYFUNCTION("""COMPUTED_VALUE"""),42871.6458333333)</f>
        <v>42871.645833333299</v>
      </c>
      <c r="D92">
        <v>10268.15</v>
      </c>
      <c r="E92">
        <v>10301.25</v>
      </c>
      <c r="F92">
        <v>10212.549999999999</v>
      </c>
      <c r="G92">
        <v>10247.15</v>
      </c>
      <c r="H92">
        <v>0</v>
      </c>
      <c r="I92" s="8">
        <f t="shared" si="5"/>
        <v>-5.5594298170758005E-4</v>
      </c>
      <c r="J92" s="8">
        <f t="shared" si="6"/>
        <v>-5.5609757530650781E-4</v>
      </c>
      <c r="K92" s="8">
        <f t="shared" si="3"/>
        <v>-1.5038063747164543E-2</v>
      </c>
    </row>
    <row r="93" spans="1:11" x14ac:dyDescent="0.25">
      <c r="A93" t="str">
        <f t="shared" si="4"/>
        <v>52017</v>
      </c>
      <c r="B93" s="1">
        <v>42872</v>
      </c>
      <c r="C93" s="7">
        <f ca="1">IFERROR(__xludf.DUMMYFUNCTION("""COMPUTED_VALUE"""),42872.6458333333)</f>
        <v>42872.645833333299</v>
      </c>
      <c r="D93">
        <v>10254.299999999999</v>
      </c>
      <c r="E93">
        <v>10263.950000000001</v>
      </c>
      <c r="F93">
        <v>10183.700000000001</v>
      </c>
      <c r="G93">
        <v>10222.6</v>
      </c>
      <c r="H93">
        <v>0</v>
      </c>
      <c r="I93" s="8">
        <f t="shared" si="5"/>
        <v>-2.3957880971782197E-3</v>
      </c>
      <c r="J93" s="8">
        <f t="shared" si="6"/>
        <v>-2.3986625895156466E-3</v>
      </c>
      <c r="K93" s="8">
        <f t="shared" si="3"/>
        <v>-9.6539029765796425E-3</v>
      </c>
    </row>
    <row r="94" spans="1:11" x14ac:dyDescent="0.25">
      <c r="A94" t="str">
        <f t="shared" si="4"/>
        <v>52017</v>
      </c>
      <c r="B94" s="1">
        <v>42873</v>
      </c>
      <c r="C94" s="7">
        <f ca="1">IFERROR(__xludf.DUMMYFUNCTION("""COMPUTED_VALUE"""),42873.6458333333)</f>
        <v>42873.645833333299</v>
      </c>
      <c r="D94">
        <v>10155.65</v>
      </c>
      <c r="E94">
        <v>10229.950000000001</v>
      </c>
      <c r="F94">
        <v>10126.450000000001</v>
      </c>
      <c r="G94">
        <v>10160.299999999999</v>
      </c>
      <c r="H94">
        <v>0</v>
      </c>
      <c r="I94" s="8">
        <f t="shared" si="5"/>
        <v>-6.0943399917829932E-3</v>
      </c>
      <c r="J94" s="8">
        <f t="shared" si="6"/>
        <v>-6.1129862782235526E-3</v>
      </c>
      <c r="K94" s="8">
        <f t="shared" si="3"/>
        <v>2.2342456091895002E-3</v>
      </c>
    </row>
    <row r="95" spans="1:11" x14ac:dyDescent="0.25">
      <c r="A95" t="str">
        <f t="shared" si="4"/>
        <v>52017</v>
      </c>
      <c r="B95" s="1">
        <v>42874</v>
      </c>
      <c r="C95" s="7">
        <f ca="1">IFERROR(__xludf.DUMMYFUNCTION("""COMPUTED_VALUE"""),42874.6458333333)</f>
        <v>42874.645833333299</v>
      </c>
      <c r="D95">
        <v>10209.6</v>
      </c>
      <c r="E95">
        <v>10223.6</v>
      </c>
      <c r="F95">
        <v>10114.049999999999</v>
      </c>
      <c r="G95">
        <v>10156.1</v>
      </c>
      <c r="H95">
        <v>0</v>
      </c>
      <c r="I95" s="8">
        <f t="shared" si="5"/>
        <v>-4.1337362085758222E-4</v>
      </c>
      <c r="J95" s="8">
        <f t="shared" si="6"/>
        <v>-4.1345908328554635E-4</v>
      </c>
      <c r="K95" s="8">
        <f t="shared" si="3"/>
        <v>-2.4179097307295061E-2</v>
      </c>
    </row>
    <row r="96" spans="1:11" x14ac:dyDescent="0.25">
      <c r="A96" t="str">
        <f t="shared" si="4"/>
        <v>52017</v>
      </c>
      <c r="B96" s="1">
        <v>42877</v>
      </c>
      <c r="C96" s="7">
        <f ca="1">IFERROR(__xludf.DUMMYFUNCTION("""COMPUTED_VALUE"""),42877.6458333333)</f>
        <v>42877.645833333299</v>
      </c>
      <c r="D96">
        <v>10202.9</v>
      </c>
      <c r="E96">
        <v>10203.25</v>
      </c>
      <c r="F96">
        <v>9936.6</v>
      </c>
      <c r="G96">
        <v>9959.2000000000007</v>
      </c>
      <c r="H96">
        <v>0</v>
      </c>
      <c r="I96" s="8">
        <f t="shared" si="5"/>
        <v>-1.9387363259518842E-2</v>
      </c>
      <c r="J96" s="8">
        <f t="shared" si="6"/>
        <v>-1.9577763104736336E-2</v>
      </c>
      <c r="K96" s="8">
        <f t="shared" si="3"/>
        <v>-6.2610594480629445E-2</v>
      </c>
    </row>
    <row r="97" spans="1:11" x14ac:dyDescent="0.25">
      <c r="A97" t="str">
        <f t="shared" si="4"/>
        <v>52017</v>
      </c>
      <c r="B97" s="1">
        <v>42878</v>
      </c>
      <c r="C97" s="7">
        <f ca="1">IFERROR(__xludf.DUMMYFUNCTION("""COMPUTED_VALUE"""),42878.6458333333)</f>
        <v>42878.645833333299</v>
      </c>
      <c r="D97">
        <v>9904.5</v>
      </c>
      <c r="E97">
        <v>9913.65</v>
      </c>
      <c r="F97">
        <v>9528.9500000000007</v>
      </c>
      <c r="G97">
        <v>9648.2999999999993</v>
      </c>
      <c r="H97">
        <v>0</v>
      </c>
      <c r="I97" s="8">
        <f t="shared" si="5"/>
        <v>-3.1217366856775786E-2</v>
      </c>
      <c r="J97" s="8">
        <f t="shared" si="6"/>
        <v>-3.1715013056671265E-2</v>
      </c>
      <c r="K97" s="8">
        <f t="shared" si="3"/>
        <v>-9.3341226883175588E-2</v>
      </c>
    </row>
    <row r="98" spans="1:11" x14ac:dyDescent="0.25">
      <c r="A98" t="str">
        <f t="shared" si="4"/>
        <v>52017</v>
      </c>
      <c r="B98" s="1">
        <v>42879</v>
      </c>
      <c r="C98" s="7">
        <f ca="1">IFERROR(__xludf.DUMMYFUNCTION("""COMPUTED_VALUE"""),42879.6458333333)</f>
        <v>42879.645833333299</v>
      </c>
      <c r="D98">
        <v>9633.5499999999993</v>
      </c>
      <c r="E98">
        <v>9649.0499999999993</v>
      </c>
      <c r="F98">
        <v>9385.5499999999993</v>
      </c>
      <c r="G98">
        <v>9446.9500000000007</v>
      </c>
      <c r="H98">
        <v>0</v>
      </c>
      <c r="I98" s="8">
        <f t="shared" si="5"/>
        <v>-2.0868961371433126E-2</v>
      </c>
      <c r="J98" s="8">
        <f t="shared" si="6"/>
        <v>-2.1089795941285482E-2</v>
      </c>
      <c r="K98" s="8">
        <f t="shared" si="3"/>
        <v>-0.1125124476260263</v>
      </c>
    </row>
    <row r="99" spans="1:11" x14ac:dyDescent="0.25">
      <c r="A99" t="str">
        <f t="shared" si="4"/>
        <v>52017</v>
      </c>
      <c r="B99" s="1">
        <v>42880</v>
      </c>
      <c r="C99" s="7">
        <f ca="1">IFERROR(__xludf.DUMMYFUNCTION("""COMPUTED_VALUE"""),42880.6458333333)</f>
        <v>42880.645833333299</v>
      </c>
      <c r="D99">
        <v>9421.7999999999993</v>
      </c>
      <c r="E99">
        <v>9434.1</v>
      </c>
      <c r="F99">
        <v>9082.85</v>
      </c>
      <c r="G99">
        <v>9199.15</v>
      </c>
      <c r="H99">
        <v>0</v>
      </c>
      <c r="I99" s="8">
        <f t="shared" si="5"/>
        <v>-2.6230688211539288E-2</v>
      </c>
      <c r="J99" s="8">
        <f t="shared" si="6"/>
        <v>-2.6580849605175132E-2</v>
      </c>
      <c r="K99" s="8">
        <f t="shared" si="3"/>
        <v>-0.13070410024285828</v>
      </c>
    </row>
    <row r="100" spans="1:11" x14ac:dyDescent="0.25">
      <c r="A100" t="str">
        <f t="shared" si="4"/>
        <v>52017</v>
      </c>
      <c r="B100" s="1">
        <v>42881</v>
      </c>
      <c r="C100" s="7">
        <f ca="1">IFERROR(__xludf.DUMMYFUNCTION("""COMPUTED_VALUE"""),42881.6458333333)</f>
        <v>42881.645833333299</v>
      </c>
      <c r="D100">
        <v>9173.6</v>
      </c>
      <c r="E100">
        <v>9303.2999999999993</v>
      </c>
      <c r="F100">
        <v>9033.75</v>
      </c>
      <c r="G100">
        <v>9060.4500000000007</v>
      </c>
      <c r="H100">
        <v>0</v>
      </c>
      <c r="I100" s="8">
        <f t="shared" si="5"/>
        <v>-1.5077479984563658E-2</v>
      </c>
      <c r="J100" s="8">
        <f t="shared" si="6"/>
        <v>-1.5192300786704738E-2</v>
      </c>
      <c r="K100" s="8">
        <f t="shared" si="3"/>
        <v>-0.14213282078472955</v>
      </c>
    </row>
    <row r="101" spans="1:11" x14ac:dyDescent="0.25">
      <c r="A101" t="str">
        <f t="shared" si="4"/>
        <v>52017</v>
      </c>
      <c r="B101" s="1">
        <v>42884</v>
      </c>
      <c r="C101" s="7">
        <f ca="1">IFERROR(__xludf.DUMMYFUNCTION("""COMPUTED_VALUE"""),42884.6458333333)</f>
        <v>42884.645833333299</v>
      </c>
      <c r="D101">
        <v>8913.0499999999993</v>
      </c>
      <c r="E101">
        <v>8913.0499999999993</v>
      </c>
      <c r="F101">
        <v>8634.9</v>
      </c>
      <c r="G101">
        <v>8757.7999999999993</v>
      </c>
      <c r="H101">
        <v>0</v>
      </c>
      <c r="I101" s="8">
        <f t="shared" si="5"/>
        <v>-3.3403418152520126E-2</v>
      </c>
      <c r="J101" s="8">
        <f t="shared" si="6"/>
        <v>-3.3974055841134616E-2</v>
      </c>
      <c r="K101" s="8">
        <f t="shared" si="3"/>
        <v>-0.17158072968396765</v>
      </c>
    </row>
    <row r="102" spans="1:11" x14ac:dyDescent="0.25">
      <c r="A102" t="str">
        <f t="shared" si="4"/>
        <v>52017</v>
      </c>
      <c r="B102" s="1">
        <v>42885</v>
      </c>
      <c r="C102" s="7">
        <f ca="1">IFERROR(__xludf.DUMMYFUNCTION("""COMPUTED_VALUE"""),42885.6458333333)</f>
        <v>42885.645833333299</v>
      </c>
      <c r="D102">
        <v>8742.0499999999993</v>
      </c>
      <c r="E102">
        <v>9013.2999999999993</v>
      </c>
      <c r="F102">
        <v>8725.2999999999993</v>
      </c>
      <c r="G102">
        <v>8990.2999999999993</v>
      </c>
      <c r="H102">
        <v>0</v>
      </c>
      <c r="I102" s="8">
        <f t="shared" si="5"/>
        <v>2.6547763136860913E-2</v>
      </c>
      <c r="J102" s="8">
        <f t="shared" si="6"/>
        <v>2.620148648384962E-2</v>
      </c>
      <c r="K102" s="8">
        <f t="shared" si="3"/>
        <v>-0.1506686253855638</v>
      </c>
    </row>
    <row r="103" spans="1:11" x14ac:dyDescent="0.25">
      <c r="A103" t="str">
        <f t="shared" si="4"/>
        <v>52017</v>
      </c>
      <c r="B103" s="1">
        <v>42886</v>
      </c>
      <c r="C103" s="7">
        <f ca="1">IFERROR(__xludf.DUMMYFUNCTION("""COMPUTED_VALUE"""),42886.6458333333)</f>
        <v>42886.645833333299</v>
      </c>
      <c r="D103">
        <v>9063.65</v>
      </c>
      <c r="E103">
        <v>9088.65</v>
      </c>
      <c r="F103">
        <v>8958.4</v>
      </c>
      <c r="G103">
        <v>9025.25</v>
      </c>
      <c r="H103">
        <v>0</v>
      </c>
      <c r="I103" s="8">
        <f t="shared" si="5"/>
        <v>3.8875232194699461E-3</v>
      </c>
      <c r="J103" s="8">
        <f t="shared" si="6"/>
        <v>3.8799863279911691E-3</v>
      </c>
      <c r="K103" s="8">
        <f t="shared" si="3"/>
        <v>-0.15658175089712911</v>
      </c>
    </row>
    <row r="104" spans="1:11" x14ac:dyDescent="0.25">
      <c r="A104" t="str">
        <f t="shared" si="4"/>
        <v>62017</v>
      </c>
      <c r="B104" s="1">
        <v>42887</v>
      </c>
      <c r="C104" s="7">
        <f ca="1">IFERROR(__xludf.DUMMYFUNCTION("""COMPUTED_VALUE"""),42887.6458333333)</f>
        <v>42887.645833333299</v>
      </c>
      <c r="D104">
        <v>9044.4500000000007</v>
      </c>
      <c r="E104">
        <v>9279.5499999999993</v>
      </c>
      <c r="F104">
        <v>9039.0499999999993</v>
      </c>
      <c r="G104">
        <v>9104.9500000000007</v>
      </c>
      <c r="H104">
        <v>0</v>
      </c>
      <c r="I104" s="8">
        <f t="shared" si="5"/>
        <v>8.8307803107947613E-3</v>
      </c>
      <c r="J104" s="8">
        <f t="shared" si="6"/>
        <v>8.7920170099911321E-3</v>
      </c>
      <c r="K104" s="8">
        <f t="shared" si="3"/>
        <v>-0.13624289685137225</v>
      </c>
    </row>
    <row r="105" spans="1:11" x14ac:dyDescent="0.25">
      <c r="A105" t="str">
        <f t="shared" si="4"/>
        <v>62017</v>
      </c>
      <c r="B105" s="1">
        <v>42888</v>
      </c>
      <c r="C105" s="7">
        <f ca="1">IFERROR(__xludf.DUMMYFUNCTION("""COMPUTED_VALUE"""),42888.6458333333)</f>
        <v>42888.645833333299</v>
      </c>
      <c r="D105">
        <v>9182.4</v>
      </c>
      <c r="E105">
        <v>9292.75</v>
      </c>
      <c r="F105">
        <v>9169.65</v>
      </c>
      <c r="G105">
        <v>9254.7000000000007</v>
      </c>
      <c r="H105">
        <v>0</v>
      </c>
      <c r="I105" s="8">
        <f t="shared" si="5"/>
        <v>1.6447097457976234E-2</v>
      </c>
      <c r="J105" s="8">
        <f t="shared" si="6"/>
        <v>1.6313308912927635E-2</v>
      </c>
      <c r="K105" s="8">
        <f t="shared" si="3"/>
        <v>-0.12807081180133861</v>
      </c>
    </row>
    <row r="106" spans="1:11" x14ac:dyDescent="0.25">
      <c r="A106" t="str">
        <f t="shared" si="4"/>
        <v>62017</v>
      </c>
      <c r="B106" s="1">
        <v>42891</v>
      </c>
      <c r="C106" s="7">
        <f ca="1">IFERROR(__xludf.DUMMYFUNCTION("""COMPUTED_VALUE"""),42891.6458333333)</f>
        <v>42891.645833333299</v>
      </c>
      <c r="D106">
        <v>9267.5</v>
      </c>
      <c r="E106">
        <v>9307.4</v>
      </c>
      <c r="F106">
        <v>9218.85</v>
      </c>
      <c r="G106">
        <v>9229.75</v>
      </c>
      <c r="H106">
        <v>0</v>
      </c>
      <c r="I106" s="8">
        <f t="shared" si="5"/>
        <v>-2.6959274746886086E-3</v>
      </c>
      <c r="J106" s="8">
        <f t="shared" si="6"/>
        <v>-2.6995680317536408E-3</v>
      </c>
      <c r="K106" s="8">
        <f t="shared" si="3"/>
        <v>-0.1303231459975408</v>
      </c>
    </row>
    <row r="107" spans="1:11" x14ac:dyDescent="0.25">
      <c r="A107" t="str">
        <f t="shared" si="4"/>
        <v>62017</v>
      </c>
      <c r="B107" s="1">
        <v>42892</v>
      </c>
      <c r="C107" s="7">
        <f ca="1">IFERROR(__xludf.DUMMYFUNCTION("""COMPUTED_VALUE"""),42892.6458333333)</f>
        <v>42892.645833333299</v>
      </c>
      <c r="D107">
        <v>9280</v>
      </c>
      <c r="E107">
        <v>9280.2000000000007</v>
      </c>
      <c r="F107">
        <v>9149.9</v>
      </c>
      <c r="G107">
        <v>9174.6</v>
      </c>
      <c r="H107">
        <v>0</v>
      </c>
      <c r="I107" s="8">
        <f t="shared" si="5"/>
        <v>-5.9752430997589423E-3</v>
      </c>
      <c r="J107" s="8">
        <f t="shared" si="6"/>
        <v>-5.9931662974500276E-3</v>
      </c>
      <c r="K107" s="8">
        <f t="shared" si="3"/>
        <v>-0.13126722154361836</v>
      </c>
    </row>
    <row r="108" spans="1:11" x14ac:dyDescent="0.25">
      <c r="A108" t="str">
        <f t="shared" si="4"/>
        <v>62017</v>
      </c>
      <c r="B108" s="1">
        <v>42893</v>
      </c>
      <c r="C108" s="7">
        <f ca="1">IFERROR(__xludf.DUMMYFUNCTION("""COMPUTED_VALUE"""),42893.6458333333)</f>
        <v>42893.645833333299</v>
      </c>
      <c r="D108">
        <v>9200</v>
      </c>
      <c r="E108">
        <v>9337.2999999999993</v>
      </c>
      <c r="F108">
        <v>9156.85</v>
      </c>
      <c r="G108">
        <v>9300.5499999999993</v>
      </c>
      <c r="H108">
        <v>0</v>
      </c>
      <c r="I108" s="8">
        <f t="shared" si="5"/>
        <v>1.372811893706527E-2</v>
      </c>
      <c r="J108" s="8">
        <f t="shared" si="6"/>
        <v>1.3634741935444577E-2</v>
      </c>
      <c r="K108" s="8">
        <f t="shared" si="3"/>
        <v>-0.1212922853080256</v>
      </c>
    </row>
    <row r="109" spans="1:11" x14ac:dyDescent="0.25">
      <c r="A109" t="str">
        <f t="shared" si="4"/>
        <v>62017</v>
      </c>
      <c r="B109" s="1">
        <v>42894</v>
      </c>
      <c r="C109" s="7">
        <f ca="1">IFERROR(__xludf.DUMMYFUNCTION("""COMPUTED_VALUE"""),42894.6458333333)</f>
        <v>42894.645833333299</v>
      </c>
      <c r="D109">
        <v>9319.4</v>
      </c>
      <c r="E109">
        <v>9551.4</v>
      </c>
      <c r="F109">
        <v>9304.0499999999993</v>
      </c>
      <c r="G109">
        <v>9486.65</v>
      </c>
      <c r="H109">
        <v>0</v>
      </c>
      <c r="I109" s="8">
        <f t="shared" si="5"/>
        <v>2.0009569326545185E-2</v>
      </c>
      <c r="J109" s="8">
        <f t="shared" si="6"/>
        <v>1.9812008944863266E-2</v>
      </c>
      <c r="K109" s="8">
        <f t="shared" si="3"/>
        <v>-9.6427772036517534E-2</v>
      </c>
    </row>
    <row r="110" spans="1:11" x14ac:dyDescent="0.25">
      <c r="A110" t="str">
        <f t="shared" si="4"/>
        <v>62017</v>
      </c>
      <c r="B110" s="1">
        <v>42895</v>
      </c>
      <c r="C110" s="7">
        <f ca="1">IFERROR(__xludf.DUMMYFUNCTION("""COMPUTED_VALUE"""),42895.6458333333)</f>
        <v>42895.645833333299</v>
      </c>
      <c r="D110">
        <v>9520.7999999999993</v>
      </c>
      <c r="E110">
        <v>9531.9</v>
      </c>
      <c r="F110">
        <v>9406.0499999999993</v>
      </c>
      <c r="G110">
        <v>9507.35</v>
      </c>
      <c r="H110">
        <v>0</v>
      </c>
      <c r="I110" s="8">
        <f t="shared" si="5"/>
        <v>2.1820136718442296E-3</v>
      </c>
      <c r="J110" s="8">
        <f t="shared" si="6"/>
        <v>2.1796365373441123E-3</v>
      </c>
      <c r="K110" s="8">
        <f t="shared" si="3"/>
        <v>-9.1800522527427875E-2</v>
      </c>
    </row>
    <row r="111" spans="1:11" x14ac:dyDescent="0.25">
      <c r="A111" t="str">
        <f t="shared" si="4"/>
        <v>62017</v>
      </c>
      <c r="B111" s="1">
        <v>42898</v>
      </c>
      <c r="C111" s="7">
        <f ca="1">IFERROR(__xludf.DUMMYFUNCTION("""COMPUTED_VALUE"""),42898.6458333333)</f>
        <v>42898.645833333299</v>
      </c>
      <c r="D111">
        <v>9510.4</v>
      </c>
      <c r="E111">
        <v>9614.2999999999993</v>
      </c>
      <c r="F111">
        <v>9494.5499999999993</v>
      </c>
      <c r="G111">
        <v>9583.85</v>
      </c>
      <c r="H111">
        <v>0</v>
      </c>
      <c r="I111" s="8">
        <f t="shared" si="5"/>
        <v>8.0464062015177529E-3</v>
      </c>
      <c r="J111" s="8">
        <f t="shared" si="6"/>
        <v>8.0142064877964606E-3</v>
      </c>
      <c r="K111" s="8">
        <f t="shared" si="3"/>
        <v>-9.9943182084982651E-2</v>
      </c>
    </row>
    <row r="112" spans="1:11" x14ac:dyDescent="0.25">
      <c r="A112" t="str">
        <f t="shared" si="4"/>
        <v>62017</v>
      </c>
      <c r="B112" s="1">
        <v>42899</v>
      </c>
      <c r="C112" s="7">
        <f ca="1">IFERROR(__xludf.DUMMYFUNCTION("""COMPUTED_VALUE"""),42899.6458333333)</f>
        <v>42899.645833333299</v>
      </c>
      <c r="D112">
        <v>9682</v>
      </c>
      <c r="E112">
        <v>9707.5</v>
      </c>
      <c r="F112">
        <v>9580.75</v>
      </c>
      <c r="G112">
        <v>9592.15</v>
      </c>
      <c r="H112">
        <v>0</v>
      </c>
      <c r="I112" s="8">
        <f t="shared" si="5"/>
        <v>8.6604026565506587E-4</v>
      </c>
      <c r="J112" s="8">
        <f t="shared" si="6"/>
        <v>8.6566546916115822E-4</v>
      </c>
      <c r="K112" s="8">
        <f t="shared" si="3"/>
        <v>-0.10110532702967368</v>
      </c>
    </row>
    <row r="113" spans="1:11" x14ac:dyDescent="0.25">
      <c r="A113" t="str">
        <f t="shared" si="4"/>
        <v>62017</v>
      </c>
      <c r="B113" s="1">
        <v>42900</v>
      </c>
      <c r="C113" s="7">
        <f ca="1">IFERROR(__xludf.DUMMYFUNCTION("""COMPUTED_VALUE"""),42900.6458333333)</f>
        <v>42900.645833333299</v>
      </c>
      <c r="D113">
        <v>9639.7000000000007</v>
      </c>
      <c r="E113">
        <v>9658.65</v>
      </c>
      <c r="F113">
        <v>9540.85</v>
      </c>
      <c r="G113">
        <v>9576</v>
      </c>
      <c r="H113">
        <v>0</v>
      </c>
      <c r="I113" s="8">
        <f t="shared" si="5"/>
        <v>-1.6836684163612503E-3</v>
      </c>
      <c r="J113" s="8">
        <f t="shared" si="6"/>
        <v>-1.685087378961386E-3</v>
      </c>
      <c r="K113" s="8">
        <f t="shared" si="3"/>
        <v>-0.1076487252124646</v>
      </c>
    </row>
    <row r="114" spans="1:11" x14ac:dyDescent="0.25">
      <c r="A114" t="str">
        <f t="shared" si="4"/>
        <v>62017</v>
      </c>
      <c r="B114" s="1">
        <v>42901</v>
      </c>
      <c r="C114" s="7">
        <f ca="1">IFERROR(__xludf.DUMMYFUNCTION("""COMPUTED_VALUE"""),42901.6458333333)</f>
        <v>42901.645833333299</v>
      </c>
      <c r="D114">
        <v>9578.2999999999993</v>
      </c>
      <c r="E114">
        <v>9740.1</v>
      </c>
      <c r="F114">
        <v>9554.65</v>
      </c>
      <c r="G114">
        <v>9695.85</v>
      </c>
      <c r="H114">
        <v>0</v>
      </c>
      <c r="I114" s="8">
        <f t="shared" si="5"/>
        <v>1.2515664160400952E-2</v>
      </c>
      <c r="J114" s="8">
        <f t="shared" si="6"/>
        <v>1.2437990654590581E-2</v>
      </c>
      <c r="K114" s="8">
        <f t="shared" si="3"/>
        <v>-9.1719399154094439E-2</v>
      </c>
    </row>
    <row r="115" spans="1:11" x14ac:dyDescent="0.25">
      <c r="A115" t="str">
        <f t="shared" si="4"/>
        <v>62017</v>
      </c>
      <c r="B115" s="1">
        <v>42902</v>
      </c>
      <c r="C115" s="7">
        <f ca="1">IFERROR(__xludf.DUMMYFUNCTION("""COMPUTED_VALUE"""),42902.6458333333)</f>
        <v>42902.645833333299</v>
      </c>
      <c r="D115">
        <v>9734.2000000000007</v>
      </c>
      <c r="E115">
        <v>9764.6</v>
      </c>
      <c r="F115">
        <v>9506.15</v>
      </c>
      <c r="G115">
        <v>9525.5</v>
      </c>
      <c r="H115">
        <v>0</v>
      </c>
      <c r="I115" s="8">
        <f t="shared" si="5"/>
        <v>-1.7569372463476673E-2</v>
      </c>
      <c r="J115" s="8">
        <f t="shared" si="6"/>
        <v>-1.7725545836910134E-2</v>
      </c>
      <c r="K115" s="8">
        <f t="shared" si="3"/>
        <v>-0.11064739603757023</v>
      </c>
    </row>
    <row r="116" spans="1:11" x14ac:dyDescent="0.25">
      <c r="A116" t="str">
        <f t="shared" si="4"/>
        <v>62017</v>
      </c>
      <c r="B116" s="1">
        <v>42905</v>
      </c>
      <c r="C116" s="7">
        <f ca="1">IFERROR(__xludf.DUMMYFUNCTION("""COMPUTED_VALUE"""),42905.6458333333)</f>
        <v>42905.645833333299</v>
      </c>
      <c r="D116">
        <v>9560.35</v>
      </c>
      <c r="E116">
        <v>9564.9500000000007</v>
      </c>
      <c r="F116">
        <v>9422.65</v>
      </c>
      <c r="G116">
        <v>9489.2000000000007</v>
      </c>
      <c r="H116">
        <v>0</v>
      </c>
      <c r="I116" s="8">
        <f t="shared" si="5"/>
        <v>-3.8108235788146816E-3</v>
      </c>
      <c r="J116" s="8">
        <f t="shared" si="6"/>
        <v>-3.8181032672799492E-3</v>
      </c>
      <c r="K116" s="8">
        <f t="shared" si="3"/>
        <v>-9.5728409767718792E-2</v>
      </c>
    </row>
    <row r="117" spans="1:11" x14ac:dyDescent="0.25">
      <c r="A117" t="str">
        <f t="shared" si="4"/>
        <v>62017</v>
      </c>
      <c r="B117" s="1">
        <v>42906</v>
      </c>
      <c r="C117" s="7">
        <f ca="1">IFERROR(__xludf.DUMMYFUNCTION("""COMPUTED_VALUE"""),42906.6458333333)</f>
        <v>42906.645833333299</v>
      </c>
      <c r="D117">
        <v>9509</v>
      </c>
      <c r="E117">
        <v>9546.5499999999993</v>
      </c>
      <c r="F117">
        <v>9449.6</v>
      </c>
      <c r="G117">
        <v>9481.9</v>
      </c>
      <c r="H117">
        <v>0</v>
      </c>
      <c r="I117" s="8">
        <f t="shared" si="5"/>
        <v>-7.6929562028427156E-4</v>
      </c>
      <c r="J117" s="8">
        <f t="shared" si="6"/>
        <v>-7.6959168000800306E-4</v>
      </c>
      <c r="K117" s="8">
        <f t="shared" si="3"/>
        <v>-9.7868332294694382E-2</v>
      </c>
    </row>
    <row r="118" spans="1:11" x14ac:dyDescent="0.25">
      <c r="A118" t="str">
        <f t="shared" si="4"/>
        <v>62017</v>
      </c>
      <c r="B118" s="1">
        <v>42907</v>
      </c>
      <c r="C118" s="7">
        <f ca="1">IFERROR(__xludf.DUMMYFUNCTION("""COMPUTED_VALUE"""),42907.6458333333)</f>
        <v>42907.645833333299</v>
      </c>
      <c r="D118">
        <v>9499.25</v>
      </c>
      <c r="E118">
        <v>9532.15</v>
      </c>
      <c r="F118">
        <v>9402.5</v>
      </c>
      <c r="G118">
        <v>9456.7999999999993</v>
      </c>
      <c r="H118">
        <v>0</v>
      </c>
      <c r="I118" s="8">
        <f t="shared" si="5"/>
        <v>-2.6471487781984937E-3</v>
      </c>
      <c r="J118" s="8">
        <f t="shared" si="6"/>
        <v>-2.6506586720345727E-3</v>
      </c>
      <c r="K118" s="8">
        <f t="shared" si="3"/>
        <v>-0.10575686511839033</v>
      </c>
    </row>
    <row r="119" spans="1:11" x14ac:dyDescent="0.25">
      <c r="A119" t="str">
        <f t="shared" si="4"/>
        <v>62017</v>
      </c>
      <c r="B119" s="1">
        <v>42908</v>
      </c>
      <c r="C119" s="7">
        <f ca="1">IFERROR(__xludf.DUMMYFUNCTION("""COMPUTED_VALUE"""),42908.6458333333)</f>
        <v>42908.645833333299</v>
      </c>
      <c r="D119">
        <v>9470.25</v>
      </c>
      <c r="E119">
        <v>9536.75</v>
      </c>
      <c r="F119">
        <v>9448.25</v>
      </c>
      <c r="G119">
        <v>9471.6</v>
      </c>
      <c r="H119">
        <v>0</v>
      </c>
      <c r="I119" s="8">
        <f t="shared" si="5"/>
        <v>1.5650114203538124E-3</v>
      </c>
      <c r="J119" s="8">
        <f t="shared" si="6"/>
        <v>1.5637880661900619E-3</v>
      </c>
      <c r="K119" s="8">
        <f t="shared" si="3"/>
        <v>-0.10275805557792228</v>
      </c>
    </row>
    <row r="120" spans="1:11" x14ac:dyDescent="0.25">
      <c r="A120" t="str">
        <f t="shared" si="4"/>
        <v>62017</v>
      </c>
      <c r="B120" s="1">
        <v>42909</v>
      </c>
      <c r="C120" s="7">
        <f ca="1">IFERROR(__xludf.DUMMYFUNCTION("""COMPUTED_VALUE"""),42909.6458333333)</f>
        <v>42909.645833333299</v>
      </c>
      <c r="D120">
        <v>9476.0499999999993</v>
      </c>
      <c r="E120">
        <v>9541.2000000000007</v>
      </c>
      <c r="F120">
        <v>9409.15</v>
      </c>
      <c r="G120">
        <v>9478.15</v>
      </c>
      <c r="H120">
        <v>0</v>
      </c>
      <c r="I120" s="8">
        <f t="shared" si="5"/>
        <v>6.9154102791491034E-4</v>
      </c>
      <c r="J120" s="8">
        <f t="shared" si="6"/>
        <v>6.9130202359944464E-4</v>
      </c>
      <c r="K120" s="8">
        <f t="shared" si="3"/>
        <v>-9.2296421149407726E-2</v>
      </c>
    </row>
    <row r="121" spans="1:11" x14ac:dyDescent="0.25">
      <c r="A121" t="str">
        <f t="shared" si="4"/>
        <v>62017</v>
      </c>
      <c r="B121" s="1">
        <v>42913</v>
      </c>
      <c r="C121" s="7">
        <f ca="1">IFERROR(__xludf.DUMMYFUNCTION("""COMPUTED_VALUE"""),42913.6458333333)</f>
        <v>42913.645833333299</v>
      </c>
      <c r="D121">
        <v>9510.4500000000007</v>
      </c>
      <c r="E121">
        <v>9575.5</v>
      </c>
      <c r="F121">
        <v>9399.5499999999993</v>
      </c>
      <c r="G121">
        <v>9467.9</v>
      </c>
      <c r="H121">
        <v>0</v>
      </c>
      <c r="I121" s="8">
        <f t="shared" si="5"/>
        <v>-1.0814346681577991E-3</v>
      </c>
      <c r="J121" s="8">
        <f t="shared" si="6"/>
        <v>-1.082019840550396E-3</v>
      </c>
      <c r="K121" s="8">
        <f t="shared" si="3"/>
        <v>-9.8097678539108668E-2</v>
      </c>
    </row>
    <row r="122" spans="1:11" x14ac:dyDescent="0.25">
      <c r="A122" t="str">
        <f t="shared" si="4"/>
        <v>62017</v>
      </c>
      <c r="B122" s="1">
        <v>42914</v>
      </c>
      <c r="C122" s="7">
        <f ca="1">IFERROR(__xludf.DUMMYFUNCTION("""COMPUTED_VALUE"""),42914.6458333333)</f>
        <v>42914.645833333299</v>
      </c>
      <c r="D122">
        <v>9458.7000000000007</v>
      </c>
      <c r="E122">
        <v>9498.4</v>
      </c>
      <c r="F122">
        <v>9402.6</v>
      </c>
      <c r="G122">
        <v>9482.35</v>
      </c>
      <c r="H122">
        <v>0</v>
      </c>
      <c r="I122" s="8">
        <f t="shared" si="5"/>
        <v>1.5262096135364445E-3</v>
      </c>
      <c r="J122" s="8">
        <f t="shared" si="6"/>
        <v>1.5250461392974928E-3</v>
      </c>
      <c r="K122" s="8">
        <f t="shared" si="3"/>
        <v>-8.9941935793464101E-2</v>
      </c>
    </row>
    <row r="123" spans="1:11" x14ac:dyDescent="0.25">
      <c r="A123" t="str">
        <f t="shared" si="4"/>
        <v>62017</v>
      </c>
      <c r="B123" s="1">
        <v>42915</v>
      </c>
      <c r="C123" s="7">
        <f ca="1">IFERROR(__xludf.DUMMYFUNCTION("""COMPUTED_VALUE"""),42915.6458333333)</f>
        <v>42915.645833333299</v>
      </c>
      <c r="D123">
        <v>9502.5499999999993</v>
      </c>
      <c r="E123">
        <v>9513.7999999999993</v>
      </c>
      <c r="F123">
        <v>9408.4</v>
      </c>
      <c r="G123">
        <v>9428.2000000000007</v>
      </c>
      <c r="H123">
        <v>0</v>
      </c>
      <c r="I123" s="8">
        <f t="shared" si="5"/>
        <v>-5.7106097117275434E-3</v>
      </c>
      <c r="J123" s="8">
        <f t="shared" si="6"/>
        <v>-5.7269775868097365E-3</v>
      </c>
      <c r="K123" s="8">
        <f t="shared" si="3"/>
        <v>-9.4078195113045493E-2</v>
      </c>
    </row>
    <row r="124" spans="1:11" x14ac:dyDescent="0.25">
      <c r="A124" t="str">
        <f t="shared" si="4"/>
        <v>62017</v>
      </c>
      <c r="B124" s="1">
        <v>42916</v>
      </c>
      <c r="C124" s="7">
        <f ca="1">IFERROR(__xludf.DUMMYFUNCTION("""COMPUTED_VALUE"""),42916.6458333333)</f>
        <v>42916.645833333299</v>
      </c>
      <c r="D124">
        <v>9436.85</v>
      </c>
      <c r="E124">
        <v>9632.2000000000007</v>
      </c>
      <c r="F124">
        <v>9420.75</v>
      </c>
      <c r="G124">
        <v>9606.4</v>
      </c>
      <c r="H124">
        <v>0</v>
      </c>
      <c r="I124" s="8">
        <f t="shared" si="5"/>
        <v>1.8900744574786188E-2</v>
      </c>
      <c r="J124" s="8">
        <f t="shared" si="6"/>
        <v>1.8724344761194296E-2</v>
      </c>
      <c r="K124" s="8">
        <f t="shared" si="3"/>
        <v>-7.7296936457547871E-2</v>
      </c>
    </row>
    <row r="125" spans="1:11" x14ac:dyDescent="0.25">
      <c r="A125" t="str">
        <f t="shared" si="4"/>
        <v>72017</v>
      </c>
      <c r="B125" s="1">
        <v>42919</v>
      </c>
      <c r="C125" s="7">
        <f ca="1">IFERROR(__xludf.DUMMYFUNCTION("""COMPUTED_VALUE"""),42919.6458333333)</f>
        <v>42919.645833333299</v>
      </c>
      <c r="D125">
        <v>9637.6</v>
      </c>
      <c r="E125">
        <v>9648.15</v>
      </c>
      <c r="F125">
        <v>9563.4500000000007</v>
      </c>
      <c r="G125">
        <v>9616.2999999999993</v>
      </c>
      <c r="H125">
        <v>0</v>
      </c>
      <c r="I125" s="8">
        <f t="shared" si="5"/>
        <v>1.0305629580278364E-3</v>
      </c>
      <c r="J125" s="8">
        <f t="shared" si="6"/>
        <v>1.0300322925807482E-3</v>
      </c>
      <c r="K125" s="8">
        <f t="shared" si="3"/>
        <v>-8.4480156897840275E-2</v>
      </c>
    </row>
    <row r="126" spans="1:11" x14ac:dyDescent="0.25">
      <c r="A126" t="str">
        <f t="shared" si="4"/>
        <v>72017</v>
      </c>
      <c r="B126" s="1">
        <v>42920</v>
      </c>
      <c r="C126" s="7">
        <f ca="1">IFERROR(__xludf.DUMMYFUNCTION("""COMPUTED_VALUE"""),42920.6458333333)</f>
        <v>42920.645833333299</v>
      </c>
      <c r="D126">
        <v>9656.2000000000007</v>
      </c>
      <c r="E126">
        <v>9659.2000000000007</v>
      </c>
      <c r="F126">
        <v>9497.6</v>
      </c>
      <c r="G126">
        <v>9517.9500000000007</v>
      </c>
      <c r="H126">
        <v>0</v>
      </c>
      <c r="I126" s="8">
        <f t="shared" si="5"/>
        <v>-1.0227426349011415E-2</v>
      </c>
      <c r="J126" s="8">
        <f t="shared" si="6"/>
        <v>-1.0280085828865936E-2</v>
      </c>
      <c r="K126" s="8">
        <f t="shared" si="3"/>
        <v>-9.7067208037073693E-2</v>
      </c>
    </row>
    <row r="127" spans="1:11" x14ac:dyDescent="0.25">
      <c r="A127" t="str">
        <f t="shared" si="4"/>
        <v>72017</v>
      </c>
      <c r="B127" s="1">
        <v>42921</v>
      </c>
      <c r="C127" s="7">
        <f ca="1">IFERROR(__xludf.DUMMYFUNCTION("""COMPUTED_VALUE"""),42921.6458333333)</f>
        <v>42921.645833333299</v>
      </c>
      <c r="D127">
        <v>9518.9500000000007</v>
      </c>
      <c r="E127">
        <v>9612.15</v>
      </c>
      <c r="F127">
        <v>9498.9500000000007</v>
      </c>
      <c r="G127">
        <v>9589.15</v>
      </c>
      <c r="H127">
        <v>0</v>
      </c>
      <c r="I127" s="8">
        <f t="shared" si="5"/>
        <v>7.4806024406515181E-3</v>
      </c>
      <c r="J127" s="8">
        <f t="shared" si="6"/>
        <v>7.452761492712864E-3</v>
      </c>
      <c r="K127" s="8">
        <f t="shared" si="3"/>
        <v>-8.4104606626742018E-2</v>
      </c>
    </row>
    <row r="128" spans="1:11" x14ac:dyDescent="0.25">
      <c r="A128" t="str">
        <f t="shared" si="4"/>
        <v>72017</v>
      </c>
      <c r="B128" s="1">
        <v>42922</v>
      </c>
      <c r="C128" s="7">
        <f ca="1">IFERROR(__xludf.DUMMYFUNCTION("""COMPUTED_VALUE"""),42922.6458333333)</f>
        <v>42922.645833333299</v>
      </c>
      <c r="D128">
        <v>9627</v>
      </c>
      <c r="E128">
        <v>9661.7000000000007</v>
      </c>
      <c r="F128">
        <v>9580.1</v>
      </c>
      <c r="G128">
        <v>9598.4500000000007</v>
      </c>
      <c r="H128">
        <v>0</v>
      </c>
      <c r="I128" s="8">
        <f t="shared" si="5"/>
        <v>9.6984612817618832E-4</v>
      </c>
      <c r="J128" s="8">
        <f t="shared" si="6"/>
        <v>9.6937613127858608E-4</v>
      </c>
      <c r="K128" s="8">
        <f t="shared" ref="K128:K191" si="7">+G128/G67-1</f>
        <v>-6.6825137568297888E-2</v>
      </c>
    </row>
    <row r="129" spans="1:11" x14ac:dyDescent="0.25">
      <c r="A129" t="str">
        <f t="shared" si="4"/>
        <v>72017</v>
      </c>
      <c r="B129" s="1">
        <v>42923</v>
      </c>
      <c r="C129" s="7">
        <f ca="1">IFERROR(__xludf.DUMMYFUNCTION("""COMPUTED_VALUE"""),42923.6458333333)</f>
        <v>42923.645833333299</v>
      </c>
      <c r="D129">
        <v>9614.7999999999993</v>
      </c>
      <c r="E129">
        <v>9778.1</v>
      </c>
      <c r="F129">
        <v>9611.7999999999993</v>
      </c>
      <c r="G129">
        <v>9723.85</v>
      </c>
      <c r="H129">
        <v>0</v>
      </c>
      <c r="I129" s="8">
        <f t="shared" si="5"/>
        <v>1.3064609390057713E-2</v>
      </c>
      <c r="J129" s="8">
        <f t="shared" si="6"/>
        <v>1.2980003479521544E-2</v>
      </c>
      <c r="K129" s="8">
        <f t="shared" si="7"/>
        <v>-5.7382849609337039E-2</v>
      </c>
    </row>
    <row r="130" spans="1:11" x14ac:dyDescent="0.25">
      <c r="A130" t="str">
        <f t="shared" si="4"/>
        <v>72017</v>
      </c>
      <c r="B130" s="1">
        <v>42926</v>
      </c>
      <c r="C130" s="7">
        <f ca="1">IFERROR(__xludf.DUMMYFUNCTION("""COMPUTED_VALUE"""),42926.6458333333)</f>
        <v>42926.645833333299</v>
      </c>
      <c r="D130">
        <v>9782.75</v>
      </c>
      <c r="E130">
        <v>9919.5</v>
      </c>
      <c r="F130">
        <v>9705.2999999999993</v>
      </c>
      <c r="G130">
        <v>9884.4500000000007</v>
      </c>
      <c r="H130">
        <v>0</v>
      </c>
      <c r="I130" s="8">
        <f t="shared" si="5"/>
        <v>1.6516091877188499E-2</v>
      </c>
      <c r="J130" s="8">
        <f t="shared" si="6"/>
        <v>1.6381184632075621E-2</v>
      </c>
      <c r="K130" s="8">
        <f t="shared" si="7"/>
        <v>-4.5492513676241075E-2</v>
      </c>
    </row>
    <row r="131" spans="1:11" x14ac:dyDescent="0.25">
      <c r="A131" t="str">
        <f t="shared" ref="A131:A194" si="8">+MONTH(B131)&amp;YEAR(B131)</f>
        <v>72017</v>
      </c>
      <c r="B131" s="1">
        <v>42927</v>
      </c>
      <c r="C131" s="7">
        <f ca="1">IFERROR(__xludf.DUMMYFUNCTION("""COMPUTED_VALUE"""),42927.6458333333)</f>
        <v>42927.645833333299</v>
      </c>
      <c r="D131">
        <v>9911.15</v>
      </c>
      <c r="E131">
        <v>9948.75</v>
      </c>
      <c r="F131">
        <v>9782.5</v>
      </c>
      <c r="G131">
        <v>9801.65</v>
      </c>
      <c r="H131">
        <v>0</v>
      </c>
      <c r="I131" s="8">
        <f t="shared" si="5"/>
        <v>-8.3767938529711872E-3</v>
      </c>
      <c r="J131" s="8">
        <f t="shared" si="6"/>
        <v>-8.4120763649807445E-3</v>
      </c>
      <c r="K131" s="8">
        <f t="shared" si="7"/>
        <v>-6.1612032321066268E-2</v>
      </c>
    </row>
    <row r="132" spans="1:11" x14ac:dyDescent="0.25">
      <c r="A132" t="str">
        <f t="shared" si="8"/>
        <v>72017</v>
      </c>
      <c r="B132" s="1">
        <v>42928</v>
      </c>
      <c r="C132" s="7">
        <f ca="1">IFERROR(__xludf.DUMMYFUNCTION("""COMPUTED_VALUE"""),42928.6458333333)</f>
        <v>42928.645833333299</v>
      </c>
      <c r="D132">
        <v>9825.65</v>
      </c>
      <c r="E132">
        <v>9859.5499999999993</v>
      </c>
      <c r="F132">
        <v>9775.9</v>
      </c>
      <c r="G132">
        <v>9817.7999999999993</v>
      </c>
      <c r="H132">
        <v>0</v>
      </c>
      <c r="I132" s="8">
        <f t="shared" ref="I132:I195" si="9">+G132/G131-1</f>
        <v>1.6476817678656719E-3</v>
      </c>
      <c r="J132" s="8">
        <f t="shared" ref="J132:J195" si="10">+LN(1+I132)</f>
        <v>1.6463258294938856E-3</v>
      </c>
      <c r="K132" s="8">
        <f t="shared" si="7"/>
        <v>-6.7807955791662655E-2</v>
      </c>
    </row>
    <row r="133" spans="1:11" x14ac:dyDescent="0.25">
      <c r="A133" t="str">
        <f t="shared" si="8"/>
        <v>72017</v>
      </c>
      <c r="B133" s="1">
        <v>42929</v>
      </c>
      <c r="C133" s="7">
        <f ca="1">IFERROR(__xludf.DUMMYFUNCTION("""COMPUTED_VALUE"""),42929.6458333333)</f>
        <v>42929.645833333299</v>
      </c>
      <c r="D133">
        <v>9827.0499999999993</v>
      </c>
      <c r="E133">
        <v>9910.35</v>
      </c>
      <c r="F133">
        <v>9820.1</v>
      </c>
      <c r="G133">
        <v>9875.25</v>
      </c>
      <c r="H133">
        <v>0</v>
      </c>
      <c r="I133" s="8">
        <f t="shared" si="9"/>
        <v>5.8516164517510294E-3</v>
      </c>
      <c r="J133" s="8">
        <f t="shared" si="10"/>
        <v>5.8345622416580241E-3</v>
      </c>
      <c r="K133" s="8">
        <f t="shared" si="7"/>
        <v>-5.4868857401266125E-2</v>
      </c>
    </row>
    <row r="134" spans="1:11" x14ac:dyDescent="0.25">
      <c r="A134" t="str">
        <f t="shared" si="8"/>
        <v>72017</v>
      </c>
      <c r="B134" s="1">
        <v>42930</v>
      </c>
      <c r="C134" s="7">
        <f ca="1">IFERROR(__xludf.DUMMYFUNCTION("""COMPUTED_VALUE"""),42930.6458333333)</f>
        <v>42930.645833333299</v>
      </c>
      <c r="D134">
        <v>9897.9500000000007</v>
      </c>
      <c r="E134">
        <v>9994.65</v>
      </c>
      <c r="F134">
        <v>9875.4</v>
      </c>
      <c r="G134">
        <v>9958.25</v>
      </c>
      <c r="H134">
        <v>0</v>
      </c>
      <c r="I134" s="8">
        <f t="shared" si="9"/>
        <v>8.4048505101137483E-3</v>
      </c>
      <c r="J134" s="8">
        <f t="shared" si="10"/>
        <v>8.3697264252890063E-3</v>
      </c>
      <c r="K134" s="8">
        <f t="shared" si="7"/>
        <v>-3.8389115278394614E-2</v>
      </c>
    </row>
    <row r="135" spans="1:11" x14ac:dyDescent="0.25">
      <c r="A135" t="str">
        <f t="shared" si="8"/>
        <v>72017</v>
      </c>
      <c r="B135" s="1">
        <v>42933</v>
      </c>
      <c r="C135" s="7">
        <f ca="1">IFERROR(__xludf.DUMMYFUNCTION("""COMPUTED_VALUE"""),42933.6458333333)</f>
        <v>42933.645833333299</v>
      </c>
      <c r="D135">
        <v>9993.85</v>
      </c>
      <c r="E135">
        <v>10020.35</v>
      </c>
      <c r="F135">
        <v>9933</v>
      </c>
      <c r="G135">
        <v>9994.75</v>
      </c>
      <c r="H135">
        <v>0</v>
      </c>
      <c r="I135" s="8">
        <f t="shared" si="9"/>
        <v>3.6653026385158327E-3</v>
      </c>
      <c r="J135" s="8">
        <f t="shared" si="10"/>
        <v>3.6586017855776984E-3</v>
      </c>
      <c r="K135" s="8">
        <f t="shared" si="7"/>
        <v>-3.1615000411779781E-2</v>
      </c>
    </row>
    <row r="136" spans="1:11" x14ac:dyDescent="0.25">
      <c r="A136" t="str">
        <f t="shared" si="8"/>
        <v>72017</v>
      </c>
      <c r="B136" s="1">
        <v>42934</v>
      </c>
      <c r="C136" s="7">
        <f ca="1">IFERROR(__xludf.DUMMYFUNCTION("""COMPUTED_VALUE"""),42934.6458333333)</f>
        <v>42934.645833333299</v>
      </c>
      <c r="D136">
        <v>9983.0499999999993</v>
      </c>
      <c r="E136">
        <v>10096.799999999999</v>
      </c>
      <c r="F136">
        <v>9968.9500000000007</v>
      </c>
      <c r="G136">
        <v>10024.299999999999</v>
      </c>
      <c r="H136">
        <v>0</v>
      </c>
      <c r="I136" s="8">
        <f t="shared" si="9"/>
        <v>2.9565521898995417E-3</v>
      </c>
      <c r="J136" s="8">
        <f t="shared" si="10"/>
        <v>2.9521901850221707E-3</v>
      </c>
      <c r="K136" s="8">
        <f t="shared" si="7"/>
        <v>-2.7140077348977942E-2</v>
      </c>
    </row>
    <row r="137" spans="1:11" x14ac:dyDescent="0.25">
      <c r="A137" t="str">
        <f t="shared" si="8"/>
        <v>72017</v>
      </c>
      <c r="B137" s="1">
        <v>42935</v>
      </c>
      <c r="C137" s="7">
        <f ca="1">IFERROR(__xludf.DUMMYFUNCTION("""COMPUTED_VALUE"""),42935.6458333333)</f>
        <v>42935.645833333299</v>
      </c>
      <c r="D137">
        <v>10128.5</v>
      </c>
      <c r="E137">
        <v>10245.450000000001</v>
      </c>
      <c r="F137">
        <v>10118.6</v>
      </c>
      <c r="G137">
        <v>10234.6</v>
      </c>
      <c r="H137">
        <v>0</v>
      </c>
      <c r="I137" s="8">
        <f t="shared" si="9"/>
        <v>2.0979020979021046E-2</v>
      </c>
      <c r="J137" s="8">
        <f t="shared" si="10"/>
        <v>2.0761991448429225E-2</v>
      </c>
      <c r="K137" s="8">
        <f t="shared" si="7"/>
        <v>2.5566929519518222E-3</v>
      </c>
    </row>
    <row r="138" spans="1:11" x14ac:dyDescent="0.25">
      <c r="A138" t="str">
        <f t="shared" si="8"/>
        <v>72017</v>
      </c>
      <c r="B138" s="1">
        <v>42936</v>
      </c>
      <c r="C138" s="7">
        <f ca="1">IFERROR(__xludf.DUMMYFUNCTION("""COMPUTED_VALUE"""),42936.6458333333)</f>
        <v>42936.645833333299</v>
      </c>
      <c r="D138">
        <v>10256.049999999999</v>
      </c>
      <c r="E138">
        <v>10259.65</v>
      </c>
      <c r="F138">
        <v>10125.15</v>
      </c>
      <c r="G138">
        <v>10140.75</v>
      </c>
      <c r="H138">
        <v>0</v>
      </c>
      <c r="I138" s="8">
        <f t="shared" si="9"/>
        <v>-9.1698747386317336E-3</v>
      </c>
      <c r="J138" s="8">
        <f t="shared" si="10"/>
        <v>-9.2121768419038408E-3</v>
      </c>
      <c r="K138" s="8">
        <f t="shared" si="7"/>
        <v>-3.6353811009309789E-3</v>
      </c>
    </row>
    <row r="139" spans="1:11" x14ac:dyDescent="0.25">
      <c r="A139" t="str">
        <f t="shared" si="8"/>
        <v>72017</v>
      </c>
      <c r="B139" s="1">
        <v>42937</v>
      </c>
      <c r="C139" s="7">
        <f ca="1">IFERROR(__xludf.DUMMYFUNCTION("""COMPUTED_VALUE"""),42937.6458333333)</f>
        <v>42937.645833333299</v>
      </c>
      <c r="D139">
        <v>10130.65</v>
      </c>
      <c r="E139">
        <v>10130.65</v>
      </c>
      <c r="F139">
        <v>9992.35</v>
      </c>
      <c r="G139">
        <v>10052.4</v>
      </c>
      <c r="H139">
        <v>0</v>
      </c>
      <c r="I139" s="8">
        <f t="shared" si="9"/>
        <v>-8.712373345166835E-3</v>
      </c>
      <c r="J139" s="8">
        <f t="shared" si="10"/>
        <v>-8.7505479592129704E-3</v>
      </c>
      <c r="K139" s="8">
        <f t="shared" si="7"/>
        <v>-1.8459300196749573E-2</v>
      </c>
    </row>
    <row r="140" spans="1:11" x14ac:dyDescent="0.25">
      <c r="A140" t="str">
        <f t="shared" si="8"/>
        <v>72017</v>
      </c>
      <c r="B140" s="1">
        <v>42940</v>
      </c>
      <c r="C140" s="7">
        <f ca="1">IFERROR(__xludf.DUMMYFUNCTION("""COMPUTED_VALUE"""),42940.6458333333)</f>
        <v>42940.645833333299</v>
      </c>
      <c r="D140">
        <v>10079.85</v>
      </c>
      <c r="E140">
        <v>10092</v>
      </c>
      <c r="F140">
        <v>9964.7000000000007</v>
      </c>
      <c r="G140">
        <v>9980.5</v>
      </c>
      <c r="H140">
        <v>0</v>
      </c>
      <c r="I140" s="8">
        <f t="shared" si="9"/>
        <v>-7.1525207910548838E-3</v>
      </c>
      <c r="J140" s="8">
        <f t="shared" si="10"/>
        <v>-7.1782226968268017E-3</v>
      </c>
      <c r="K140" s="8">
        <f t="shared" si="7"/>
        <v>-2.1250931628290171E-2</v>
      </c>
    </row>
    <row r="141" spans="1:11" x14ac:dyDescent="0.25">
      <c r="A141" t="str">
        <f t="shared" si="8"/>
        <v>72017</v>
      </c>
      <c r="B141" s="1">
        <v>42941</v>
      </c>
      <c r="C141" s="7">
        <f ca="1">IFERROR(__xludf.DUMMYFUNCTION("""COMPUTED_VALUE"""),42941.6458333333)</f>
        <v>42941.645833333299</v>
      </c>
      <c r="D141">
        <v>9987.1</v>
      </c>
      <c r="E141">
        <v>10003</v>
      </c>
      <c r="F141">
        <v>9907.7999999999993</v>
      </c>
      <c r="G141">
        <v>9930.5499999999993</v>
      </c>
      <c r="H141">
        <v>0</v>
      </c>
      <c r="I141" s="8">
        <f t="shared" si="9"/>
        <v>-5.0047592805971819E-3</v>
      </c>
      <c r="J141" s="8">
        <f t="shared" si="10"/>
        <v>-5.0173250315638856E-3</v>
      </c>
      <c r="K141" s="8">
        <f t="shared" si="7"/>
        <v>-1.6777227722772348E-2</v>
      </c>
    </row>
    <row r="142" spans="1:11" x14ac:dyDescent="0.25">
      <c r="A142" t="str">
        <f t="shared" si="8"/>
        <v>72017</v>
      </c>
      <c r="B142" s="1">
        <v>42942</v>
      </c>
      <c r="C142" s="7">
        <f ca="1">IFERROR(__xludf.DUMMYFUNCTION("""COMPUTED_VALUE"""),42942.6458333333)</f>
        <v>42942.645833333299</v>
      </c>
      <c r="D142">
        <v>9963.65</v>
      </c>
      <c r="E142">
        <v>10044.35</v>
      </c>
      <c r="F142">
        <v>9920</v>
      </c>
      <c r="G142">
        <v>10036.799999999999</v>
      </c>
      <c r="H142">
        <v>0</v>
      </c>
      <c r="I142" s="8">
        <f t="shared" si="9"/>
        <v>1.0699306684926801E-2</v>
      </c>
      <c r="J142" s="8">
        <f t="shared" si="10"/>
        <v>1.0642474123105337E-2</v>
      </c>
      <c r="K142" s="8">
        <f t="shared" si="7"/>
        <v>-8.3095376893359552E-3</v>
      </c>
    </row>
    <row r="143" spans="1:11" x14ac:dyDescent="0.25">
      <c r="A143" t="str">
        <f t="shared" si="8"/>
        <v>72017</v>
      </c>
      <c r="B143" s="1">
        <v>42943</v>
      </c>
      <c r="C143" s="7">
        <f ca="1">IFERROR(__xludf.DUMMYFUNCTION("""COMPUTED_VALUE"""),42943.6458333333)</f>
        <v>42943.645833333299</v>
      </c>
      <c r="D143">
        <v>10051.6</v>
      </c>
      <c r="E143">
        <v>10059.700000000001</v>
      </c>
      <c r="F143">
        <v>9845.9500000000007</v>
      </c>
      <c r="G143">
        <v>9880.25</v>
      </c>
      <c r="H143">
        <v>0</v>
      </c>
      <c r="I143" s="8">
        <f t="shared" si="9"/>
        <v>-1.5597600828949343E-2</v>
      </c>
      <c r="J143" s="8">
        <f t="shared" si="10"/>
        <v>-1.5720523276972292E-2</v>
      </c>
      <c r="K143" s="8">
        <f t="shared" si="7"/>
        <v>-1.5553463161408265E-2</v>
      </c>
    </row>
    <row r="144" spans="1:11" x14ac:dyDescent="0.25">
      <c r="A144" t="str">
        <f t="shared" si="8"/>
        <v>72017</v>
      </c>
      <c r="B144" s="1">
        <v>42944</v>
      </c>
      <c r="C144" s="7">
        <f ca="1">IFERROR(__xludf.DUMMYFUNCTION("""COMPUTED_VALUE"""),42944.6458333333)</f>
        <v>42944.645833333299</v>
      </c>
      <c r="D144">
        <v>9821.25</v>
      </c>
      <c r="E144">
        <v>9821.25</v>
      </c>
      <c r="F144">
        <v>9641.15</v>
      </c>
      <c r="G144">
        <v>9672.6</v>
      </c>
      <c r="H144">
        <v>0</v>
      </c>
      <c r="I144" s="8">
        <f t="shared" si="9"/>
        <v>-2.1016674679284364E-2</v>
      </c>
      <c r="J144" s="8">
        <f t="shared" si="10"/>
        <v>-2.1240668955498514E-2</v>
      </c>
      <c r="K144" s="8">
        <f t="shared" si="7"/>
        <v>-3.0976377006151079E-2</v>
      </c>
    </row>
    <row r="145" spans="1:11" x14ac:dyDescent="0.25">
      <c r="A145" t="str">
        <f t="shared" si="8"/>
        <v>72017</v>
      </c>
      <c r="B145" s="1">
        <v>42947</v>
      </c>
      <c r="C145" s="7">
        <f ca="1">IFERROR(__xludf.DUMMYFUNCTION("""COMPUTED_VALUE"""),42947.6458333333)</f>
        <v>42947.645833333299</v>
      </c>
      <c r="D145">
        <v>9707.9500000000007</v>
      </c>
      <c r="E145">
        <v>9707.9500000000007</v>
      </c>
      <c r="F145">
        <v>9456.7000000000007</v>
      </c>
      <c r="G145">
        <v>9476.4</v>
      </c>
      <c r="H145">
        <v>0</v>
      </c>
      <c r="I145" s="8">
        <f t="shared" si="9"/>
        <v>-2.0284101482538341E-2</v>
      </c>
      <c r="J145" s="8">
        <f t="shared" si="10"/>
        <v>-2.0492648818472257E-2</v>
      </c>
      <c r="K145" s="8">
        <f t="shared" si="7"/>
        <v>-5.036576811303739E-2</v>
      </c>
    </row>
    <row r="146" spans="1:11" x14ac:dyDescent="0.25">
      <c r="A146" t="str">
        <f t="shared" si="8"/>
        <v>82017</v>
      </c>
      <c r="B146" s="1">
        <v>42948</v>
      </c>
      <c r="C146" s="7">
        <f ca="1">IFERROR(__xludf.DUMMYFUNCTION("""COMPUTED_VALUE"""),42948.6458333333)</f>
        <v>42948.645833333299</v>
      </c>
      <c r="D146">
        <v>9488.9</v>
      </c>
      <c r="E146">
        <v>9602.25</v>
      </c>
      <c r="F146">
        <v>9482.35</v>
      </c>
      <c r="G146">
        <v>9517.2999999999993</v>
      </c>
      <c r="H146">
        <v>0</v>
      </c>
      <c r="I146" s="8">
        <f t="shared" si="9"/>
        <v>4.3159849731966293E-3</v>
      </c>
      <c r="J146" s="8">
        <f t="shared" si="10"/>
        <v>4.3066978225981848E-3</v>
      </c>
      <c r="K146" s="8">
        <f t="shared" si="7"/>
        <v>-4.2057744472906888E-2</v>
      </c>
    </row>
    <row r="147" spans="1:11" x14ac:dyDescent="0.25">
      <c r="A147" t="str">
        <f t="shared" si="8"/>
        <v>82017</v>
      </c>
      <c r="B147" s="1">
        <v>42949</v>
      </c>
      <c r="C147" s="7">
        <f ca="1">IFERROR(__xludf.DUMMYFUNCTION("""COMPUTED_VALUE"""),42949.6458333333)</f>
        <v>42949.645833333299</v>
      </c>
      <c r="D147">
        <v>9555.1</v>
      </c>
      <c r="E147">
        <v>9557.4500000000007</v>
      </c>
      <c r="F147">
        <v>9434.2999999999993</v>
      </c>
      <c r="G147">
        <v>9453.9500000000007</v>
      </c>
      <c r="H147">
        <v>0</v>
      </c>
      <c r="I147" s="8">
        <f t="shared" si="9"/>
        <v>-6.656299580763303E-3</v>
      </c>
      <c r="J147" s="8">
        <f t="shared" si="10"/>
        <v>-6.6785515415971001E-3</v>
      </c>
      <c r="K147" s="8">
        <f t="shared" si="7"/>
        <v>-5.6590876205587115E-2</v>
      </c>
    </row>
    <row r="148" spans="1:11" x14ac:dyDescent="0.25">
      <c r="A148" t="str">
        <f t="shared" si="8"/>
        <v>82017</v>
      </c>
      <c r="B148" s="1">
        <v>42950</v>
      </c>
      <c r="C148" s="7">
        <f ca="1">IFERROR(__xludf.DUMMYFUNCTION("""COMPUTED_VALUE"""),42950.6458333333)</f>
        <v>42950.645833333299</v>
      </c>
      <c r="D148">
        <v>9481.7000000000007</v>
      </c>
      <c r="E148">
        <v>9566.4500000000007</v>
      </c>
      <c r="F148">
        <v>9308.4</v>
      </c>
      <c r="G148">
        <v>9336.9</v>
      </c>
      <c r="H148">
        <v>0</v>
      </c>
      <c r="I148" s="8">
        <f t="shared" si="9"/>
        <v>-1.23810682307397E-2</v>
      </c>
      <c r="J148" s="8">
        <f t="shared" si="10"/>
        <v>-1.2458352224147628E-2</v>
      </c>
      <c r="K148" s="8">
        <f t="shared" si="7"/>
        <v>-6.6095201896436251E-2</v>
      </c>
    </row>
    <row r="149" spans="1:11" x14ac:dyDescent="0.25">
      <c r="A149" t="str">
        <f t="shared" si="8"/>
        <v>82017</v>
      </c>
      <c r="B149" s="1">
        <v>42951</v>
      </c>
      <c r="C149" s="7">
        <f ca="1">IFERROR(__xludf.DUMMYFUNCTION("""COMPUTED_VALUE"""),42951.6458333333)</f>
        <v>42951.645833333299</v>
      </c>
      <c r="D149">
        <v>9285.7999999999993</v>
      </c>
      <c r="E149">
        <v>9287.9</v>
      </c>
      <c r="F149">
        <v>9104.2000000000007</v>
      </c>
      <c r="G149">
        <v>9256.85</v>
      </c>
      <c r="H149">
        <v>0</v>
      </c>
      <c r="I149" s="8">
        <f t="shared" si="9"/>
        <v>-8.573509408904334E-3</v>
      </c>
      <c r="J149" s="8">
        <f t="shared" si="10"/>
        <v>-8.6104733662278332E-3</v>
      </c>
      <c r="K149" s="8">
        <f t="shared" si="7"/>
        <v>-8.4042468979438345E-2</v>
      </c>
    </row>
    <row r="150" spans="1:11" x14ac:dyDescent="0.25">
      <c r="A150" t="str">
        <f t="shared" si="8"/>
        <v>82017</v>
      </c>
      <c r="B150" s="1">
        <v>42954</v>
      </c>
      <c r="C150" s="7">
        <f ca="1">IFERROR(__xludf.DUMMYFUNCTION("""COMPUTED_VALUE"""),42954.6458333333)</f>
        <v>42954.645833333299</v>
      </c>
      <c r="D150">
        <v>9280.5499999999993</v>
      </c>
      <c r="E150">
        <v>9323.0499999999993</v>
      </c>
      <c r="F150">
        <v>9210.4500000000007</v>
      </c>
      <c r="G150">
        <v>9229.0499999999993</v>
      </c>
      <c r="H150">
        <v>0</v>
      </c>
      <c r="I150" s="8">
        <f t="shared" si="9"/>
        <v>-3.0031814278076441E-3</v>
      </c>
      <c r="J150" s="8">
        <f t="shared" si="10"/>
        <v>-3.0077000262000502E-3</v>
      </c>
      <c r="K150" s="8">
        <f t="shared" si="7"/>
        <v>-9.3311130432219835E-2</v>
      </c>
    </row>
    <row r="151" spans="1:11" x14ac:dyDescent="0.25">
      <c r="A151" t="str">
        <f t="shared" si="8"/>
        <v>82017</v>
      </c>
      <c r="B151" s="1">
        <v>42955</v>
      </c>
      <c r="C151" s="7">
        <f ca="1">IFERROR(__xludf.DUMMYFUNCTION("""COMPUTED_VALUE"""),42955.6458333333)</f>
        <v>42955.645833333299</v>
      </c>
      <c r="D151">
        <v>9240.0499999999993</v>
      </c>
      <c r="E151">
        <v>9264.7000000000007</v>
      </c>
      <c r="F151">
        <v>9109.35</v>
      </c>
      <c r="G151">
        <v>9125.85</v>
      </c>
      <c r="H151">
        <v>0</v>
      </c>
      <c r="I151" s="8">
        <f t="shared" si="9"/>
        <v>-1.1182082662895887E-2</v>
      </c>
      <c r="J151" s="8">
        <f t="shared" si="10"/>
        <v>-1.1245072158592955E-2</v>
      </c>
      <c r="K151" s="8">
        <f t="shared" si="7"/>
        <v>-9.8360898689904497E-2</v>
      </c>
    </row>
    <row r="152" spans="1:11" x14ac:dyDescent="0.25">
      <c r="A152" t="str">
        <f t="shared" si="8"/>
        <v>82017</v>
      </c>
      <c r="B152" s="1">
        <v>42956</v>
      </c>
      <c r="C152" s="7">
        <f ca="1">IFERROR(__xludf.DUMMYFUNCTION("""COMPUTED_VALUE"""),42956.6458333333)</f>
        <v>42956.645833333299</v>
      </c>
      <c r="D152">
        <v>9070.15</v>
      </c>
      <c r="E152">
        <v>9076.2000000000007</v>
      </c>
      <c r="F152">
        <v>8714.9</v>
      </c>
      <c r="G152">
        <v>8766.25</v>
      </c>
      <c r="H152">
        <v>0</v>
      </c>
      <c r="I152" s="8">
        <f t="shared" si="9"/>
        <v>-3.9404548617389068E-2</v>
      </c>
      <c r="J152" s="8">
        <f t="shared" si="10"/>
        <v>-4.0201924946247913E-2</v>
      </c>
      <c r="K152" s="8">
        <f t="shared" si="7"/>
        <v>-0.14499383098358021</v>
      </c>
    </row>
    <row r="153" spans="1:11" x14ac:dyDescent="0.25">
      <c r="A153" t="str">
        <f t="shared" si="8"/>
        <v>82017</v>
      </c>
      <c r="B153" s="1">
        <v>42957</v>
      </c>
      <c r="C153" s="7">
        <f ca="1">IFERROR(__xludf.DUMMYFUNCTION("""COMPUTED_VALUE"""),42957.6458333333)</f>
        <v>42957.645833333299</v>
      </c>
      <c r="D153">
        <v>8757.2999999999993</v>
      </c>
      <c r="E153">
        <v>8917.5499999999993</v>
      </c>
      <c r="F153">
        <v>8390.6</v>
      </c>
      <c r="G153">
        <v>8513.2000000000007</v>
      </c>
      <c r="H153">
        <v>0</v>
      </c>
      <c r="I153" s="8">
        <f t="shared" si="9"/>
        <v>-2.8866390988164792E-2</v>
      </c>
      <c r="J153" s="8">
        <f t="shared" si="10"/>
        <v>-2.9291220762471454E-2</v>
      </c>
      <c r="K153" s="8">
        <f t="shared" si="7"/>
        <v>-0.16921290309988624</v>
      </c>
    </row>
    <row r="154" spans="1:11" x14ac:dyDescent="0.25">
      <c r="A154" t="str">
        <f t="shared" si="8"/>
        <v>82017</v>
      </c>
      <c r="B154" s="1">
        <v>42958</v>
      </c>
      <c r="C154" s="7">
        <f ca="1">IFERROR(__xludf.DUMMYFUNCTION("""COMPUTED_VALUE"""),42958.6458333333)</f>
        <v>42958.645833333299</v>
      </c>
      <c r="D154">
        <v>8445.25</v>
      </c>
      <c r="E154">
        <v>8604.7999999999993</v>
      </c>
      <c r="F154">
        <v>8314.5</v>
      </c>
      <c r="G154">
        <v>8521.35</v>
      </c>
      <c r="H154">
        <v>0</v>
      </c>
      <c r="I154" s="8">
        <f t="shared" si="9"/>
        <v>9.5733684161070087E-4</v>
      </c>
      <c r="J154" s="8">
        <f t="shared" si="10"/>
        <v>9.5687888695115443E-4</v>
      </c>
      <c r="K154" s="8">
        <f t="shared" si="7"/>
        <v>-0.1664204801126915</v>
      </c>
    </row>
    <row r="155" spans="1:11" x14ac:dyDescent="0.25">
      <c r="A155" t="str">
        <f t="shared" si="8"/>
        <v>82017</v>
      </c>
      <c r="B155" s="1">
        <v>42961</v>
      </c>
      <c r="C155" s="7">
        <f ca="1">IFERROR(__xludf.DUMMYFUNCTION("""COMPUTED_VALUE"""),42961.6458333333)</f>
        <v>42961.645833333299</v>
      </c>
      <c r="D155">
        <v>8494.0499999999993</v>
      </c>
      <c r="E155">
        <v>8786.35</v>
      </c>
      <c r="F155">
        <v>8483.65</v>
      </c>
      <c r="G155">
        <v>8758.1</v>
      </c>
      <c r="H155">
        <v>0</v>
      </c>
      <c r="I155" s="8">
        <f t="shared" si="9"/>
        <v>2.7783156424744826E-2</v>
      </c>
      <c r="J155" s="8">
        <f t="shared" si="10"/>
        <v>2.7404207452550993E-2</v>
      </c>
      <c r="K155" s="8">
        <f t="shared" si="7"/>
        <v>-0.13800773599204741</v>
      </c>
    </row>
    <row r="156" spans="1:11" x14ac:dyDescent="0.25">
      <c r="A156" t="str">
        <f t="shared" si="8"/>
        <v>82017</v>
      </c>
      <c r="B156" s="1">
        <v>42963</v>
      </c>
      <c r="C156" s="7">
        <f ca="1">IFERROR(__xludf.DUMMYFUNCTION("""COMPUTED_VALUE"""),42963.6458333333)</f>
        <v>42963.645833333299</v>
      </c>
      <c r="D156">
        <v>8807.9500000000007</v>
      </c>
      <c r="E156">
        <v>8870.0499999999993</v>
      </c>
      <c r="F156">
        <v>8679.2000000000007</v>
      </c>
      <c r="G156">
        <v>8859.4</v>
      </c>
      <c r="H156">
        <v>0</v>
      </c>
      <c r="I156" s="8">
        <f t="shared" si="9"/>
        <v>1.156643564243387E-2</v>
      </c>
      <c r="J156" s="8">
        <f t="shared" si="10"/>
        <v>1.1500055787573446E-2</v>
      </c>
      <c r="K156" s="8">
        <f t="shared" si="7"/>
        <v>-0.12767696261360173</v>
      </c>
    </row>
    <row r="157" spans="1:11" x14ac:dyDescent="0.25">
      <c r="A157" t="str">
        <f t="shared" si="8"/>
        <v>82017</v>
      </c>
      <c r="B157" s="1">
        <v>42964</v>
      </c>
      <c r="C157" s="7">
        <f ca="1">IFERROR(__xludf.DUMMYFUNCTION("""COMPUTED_VALUE"""),42964.6458333333)</f>
        <v>42964.645833333299</v>
      </c>
      <c r="D157">
        <v>8881.5499999999993</v>
      </c>
      <c r="E157">
        <v>8909.7000000000007</v>
      </c>
      <c r="F157">
        <v>8779.5</v>
      </c>
      <c r="G157">
        <v>8797.1</v>
      </c>
      <c r="H157">
        <v>0</v>
      </c>
      <c r="I157" s="8">
        <f t="shared" si="9"/>
        <v>-7.032078921823115E-3</v>
      </c>
      <c r="J157" s="8">
        <f t="shared" si="10"/>
        <v>-7.0569205160077404E-3</v>
      </c>
      <c r="K157" s="8">
        <f t="shared" si="7"/>
        <v>-0.11668607920314888</v>
      </c>
    </row>
    <row r="158" spans="1:11" x14ac:dyDescent="0.25">
      <c r="A158" t="str">
        <f t="shared" si="8"/>
        <v>82017</v>
      </c>
      <c r="B158" s="1">
        <v>42965</v>
      </c>
      <c r="C158" s="7">
        <f ca="1">IFERROR(__xludf.DUMMYFUNCTION("""COMPUTED_VALUE"""),42965.6458333333)</f>
        <v>42965.645833333299</v>
      </c>
      <c r="D158">
        <v>8758.9500000000007</v>
      </c>
      <c r="E158">
        <v>8758.9500000000007</v>
      </c>
      <c r="F158">
        <v>8576.85</v>
      </c>
      <c r="G158">
        <v>8639.4</v>
      </c>
      <c r="H158">
        <v>0</v>
      </c>
      <c r="I158" s="8">
        <f t="shared" si="9"/>
        <v>-1.7926362096600146E-2</v>
      </c>
      <c r="J158" s="8">
        <f t="shared" si="10"/>
        <v>-1.8088985757436903E-2</v>
      </c>
      <c r="K158" s="8">
        <f t="shared" si="7"/>
        <v>-0.10456764404091912</v>
      </c>
    </row>
    <row r="159" spans="1:11" x14ac:dyDescent="0.25">
      <c r="A159" t="str">
        <f t="shared" si="8"/>
        <v>82017</v>
      </c>
      <c r="B159" s="1">
        <v>42968</v>
      </c>
      <c r="C159" s="7">
        <f ca="1">IFERROR(__xludf.DUMMYFUNCTION("""COMPUTED_VALUE"""),42968.6458333333)</f>
        <v>42968.645833333299</v>
      </c>
      <c r="D159">
        <v>8691.7999999999993</v>
      </c>
      <c r="E159">
        <v>8696.85</v>
      </c>
      <c r="F159">
        <v>8468.7000000000007</v>
      </c>
      <c r="G159">
        <v>8490.2000000000007</v>
      </c>
      <c r="H159">
        <v>0</v>
      </c>
      <c r="I159" s="8">
        <f t="shared" si="9"/>
        <v>-1.7269717804477058E-2</v>
      </c>
      <c r="J159" s="8">
        <f t="shared" si="10"/>
        <v>-1.7420578788320797E-2</v>
      </c>
      <c r="K159" s="8">
        <f t="shared" si="7"/>
        <v>-0.10127607322998422</v>
      </c>
    </row>
    <row r="160" spans="1:11" x14ac:dyDescent="0.25">
      <c r="A160" t="str">
        <f t="shared" si="8"/>
        <v>82017</v>
      </c>
      <c r="B160" s="1">
        <v>42969</v>
      </c>
      <c r="C160" s="7">
        <f ca="1">IFERROR(__xludf.DUMMYFUNCTION("""COMPUTED_VALUE"""),42969.6458333333)</f>
        <v>42969.645833333299</v>
      </c>
      <c r="D160">
        <v>8555.15</v>
      </c>
      <c r="E160">
        <v>8630.5</v>
      </c>
      <c r="F160">
        <v>8494.5499999999993</v>
      </c>
      <c r="G160">
        <v>8566.65</v>
      </c>
      <c r="H160">
        <v>0</v>
      </c>
      <c r="I160" s="8">
        <f t="shared" si="9"/>
        <v>9.0044993050810707E-3</v>
      </c>
      <c r="J160" s="8">
        <f t="shared" si="10"/>
        <v>8.96420053405814E-3</v>
      </c>
      <c r="K160" s="8">
        <f t="shared" si="7"/>
        <v>-6.8756352489088624E-2</v>
      </c>
    </row>
    <row r="161" spans="1:11" x14ac:dyDescent="0.25">
      <c r="A161" t="str">
        <f t="shared" si="8"/>
        <v>82017</v>
      </c>
      <c r="B161" s="1">
        <v>42970</v>
      </c>
      <c r="C161" s="7">
        <f ca="1">IFERROR(__xludf.DUMMYFUNCTION("""COMPUTED_VALUE"""),42970.6458333333)</f>
        <v>42970.645833333299</v>
      </c>
      <c r="D161">
        <v>8619.15</v>
      </c>
      <c r="E161">
        <v>8641.7000000000007</v>
      </c>
      <c r="F161">
        <v>8580.85</v>
      </c>
      <c r="G161">
        <v>8615.85</v>
      </c>
      <c r="H161">
        <v>0</v>
      </c>
      <c r="I161" s="8">
        <f t="shared" si="9"/>
        <v>5.7432018350231928E-3</v>
      </c>
      <c r="J161" s="8">
        <f t="shared" si="10"/>
        <v>5.7267725259088657E-3</v>
      </c>
      <c r="K161" s="8">
        <f t="shared" si="7"/>
        <v>-4.907041041007898E-2</v>
      </c>
    </row>
    <row r="162" spans="1:11" x14ac:dyDescent="0.25">
      <c r="A162" t="str">
        <f t="shared" si="8"/>
        <v>82017</v>
      </c>
      <c r="B162" s="1">
        <v>42971</v>
      </c>
      <c r="C162" s="7">
        <f ca="1">IFERROR(__xludf.DUMMYFUNCTION("""COMPUTED_VALUE"""),42971.6458333333)</f>
        <v>42971.645833333299</v>
      </c>
      <c r="D162">
        <v>8637.1</v>
      </c>
      <c r="E162">
        <v>8921.4</v>
      </c>
      <c r="F162">
        <v>8615.7999999999993</v>
      </c>
      <c r="G162">
        <v>8902.0499999999993</v>
      </c>
      <c r="H162">
        <v>0</v>
      </c>
      <c r="I162" s="8">
        <f t="shared" si="9"/>
        <v>3.3217848500147751E-2</v>
      </c>
      <c r="J162" s="8">
        <f t="shared" si="10"/>
        <v>3.2678057061444776E-2</v>
      </c>
      <c r="K162" s="8">
        <f t="shared" si="7"/>
        <v>1.6471031537600878E-2</v>
      </c>
    </row>
    <row r="163" spans="1:11" x14ac:dyDescent="0.25">
      <c r="A163" t="str">
        <f t="shared" si="8"/>
        <v>82017</v>
      </c>
      <c r="B163" s="1">
        <v>42975</v>
      </c>
      <c r="C163" s="7">
        <f ca="1">IFERROR(__xludf.DUMMYFUNCTION("""COMPUTED_VALUE"""),42975.6458333333)</f>
        <v>42975.645833333299</v>
      </c>
      <c r="D163">
        <v>8949.2999999999993</v>
      </c>
      <c r="E163">
        <v>9031.35</v>
      </c>
      <c r="F163">
        <v>8896.7999999999993</v>
      </c>
      <c r="G163">
        <v>8975.0499999999993</v>
      </c>
      <c r="H163">
        <v>0</v>
      </c>
      <c r="I163" s="8">
        <f t="shared" si="9"/>
        <v>8.2003583444263395E-3</v>
      </c>
      <c r="J163" s="8">
        <f t="shared" si="10"/>
        <v>8.1669180962314E-3</v>
      </c>
      <c r="K163" s="8">
        <f t="shared" si="7"/>
        <v>-1.6962726494110791E-3</v>
      </c>
    </row>
    <row r="164" spans="1:11" x14ac:dyDescent="0.25">
      <c r="A164" t="str">
        <f t="shared" si="8"/>
        <v>82017</v>
      </c>
      <c r="B164" s="1">
        <v>42976</v>
      </c>
      <c r="C164" s="7">
        <f ca="1">IFERROR(__xludf.DUMMYFUNCTION("""COMPUTED_VALUE"""),42976.6458333333)</f>
        <v>42976.645833333299</v>
      </c>
      <c r="D164">
        <v>8948.2999999999993</v>
      </c>
      <c r="E164">
        <v>8956</v>
      </c>
      <c r="F164">
        <v>8845.65</v>
      </c>
      <c r="G164">
        <v>8865.0499999999993</v>
      </c>
      <c r="H164">
        <v>0</v>
      </c>
      <c r="I164" s="8">
        <f t="shared" si="9"/>
        <v>-1.2256199129809908E-2</v>
      </c>
      <c r="J164" s="8">
        <f t="shared" si="10"/>
        <v>-1.233192572127515E-2</v>
      </c>
      <c r="K164" s="8">
        <f t="shared" si="7"/>
        <v>-1.775020082546197E-2</v>
      </c>
    </row>
    <row r="165" spans="1:11" x14ac:dyDescent="0.25">
      <c r="A165" t="str">
        <f t="shared" si="8"/>
        <v>82017</v>
      </c>
      <c r="B165" s="1">
        <v>42977</v>
      </c>
      <c r="C165" s="7">
        <f ca="1">IFERROR(__xludf.DUMMYFUNCTION("""COMPUTED_VALUE"""),42977.6458333333)</f>
        <v>42977.645833333299</v>
      </c>
      <c r="D165">
        <v>8937.9500000000007</v>
      </c>
      <c r="E165">
        <v>8987.15</v>
      </c>
      <c r="F165">
        <v>8894.6</v>
      </c>
      <c r="G165">
        <v>8908.0499999999993</v>
      </c>
      <c r="H165">
        <v>0</v>
      </c>
      <c r="I165" s="8">
        <f t="shared" si="9"/>
        <v>4.8505084573691182E-3</v>
      </c>
      <c r="J165" s="8">
        <f t="shared" si="10"/>
        <v>4.8387826433745331E-3</v>
      </c>
      <c r="K165" s="8">
        <f t="shared" si="7"/>
        <v>-2.1625599261940076E-2</v>
      </c>
    </row>
    <row r="166" spans="1:11" x14ac:dyDescent="0.25">
      <c r="A166" t="str">
        <f t="shared" si="8"/>
        <v>82017</v>
      </c>
      <c r="B166" s="1">
        <v>42978</v>
      </c>
      <c r="C166" s="7">
        <f ca="1">IFERROR(__xludf.DUMMYFUNCTION("""COMPUTED_VALUE"""),42978.6458333333)</f>
        <v>42978.645833333299</v>
      </c>
      <c r="D166">
        <v>8928.2000000000007</v>
      </c>
      <c r="E166">
        <v>8939.5</v>
      </c>
      <c r="F166">
        <v>8841.15</v>
      </c>
      <c r="G166">
        <v>8859.65</v>
      </c>
      <c r="H166">
        <v>0</v>
      </c>
      <c r="I166" s="8">
        <f t="shared" si="9"/>
        <v>-5.4332878688376773E-3</v>
      </c>
      <c r="J166" s="8">
        <f t="shared" si="10"/>
        <v>-5.4481018608587032E-3</v>
      </c>
      <c r="K166" s="8">
        <f t="shared" si="7"/>
        <v>-4.268641879261359E-2</v>
      </c>
    </row>
    <row r="167" spans="1:11" x14ac:dyDescent="0.25">
      <c r="A167" t="str">
        <f t="shared" si="8"/>
        <v>92017</v>
      </c>
      <c r="B167" s="1">
        <v>42979</v>
      </c>
      <c r="C167" s="7">
        <f ca="1">IFERROR(__xludf.DUMMYFUNCTION("""COMPUTED_VALUE"""),42979.6458333333)</f>
        <v>42979.645833333299</v>
      </c>
      <c r="D167">
        <v>8936.85</v>
      </c>
      <c r="E167">
        <v>9088.9</v>
      </c>
      <c r="F167">
        <v>8925.4</v>
      </c>
      <c r="G167">
        <v>9071.7000000000007</v>
      </c>
      <c r="H167">
        <v>0</v>
      </c>
      <c r="I167" s="8">
        <f t="shared" si="9"/>
        <v>2.3934354065905605E-2</v>
      </c>
      <c r="J167" s="8">
        <f t="shared" si="10"/>
        <v>2.3652417204837514E-2</v>
      </c>
      <c r="K167" s="8">
        <f t="shared" si="7"/>
        <v>-1.712397410547406E-2</v>
      </c>
    </row>
    <row r="168" spans="1:11" x14ac:dyDescent="0.25">
      <c r="A168" t="str">
        <f t="shared" si="8"/>
        <v>92017</v>
      </c>
      <c r="B168" s="1">
        <v>42982</v>
      </c>
      <c r="C168" s="7">
        <f ca="1">IFERROR(__xludf.DUMMYFUNCTION("""COMPUTED_VALUE"""),42982.6458333333)</f>
        <v>42982.645833333299</v>
      </c>
      <c r="D168">
        <v>9093.9500000000007</v>
      </c>
      <c r="E168">
        <v>9120.35</v>
      </c>
      <c r="F168">
        <v>8929.4</v>
      </c>
      <c r="G168">
        <v>9070.35</v>
      </c>
      <c r="H168">
        <v>0</v>
      </c>
      <c r="I168" s="8">
        <f t="shared" si="9"/>
        <v>-1.488144449222073E-4</v>
      </c>
      <c r="J168" s="8">
        <f t="shared" si="10"/>
        <v>-1.4882551889037397E-4</v>
      </c>
      <c r="K168" s="8">
        <f t="shared" si="7"/>
        <v>-1.1362893205153379E-2</v>
      </c>
    </row>
    <row r="169" spans="1:11" x14ac:dyDescent="0.25">
      <c r="A169" t="str">
        <f t="shared" si="8"/>
        <v>92017</v>
      </c>
      <c r="B169" s="1">
        <v>42983</v>
      </c>
      <c r="C169" s="7">
        <f ca="1">IFERROR(__xludf.DUMMYFUNCTION("""COMPUTED_VALUE"""),42983.6458333333)</f>
        <v>42983.645833333299</v>
      </c>
      <c r="D169">
        <v>9126.75</v>
      </c>
      <c r="E169">
        <v>9127.65</v>
      </c>
      <c r="F169">
        <v>9003.9500000000007</v>
      </c>
      <c r="G169">
        <v>9037.6</v>
      </c>
      <c r="H169">
        <v>0</v>
      </c>
      <c r="I169" s="8">
        <f t="shared" si="9"/>
        <v>-3.6106655200736082E-3</v>
      </c>
      <c r="J169" s="8">
        <f t="shared" si="10"/>
        <v>-3.6171997060709198E-3</v>
      </c>
      <c r="K169" s="8">
        <f t="shared" si="7"/>
        <v>-2.8272521517544558E-2</v>
      </c>
    </row>
    <row r="170" spans="1:11" x14ac:dyDescent="0.25">
      <c r="A170" t="str">
        <f t="shared" si="8"/>
        <v>92017</v>
      </c>
      <c r="B170" s="1">
        <v>42984</v>
      </c>
      <c r="C170" s="7">
        <f ca="1">IFERROR(__xludf.DUMMYFUNCTION("""COMPUTED_VALUE"""),42984.6458333333)</f>
        <v>42984.645833333299</v>
      </c>
      <c r="D170">
        <v>8978.5499999999993</v>
      </c>
      <c r="E170">
        <v>8980</v>
      </c>
      <c r="F170">
        <v>8883.75</v>
      </c>
      <c r="G170">
        <v>8897.2999999999993</v>
      </c>
      <c r="H170">
        <v>0</v>
      </c>
      <c r="I170" s="8">
        <f t="shared" si="9"/>
        <v>-1.5524032929096321E-2</v>
      </c>
      <c r="J170" s="8">
        <f t="shared" si="10"/>
        <v>-1.5645792505230734E-2</v>
      </c>
      <c r="K170" s="8">
        <f t="shared" si="7"/>
        <v>-6.2124142874460442E-2</v>
      </c>
    </row>
    <row r="171" spans="1:11" x14ac:dyDescent="0.25">
      <c r="A171" t="str">
        <f t="shared" si="8"/>
        <v>92017</v>
      </c>
      <c r="B171" s="1">
        <v>42985</v>
      </c>
      <c r="C171" s="7">
        <f ca="1">IFERROR(__xludf.DUMMYFUNCTION("""COMPUTED_VALUE"""),42985.6458333333)</f>
        <v>42985.645833333299</v>
      </c>
      <c r="D171">
        <v>8937.75</v>
      </c>
      <c r="E171">
        <v>8985.25</v>
      </c>
      <c r="F171">
        <v>8873</v>
      </c>
      <c r="G171">
        <v>8948.7999999999993</v>
      </c>
      <c r="H171">
        <v>0</v>
      </c>
      <c r="I171" s="8">
        <f t="shared" si="9"/>
        <v>5.7882728468185984E-3</v>
      </c>
      <c r="J171" s="8">
        <f t="shared" si="10"/>
        <v>5.7715851598350411E-3</v>
      </c>
      <c r="K171" s="8">
        <f t="shared" si="7"/>
        <v>-5.8749283449121004E-2</v>
      </c>
    </row>
    <row r="172" spans="1:11" x14ac:dyDescent="0.25">
      <c r="A172" t="str">
        <f t="shared" si="8"/>
        <v>92017</v>
      </c>
      <c r="B172" s="1">
        <v>42986</v>
      </c>
      <c r="C172" s="7">
        <f ca="1">IFERROR(__xludf.DUMMYFUNCTION("""COMPUTED_VALUE"""),42986.6458333333)</f>
        <v>42986.645833333299</v>
      </c>
      <c r="D172">
        <v>8956.2000000000007</v>
      </c>
      <c r="E172">
        <v>8998.5499999999993</v>
      </c>
      <c r="F172">
        <v>8793.25</v>
      </c>
      <c r="G172">
        <v>8840.2999999999993</v>
      </c>
      <c r="H172">
        <v>0</v>
      </c>
      <c r="I172" s="8">
        <f t="shared" si="9"/>
        <v>-1.2124530663329192E-2</v>
      </c>
      <c r="J172" s="8">
        <f t="shared" si="10"/>
        <v>-1.219863235988586E-2</v>
      </c>
      <c r="K172" s="8">
        <f t="shared" si="7"/>
        <v>-7.7583643316621265E-2</v>
      </c>
    </row>
    <row r="173" spans="1:11" x14ac:dyDescent="0.25">
      <c r="A173" t="str">
        <f t="shared" si="8"/>
        <v>92017</v>
      </c>
      <c r="B173" s="1">
        <v>42989</v>
      </c>
      <c r="C173" s="7">
        <f ca="1">IFERROR(__xludf.DUMMYFUNCTION("""COMPUTED_VALUE"""),42989.6458333333)</f>
        <v>42989.645833333299</v>
      </c>
      <c r="D173">
        <v>8888.25</v>
      </c>
      <c r="E173">
        <v>8917.65</v>
      </c>
      <c r="F173">
        <v>8787.65</v>
      </c>
      <c r="G173">
        <v>8804.4500000000007</v>
      </c>
      <c r="H173">
        <v>0</v>
      </c>
      <c r="I173" s="8">
        <f t="shared" si="9"/>
        <v>-4.0552922412133707E-3</v>
      </c>
      <c r="J173" s="8">
        <f t="shared" si="10"/>
        <v>-4.0635372369215118E-3</v>
      </c>
      <c r="K173" s="8">
        <f t="shared" si="7"/>
        <v>-8.2119232914414253E-2</v>
      </c>
    </row>
    <row r="174" spans="1:11" x14ac:dyDescent="0.25">
      <c r="A174" t="str">
        <f t="shared" si="8"/>
        <v>92017</v>
      </c>
      <c r="B174" s="1">
        <v>42990</v>
      </c>
      <c r="C174" s="7">
        <f ca="1">IFERROR(__xludf.DUMMYFUNCTION("""COMPUTED_VALUE"""),42990.6458333333)</f>
        <v>42990.645833333299</v>
      </c>
      <c r="D174">
        <v>8856.7999999999993</v>
      </c>
      <c r="E174">
        <v>9009.5499999999993</v>
      </c>
      <c r="F174">
        <v>8795.85</v>
      </c>
      <c r="G174">
        <v>8996.1</v>
      </c>
      <c r="H174">
        <v>0</v>
      </c>
      <c r="I174" s="8">
        <f t="shared" si="9"/>
        <v>2.1767401711634493E-2</v>
      </c>
      <c r="J174" s="8">
        <f t="shared" si="10"/>
        <v>2.153387459848595E-2</v>
      </c>
      <c r="K174" s="8">
        <f t="shared" si="7"/>
        <v>-6.0557644110275644E-2</v>
      </c>
    </row>
    <row r="175" spans="1:11" x14ac:dyDescent="0.25">
      <c r="A175" t="str">
        <f t="shared" si="8"/>
        <v>92017</v>
      </c>
      <c r="B175" s="1">
        <v>42991</v>
      </c>
      <c r="C175" s="7">
        <f ca="1">IFERROR(__xludf.DUMMYFUNCTION("""COMPUTED_VALUE"""),42991.6458333333)</f>
        <v>42991.645833333299</v>
      </c>
      <c r="D175">
        <v>9008.1</v>
      </c>
      <c r="E175">
        <v>9211.75</v>
      </c>
      <c r="F175">
        <v>8967.25</v>
      </c>
      <c r="G175">
        <v>9140.6</v>
      </c>
      <c r="H175">
        <v>0</v>
      </c>
      <c r="I175" s="8">
        <f t="shared" si="9"/>
        <v>1.6062515979146541E-2</v>
      </c>
      <c r="J175" s="8">
        <f t="shared" si="10"/>
        <v>1.5934878738844496E-2</v>
      </c>
      <c r="K175" s="8">
        <f t="shared" si="7"/>
        <v>-5.7266768772206711E-2</v>
      </c>
    </row>
    <row r="176" spans="1:11" x14ac:dyDescent="0.25">
      <c r="A176" t="str">
        <f t="shared" si="8"/>
        <v>92017</v>
      </c>
      <c r="B176" s="1">
        <v>42992</v>
      </c>
      <c r="C176" s="7">
        <f ca="1">IFERROR(__xludf.DUMMYFUNCTION("""COMPUTED_VALUE"""),42992.6458333333)</f>
        <v>42992.645833333299</v>
      </c>
      <c r="D176">
        <v>9257.65</v>
      </c>
      <c r="E176">
        <v>9396.4</v>
      </c>
      <c r="F176">
        <v>9246.7999999999993</v>
      </c>
      <c r="G176">
        <v>9380.85</v>
      </c>
      <c r="H176">
        <v>0</v>
      </c>
      <c r="I176" s="8">
        <f t="shared" si="9"/>
        <v>2.6283832571166066E-2</v>
      </c>
      <c r="J176" s="8">
        <f t="shared" si="10"/>
        <v>2.5944348423717536E-2</v>
      </c>
      <c r="K176" s="8">
        <f t="shared" si="7"/>
        <v>-1.5185554564064785E-2</v>
      </c>
    </row>
    <row r="177" spans="1:11" x14ac:dyDescent="0.25">
      <c r="A177" t="str">
        <f t="shared" si="8"/>
        <v>92017</v>
      </c>
      <c r="B177" s="1">
        <v>42993</v>
      </c>
      <c r="C177" s="7">
        <f ca="1">IFERROR(__xludf.DUMMYFUNCTION("""COMPUTED_VALUE"""),42993.6458333333)</f>
        <v>42993.645833333299</v>
      </c>
      <c r="D177">
        <v>9321.7999999999993</v>
      </c>
      <c r="E177">
        <v>9378.5</v>
      </c>
      <c r="F177">
        <v>9237.85</v>
      </c>
      <c r="G177">
        <v>9338</v>
      </c>
      <c r="H177">
        <v>0</v>
      </c>
      <c r="I177" s="8">
        <f t="shared" si="9"/>
        <v>-4.5678163492647306E-3</v>
      </c>
      <c r="J177" s="8">
        <f t="shared" si="10"/>
        <v>-4.5782807006815602E-3</v>
      </c>
      <c r="K177" s="8">
        <f t="shared" si="7"/>
        <v>-1.593390380643267E-2</v>
      </c>
    </row>
    <row r="178" spans="1:11" x14ac:dyDescent="0.25">
      <c r="A178" t="str">
        <f t="shared" si="8"/>
        <v>92017</v>
      </c>
      <c r="B178" s="1">
        <v>42996</v>
      </c>
      <c r="C178" s="7">
        <f ca="1">IFERROR(__xludf.DUMMYFUNCTION("""COMPUTED_VALUE"""),42996.6458333333)</f>
        <v>42996.645833333299</v>
      </c>
      <c r="D178">
        <v>9378.9500000000007</v>
      </c>
      <c r="E178">
        <v>9403.5499999999993</v>
      </c>
      <c r="F178">
        <v>9217.5499999999993</v>
      </c>
      <c r="G178">
        <v>9339.5499999999993</v>
      </c>
      <c r="H178">
        <v>0</v>
      </c>
      <c r="I178" s="8">
        <f t="shared" si="9"/>
        <v>1.6598843435411403E-4</v>
      </c>
      <c r="J178" s="8">
        <f t="shared" si="10"/>
        <v>1.6597465979820126E-4</v>
      </c>
      <c r="K178" s="8">
        <f t="shared" si="7"/>
        <v>-1.5012813887512078E-2</v>
      </c>
    </row>
    <row r="179" spans="1:11" x14ac:dyDescent="0.25">
      <c r="A179" t="str">
        <f t="shared" si="8"/>
        <v>92017</v>
      </c>
      <c r="B179" s="1">
        <v>42997</v>
      </c>
      <c r="C179" s="7">
        <f ca="1">IFERROR(__xludf.DUMMYFUNCTION("""COMPUTED_VALUE"""),42997.6458333333)</f>
        <v>42997.645833333299</v>
      </c>
      <c r="D179">
        <v>9357.4</v>
      </c>
      <c r="E179">
        <v>9417.2999999999993</v>
      </c>
      <c r="F179">
        <v>9269.6</v>
      </c>
      <c r="G179">
        <v>9293.9500000000007</v>
      </c>
      <c r="H179">
        <v>0</v>
      </c>
      <c r="I179" s="8">
        <f t="shared" si="9"/>
        <v>-4.882462217130179E-3</v>
      </c>
      <c r="J179" s="8">
        <f t="shared" si="10"/>
        <v>-4.8944203751624645E-3</v>
      </c>
      <c r="K179" s="8">
        <f t="shared" si="7"/>
        <v>-1.7220412824633935E-2</v>
      </c>
    </row>
    <row r="180" spans="1:11" x14ac:dyDescent="0.25">
      <c r="A180" t="str">
        <f t="shared" si="8"/>
        <v>92017</v>
      </c>
      <c r="B180" s="1">
        <v>42998</v>
      </c>
      <c r="C180" s="7">
        <f ca="1">IFERROR(__xludf.DUMMYFUNCTION("""COMPUTED_VALUE"""),42998.6458333333)</f>
        <v>42998.645833333299</v>
      </c>
      <c r="D180">
        <v>9327.4</v>
      </c>
      <c r="E180">
        <v>9372.15</v>
      </c>
      <c r="F180">
        <v>9231.7999999999993</v>
      </c>
      <c r="G180">
        <v>9319.85</v>
      </c>
      <c r="H180">
        <v>0</v>
      </c>
      <c r="I180" s="8">
        <f t="shared" si="9"/>
        <v>2.7867591282499937E-3</v>
      </c>
      <c r="J180" s="8">
        <f t="shared" si="10"/>
        <v>2.7828833140013192E-3</v>
      </c>
      <c r="K180" s="8">
        <f t="shared" si="7"/>
        <v>-1.6021580303222316E-2</v>
      </c>
    </row>
    <row r="181" spans="1:11" x14ac:dyDescent="0.25">
      <c r="A181" t="str">
        <f t="shared" si="8"/>
        <v>92017</v>
      </c>
      <c r="B181" s="1">
        <v>42999</v>
      </c>
      <c r="C181" s="7">
        <f ca="1">IFERROR(__xludf.DUMMYFUNCTION("""COMPUTED_VALUE"""),42999.6458333333)</f>
        <v>42999.645833333299</v>
      </c>
      <c r="D181">
        <v>9364.9500000000007</v>
      </c>
      <c r="E181">
        <v>9663.1</v>
      </c>
      <c r="F181">
        <v>9363.2999999999993</v>
      </c>
      <c r="G181">
        <v>9629.75</v>
      </c>
      <c r="H181">
        <v>0</v>
      </c>
      <c r="I181" s="8">
        <f t="shared" si="9"/>
        <v>3.3251608126740217E-2</v>
      </c>
      <c r="J181" s="8">
        <f t="shared" si="10"/>
        <v>3.2710730785691908E-2</v>
      </c>
      <c r="K181" s="8">
        <f t="shared" si="7"/>
        <v>1.5994682506607294E-2</v>
      </c>
    </row>
    <row r="182" spans="1:11" x14ac:dyDescent="0.25">
      <c r="A182" t="str">
        <f t="shared" si="8"/>
        <v>92017</v>
      </c>
      <c r="B182" s="1">
        <v>43000</v>
      </c>
      <c r="C182" s="7">
        <f ca="1">IFERROR(__xludf.DUMMYFUNCTION("""COMPUTED_VALUE"""),43000.6458333333)</f>
        <v>43000.645833333299</v>
      </c>
      <c r="D182">
        <v>9629.15</v>
      </c>
      <c r="E182">
        <v>9709.2000000000007</v>
      </c>
      <c r="F182">
        <v>9428.7999999999993</v>
      </c>
      <c r="G182">
        <v>9465.4500000000007</v>
      </c>
      <c r="H182">
        <v>0</v>
      </c>
      <c r="I182" s="8">
        <f t="shared" si="9"/>
        <v>-1.706170980555044E-2</v>
      </c>
      <c r="J182" s="8">
        <f t="shared" si="10"/>
        <v>-1.7208937820331841E-2</v>
      </c>
      <c r="K182" s="8">
        <f t="shared" si="7"/>
        <v>-2.5876910402511388E-4</v>
      </c>
    </row>
    <row r="183" spans="1:11" x14ac:dyDescent="0.25">
      <c r="A183" t="str">
        <f t="shared" si="8"/>
        <v>92017</v>
      </c>
      <c r="B183" s="1">
        <v>43003</v>
      </c>
      <c r="C183" s="7">
        <f ca="1">IFERROR(__xludf.DUMMYFUNCTION("""COMPUTED_VALUE"""),43003.6458333333)</f>
        <v>43003.645833333299</v>
      </c>
      <c r="D183">
        <v>9468</v>
      </c>
      <c r="E183">
        <v>9474.15</v>
      </c>
      <c r="F183">
        <v>9239.4</v>
      </c>
      <c r="G183">
        <v>9297.0499999999993</v>
      </c>
      <c r="H183">
        <v>0</v>
      </c>
      <c r="I183" s="8">
        <f t="shared" si="9"/>
        <v>-1.7791018916163637E-2</v>
      </c>
      <c r="J183" s="8">
        <f t="shared" si="10"/>
        <v>-1.7951181574533254E-2</v>
      </c>
      <c r="K183" s="8">
        <f t="shared" si="7"/>
        <v>-1.9541569336715137E-2</v>
      </c>
    </row>
    <row r="184" spans="1:11" x14ac:dyDescent="0.25">
      <c r="A184" t="str">
        <f t="shared" si="8"/>
        <v>92017</v>
      </c>
      <c r="B184" s="1">
        <v>43004</v>
      </c>
      <c r="C184" s="7">
        <f ca="1">IFERROR(__xludf.DUMMYFUNCTION("""COMPUTED_VALUE"""),43004.6458333333)</f>
        <v>43004.645833333299</v>
      </c>
      <c r="D184">
        <v>9294.2999999999993</v>
      </c>
      <c r="E184">
        <v>9377.2000000000007</v>
      </c>
      <c r="F184">
        <v>9234.9500000000007</v>
      </c>
      <c r="G184">
        <v>9297.9</v>
      </c>
      <c r="H184">
        <v>0</v>
      </c>
      <c r="I184" s="8">
        <f t="shared" si="9"/>
        <v>9.1426850452602793E-5</v>
      </c>
      <c r="J184" s="8">
        <f t="shared" si="10"/>
        <v>9.1422671272835176E-5</v>
      </c>
      <c r="K184" s="8">
        <f t="shared" si="7"/>
        <v>-1.3820241403449396E-2</v>
      </c>
    </row>
    <row r="185" spans="1:11" x14ac:dyDescent="0.25">
      <c r="A185" t="str">
        <f t="shared" si="8"/>
        <v>92017</v>
      </c>
      <c r="B185" s="1">
        <v>43005</v>
      </c>
      <c r="C185" s="7">
        <f ca="1">IFERROR(__xludf.DUMMYFUNCTION("""COMPUTED_VALUE"""),43005.6458333333)</f>
        <v>43005.645833333299</v>
      </c>
      <c r="D185">
        <v>9254.75</v>
      </c>
      <c r="E185">
        <v>9257.9</v>
      </c>
      <c r="F185">
        <v>8997.25</v>
      </c>
      <c r="G185">
        <v>9036.4500000000007</v>
      </c>
      <c r="H185">
        <v>0</v>
      </c>
      <c r="I185" s="8">
        <f t="shared" si="9"/>
        <v>-2.8119252734488343E-2</v>
      </c>
      <c r="J185" s="8">
        <f t="shared" si="10"/>
        <v>-2.8522170046930893E-2</v>
      </c>
      <c r="K185" s="8">
        <f t="shared" si="7"/>
        <v>-5.9330238174550187E-2</v>
      </c>
    </row>
    <row r="186" spans="1:11" x14ac:dyDescent="0.25">
      <c r="A186" t="str">
        <f t="shared" si="8"/>
        <v>92017</v>
      </c>
      <c r="B186" s="1">
        <v>43006</v>
      </c>
      <c r="C186" s="7">
        <f ca="1">IFERROR(__xludf.DUMMYFUNCTION("""COMPUTED_VALUE"""),43006.6458333333)</f>
        <v>43006.645833333299</v>
      </c>
      <c r="D186">
        <v>9037.65</v>
      </c>
      <c r="E186">
        <v>9182.4</v>
      </c>
      <c r="F186">
        <v>8977.25</v>
      </c>
      <c r="G186">
        <v>9111.5499999999993</v>
      </c>
      <c r="H186">
        <v>0</v>
      </c>
      <c r="I186" s="8">
        <f t="shared" si="9"/>
        <v>8.310785762107642E-3</v>
      </c>
      <c r="J186" s="8">
        <f t="shared" si="10"/>
        <v>8.2764413370172724E-3</v>
      </c>
      <c r="K186" s="8">
        <f t="shared" si="7"/>
        <v>-5.2489003046909954E-2</v>
      </c>
    </row>
    <row r="187" spans="1:11" x14ac:dyDescent="0.25">
      <c r="A187" t="str">
        <f t="shared" si="8"/>
        <v>92017</v>
      </c>
      <c r="B187" s="1">
        <v>43007</v>
      </c>
      <c r="C187" s="7">
        <f ca="1">IFERROR(__xludf.DUMMYFUNCTION("""COMPUTED_VALUE"""),43007.6458333333)</f>
        <v>43007.645833333299</v>
      </c>
      <c r="D187">
        <v>9131.1</v>
      </c>
      <c r="E187">
        <v>9245.2999999999993</v>
      </c>
      <c r="F187">
        <v>9112</v>
      </c>
      <c r="G187">
        <v>9172.6</v>
      </c>
      <c r="H187">
        <v>0</v>
      </c>
      <c r="I187" s="8">
        <f t="shared" si="9"/>
        <v>6.7002869983703306E-3</v>
      </c>
      <c r="J187" s="8">
        <f t="shared" si="10"/>
        <v>6.6779398414787928E-3</v>
      </c>
      <c r="K187" s="8">
        <f t="shared" si="7"/>
        <v>-3.6284073776390979E-2</v>
      </c>
    </row>
    <row r="188" spans="1:11" x14ac:dyDescent="0.25">
      <c r="A188" t="str">
        <f t="shared" si="8"/>
        <v>102017</v>
      </c>
      <c r="B188" s="1">
        <v>43011</v>
      </c>
      <c r="C188" s="7">
        <f ca="1">IFERROR(__xludf.DUMMYFUNCTION("""COMPUTED_VALUE"""),43011.6458333333)</f>
        <v>43011.645833333299</v>
      </c>
      <c r="D188">
        <v>9308.9500000000007</v>
      </c>
      <c r="E188">
        <v>9314.9</v>
      </c>
      <c r="F188">
        <v>9196.15</v>
      </c>
      <c r="G188">
        <v>9214.9500000000007</v>
      </c>
      <c r="H188">
        <v>0</v>
      </c>
      <c r="I188" s="8">
        <f t="shared" si="9"/>
        <v>4.6170115343524554E-3</v>
      </c>
      <c r="J188" s="8">
        <f t="shared" si="10"/>
        <v>4.606385830045078E-3</v>
      </c>
      <c r="K188" s="8">
        <f t="shared" si="7"/>
        <v>-3.9023271092849643E-2</v>
      </c>
    </row>
    <row r="189" spans="1:11" x14ac:dyDescent="0.25">
      <c r="A189" t="str">
        <f t="shared" si="8"/>
        <v>102017</v>
      </c>
      <c r="B189" s="1">
        <v>43012</v>
      </c>
      <c r="C189" s="7">
        <f ca="1">IFERROR(__xludf.DUMMYFUNCTION("""COMPUTED_VALUE"""),43012.6458333333)</f>
        <v>43012.645833333299</v>
      </c>
      <c r="D189">
        <v>9245.2000000000007</v>
      </c>
      <c r="E189">
        <v>9407.15</v>
      </c>
      <c r="F189">
        <v>9208.15</v>
      </c>
      <c r="G189">
        <v>9372.2999999999993</v>
      </c>
      <c r="H189">
        <v>0</v>
      </c>
      <c r="I189" s="8">
        <f t="shared" si="9"/>
        <v>1.7075513160679012E-2</v>
      </c>
      <c r="J189" s="8">
        <f t="shared" si="10"/>
        <v>1.6931365205417864E-2</v>
      </c>
      <c r="K189" s="8">
        <f t="shared" si="7"/>
        <v>-2.3561095801926557E-2</v>
      </c>
    </row>
    <row r="190" spans="1:11" x14ac:dyDescent="0.25">
      <c r="A190" t="str">
        <f t="shared" si="8"/>
        <v>102017</v>
      </c>
      <c r="B190" s="1">
        <v>43013</v>
      </c>
      <c r="C190" s="7">
        <f ca="1">IFERROR(__xludf.DUMMYFUNCTION("""COMPUTED_VALUE"""),43013.6458333333)</f>
        <v>43013.645833333299</v>
      </c>
      <c r="D190">
        <v>9404.9</v>
      </c>
      <c r="E190">
        <v>9508.65</v>
      </c>
      <c r="F190">
        <v>9377.35</v>
      </c>
      <c r="G190">
        <v>9394.15</v>
      </c>
      <c r="H190">
        <v>0</v>
      </c>
      <c r="I190" s="8">
        <f t="shared" si="9"/>
        <v>2.3313380920371163E-3</v>
      </c>
      <c r="J190" s="8">
        <f t="shared" si="10"/>
        <v>2.3286247397301995E-3</v>
      </c>
      <c r="K190" s="8">
        <f t="shared" si="7"/>
        <v>-3.3906323112758874E-2</v>
      </c>
    </row>
    <row r="191" spans="1:11" x14ac:dyDescent="0.25">
      <c r="A191" t="str">
        <f t="shared" si="8"/>
        <v>102017</v>
      </c>
      <c r="B191" s="1">
        <v>43014</v>
      </c>
      <c r="C191" s="7">
        <f ca="1">IFERROR(__xludf.DUMMYFUNCTION("""COMPUTED_VALUE"""),43014.6458333333)</f>
        <v>43014.645833333299</v>
      </c>
      <c r="D191">
        <v>9444.2000000000007</v>
      </c>
      <c r="E191">
        <v>9497.6</v>
      </c>
      <c r="F191">
        <v>9402.5</v>
      </c>
      <c r="G191">
        <v>9477.75</v>
      </c>
      <c r="H191">
        <v>0</v>
      </c>
      <c r="I191" s="8">
        <f t="shared" si="9"/>
        <v>8.8991553253887634E-3</v>
      </c>
      <c r="J191" s="8">
        <f t="shared" si="10"/>
        <v>8.859791208522429E-3</v>
      </c>
      <c r="K191" s="8">
        <f t="shared" si="7"/>
        <v>-4.1145435507286776E-2</v>
      </c>
    </row>
    <row r="192" spans="1:11" x14ac:dyDescent="0.25">
      <c r="A192" t="str">
        <f t="shared" si="8"/>
        <v>102017</v>
      </c>
      <c r="B192" s="1">
        <v>43017</v>
      </c>
      <c r="C192" s="7">
        <f ca="1">IFERROR(__xludf.DUMMYFUNCTION("""COMPUTED_VALUE"""),43017.6458333333)</f>
        <v>43017.645833333299</v>
      </c>
      <c r="D192">
        <v>9497.15</v>
      </c>
      <c r="E192">
        <v>9568.5499999999993</v>
      </c>
      <c r="F192">
        <v>9463.7999999999993</v>
      </c>
      <c r="G192">
        <v>9505.7000000000007</v>
      </c>
      <c r="H192">
        <v>0</v>
      </c>
      <c r="I192" s="8">
        <f t="shared" si="9"/>
        <v>2.9490121600592722E-3</v>
      </c>
      <c r="J192" s="8">
        <f t="shared" si="10"/>
        <v>2.9446723537001878E-3</v>
      </c>
      <c r="K192" s="8">
        <f t="shared" ref="K192:K255" si="11">+G192/G131-1</f>
        <v>-3.0193895925685887E-2</v>
      </c>
    </row>
    <row r="193" spans="1:11" x14ac:dyDescent="0.25">
      <c r="A193" t="str">
        <f t="shared" si="8"/>
        <v>102017</v>
      </c>
      <c r="B193" s="1">
        <v>43018</v>
      </c>
      <c r="C193" s="7">
        <f ca="1">IFERROR(__xludf.DUMMYFUNCTION("""COMPUTED_VALUE"""),43018.6458333333)</f>
        <v>43018.645833333299</v>
      </c>
      <c r="D193">
        <v>9556.75</v>
      </c>
      <c r="E193">
        <v>9608.9</v>
      </c>
      <c r="F193">
        <v>9506.75</v>
      </c>
      <c r="G193">
        <v>9530.2999999999993</v>
      </c>
      <c r="H193">
        <v>0</v>
      </c>
      <c r="I193" s="8">
        <f t="shared" si="9"/>
        <v>2.5879209316512775E-3</v>
      </c>
      <c r="J193" s="8">
        <f t="shared" si="10"/>
        <v>2.5845780304775581E-3</v>
      </c>
      <c r="K193" s="8">
        <f t="shared" si="11"/>
        <v>-2.928354621198237E-2</v>
      </c>
    </row>
    <row r="194" spans="1:11" x14ac:dyDescent="0.25">
      <c r="A194" t="str">
        <f t="shared" si="8"/>
        <v>102017</v>
      </c>
      <c r="B194" s="1">
        <v>43019</v>
      </c>
      <c r="C194" s="7">
        <f ca="1">IFERROR(__xludf.DUMMYFUNCTION("""COMPUTED_VALUE"""),43019.6458333333)</f>
        <v>43019.645833333299</v>
      </c>
      <c r="D194">
        <v>9563.35</v>
      </c>
      <c r="E194">
        <v>9586.85</v>
      </c>
      <c r="F194">
        <v>9385.15</v>
      </c>
      <c r="G194">
        <v>9441.15</v>
      </c>
      <c r="H194">
        <v>0</v>
      </c>
      <c r="I194" s="8">
        <f t="shared" si="9"/>
        <v>-9.3543749934419385E-3</v>
      </c>
      <c r="J194" s="8">
        <f t="shared" si="10"/>
        <v>-9.3984019373343133E-3</v>
      </c>
      <c r="K194" s="8">
        <f t="shared" si="11"/>
        <v>-4.3958380800486085E-2</v>
      </c>
    </row>
    <row r="195" spans="1:11" x14ac:dyDescent="0.25">
      <c r="A195" t="str">
        <f t="shared" ref="A195:A258" si="12">+MONTH(B195)&amp;YEAR(B195)</f>
        <v>102017</v>
      </c>
      <c r="B195" s="1">
        <v>43020</v>
      </c>
      <c r="C195" s="7">
        <f ca="1">IFERROR(__xludf.DUMMYFUNCTION("""COMPUTED_VALUE"""),43020.6458333333)</f>
        <v>43020.645833333299</v>
      </c>
      <c r="D195">
        <v>9561.5</v>
      </c>
      <c r="E195">
        <v>9592.6</v>
      </c>
      <c r="F195">
        <v>9483.5</v>
      </c>
      <c r="G195">
        <v>9577.1</v>
      </c>
      <c r="H195">
        <v>0</v>
      </c>
      <c r="I195" s="8">
        <f t="shared" si="9"/>
        <v>1.4399728846591797E-2</v>
      </c>
      <c r="J195" s="8">
        <f t="shared" si="10"/>
        <v>1.4297037396561371E-2</v>
      </c>
      <c r="K195" s="8">
        <f t="shared" si="11"/>
        <v>-3.8274797278638251E-2</v>
      </c>
    </row>
    <row r="196" spans="1:11" x14ac:dyDescent="0.25">
      <c r="A196" t="str">
        <f t="shared" si="12"/>
        <v>102017</v>
      </c>
      <c r="B196" s="1">
        <v>43021</v>
      </c>
      <c r="C196" s="7">
        <f ca="1">IFERROR(__xludf.DUMMYFUNCTION("""COMPUTED_VALUE"""),43021.6458333333)</f>
        <v>43021.645833333299</v>
      </c>
      <c r="D196">
        <v>9593.7999999999993</v>
      </c>
      <c r="E196">
        <v>9613.7999999999993</v>
      </c>
      <c r="F196">
        <v>9526.35</v>
      </c>
      <c r="G196">
        <v>9545.6</v>
      </c>
      <c r="H196">
        <v>0</v>
      </c>
      <c r="I196" s="8">
        <f t="shared" ref="I196:I259" si="13">+G196/G195-1</f>
        <v>-3.2890958640924284E-3</v>
      </c>
      <c r="J196" s="8">
        <f t="shared" ref="J196:J259" si="14">+LN(1+I196)</f>
        <v>-3.2945168298752206E-3</v>
      </c>
      <c r="K196" s="8">
        <f t="shared" si="11"/>
        <v>-4.4938592761199603E-2</v>
      </c>
    </row>
    <row r="197" spans="1:11" x14ac:dyDescent="0.25">
      <c r="A197" t="str">
        <f t="shared" si="12"/>
        <v>102017</v>
      </c>
      <c r="B197" s="1">
        <v>43024</v>
      </c>
      <c r="C197" s="7">
        <f ca="1">IFERROR(__xludf.DUMMYFUNCTION("""COMPUTED_VALUE"""),43024.6458333333)</f>
        <v>43024.645833333299</v>
      </c>
      <c r="D197">
        <v>9588.1</v>
      </c>
      <c r="E197">
        <v>9705.35</v>
      </c>
      <c r="F197">
        <v>9579.4500000000007</v>
      </c>
      <c r="G197">
        <v>9692.5499999999993</v>
      </c>
      <c r="H197">
        <v>0</v>
      </c>
      <c r="I197" s="8">
        <f t="shared" si="13"/>
        <v>1.5394527321488383E-2</v>
      </c>
      <c r="J197" s="8">
        <f t="shared" si="14"/>
        <v>1.5277233839154089E-2</v>
      </c>
      <c r="K197" s="8">
        <f t="shared" si="11"/>
        <v>-3.3094580170186405E-2</v>
      </c>
    </row>
    <row r="198" spans="1:11" x14ac:dyDescent="0.25">
      <c r="A198" t="str">
        <f t="shared" si="12"/>
        <v>102017</v>
      </c>
      <c r="B198" s="1">
        <v>43025</v>
      </c>
      <c r="C198" s="7">
        <f ca="1">IFERROR(__xludf.DUMMYFUNCTION("""COMPUTED_VALUE"""),43025.8333333333)</f>
        <v>43025.833333333299</v>
      </c>
      <c r="D198">
        <v>9683.35</v>
      </c>
      <c r="E198">
        <v>9752.6</v>
      </c>
      <c r="F198">
        <v>9638.85</v>
      </c>
      <c r="G198">
        <v>9740.5499999999993</v>
      </c>
      <c r="H198">
        <v>0</v>
      </c>
      <c r="I198" s="8">
        <f t="shared" si="13"/>
        <v>4.9522571459523768E-3</v>
      </c>
      <c r="J198" s="8">
        <f t="shared" si="14"/>
        <v>4.9400350552146997E-3</v>
      </c>
      <c r="K198" s="8">
        <f t="shared" si="11"/>
        <v>-4.827252652766123E-2</v>
      </c>
    </row>
    <row r="199" spans="1:11" x14ac:dyDescent="0.25">
      <c r="A199" t="str">
        <f t="shared" si="12"/>
        <v>102017</v>
      </c>
      <c r="B199" s="1">
        <v>43026</v>
      </c>
      <c r="C199" s="7">
        <f ca="1">IFERROR(__xludf.DUMMYFUNCTION("""COMPUTED_VALUE"""),43026.6458333333)</f>
        <v>43026.645833333299</v>
      </c>
      <c r="D199">
        <v>9760.7999999999993</v>
      </c>
      <c r="E199">
        <v>9760.7999999999993</v>
      </c>
      <c r="F199">
        <v>9611.6</v>
      </c>
      <c r="G199">
        <v>9622.6</v>
      </c>
      <c r="H199">
        <v>0</v>
      </c>
      <c r="I199" s="8">
        <f t="shared" si="13"/>
        <v>-1.2109172479993324E-2</v>
      </c>
      <c r="J199" s="8">
        <f t="shared" si="14"/>
        <v>-1.2183085801205706E-2</v>
      </c>
      <c r="K199" s="8">
        <f t="shared" si="11"/>
        <v>-5.1095826245593279E-2</v>
      </c>
    </row>
    <row r="200" spans="1:11" x14ac:dyDescent="0.25">
      <c r="A200" t="str">
        <f t="shared" si="12"/>
        <v>102017</v>
      </c>
      <c r="B200" s="1">
        <v>43027</v>
      </c>
      <c r="C200" s="7">
        <f ca="1">IFERROR(__xludf.DUMMYFUNCTION("""COMPUTED_VALUE"""),43027.8333333333)</f>
        <v>43027.833333333299</v>
      </c>
      <c r="D200">
        <v>9646.4</v>
      </c>
      <c r="E200">
        <v>9655.65</v>
      </c>
      <c r="F200">
        <v>9561.1</v>
      </c>
      <c r="G200">
        <v>9593.5</v>
      </c>
      <c r="H200">
        <v>0</v>
      </c>
      <c r="I200" s="8">
        <f t="shared" si="13"/>
        <v>-3.0241306923285416E-3</v>
      </c>
      <c r="J200" s="8">
        <f t="shared" si="14"/>
        <v>-3.0287126154386148E-3</v>
      </c>
      <c r="K200" s="8">
        <f t="shared" si="11"/>
        <v>-4.5650789861127694E-2</v>
      </c>
    </row>
    <row r="201" spans="1:11" x14ac:dyDescent="0.25">
      <c r="A201" t="str">
        <f t="shared" si="12"/>
        <v>102017</v>
      </c>
      <c r="B201" s="1">
        <v>43031</v>
      </c>
      <c r="C201" s="7">
        <f ca="1">IFERROR(__xludf.DUMMYFUNCTION("""COMPUTED_VALUE"""),43031.6458333333)</f>
        <v>43031.645833333299</v>
      </c>
      <c r="D201">
        <v>9637.9</v>
      </c>
      <c r="E201">
        <v>9654.85</v>
      </c>
      <c r="F201">
        <v>9495.75</v>
      </c>
      <c r="G201">
        <v>9542.2000000000007</v>
      </c>
      <c r="H201">
        <v>0</v>
      </c>
      <c r="I201" s="8">
        <f t="shared" si="13"/>
        <v>-5.3473706155208189E-3</v>
      </c>
      <c r="J201" s="8">
        <f t="shared" si="14"/>
        <v>-5.3617189752943372E-3</v>
      </c>
      <c r="K201" s="8">
        <f t="shared" si="11"/>
        <v>-4.3915635489203853E-2</v>
      </c>
    </row>
    <row r="202" spans="1:11" x14ac:dyDescent="0.25">
      <c r="A202" t="str">
        <f t="shared" si="12"/>
        <v>102017</v>
      </c>
      <c r="B202" s="1">
        <v>43032</v>
      </c>
      <c r="C202" s="7">
        <f ca="1">IFERROR(__xludf.DUMMYFUNCTION("""COMPUTED_VALUE"""),43032.6458333333)</f>
        <v>43032.645833333299</v>
      </c>
      <c r="D202">
        <v>9554.5499999999993</v>
      </c>
      <c r="E202">
        <v>9561.85</v>
      </c>
      <c r="F202">
        <v>9479.5499999999993</v>
      </c>
      <c r="G202">
        <v>9490</v>
      </c>
      <c r="H202">
        <v>0</v>
      </c>
      <c r="I202" s="8">
        <f t="shared" si="13"/>
        <v>-5.4704365869506777E-3</v>
      </c>
      <c r="J202" s="8">
        <f t="shared" si="14"/>
        <v>-5.4854542188858737E-3</v>
      </c>
      <c r="K202" s="8">
        <f t="shared" si="11"/>
        <v>-4.4363101741595301E-2</v>
      </c>
    </row>
    <row r="203" spans="1:11" x14ac:dyDescent="0.25">
      <c r="A203" t="str">
        <f t="shared" si="12"/>
        <v>102017</v>
      </c>
      <c r="B203" s="1">
        <v>43033</v>
      </c>
      <c r="C203" s="7">
        <f ca="1">IFERROR(__xludf.DUMMYFUNCTION("""COMPUTED_VALUE"""),43033.6458333333)</f>
        <v>43033.645833333299</v>
      </c>
      <c r="D203">
        <v>9527.7000000000007</v>
      </c>
      <c r="E203">
        <v>9539.85</v>
      </c>
      <c r="F203">
        <v>9332.65</v>
      </c>
      <c r="G203">
        <v>9346.75</v>
      </c>
      <c r="H203">
        <v>0</v>
      </c>
      <c r="I203" s="8">
        <f t="shared" si="13"/>
        <v>-1.509483667017919E-2</v>
      </c>
      <c r="J203" s="8">
        <f t="shared" si="14"/>
        <v>-1.5209923328780607E-2</v>
      </c>
      <c r="K203" s="8">
        <f t="shared" si="11"/>
        <v>-6.8751992666985395E-2</v>
      </c>
    </row>
    <row r="204" spans="1:11" x14ac:dyDescent="0.25">
      <c r="A204" t="str">
        <f t="shared" si="12"/>
        <v>102017</v>
      </c>
      <c r="B204" s="1">
        <v>43034</v>
      </c>
      <c r="C204" s="7">
        <f ca="1">IFERROR(__xludf.DUMMYFUNCTION("""COMPUTED_VALUE"""),43034.6458333333)</f>
        <v>43034.645833333299</v>
      </c>
      <c r="D204">
        <v>9385.35</v>
      </c>
      <c r="E204">
        <v>9474.85</v>
      </c>
      <c r="F204">
        <v>9302.2000000000007</v>
      </c>
      <c r="G204">
        <v>9428.35</v>
      </c>
      <c r="H204">
        <v>0</v>
      </c>
      <c r="I204" s="8">
        <f t="shared" si="13"/>
        <v>8.7303073260760478E-3</v>
      </c>
      <c r="J204" s="8">
        <f t="shared" si="14"/>
        <v>8.6924185537982125E-3</v>
      </c>
      <c r="K204" s="8">
        <f t="shared" si="11"/>
        <v>-4.5737709066066112E-2</v>
      </c>
    </row>
    <row r="205" spans="1:11" x14ac:dyDescent="0.25">
      <c r="A205" t="str">
        <f t="shared" si="12"/>
        <v>102017</v>
      </c>
      <c r="B205" s="1">
        <v>43035</v>
      </c>
      <c r="C205" s="7">
        <f ca="1">IFERROR(__xludf.DUMMYFUNCTION("""COMPUTED_VALUE"""),43035.6458333333)</f>
        <v>43035.645833333299</v>
      </c>
      <c r="D205">
        <v>9497.2000000000007</v>
      </c>
      <c r="E205">
        <v>9722.85</v>
      </c>
      <c r="F205">
        <v>9488.0499999999993</v>
      </c>
      <c r="G205">
        <v>9650.1</v>
      </c>
      <c r="H205">
        <v>0</v>
      </c>
      <c r="I205" s="8">
        <f t="shared" si="13"/>
        <v>2.3519491745639387E-2</v>
      </c>
      <c r="J205" s="8">
        <f t="shared" si="14"/>
        <v>2.324717014464862E-2</v>
      </c>
      <c r="K205" s="8">
        <f t="shared" si="11"/>
        <v>-2.3261584268965407E-3</v>
      </c>
    </row>
    <row r="206" spans="1:11" x14ac:dyDescent="0.25">
      <c r="A206" t="str">
        <f t="shared" si="12"/>
        <v>102017</v>
      </c>
      <c r="B206" s="1">
        <v>43038</v>
      </c>
      <c r="C206" s="7">
        <f ca="1">IFERROR(__xludf.DUMMYFUNCTION("""COMPUTED_VALUE"""),43038.6458333333)</f>
        <v>43038.645833333299</v>
      </c>
      <c r="D206">
        <v>9686.0499999999993</v>
      </c>
      <c r="E206">
        <v>9852.6</v>
      </c>
      <c r="F206">
        <v>9599.1</v>
      </c>
      <c r="G206">
        <v>9754.85</v>
      </c>
      <c r="H206">
        <v>0</v>
      </c>
      <c r="I206" s="8">
        <f t="shared" si="13"/>
        <v>1.0854809794717202E-2</v>
      </c>
      <c r="J206" s="8">
        <f t="shared" si="14"/>
        <v>1.0796319235466615E-2</v>
      </c>
      <c r="K206" s="8">
        <f t="shared" si="11"/>
        <v>2.938352116837617E-2</v>
      </c>
    </row>
    <row r="207" spans="1:11" x14ac:dyDescent="0.25">
      <c r="A207" t="str">
        <f t="shared" si="12"/>
        <v>102017</v>
      </c>
      <c r="B207" s="1">
        <v>43039</v>
      </c>
      <c r="C207" s="7">
        <f ca="1">IFERROR(__xludf.DUMMYFUNCTION("""COMPUTED_VALUE"""),43039.6458333333)</f>
        <v>43039.645833333299</v>
      </c>
      <c r="D207">
        <v>9753.75</v>
      </c>
      <c r="E207">
        <v>9829.2000000000007</v>
      </c>
      <c r="F207">
        <v>9697.9500000000007</v>
      </c>
      <c r="G207">
        <v>9756</v>
      </c>
      <c r="H207">
        <v>0</v>
      </c>
      <c r="I207" s="8">
        <f t="shared" si="13"/>
        <v>1.178900751932499E-4</v>
      </c>
      <c r="J207" s="8">
        <f t="shared" si="14"/>
        <v>1.1788312670443524E-4</v>
      </c>
      <c r="K207" s="8">
        <f t="shared" si="11"/>
        <v>2.5080642619230265E-2</v>
      </c>
    </row>
    <row r="208" spans="1:11" x14ac:dyDescent="0.25">
      <c r="A208" t="str">
        <f t="shared" si="12"/>
        <v>112017</v>
      </c>
      <c r="B208" s="1">
        <v>43040</v>
      </c>
      <c r="C208" s="7">
        <f ca="1">IFERROR(__xludf.DUMMYFUNCTION("""COMPUTED_VALUE"""),43040.6458333333)</f>
        <v>43040.645833333299</v>
      </c>
      <c r="D208">
        <v>9750.0499999999993</v>
      </c>
      <c r="E208">
        <v>9827.4</v>
      </c>
      <c r="F208">
        <v>9694.2000000000007</v>
      </c>
      <c r="G208">
        <v>9711.5499999999993</v>
      </c>
      <c r="H208">
        <v>0</v>
      </c>
      <c r="I208" s="8">
        <f t="shared" si="13"/>
        <v>-4.5561705617056525E-3</v>
      </c>
      <c r="J208" s="8">
        <f t="shared" si="14"/>
        <v>-4.5665815416353461E-3</v>
      </c>
      <c r="K208" s="8">
        <f t="shared" si="11"/>
        <v>2.7247869937962355E-2</v>
      </c>
    </row>
    <row r="209" spans="1:11" x14ac:dyDescent="0.25">
      <c r="A209" t="str">
        <f t="shared" si="12"/>
        <v>112017</v>
      </c>
      <c r="B209" s="1">
        <v>43041</v>
      </c>
      <c r="C209" s="7">
        <f ca="1">IFERROR(__xludf.DUMMYFUNCTION("""COMPUTED_VALUE"""),43041.6458333333)</f>
        <v>43041.645833333299</v>
      </c>
      <c r="D209">
        <v>9782.6</v>
      </c>
      <c r="E209">
        <v>10060.35</v>
      </c>
      <c r="F209">
        <v>9782.6</v>
      </c>
      <c r="G209">
        <v>10004.5</v>
      </c>
      <c r="H209">
        <v>0</v>
      </c>
      <c r="I209" s="8">
        <f t="shared" si="13"/>
        <v>3.0165112675113681E-2</v>
      </c>
      <c r="J209" s="8">
        <f t="shared" si="14"/>
        <v>2.9719092962371924E-2</v>
      </c>
      <c r="K209" s="8">
        <f t="shared" si="11"/>
        <v>7.1501247737471685E-2</v>
      </c>
    </row>
    <row r="210" spans="1:11" x14ac:dyDescent="0.25">
      <c r="A210" t="str">
        <f t="shared" si="12"/>
        <v>112017</v>
      </c>
      <c r="B210" s="1">
        <v>43042</v>
      </c>
      <c r="C210" s="7">
        <f ca="1">IFERROR(__xludf.DUMMYFUNCTION("""COMPUTED_VALUE"""),43042.6458333333)</f>
        <v>43042.645833333299</v>
      </c>
      <c r="D210">
        <v>10052.25</v>
      </c>
      <c r="E210">
        <v>10062.5</v>
      </c>
      <c r="F210">
        <v>9845.35</v>
      </c>
      <c r="G210">
        <v>9897.2000000000007</v>
      </c>
      <c r="H210">
        <v>0</v>
      </c>
      <c r="I210" s="8">
        <f t="shared" si="13"/>
        <v>-1.0725173671847554E-2</v>
      </c>
      <c r="J210" s="8">
        <f t="shared" si="14"/>
        <v>-1.0783102920156062E-2</v>
      </c>
      <c r="K210" s="8">
        <f t="shared" si="11"/>
        <v>6.9175799543041094E-2</v>
      </c>
    </row>
    <row r="211" spans="1:11" x14ac:dyDescent="0.25">
      <c r="A211" t="str">
        <f t="shared" si="12"/>
        <v>112017</v>
      </c>
      <c r="B211" s="1">
        <v>43045</v>
      </c>
      <c r="C211" s="7">
        <f ca="1">IFERROR(__xludf.DUMMYFUNCTION("""COMPUTED_VALUE"""),43045.6458333333)</f>
        <v>43045.645833333299</v>
      </c>
      <c r="D211">
        <v>9886.7000000000007</v>
      </c>
      <c r="E211">
        <v>9962.1</v>
      </c>
      <c r="F211">
        <v>9854.2000000000007</v>
      </c>
      <c r="G211">
        <v>9894.1</v>
      </c>
      <c r="H211">
        <v>0</v>
      </c>
      <c r="I211" s="8">
        <f t="shared" si="13"/>
        <v>-3.1321990057797677E-4</v>
      </c>
      <c r="J211" s="8">
        <f t="shared" si="14"/>
        <v>-3.1326896417643358E-4</v>
      </c>
      <c r="K211" s="8">
        <f t="shared" si="11"/>
        <v>7.2060504602315723E-2</v>
      </c>
    </row>
    <row r="212" spans="1:11" x14ac:dyDescent="0.25">
      <c r="A212" t="str">
        <f t="shared" si="12"/>
        <v>112017</v>
      </c>
      <c r="B212" s="1">
        <v>43046</v>
      </c>
      <c r="C212" s="7">
        <f ca="1">IFERROR(__xludf.DUMMYFUNCTION("""COMPUTED_VALUE"""),43046.6458333333)</f>
        <v>43046.645833333299</v>
      </c>
      <c r="D212">
        <v>9953.5</v>
      </c>
      <c r="E212">
        <v>9986.6</v>
      </c>
      <c r="F212">
        <v>9364.25</v>
      </c>
      <c r="G212">
        <v>9469.75</v>
      </c>
      <c r="H212">
        <v>0</v>
      </c>
      <c r="I212" s="8">
        <f t="shared" si="13"/>
        <v>-4.2889196591908374E-2</v>
      </c>
      <c r="J212" s="8">
        <f t="shared" si="14"/>
        <v>-4.3836112195781915E-2</v>
      </c>
      <c r="K212" s="8">
        <f t="shared" si="11"/>
        <v>3.7684160927475174E-2</v>
      </c>
    </row>
    <row r="213" spans="1:11" x14ac:dyDescent="0.25">
      <c r="A213" t="str">
        <f t="shared" si="12"/>
        <v>112017</v>
      </c>
      <c r="B213" s="1">
        <v>43047</v>
      </c>
      <c r="C213" s="7">
        <f ca="1">IFERROR(__xludf.DUMMYFUNCTION("""COMPUTED_VALUE"""),43047.6458333333)</f>
        <v>43047.645833333299</v>
      </c>
      <c r="D213">
        <v>9553.0499999999993</v>
      </c>
      <c r="E213">
        <v>9659.25</v>
      </c>
      <c r="F213">
        <v>9483.4</v>
      </c>
      <c r="G213">
        <v>9494.9500000000007</v>
      </c>
      <c r="H213">
        <v>0</v>
      </c>
      <c r="I213" s="8">
        <f t="shared" si="13"/>
        <v>2.6611050978115891E-3</v>
      </c>
      <c r="J213" s="8">
        <f t="shared" si="14"/>
        <v>2.657570626651725E-3</v>
      </c>
      <c r="K213" s="8">
        <f t="shared" si="11"/>
        <v>8.3125623841437513E-2</v>
      </c>
    </row>
    <row r="214" spans="1:11" x14ac:dyDescent="0.25">
      <c r="A214" t="str">
        <f t="shared" si="12"/>
        <v>112017</v>
      </c>
      <c r="B214" s="1">
        <v>43048</v>
      </c>
      <c r="C214" s="7">
        <f ca="1">IFERROR(__xludf.DUMMYFUNCTION("""COMPUTED_VALUE"""),43048.6458333333)</f>
        <v>43048.645833333299</v>
      </c>
      <c r="D214">
        <v>9616.65</v>
      </c>
      <c r="E214">
        <v>9623.2000000000007</v>
      </c>
      <c r="F214">
        <v>9289.0499999999993</v>
      </c>
      <c r="G214">
        <v>9435.85</v>
      </c>
      <c r="H214">
        <v>0</v>
      </c>
      <c r="I214" s="8">
        <f t="shared" si="13"/>
        <v>-6.224361371044651E-3</v>
      </c>
      <c r="J214" s="8">
        <f t="shared" si="14"/>
        <v>-6.243813468212467E-3</v>
      </c>
      <c r="K214" s="8">
        <f t="shared" si="11"/>
        <v>0.10837875299534838</v>
      </c>
    </row>
    <row r="215" spans="1:11" x14ac:dyDescent="0.25">
      <c r="A215" t="str">
        <f t="shared" si="12"/>
        <v>112017</v>
      </c>
      <c r="B215" s="1">
        <v>43049</v>
      </c>
      <c r="C215" s="7">
        <f ca="1">IFERROR(__xludf.DUMMYFUNCTION("""COMPUTED_VALUE"""),43049.6458333333)</f>
        <v>43049.645833333299</v>
      </c>
      <c r="D215">
        <v>9460.4</v>
      </c>
      <c r="E215">
        <v>9484.1</v>
      </c>
      <c r="F215">
        <v>9262.5</v>
      </c>
      <c r="G215">
        <v>9311.5</v>
      </c>
      <c r="H215">
        <v>0</v>
      </c>
      <c r="I215" s="8">
        <f t="shared" si="13"/>
        <v>-1.3178462989555828E-2</v>
      </c>
      <c r="J215" s="8">
        <f t="shared" si="14"/>
        <v>-1.3266069463311717E-2</v>
      </c>
      <c r="K215" s="8">
        <f t="shared" si="11"/>
        <v>9.2725917841656402E-2</v>
      </c>
    </row>
    <row r="216" spans="1:11" x14ac:dyDescent="0.25">
      <c r="A216" t="str">
        <f t="shared" si="12"/>
        <v>112017</v>
      </c>
      <c r="B216" s="1">
        <v>43052</v>
      </c>
      <c r="C216" s="7">
        <f ca="1">IFERROR(__xludf.DUMMYFUNCTION("""COMPUTED_VALUE"""),43052.6458333333)</f>
        <v>43052.645833333299</v>
      </c>
      <c r="D216">
        <v>9334.65</v>
      </c>
      <c r="E216">
        <v>9345.4500000000007</v>
      </c>
      <c r="F216">
        <v>9168.7000000000007</v>
      </c>
      <c r="G216">
        <v>9238.85</v>
      </c>
      <c r="H216">
        <v>0</v>
      </c>
      <c r="I216" s="8">
        <f t="shared" si="13"/>
        <v>-7.8021800998764324E-3</v>
      </c>
      <c r="J216" s="8">
        <f t="shared" si="14"/>
        <v>-7.8327763559379159E-3</v>
      </c>
      <c r="K216" s="8">
        <f t="shared" si="11"/>
        <v>5.4892042794669971E-2</v>
      </c>
    </row>
    <row r="217" spans="1:11" x14ac:dyDescent="0.25">
      <c r="A217" t="str">
        <f t="shared" si="12"/>
        <v>112017</v>
      </c>
      <c r="B217" s="1">
        <v>43053</v>
      </c>
      <c r="C217" s="7">
        <f ca="1">IFERROR(__xludf.DUMMYFUNCTION("""COMPUTED_VALUE"""),43053.6458333333)</f>
        <v>43053.645833333299</v>
      </c>
      <c r="D217">
        <v>9240.9</v>
      </c>
      <c r="E217">
        <v>9284</v>
      </c>
      <c r="F217">
        <v>9174.2999999999993</v>
      </c>
      <c r="G217">
        <v>9208.4500000000007</v>
      </c>
      <c r="H217">
        <v>0</v>
      </c>
      <c r="I217" s="8">
        <f t="shared" si="13"/>
        <v>-3.2904528160971891E-3</v>
      </c>
      <c r="J217" s="8">
        <f t="shared" si="14"/>
        <v>-3.2958782606801094E-3</v>
      </c>
      <c r="K217" s="8">
        <f t="shared" si="11"/>
        <v>3.9398830620583913E-2</v>
      </c>
    </row>
    <row r="218" spans="1:11" x14ac:dyDescent="0.25">
      <c r="A218" t="str">
        <f t="shared" si="12"/>
        <v>112017</v>
      </c>
      <c r="B218" s="1">
        <v>43054</v>
      </c>
      <c r="C218" s="7">
        <f ca="1">IFERROR(__xludf.DUMMYFUNCTION("""COMPUTED_VALUE"""),43054.6458333333)</f>
        <v>43054.645833333299</v>
      </c>
      <c r="D218">
        <v>9170.65</v>
      </c>
      <c r="E218">
        <v>9193.7999999999993</v>
      </c>
      <c r="F218">
        <v>8990.15</v>
      </c>
      <c r="G218">
        <v>9025.2000000000007</v>
      </c>
      <c r="H218">
        <v>0</v>
      </c>
      <c r="I218" s="8">
        <f t="shared" si="13"/>
        <v>-1.9900200359452502E-2</v>
      </c>
      <c r="J218" s="8">
        <f t="shared" si="14"/>
        <v>-2.0100876134584743E-2</v>
      </c>
      <c r="K218" s="8">
        <f t="shared" si="11"/>
        <v>2.5928999329324576E-2</v>
      </c>
    </row>
    <row r="219" spans="1:11" x14ac:dyDescent="0.25">
      <c r="A219" t="str">
        <f t="shared" si="12"/>
        <v>112017</v>
      </c>
      <c r="B219" s="1">
        <v>43055</v>
      </c>
      <c r="C219" s="7">
        <f ca="1">IFERROR(__xludf.DUMMYFUNCTION("""COMPUTED_VALUE"""),43055.6458333333)</f>
        <v>43055.645833333299</v>
      </c>
      <c r="D219">
        <v>9045.25</v>
      </c>
      <c r="E219">
        <v>9102.85</v>
      </c>
      <c r="F219">
        <v>9003.6</v>
      </c>
      <c r="G219">
        <v>9082.65</v>
      </c>
      <c r="H219">
        <v>0</v>
      </c>
      <c r="I219" s="8">
        <f t="shared" si="13"/>
        <v>6.3655099055974773E-3</v>
      </c>
      <c r="J219" s="8">
        <f t="shared" si="14"/>
        <v>6.345335615254322E-3</v>
      </c>
      <c r="K219" s="8">
        <f t="shared" si="11"/>
        <v>5.1305646225432433E-2</v>
      </c>
    </row>
    <row r="220" spans="1:11" x14ac:dyDescent="0.25">
      <c r="A220" t="str">
        <f t="shared" si="12"/>
        <v>112017</v>
      </c>
      <c r="B220" s="1">
        <v>43056</v>
      </c>
      <c r="C220" s="7">
        <f ca="1">IFERROR(__xludf.DUMMYFUNCTION("""COMPUTED_VALUE"""),43056.6458333333)</f>
        <v>43056.645833333299</v>
      </c>
      <c r="D220">
        <v>9159.5</v>
      </c>
      <c r="E220">
        <v>9221.2999999999993</v>
      </c>
      <c r="F220">
        <v>9137.4500000000007</v>
      </c>
      <c r="G220">
        <v>9161.7999999999993</v>
      </c>
      <c r="H220">
        <v>0</v>
      </c>
      <c r="I220" s="8">
        <f t="shared" si="13"/>
        <v>8.7144170478878902E-3</v>
      </c>
      <c r="J220" s="8">
        <f t="shared" si="14"/>
        <v>8.6766656778988066E-3</v>
      </c>
      <c r="K220" s="8">
        <f t="shared" si="11"/>
        <v>7.9102965772301914E-2</v>
      </c>
    </row>
    <row r="221" spans="1:11" x14ac:dyDescent="0.25">
      <c r="A221" t="str">
        <f t="shared" si="12"/>
        <v>112017</v>
      </c>
      <c r="B221" s="1">
        <v>43059</v>
      </c>
      <c r="C221" s="7">
        <f ca="1">IFERROR(__xludf.DUMMYFUNCTION("""COMPUTED_VALUE"""),43059.6458333333)</f>
        <v>43059.645833333299</v>
      </c>
      <c r="D221">
        <v>9184.2000000000007</v>
      </c>
      <c r="E221">
        <v>9200.4</v>
      </c>
      <c r="F221">
        <v>9119.9</v>
      </c>
      <c r="G221">
        <v>9143.35</v>
      </c>
      <c r="H221">
        <v>0</v>
      </c>
      <c r="I221" s="8">
        <f t="shared" si="13"/>
        <v>-2.0137964155514387E-3</v>
      </c>
      <c r="J221" s="8">
        <f t="shared" si="14"/>
        <v>-2.0158268299051226E-3</v>
      </c>
      <c r="K221" s="8">
        <f t="shared" si="11"/>
        <v>6.7319197119060536E-2</v>
      </c>
    </row>
    <row r="222" spans="1:11" x14ac:dyDescent="0.25">
      <c r="A222" t="str">
        <f t="shared" si="12"/>
        <v>112017</v>
      </c>
      <c r="B222" s="1">
        <v>43060</v>
      </c>
      <c r="C222" s="7">
        <f ca="1">IFERROR(__xludf.DUMMYFUNCTION("""COMPUTED_VALUE"""),43060.6458333333)</f>
        <v>43060.645833333299</v>
      </c>
      <c r="D222">
        <v>9173.7000000000007</v>
      </c>
      <c r="E222">
        <v>9419.35</v>
      </c>
      <c r="F222">
        <v>9155.2000000000007</v>
      </c>
      <c r="G222">
        <v>9346.5499999999993</v>
      </c>
      <c r="H222">
        <v>0</v>
      </c>
      <c r="I222" s="8">
        <f t="shared" si="13"/>
        <v>2.2223801998173309E-2</v>
      </c>
      <c r="J222" s="8">
        <f t="shared" si="14"/>
        <v>2.1980452150576691E-2</v>
      </c>
      <c r="K222" s="8">
        <f t="shared" si="11"/>
        <v>8.480881166686971E-2</v>
      </c>
    </row>
    <row r="223" spans="1:11" x14ac:dyDescent="0.25">
      <c r="A223" t="str">
        <f t="shared" si="12"/>
        <v>112017</v>
      </c>
      <c r="B223" s="1">
        <v>43061</v>
      </c>
      <c r="C223" s="7">
        <f ca="1">IFERROR(__xludf.DUMMYFUNCTION("""COMPUTED_VALUE"""),43061.6458333333)</f>
        <v>43061.645833333299</v>
      </c>
      <c r="D223">
        <v>9353.5499999999993</v>
      </c>
      <c r="E223">
        <v>9365.5</v>
      </c>
      <c r="F223">
        <v>9255.9</v>
      </c>
      <c r="G223">
        <v>9278</v>
      </c>
      <c r="H223">
        <v>0</v>
      </c>
      <c r="I223" s="8">
        <f t="shared" si="13"/>
        <v>-7.3342570253194239E-3</v>
      </c>
      <c r="J223" s="8">
        <f t="shared" si="14"/>
        <v>-7.3612849224937715E-3</v>
      </c>
      <c r="K223" s="8">
        <f t="shared" si="11"/>
        <v>4.2231845473795548E-2</v>
      </c>
    </row>
    <row r="224" spans="1:11" x14ac:dyDescent="0.25">
      <c r="A224" t="str">
        <f t="shared" si="12"/>
        <v>112017</v>
      </c>
      <c r="B224" s="1">
        <v>43062</v>
      </c>
      <c r="C224" s="7">
        <f ca="1">IFERROR(__xludf.DUMMYFUNCTION("""COMPUTED_VALUE"""),43062.6458333333)</f>
        <v>43062.645833333299</v>
      </c>
      <c r="D224">
        <v>9290.65</v>
      </c>
      <c r="E224">
        <v>9321.6</v>
      </c>
      <c r="F224">
        <v>9244.75</v>
      </c>
      <c r="G224">
        <v>9293.2000000000007</v>
      </c>
      <c r="H224">
        <v>0</v>
      </c>
      <c r="I224" s="8">
        <f t="shared" si="13"/>
        <v>1.6382841129554127E-3</v>
      </c>
      <c r="J224" s="8">
        <f t="shared" si="14"/>
        <v>1.6369435894439022E-3</v>
      </c>
      <c r="K224" s="8">
        <f t="shared" si="11"/>
        <v>3.5448270483172895E-2</v>
      </c>
    </row>
    <row r="225" spans="1:11" x14ac:dyDescent="0.25">
      <c r="A225" t="str">
        <f t="shared" si="12"/>
        <v>112017</v>
      </c>
      <c r="B225" s="1">
        <v>43063</v>
      </c>
      <c r="C225" s="7">
        <f ca="1">IFERROR(__xludf.DUMMYFUNCTION("""COMPUTED_VALUE"""),43063.6458333333)</f>
        <v>43063.645833333299</v>
      </c>
      <c r="D225">
        <v>9320.25</v>
      </c>
      <c r="E225">
        <v>9371.0499999999993</v>
      </c>
      <c r="F225">
        <v>9292.9500000000007</v>
      </c>
      <c r="G225">
        <v>9364.2999999999993</v>
      </c>
      <c r="H225">
        <v>0</v>
      </c>
      <c r="I225" s="8">
        <f t="shared" si="13"/>
        <v>7.650755391038544E-3</v>
      </c>
      <c r="J225" s="8">
        <f t="shared" si="14"/>
        <v>7.6216367872489919E-3</v>
      </c>
      <c r="K225" s="8">
        <f t="shared" si="11"/>
        <v>5.6316659240500666E-2</v>
      </c>
    </row>
    <row r="226" spans="1:11" x14ac:dyDescent="0.25">
      <c r="A226" t="str">
        <f t="shared" si="12"/>
        <v>112017</v>
      </c>
      <c r="B226" s="1">
        <v>43066</v>
      </c>
      <c r="C226" s="7">
        <f ca="1">IFERROR(__xludf.DUMMYFUNCTION("""COMPUTED_VALUE"""),43066.6458333333)</f>
        <v>43066.645833333299</v>
      </c>
      <c r="D226">
        <v>9324.9500000000007</v>
      </c>
      <c r="E226">
        <v>9392.85</v>
      </c>
      <c r="F226">
        <v>9294.35</v>
      </c>
      <c r="G226">
        <v>9368.7000000000007</v>
      </c>
      <c r="H226">
        <v>0</v>
      </c>
      <c r="I226" s="8">
        <f t="shared" si="13"/>
        <v>4.6986961118311577E-4</v>
      </c>
      <c r="J226" s="8">
        <f t="shared" si="14"/>
        <v>4.6975925702404976E-4</v>
      </c>
      <c r="K226" s="8">
        <f t="shared" si="11"/>
        <v>5.1711654065704771E-2</v>
      </c>
    </row>
    <row r="227" spans="1:11" x14ac:dyDescent="0.25">
      <c r="A227" t="str">
        <f t="shared" si="12"/>
        <v>112017</v>
      </c>
      <c r="B227" s="1">
        <v>43067</v>
      </c>
      <c r="C227" s="7">
        <f ca="1">IFERROR(__xludf.DUMMYFUNCTION("""COMPUTED_VALUE"""),43067.6458333333)</f>
        <v>43067.645833333299</v>
      </c>
      <c r="D227">
        <v>9368.4500000000007</v>
      </c>
      <c r="E227">
        <v>9396.65</v>
      </c>
      <c r="F227">
        <v>9285.4</v>
      </c>
      <c r="G227">
        <v>9318.5</v>
      </c>
      <c r="H227">
        <v>0</v>
      </c>
      <c r="I227" s="8">
        <f t="shared" si="13"/>
        <v>-5.3582674223745519E-3</v>
      </c>
      <c r="J227" s="8">
        <f t="shared" si="14"/>
        <v>-5.3726744246860442E-3</v>
      </c>
      <c r="K227" s="8">
        <f t="shared" si="11"/>
        <v>5.1790984971189724E-2</v>
      </c>
    </row>
    <row r="228" spans="1:11" x14ac:dyDescent="0.25">
      <c r="A228" t="str">
        <f t="shared" si="12"/>
        <v>112017</v>
      </c>
      <c r="B228" s="1">
        <v>43068</v>
      </c>
      <c r="C228" s="7">
        <f ca="1">IFERROR(__xludf.DUMMYFUNCTION("""COMPUTED_VALUE"""),43068.6458333333)</f>
        <v>43068.645833333299</v>
      </c>
      <c r="D228">
        <v>9336.85</v>
      </c>
      <c r="E228">
        <v>9401.4500000000007</v>
      </c>
      <c r="F228">
        <v>9327.7999999999993</v>
      </c>
      <c r="G228">
        <v>9351.85</v>
      </c>
      <c r="H228">
        <v>0</v>
      </c>
      <c r="I228" s="8">
        <f t="shared" si="13"/>
        <v>3.5789021838279478E-3</v>
      </c>
      <c r="J228" s="8">
        <f t="shared" si="14"/>
        <v>3.5725131526812412E-3</v>
      </c>
      <c r="K228" s="8">
        <f t="shared" si="11"/>
        <v>3.088175314439412E-2</v>
      </c>
    </row>
    <row r="229" spans="1:11" x14ac:dyDescent="0.25">
      <c r="A229" t="str">
        <f t="shared" si="12"/>
        <v>112017</v>
      </c>
      <c r="B229" s="1">
        <v>43069</v>
      </c>
      <c r="C229" s="7">
        <f ca="1">IFERROR(__xludf.DUMMYFUNCTION("""COMPUTED_VALUE"""),43069.6458333333)</f>
        <v>43069.645833333299</v>
      </c>
      <c r="D229">
        <v>9328.2999999999993</v>
      </c>
      <c r="E229">
        <v>9364.5</v>
      </c>
      <c r="F229">
        <v>9219.4</v>
      </c>
      <c r="G229">
        <v>9238.75</v>
      </c>
      <c r="H229">
        <v>0</v>
      </c>
      <c r="I229" s="8">
        <f t="shared" si="13"/>
        <v>-1.209386378096311E-2</v>
      </c>
      <c r="J229" s="8">
        <f t="shared" si="14"/>
        <v>-1.2167589574304385E-2</v>
      </c>
      <c r="K229" s="8">
        <f t="shared" si="11"/>
        <v>1.856598697955425E-2</v>
      </c>
    </row>
    <row r="230" spans="1:11" x14ac:dyDescent="0.25">
      <c r="A230" t="str">
        <f t="shared" si="12"/>
        <v>122017</v>
      </c>
      <c r="B230" s="1">
        <v>43070</v>
      </c>
      <c r="C230" s="7">
        <f ca="1">IFERROR(__xludf.DUMMYFUNCTION("""COMPUTED_VALUE"""),43070.6458333333)</f>
        <v>43070.645833333299</v>
      </c>
      <c r="D230">
        <v>9280.5499999999993</v>
      </c>
      <c r="E230">
        <v>9301.2000000000007</v>
      </c>
      <c r="F230">
        <v>9055.9500000000007</v>
      </c>
      <c r="G230">
        <v>9083.85</v>
      </c>
      <c r="H230">
        <v>0</v>
      </c>
      <c r="I230" s="8">
        <f t="shared" si="13"/>
        <v>-1.6766337437423839E-2</v>
      </c>
      <c r="J230" s="8">
        <f t="shared" si="14"/>
        <v>-1.6908483559518662E-2</v>
      </c>
      <c r="K230" s="8">
        <f t="shared" si="11"/>
        <v>5.1175090732051842E-3</v>
      </c>
    </row>
    <row r="231" spans="1:11" x14ac:dyDescent="0.25">
      <c r="A231" t="str">
        <f t="shared" si="12"/>
        <v>122017</v>
      </c>
      <c r="B231" s="1">
        <v>43073</v>
      </c>
      <c r="C231" s="7">
        <f ca="1">IFERROR(__xludf.DUMMYFUNCTION("""COMPUTED_VALUE"""),43073.6458333333)</f>
        <v>43073.645833333299</v>
      </c>
      <c r="D231">
        <v>9137.25</v>
      </c>
      <c r="E231">
        <v>9152.9</v>
      </c>
      <c r="F231">
        <v>9010.7000000000007</v>
      </c>
      <c r="G231">
        <v>9052</v>
      </c>
      <c r="H231">
        <v>0</v>
      </c>
      <c r="I231" s="8">
        <f t="shared" si="13"/>
        <v>-3.5062225818348614E-3</v>
      </c>
      <c r="J231" s="8">
        <f t="shared" si="14"/>
        <v>-3.512383786149864E-3</v>
      </c>
      <c r="K231" s="8">
        <f t="shared" si="11"/>
        <v>1.7387297269958468E-2</v>
      </c>
    </row>
    <row r="232" spans="1:11" x14ac:dyDescent="0.25">
      <c r="A232" t="str">
        <f t="shared" si="12"/>
        <v>122017</v>
      </c>
      <c r="B232" s="1">
        <v>43074</v>
      </c>
      <c r="C232" s="7">
        <f ca="1">IFERROR(__xludf.DUMMYFUNCTION("""COMPUTED_VALUE"""),43074.6458333333)</f>
        <v>43074.645833333299</v>
      </c>
      <c r="D232">
        <v>9040.2000000000007</v>
      </c>
      <c r="E232">
        <v>9074.65</v>
      </c>
      <c r="F232">
        <v>8981.9500000000007</v>
      </c>
      <c r="G232">
        <v>9043.15</v>
      </c>
      <c r="H232">
        <v>0</v>
      </c>
      <c r="I232" s="8">
        <f t="shared" si="13"/>
        <v>-9.7768448961554899E-4</v>
      </c>
      <c r="J232" s="8">
        <f t="shared" si="14"/>
        <v>-9.7816273483686635E-4</v>
      </c>
      <c r="K232" s="8">
        <f t="shared" si="11"/>
        <v>1.0543313069908855E-2</v>
      </c>
    </row>
    <row r="233" spans="1:11" x14ac:dyDescent="0.25">
      <c r="A233" t="str">
        <f t="shared" si="12"/>
        <v>122017</v>
      </c>
      <c r="B233" s="1">
        <v>43075</v>
      </c>
      <c r="C233" s="7">
        <f ca="1">IFERROR(__xludf.DUMMYFUNCTION("""COMPUTED_VALUE"""),43075.6458333333)</f>
        <v>43075.645833333299</v>
      </c>
      <c r="D233">
        <v>9047.85</v>
      </c>
      <c r="E233">
        <v>9063.25</v>
      </c>
      <c r="F233">
        <v>8923.5499999999993</v>
      </c>
      <c r="G233">
        <v>8938.2000000000007</v>
      </c>
      <c r="H233">
        <v>0</v>
      </c>
      <c r="I233" s="8">
        <f t="shared" si="13"/>
        <v>-1.1605469333141549E-2</v>
      </c>
      <c r="J233" s="8">
        <f t="shared" si="14"/>
        <v>-1.1673338404988746E-2</v>
      </c>
      <c r="K233" s="8">
        <f t="shared" si="11"/>
        <v>1.1074284809339252E-2</v>
      </c>
    </row>
    <row r="234" spans="1:11" x14ac:dyDescent="0.25">
      <c r="A234" t="str">
        <f t="shared" si="12"/>
        <v>122017</v>
      </c>
      <c r="B234" s="1">
        <v>43076</v>
      </c>
      <c r="C234" s="7">
        <f ca="1">IFERROR(__xludf.DUMMYFUNCTION("""COMPUTED_VALUE"""),43076.6458333333)</f>
        <v>43076.645833333299</v>
      </c>
      <c r="D234">
        <v>8944.9500000000007</v>
      </c>
      <c r="E234">
        <v>9016.15</v>
      </c>
      <c r="F234">
        <v>8923.5499999999993</v>
      </c>
      <c r="G234">
        <v>8960.4</v>
      </c>
      <c r="H234">
        <v>0</v>
      </c>
      <c r="I234" s="8">
        <f t="shared" si="13"/>
        <v>2.4837215546753555E-3</v>
      </c>
      <c r="J234" s="8">
        <f t="shared" si="14"/>
        <v>2.4806422160539745E-3</v>
      </c>
      <c r="K234" s="8">
        <f t="shared" si="11"/>
        <v>1.771263395214917E-2</v>
      </c>
    </row>
    <row r="235" spans="1:11" x14ac:dyDescent="0.25">
      <c r="A235" t="str">
        <f t="shared" si="12"/>
        <v>122017</v>
      </c>
      <c r="B235" s="1">
        <v>43077</v>
      </c>
      <c r="C235" s="7">
        <f ca="1">IFERROR(__xludf.DUMMYFUNCTION("""COMPUTED_VALUE"""),43077.6458333333)</f>
        <v>43077.645833333299</v>
      </c>
      <c r="D235">
        <v>8986.6</v>
      </c>
      <c r="E235">
        <v>9121.65</v>
      </c>
      <c r="F235">
        <v>8977.85</v>
      </c>
      <c r="G235">
        <v>9098.4500000000007</v>
      </c>
      <c r="H235">
        <v>0</v>
      </c>
      <c r="I235" s="8">
        <f t="shared" si="13"/>
        <v>1.5406678273291563E-2</v>
      </c>
      <c r="J235" s="8">
        <f t="shared" si="14"/>
        <v>1.5289200497209885E-2</v>
      </c>
      <c r="K235" s="8">
        <f t="shared" si="11"/>
        <v>1.1377152321561557E-2</v>
      </c>
    </row>
    <row r="236" spans="1:11" x14ac:dyDescent="0.25">
      <c r="A236" t="str">
        <f t="shared" si="12"/>
        <v>122017</v>
      </c>
      <c r="B236" s="1">
        <v>43080</v>
      </c>
      <c r="C236" s="7">
        <f ca="1">IFERROR(__xludf.DUMMYFUNCTION("""COMPUTED_VALUE"""),43080.6458333333)</f>
        <v>43080.645833333299</v>
      </c>
      <c r="D236">
        <v>9162.4</v>
      </c>
      <c r="E236">
        <v>9206.1</v>
      </c>
      <c r="F236">
        <v>9129.9500000000007</v>
      </c>
      <c r="G236">
        <v>9186.1</v>
      </c>
      <c r="H236">
        <v>0</v>
      </c>
      <c r="I236" s="8">
        <f t="shared" si="13"/>
        <v>9.633509004280949E-3</v>
      </c>
      <c r="J236" s="8">
        <f t="shared" si="14"/>
        <v>9.5874026306882604E-3</v>
      </c>
      <c r="K236" s="8">
        <f t="shared" si="11"/>
        <v>4.9777913922499639E-3</v>
      </c>
    </row>
    <row r="237" spans="1:11" x14ac:dyDescent="0.25">
      <c r="A237" t="str">
        <f t="shared" si="12"/>
        <v>122017</v>
      </c>
      <c r="B237" s="1">
        <v>43081</v>
      </c>
      <c r="C237" s="7">
        <f ca="1">IFERROR(__xludf.DUMMYFUNCTION("""COMPUTED_VALUE"""),43081.6458333333)</f>
        <v>43081.645833333299</v>
      </c>
      <c r="D237">
        <v>9271.65</v>
      </c>
      <c r="E237">
        <v>9273.15</v>
      </c>
      <c r="F237">
        <v>9099.2000000000007</v>
      </c>
      <c r="G237">
        <v>9119.1</v>
      </c>
      <c r="H237">
        <v>0</v>
      </c>
      <c r="I237" s="8">
        <f t="shared" si="13"/>
        <v>-7.2936284168472199E-3</v>
      </c>
      <c r="J237" s="8">
        <f t="shared" si="14"/>
        <v>-7.3203569693106232E-3</v>
      </c>
      <c r="K237" s="8">
        <f t="shared" si="11"/>
        <v>-2.7902588784598392E-2</v>
      </c>
    </row>
    <row r="238" spans="1:11" x14ac:dyDescent="0.25">
      <c r="A238" t="str">
        <f t="shared" si="12"/>
        <v>122017</v>
      </c>
      <c r="B238" s="1">
        <v>43082</v>
      </c>
      <c r="C238" s="7">
        <f ca="1">IFERROR(__xludf.DUMMYFUNCTION("""COMPUTED_VALUE"""),43082.6458333333)</f>
        <v>43082.645833333299</v>
      </c>
      <c r="D238">
        <v>9135.7999999999993</v>
      </c>
      <c r="E238">
        <v>9160.4</v>
      </c>
      <c r="F238">
        <v>8982.15</v>
      </c>
      <c r="G238">
        <v>9002.7999999999993</v>
      </c>
      <c r="H238">
        <v>0</v>
      </c>
      <c r="I238" s="8">
        <f t="shared" si="13"/>
        <v>-1.2753451546753669E-2</v>
      </c>
      <c r="J238" s="8">
        <f t="shared" si="14"/>
        <v>-1.2835474943802865E-2</v>
      </c>
      <c r="K238" s="8">
        <f t="shared" si="11"/>
        <v>-3.5896337545513024E-2</v>
      </c>
    </row>
    <row r="239" spans="1:11" x14ac:dyDescent="0.25">
      <c r="A239" t="str">
        <f t="shared" si="12"/>
        <v>122017</v>
      </c>
      <c r="B239" s="1">
        <v>43083</v>
      </c>
      <c r="C239" s="7">
        <f ca="1">IFERROR(__xludf.DUMMYFUNCTION("""COMPUTED_VALUE"""),43083.6458333333)</f>
        <v>43083.645833333299</v>
      </c>
      <c r="D239">
        <v>9032.6</v>
      </c>
      <c r="E239">
        <v>9087.9500000000007</v>
      </c>
      <c r="F239">
        <v>8975.4500000000007</v>
      </c>
      <c r="G239">
        <v>9070.85</v>
      </c>
      <c r="H239">
        <v>0</v>
      </c>
      <c r="I239" s="8">
        <f t="shared" si="13"/>
        <v>7.5587594970454308E-3</v>
      </c>
      <c r="J239" s="8">
        <f t="shared" si="14"/>
        <v>7.530335219469198E-3</v>
      </c>
      <c r="K239" s="8">
        <f t="shared" si="11"/>
        <v>-2.8770122757520333E-2</v>
      </c>
    </row>
    <row r="240" spans="1:11" x14ac:dyDescent="0.25">
      <c r="A240" t="str">
        <f t="shared" si="12"/>
        <v>122017</v>
      </c>
      <c r="B240" s="1">
        <v>43084</v>
      </c>
      <c r="C240" s="7">
        <f ca="1">IFERROR(__xludf.DUMMYFUNCTION("""COMPUTED_VALUE"""),43084.6458333333)</f>
        <v>43084.645833333299</v>
      </c>
      <c r="D240">
        <v>9152.4</v>
      </c>
      <c r="E240">
        <v>9162.25</v>
      </c>
      <c r="F240">
        <v>9081.1</v>
      </c>
      <c r="G240">
        <v>9100.2999999999993</v>
      </c>
      <c r="H240">
        <v>0</v>
      </c>
      <c r="I240" s="8">
        <f t="shared" si="13"/>
        <v>3.2466637635941709E-3</v>
      </c>
      <c r="J240" s="8">
        <f t="shared" si="14"/>
        <v>3.2414047305974521E-3</v>
      </c>
      <c r="K240" s="8">
        <f t="shared" si="11"/>
        <v>-2.0836135335352668E-2</v>
      </c>
    </row>
    <row r="241" spans="1:11" x14ac:dyDescent="0.25">
      <c r="A241" t="str">
        <f t="shared" si="12"/>
        <v>122017</v>
      </c>
      <c r="B241" s="1">
        <v>43087</v>
      </c>
      <c r="C241" s="7">
        <f ca="1">IFERROR(__xludf.DUMMYFUNCTION("""COMPUTED_VALUE"""),43087.6458333333)</f>
        <v>43087.645833333299</v>
      </c>
      <c r="D241">
        <v>9102.2000000000007</v>
      </c>
      <c r="E241">
        <v>9286.4</v>
      </c>
      <c r="F241">
        <v>8921.2999999999993</v>
      </c>
      <c r="G241">
        <v>9230.4500000000007</v>
      </c>
      <c r="H241">
        <v>0</v>
      </c>
      <c r="I241" s="8">
        <f t="shared" si="13"/>
        <v>1.4301726316714891E-2</v>
      </c>
      <c r="J241" s="8">
        <f t="shared" si="14"/>
        <v>1.420042137678802E-2</v>
      </c>
      <c r="K241" s="8">
        <f t="shared" si="11"/>
        <v>-9.5924290626994146E-3</v>
      </c>
    </row>
    <row r="242" spans="1:11" x14ac:dyDescent="0.25">
      <c r="A242" t="str">
        <f t="shared" si="12"/>
        <v>122017</v>
      </c>
      <c r="B242" s="1">
        <v>43088</v>
      </c>
      <c r="C242" s="7">
        <f ca="1">IFERROR(__xludf.DUMMYFUNCTION("""COMPUTED_VALUE"""),43088.6458333333)</f>
        <v>43088.645833333299</v>
      </c>
      <c r="D242">
        <v>9284.9</v>
      </c>
      <c r="E242">
        <v>9313.65</v>
      </c>
      <c r="F242">
        <v>9233.4500000000007</v>
      </c>
      <c r="G242">
        <v>9299.65</v>
      </c>
      <c r="H242">
        <v>0</v>
      </c>
      <c r="I242" s="8">
        <f t="shared" si="13"/>
        <v>7.4969259353552253E-3</v>
      </c>
      <c r="J242" s="8">
        <f t="shared" si="14"/>
        <v>7.468963653257275E-3</v>
      </c>
      <c r="K242" s="8">
        <f t="shared" si="11"/>
        <v>-3.4279186894779268E-2</v>
      </c>
    </row>
    <row r="243" spans="1:11" x14ac:dyDescent="0.25">
      <c r="A243" t="str">
        <f t="shared" si="12"/>
        <v>122017</v>
      </c>
      <c r="B243" s="1">
        <v>43089</v>
      </c>
      <c r="C243" s="7">
        <f ca="1">IFERROR(__xludf.DUMMYFUNCTION("""COMPUTED_VALUE"""),43089.6458333333)</f>
        <v>43089.645833333299</v>
      </c>
      <c r="D243">
        <v>9314.65</v>
      </c>
      <c r="E243">
        <v>9365.7999999999993</v>
      </c>
      <c r="F243">
        <v>9260.35</v>
      </c>
      <c r="G243">
        <v>9285.4500000000007</v>
      </c>
      <c r="H243">
        <v>0</v>
      </c>
      <c r="I243" s="8">
        <f t="shared" si="13"/>
        <v>-1.5269391858832027E-3</v>
      </c>
      <c r="J243" s="8">
        <f t="shared" si="14"/>
        <v>-1.5281061455908458E-3</v>
      </c>
      <c r="K243" s="8">
        <f t="shared" si="11"/>
        <v>-1.9016528532716404E-2</v>
      </c>
    </row>
    <row r="244" spans="1:11" x14ac:dyDescent="0.25">
      <c r="A244" t="str">
        <f t="shared" si="12"/>
        <v>122017</v>
      </c>
      <c r="B244" s="1">
        <v>43090</v>
      </c>
      <c r="C244" s="7">
        <f ca="1">IFERROR(__xludf.DUMMYFUNCTION("""COMPUTED_VALUE"""),43090.6458333333)</f>
        <v>43090.645833333299</v>
      </c>
      <c r="D244">
        <v>9335.25</v>
      </c>
      <c r="E244">
        <v>9418.15</v>
      </c>
      <c r="F244">
        <v>9303.1</v>
      </c>
      <c r="G244">
        <v>9321.6</v>
      </c>
      <c r="H244">
        <v>0</v>
      </c>
      <c r="I244" s="8">
        <f t="shared" si="13"/>
        <v>3.8931877291892292E-3</v>
      </c>
      <c r="J244" s="8">
        <f t="shared" si="14"/>
        <v>3.8856288861534314E-3</v>
      </c>
      <c r="K244" s="8">
        <f t="shared" si="11"/>
        <v>2.6406225630712932E-3</v>
      </c>
    </row>
    <row r="245" spans="1:11" x14ac:dyDescent="0.25">
      <c r="A245" t="str">
        <f t="shared" si="12"/>
        <v>122017</v>
      </c>
      <c r="B245" s="1">
        <v>43091</v>
      </c>
      <c r="C245" s="7">
        <f ca="1">IFERROR(__xludf.DUMMYFUNCTION("""COMPUTED_VALUE"""),43091.6458333333)</f>
        <v>43091.645833333299</v>
      </c>
      <c r="D245">
        <v>9346.9500000000007</v>
      </c>
      <c r="E245">
        <v>9361</v>
      </c>
      <c r="F245">
        <v>9309.2000000000007</v>
      </c>
      <c r="G245">
        <v>9326.6</v>
      </c>
      <c r="H245">
        <v>0</v>
      </c>
      <c r="I245" s="8">
        <f t="shared" si="13"/>
        <v>5.3638860281490786E-4</v>
      </c>
      <c r="J245" s="8">
        <f t="shared" si="14"/>
        <v>5.3624479786955088E-4</v>
      </c>
      <c r="K245" s="8">
        <f t="shared" si="11"/>
        <v>3.0867185063294666E-3</v>
      </c>
    </row>
    <row r="246" spans="1:11" x14ac:dyDescent="0.25">
      <c r="A246" t="str">
        <f t="shared" si="12"/>
        <v>122017</v>
      </c>
      <c r="B246" s="1">
        <v>43095</v>
      </c>
      <c r="C246" s="7">
        <f ca="1">IFERROR(__xludf.DUMMYFUNCTION("""COMPUTED_VALUE"""),43095.6458333333)</f>
        <v>43095.645833333299</v>
      </c>
      <c r="D246">
        <v>9336.65</v>
      </c>
      <c r="E246">
        <v>9436.1</v>
      </c>
      <c r="F246">
        <v>9307.4500000000007</v>
      </c>
      <c r="G246">
        <v>9416</v>
      </c>
      <c r="H246">
        <v>0</v>
      </c>
      <c r="I246" s="8">
        <f t="shared" si="13"/>
        <v>9.5854866725280097E-3</v>
      </c>
      <c r="J246" s="8">
        <f t="shared" si="14"/>
        <v>9.5398373771275417E-3</v>
      </c>
      <c r="K246" s="8">
        <f t="shared" si="11"/>
        <v>4.2002113661891549E-2</v>
      </c>
    </row>
    <row r="247" spans="1:11" x14ac:dyDescent="0.25">
      <c r="A247" t="str">
        <f t="shared" si="12"/>
        <v>122017</v>
      </c>
      <c r="B247" s="1">
        <v>43096</v>
      </c>
      <c r="C247" s="7">
        <f ca="1">IFERROR(__xludf.DUMMYFUNCTION("""COMPUTED_VALUE"""),43096.6458333333)</f>
        <v>43096.645833333299</v>
      </c>
      <c r="D247">
        <v>9447.75</v>
      </c>
      <c r="E247">
        <v>9699.65</v>
      </c>
      <c r="F247">
        <v>9438.5</v>
      </c>
      <c r="G247">
        <v>9639.85</v>
      </c>
      <c r="H247">
        <v>0</v>
      </c>
      <c r="I247" s="8">
        <f t="shared" si="13"/>
        <v>2.3773364485981441E-2</v>
      </c>
      <c r="J247" s="8">
        <f t="shared" si="14"/>
        <v>2.3495178377443041E-2</v>
      </c>
      <c r="K247" s="8">
        <f t="shared" si="11"/>
        <v>5.7981353337247965E-2</v>
      </c>
    </row>
    <row r="248" spans="1:11" x14ac:dyDescent="0.25">
      <c r="A248" t="str">
        <f t="shared" si="12"/>
        <v>122017</v>
      </c>
      <c r="B248" s="1">
        <v>43097</v>
      </c>
      <c r="C248" s="7">
        <f ca="1">IFERROR(__xludf.DUMMYFUNCTION("""COMPUTED_VALUE"""),43097.6458333333)</f>
        <v>43097.645833333299</v>
      </c>
      <c r="D248">
        <v>9683.1</v>
      </c>
      <c r="E248">
        <v>9732.9</v>
      </c>
      <c r="F248">
        <v>9559.65</v>
      </c>
      <c r="G248">
        <v>9584.2000000000007</v>
      </c>
      <c r="H248">
        <v>0</v>
      </c>
      <c r="I248" s="8">
        <f t="shared" si="13"/>
        <v>-5.7729114042230911E-3</v>
      </c>
      <c r="J248" s="8">
        <f t="shared" si="14"/>
        <v>-5.7896390665384805E-3</v>
      </c>
      <c r="K248" s="8">
        <f t="shared" si="11"/>
        <v>4.487277325949024E-2</v>
      </c>
    </row>
    <row r="249" spans="1:11" x14ac:dyDescent="0.25">
      <c r="A249" t="str">
        <f t="shared" si="12"/>
        <v>122017</v>
      </c>
      <c r="B249" s="1">
        <v>43098</v>
      </c>
      <c r="C249" s="7">
        <f ca="1">IFERROR(__xludf.DUMMYFUNCTION("""COMPUTED_VALUE"""),43098.6458333333)</f>
        <v>43098.645833333299</v>
      </c>
      <c r="D249">
        <v>9635.15</v>
      </c>
      <c r="E249">
        <v>9675.1</v>
      </c>
      <c r="F249">
        <v>9590.75</v>
      </c>
      <c r="G249">
        <v>9620.1</v>
      </c>
      <c r="H249">
        <v>0</v>
      </c>
      <c r="I249" s="8">
        <f t="shared" si="13"/>
        <v>3.7457482105964779E-3</v>
      </c>
      <c r="J249" s="8">
        <f t="shared" si="14"/>
        <v>3.7387503651022374E-3</v>
      </c>
      <c r="K249" s="8">
        <f t="shared" si="11"/>
        <v>4.3966597756905923E-2</v>
      </c>
    </row>
    <row r="250" spans="1:11" x14ac:dyDescent="0.25">
      <c r="A250" t="str">
        <f t="shared" si="12"/>
        <v>12018</v>
      </c>
      <c r="B250" s="1">
        <v>43101</v>
      </c>
      <c r="C250" s="7">
        <f ca="1">IFERROR(__xludf.DUMMYFUNCTION("""COMPUTED_VALUE"""),43101.6458333333)</f>
        <v>43101.645833333299</v>
      </c>
      <c r="D250">
        <v>9627.4</v>
      </c>
      <c r="E250">
        <v>9740.6</v>
      </c>
      <c r="F250">
        <v>9588.9500000000007</v>
      </c>
      <c r="G250">
        <v>9618.15</v>
      </c>
      <c r="H250">
        <v>0</v>
      </c>
      <c r="I250" s="8">
        <f t="shared" si="13"/>
        <v>-2.0270059562799148E-4</v>
      </c>
      <c r="J250" s="8">
        <f t="shared" si="14"/>
        <v>-2.0272114217030325E-4</v>
      </c>
      <c r="K250" s="8">
        <f t="shared" si="11"/>
        <v>2.6231554687750069E-2</v>
      </c>
    </row>
    <row r="251" spans="1:11" x14ac:dyDescent="0.25">
      <c r="A251" t="str">
        <f t="shared" si="12"/>
        <v>12018</v>
      </c>
      <c r="B251" s="1">
        <v>43102</v>
      </c>
      <c r="C251" s="7">
        <f ca="1">IFERROR(__xludf.DUMMYFUNCTION("""COMPUTED_VALUE"""),43102.6458333333)</f>
        <v>43102.645833333299</v>
      </c>
      <c r="D251">
        <v>9662.2000000000007</v>
      </c>
      <c r="E251">
        <v>9708.4500000000007</v>
      </c>
      <c r="F251">
        <v>9531</v>
      </c>
      <c r="G251">
        <v>9565.7999999999993</v>
      </c>
      <c r="H251">
        <v>0</v>
      </c>
      <c r="I251" s="8">
        <f t="shared" si="13"/>
        <v>-5.4428346407573436E-3</v>
      </c>
      <c r="J251" s="8">
        <f t="shared" si="14"/>
        <v>-5.4577008325746171E-3</v>
      </c>
      <c r="K251" s="8">
        <f t="shared" si="11"/>
        <v>1.8272009708169445E-2</v>
      </c>
    </row>
    <row r="252" spans="1:11" x14ac:dyDescent="0.25">
      <c r="A252" t="str">
        <f t="shared" si="12"/>
        <v>12018</v>
      </c>
      <c r="B252" s="1">
        <v>43103</v>
      </c>
      <c r="C252" s="7">
        <f ca="1">IFERROR(__xludf.DUMMYFUNCTION("""COMPUTED_VALUE"""),43103.6458333333)</f>
        <v>43103.645833333299</v>
      </c>
      <c r="D252">
        <v>9585.65</v>
      </c>
      <c r="E252">
        <v>9605.15</v>
      </c>
      <c r="F252">
        <v>9505.5499999999993</v>
      </c>
      <c r="G252">
        <v>9519.5499999999993</v>
      </c>
      <c r="H252">
        <v>0</v>
      </c>
      <c r="I252" s="8">
        <f t="shared" si="13"/>
        <v>-4.8349327813669296E-3</v>
      </c>
      <c r="J252" s="8">
        <f t="shared" si="14"/>
        <v>-4.8466588807366522E-3</v>
      </c>
      <c r="K252" s="8">
        <f t="shared" si="11"/>
        <v>4.4103294558306416E-3</v>
      </c>
    </row>
    <row r="253" spans="1:11" x14ac:dyDescent="0.25">
      <c r="A253" t="str">
        <f t="shared" si="12"/>
        <v>12018</v>
      </c>
      <c r="B253" s="1">
        <v>43104</v>
      </c>
      <c r="C253" s="7">
        <f ca="1">IFERROR(__xludf.DUMMYFUNCTION("""COMPUTED_VALUE"""),43104.6458333333)</f>
        <v>43104.645833333299</v>
      </c>
      <c r="D253">
        <v>9535.9</v>
      </c>
      <c r="E253">
        <v>9649.0499999999993</v>
      </c>
      <c r="F253">
        <v>9476.4500000000007</v>
      </c>
      <c r="G253">
        <v>9633.6</v>
      </c>
      <c r="H253">
        <v>0</v>
      </c>
      <c r="I253" s="8">
        <f t="shared" si="13"/>
        <v>1.1980608327074371E-2</v>
      </c>
      <c r="J253" s="8">
        <f t="shared" si="14"/>
        <v>1.1909408949545518E-2</v>
      </c>
      <c r="K253" s="8">
        <f t="shared" si="11"/>
        <v>1.34550848438304E-2</v>
      </c>
    </row>
    <row r="254" spans="1:11" x14ac:dyDescent="0.25">
      <c r="A254" t="str">
        <f t="shared" si="12"/>
        <v>12018</v>
      </c>
      <c r="B254" s="1">
        <v>43105</v>
      </c>
      <c r="C254" s="7">
        <f ca="1">IFERROR(__xludf.DUMMYFUNCTION("""COMPUTED_VALUE"""),43105.6458333333)</f>
        <v>43105.645833333299</v>
      </c>
      <c r="D254">
        <v>9666.25</v>
      </c>
      <c r="E254">
        <v>9717.15</v>
      </c>
      <c r="F254">
        <v>9614.2000000000007</v>
      </c>
      <c r="G254">
        <v>9701.0499999999993</v>
      </c>
      <c r="H254">
        <v>0</v>
      </c>
      <c r="I254" s="8">
        <f t="shared" si="13"/>
        <v>7.0015362896527211E-3</v>
      </c>
      <c r="J254" s="8">
        <f t="shared" si="14"/>
        <v>6.9771393456415608E-3</v>
      </c>
      <c r="K254" s="8">
        <f t="shared" si="11"/>
        <v>1.7916539878073179E-2</v>
      </c>
    </row>
    <row r="255" spans="1:11" x14ac:dyDescent="0.25">
      <c r="A255" t="str">
        <f t="shared" si="12"/>
        <v>12018</v>
      </c>
      <c r="B255" s="1">
        <v>43108</v>
      </c>
      <c r="C255" s="7">
        <f ca="1">IFERROR(__xludf.DUMMYFUNCTION("""COMPUTED_VALUE"""),43108.6458333333)</f>
        <v>43108.645833333299</v>
      </c>
      <c r="D255">
        <v>9759.7999999999993</v>
      </c>
      <c r="E255">
        <v>9939.0499999999993</v>
      </c>
      <c r="F255">
        <v>9750.65</v>
      </c>
      <c r="G255">
        <v>9838.25</v>
      </c>
      <c r="H255">
        <v>0</v>
      </c>
      <c r="I255" s="8">
        <f t="shared" si="13"/>
        <v>1.4142798975368631E-2</v>
      </c>
      <c r="J255" s="8">
        <f t="shared" si="14"/>
        <v>1.404372264562743E-2</v>
      </c>
      <c r="K255" s="8">
        <f t="shared" si="11"/>
        <v>4.2060554063858779E-2</v>
      </c>
    </row>
    <row r="256" spans="1:11" x14ac:dyDescent="0.25">
      <c r="A256" t="str">
        <f t="shared" si="12"/>
        <v>12018</v>
      </c>
      <c r="B256" s="1">
        <v>43109</v>
      </c>
      <c r="C256" s="7">
        <f ca="1">IFERROR(__xludf.DUMMYFUNCTION("""COMPUTED_VALUE"""),43109.6458333333)</f>
        <v>43109.645833333299</v>
      </c>
      <c r="D256">
        <v>9866.5499999999993</v>
      </c>
      <c r="E256">
        <v>9875.7000000000007</v>
      </c>
      <c r="F256">
        <v>9747</v>
      </c>
      <c r="G256">
        <v>9770.2000000000007</v>
      </c>
      <c r="H256">
        <v>0</v>
      </c>
      <c r="I256" s="8">
        <f t="shared" si="13"/>
        <v>-6.9168805427793911E-3</v>
      </c>
      <c r="J256" s="8">
        <f t="shared" si="14"/>
        <v>-6.9409130450800429E-3</v>
      </c>
      <c r="K256" s="8">
        <f t="shared" ref="K256:K319" si="15">+G256/G195-1</f>
        <v>2.0162679725595378E-2</v>
      </c>
    </row>
    <row r="257" spans="1:11" x14ac:dyDescent="0.25">
      <c r="A257" t="str">
        <f t="shared" si="12"/>
        <v>12018</v>
      </c>
      <c r="B257" s="1">
        <v>43110</v>
      </c>
      <c r="C257" s="7">
        <f ca="1">IFERROR(__xludf.DUMMYFUNCTION("""COMPUTED_VALUE"""),43110.6458333333)</f>
        <v>43110.645833333299</v>
      </c>
      <c r="D257">
        <v>9789.75</v>
      </c>
      <c r="E257">
        <v>9863.5</v>
      </c>
      <c r="F257">
        <v>9716.1</v>
      </c>
      <c r="G257">
        <v>9748.6</v>
      </c>
      <c r="H257">
        <v>0</v>
      </c>
      <c r="I257" s="8">
        <f t="shared" si="13"/>
        <v>-2.2108042824098284E-3</v>
      </c>
      <c r="J257" s="8">
        <f t="shared" si="14"/>
        <v>-2.2132517180635581E-3</v>
      </c>
      <c r="K257" s="8">
        <f t="shared" si="15"/>
        <v>2.1266342608112554E-2</v>
      </c>
    </row>
    <row r="258" spans="1:11" x14ac:dyDescent="0.25">
      <c r="A258" t="str">
        <f t="shared" si="12"/>
        <v>12018</v>
      </c>
      <c r="B258" s="1">
        <v>43111</v>
      </c>
      <c r="C258" s="7">
        <f ca="1">IFERROR(__xludf.DUMMYFUNCTION("""COMPUTED_VALUE"""),43111.6458333333)</f>
        <v>43111.645833333299</v>
      </c>
      <c r="D258">
        <v>9752.6</v>
      </c>
      <c r="E258">
        <v>9849.7999999999993</v>
      </c>
      <c r="F258">
        <v>9708.6</v>
      </c>
      <c r="G258">
        <v>9772.85</v>
      </c>
      <c r="H258">
        <v>0</v>
      </c>
      <c r="I258" s="8">
        <f t="shared" si="13"/>
        <v>2.4875366719323555E-3</v>
      </c>
      <c r="J258" s="8">
        <f t="shared" si="14"/>
        <v>2.4844478738571484E-3</v>
      </c>
      <c r="K258" s="8">
        <f t="shared" si="15"/>
        <v>8.2847135170829311E-3</v>
      </c>
    </row>
    <row r="259" spans="1:11" x14ac:dyDescent="0.25">
      <c r="A259" t="str">
        <f t="shared" ref="A259:A322" si="16">+MONTH(B259)&amp;YEAR(B259)</f>
        <v>12018</v>
      </c>
      <c r="B259" s="1">
        <v>43112</v>
      </c>
      <c r="C259" s="7">
        <f ca="1">IFERROR(__xludf.DUMMYFUNCTION("""COMPUTED_VALUE"""),43112.6458333333)</f>
        <v>43112.645833333299</v>
      </c>
      <c r="D259">
        <v>9795.85</v>
      </c>
      <c r="E259">
        <v>9825.2000000000007</v>
      </c>
      <c r="F259">
        <v>9656</v>
      </c>
      <c r="G259">
        <v>9741.85</v>
      </c>
      <c r="H259">
        <v>0</v>
      </c>
      <c r="I259" s="8">
        <f t="shared" si="13"/>
        <v>-3.172053188169266E-3</v>
      </c>
      <c r="J259" s="8">
        <f t="shared" si="14"/>
        <v>-3.1770948132418342E-3</v>
      </c>
      <c r="K259" s="8">
        <f t="shared" si="15"/>
        <v>1.3346268947866946E-4</v>
      </c>
    </row>
    <row r="260" spans="1:11" x14ac:dyDescent="0.25">
      <c r="A260" t="str">
        <f t="shared" si="16"/>
        <v>12018</v>
      </c>
      <c r="B260" s="1">
        <v>43115</v>
      </c>
      <c r="C260" s="7">
        <f ca="1">IFERROR(__xludf.DUMMYFUNCTION("""COMPUTED_VALUE"""),43115.6458333333)</f>
        <v>43115.645833333299</v>
      </c>
      <c r="D260">
        <v>9764</v>
      </c>
      <c r="E260">
        <v>9776.5499999999993</v>
      </c>
      <c r="F260">
        <v>9650</v>
      </c>
      <c r="G260">
        <v>9659.75</v>
      </c>
      <c r="H260">
        <v>0</v>
      </c>
      <c r="I260" s="8">
        <f t="shared" ref="I260:I323" si="17">+G260/G259-1</f>
        <v>-8.4275573941294812E-3</v>
      </c>
      <c r="J260" s="8">
        <f t="shared" ref="J260:J323" si="18">+LN(1+I260)</f>
        <v>-8.4632700444357226E-3</v>
      </c>
      <c r="K260" s="8">
        <f t="shared" si="15"/>
        <v>3.8607029285224748E-3</v>
      </c>
    </row>
    <row r="261" spans="1:11" x14ac:dyDescent="0.25">
      <c r="A261" t="str">
        <f t="shared" si="16"/>
        <v>12018</v>
      </c>
      <c r="B261" s="1">
        <v>43116</v>
      </c>
      <c r="C261" s="7">
        <f ca="1">IFERROR(__xludf.DUMMYFUNCTION("""COMPUTED_VALUE"""),43116.6458333333)</f>
        <v>43116.645833333299</v>
      </c>
      <c r="D261">
        <v>9675.6</v>
      </c>
      <c r="E261">
        <v>9722.0499999999993</v>
      </c>
      <c r="F261">
        <v>9589.4</v>
      </c>
      <c r="G261">
        <v>9623.4500000000007</v>
      </c>
      <c r="H261">
        <v>0</v>
      </c>
      <c r="I261" s="8">
        <f t="shared" si="17"/>
        <v>-3.7578612282925805E-3</v>
      </c>
      <c r="J261" s="8">
        <f t="shared" si="18"/>
        <v>-3.7649397277082497E-3</v>
      </c>
      <c r="K261" s="8">
        <f t="shared" si="15"/>
        <v>3.1219054568198956E-3</v>
      </c>
    </row>
    <row r="262" spans="1:11" x14ac:dyDescent="0.25">
      <c r="A262" t="str">
        <f t="shared" si="16"/>
        <v>12018</v>
      </c>
      <c r="B262" s="1">
        <v>43117</v>
      </c>
      <c r="C262" s="7">
        <f ca="1">IFERROR(__xludf.DUMMYFUNCTION("""COMPUTED_VALUE"""),43117.6458333333)</f>
        <v>43117.645833333299</v>
      </c>
      <c r="D262">
        <v>9648.4</v>
      </c>
      <c r="E262">
        <v>9757.9500000000007</v>
      </c>
      <c r="F262">
        <v>9565.9500000000007</v>
      </c>
      <c r="G262">
        <v>9744.2999999999993</v>
      </c>
      <c r="H262">
        <v>0</v>
      </c>
      <c r="I262" s="8">
        <f t="shared" si="17"/>
        <v>1.2557866461611944E-2</v>
      </c>
      <c r="J262" s="8">
        <f t="shared" si="18"/>
        <v>1.247967042629165E-2</v>
      </c>
      <c r="K262" s="8">
        <f t="shared" si="15"/>
        <v>2.1179602188174496E-2</v>
      </c>
    </row>
    <row r="263" spans="1:11" x14ac:dyDescent="0.25">
      <c r="A263" t="str">
        <f t="shared" si="16"/>
        <v>12018</v>
      </c>
      <c r="B263" s="1">
        <v>43118</v>
      </c>
      <c r="C263" s="7">
        <f ca="1">IFERROR(__xludf.DUMMYFUNCTION("""COMPUTED_VALUE"""),43118.6458333333)</f>
        <v>43118.645833333299</v>
      </c>
      <c r="D263">
        <v>9779.65</v>
      </c>
      <c r="E263">
        <v>9819.4</v>
      </c>
      <c r="F263">
        <v>9581.5499999999993</v>
      </c>
      <c r="G263">
        <v>9626.4500000000007</v>
      </c>
      <c r="H263">
        <v>0</v>
      </c>
      <c r="I263" s="8">
        <f t="shared" si="17"/>
        <v>-1.2094249971778215E-2</v>
      </c>
      <c r="J263" s="8">
        <f t="shared" si="18"/>
        <v>-1.2167980492911356E-2</v>
      </c>
      <c r="K263" s="8">
        <f t="shared" si="15"/>
        <v>1.4378292939936754E-2</v>
      </c>
    </row>
    <row r="264" spans="1:11" x14ac:dyDescent="0.25">
      <c r="A264" t="str">
        <f t="shared" si="16"/>
        <v>12018</v>
      </c>
      <c r="B264" s="1">
        <v>43119</v>
      </c>
      <c r="C264" s="7">
        <f ca="1">IFERROR(__xludf.DUMMYFUNCTION("""COMPUTED_VALUE"""),43119.6458333333)</f>
        <v>43119.645833333299</v>
      </c>
      <c r="D264">
        <v>9648.6</v>
      </c>
      <c r="E264">
        <v>9668.5499999999993</v>
      </c>
      <c r="F264">
        <v>9566.7000000000007</v>
      </c>
      <c r="G264">
        <v>9637.7999999999993</v>
      </c>
      <c r="H264">
        <v>0</v>
      </c>
      <c r="I264" s="8">
        <f t="shared" si="17"/>
        <v>1.1790431571345739E-3</v>
      </c>
      <c r="J264" s="8">
        <f t="shared" si="18"/>
        <v>1.1783486316148174E-3</v>
      </c>
      <c r="K264" s="8">
        <f t="shared" si="15"/>
        <v>3.1139166020274445E-2</v>
      </c>
    </row>
    <row r="265" spans="1:11" x14ac:dyDescent="0.25">
      <c r="A265" t="str">
        <f t="shared" si="16"/>
        <v>12018</v>
      </c>
      <c r="B265" s="1">
        <v>43122</v>
      </c>
      <c r="C265" s="7">
        <f ca="1">IFERROR(__xludf.DUMMYFUNCTION("""COMPUTED_VALUE"""),43122.6458333333)</f>
        <v>43122.645833333299</v>
      </c>
      <c r="D265">
        <v>9621.35</v>
      </c>
      <c r="E265">
        <v>9680.9500000000007</v>
      </c>
      <c r="F265">
        <v>9587.1</v>
      </c>
      <c r="G265">
        <v>9654.7999999999993</v>
      </c>
      <c r="H265">
        <v>0</v>
      </c>
      <c r="I265" s="8">
        <f t="shared" si="17"/>
        <v>1.7638880242378807E-3</v>
      </c>
      <c r="J265" s="8">
        <f t="shared" si="18"/>
        <v>1.7623342006690529E-3</v>
      </c>
      <c r="K265" s="8">
        <f t="shared" si="15"/>
        <v>2.4017988301240356E-2</v>
      </c>
    </row>
    <row r="266" spans="1:11" x14ac:dyDescent="0.25">
      <c r="A266" t="str">
        <f t="shared" si="16"/>
        <v>12018</v>
      </c>
      <c r="B266" s="1">
        <v>43123</v>
      </c>
      <c r="C266" s="7">
        <f ca="1">IFERROR(__xludf.DUMMYFUNCTION("""COMPUTED_VALUE"""),43123.6458333333)</f>
        <v>43123.645833333299</v>
      </c>
      <c r="D266">
        <v>9688</v>
      </c>
      <c r="E266">
        <v>9827.35</v>
      </c>
      <c r="F266">
        <v>9670.85</v>
      </c>
      <c r="G266">
        <v>9767.2999999999993</v>
      </c>
      <c r="H266">
        <v>0</v>
      </c>
      <c r="I266" s="8">
        <f t="shared" si="17"/>
        <v>1.1652235157641799E-2</v>
      </c>
      <c r="J266" s="8">
        <f t="shared" si="18"/>
        <v>1.1584870658548746E-2</v>
      </c>
      <c r="K266" s="8">
        <f t="shared" si="15"/>
        <v>1.2144951865783682E-2</v>
      </c>
    </row>
    <row r="267" spans="1:11" x14ac:dyDescent="0.25">
      <c r="A267" t="str">
        <f t="shared" si="16"/>
        <v>12018</v>
      </c>
      <c r="B267" s="1">
        <v>43124</v>
      </c>
      <c r="C267" s="7">
        <f ca="1">IFERROR(__xludf.DUMMYFUNCTION("""COMPUTED_VALUE"""),43124.6458333333)</f>
        <v>43124.645833333299</v>
      </c>
      <c r="D267">
        <v>9752.25</v>
      </c>
      <c r="E267">
        <v>9903.4</v>
      </c>
      <c r="F267">
        <v>9717.1</v>
      </c>
      <c r="G267">
        <v>9826.4</v>
      </c>
      <c r="H267">
        <v>0</v>
      </c>
      <c r="I267" s="8">
        <f t="shared" si="17"/>
        <v>6.0508021664125167E-3</v>
      </c>
      <c r="J267" s="8">
        <f t="shared" si="18"/>
        <v>6.0325695738914454E-3</v>
      </c>
      <c r="K267" s="8">
        <f t="shared" si="15"/>
        <v>7.3348129392045713E-3</v>
      </c>
    </row>
    <row r="268" spans="1:11" x14ac:dyDescent="0.25">
      <c r="A268" t="str">
        <f t="shared" si="16"/>
        <v>12018</v>
      </c>
      <c r="B268" s="1">
        <v>43125</v>
      </c>
      <c r="C268" s="7">
        <f ca="1">IFERROR(__xludf.DUMMYFUNCTION("""COMPUTED_VALUE"""),43125.6458333333)</f>
        <v>43125.645833333299</v>
      </c>
      <c r="D268">
        <v>9857.65</v>
      </c>
      <c r="E268">
        <v>9920.5499999999993</v>
      </c>
      <c r="F268">
        <v>9715.7999999999993</v>
      </c>
      <c r="G268">
        <v>9729.15</v>
      </c>
      <c r="H268">
        <v>0</v>
      </c>
      <c r="I268" s="8">
        <f t="shared" si="17"/>
        <v>-9.8968085972481745E-3</v>
      </c>
      <c r="J268" s="8">
        <f t="shared" si="18"/>
        <v>-9.9461075453069168E-3</v>
      </c>
      <c r="K268" s="8">
        <f t="shared" si="15"/>
        <v>-2.7521525215252751E-3</v>
      </c>
    </row>
    <row r="269" spans="1:11" x14ac:dyDescent="0.25">
      <c r="A269" t="str">
        <f t="shared" si="16"/>
        <v>12018</v>
      </c>
      <c r="B269" s="1">
        <v>43129</v>
      </c>
      <c r="C269" s="7">
        <f ca="1">IFERROR(__xludf.DUMMYFUNCTION("""COMPUTED_VALUE"""),43129.6458333333)</f>
        <v>43129.645833333299</v>
      </c>
      <c r="D269">
        <v>9716.2000000000007</v>
      </c>
      <c r="E269">
        <v>9752.0499999999993</v>
      </c>
      <c r="F269">
        <v>9592.4</v>
      </c>
      <c r="G269">
        <v>9622.35</v>
      </c>
      <c r="H269">
        <v>0</v>
      </c>
      <c r="I269" s="8">
        <f t="shared" si="17"/>
        <v>-1.0977320732026841E-2</v>
      </c>
      <c r="J269" s="8">
        <f t="shared" si="18"/>
        <v>-1.1038016107713966E-2</v>
      </c>
      <c r="K269" s="8">
        <f t="shared" si="15"/>
        <v>-9.1849395822498625E-3</v>
      </c>
    </row>
    <row r="270" spans="1:11" x14ac:dyDescent="0.25">
      <c r="A270" t="str">
        <f t="shared" si="16"/>
        <v>12018</v>
      </c>
      <c r="B270" s="1">
        <v>43130</v>
      </c>
      <c r="C270" s="7">
        <f ca="1">IFERROR(__xludf.DUMMYFUNCTION("""COMPUTED_VALUE"""),43130.6458333333)</f>
        <v>43130.645833333299</v>
      </c>
      <c r="D270">
        <v>9602.9500000000007</v>
      </c>
      <c r="E270">
        <v>9605.15</v>
      </c>
      <c r="F270">
        <v>9500.2000000000007</v>
      </c>
      <c r="G270">
        <v>9563.5499999999993</v>
      </c>
      <c r="H270">
        <v>0</v>
      </c>
      <c r="I270" s="8">
        <f t="shared" si="17"/>
        <v>-6.1107733557811406E-3</v>
      </c>
      <c r="J270" s="8">
        <f t="shared" si="18"/>
        <v>-6.129520543513063E-3</v>
      </c>
      <c r="K270" s="8">
        <f t="shared" si="15"/>
        <v>-4.4075166175221225E-2</v>
      </c>
    </row>
    <row r="271" spans="1:11" x14ac:dyDescent="0.25">
      <c r="A271" t="str">
        <f t="shared" si="16"/>
        <v>12018</v>
      </c>
      <c r="B271" s="1">
        <v>43131</v>
      </c>
      <c r="C271" s="7">
        <f ca="1">IFERROR(__xludf.DUMMYFUNCTION("""COMPUTED_VALUE"""),43131.6458333333)</f>
        <v>43131.645833333299</v>
      </c>
      <c r="D271">
        <v>9550.75</v>
      </c>
      <c r="E271">
        <v>9565.2999999999993</v>
      </c>
      <c r="F271">
        <v>9329.2000000000007</v>
      </c>
      <c r="G271">
        <v>9384.75</v>
      </c>
      <c r="H271">
        <v>0</v>
      </c>
      <c r="I271" s="8">
        <f t="shared" si="17"/>
        <v>-1.8695986323070346E-2</v>
      </c>
      <c r="J271" s="8">
        <f t="shared" si="18"/>
        <v>-1.8872965615076499E-2</v>
      </c>
      <c r="K271" s="8">
        <f t="shared" si="15"/>
        <v>-5.1777270339085857E-2</v>
      </c>
    </row>
    <row r="272" spans="1:11" x14ac:dyDescent="0.25">
      <c r="A272" t="str">
        <f t="shared" si="16"/>
        <v>22018</v>
      </c>
      <c r="B272" s="1">
        <v>43132</v>
      </c>
      <c r="C272" s="7">
        <f ca="1">IFERROR(__xludf.DUMMYFUNCTION("""COMPUTED_VALUE"""),43132.6458333333)</f>
        <v>43132.645833333299</v>
      </c>
      <c r="D272">
        <v>9391.5</v>
      </c>
      <c r="E272">
        <v>9391.7000000000007</v>
      </c>
      <c r="F272">
        <v>9075.75</v>
      </c>
      <c r="G272">
        <v>9158.7000000000007</v>
      </c>
      <c r="H272">
        <v>0</v>
      </c>
      <c r="I272" s="8">
        <f t="shared" si="17"/>
        <v>-2.4086949572444616E-2</v>
      </c>
      <c r="J272" s="8">
        <f t="shared" si="18"/>
        <v>-2.4381784214272392E-2</v>
      </c>
      <c r="K272" s="8">
        <f t="shared" si="15"/>
        <v>-7.4327124245762599E-2</v>
      </c>
    </row>
    <row r="273" spans="1:11" x14ac:dyDescent="0.25">
      <c r="A273" t="str">
        <f t="shared" si="16"/>
        <v>22018</v>
      </c>
      <c r="B273" s="1">
        <v>43133</v>
      </c>
      <c r="C273" s="7">
        <f ca="1">IFERROR(__xludf.DUMMYFUNCTION("""COMPUTED_VALUE"""),43133.6458333333)</f>
        <v>43133.645833333299</v>
      </c>
      <c r="D273">
        <v>9113.9500000000007</v>
      </c>
      <c r="E273">
        <v>9305.6</v>
      </c>
      <c r="F273">
        <v>9014</v>
      </c>
      <c r="G273">
        <v>9042.75</v>
      </c>
      <c r="H273">
        <v>0</v>
      </c>
      <c r="I273" s="8">
        <f t="shared" si="17"/>
        <v>-1.2660093681417739E-2</v>
      </c>
      <c r="J273" s="8">
        <f t="shared" si="18"/>
        <v>-1.2740915533471772E-2</v>
      </c>
      <c r="K273" s="8">
        <f t="shared" si="15"/>
        <v>-4.5090947490694089E-2</v>
      </c>
    </row>
    <row r="274" spans="1:11" x14ac:dyDescent="0.25">
      <c r="A274" t="str">
        <f t="shared" si="16"/>
        <v>22018</v>
      </c>
      <c r="B274" s="1">
        <v>43136</v>
      </c>
      <c r="C274" s="7">
        <f ca="1">IFERROR(__xludf.DUMMYFUNCTION("""COMPUTED_VALUE"""),43136.6458333333)</f>
        <v>43136.645833333299</v>
      </c>
      <c r="D274">
        <v>8910.9</v>
      </c>
      <c r="E274">
        <v>9095.9</v>
      </c>
      <c r="F274">
        <v>8859.65</v>
      </c>
      <c r="G274">
        <v>9069.5</v>
      </c>
      <c r="H274">
        <v>0</v>
      </c>
      <c r="I274" s="8">
        <f t="shared" si="17"/>
        <v>2.9581709103978504E-3</v>
      </c>
      <c r="J274" s="8">
        <f t="shared" si="18"/>
        <v>2.9538041324942816E-3</v>
      </c>
      <c r="K274" s="8">
        <f t="shared" si="15"/>
        <v>-4.4808029531487881E-2</v>
      </c>
    </row>
    <row r="275" spans="1:11" x14ac:dyDescent="0.25">
      <c r="A275" t="str">
        <f t="shared" si="16"/>
        <v>22018</v>
      </c>
      <c r="B275" s="1">
        <v>43137</v>
      </c>
      <c r="C275" s="7">
        <f ca="1">IFERROR(__xludf.DUMMYFUNCTION("""COMPUTED_VALUE"""),43137.6458333333)</f>
        <v>43137.645833333299</v>
      </c>
      <c r="D275">
        <v>8773.1</v>
      </c>
      <c r="E275">
        <v>8962.75</v>
      </c>
      <c r="F275">
        <v>8729.1</v>
      </c>
      <c r="G275">
        <v>8871.25</v>
      </c>
      <c r="H275">
        <v>0</v>
      </c>
      <c r="I275" s="8">
        <f t="shared" si="17"/>
        <v>-2.1858977892937892E-2</v>
      </c>
      <c r="J275" s="8">
        <f t="shared" si="18"/>
        <v>-2.2101424958831488E-2</v>
      </c>
      <c r="K275" s="8">
        <f t="shared" si="15"/>
        <v>-5.9835626891059146E-2</v>
      </c>
    </row>
    <row r="276" spans="1:11" x14ac:dyDescent="0.25">
      <c r="A276" t="str">
        <f t="shared" si="16"/>
        <v>22018</v>
      </c>
      <c r="B276" s="1">
        <v>43138</v>
      </c>
      <c r="C276" s="7">
        <f ca="1">IFERROR(__xludf.DUMMYFUNCTION("""COMPUTED_VALUE"""),43138.6458333333)</f>
        <v>43138.645833333299</v>
      </c>
      <c r="D276">
        <v>8967.5499999999993</v>
      </c>
      <c r="E276">
        <v>8975.9</v>
      </c>
      <c r="F276">
        <v>8879.4</v>
      </c>
      <c r="G276">
        <v>8935.7999999999993</v>
      </c>
      <c r="H276">
        <v>0</v>
      </c>
      <c r="I276" s="8">
        <f t="shared" si="17"/>
        <v>7.2763139354656836E-3</v>
      </c>
      <c r="J276" s="8">
        <f t="shared" si="18"/>
        <v>7.2499692806842382E-3</v>
      </c>
      <c r="K276" s="8">
        <f t="shared" si="15"/>
        <v>-4.0347956827578857E-2</v>
      </c>
    </row>
    <row r="277" spans="1:11" x14ac:dyDescent="0.25">
      <c r="A277" t="str">
        <f t="shared" si="16"/>
        <v>22018</v>
      </c>
      <c r="B277" s="1">
        <v>43139</v>
      </c>
      <c r="C277" s="7">
        <f ca="1">IFERROR(__xludf.DUMMYFUNCTION("""COMPUTED_VALUE"""),43139.6458333333)</f>
        <v>43139.645833333299</v>
      </c>
      <c r="D277">
        <v>8949</v>
      </c>
      <c r="E277">
        <v>9282.2000000000007</v>
      </c>
      <c r="F277">
        <v>8927.85</v>
      </c>
      <c r="G277">
        <v>9262.4500000000007</v>
      </c>
      <c r="H277">
        <v>0</v>
      </c>
      <c r="I277" s="8">
        <f t="shared" si="17"/>
        <v>3.6555204906108196E-2</v>
      </c>
      <c r="J277" s="8">
        <f t="shared" si="18"/>
        <v>3.5902912359234464E-2</v>
      </c>
      <c r="K277" s="8">
        <f t="shared" si="15"/>
        <v>2.5544304756544012E-3</v>
      </c>
    </row>
    <row r="278" spans="1:11" x14ac:dyDescent="0.25">
      <c r="A278" t="str">
        <f t="shared" si="16"/>
        <v>22018</v>
      </c>
      <c r="B278" s="1">
        <v>43140</v>
      </c>
      <c r="C278" s="7">
        <f ca="1">IFERROR(__xludf.DUMMYFUNCTION("""COMPUTED_VALUE"""),43140.6458333333)</f>
        <v>43140.645833333299</v>
      </c>
      <c r="D278">
        <v>9052.7999999999993</v>
      </c>
      <c r="E278">
        <v>9245.9</v>
      </c>
      <c r="F278">
        <v>9044.2999999999993</v>
      </c>
      <c r="G278">
        <v>9222.5499999999993</v>
      </c>
      <c r="H278">
        <v>0</v>
      </c>
      <c r="I278" s="8">
        <f t="shared" si="17"/>
        <v>-4.3077155612177842E-3</v>
      </c>
      <c r="J278" s="8">
        <f t="shared" si="18"/>
        <v>-4.3170204995290071E-3</v>
      </c>
      <c r="K278" s="8">
        <f t="shared" si="15"/>
        <v>1.5312023196085711E-3</v>
      </c>
    </row>
    <row r="279" spans="1:11" x14ac:dyDescent="0.25">
      <c r="A279" t="str">
        <f t="shared" si="16"/>
        <v>22018</v>
      </c>
      <c r="B279" s="1">
        <v>43143</v>
      </c>
      <c r="C279" s="7">
        <f ca="1">IFERROR(__xludf.DUMMYFUNCTION("""COMPUTED_VALUE"""),43143.6458333333)</f>
        <v>43143.645833333299</v>
      </c>
      <c r="D279">
        <v>9298.0499999999993</v>
      </c>
      <c r="E279">
        <v>9453.75</v>
      </c>
      <c r="F279">
        <v>9271</v>
      </c>
      <c r="G279">
        <v>9339.9500000000007</v>
      </c>
      <c r="H279">
        <v>0</v>
      </c>
      <c r="I279" s="8">
        <f t="shared" si="17"/>
        <v>1.2729668041919107E-2</v>
      </c>
      <c r="J279" s="8">
        <f t="shared" si="18"/>
        <v>1.2649326909919158E-2</v>
      </c>
      <c r="K279" s="8">
        <f t="shared" si="15"/>
        <v>3.4874573416655563E-2</v>
      </c>
    </row>
    <row r="280" spans="1:11" x14ac:dyDescent="0.25">
      <c r="A280" t="str">
        <f t="shared" si="16"/>
        <v>22018</v>
      </c>
      <c r="B280" s="1">
        <v>43145</v>
      </c>
      <c r="C280" s="7">
        <f ca="1">IFERROR(__xludf.DUMMYFUNCTION("""COMPUTED_VALUE"""),43145.6458333333)</f>
        <v>43145.645833333299</v>
      </c>
      <c r="D280">
        <v>9367.5</v>
      </c>
      <c r="E280">
        <v>9374</v>
      </c>
      <c r="F280">
        <v>9212.25</v>
      </c>
      <c r="G280">
        <v>9249.2000000000007</v>
      </c>
      <c r="H280">
        <v>0</v>
      </c>
      <c r="I280" s="8">
        <f t="shared" si="17"/>
        <v>-9.716326104529438E-3</v>
      </c>
      <c r="J280" s="8">
        <f t="shared" si="18"/>
        <v>-9.7638376096888281E-3</v>
      </c>
      <c r="K280" s="8">
        <f t="shared" si="15"/>
        <v>1.833715930923252E-2</v>
      </c>
    </row>
    <row r="281" spans="1:11" x14ac:dyDescent="0.25">
      <c r="A281" t="str">
        <f t="shared" si="16"/>
        <v>22018</v>
      </c>
      <c r="B281" s="1">
        <v>43146</v>
      </c>
      <c r="C281" s="7">
        <f ca="1">IFERROR(__xludf.DUMMYFUNCTION("""COMPUTED_VALUE"""),43146.6458333333)</f>
        <v>43146.645833333299</v>
      </c>
      <c r="D281">
        <v>9215.7000000000007</v>
      </c>
      <c r="E281">
        <v>9327.7000000000007</v>
      </c>
      <c r="F281">
        <v>9186.5499999999993</v>
      </c>
      <c r="G281">
        <v>9207.5</v>
      </c>
      <c r="H281">
        <v>0</v>
      </c>
      <c r="I281" s="8">
        <f t="shared" si="17"/>
        <v>-4.5084980322622759E-3</v>
      </c>
      <c r="J281" s="8">
        <f t="shared" si="18"/>
        <v>-4.5186919605922282E-3</v>
      </c>
      <c r="K281" s="8">
        <f t="shared" si="15"/>
        <v>4.9881027745639628E-3</v>
      </c>
    </row>
    <row r="282" spans="1:11" x14ac:dyDescent="0.25">
      <c r="A282" t="str">
        <f t="shared" si="16"/>
        <v>22018</v>
      </c>
      <c r="B282" s="1">
        <v>43147</v>
      </c>
      <c r="C282" s="7">
        <f ca="1">IFERROR(__xludf.DUMMYFUNCTION("""COMPUTED_VALUE"""),43147.6458333333)</f>
        <v>43147.645833333299</v>
      </c>
      <c r="D282">
        <v>9231.85</v>
      </c>
      <c r="E282">
        <v>9262.15</v>
      </c>
      <c r="F282">
        <v>9141.0499999999993</v>
      </c>
      <c r="G282">
        <v>9180.9</v>
      </c>
      <c r="H282">
        <v>0</v>
      </c>
      <c r="I282" s="8">
        <f t="shared" si="17"/>
        <v>-2.888949226174331E-3</v>
      </c>
      <c r="J282" s="8">
        <f t="shared" si="18"/>
        <v>-2.8931302945277813E-3</v>
      </c>
      <c r="K282" s="8">
        <f t="shared" si="15"/>
        <v>4.1068098672805142E-3</v>
      </c>
    </row>
    <row r="283" spans="1:11" x14ac:dyDescent="0.25">
      <c r="A283" t="str">
        <f t="shared" si="16"/>
        <v>22018</v>
      </c>
      <c r="B283" s="1">
        <v>43150</v>
      </c>
      <c r="C283" s="7">
        <f ca="1">IFERROR(__xludf.DUMMYFUNCTION("""COMPUTED_VALUE"""),43150.6458333333)</f>
        <v>43150.645833333299</v>
      </c>
      <c r="D283">
        <v>9188.2999999999993</v>
      </c>
      <c r="E283">
        <v>9198.65</v>
      </c>
      <c r="F283">
        <v>8941.9</v>
      </c>
      <c r="G283">
        <v>9027.9</v>
      </c>
      <c r="H283">
        <v>0</v>
      </c>
      <c r="I283" s="8">
        <f t="shared" si="17"/>
        <v>-1.6665032839917604E-2</v>
      </c>
      <c r="J283" s="8">
        <f t="shared" si="18"/>
        <v>-1.6805456799033693E-2</v>
      </c>
      <c r="K283" s="8">
        <f t="shared" si="15"/>
        <v>-3.4092793597637616E-2</v>
      </c>
    </row>
    <row r="284" spans="1:11" x14ac:dyDescent="0.25">
      <c r="A284" t="str">
        <f t="shared" si="16"/>
        <v>22018</v>
      </c>
      <c r="B284" s="1">
        <v>43151</v>
      </c>
      <c r="C284" s="7">
        <f ca="1">IFERROR(__xludf.DUMMYFUNCTION("""COMPUTED_VALUE"""),43151.6458333333)</f>
        <v>43151.645833333299</v>
      </c>
      <c r="D284">
        <v>9054.4500000000007</v>
      </c>
      <c r="E284">
        <v>9086.5</v>
      </c>
      <c r="F284">
        <v>8982.1</v>
      </c>
      <c r="G284">
        <v>9020.75</v>
      </c>
      <c r="H284">
        <v>0</v>
      </c>
      <c r="I284" s="8">
        <f t="shared" si="17"/>
        <v>-7.9198927768353578E-4</v>
      </c>
      <c r="J284" s="8">
        <f t="shared" si="18"/>
        <v>-7.9230306688091103E-4</v>
      </c>
      <c r="K284" s="8">
        <f t="shared" si="15"/>
        <v>-2.7726880793274455E-2</v>
      </c>
    </row>
    <row r="285" spans="1:11" x14ac:dyDescent="0.25">
      <c r="A285" t="str">
        <f t="shared" si="16"/>
        <v>22018</v>
      </c>
      <c r="B285" s="1">
        <v>43152</v>
      </c>
      <c r="C285" s="7">
        <f ca="1">IFERROR(__xludf.DUMMYFUNCTION("""COMPUTED_VALUE"""),43152.6458333333)</f>
        <v>43152.645833333299</v>
      </c>
      <c r="D285">
        <v>9054.5</v>
      </c>
      <c r="E285">
        <v>9073.5</v>
      </c>
      <c r="F285">
        <v>8753.5499999999993</v>
      </c>
      <c r="G285">
        <v>8843.4</v>
      </c>
      <c r="H285">
        <v>0</v>
      </c>
      <c r="I285" s="8">
        <f t="shared" si="17"/>
        <v>-1.9660227808109165E-2</v>
      </c>
      <c r="J285" s="8">
        <f t="shared" si="18"/>
        <v>-1.985606108801069E-2</v>
      </c>
      <c r="K285" s="8">
        <f t="shared" si="15"/>
        <v>-4.8400981362716977E-2</v>
      </c>
    </row>
    <row r="286" spans="1:11" x14ac:dyDescent="0.25">
      <c r="A286" t="str">
        <f t="shared" si="16"/>
        <v>22018</v>
      </c>
      <c r="B286" s="1">
        <v>43153</v>
      </c>
      <c r="C286" s="7">
        <f ca="1">IFERROR(__xludf.DUMMYFUNCTION("""COMPUTED_VALUE"""),43153.6458333333)</f>
        <v>43153.645833333299</v>
      </c>
      <c r="D286">
        <v>8832.7000000000007</v>
      </c>
      <c r="E286">
        <v>8901.4500000000007</v>
      </c>
      <c r="F286">
        <v>8787.0499999999993</v>
      </c>
      <c r="G286">
        <v>8861.75</v>
      </c>
      <c r="H286">
        <v>0</v>
      </c>
      <c r="I286" s="8">
        <f t="shared" si="17"/>
        <v>2.0749937806725516E-3</v>
      </c>
      <c r="J286" s="8">
        <f t="shared" si="18"/>
        <v>2.0728439544812844E-3</v>
      </c>
      <c r="K286" s="8">
        <f t="shared" si="15"/>
        <v>-5.3666584795446504E-2</v>
      </c>
    </row>
    <row r="287" spans="1:11" x14ac:dyDescent="0.25">
      <c r="A287" t="str">
        <f t="shared" si="16"/>
        <v>22018</v>
      </c>
      <c r="B287" s="1">
        <v>43154</v>
      </c>
      <c r="C287" s="7">
        <f ca="1">IFERROR(__xludf.DUMMYFUNCTION("""COMPUTED_VALUE"""),43154.6458333333)</f>
        <v>43154.645833333299</v>
      </c>
      <c r="D287">
        <v>8924.2999999999993</v>
      </c>
      <c r="E287">
        <v>9124.7000000000007</v>
      </c>
      <c r="F287">
        <v>8909.7999999999993</v>
      </c>
      <c r="G287">
        <v>9095.4</v>
      </c>
      <c r="H287">
        <v>0</v>
      </c>
      <c r="I287" s="8">
        <f t="shared" si="17"/>
        <v>2.6366124072559005E-2</v>
      </c>
      <c r="J287" s="8">
        <f t="shared" si="18"/>
        <v>2.6024529168778988E-2</v>
      </c>
      <c r="K287" s="8">
        <f t="shared" si="15"/>
        <v>-2.9171603317429406E-2</v>
      </c>
    </row>
    <row r="288" spans="1:11" x14ac:dyDescent="0.25">
      <c r="A288" t="str">
        <f t="shared" si="16"/>
        <v>22018</v>
      </c>
      <c r="B288" s="1">
        <v>43157</v>
      </c>
      <c r="C288" s="7">
        <f ca="1">IFERROR(__xludf.DUMMYFUNCTION("""COMPUTED_VALUE"""),43157.6458333333)</f>
        <v>43157.645833333299</v>
      </c>
      <c r="D288">
        <v>9091.75</v>
      </c>
      <c r="E288">
        <v>9097.85</v>
      </c>
      <c r="F288">
        <v>9016.7000000000007</v>
      </c>
      <c r="G288">
        <v>9065.1</v>
      </c>
      <c r="H288">
        <v>0</v>
      </c>
      <c r="I288" s="8">
        <f t="shared" si="17"/>
        <v>-3.3313543109703136E-3</v>
      </c>
      <c r="J288" s="8">
        <f t="shared" si="18"/>
        <v>-3.3369156263191061E-3</v>
      </c>
      <c r="K288" s="8">
        <f t="shared" si="15"/>
        <v>-2.7193217792563118E-2</v>
      </c>
    </row>
    <row r="289" spans="1:11" x14ac:dyDescent="0.25">
      <c r="A289" t="str">
        <f t="shared" si="16"/>
        <v>22018</v>
      </c>
      <c r="B289" s="1">
        <v>43158</v>
      </c>
      <c r="C289" s="7">
        <f ca="1">IFERROR(__xludf.DUMMYFUNCTION("""COMPUTED_VALUE"""),43158.6458333333)</f>
        <v>43158.645833333299</v>
      </c>
      <c r="D289">
        <v>9081.5</v>
      </c>
      <c r="E289">
        <v>9146.6</v>
      </c>
      <c r="F289">
        <v>9002.5499999999993</v>
      </c>
      <c r="G289">
        <v>9023.4500000000007</v>
      </c>
      <c r="H289">
        <v>0</v>
      </c>
      <c r="I289" s="8">
        <f t="shared" si="17"/>
        <v>-4.5945439101608976E-3</v>
      </c>
      <c r="J289" s="8">
        <f t="shared" si="18"/>
        <v>-4.6051312688687842E-3</v>
      </c>
      <c r="K289" s="8">
        <f t="shared" si="15"/>
        <v>-3.5116046557632896E-2</v>
      </c>
    </row>
    <row r="290" spans="1:11" x14ac:dyDescent="0.25">
      <c r="A290" t="str">
        <f t="shared" si="16"/>
        <v>22018</v>
      </c>
      <c r="B290" s="1">
        <v>43159</v>
      </c>
      <c r="C290" s="7">
        <f ca="1">IFERROR(__xludf.DUMMYFUNCTION("""COMPUTED_VALUE"""),43159.6458333333)</f>
        <v>43159.645833333299</v>
      </c>
      <c r="D290">
        <v>8995</v>
      </c>
      <c r="E290">
        <v>9093.0499999999993</v>
      </c>
      <c r="F290">
        <v>8938.9500000000007</v>
      </c>
      <c r="G290">
        <v>8960.25</v>
      </c>
      <c r="H290">
        <v>0</v>
      </c>
      <c r="I290" s="8">
        <f t="shared" si="17"/>
        <v>-7.0039729815093432E-3</v>
      </c>
      <c r="J290" s="8">
        <f t="shared" si="18"/>
        <v>-7.0286159333967767E-3</v>
      </c>
      <c r="K290" s="8">
        <f t="shared" si="15"/>
        <v>-3.0144770667027476E-2</v>
      </c>
    </row>
    <row r="291" spans="1:11" x14ac:dyDescent="0.25">
      <c r="A291" t="str">
        <f t="shared" si="16"/>
        <v>32018</v>
      </c>
      <c r="B291" s="1">
        <v>43160</v>
      </c>
      <c r="C291" s="7">
        <f ca="1">IFERROR(__xludf.DUMMYFUNCTION("""COMPUTED_VALUE"""),43160.6458333333)</f>
        <v>43160.645833333299</v>
      </c>
      <c r="D291">
        <v>8966.4</v>
      </c>
      <c r="E291">
        <v>9003.9</v>
      </c>
      <c r="F291">
        <v>8905.2000000000007</v>
      </c>
      <c r="G291">
        <v>8917.75</v>
      </c>
      <c r="H291">
        <v>0</v>
      </c>
      <c r="I291" s="8">
        <f t="shared" si="17"/>
        <v>-4.7431712284813354E-3</v>
      </c>
      <c r="J291" s="8">
        <f t="shared" si="18"/>
        <v>-4.7544557622566331E-3</v>
      </c>
      <c r="K291" s="8">
        <f t="shared" si="15"/>
        <v>-1.8285198456601592E-2</v>
      </c>
    </row>
    <row r="292" spans="1:11" x14ac:dyDescent="0.25">
      <c r="A292" t="str">
        <f t="shared" si="16"/>
        <v>32018</v>
      </c>
      <c r="B292" s="1">
        <v>43164</v>
      </c>
      <c r="C292" s="7">
        <f ca="1">IFERROR(__xludf.DUMMYFUNCTION("""COMPUTED_VALUE"""),43164.6458333333)</f>
        <v>43164.645833333299</v>
      </c>
      <c r="D292">
        <v>8888.85</v>
      </c>
      <c r="E292">
        <v>8905.5499999999993</v>
      </c>
      <c r="F292">
        <v>8770.7999999999993</v>
      </c>
      <c r="G292">
        <v>8855.7999999999993</v>
      </c>
      <c r="H292">
        <v>0</v>
      </c>
      <c r="I292" s="8">
        <f t="shared" si="17"/>
        <v>-6.9468195452889736E-3</v>
      </c>
      <c r="J292" s="8">
        <f t="shared" si="18"/>
        <v>-6.9710610288948273E-3</v>
      </c>
      <c r="K292" s="8">
        <f t="shared" si="15"/>
        <v>-2.1674768007070355E-2</v>
      </c>
    </row>
    <row r="293" spans="1:11" x14ac:dyDescent="0.25">
      <c r="A293" t="str">
        <f t="shared" si="16"/>
        <v>32018</v>
      </c>
      <c r="B293" s="1">
        <v>43165</v>
      </c>
      <c r="C293" s="7">
        <f ca="1">IFERROR(__xludf.DUMMYFUNCTION("""COMPUTED_VALUE"""),43165.6458333333)</f>
        <v>43165.645833333299</v>
      </c>
      <c r="D293">
        <v>8945.85</v>
      </c>
      <c r="E293">
        <v>8955.6</v>
      </c>
      <c r="F293">
        <v>8723.7999999999993</v>
      </c>
      <c r="G293">
        <v>8749.5499999999993</v>
      </c>
      <c r="H293">
        <v>0</v>
      </c>
      <c r="I293" s="8">
        <f t="shared" si="17"/>
        <v>-1.1997786761218654E-2</v>
      </c>
      <c r="J293" s="8">
        <f t="shared" si="18"/>
        <v>-1.2070341116554268E-2</v>
      </c>
      <c r="K293" s="8">
        <f t="shared" si="15"/>
        <v>-3.2466563089189049E-2</v>
      </c>
    </row>
    <row r="294" spans="1:11" x14ac:dyDescent="0.25">
      <c r="A294" t="str">
        <f t="shared" si="16"/>
        <v>32018</v>
      </c>
      <c r="B294" s="1">
        <v>43166</v>
      </c>
      <c r="C294" s="7">
        <f ca="1">IFERROR(__xludf.DUMMYFUNCTION("""COMPUTED_VALUE"""),43166.6458333333)</f>
        <v>43166.645833333299</v>
      </c>
      <c r="D294">
        <v>8753.6</v>
      </c>
      <c r="E294">
        <v>8756.2999999999993</v>
      </c>
      <c r="F294">
        <v>8600.9500000000007</v>
      </c>
      <c r="G294">
        <v>8615</v>
      </c>
      <c r="H294">
        <v>0</v>
      </c>
      <c r="I294" s="8">
        <f t="shared" si="17"/>
        <v>-1.537793372230567E-2</v>
      </c>
      <c r="J294" s="8">
        <f t="shared" si="18"/>
        <v>-1.5497400495707173E-2</v>
      </c>
      <c r="K294" s="8">
        <f t="shared" si="15"/>
        <v>-3.6159405696896574E-2</v>
      </c>
    </row>
    <row r="295" spans="1:11" x14ac:dyDescent="0.25">
      <c r="A295" t="str">
        <f t="shared" si="16"/>
        <v>32018</v>
      </c>
      <c r="B295" s="1">
        <v>43167</v>
      </c>
      <c r="C295" s="7">
        <f ca="1">IFERROR(__xludf.DUMMYFUNCTION("""COMPUTED_VALUE"""),43167.6458333333)</f>
        <v>43167.645833333299</v>
      </c>
      <c r="D295">
        <v>8672.65</v>
      </c>
      <c r="E295">
        <v>8696.5499999999993</v>
      </c>
      <c r="F295">
        <v>8499.85</v>
      </c>
      <c r="G295">
        <v>8586.35</v>
      </c>
      <c r="H295">
        <v>0</v>
      </c>
      <c r="I295" s="8">
        <f t="shared" si="17"/>
        <v>-3.325594892629069E-3</v>
      </c>
      <c r="J295" s="8">
        <f t="shared" si="18"/>
        <v>-3.331136973879969E-3</v>
      </c>
      <c r="K295" s="8">
        <f t="shared" si="15"/>
        <v>-4.1744788179099102E-2</v>
      </c>
    </row>
    <row r="296" spans="1:11" x14ac:dyDescent="0.25">
      <c r="A296" t="str">
        <f t="shared" si="16"/>
        <v>32018</v>
      </c>
      <c r="B296" s="1">
        <v>43168</v>
      </c>
      <c r="C296" s="7">
        <f ca="1">IFERROR(__xludf.DUMMYFUNCTION("""COMPUTED_VALUE"""),43168.6458333333)</f>
        <v>43168.645833333299</v>
      </c>
      <c r="D296">
        <v>8611.5499999999993</v>
      </c>
      <c r="E296">
        <v>8688</v>
      </c>
      <c r="F296">
        <v>8491.5</v>
      </c>
      <c r="G296">
        <v>8515.7000000000007</v>
      </c>
      <c r="H296">
        <v>0</v>
      </c>
      <c r="I296" s="8">
        <f t="shared" si="17"/>
        <v>-8.2281761167434242E-3</v>
      </c>
      <c r="J296" s="8">
        <f t="shared" si="18"/>
        <v>-8.2622144017755229E-3</v>
      </c>
      <c r="K296" s="8">
        <f t="shared" si="15"/>
        <v>-6.4049371046716708E-2</v>
      </c>
    </row>
    <row r="297" spans="1:11" x14ac:dyDescent="0.25">
      <c r="A297" t="str">
        <f t="shared" si="16"/>
        <v>32018</v>
      </c>
      <c r="B297" s="1">
        <v>43171</v>
      </c>
      <c r="C297" s="7">
        <f ca="1">IFERROR(__xludf.DUMMYFUNCTION("""COMPUTED_VALUE"""),43171.6458333333)</f>
        <v>43171.645833333299</v>
      </c>
      <c r="D297">
        <v>8582.9</v>
      </c>
      <c r="E297">
        <v>8618.15</v>
      </c>
      <c r="F297">
        <v>8492.7000000000007</v>
      </c>
      <c r="G297">
        <v>8600.7000000000007</v>
      </c>
      <c r="H297">
        <v>0</v>
      </c>
      <c r="I297" s="8">
        <f t="shared" si="17"/>
        <v>9.9815634651290175E-3</v>
      </c>
      <c r="J297" s="8">
        <f t="shared" si="18"/>
        <v>9.9320766916401251E-3</v>
      </c>
      <c r="K297" s="8">
        <f t="shared" si="15"/>
        <v>-6.3726717540631972E-2</v>
      </c>
    </row>
    <row r="298" spans="1:11" x14ac:dyDescent="0.25">
      <c r="A298" t="str">
        <f t="shared" si="16"/>
        <v>32018</v>
      </c>
      <c r="B298" s="1">
        <v>43172</v>
      </c>
      <c r="C298" s="7">
        <f ca="1">IFERROR(__xludf.DUMMYFUNCTION("""COMPUTED_VALUE"""),43172.6458333333)</f>
        <v>43172.645833333299</v>
      </c>
      <c r="D298">
        <v>8594.4</v>
      </c>
      <c r="E298">
        <v>8739.7999999999993</v>
      </c>
      <c r="F298">
        <v>8593.2000000000007</v>
      </c>
      <c r="G298">
        <v>8712.1</v>
      </c>
      <c r="H298">
        <v>0</v>
      </c>
      <c r="I298" s="8">
        <f t="shared" si="17"/>
        <v>1.2952434104200883E-2</v>
      </c>
      <c r="J298" s="8">
        <f t="shared" si="18"/>
        <v>1.2869268689474578E-2</v>
      </c>
      <c r="K298" s="8">
        <f t="shared" si="15"/>
        <v>-4.463159741641165E-2</v>
      </c>
    </row>
    <row r="299" spans="1:11" x14ac:dyDescent="0.25">
      <c r="A299" t="str">
        <f t="shared" si="16"/>
        <v>32018</v>
      </c>
      <c r="B299" s="1">
        <v>43173</v>
      </c>
      <c r="C299" s="7">
        <f ca="1">IFERROR(__xludf.DUMMYFUNCTION("""COMPUTED_VALUE"""),43173.6458333333)</f>
        <v>43173.645833333299</v>
      </c>
      <c r="D299">
        <v>8709.7000000000007</v>
      </c>
      <c r="E299">
        <v>8726.7999999999993</v>
      </c>
      <c r="F299">
        <v>8656.7000000000007</v>
      </c>
      <c r="G299">
        <v>8701.5499999999993</v>
      </c>
      <c r="H299">
        <v>0</v>
      </c>
      <c r="I299" s="8">
        <f t="shared" si="17"/>
        <v>-1.2109594701623649E-3</v>
      </c>
      <c r="J299" s="8">
        <f t="shared" si="18"/>
        <v>-1.2116932740458811E-3</v>
      </c>
      <c r="K299" s="8">
        <f t="shared" si="15"/>
        <v>-3.346181188074826E-2</v>
      </c>
    </row>
    <row r="300" spans="1:11" x14ac:dyDescent="0.25">
      <c r="A300" t="str">
        <f t="shared" si="16"/>
        <v>32018</v>
      </c>
      <c r="B300" s="1">
        <v>43174</v>
      </c>
      <c r="C300" s="7">
        <f ca="1">IFERROR(__xludf.DUMMYFUNCTION("""COMPUTED_VALUE"""),43174.6458333333)</f>
        <v>43174.645833333299</v>
      </c>
      <c r="D300">
        <v>8708.25</v>
      </c>
      <c r="E300">
        <v>8796.1</v>
      </c>
      <c r="F300">
        <v>8644.85</v>
      </c>
      <c r="G300">
        <v>8670.5499999999993</v>
      </c>
      <c r="H300">
        <v>0</v>
      </c>
      <c r="I300" s="8">
        <f t="shared" si="17"/>
        <v>-3.5625836776206343E-3</v>
      </c>
      <c r="J300" s="8">
        <f t="shared" si="18"/>
        <v>-3.5689447913444428E-3</v>
      </c>
      <c r="K300" s="8">
        <f t="shared" si="15"/>
        <v>-4.4130373669501899E-2</v>
      </c>
    </row>
    <row r="301" spans="1:11" x14ac:dyDescent="0.25">
      <c r="A301" t="str">
        <f t="shared" si="16"/>
        <v>32018</v>
      </c>
      <c r="B301" s="1">
        <v>43175</v>
      </c>
      <c r="C301" s="7">
        <f ca="1">IFERROR(__xludf.DUMMYFUNCTION("""COMPUTED_VALUE"""),43175.6458333333)</f>
        <v>43175.645833333299</v>
      </c>
      <c r="D301">
        <v>8639.7999999999993</v>
      </c>
      <c r="E301">
        <v>8738.2999999999993</v>
      </c>
      <c r="F301">
        <v>8528.7000000000007</v>
      </c>
      <c r="G301">
        <v>8546.7999999999993</v>
      </c>
      <c r="H301">
        <v>0</v>
      </c>
      <c r="I301" s="8">
        <f t="shared" si="17"/>
        <v>-1.4272450997918296E-2</v>
      </c>
      <c r="J301" s="8">
        <f t="shared" si="18"/>
        <v>-1.4375282033265911E-2</v>
      </c>
      <c r="K301" s="8">
        <f t="shared" si="15"/>
        <v>-6.0822170697669264E-2</v>
      </c>
    </row>
    <row r="302" spans="1:11" x14ac:dyDescent="0.25">
      <c r="A302" t="str">
        <f t="shared" si="16"/>
        <v>32018</v>
      </c>
      <c r="B302" s="1">
        <v>43178</v>
      </c>
      <c r="C302" s="7">
        <f ca="1">IFERROR(__xludf.DUMMYFUNCTION("""COMPUTED_VALUE"""),43178.6458333333)</f>
        <v>43178.645833333299</v>
      </c>
      <c r="D302">
        <v>8606.25</v>
      </c>
      <c r="E302">
        <v>8618.15</v>
      </c>
      <c r="F302">
        <v>8490.4</v>
      </c>
      <c r="G302">
        <v>8512.9</v>
      </c>
      <c r="H302">
        <v>0</v>
      </c>
      <c r="I302" s="8">
        <f t="shared" si="17"/>
        <v>-3.9663967800813715E-3</v>
      </c>
      <c r="J302" s="8">
        <f t="shared" si="18"/>
        <v>-3.9742837940490985E-3</v>
      </c>
      <c r="K302" s="8">
        <f t="shared" si="15"/>
        <v>-7.7737271747314707E-2</v>
      </c>
    </row>
    <row r="303" spans="1:11" x14ac:dyDescent="0.25">
      <c r="A303" t="str">
        <f t="shared" si="16"/>
        <v>32018</v>
      </c>
      <c r="B303" s="1">
        <v>43179</v>
      </c>
      <c r="C303" s="7">
        <f ca="1">IFERROR(__xludf.DUMMYFUNCTION("""COMPUTED_VALUE"""),43179.6458333333)</f>
        <v>43179.645833333299</v>
      </c>
      <c r="D303">
        <v>8471.85</v>
      </c>
      <c r="E303">
        <v>8601.2000000000007</v>
      </c>
      <c r="F303">
        <v>8395.2999999999993</v>
      </c>
      <c r="G303">
        <v>8578.7000000000007</v>
      </c>
      <c r="H303">
        <v>0</v>
      </c>
      <c r="I303" s="8">
        <f t="shared" si="17"/>
        <v>7.7294458997523297E-3</v>
      </c>
      <c r="J303" s="8">
        <f t="shared" si="18"/>
        <v>7.6997267761288813E-3</v>
      </c>
      <c r="K303" s="8">
        <f t="shared" si="15"/>
        <v>-7.7524422962154338E-2</v>
      </c>
    </row>
    <row r="304" spans="1:11" x14ac:dyDescent="0.25">
      <c r="A304" t="str">
        <f t="shared" si="16"/>
        <v>32018</v>
      </c>
      <c r="B304" s="1">
        <v>43180</v>
      </c>
      <c r="C304" s="7">
        <f ca="1">IFERROR(__xludf.DUMMYFUNCTION("""COMPUTED_VALUE"""),43180.6458333333)</f>
        <v>43180.645833333299</v>
      </c>
      <c r="D304">
        <v>8639.2000000000007</v>
      </c>
      <c r="E304">
        <v>8674.1</v>
      </c>
      <c r="F304">
        <v>8505.5</v>
      </c>
      <c r="G304">
        <v>8525.4500000000007</v>
      </c>
      <c r="H304">
        <v>0</v>
      </c>
      <c r="I304" s="8">
        <f t="shared" si="17"/>
        <v>-6.2072341963234079E-3</v>
      </c>
      <c r="J304" s="8">
        <f t="shared" si="18"/>
        <v>-6.2265791685692752E-3</v>
      </c>
      <c r="K304" s="8">
        <f t="shared" si="15"/>
        <v>-8.1848483379911574E-2</v>
      </c>
    </row>
    <row r="305" spans="1:11" x14ac:dyDescent="0.25">
      <c r="A305" t="str">
        <f t="shared" si="16"/>
        <v>32018</v>
      </c>
      <c r="B305" s="1">
        <v>43181</v>
      </c>
      <c r="C305" s="7">
        <f ca="1">IFERROR(__xludf.DUMMYFUNCTION("""COMPUTED_VALUE"""),43181.6458333333)</f>
        <v>43181.645833333299</v>
      </c>
      <c r="D305">
        <v>8590.15</v>
      </c>
      <c r="E305">
        <v>8625.7000000000007</v>
      </c>
      <c r="F305">
        <v>8459</v>
      </c>
      <c r="G305">
        <v>8474</v>
      </c>
      <c r="H305">
        <v>0</v>
      </c>
      <c r="I305" s="8">
        <f t="shared" si="17"/>
        <v>-6.0348720595394534E-3</v>
      </c>
      <c r="J305" s="8">
        <f t="shared" si="18"/>
        <v>-6.0531554958389031E-3</v>
      </c>
      <c r="K305" s="8">
        <f t="shared" si="15"/>
        <v>-9.0928595949193336E-2</v>
      </c>
    </row>
    <row r="306" spans="1:11" x14ac:dyDescent="0.25">
      <c r="A306" t="str">
        <f t="shared" si="16"/>
        <v>32018</v>
      </c>
      <c r="B306" s="1">
        <v>43182</v>
      </c>
      <c r="C306" s="7">
        <f ca="1">IFERROR(__xludf.DUMMYFUNCTION("""COMPUTED_VALUE"""),43182.6458333333)</f>
        <v>43182.645833333299</v>
      </c>
      <c r="D306">
        <v>8378.2000000000007</v>
      </c>
      <c r="E306">
        <v>8406.0499999999993</v>
      </c>
      <c r="F306">
        <v>8280.4500000000007</v>
      </c>
      <c r="G306">
        <v>8327.4</v>
      </c>
      <c r="H306">
        <v>0</v>
      </c>
      <c r="I306" s="8">
        <f t="shared" si="17"/>
        <v>-1.7299976398395089E-2</v>
      </c>
      <c r="J306" s="8">
        <f t="shared" si="18"/>
        <v>-1.745136959665541E-2</v>
      </c>
      <c r="K306" s="8">
        <f t="shared" si="15"/>
        <v>-0.10713443269787493</v>
      </c>
    </row>
    <row r="307" spans="1:11" x14ac:dyDescent="0.25">
      <c r="A307" t="str">
        <f t="shared" si="16"/>
        <v>32018</v>
      </c>
      <c r="B307" s="1">
        <v>43185</v>
      </c>
      <c r="C307" s="7">
        <f ca="1">IFERROR(__xludf.DUMMYFUNCTION("""COMPUTED_VALUE"""),43185.6458333333)</f>
        <v>43185.645833333299</v>
      </c>
      <c r="D307">
        <v>8323.25</v>
      </c>
      <c r="E307">
        <v>8406.25</v>
      </c>
      <c r="F307">
        <v>8282.0499999999993</v>
      </c>
      <c r="G307">
        <v>8390.5</v>
      </c>
      <c r="H307">
        <v>0</v>
      </c>
      <c r="I307" s="8">
        <f t="shared" si="17"/>
        <v>7.5773951053150768E-3</v>
      </c>
      <c r="J307" s="8">
        <f t="shared" si="18"/>
        <v>7.5488308513674352E-3</v>
      </c>
      <c r="K307" s="8">
        <f t="shared" si="15"/>
        <v>-0.10891036533559895</v>
      </c>
    </row>
    <row r="308" spans="1:11" x14ac:dyDescent="0.25">
      <c r="A308" t="str">
        <f t="shared" si="16"/>
        <v>32018</v>
      </c>
      <c r="B308" s="1">
        <v>43186</v>
      </c>
      <c r="C308" s="7">
        <f ca="1">IFERROR(__xludf.DUMMYFUNCTION("""COMPUTED_VALUE"""),43186.6458333333)</f>
        <v>43186.645833333299</v>
      </c>
      <c r="D308">
        <v>8422.2999999999993</v>
      </c>
      <c r="E308">
        <v>8491.7000000000007</v>
      </c>
      <c r="F308">
        <v>8417.7000000000007</v>
      </c>
      <c r="G308">
        <v>8452.5</v>
      </c>
      <c r="H308">
        <v>0</v>
      </c>
      <c r="I308" s="8">
        <f t="shared" si="17"/>
        <v>7.3893093379417962E-3</v>
      </c>
      <c r="J308" s="8">
        <f t="shared" si="18"/>
        <v>7.3621421408246734E-3</v>
      </c>
      <c r="K308" s="8">
        <f t="shared" si="15"/>
        <v>-0.12317100369819034</v>
      </c>
    </row>
    <row r="309" spans="1:11" x14ac:dyDescent="0.25">
      <c r="A309" t="str">
        <f t="shared" si="16"/>
        <v>32018</v>
      </c>
      <c r="B309" s="1">
        <v>43187</v>
      </c>
      <c r="C309" s="7">
        <f ca="1">IFERROR(__xludf.DUMMYFUNCTION("""COMPUTED_VALUE"""),43187.6458333333)</f>
        <v>43187.645833333299</v>
      </c>
      <c r="D309">
        <v>8445.2999999999993</v>
      </c>
      <c r="E309">
        <v>8456.7000000000007</v>
      </c>
      <c r="F309">
        <v>8332.15</v>
      </c>
      <c r="G309">
        <v>8358.0499999999993</v>
      </c>
      <c r="H309">
        <v>0</v>
      </c>
      <c r="I309" s="8">
        <f t="shared" si="17"/>
        <v>-1.1174208813960473E-2</v>
      </c>
      <c r="J309" s="8">
        <f t="shared" si="18"/>
        <v>-1.1237109299659851E-2</v>
      </c>
      <c r="K309" s="8">
        <f t="shared" si="15"/>
        <v>-0.12793451722626836</v>
      </c>
    </row>
    <row r="310" spans="1:11" x14ac:dyDescent="0.25">
      <c r="A310" t="str">
        <f t="shared" si="16"/>
        <v>42018</v>
      </c>
      <c r="B310" s="1">
        <v>43192</v>
      </c>
      <c r="C310" s="7">
        <f ca="1">IFERROR(__xludf.DUMMYFUNCTION("""COMPUTED_VALUE"""),43192.6458333333)</f>
        <v>43192.645833333299</v>
      </c>
      <c r="D310">
        <v>8424.4</v>
      </c>
      <c r="E310">
        <v>8637.4</v>
      </c>
      <c r="F310">
        <v>8385.2999999999993</v>
      </c>
      <c r="G310">
        <v>8620.85</v>
      </c>
      <c r="H310">
        <v>0</v>
      </c>
      <c r="I310" s="8">
        <f t="shared" si="17"/>
        <v>3.1442740830696314E-2</v>
      </c>
      <c r="J310" s="8">
        <f t="shared" si="18"/>
        <v>3.0958541402550444E-2</v>
      </c>
      <c r="K310" s="8">
        <f t="shared" si="15"/>
        <v>-0.10387106163137594</v>
      </c>
    </row>
    <row r="311" spans="1:11" x14ac:dyDescent="0.25">
      <c r="A311" t="str">
        <f t="shared" si="16"/>
        <v>42018</v>
      </c>
      <c r="B311" s="1">
        <v>43193</v>
      </c>
      <c r="C311" s="7">
        <f ca="1">IFERROR(__xludf.DUMMYFUNCTION("""COMPUTED_VALUE"""),43193.6458333333)</f>
        <v>43193.645833333299</v>
      </c>
      <c r="D311">
        <v>8583.1</v>
      </c>
      <c r="E311">
        <v>8701.5499999999993</v>
      </c>
      <c r="F311">
        <v>8568.5499999999993</v>
      </c>
      <c r="G311">
        <v>8664.7000000000007</v>
      </c>
      <c r="H311">
        <v>0</v>
      </c>
      <c r="I311" s="8">
        <f t="shared" si="17"/>
        <v>5.0865053909998625E-3</v>
      </c>
      <c r="J311" s="8">
        <f t="shared" si="18"/>
        <v>5.0736128227177124E-3</v>
      </c>
      <c r="K311" s="8">
        <f t="shared" si="15"/>
        <v>-9.9130290128558896E-2</v>
      </c>
    </row>
    <row r="312" spans="1:11" x14ac:dyDescent="0.25">
      <c r="A312" t="str">
        <f t="shared" si="16"/>
        <v>42018</v>
      </c>
      <c r="B312" s="1">
        <v>43194</v>
      </c>
      <c r="C312" s="7">
        <f ca="1">IFERROR(__xludf.DUMMYFUNCTION("""COMPUTED_VALUE"""),43194.6458333333)</f>
        <v>43194.645833333299</v>
      </c>
      <c r="D312">
        <v>8716.35</v>
      </c>
      <c r="E312">
        <v>8732.0499999999993</v>
      </c>
      <c r="F312">
        <v>8545.65</v>
      </c>
      <c r="G312">
        <v>8569.5</v>
      </c>
      <c r="H312">
        <v>0</v>
      </c>
      <c r="I312" s="8">
        <f t="shared" si="17"/>
        <v>-1.0987108613108476E-2</v>
      </c>
      <c r="J312" s="8">
        <f t="shared" si="18"/>
        <v>-1.1047912675022383E-2</v>
      </c>
      <c r="K312" s="8">
        <f t="shared" si="15"/>
        <v>-0.1041522925421815</v>
      </c>
    </row>
    <row r="313" spans="1:11" x14ac:dyDescent="0.25">
      <c r="A313" t="str">
        <f t="shared" si="16"/>
        <v>42018</v>
      </c>
      <c r="B313" s="1">
        <v>43195</v>
      </c>
      <c r="C313" s="7">
        <f ca="1">IFERROR(__xludf.DUMMYFUNCTION("""COMPUTED_VALUE"""),43195.6458333333)</f>
        <v>43195.645833333299</v>
      </c>
      <c r="D313">
        <v>8637.5499999999993</v>
      </c>
      <c r="E313">
        <v>8732.9500000000007</v>
      </c>
      <c r="F313">
        <v>8621.15</v>
      </c>
      <c r="G313">
        <v>8655.65</v>
      </c>
      <c r="H313">
        <v>0</v>
      </c>
      <c r="I313" s="8">
        <f t="shared" si="17"/>
        <v>1.0053095279771274E-2</v>
      </c>
      <c r="J313" s="8">
        <f t="shared" si="18"/>
        <v>1.0002899055367885E-2</v>
      </c>
      <c r="K313" s="8">
        <f t="shared" si="15"/>
        <v>-9.0750087976847582E-2</v>
      </c>
    </row>
    <row r="314" spans="1:11" x14ac:dyDescent="0.25">
      <c r="A314" t="str">
        <f t="shared" si="16"/>
        <v>42018</v>
      </c>
      <c r="B314" s="1">
        <v>43196</v>
      </c>
      <c r="C314" s="7">
        <f ca="1">IFERROR(__xludf.DUMMYFUNCTION("""COMPUTED_VALUE"""),43196.6458333333)</f>
        <v>43196.645833333299</v>
      </c>
      <c r="D314">
        <v>8657.9500000000007</v>
      </c>
      <c r="E314">
        <v>8808.5499999999993</v>
      </c>
      <c r="F314">
        <v>8643.9</v>
      </c>
      <c r="G314">
        <v>8772.4</v>
      </c>
      <c r="H314">
        <v>0</v>
      </c>
      <c r="I314" s="8">
        <f t="shared" si="17"/>
        <v>1.3488299550004967E-2</v>
      </c>
      <c r="J314" s="8">
        <f t="shared" si="18"/>
        <v>1.3398142245355221E-2</v>
      </c>
      <c r="K314" s="8">
        <f t="shared" si="15"/>
        <v>-8.9395449260920135E-2</v>
      </c>
    </row>
    <row r="315" spans="1:11" x14ac:dyDescent="0.25">
      <c r="A315" t="str">
        <f t="shared" si="16"/>
        <v>42018</v>
      </c>
      <c r="B315" s="1">
        <v>43199</v>
      </c>
      <c r="C315" s="7">
        <f ca="1">IFERROR(__xludf.DUMMYFUNCTION("""COMPUTED_VALUE"""),43199.6458333333)</f>
        <v>43199.645833333299</v>
      </c>
      <c r="D315">
        <v>8785.85</v>
      </c>
      <c r="E315">
        <v>8841.5499999999993</v>
      </c>
      <c r="F315">
        <v>8721.0499999999993</v>
      </c>
      <c r="G315">
        <v>8738.15</v>
      </c>
      <c r="H315">
        <v>0</v>
      </c>
      <c r="I315" s="8">
        <f t="shared" si="17"/>
        <v>-3.9042907300168572E-3</v>
      </c>
      <c r="J315" s="8">
        <f t="shared" si="18"/>
        <v>-3.9119323696759382E-3</v>
      </c>
      <c r="K315" s="8">
        <f t="shared" si="15"/>
        <v>-9.9257296890542746E-2</v>
      </c>
    </row>
    <row r="316" spans="1:11" x14ac:dyDescent="0.25">
      <c r="A316" t="str">
        <f t="shared" si="16"/>
        <v>42018</v>
      </c>
      <c r="B316" s="1">
        <v>43200</v>
      </c>
      <c r="C316" s="7">
        <f ca="1">IFERROR(__xludf.DUMMYFUNCTION("""COMPUTED_VALUE"""),43200.6458333333)</f>
        <v>43200.645833333299</v>
      </c>
      <c r="D316">
        <v>8763.2000000000007</v>
      </c>
      <c r="E316">
        <v>8816.7999999999993</v>
      </c>
      <c r="F316">
        <v>8698.75</v>
      </c>
      <c r="G316">
        <v>8719.6</v>
      </c>
      <c r="H316">
        <v>0</v>
      </c>
      <c r="I316" s="8">
        <f t="shared" si="17"/>
        <v>-2.1228749792575607E-3</v>
      </c>
      <c r="J316" s="8">
        <f t="shared" si="18"/>
        <v>-2.1251314724138387E-3</v>
      </c>
      <c r="K316" s="8">
        <f t="shared" si="15"/>
        <v>-0.11370416486671919</v>
      </c>
    </row>
    <row r="317" spans="1:11" x14ac:dyDescent="0.25">
      <c r="A317" t="str">
        <f t="shared" si="16"/>
        <v>42018</v>
      </c>
      <c r="B317" s="1">
        <v>43201</v>
      </c>
      <c r="C317" s="7">
        <f ca="1">IFERROR(__xludf.DUMMYFUNCTION("""COMPUTED_VALUE"""),43201.6458333333)</f>
        <v>43201.645833333299</v>
      </c>
      <c r="D317">
        <v>8752.9500000000007</v>
      </c>
      <c r="E317">
        <v>8789.25</v>
      </c>
      <c r="F317">
        <v>8691.65</v>
      </c>
      <c r="G317">
        <v>8761.7999999999993</v>
      </c>
      <c r="H317">
        <v>0</v>
      </c>
      <c r="I317" s="8">
        <f t="shared" si="17"/>
        <v>4.8396715445662153E-3</v>
      </c>
      <c r="J317" s="8">
        <f t="shared" si="18"/>
        <v>4.827997983220601E-3</v>
      </c>
      <c r="K317" s="8">
        <f t="shared" si="15"/>
        <v>-0.10321180733250102</v>
      </c>
    </row>
    <row r="318" spans="1:11" x14ac:dyDescent="0.25">
      <c r="A318" t="str">
        <f t="shared" si="16"/>
        <v>42018</v>
      </c>
      <c r="B318" s="1">
        <v>43202</v>
      </c>
      <c r="C318" s="7">
        <f ca="1">IFERROR(__xludf.DUMMYFUNCTION("""COMPUTED_VALUE"""),43202.6458333333)</f>
        <v>43202.645833333299</v>
      </c>
      <c r="D318">
        <v>8752.6</v>
      </c>
      <c r="E318">
        <v>8752.6</v>
      </c>
      <c r="F318">
        <v>8669.2000000000007</v>
      </c>
      <c r="G318">
        <v>8685.0499999999993</v>
      </c>
      <c r="H318">
        <v>0</v>
      </c>
      <c r="I318" s="8">
        <f t="shared" si="17"/>
        <v>-8.7596156040996576E-3</v>
      </c>
      <c r="J318" s="8">
        <f t="shared" si="18"/>
        <v>-8.7982065634580886E-3</v>
      </c>
      <c r="K318" s="8">
        <f t="shared" si="15"/>
        <v>-0.10909771659520351</v>
      </c>
    </row>
    <row r="319" spans="1:11" x14ac:dyDescent="0.25">
      <c r="A319" t="str">
        <f t="shared" si="16"/>
        <v>42018</v>
      </c>
      <c r="B319" s="1">
        <v>43203</v>
      </c>
      <c r="C319" s="7">
        <f ca="1">IFERROR(__xludf.DUMMYFUNCTION("""COMPUTED_VALUE"""),43203.6458333333)</f>
        <v>43203.645833333299</v>
      </c>
      <c r="D319">
        <v>8694.7000000000007</v>
      </c>
      <c r="E319">
        <v>8787.1</v>
      </c>
      <c r="F319">
        <v>8678.0499999999993</v>
      </c>
      <c r="G319">
        <v>8730.6</v>
      </c>
      <c r="H319">
        <v>0</v>
      </c>
      <c r="I319" s="8">
        <f t="shared" si="17"/>
        <v>5.2446445328468982E-3</v>
      </c>
      <c r="J319" s="8">
        <f t="shared" si="18"/>
        <v>5.2309392832654775E-3</v>
      </c>
      <c r="K319" s="8">
        <f t="shared" si="15"/>
        <v>-0.1066474979151425</v>
      </c>
    </row>
    <row r="320" spans="1:11" x14ac:dyDescent="0.25">
      <c r="A320" t="str">
        <f t="shared" si="16"/>
        <v>42018</v>
      </c>
      <c r="B320" s="1">
        <v>43206</v>
      </c>
      <c r="C320" s="7">
        <f ca="1">IFERROR(__xludf.DUMMYFUNCTION("""COMPUTED_VALUE"""),43206.6458333333)</f>
        <v>43206.645833333299</v>
      </c>
      <c r="D320">
        <v>8707.9</v>
      </c>
      <c r="E320">
        <v>8877.1</v>
      </c>
      <c r="F320">
        <v>8696.25</v>
      </c>
      <c r="G320">
        <v>8867.2000000000007</v>
      </c>
      <c r="H320">
        <v>0</v>
      </c>
      <c r="I320" s="8">
        <f t="shared" si="17"/>
        <v>1.5646118250750352E-2</v>
      </c>
      <c r="J320" s="8">
        <f t="shared" si="18"/>
        <v>1.5524979674371414E-2</v>
      </c>
      <c r="K320" s="8">
        <f t="shared" ref="K320:K383" si="19">+G320/G259-1</f>
        <v>-8.9782741471075789E-2</v>
      </c>
    </row>
    <row r="321" spans="1:11" x14ac:dyDescent="0.25">
      <c r="A321" t="str">
        <f t="shared" si="16"/>
        <v>42018</v>
      </c>
      <c r="B321" s="1">
        <v>43207</v>
      </c>
      <c r="C321" s="7">
        <f ca="1">IFERROR(__xludf.DUMMYFUNCTION("""COMPUTED_VALUE"""),43207.6458333333)</f>
        <v>43207.645833333299</v>
      </c>
      <c r="D321">
        <v>8890.6</v>
      </c>
      <c r="E321">
        <v>8893.9500000000007</v>
      </c>
      <c r="F321">
        <v>8803.4500000000007</v>
      </c>
      <c r="G321">
        <v>8827.75</v>
      </c>
      <c r="H321">
        <v>0</v>
      </c>
      <c r="I321" s="8">
        <f t="shared" si="17"/>
        <v>-4.4489805124504622E-3</v>
      </c>
      <c r="J321" s="8">
        <f t="shared" si="18"/>
        <v>-4.458906678069946E-3</v>
      </c>
      <c r="K321" s="8">
        <f t="shared" si="19"/>
        <v>-8.6130593441859249E-2</v>
      </c>
    </row>
    <row r="322" spans="1:11" x14ac:dyDescent="0.25">
      <c r="A322" t="str">
        <f t="shared" si="16"/>
        <v>42018</v>
      </c>
      <c r="B322" s="1">
        <v>43208</v>
      </c>
      <c r="C322" s="7">
        <f ca="1">IFERROR(__xludf.DUMMYFUNCTION("""COMPUTED_VALUE"""),43208.6458333333)</f>
        <v>43208.645833333299</v>
      </c>
      <c r="D322">
        <v>8858.75</v>
      </c>
      <c r="E322">
        <v>8904.1</v>
      </c>
      <c r="F322">
        <v>8772.7999999999993</v>
      </c>
      <c r="G322">
        <v>8790</v>
      </c>
      <c r="H322">
        <v>0</v>
      </c>
      <c r="I322" s="8">
        <f t="shared" si="17"/>
        <v>-4.2762878423153738E-3</v>
      </c>
      <c r="J322" s="8">
        <f t="shared" si="18"/>
        <v>-4.2854573113666819E-3</v>
      </c>
      <c r="K322" s="8">
        <f t="shared" si="19"/>
        <v>-8.6606154757389531E-2</v>
      </c>
    </row>
    <row r="323" spans="1:11" x14ac:dyDescent="0.25">
      <c r="A323" t="str">
        <f t="shared" ref="A323:A386" si="20">+MONTH(B323)&amp;YEAR(B323)</f>
        <v>42018</v>
      </c>
      <c r="B323" s="1">
        <v>43209</v>
      </c>
      <c r="C323" s="7">
        <f ca="1">IFERROR(__xludf.DUMMYFUNCTION("""COMPUTED_VALUE"""),43209.6458333333)</f>
        <v>43209.645833333299</v>
      </c>
      <c r="D323">
        <v>8833.15</v>
      </c>
      <c r="E323">
        <v>8848.15</v>
      </c>
      <c r="F323">
        <v>8768.9</v>
      </c>
      <c r="G323">
        <v>8829.75</v>
      </c>
      <c r="H323">
        <v>0</v>
      </c>
      <c r="I323" s="8">
        <f t="shared" si="17"/>
        <v>4.5221843003413476E-3</v>
      </c>
      <c r="J323" s="8">
        <f t="shared" si="18"/>
        <v>4.5119899471932423E-3</v>
      </c>
      <c r="K323" s="8">
        <f t="shared" si="19"/>
        <v>-9.385486900033857E-2</v>
      </c>
    </row>
    <row r="324" spans="1:11" x14ac:dyDescent="0.25">
      <c r="A324" t="str">
        <f t="shared" si="20"/>
        <v>42018</v>
      </c>
      <c r="B324" s="1">
        <v>43210</v>
      </c>
      <c r="C324" s="7">
        <f ca="1">IFERROR(__xludf.DUMMYFUNCTION("""COMPUTED_VALUE"""),43210.6458333333)</f>
        <v>43210.645833333299</v>
      </c>
      <c r="D324">
        <v>8813.4</v>
      </c>
      <c r="E324">
        <v>8846.35</v>
      </c>
      <c r="F324">
        <v>8769.35</v>
      </c>
      <c r="G324">
        <v>8819.7999999999993</v>
      </c>
      <c r="H324">
        <v>0</v>
      </c>
      <c r="I324" s="8">
        <f t="shared" ref="I324:I387" si="21">+G324/G323-1</f>
        <v>-1.1268722217504523E-3</v>
      </c>
      <c r="J324" s="8">
        <f t="shared" ref="J324:J387" si="22">+LN(1+I324)</f>
        <v>-1.1275076196388678E-3</v>
      </c>
      <c r="K324" s="8">
        <f t="shared" si="19"/>
        <v>-8.3795168520067298E-2</v>
      </c>
    </row>
    <row r="325" spans="1:11" x14ac:dyDescent="0.25">
      <c r="A325" t="str">
        <f t="shared" si="20"/>
        <v>42018</v>
      </c>
      <c r="B325" s="1">
        <v>43213</v>
      </c>
      <c r="C325" s="7">
        <f ca="1">IFERROR(__xludf.DUMMYFUNCTION("""COMPUTED_VALUE"""),43213.6458333333)</f>
        <v>43213.645833333299</v>
      </c>
      <c r="D325">
        <v>8781.1</v>
      </c>
      <c r="E325">
        <v>8976.7999999999993</v>
      </c>
      <c r="F325">
        <v>8781.1</v>
      </c>
      <c r="G325">
        <v>8949.9</v>
      </c>
      <c r="H325">
        <v>0</v>
      </c>
      <c r="I325" s="8">
        <f t="shared" si="21"/>
        <v>1.4750901380983672E-2</v>
      </c>
      <c r="J325" s="8">
        <f t="shared" si="22"/>
        <v>1.4643165015345875E-2</v>
      </c>
      <c r="K325" s="8">
        <f t="shared" si="19"/>
        <v>-7.1375210110191101E-2</v>
      </c>
    </row>
    <row r="326" spans="1:11" x14ac:dyDescent="0.25">
      <c r="A326" t="str">
        <f t="shared" si="20"/>
        <v>42018</v>
      </c>
      <c r="B326" s="1">
        <v>43214</v>
      </c>
      <c r="C326" s="7">
        <f ca="1">IFERROR(__xludf.DUMMYFUNCTION("""COMPUTED_VALUE"""),43214.6458333333)</f>
        <v>43214.645833333299</v>
      </c>
      <c r="D326">
        <v>8988.7000000000007</v>
      </c>
      <c r="E326">
        <v>9092.7000000000007</v>
      </c>
      <c r="F326">
        <v>8950.2000000000007</v>
      </c>
      <c r="G326">
        <v>8984.15</v>
      </c>
      <c r="H326">
        <v>0</v>
      </c>
      <c r="I326" s="8">
        <f t="shared" si="21"/>
        <v>3.8268584006524442E-3</v>
      </c>
      <c r="J326" s="8">
        <f t="shared" si="22"/>
        <v>3.8195546058385284E-3</v>
      </c>
      <c r="K326" s="8">
        <f t="shared" si="19"/>
        <v>-6.9462857853088589E-2</v>
      </c>
    </row>
    <row r="327" spans="1:11" x14ac:dyDescent="0.25">
      <c r="A327" t="str">
        <f t="shared" si="20"/>
        <v>42018</v>
      </c>
      <c r="B327" s="1">
        <v>43215</v>
      </c>
      <c r="C327" s="7">
        <f ca="1">IFERROR(__xludf.DUMMYFUNCTION("""COMPUTED_VALUE"""),43215.6458333333)</f>
        <v>43215.645833333299</v>
      </c>
      <c r="D327">
        <v>8964.2000000000007</v>
      </c>
      <c r="E327">
        <v>8973.4500000000007</v>
      </c>
      <c r="F327">
        <v>8859.7999999999993</v>
      </c>
      <c r="G327">
        <v>8901.15</v>
      </c>
      <c r="H327">
        <v>0</v>
      </c>
      <c r="I327" s="8">
        <f t="shared" si="21"/>
        <v>-9.2384922335446706E-3</v>
      </c>
      <c r="J327" s="8">
        <f t="shared" si="22"/>
        <v>-9.2814317719274557E-3</v>
      </c>
      <c r="K327" s="8">
        <f t="shared" si="19"/>
        <v>-8.8678549855128797E-2</v>
      </c>
    </row>
    <row r="328" spans="1:11" x14ac:dyDescent="0.25">
      <c r="A328" t="str">
        <f t="shared" si="20"/>
        <v>42018</v>
      </c>
      <c r="B328" s="1">
        <v>43216</v>
      </c>
      <c r="C328" s="7">
        <f ca="1">IFERROR(__xludf.DUMMYFUNCTION("""COMPUTED_VALUE"""),43216.6458333333)</f>
        <v>43216.645833333299</v>
      </c>
      <c r="D328">
        <v>8914.4</v>
      </c>
      <c r="E328">
        <v>8996.5499999999993</v>
      </c>
      <c r="F328">
        <v>8883.1</v>
      </c>
      <c r="G328">
        <v>8896.6</v>
      </c>
      <c r="H328">
        <v>0</v>
      </c>
      <c r="I328" s="8">
        <f t="shared" si="21"/>
        <v>-5.1116990501220982E-4</v>
      </c>
      <c r="J328" s="8">
        <f t="shared" si="22"/>
        <v>-5.1130059688717143E-4</v>
      </c>
      <c r="K328" s="8">
        <f t="shared" si="19"/>
        <v>-9.4622649189937236E-2</v>
      </c>
    </row>
    <row r="329" spans="1:11" x14ac:dyDescent="0.25">
      <c r="A329" t="str">
        <f t="shared" si="20"/>
        <v>42018</v>
      </c>
      <c r="B329" s="1">
        <v>43217</v>
      </c>
      <c r="C329" s="7">
        <f ca="1">IFERROR(__xludf.DUMMYFUNCTION("""COMPUTED_VALUE"""),43217.6458333333)</f>
        <v>43217.645833333299</v>
      </c>
      <c r="D329">
        <v>8955.75</v>
      </c>
      <c r="E329">
        <v>9022.0499999999993</v>
      </c>
      <c r="F329">
        <v>8914.65</v>
      </c>
      <c r="G329">
        <v>8987.4</v>
      </c>
      <c r="H329">
        <v>0</v>
      </c>
      <c r="I329" s="8">
        <f t="shared" si="21"/>
        <v>1.0206146168199037E-2</v>
      </c>
      <c r="J329" s="8">
        <f t="shared" si="22"/>
        <v>1.0154415143581265E-2</v>
      </c>
      <c r="K329" s="8">
        <f t="shared" si="19"/>
        <v>-7.6239959297574766E-2</v>
      </c>
    </row>
    <row r="330" spans="1:11" x14ac:dyDescent="0.25">
      <c r="A330" t="str">
        <f t="shared" si="20"/>
        <v>42018</v>
      </c>
      <c r="B330" s="1">
        <v>43220</v>
      </c>
      <c r="C330" s="7">
        <f ca="1">IFERROR(__xludf.DUMMYFUNCTION("""COMPUTED_VALUE"""),43220.6458333333)</f>
        <v>43220.645833333299</v>
      </c>
      <c r="D330">
        <v>9030.4500000000007</v>
      </c>
      <c r="E330">
        <v>9090.85</v>
      </c>
      <c r="F330">
        <v>9017.9500000000007</v>
      </c>
      <c r="G330">
        <v>9060.7000000000007</v>
      </c>
      <c r="H330">
        <v>0</v>
      </c>
      <c r="I330" s="8">
        <f t="shared" si="21"/>
        <v>8.1558626521576194E-3</v>
      </c>
      <c r="J330" s="8">
        <f t="shared" si="22"/>
        <v>8.1227833428454636E-3</v>
      </c>
      <c r="K330" s="8">
        <f t="shared" si="19"/>
        <v>-5.8369317266572018E-2</v>
      </c>
    </row>
    <row r="331" spans="1:11" x14ac:dyDescent="0.25">
      <c r="A331" t="str">
        <f t="shared" si="20"/>
        <v>52018</v>
      </c>
      <c r="B331" s="1">
        <v>43222</v>
      </c>
      <c r="C331" s="7">
        <f ca="1">IFERROR(__xludf.DUMMYFUNCTION("""COMPUTED_VALUE"""),43222.6458333333)</f>
        <v>43222.645833333299</v>
      </c>
      <c r="D331">
        <v>9086.9500000000007</v>
      </c>
      <c r="E331">
        <v>9110.5499999999993</v>
      </c>
      <c r="F331">
        <v>8921.75</v>
      </c>
      <c r="G331">
        <v>8961.0499999999993</v>
      </c>
      <c r="H331">
        <v>0</v>
      </c>
      <c r="I331" s="8">
        <f t="shared" si="21"/>
        <v>-1.0998046508548076E-2</v>
      </c>
      <c r="J331" s="8">
        <f t="shared" si="22"/>
        <v>-1.1058972142516303E-2</v>
      </c>
      <c r="K331" s="8">
        <f t="shared" si="19"/>
        <v>-6.299961834256107E-2</v>
      </c>
    </row>
    <row r="332" spans="1:11" x14ac:dyDescent="0.25">
      <c r="A332" t="str">
        <f t="shared" si="20"/>
        <v>52018</v>
      </c>
      <c r="B332" s="1">
        <v>43223</v>
      </c>
      <c r="C332" s="7">
        <f ca="1">IFERROR(__xludf.DUMMYFUNCTION("""COMPUTED_VALUE"""),43223.6458333333)</f>
        <v>43223.645833333299</v>
      </c>
      <c r="D332">
        <v>8968.7000000000007</v>
      </c>
      <c r="E332">
        <v>8977.7000000000007</v>
      </c>
      <c r="F332">
        <v>8796.85</v>
      </c>
      <c r="G332">
        <v>8966.2999999999993</v>
      </c>
      <c r="H332">
        <v>0</v>
      </c>
      <c r="I332" s="8">
        <f t="shared" si="21"/>
        <v>5.8586884349498547E-4</v>
      </c>
      <c r="J332" s="8">
        <f t="shared" si="22"/>
        <v>5.8569728934631312E-4</v>
      </c>
      <c r="K332" s="8">
        <f t="shared" si="19"/>
        <v>-4.4588294840033127E-2</v>
      </c>
    </row>
    <row r="333" spans="1:11" x14ac:dyDescent="0.25">
      <c r="A333" t="str">
        <f t="shared" si="20"/>
        <v>52018</v>
      </c>
      <c r="B333" s="1">
        <v>43224</v>
      </c>
      <c r="C333" s="7">
        <f ca="1">IFERROR(__xludf.DUMMYFUNCTION("""COMPUTED_VALUE"""),43224.6458333333)</f>
        <v>43224.645833333299</v>
      </c>
      <c r="D333">
        <v>8962</v>
      </c>
      <c r="E333">
        <v>8963.85</v>
      </c>
      <c r="F333">
        <v>8801.6</v>
      </c>
      <c r="G333">
        <v>8817.4500000000007</v>
      </c>
      <c r="H333">
        <v>0</v>
      </c>
      <c r="I333" s="8">
        <f t="shared" si="21"/>
        <v>-1.6601050600582035E-2</v>
      </c>
      <c r="J333" s="8">
        <f t="shared" si="22"/>
        <v>-1.6740392339810794E-2</v>
      </c>
      <c r="K333" s="8">
        <f t="shared" si="19"/>
        <v>-3.7259654754495775E-2</v>
      </c>
    </row>
    <row r="334" spans="1:11" x14ac:dyDescent="0.25">
      <c r="A334" t="str">
        <f t="shared" si="20"/>
        <v>52018</v>
      </c>
      <c r="B334" s="1">
        <v>43227</v>
      </c>
      <c r="C334" s="7">
        <f ca="1">IFERROR(__xludf.DUMMYFUNCTION("""COMPUTED_VALUE"""),43227.6458333333)</f>
        <v>43227.645833333299</v>
      </c>
      <c r="D334">
        <v>8828.75</v>
      </c>
      <c r="E334">
        <v>8848.35</v>
      </c>
      <c r="F334">
        <v>8674.2000000000007</v>
      </c>
      <c r="G334">
        <v>8774.4</v>
      </c>
      <c r="H334">
        <v>0</v>
      </c>
      <c r="I334" s="8">
        <f t="shared" si="21"/>
        <v>-4.8823639487608483E-3</v>
      </c>
      <c r="J334" s="8">
        <f t="shared" si="22"/>
        <v>-4.8943216246523508E-3</v>
      </c>
      <c r="K334" s="8">
        <f t="shared" si="19"/>
        <v>-2.9675707058140488E-2</v>
      </c>
    </row>
    <row r="335" spans="1:11" x14ac:dyDescent="0.25">
      <c r="A335" t="str">
        <f t="shared" si="20"/>
        <v>52018</v>
      </c>
      <c r="B335" s="1">
        <v>43228</v>
      </c>
      <c r="C335" s="7">
        <f ca="1">IFERROR(__xludf.DUMMYFUNCTION("""COMPUTED_VALUE"""),43228.6458333333)</f>
        <v>43228.645833333299</v>
      </c>
      <c r="D335">
        <v>8812.9500000000007</v>
      </c>
      <c r="E335">
        <v>8882.35</v>
      </c>
      <c r="F335">
        <v>8734.9500000000007</v>
      </c>
      <c r="G335">
        <v>8753.25</v>
      </c>
      <c r="H335">
        <v>0</v>
      </c>
      <c r="I335" s="8">
        <f t="shared" si="21"/>
        <v>-2.4104212253829305E-3</v>
      </c>
      <c r="J335" s="8">
        <f t="shared" si="22"/>
        <v>-2.4133309673678095E-3</v>
      </c>
      <c r="K335" s="8">
        <f t="shared" si="19"/>
        <v>-3.486961795027288E-2</v>
      </c>
    </row>
    <row r="336" spans="1:11" x14ac:dyDescent="0.25">
      <c r="A336" t="str">
        <f t="shared" si="20"/>
        <v>52018</v>
      </c>
      <c r="B336" s="1">
        <v>43229</v>
      </c>
      <c r="C336" s="7">
        <f ca="1">IFERROR(__xludf.DUMMYFUNCTION("""COMPUTED_VALUE"""),43229.6458333333)</f>
        <v>43229.645833333299</v>
      </c>
      <c r="D336">
        <v>8754.0499999999993</v>
      </c>
      <c r="E336">
        <v>8766.0499999999993</v>
      </c>
      <c r="F336">
        <v>8693.5</v>
      </c>
      <c r="G336">
        <v>8704.1</v>
      </c>
      <c r="H336">
        <v>0</v>
      </c>
      <c r="I336" s="8">
        <f t="shared" si="21"/>
        <v>-5.6150572644445562E-3</v>
      </c>
      <c r="J336" s="8">
        <f t="shared" si="22"/>
        <v>-5.6308809602582891E-3</v>
      </c>
      <c r="K336" s="8">
        <f t="shared" si="19"/>
        <v>-1.8841764125686833E-2</v>
      </c>
    </row>
    <row r="337" spans="1:11" x14ac:dyDescent="0.25">
      <c r="A337" t="str">
        <f t="shared" si="20"/>
        <v>52018</v>
      </c>
      <c r="B337" s="1">
        <v>43230</v>
      </c>
      <c r="C337" s="7">
        <f ca="1">IFERROR(__xludf.DUMMYFUNCTION("""COMPUTED_VALUE"""),43230.6458333333)</f>
        <v>43230.645833333299</v>
      </c>
      <c r="D337">
        <v>8724.1</v>
      </c>
      <c r="E337">
        <v>8734.35</v>
      </c>
      <c r="F337">
        <v>8518.7000000000007</v>
      </c>
      <c r="G337">
        <v>8544.9500000000007</v>
      </c>
      <c r="H337">
        <v>0</v>
      </c>
      <c r="I337" s="8">
        <f t="shared" si="21"/>
        <v>-1.8284486621247376E-2</v>
      </c>
      <c r="J337" s="8">
        <f t="shared" si="22"/>
        <v>-1.845371384281554E-2</v>
      </c>
      <c r="K337" s="8">
        <f t="shared" si="19"/>
        <v>-4.3739788267418533E-2</v>
      </c>
    </row>
    <row r="338" spans="1:11" x14ac:dyDescent="0.25">
      <c r="A338" t="str">
        <f t="shared" si="20"/>
        <v>52018</v>
      </c>
      <c r="B338" s="1">
        <v>43231</v>
      </c>
      <c r="C338" s="7">
        <f ca="1">IFERROR(__xludf.DUMMYFUNCTION("""COMPUTED_VALUE"""),43231.6458333333)</f>
        <v>43231.645833333299</v>
      </c>
      <c r="D338">
        <v>8555.4</v>
      </c>
      <c r="E338">
        <v>8565.4500000000007</v>
      </c>
      <c r="F338">
        <v>8403.35</v>
      </c>
      <c r="G338">
        <v>8445.7000000000007</v>
      </c>
      <c r="H338">
        <v>0</v>
      </c>
      <c r="I338" s="8">
        <f t="shared" si="21"/>
        <v>-1.1615047484186514E-2</v>
      </c>
      <c r="J338" s="8">
        <f t="shared" si="22"/>
        <v>-1.1683029067125341E-2</v>
      </c>
      <c r="K338" s="8">
        <f t="shared" si="19"/>
        <v>-8.8178613649736337E-2</v>
      </c>
    </row>
    <row r="339" spans="1:11" x14ac:dyDescent="0.25">
      <c r="A339" t="str">
        <f t="shared" si="20"/>
        <v>52018</v>
      </c>
      <c r="B339" s="1">
        <v>43234</v>
      </c>
      <c r="C339" s="7">
        <f ca="1">IFERROR(__xludf.DUMMYFUNCTION("""COMPUTED_VALUE"""),43234.6458333333)</f>
        <v>43234.645833333299</v>
      </c>
      <c r="D339">
        <v>8458.35</v>
      </c>
      <c r="E339">
        <v>8598.0499999999993</v>
      </c>
      <c r="F339">
        <v>8438</v>
      </c>
      <c r="G339">
        <v>8462.0499999999993</v>
      </c>
      <c r="H339">
        <v>0</v>
      </c>
      <c r="I339" s="8">
        <f t="shared" si="21"/>
        <v>1.9358963733022705E-3</v>
      </c>
      <c r="J339" s="8">
        <f t="shared" si="22"/>
        <v>1.9340249407952166E-3</v>
      </c>
      <c r="K339" s="8">
        <f t="shared" si="19"/>
        <v>-8.2460924581596151E-2</v>
      </c>
    </row>
    <row r="340" spans="1:11" x14ac:dyDescent="0.25">
      <c r="A340" t="str">
        <f t="shared" si="20"/>
        <v>52018</v>
      </c>
      <c r="B340" s="1">
        <v>43235</v>
      </c>
      <c r="C340" s="7">
        <f ca="1">IFERROR(__xludf.DUMMYFUNCTION("""COMPUTED_VALUE"""),43235.6458333333)</f>
        <v>43235.645833333299</v>
      </c>
      <c r="D340">
        <v>8449.5</v>
      </c>
      <c r="E340">
        <v>8520.5499999999993</v>
      </c>
      <c r="F340">
        <v>8313</v>
      </c>
      <c r="G340">
        <v>8401.15</v>
      </c>
      <c r="H340">
        <v>0</v>
      </c>
      <c r="I340" s="8">
        <f t="shared" si="21"/>
        <v>-7.1968376457240968E-3</v>
      </c>
      <c r="J340" s="8">
        <f t="shared" si="22"/>
        <v>-7.2228598084605805E-3</v>
      </c>
      <c r="K340" s="8">
        <f t="shared" si="19"/>
        <v>-0.10051445671550718</v>
      </c>
    </row>
    <row r="341" spans="1:11" x14ac:dyDescent="0.25">
      <c r="A341" t="str">
        <f t="shared" si="20"/>
        <v>52018</v>
      </c>
      <c r="B341" s="1">
        <v>43236</v>
      </c>
      <c r="C341" s="7">
        <f ca="1">IFERROR(__xludf.DUMMYFUNCTION("""COMPUTED_VALUE"""),43236.6458333333)</f>
        <v>43236.645833333299</v>
      </c>
      <c r="D341">
        <v>8383.2000000000007</v>
      </c>
      <c r="E341">
        <v>8425.1</v>
      </c>
      <c r="F341">
        <v>8287.1</v>
      </c>
      <c r="G341">
        <v>8399.1</v>
      </c>
      <c r="H341">
        <v>0</v>
      </c>
      <c r="I341" s="8">
        <f t="shared" si="21"/>
        <v>-2.4401421233988252E-4</v>
      </c>
      <c r="J341" s="8">
        <f t="shared" si="22"/>
        <v>-2.440439886517885E-4</v>
      </c>
      <c r="K341" s="8">
        <f t="shared" si="19"/>
        <v>-9.1910651732041715E-2</v>
      </c>
    </row>
    <row r="342" spans="1:11" x14ac:dyDescent="0.25">
      <c r="A342" t="str">
        <f t="shared" si="20"/>
        <v>52018</v>
      </c>
      <c r="B342" s="1">
        <v>43237</v>
      </c>
      <c r="C342" s="7">
        <f ca="1">IFERROR(__xludf.DUMMYFUNCTION("""COMPUTED_VALUE"""),43237.6458333333)</f>
        <v>43237.645833333299</v>
      </c>
      <c r="D342">
        <v>8417</v>
      </c>
      <c r="E342">
        <v>8461.25</v>
      </c>
      <c r="F342">
        <v>8328.85</v>
      </c>
      <c r="G342">
        <v>8403</v>
      </c>
      <c r="H342">
        <v>0</v>
      </c>
      <c r="I342" s="8">
        <f t="shared" si="21"/>
        <v>4.6433546451396523E-4</v>
      </c>
      <c r="J342" s="8">
        <f t="shared" si="22"/>
        <v>4.6422769416193626E-4</v>
      </c>
      <c r="K342" s="8">
        <f t="shared" si="19"/>
        <v>-8.7374423024708103E-2</v>
      </c>
    </row>
    <row r="343" spans="1:11" x14ac:dyDescent="0.25">
      <c r="A343" t="str">
        <f t="shared" si="20"/>
        <v>52018</v>
      </c>
      <c r="B343" s="1">
        <v>43238</v>
      </c>
      <c r="C343" s="7">
        <f ca="1">IFERROR(__xludf.DUMMYFUNCTION("""COMPUTED_VALUE"""),43238.6458333333)</f>
        <v>43238.645833333299</v>
      </c>
      <c r="D343">
        <v>8441.7000000000007</v>
      </c>
      <c r="E343">
        <v>8443.75</v>
      </c>
      <c r="F343">
        <v>8195.35</v>
      </c>
      <c r="G343">
        <v>8211.85</v>
      </c>
      <c r="H343">
        <v>0</v>
      </c>
      <c r="I343" s="8">
        <f t="shared" si="21"/>
        <v>-2.2747828156610694E-2</v>
      </c>
      <c r="J343" s="8">
        <f t="shared" si="22"/>
        <v>-2.3010551908483501E-2</v>
      </c>
      <c r="K343" s="8">
        <f t="shared" si="19"/>
        <v>-0.10555065407530839</v>
      </c>
    </row>
    <row r="344" spans="1:11" x14ac:dyDescent="0.25">
      <c r="A344" t="str">
        <f t="shared" si="20"/>
        <v>52018</v>
      </c>
      <c r="B344" s="1">
        <v>43241</v>
      </c>
      <c r="C344" s="7">
        <f ca="1">IFERROR(__xludf.DUMMYFUNCTION("""COMPUTED_VALUE"""),43241.6458333333)</f>
        <v>43241.645833333299</v>
      </c>
      <c r="D344">
        <v>8211.35</v>
      </c>
      <c r="E344">
        <v>8218.15</v>
      </c>
      <c r="F344">
        <v>7956.05</v>
      </c>
      <c r="G344">
        <v>7983.2</v>
      </c>
      <c r="H344">
        <v>0</v>
      </c>
      <c r="I344" s="8">
        <f t="shared" si="21"/>
        <v>-2.7843908498085157E-2</v>
      </c>
      <c r="J344" s="8">
        <f t="shared" si="22"/>
        <v>-2.8238899449631975E-2</v>
      </c>
      <c r="K344" s="8">
        <f t="shared" si="19"/>
        <v>-0.11571904872672489</v>
      </c>
    </row>
    <row r="345" spans="1:11" x14ac:dyDescent="0.25">
      <c r="A345" t="str">
        <f t="shared" si="20"/>
        <v>52018</v>
      </c>
      <c r="B345" s="1">
        <v>43242</v>
      </c>
      <c r="C345" s="7">
        <f ca="1">IFERROR(__xludf.DUMMYFUNCTION("""COMPUTED_VALUE"""),43242.6458333333)</f>
        <v>43242.645833333299</v>
      </c>
      <c r="D345">
        <v>7993.25</v>
      </c>
      <c r="E345">
        <v>8152.1</v>
      </c>
      <c r="F345">
        <v>7900.35</v>
      </c>
      <c r="G345">
        <v>8118.9</v>
      </c>
      <c r="H345">
        <v>0</v>
      </c>
      <c r="I345" s="8">
        <f t="shared" si="21"/>
        <v>1.6998196212045347E-2</v>
      </c>
      <c r="J345" s="8">
        <f t="shared" si="22"/>
        <v>1.6855343428709736E-2</v>
      </c>
      <c r="K345" s="8">
        <f t="shared" si="19"/>
        <v>-9.9975057506304976E-2</v>
      </c>
    </row>
    <row r="346" spans="1:11" x14ac:dyDescent="0.25">
      <c r="A346" t="str">
        <f t="shared" si="20"/>
        <v>52018</v>
      </c>
      <c r="B346" s="1">
        <v>43243</v>
      </c>
      <c r="C346" s="7">
        <f ca="1">IFERROR(__xludf.DUMMYFUNCTION("""COMPUTED_VALUE"""),43243.6458333333)</f>
        <v>43243.645833333299</v>
      </c>
      <c r="D346">
        <v>8100.85</v>
      </c>
      <c r="E346">
        <v>8239.35</v>
      </c>
      <c r="F346">
        <v>8050</v>
      </c>
      <c r="G346">
        <v>8069.7</v>
      </c>
      <c r="H346">
        <v>0</v>
      </c>
      <c r="I346" s="8">
        <f t="shared" si="21"/>
        <v>-6.05993422754314E-3</v>
      </c>
      <c r="J346" s="8">
        <f t="shared" si="22"/>
        <v>-6.0783701470046407E-3</v>
      </c>
      <c r="K346" s="8">
        <f t="shared" si="19"/>
        <v>-8.7488974828685784E-2</v>
      </c>
    </row>
    <row r="347" spans="1:11" x14ac:dyDescent="0.25">
      <c r="A347" t="str">
        <f t="shared" si="20"/>
        <v>52018</v>
      </c>
      <c r="B347" s="1">
        <v>43244</v>
      </c>
      <c r="C347" s="7">
        <f ca="1">IFERROR(__xludf.DUMMYFUNCTION("""COMPUTED_VALUE"""),43244.6458333333)</f>
        <v>43244.645833333299</v>
      </c>
      <c r="D347">
        <v>8115.05</v>
      </c>
      <c r="E347">
        <v>8231.65</v>
      </c>
      <c r="F347">
        <v>8063.3</v>
      </c>
      <c r="G347">
        <v>8207</v>
      </c>
      <c r="H347">
        <v>0</v>
      </c>
      <c r="I347" s="8">
        <f t="shared" si="21"/>
        <v>1.7014263231594828E-2</v>
      </c>
      <c r="J347" s="8">
        <f t="shared" si="22"/>
        <v>1.6871141777903931E-2</v>
      </c>
      <c r="K347" s="8">
        <f t="shared" si="19"/>
        <v>-7.3884955003244324E-2</v>
      </c>
    </row>
    <row r="348" spans="1:11" x14ac:dyDescent="0.25">
      <c r="A348" t="str">
        <f t="shared" si="20"/>
        <v>52018</v>
      </c>
      <c r="B348" s="1">
        <v>43245</v>
      </c>
      <c r="C348" s="7">
        <f ca="1">IFERROR(__xludf.DUMMYFUNCTION("""COMPUTED_VALUE"""),43245.6458333333)</f>
        <v>43245.645833333299</v>
      </c>
      <c r="D348">
        <v>8247.65</v>
      </c>
      <c r="E348">
        <v>8320.1</v>
      </c>
      <c r="F348">
        <v>8156.35</v>
      </c>
      <c r="G348">
        <v>8297.25</v>
      </c>
      <c r="H348">
        <v>0</v>
      </c>
      <c r="I348" s="8">
        <f t="shared" si="21"/>
        <v>1.0996710125502629E-2</v>
      </c>
      <c r="J348" s="8">
        <f t="shared" si="22"/>
        <v>1.0936685953418301E-2</v>
      </c>
      <c r="K348" s="8">
        <f t="shared" si="19"/>
        <v>-8.7753149943927689E-2</v>
      </c>
    </row>
    <row r="349" spans="1:11" x14ac:dyDescent="0.25">
      <c r="A349" t="str">
        <f t="shared" si="20"/>
        <v>52018</v>
      </c>
      <c r="B349" s="1">
        <v>43248</v>
      </c>
      <c r="C349" s="7">
        <f ca="1">IFERROR(__xludf.DUMMYFUNCTION("""COMPUTED_VALUE"""),43248.6458333333)</f>
        <v>43248.645833333299</v>
      </c>
      <c r="D349">
        <v>8404.25</v>
      </c>
      <c r="E349">
        <v>8553.6</v>
      </c>
      <c r="F349">
        <v>8381.2999999999993</v>
      </c>
      <c r="G349">
        <v>8498.2000000000007</v>
      </c>
      <c r="H349">
        <v>0</v>
      </c>
      <c r="I349" s="8">
        <f t="shared" si="21"/>
        <v>2.4218867697128665E-2</v>
      </c>
      <c r="J349" s="8">
        <f t="shared" si="22"/>
        <v>2.3930241764084311E-2</v>
      </c>
      <c r="K349" s="8">
        <f t="shared" si="19"/>
        <v>-6.2536541240581944E-2</v>
      </c>
    </row>
    <row r="350" spans="1:11" x14ac:dyDescent="0.25">
      <c r="A350" t="str">
        <f t="shared" si="20"/>
        <v>52018</v>
      </c>
      <c r="B350" s="1">
        <v>43249</v>
      </c>
      <c r="C350" s="7">
        <f ca="1">IFERROR(__xludf.DUMMYFUNCTION("""COMPUTED_VALUE"""),43249.6458333333)</f>
        <v>43249.645833333299</v>
      </c>
      <c r="D350">
        <v>8464.7999999999993</v>
      </c>
      <c r="E350">
        <v>8556.2999999999993</v>
      </c>
      <c r="F350">
        <v>8381.5</v>
      </c>
      <c r="G350">
        <v>8410.4500000000007</v>
      </c>
      <c r="H350">
        <v>0</v>
      </c>
      <c r="I350" s="8">
        <f t="shared" si="21"/>
        <v>-1.032571603398369E-2</v>
      </c>
      <c r="J350" s="8">
        <f t="shared" si="22"/>
        <v>-1.0379396082813732E-2</v>
      </c>
      <c r="K350" s="8">
        <f t="shared" si="19"/>
        <v>-6.7934105026348002E-2</v>
      </c>
    </row>
    <row r="351" spans="1:11" x14ac:dyDescent="0.25">
      <c r="A351" t="str">
        <f t="shared" si="20"/>
        <v>52018</v>
      </c>
      <c r="B351" s="1">
        <v>43250</v>
      </c>
      <c r="C351" s="7">
        <f ca="1">IFERROR(__xludf.DUMMYFUNCTION("""COMPUTED_VALUE"""),43250.6458333333)</f>
        <v>43250.645833333299</v>
      </c>
      <c r="D351">
        <v>8341.35</v>
      </c>
      <c r="E351">
        <v>8411.15</v>
      </c>
      <c r="F351">
        <v>8297.75</v>
      </c>
      <c r="G351">
        <v>8321.1</v>
      </c>
      <c r="H351">
        <v>0</v>
      </c>
      <c r="I351" s="8">
        <f t="shared" si="21"/>
        <v>-1.062368838766059E-2</v>
      </c>
      <c r="J351" s="8">
        <f t="shared" si="22"/>
        <v>-1.0680522649859817E-2</v>
      </c>
      <c r="K351" s="8">
        <f t="shared" si="19"/>
        <v>-7.1331715074914204E-2</v>
      </c>
    </row>
    <row r="352" spans="1:11" x14ac:dyDescent="0.25">
      <c r="A352" t="str">
        <f t="shared" si="20"/>
        <v>52018</v>
      </c>
      <c r="B352" s="1">
        <v>43251</v>
      </c>
      <c r="C352" s="7">
        <f ca="1">IFERROR(__xludf.DUMMYFUNCTION("""COMPUTED_VALUE"""),43251.6458333333)</f>
        <v>43251.645833333299</v>
      </c>
      <c r="D352">
        <v>8351</v>
      </c>
      <c r="E352">
        <v>8355.35</v>
      </c>
      <c r="F352">
        <v>8181.3</v>
      </c>
      <c r="G352">
        <v>8220.25</v>
      </c>
      <c r="H352">
        <v>0</v>
      </c>
      <c r="I352" s="8">
        <f t="shared" si="21"/>
        <v>-1.2119791854442341E-2</v>
      </c>
      <c r="J352" s="8">
        <f t="shared" si="22"/>
        <v>-1.2193835401495844E-2</v>
      </c>
      <c r="K352" s="8">
        <f t="shared" si="19"/>
        <v>-7.8214796333155756E-2</v>
      </c>
    </row>
    <row r="353" spans="1:11" x14ac:dyDescent="0.25">
      <c r="A353" t="str">
        <f t="shared" si="20"/>
        <v>62018</v>
      </c>
      <c r="B353" s="1">
        <v>43252</v>
      </c>
      <c r="C353" s="7">
        <f ca="1">IFERROR(__xludf.DUMMYFUNCTION("""COMPUTED_VALUE"""),43252.6458333333)</f>
        <v>43252.645833333299</v>
      </c>
      <c r="D353">
        <v>8248.7000000000007</v>
      </c>
      <c r="E353">
        <v>8297.7999999999993</v>
      </c>
      <c r="F353">
        <v>8181.6</v>
      </c>
      <c r="G353">
        <v>8213.2000000000007</v>
      </c>
      <c r="H353">
        <v>0</v>
      </c>
      <c r="I353" s="8">
        <f t="shared" si="21"/>
        <v>-8.5763814969119778E-4</v>
      </c>
      <c r="J353" s="8">
        <f t="shared" si="22"/>
        <v>-8.5800613170108463E-4</v>
      </c>
      <c r="K353" s="8">
        <f t="shared" si="19"/>
        <v>-7.2562614331850184E-2</v>
      </c>
    </row>
    <row r="354" spans="1:11" x14ac:dyDescent="0.25">
      <c r="A354" t="str">
        <f t="shared" si="20"/>
        <v>62018</v>
      </c>
      <c r="B354" s="1">
        <v>43255</v>
      </c>
      <c r="C354" s="7">
        <f ca="1">IFERROR(__xludf.DUMMYFUNCTION("""COMPUTED_VALUE"""),43255.6458333333)</f>
        <v>43255.645833333299</v>
      </c>
      <c r="D354">
        <v>8263.7000000000007</v>
      </c>
      <c r="E354">
        <v>8323.5</v>
      </c>
      <c r="F354">
        <v>8176.8</v>
      </c>
      <c r="G354">
        <v>8205.7999999999993</v>
      </c>
      <c r="H354">
        <v>0</v>
      </c>
      <c r="I354" s="8">
        <f t="shared" si="21"/>
        <v>-9.0098865241339254E-4</v>
      </c>
      <c r="J354" s="8">
        <f t="shared" si="22"/>
        <v>-9.0139478665583566E-4</v>
      </c>
      <c r="K354" s="8">
        <f t="shared" si="19"/>
        <v>-6.2146053225594411E-2</v>
      </c>
    </row>
    <row r="355" spans="1:11" x14ac:dyDescent="0.25">
      <c r="A355" t="str">
        <f t="shared" si="20"/>
        <v>62018</v>
      </c>
      <c r="B355" s="1">
        <v>43256</v>
      </c>
      <c r="C355" s="7">
        <f ca="1">IFERROR(__xludf.DUMMYFUNCTION("""COMPUTED_VALUE"""),43256.6458333333)</f>
        <v>43256.645833333299</v>
      </c>
      <c r="D355">
        <v>8226.65</v>
      </c>
      <c r="E355">
        <v>8232.0499999999993</v>
      </c>
      <c r="F355">
        <v>8019.3</v>
      </c>
      <c r="G355">
        <v>8117.75</v>
      </c>
      <c r="H355">
        <v>0</v>
      </c>
      <c r="I355" s="8">
        <f t="shared" si="21"/>
        <v>-1.0730215213629268E-2</v>
      </c>
      <c r="J355" s="8">
        <f t="shared" si="22"/>
        <v>-1.0788199132547135E-2</v>
      </c>
      <c r="K355" s="8">
        <f t="shared" si="19"/>
        <v>-5.7719094602437626E-2</v>
      </c>
    </row>
    <row r="356" spans="1:11" x14ac:dyDescent="0.25">
      <c r="A356" t="str">
        <f t="shared" si="20"/>
        <v>62018</v>
      </c>
      <c r="B356" s="1">
        <v>43257</v>
      </c>
      <c r="C356" s="7">
        <f ca="1">IFERROR(__xludf.DUMMYFUNCTION("""COMPUTED_VALUE"""),43257.6458333333)</f>
        <v>43257.645833333299</v>
      </c>
      <c r="D356">
        <v>8126.9</v>
      </c>
      <c r="E356">
        <v>8245.1</v>
      </c>
      <c r="F356">
        <v>8078.3</v>
      </c>
      <c r="G356">
        <v>8233.65</v>
      </c>
      <c r="H356">
        <v>0</v>
      </c>
      <c r="I356" s="8">
        <f t="shared" si="21"/>
        <v>1.4277355178466955E-2</v>
      </c>
      <c r="J356" s="8">
        <f t="shared" si="22"/>
        <v>1.4176393584653689E-2</v>
      </c>
      <c r="K356" s="8">
        <f t="shared" si="19"/>
        <v>-4.1076825426403674E-2</v>
      </c>
    </row>
    <row r="357" spans="1:11" x14ac:dyDescent="0.25">
      <c r="A357" t="str">
        <f t="shared" si="20"/>
        <v>62018</v>
      </c>
      <c r="B357" s="1">
        <v>43258</v>
      </c>
      <c r="C357" s="7">
        <f ca="1">IFERROR(__xludf.DUMMYFUNCTION("""COMPUTED_VALUE"""),43258.6458333333)</f>
        <v>43258.645833333299</v>
      </c>
      <c r="D357">
        <v>8259.2000000000007</v>
      </c>
      <c r="E357">
        <v>8294</v>
      </c>
      <c r="F357">
        <v>8210.9</v>
      </c>
      <c r="G357">
        <v>8252.15</v>
      </c>
      <c r="H357">
        <v>0</v>
      </c>
      <c r="I357" s="8">
        <f t="shared" si="21"/>
        <v>2.2468771444013047E-3</v>
      </c>
      <c r="J357" s="8">
        <f t="shared" si="22"/>
        <v>2.2443566906774665E-3</v>
      </c>
      <c r="K357" s="8">
        <f t="shared" si="19"/>
        <v>-3.0948718249821039E-2</v>
      </c>
    </row>
    <row r="358" spans="1:11" x14ac:dyDescent="0.25">
      <c r="A358" t="str">
        <f t="shared" si="20"/>
        <v>62018</v>
      </c>
      <c r="B358" s="1">
        <v>43259</v>
      </c>
      <c r="C358" s="7">
        <f ca="1">IFERROR(__xludf.DUMMYFUNCTION("""COMPUTED_VALUE"""),43259.6458333333)</f>
        <v>43259.645833333299</v>
      </c>
      <c r="D358">
        <v>8234.35</v>
      </c>
      <c r="E358">
        <v>8647.15</v>
      </c>
      <c r="F358">
        <v>8220.9500000000007</v>
      </c>
      <c r="G358">
        <v>8603.9500000000007</v>
      </c>
      <c r="H358">
        <v>0</v>
      </c>
      <c r="I358" s="8">
        <f t="shared" si="21"/>
        <v>4.2631314263555709E-2</v>
      </c>
      <c r="J358" s="8">
        <f t="shared" si="22"/>
        <v>4.1747627682682406E-2</v>
      </c>
      <c r="K358" s="8">
        <f t="shared" si="19"/>
        <v>3.7787621937757088E-4</v>
      </c>
    </row>
    <row r="359" spans="1:11" x14ac:dyDescent="0.25">
      <c r="A359" t="str">
        <f t="shared" si="20"/>
        <v>62018</v>
      </c>
      <c r="B359" s="1">
        <v>43262</v>
      </c>
      <c r="C359" s="7">
        <f ca="1">IFERROR(__xludf.DUMMYFUNCTION("""COMPUTED_VALUE"""),43262.6458333333)</f>
        <v>43262.645833333299</v>
      </c>
      <c r="D359">
        <v>8624.7000000000007</v>
      </c>
      <c r="E359">
        <v>8780.75</v>
      </c>
      <c r="F359">
        <v>8610.9500000000007</v>
      </c>
      <c r="G359">
        <v>8647.15</v>
      </c>
      <c r="H359">
        <v>0</v>
      </c>
      <c r="I359" s="8">
        <f t="shared" si="21"/>
        <v>5.0209496800885933E-3</v>
      </c>
      <c r="J359" s="8">
        <f t="shared" si="22"/>
        <v>5.0083867466001126E-3</v>
      </c>
      <c r="K359" s="8">
        <f t="shared" si="19"/>
        <v>-7.455148586448801E-3</v>
      </c>
    </row>
    <row r="360" spans="1:11" x14ac:dyDescent="0.25">
      <c r="A360" t="str">
        <f t="shared" si="20"/>
        <v>62018</v>
      </c>
      <c r="B360" s="1">
        <v>43263</v>
      </c>
      <c r="C360" s="7">
        <f ca="1">IFERROR(__xludf.DUMMYFUNCTION("""COMPUTED_VALUE"""),43263.6458333333)</f>
        <v>43263.645833333299</v>
      </c>
      <c r="D360">
        <v>8669.2999999999993</v>
      </c>
      <c r="E360">
        <v>8902.6</v>
      </c>
      <c r="F360">
        <v>8665.4500000000007</v>
      </c>
      <c r="G360">
        <v>8870.4500000000007</v>
      </c>
      <c r="H360">
        <v>0</v>
      </c>
      <c r="I360" s="8">
        <f t="shared" si="21"/>
        <v>2.5823537234811678E-2</v>
      </c>
      <c r="J360" s="8">
        <f t="shared" si="22"/>
        <v>2.5495740957220896E-2</v>
      </c>
      <c r="K360" s="8">
        <f t="shared" si="19"/>
        <v>1.9410334940326956E-2</v>
      </c>
    </row>
    <row r="361" spans="1:11" x14ac:dyDescent="0.25">
      <c r="A361" t="str">
        <f t="shared" si="20"/>
        <v>62018</v>
      </c>
      <c r="B361" s="1">
        <v>43264</v>
      </c>
      <c r="C361" s="7">
        <f ca="1">IFERROR(__xludf.DUMMYFUNCTION("""COMPUTED_VALUE"""),43264.6458333333)</f>
        <v>43264.645833333299</v>
      </c>
      <c r="D361">
        <v>8949.9</v>
      </c>
      <c r="E361">
        <v>9084.35</v>
      </c>
      <c r="F361">
        <v>8914.2000000000007</v>
      </c>
      <c r="G361">
        <v>8948.9500000000007</v>
      </c>
      <c r="H361">
        <v>0</v>
      </c>
      <c r="I361" s="8">
        <f t="shared" si="21"/>
        <v>8.8496074043593609E-3</v>
      </c>
      <c r="J361" s="8">
        <f t="shared" si="22"/>
        <v>8.8106791268256681E-3</v>
      </c>
      <c r="K361" s="8">
        <f t="shared" si="19"/>
        <v>3.2108689760165232E-2</v>
      </c>
    </row>
    <row r="362" spans="1:11" x14ac:dyDescent="0.25">
      <c r="A362" t="str">
        <f t="shared" si="20"/>
        <v>62018</v>
      </c>
      <c r="B362" s="1">
        <v>43265</v>
      </c>
      <c r="C362" s="7">
        <f ca="1">IFERROR(__xludf.DUMMYFUNCTION("""COMPUTED_VALUE"""),43265.6458333333)</f>
        <v>43265.645833333299</v>
      </c>
      <c r="D362">
        <v>8964.35</v>
      </c>
      <c r="E362">
        <v>9133.4500000000007</v>
      </c>
      <c r="F362">
        <v>8923.25</v>
      </c>
      <c r="G362">
        <v>9112.4500000000007</v>
      </c>
      <c r="H362">
        <v>0</v>
      </c>
      <c r="I362" s="8">
        <f t="shared" si="21"/>
        <v>1.8270299867582329E-2</v>
      </c>
      <c r="J362" s="8">
        <f t="shared" si="22"/>
        <v>1.8105403382609395E-2</v>
      </c>
      <c r="K362" s="8">
        <f t="shared" si="19"/>
        <v>6.6182664857022733E-2</v>
      </c>
    </row>
    <row r="363" spans="1:11" x14ac:dyDescent="0.25">
      <c r="A363" t="str">
        <f t="shared" si="20"/>
        <v>62018</v>
      </c>
      <c r="B363" s="1">
        <v>43266</v>
      </c>
      <c r="C363" s="7">
        <f ca="1">IFERROR(__xludf.DUMMYFUNCTION("""COMPUTED_VALUE"""),43266.6458333333)</f>
        <v>43266.645833333299</v>
      </c>
      <c r="D363">
        <v>9159.4</v>
      </c>
      <c r="E363">
        <v>9352.2000000000007</v>
      </c>
      <c r="F363">
        <v>9151.4500000000007</v>
      </c>
      <c r="G363">
        <v>9316.25</v>
      </c>
      <c r="H363">
        <v>0</v>
      </c>
      <c r="I363" s="8">
        <f t="shared" si="21"/>
        <v>2.2365006118003405E-2</v>
      </c>
      <c r="J363" s="8">
        <f t="shared" si="22"/>
        <v>2.2118576862493404E-2</v>
      </c>
      <c r="K363" s="8">
        <f t="shared" si="19"/>
        <v>9.4368546558752042E-2</v>
      </c>
    </row>
    <row r="364" spans="1:11" x14ac:dyDescent="0.25">
      <c r="A364" t="str">
        <f t="shared" si="20"/>
        <v>62018</v>
      </c>
      <c r="B364" s="1">
        <v>43269</v>
      </c>
      <c r="C364" s="7">
        <f ca="1">IFERROR(__xludf.DUMMYFUNCTION("""COMPUTED_VALUE"""),43269.6458333333)</f>
        <v>43269.645833333299</v>
      </c>
      <c r="D364">
        <v>9314.9</v>
      </c>
      <c r="E364">
        <v>9390.5499999999993</v>
      </c>
      <c r="F364">
        <v>9190.0499999999993</v>
      </c>
      <c r="G364">
        <v>9319.2999999999993</v>
      </c>
      <c r="H364">
        <v>0</v>
      </c>
      <c r="I364" s="8">
        <f t="shared" si="21"/>
        <v>3.2738494565931475E-4</v>
      </c>
      <c r="J364" s="8">
        <f t="shared" si="22"/>
        <v>3.273313669015927E-4</v>
      </c>
      <c r="K364" s="8">
        <f t="shared" si="19"/>
        <v>8.6330096634688047E-2</v>
      </c>
    </row>
    <row r="365" spans="1:11" x14ac:dyDescent="0.25">
      <c r="A365" t="str">
        <f t="shared" si="20"/>
        <v>62018</v>
      </c>
      <c r="B365" s="1">
        <v>43270</v>
      </c>
      <c r="C365" s="7">
        <f ca="1">IFERROR(__xludf.DUMMYFUNCTION("""COMPUTED_VALUE"""),43270.6458333333)</f>
        <v>43270.645833333299</v>
      </c>
      <c r="D365">
        <v>9323.4</v>
      </c>
      <c r="E365">
        <v>9424.15</v>
      </c>
      <c r="F365">
        <v>9234.2999999999993</v>
      </c>
      <c r="G365">
        <v>9253.9500000000007</v>
      </c>
      <c r="H365">
        <v>0</v>
      </c>
      <c r="I365" s="8">
        <f t="shared" si="21"/>
        <v>-7.0123292521968583E-3</v>
      </c>
      <c r="J365" s="8">
        <f t="shared" si="22"/>
        <v>-7.0370311794000174E-3</v>
      </c>
      <c r="K365" s="8">
        <f t="shared" si="19"/>
        <v>8.5450034895518723E-2</v>
      </c>
    </row>
    <row r="366" spans="1:11" x14ac:dyDescent="0.25">
      <c r="A366" t="str">
        <f t="shared" si="20"/>
        <v>62018</v>
      </c>
      <c r="B366" s="1">
        <v>43271</v>
      </c>
      <c r="C366" s="7">
        <f ca="1">IFERROR(__xludf.DUMMYFUNCTION("""COMPUTED_VALUE"""),43271.6458333333)</f>
        <v>43271.645833333299</v>
      </c>
      <c r="D366">
        <v>9292.4</v>
      </c>
      <c r="E366">
        <v>9371.5499999999993</v>
      </c>
      <c r="F366">
        <v>9204.7999999999993</v>
      </c>
      <c r="G366">
        <v>9291.35</v>
      </c>
      <c r="H366">
        <v>0</v>
      </c>
      <c r="I366" s="8">
        <f t="shared" si="21"/>
        <v>4.0415174060806081E-3</v>
      </c>
      <c r="J366" s="8">
        <f t="shared" si="22"/>
        <v>4.033372412655405E-3</v>
      </c>
      <c r="K366" s="8">
        <f t="shared" si="19"/>
        <v>9.6453858862402653E-2</v>
      </c>
    </row>
    <row r="367" spans="1:11" x14ac:dyDescent="0.25">
      <c r="A367" t="str">
        <f t="shared" si="20"/>
        <v>62018</v>
      </c>
      <c r="B367" s="1">
        <v>43272</v>
      </c>
      <c r="C367" s="7">
        <f ca="1">IFERROR(__xludf.DUMMYFUNCTION("""COMPUTED_VALUE"""),43272.6458333333)</f>
        <v>43272.645833333299</v>
      </c>
      <c r="D367">
        <v>9343.5499999999993</v>
      </c>
      <c r="E367">
        <v>9345.85</v>
      </c>
      <c r="F367">
        <v>9177.5</v>
      </c>
      <c r="G367">
        <v>9198.7999999999993</v>
      </c>
      <c r="H367">
        <v>0</v>
      </c>
      <c r="I367" s="8">
        <f t="shared" si="21"/>
        <v>-9.9608775904471702E-3</v>
      </c>
      <c r="J367" s="8">
        <f t="shared" si="22"/>
        <v>-1.0010819048893751E-2</v>
      </c>
      <c r="K367" s="8">
        <f t="shared" si="19"/>
        <v>0.1046425054638902</v>
      </c>
    </row>
    <row r="368" spans="1:11" x14ac:dyDescent="0.25">
      <c r="A368" t="str">
        <f t="shared" si="20"/>
        <v>62018</v>
      </c>
      <c r="B368" s="1">
        <v>43273</v>
      </c>
      <c r="C368" s="7">
        <f ca="1">IFERROR(__xludf.DUMMYFUNCTION("""COMPUTED_VALUE"""),43273.6458333333)</f>
        <v>43273.645833333299</v>
      </c>
      <c r="D368">
        <v>9195.4</v>
      </c>
      <c r="E368">
        <v>9389</v>
      </c>
      <c r="F368">
        <v>9082.25</v>
      </c>
      <c r="G368">
        <v>9360.9</v>
      </c>
      <c r="H368">
        <v>0</v>
      </c>
      <c r="I368" s="8">
        <f t="shared" si="21"/>
        <v>1.7621863721354991E-2</v>
      </c>
      <c r="J368" s="8">
        <f t="shared" si="22"/>
        <v>1.7468398948139906E-2</v>
      </c>
      <c r="K368" s="8">
        <f t="shared" si="19"/>
        <v>0.11565460937965555</v>
      </c>
    </row>
    <row r="369" spans="1:11" x14ac:dyDescent="0.25">
      <c r="A369" t="str">
        <f t="shared" si="20"/>
        <v>62018</v>
      </c>
      <c r="B369" s="1">
        <v>43276</v>
      </c>
      <c r="C369" s="7">
        <f ca="1">IFERROR(__xludf.DUMMYFUNCTION("""COMPUTED_VALUE"""),43276.6458333333)</f>
        <v>43276.645833333299</v>
      </c>
      <c r="D369">
        <v>9360.75</v>
      </c>
      <c r="E369">
        <v>9469.9</v>
      </c>
      <c r="F369">
        <v>9260.65</v>
      </c>
      <c r="G369">
        <v>9286.7999999999993</v>
      </c>
      <c r="H369">
        <v>0</v>
      </c>
      <c r="I369" s="8">
        <f t="shared" si="21"/>
        <v>-7.9159055219050201E-3</v>
      </c>
      <c r="J369" s="8">
        <f t="shared" si="22"/>
        <v>-7.9474026308931512E-3</v>
      </c>
      <c r="K369" s="8">
        <f t="shared" si="19"/>
        <v>9.8704525288376033E-2</v>
      </c>
    </row>
    <row r="370" spans="1:11" x14ac:dyDescent="0.25">
      <c r="A370" t="str">
        <f t="shared" si="20"/>
        <v>62018</v>
      </c>
      <c r="B370" s="1">
        <v>43277</v>
      </c>
      <c r="C370" s="7">
        <f ca="1">IFERROR(__xludf.DUMMYFUNCTION("""COMPUTED_VALUE"""),43277.6458333333)</f>
        <v>43277.645833333299</v>
      </c>
      <c r="D370">
        <v>9275.65</v>
      </c>
      <c r="E370">
        <v>9305.4</v>
      </c>
      <c r="F370">
        <v>9228.4</v>
      </c>
      <c r="G370">
        <v>9247.75</v>
      </c>
      <c r="H370">
        <v>0</v>
      </c>
      <c r="I370" s="8">
        <f t="shared" si="21"/>
        <v>-4.2048929663607293E-3</v>
      </c>
      <c r="J370" s="8">
        <f t="shared" si="22"/>
        <v>-4.2137583896218996E-3</v>
      </c>
      <c r="K370" s="8">
        <f t="shared" si="19"/>
        <v>0.10644827441807614</v>
      </c>
    </row>
    <row r="371" spans="1:11" x14ac:dyDescent="0.25">
      <c r="A371" t="str">
        <f t="shared" si="20"/>
        <v>62018</v>
      </c>
      <c r="B371" s="1">
        <v>43278</v>
      </c>
      <c r="C371" s="7">
        <f ca="1">IFERROR(__xludf.DUMMYFUNCTION("""COMPUTED_VALUE"""),43278.6458333333)</f>
        <v>43278.645833333299</v>
      </c>
      <c r="D371">
        <v>9277.65</v>
      </c>
      <c r="E371">
        <v>9305.1</v>
      </c>
      <c r="F371">
        <v>9179.5</v>
      </c>
      <c r="G371">
        <v>9263.4500000000007</v>
      </c>
      <c r="H371">
        <v>0</v>
      </c>
      <c r="I371" s="8">
        <f t="shared" si="21"/>
        <v>1.6977102538455746E-3</v>
      </c>
      <c r="J371" s="8">
        <f t="shared" si="22"/>
        <v>1.6962707727767961E-3</v>
      </c>
      <c r="K371" s="8">
        <f t="shared" si="19"/>
        <v>7.454021355202789E-2</v>
      </c>
    </row>
    <row r="372" spans="1:11" x14ac:dyDescent="0.25">
      <c r="A372" t="str">
        <f t="shared" si="20"/>
        <v>62018</v>
      </c>
      <c r="B372" s="1">
        <v>43279</v>
      </c>
      <c r="C372" s="7">
        <f ca="1">IFERROR(__xludf.DUMMYFUNCTION("""COMPUTED_VALUE"""),43279.6458333333)</f>
        <v>43279.645833333299</v>
      </c>
      <c r="D372">
        <v>9268.1</v>
      </c>
      <c r="E372">
        <v>9344.15</v>
      </c>
      <c r="F372">
        <v>9119.7000000000007</v>
      </c>
      <c r="G372">
        <v>9149.4</v>
      </c>
      <c r="H372">
        <v>0</v>
      </c>
      <c r="I372" s="8">
        <f t="shared" si="21"/>
        <v>-1.231182766679817E-2</v>
      </c>
      <c r="J372" s="8">
        <f t="shared" si="22"/>
        <v>-1.2388246098547122E-2</v>
      </c>
      <c r="K372" s="8">
        <f t="shared" si="19"/>
        <v>5.5939617066949721E-2</v>
      </c>
    </row>
    <row r="373" spans="1:11" x14ac:dyDescent="0.25">
      <c r="A373" t="str">
        <f t="shared" si="20"/>
        <v>62018</v>
      </c>
      <c r="B373" s="1">
        <v>43280</v>
      </c>
      <c r="C373" s="7">
        <f ca="1">IFERROR(__xludf.DUMMYFUNCTION("""COMPUTED_VALUE"""),43280.6458333333)</f>
        <v>43280.645833333299</v>
      </c>
      <c r="D373">
        <v>9172.7999999999993</v>
      </c>
      <c r="E373">
        <v>9218.6</v>
      </c>
      <c r="F373">
        <v>9083.5</v>
      </c>
      <c r="G373">
        <v>9173.15</v>
      </c>
      <c r="H373">
        <v>0</v>
      </c>
      <c r="I373" s="8">
        <f t="shared" si="21"/>
        <v>2.5957986316043069E-3</v>
      </c>
      <c r="J373" s="8">
        <f t="shared" si="22"/>
        <v>2.5924353653204581E-3</v>
      </c>
      <c r="K373" s="8">
        <f t="shared" si="19"/>
        <v>7.0441682711943399E-2</v>
      </c>
    </row>
    <row r="374" spans="1:11" x14ac:dyDescent="0.25">
      <c r="A374" t="str">
        <f t="shared" si="20"/>
        <v>72018</v>
      </c>
      <c r="B374" s="1">
        <v>43283</v>
      </c>
      <c r="C374" s="7">
        <f ca="1">IFERROR(__xludf.DUMMYFUNCTION("""COMPUTED_VALUE"""),43283.6458333333)</f>
        <v>43283.645833333299</v>
      </c>
      <c r="D374">
        <v>9198.9</v>
      </c>
      <c r="E374">
        <v>9223.75</v>
      </c>
      <c r="F374">
        <v>9092.2999999999993</v>
      </c>
      <c r="G374">
        <v>9133.9</v>
      </c>
      <c r="H374">
        <v>0</v>
      </c>
      <c r="I374" s="8">
        <f t="shared" si="21"/>
        <v>-4.278791908995272E-3</v>
      </c>
      <c r="J374" s="8">
        <f t="shared" si="22"/>
        <v>-4.2879721353062629E-3</v>
      </c>
      <c r="K374" s="8">
        <f t="shared" si="19"/>
        <v>5.5252927278713893E-2</v>
      </c>
    </row>
    <row r="375" spans="1:11" x14ac:dyDescent="0.25">
      <c r="A375" t="str">
        <f t="shared" si="20"/>
        <v>72018</v>
      </c>
      <c r="B375" s="1">
        <v>43284</v>
      </c>
      <c r="C375" s="7">
        <f ca="1">IFERROR(__xludf.DUMMYFUNCTION("""COMPUTED_VALUE"""),43284.6458333333)</f>
        <v>43284.645833333299</v>
      </c>
      <c r="D375">
        <v>9157.25</v>
      </c>
      <c r="E375">
        <v>9348.35</v>
      </c>
      <c r="F375">
        <v>9079.6</v>
      </c>
      <c r="G375">
        <v>9325.2999999999993</v>
      </c>
      <c r="H375">
        <v>0</v>
      </c>
      <c r="I375" s="8">
        <f t="shared" si="21"/>
        <v>2.0954904257765028E-2</v>
      </c>
      <c r="J375" s="8">
        <f t="shared" si="22"/>
        <v>2.073836999725583E-2</v>
      </c>
      <c r="K375" s="8">
        <f t="shared" si="19"/>
        <v>6.3027221740914685E-2</v>
      </c>
    </row>
    <row r="376" spans="1:11" x14ac:dyDescent="0.25">
      <c r="A376" t="str">
        <f t="shared" si="20"/>
        <v>72018</v>
      </c>
      <c r="B376" s="1">
        <v>43285</v>
      </c>
      <c r="C376" s="7">
        <f ca="1">IFERROR(__xludf.DUMMYFUNCTION("""COMPUTED_VALUE"""),43285.6458333333)</f>
        <v>43285.645833333299</v>
      </c>
      <c r="D376">
        <v>9355.1</v>
      </c>
      <c r="E376">
        <v>9460.9500000000007</v>
      </c>
      <c r="F376">
        <v>9337.7000000000007</v>
      </c>
      <c r="G376">
        <v>9399.6</v>
      </c>
      <c r="H376">
        <v>0</v>
      </c>
      <c r="I376" s="8">
        <f t="shared" si="21"/>
        <v>7.9675720888336965E-3</v>
      </c>
      <c r="J376" s="8">
        <f t="shared" si="22"/>
        <v>7.9359985849017673E-3</v>
      </c>
      <c r="K376" s="8">
        <f t="shared" si="19"/>
        <v>7.5696800810240328E-2</v>
      </c>
    </row>
    <row r="377" spans="1:11" x14ac:dyDescent="0.25">
      <c r="A377" t="str">
        <f t="shared" si="20"/>
        <v>72018</v>
      </c>
      <c r="B377" s="1">
        <v>43286</v>
      </c>
      <c r="C377" s="7">
        <f ca="1">IFERROR(__xludf.DUMMYFUNCTION("""COMPUTED_VALUE"""),43286.6458333333)</f>
        <v>43286.645833333299</v>
      </c>
      <c r="D377">
        <v>9429.9</v>
      </c>
      <c r="E377">
        <v>9462.4</v>
      </c>
      <c r="F377">
        <v>9255.6</v>
      </c>
      <c r="G377">
        <v>9274.25</v>
      </c>
      <c r="H377">
        <v>0</v>
      </c>
      <c r="I377" s="8">
        <f t="shared" si="21"/>
        <v>-1.3335673858462127E-2</v>
      </c>
      <c r="J377" s="8">
        <f t="shared" si="22"/>
        <v>-1.3425392488800999E-2</v>
      </c>
      <c r="K377" s="8">
        <f t="shared" si="19"/>
        <v>6.3609569246295683E-2</v>
      </c>
    </row>
    <row r="378" spans="1:11" x14ac:dyDescent="0.25">
      <c r="A378" t="str">
        <f t="shared" si="20"/>
        <v>72018</v>
      </c>
      <c r="B378" s="1">
        <v>43287</v>
      </c>
      <c r="C378" s="7">
        <f ca="1">IFERROR(__xludf.DUMMYFUNCTION("""COMPUTED_VALUE"""),43287.6458333333)</f>
        <v>43287.645833333299</v>
      </c>
      <c r="D378">
        <v>9273.25</v>
      </c>
      <c r="E378">
        <v>9360</v>
      </c>
      <c r="F378">
        <v>9159</v>
      </c>
      <c r="G378">
        <v>9189.9</v>
      </c>
      <c r="H378">
        <v>0</v>
      </c>
      <c r="I378" s="8">
        <f t="shared" si="21"/>
        <v>-9.0950750734560826E-3</v>
      </c>
      <c r="J378" s="8">
        <f t="shared" si="22"/>
        <v>-9.1366877746805707E-3</v>
      </c>
      <c r="K378" s="8">
        <f t="shared" si="19"/>
        <v>4.8859823323974538E-2</v>
      </c>
    </row>
    <row r="379" spans="1:11" x14ac:dyDescent="0.25">
      <c r="A379" t="str">
        <f t="shared" si="20"/>
        <v>72018</v>
      </c>
      <c r="B379" s="1">
        <v>43290</v>
      </c>
      <c r="C379" s="7">
        <f ca="1">IFERROR(__xludf.DUMMYFUNCTION("""COMPUTED_VALUE"""),43290.6458333333)</f>
        <v>43290.645833333299</v>
      </c>
      <c r="D379">
        <v>9241.5</v>
      </c>
      <c r="E379">
        <v>9336.75</v>
      </c>
      <c r="F379">
        <v>9236.5</v>
      </c>
      <c r="G379">
        <v>9307.6</v>
      </c>
      <c r="H379">
        <v>0</v>
      </c>
      <c r="I379" s="8">
        <f t="shared" si="21"/>
        <v>1.2807538710976285E-2</v>
      </c>
      <c r="J379" s="8">
        <f t="shared" si="22"/>
        <v>1.2726215815080644E-2</v>
      </c>
      <c r="K379" s="8">
        <f t="shared" si="19"/>
        <v>7.1680646628401901E-2</v>
      </c>
    </row>
    <row r="380" spans="1:11" x14ac:dyDescent="0.25">
      <c r="A380" t="str">
        <f t="shared" si="20"/>
        <v>72018</v>
      </c>
      <c r="B380" s="1">
        <v>43291</v>
      </c>
      <c r="C380" s="7">
        <f ca="1">IFERROR(__xludf.DUMMYFUNCTION("""COMPUTED_VALUE"""),43291.6458333333)</f>
        <v>43291.645833333299</v>
      </c>
      <c r="D380">
        <v>9343.9</v>
      </c>
      <c r="E380">
        <v>9356.5</v>
      </c>
      <c r="F380">
        <v>9225.35</v>
      </c>
      <c r="G380">
        <v>9276.1</v>
      </c>
      <c r="H380">
        <v>0</v>
      </c>
      <c r="I380" s="8">
        <f t="shared" si="21"/>
        <v>-3.3843310842751606E-3</v>
      </c>
      <c r="J380" s="8">
        <f t="shared" si="22"/>
        <v>-3.3900708866391326E-3</v>
      </c>
      <c r="K380" s="8">
        <f t="shared" si="19"/>
        <v>6.248138730442343E-2</v>
      </c>
    </row>
    <row r="381" spans="1:11" x14ac:dyDescent="0.25">
      <c r="A381" t="str">
        <f t="shared" si="20"/>
        <v>72018</v>
      </c>
      <c r="B381" s="1">
        <v>43292</v>
      </c>
      <c r="C381" s="7">
        <f ca="1">IFERROR(__xludf.DUMMYFUNCTION("""COMPUTED_VALUE"""),43292.6458333333)</f>
        <v>43292.645833333299</v>
      </c>
      <c r="D381">
        <v>9258.9</v>
      </c>
      <c r="E381">
        <v>9330.5499999999993</v>
      </c>
      <c r="F381">
        <v>9208.0499999999993</v>
      </c>
      <c r="G381">
        <v>9228.7000000000007</v>
      </c>
      <c r="H381">
        <v>0</v>
      </c>
      <c r="I381" s="8">
        <f t="shared" si="21"/>
        <v>-5.1099061027801707E-3</v>
      </c>
      <c r="J381" s="8">
        <f t="shared" si="22"/>
        <v>-5.1230063192759818E-3</v>
      </c>
      <c r="K381" s="8">
        <f t="shared" si="19"/>
        <v>4.0768224467701231E-2</v>
      </c>
    </row>
    <row r="382" spans="1:11" x14ac:dyDescent="0.25">
      <c r="A382" t="str">
        <f t="shared" si="20"/>
        <v>72018</v>
      </c>
      <c r="B382" s="1">
        <v>43293</v>
      </c>
      <c r="C382" s="7">
        <f ca="1">IFERROR(__xludf.DUMMYFUNCTION("""COMPUTED_VALUE"""),43293.6458333333)</f>
        <v>43293.645833333299</v>
      </c>
      <c r="D382">
        <v>9271.85</v>
      </c>
      <c r="E382">
        <v>9348.2999999999993</v>
      </c>
      <c r="F382">
        <v>9198.6</v>
      </c>
      <c r="G382">
        <v>9244.1</v>
      </c>
      <c r="H382">
        <v>0</v>
      </c>
      <c r="I382" s="8">
        <f t="shared" si="21"/>
        <v>1.6687074019092751E-3</v>
      </c>
      <c r="J382" s="8">
        <f t="shared" si="22"/>
        <v>1.6673166566623177E-3</v>
      </c>
      <c r="K382" s="8">
        <f t="shared" si="19"/>
        <v>4.7163773328424696E-2</v>
      </c>
    </row>
    <row r="383" spans="1:11" x14ac:dyDescent="0.25">
      <c r="A383" t="str">
        <f t="shared" si="20"/>
        <v>72018</v>
      </c>
      <c r="B383" s="1">
        <v>43294</v>
      </c>
      <c r="C383" s="7">
        <f ca="1">IFERROR(__xludf.DUMMYFUNCTION("""COMPUTED_VALUE"""),43294.6458333333)</f>
        <v>43294.645833333299</v>
      </c>
      <c r="D383">
        <v>9255.5499999999993</v>
      </c>
      <c r="E383">
        <v>9275.7999999999993</v>
      </c>
      <c r="F383">
        <v>9142.2000000000007</v>
      </c>
      <c r="G383">
        <v>9164</v>
      </c>
      <c r="H383">
        <v>0</v>
      </c>
      <c r="I383" s="8">
        <f t="shared" si="21"/>
        <v>-8.6649863155959794E-3</v>
      </c>
      <c r="J383" s="8">
        <f t="shared" si="22"/>
        <v>-8.7027455901531967E-3</v>
      </c>
      <c r="K383" s="8">
        <f t="shared" si="19"/>
        <v>4.2548350398179835E-2</v>
      </c>
    </row>
    <row r="384" spans="1:11" x14ac:dyDescent="0.25">
      <c r="A384" t="str">
        <f t="shared" si="20"/>
        <v>72018</v>
      </c>
      <c r="B384" s="1">
        <v>43297</v>
      </c>
      <c r="C384" s="7">
        <f ca="1">IFERROR(__xludf.DUMMYFUNCTION("""COMPUTED_VALUE"""),43297.6458333333)</f>
        <v>43297.645833333299</v>
      </c>
      <c r="D384">
        <v>9132.2999999999993</v>
      </c>
      <c r="E384">
        <v>9132.2999999999993</v>
      </c>
      <c r="F384">
        <v>8753.9</v>
      </c>
      <c r="G384">
        <v>8786.4</v>
      </c>
      <c r="H384">
        <v>0</v>
      </c>
      <c r="I384" s="8">
        <f t="shared" si="21"/>
        <v>-4.12047140986469E-2</v>
      </c>
      <c r="J384" s="8">
        <f t="shared" si="22"/>
        <v>-4.2077693099250017E-2</v>
      </c>
      <c r="K384" s="8">
        <f t="shared" ref="K384:K447" si="23">+G384/G323-1</f>
        <v>-4.9095387751635355E-3</v>
      </c>
    </row>
    <row r="385" spans="1:11" x14ac:dyDescent="0.25">
      <c r="A385" t="str">
        <f t="shared" si="20"/>
        <v>72018</v>
      </c>
      <c r="B385" s="1">
        <v>43298</v>
      </c>
      <c r="C385" s="7">
        <f ca="1">IFERROR(__xludf.DUMMYFUNCTION("""COMPUTED_VALUE"""),43298.6458333333)</f>
        <v>43298.645833333299</v>
      </c>
      <c r="D385">
        <v>8785.2999999999993</v>
      </c>
      <c r="E385">
        <v>8955.5499999999993</v>
      </c>
      <c r="F385">
        <v>8743.85</v>
      </c>
      <c r="G385">
        <v>8926.1</v>
      </c>
      <c r="H385">
        <v>0</v>
      </c>
      <c r="I385" s="8">
        <f t="shared" si="21"/>
        <v>1.5899572065920076E-2</v>
      </c>
      <c r="J385" s="8">
        <f t="shared" si="22"/>
        <v>1.5774497878852659E-2</v>
      </c>
      <c r="K385" s="8">
        <f t="shared" si="23"/>
        <v>1.2052427492686979E-2</v>
      </c>
    </row>
    <row r="386" spans="1:11" x14ac:dyDescent="0.25">
      <c r="A386" t="str">
        <f t="shared" si="20"/>
        <v>72018</v>
      </c>
      <c r="B386" s="1">
        <v>43299</v>
      </c>
      <c r="C386" s="7">
        <f ca="1">IFERROR(__xludf.DUMMYFUNCTION("""COMPUTED_VALUE"""),43299.6458333333)</f>
        <v>43299.645833333299</v>
      </c>
      <c r="D386">
        <v>8970.1</v>
      </c>
      <c r="E386">
        <v>8997.1</v>
      </c>
      <c r="F386">
        <v>8833.4</v>
      </c>
      <c r="G386">
        <v>8885.65</v>
      </c>
      <c r="H386">
        <v>0</v>
      </c>
      <c r="I386" s="8">
        <f t="shared" si="21"/>
        <v>-4.5316543619274841E-3</v>
      </c>
      <c r="J386" s="8">
        <f t="shared" si="22"/>
        <v>-4.5419534338902445E-3</v>
      </c>
      <c r="K386" s="8">
        <f t="shared" si="23"/>
        <v>-7.1788511603481098E-3</v>
      </c>
    </row>
    <row r="387" spans="1:11" x14ac:dyDescent="0.25">
      <c r="A387" t="str">
        <f t="shared" ref="A387:A450" si="24">+MONTH(B387)&amp;YEAR(B387)</f>
        <v>72018</v>
      </c>
      <c r="B387" s="1">
        <v>43300</v>
      </c>
      <c r="C387" s="7">
        <f ca="1">IFERROR(__xludf.DUMMYFUNCTION("""COMPUTED_VALUE"""),43300.6458333333)</f>
        <v>43300.645833333299</v>
      </c>
      <c r="D387">
        <v>8910.7999999999993</v>
      </c>
      <c r="E387">
        <v>8914.85</v>
      </c>
      <c r="F387">
        <v>8724.65</v>
      </c>
      <c r="G387">
        <v>8749.9</v>
      </c>
      <c r="H387">
        <v>0</v>
      </c>
      <c r="I387" s="8">
        <f t="shared" si="21"/>
        <v>-1.5277441717825968E-2</v>
      </c>
      <c r="J387" s="8">
        <f t="shared" si="22"/>
        <v>-1.5395344204173756E-2</v>
      </c>
      <c r="K387" s="8">
        <f t="shared" si="23"/>
        <v>-2.6073696454311235E-2</v>
      </c>
    </row>
    <row r="388" spans="1:11" x14ac:dyDescent="0.25">
      <c r="A388" t="str">
        <f t="shared" si="24"/>
        <v>72018</v>
      </c>
      <c r="B388" s="1">
        <v>43301</v>
      </c>
      <c r="C388" s="7">
        <f ca="1">IFERROR(__xludf.DUMMYFUNCTION("""COMPUTED_VALUE"""),43301.6458333333)</f>
        <v>43301.645833333299</v>
      </c>
      <c r="D388">
        <v>8752.15</v>
      </c>
      <c r="E388">
        <v>8914.5</v>
      </c>
      <c r="F388">
        <v>8727.7000000000007</v>
      </c>
      <c r="G388">
        <v>8895.25</v>
      </c>
      <c r="H388">
        <v>0</v>
      </c>
      <c r="I388" s="8">
        <f t="shared" ref="I388:I451" si="25">+G388/G387-1</f>
        <v>1.6611618418496343E-2</v>
      </c>
      <c r="J388" s="8">
        <f t="shared" ref="J388:J451" si="26">+LN(1+I388)</f>
        <v>1.6475154667400401E-2</v>
      </c>
      <c r="K388" s="8">
        <f t="shared" si="23"/>
        <v>-6.6283570100489353E-4</v>
      </c>
    </row>
    <row r="389" spans="1:11" x14ac:dyDescent="0.25">
      <c r="A389" t="str">
        <f t="shared" si="24"/>
        <v>72018</v>
      </c>
      <c r="B389" s="1">
        <v>43304</v>
      </c>
      <c r="C389" s="7">
        <f ca="1">IFERROR(__xludf.DUMMYFUNCTION("""COMPUTED_VALUE"""),43304.6458333333)</f>
        <v>43304.645833333299</v>
      </c>
      <c r="D389">
        <v>8917.4500000000007</v>
      </c>
      <c r="E389">
        <v>8951.65</v>
      </c>
      <c r="F389">
        <v>8858.15</v>
      </c>
      <c r="G389">
        <v>8937.4</v>
      </c>
      <c r="H389">
        <v>0</v>
      </c>
      <c r="I389" s="8">
        <f t="shared" si="25"/>
        <v>4.7384840223714253E-3</v>
      </c>
      <c r="J389" s="8">
        <f t="shared" si="26"/>
        <v>4.7272927461538107E-3</v>
      </c>
      <c r="K389" s="8">
        <f t="shared" si="23"/>
        <v>4.5860216262392228E-3</v>
      </c>
    </row>
    <row r="390" spans="1:11" x14ac:dyDescent="0.25">
      <c r="A390" t="str">
        <f t="shared" si="24"/>
        <v>72018</v>
      </c>
      <c r="B390" s="1">
        <v>43305</v>
      </c>
      <c r="C390" s="7">
        <f ca="1">IFERROR(__xludf.DUMMYFUNCTION("""COMPUTED_VALUE"""),43305.6458333333)</f>
        <v>43305.645833333299</v>
      </c>
      <c r="D390">
        <v>8943.9500000000007</v>
      </c>
      <c r="E390">
        <v>9063.65</v>
      </c>
      <c r="F390">
        <v>8929.4500000000007</v>
      </c>
      <c r="G390">
        <v>9049.0499999999993</v>
      </c>
      <c r="H390">
        <v>0</v>
      </c>
      <c r="I390" s="8">
        <f t="shared" si="25"/>
        <v>1.2492447467943757E-2</v>
      </c>
      <c r="J390" s="8">
        <f t="shared" si="26"/>
        <v>1.2415060679816759E-2</v>
      </c>
      <c r="K390" s="8">
        <f t="shared" si="23"/>
        <v>6.8596034448227261E-3</v>
      </c>
    </row>
    <row r="391" spans="1:11" x14ac:dyDescent="0.25">
      <c r="A391" t="str">
        <f t="shared" si="24"/>
        <v>72018</v>
      </c>
      <c r="B391" s="1">
        <v>43306</v>
      </c>
      <c r="C391" s="7">
        <f ca="1">IFERROR(__xludf.DUMMYFUNCTION("""COMPUTED_VALUE"""),43306.6458333333)</f>
        <v>43306.645833333299</v>
      </c>
      <c r="D391">
        <v>9089</v>
      </c>
      <c r="E391">
        <v>9098.4500000000007</v>
      </c>
      <c r="F391">
        <v>8942.4</v>
      </c>
      <c r="G391">
        <v>8969.25</v>
      </c>
      <c r="H391">
        <v>0</v>
      </c>
      <c r="I391" s="8">
        <f t="shared" si="25"/>
        <v>-8.8186052679561922E-3</v>
      </c>
      <c r="J391" s="8">
        <f t="shared" si="26"/>
        <v>-8.8577192912691147E-3</v>
      </c>
      <c r="K391" s="8">
        <f t="shared" si="23"/>
        <v>-1.0093039169159157E-2</v>
      </c>
    </row>
    <row r="392" spans="1:11" x14ac:dyDescent="0.25">
      <c r="A392" t="str">
        <f t="shared" si="24"/>
        <v>72018</v>
      </c>
      <c r="B392" s="1">
        <v>43307</v>
      </c>
      <c r="C392" s="7">
        <f ca="1">IFERROR(__xludf.DUMMYFUNCTION("""COMPUTED_VALUE"""),43307.6458333333)</f>
        <v>43307.645833333299</v>
      </c>
      <c r="D392">
        <v>8938</v>
      </c>
      <c r="E392">
        <v>9054.0499999999993</v>
      </c>
      <c r="F392">
        <v>8908.6</v>
      </c>
      <c r="G392">
        <v>8994.65</v>
      </c>
      <c r="H392">
        <v>0</v>
      </c>
      <c r="I392" s="8">
        <f t="shared" si="25"/>
        <v>2.8318978732893019E-3</v>
      </c>
      <c r="J392" s="8">
        <f t="shared" si="26"/>
        <v>2.827895604737E-3</v>
      </c>
      <c r="K392" s="8">
        <f t="shared" si="23"/>
        <v>3.7495605983675073E-3</v>
      </c>
    </row>
    <row r="393" spans="1:11" x14ac:dyDescent="0.25">
      <c r="A393" t="str">
        <f t="shared" si="24"/>
        <v>72018</v>
      </c>
      <c r="B393" s="1">
        <v>43308</v>
      </c>
      <c r="C393" s="7">
        <f ca="1">IFERROR(__xludf.DUMMYFUNCTION("""COMPUTED_VALUE"""),43308.6458333333)</f>
        <v>43308.645833333299</v>
      </c>
      <c r="D393">
        <v>9021.7000000000007</v>
      </c>
      <c r="E393">
        <v>9106.4</v>
      </c>
      <c r="F393">
        <v>8982.25</v>
      </c>
      <c r="G393">
        <v>9039</v>
      </c>
      <c r="H393">
        <v>0</v>
      </c>
      <c r="I393" s="8">
        <f t="shared" si="25"/>
        <v>4.930708810237272E-3</v>
      </c>
      <c r="J393" s="8">
        <f t="shared" si="26"/>
        <v>4.9185926766474692E-3</v>
      </c>
      <c r="K393" s="8">
        <f t="shared" si="23"/>
        <v>8.1081382510066469E-3</v>
      </c>
    </row>
    <row r="394" spans="1:11" x14ac:dyDescent="0.25">
      <c r="A394" t="str">
        <f t="shared" si="24"/>
        <v>72018</v>
      </c>
      <c r="B394" s="1">
        <v>43311</v>
      </c>
      <c r="C394" s="7">
        <f ca="1">IFERROR(__xludf.DUMMYFUNCTION("""COMPUTED_VALUE"""),43311.6458333333)</f>
        <v>43311.645833333299</v>
      </c>
      <c r="D394">
        <v>9021.9</v>
      </c>
      <c r="E394">
        <v>9156.7000000000007</v>
      </c>
      <c r="F394">
        <v>8978.4</v>
      </c>
      <c r="G394">
        <v>9115.5499999999993</v>
      </c>
      <c r="H394">
        <v>0</v>
      </c>
      <c r="I394" s="8">
        <f t="shared" si="25"/>
        <v>8.4688571744662156E-3</v>
      </c>
      <c r="J394" s="8">
        <f t="shared" si="26"/>
        <v>8.4331975927003124E-3</v>
      </c>
      <c r="K394" s="8">
        <f t="shared" si="23"/>
        <v>3.3807960351348587E-2</v>
      </c>
    </row>
    <row r="395" spans="1:11" x14ac:dyDescent="0.25">
      <c r="A395" t="str">
        <f t="shared" si="24"/>
        <v>72018</v>
      </c>
      <c r="B395" s="1">
        <v>43312</v>
      </c>
      <c r="C395" s="7">
        <f ca="1">IFERROR(__xludf.DUMMYFUNCTION("""COMPUTED_VALUE"""),43312.6458333333)</f>
        <v>43312.645833333299</v>
      </c>
      <c r="D395">
        <v>9125.7999999999993</v>
      </c>
      <c r="E395">
        <v>9210.75</v>
      </c>
      <c r="F395">
        <v>9088</v>
      </c>
      <c r="G395">
        <v>9179.4</v>
      </c>
      <c r="H395">
        <v>0</v>
      </c>
      <c r="I395" s="8">
        <f t="shared" si="25"/>
        <v>7.0045142640873248E-3</v>
      </c>
      <c r="J395" s="8">
        <f t="shared" si="26"/>
        <v>6.9800966102771724E-3</v>
      </c>
      <c r="K395" s="8">
        <f t="shared" si="23"/>
        <v>4.615700218818386E-2</v>
      </c>
    </row>
    <row r="396" spans="1:11" x14ac:dyDescent="0.25">
      <c r="A396" t="str">
        <f t="shared" si="24"/>
        <v>82018</v>
      </c>
      <c r="B396" s="1">
        <v>43313</v>
      </c>
      <c r="C396" s="7">
        <f ca="1">IFERROR(__xludf.DUMMYFUNCTION("""COMPUTED_VALUE"""),43313.6458333333)</f>
        <v>43313.645833333299</v>
      </c>
      <c r="D396">
        <v>9190.4500000000007</v>
      </c>
      <c r="E396">
        <v>9313.0499999999993</v>
      </c>
      <c r="F396">
        <v>9168.5</v>
      </c>
      <c r="G396">
        <v>9301.7000000000007</v>
      </c>
      <c r="H396">
        <v>0</v>
      </c>
      <c r="I396" s="8">
        <f t="shared" si="25"/>
        <v>1.3323310891779627E-2</v>
      </c>
      <c r="J396" s="8">
        <f t="shared" si="26"/>
        <v>1.3235336133785918E-2</v>
      </c>
      <c r="K396" s="8">
        <f t="shared" si="23"/>
        <v>6.2656727501213982E-2</v>
      </c>
    </row>
    <row r="397" spans="1:11" x14ac:dyDescent="0.25">
      <c r="A397" t="str">
        <f t="shared" si="24"/>
        <v>82018</v>
      </c>
      <c r="B397" s="1">
        <v>43314</v>
      </c>
      <c r="C397" s="7">
        <f ca="1">IFERROR(__xludf.DUMMYFUNCTION("""COMPUTED_VALUE"""),43314.6458333333)</f>
        <v>43314.645833333299</v>
      </c>
      <c r="D397">
        <v>9308.9</v>
      </c>
      <c r="E397">
        <v>9518.7000000000007</v>
      </c>
      <c r="F397">
        <v>9302.5499999999993</v>
      </c>
      <c r="G397">
        <v>9424.65</v>
      </c>
      <c r="H397">
        <v>0</v>
      </c>
      <c r="I397" s="8">
        <f t="shared" si="25"/>
        <v>1.3218013911435511E-2</v>
      </c>
      <c r="J397" s="8">
        <f t="shared" si="26"/>
        <v>1.3131418212991386E-2</v>
      </c>
      <c r="K397" s="8">
        <f t="shared" si="23"/>
        <v>8.2782826484070648E-2</v>
      </c>
    </row>
    <row r="398" spans="1:11" x14ac:dyDescent="0.25">
      <c r="A398" t="str">
        <f t="shared" si="24"/>
        <v>82018</v>
      </c>
      <c r="B398" s="1">
        <v>43315</v>
      </c>
      <c r="C398" s="7">
        <f ca="1">IFERROR(__xludf.DUMMYFUNCTION("""COMPUTED_VALUE"""),43315.6458333333)</f>
        <v>43315.645833333299</v>
      </c>
      <c r="D398">
        <v>9468.65</v>
      </c>
      <c r="E398">
        <v>9558.5</v>
      </c>
      <c r="F398">
        <v>9463.1</v>
      </c>
      <c r="G398">
        <v>9500.75</v>
      </c>
      <c r="H398">
        <v>0</v>
      </c>
      <c r="I398" s="8">
        <f t="shared" si="25"/>
        <v>8.0745704084501657E-3</v>
      </c>
      <c r="J398" s="8">
        <f t="shared" si="26"/>
        <v>8.0421454927083608E-3</v>
      </c>
      <c r="K398" s="8">
        <f t="shared" si="23"/>
        <v>0.11185554040690682</v>
      </c>
    </row>
    <row r="399" spans="1:11" x14ac:dyDescent="0.25">
      <c r="A399" t="str">
        <f t="shared" si="24"/>
        <v>82018</v>
      </c>
      <c r="B399" s="1">
        <v>43318</v>
      </c>
      <c r="C399" s="7">
        <f ca="1">IFERROR(__xludf.DUMMYFUNCTION("""COMPUTED_VALUE"""),43318.6458333333)</f>
        <v>43318.645833333299</v>
      </c>
      <c r="D399">
        <v>9551.2000000000007</v>
      </c>
      <c r="E399">
        <v>9597.4</v>
      </c>
      <c r="F399">
        <v>9396.4500000000007</v>
      </c>
      <c r="G399">
        <v>9408.6</v>
      </c>
      <c r="H399">
        <v>0</v>
      </c>
      <c r="I399" s="8">
        <f t="shared" si="25"/>
        <v>-9.6992342709785184E-3</v>
      </c>
      <c r="J399" s="8">
        <f t="shared" si="26"/>
        <v>-9.7465782258328339E-3</v>
      </c>
      <c r="K399" s="8">
        <f t="shared" si="23"/>
        <v>0.11401067999100123</v>
      </c>
    </row>
    <row r="400" spans="1:11" x14ac:dyDescent="0.25">
      <c r="A400" t="str">
        <f t="shared" si="24"/>
        <v>82018</v>
      </c>
      <c r="B400" s="1">
        <v>43319</v>
      </c>
      <c r="C400" s="7">
        <f ca="1">IFERROR(__xludf.DUMMYFUNCTION("""COMPUTED_VALUE"""),43319.6458333333)</f>
        <v>43319.645833333299</v>
      </c>
      <c r="D400">
        <v>9462.7999999999993</v>
      </c>
      <c r="E400">
        <v>9462.7999999999993</v>
      </c>
      <c r="F400">
        <v>9327.75</v>
      </c>
      <c r="G400">
        <v>9371.0499999999993</v>
      </c>
      <c r="H400">
        <v>0</v>
      </c>
      <c r="I400" s="8">
        <f t="shared" si="25"/>
        <v>-3.9910294836640325E-3</v>
      </c>
      <c r="J400" s="8">
        <f t="shared" si="26"/>
        <v>-3.9990148955914876E-3</v>
      </c>
      <c r="K400" s="8">
        <f t="shared" si="23"/>
        <v>0.10742077865292687</v>
      </c>
    </row>
    <row r="401" spans="1:11" x14ac:dyDescent="0.25">
      <c r="A401" t="str">
        <f t="shared" si="24"/>
        <v>82018</v>
      </c>
      <c r="B401" s="1">
        <v>43320</v>
      </c>
      <c r="C401" s="7">
        <f ca="1">IFERROR(__xludf.DUMMYFUNCTION("""COMPUTED_VALUE"""),43320.6458333333)</f>
        <v>43320.645833333299</v>
      </c>
      <c r="D401">
        <v>9379</v>
      </c>
      <c r="E401">
        <v>9442.35</v>
      </c>
      <c r="F401">
        <v>9275.5499999999993</v>
      </c>
      <c r="G401">
        <v>9307.25</v>
      </c>
      <c r="H401">
        <v>0</v>
      </c>
      <c r="I401" s="8">
        <f t="shared" si="25"/>
        <v>-6.8082018557151791E-3</v>
      </c>
      <c r="J401" s="8">
        <f t="shared" si="26"/>
        <v>-6.8314833924074956E-3</v>
      </c>
      <c r="K401" s="8">
        <f t="shared" si="23"/>
        <v>0.10785428185427004</v>
      </c>
    </row>
    <row r="402" spans="1:11" x14ac:dyDescent="0.25">
      <c r="A402" t="str">
        <f t="shared" si="24"/>
        <v>82018</v>
      </c>
      <c r="B402" s="1">
        <v>43321</v>
      </c>
      <c r="C402" s="7">
        <f ca="1">IFERROR(__xludf.DUMMYFUNCTION("""COMPUTED_VALUE"""),43321.6458333333)</f>
        <v>43321.645833333299</v>
      </c>
      <c r="D402">
        <v>9345.9500000000007</v>
      </c>
      <c r="E402">
        <v>9434.15</v>
      </c>
      <c r="F402">
        <v>9199.25</v>
      </c>
      <c r="G402">
        <v>9249.9500000000007</v>
      </c>
      <c r="H402">
        <v>0</v>
      </c>
      <c r="I402" s="8">
        <f t="shared" si="25"/>
        <v>-6.1564909076257113E-3</v>
      </c>
      <c r="J402" s="8">
        <f t="shared" si="26"/>
        <v>-6.1755202405857088E-3</v>
      </c>
      <c r="K402" s="8">
        <f t="shared" si="23"/>
        <v>0.1013025205081497</v>
      </c>
    </row>
    <row r="403" spans="1:11" x14ac:dyDescent="0.25">
      <c r="A403" t="str">
        <f t="shared" si="24"/>
        <v>82018</v>
      </c>
      <c r="B403" s="1">
        <v>43322</v>
      </c>
      <c r="C403" s="7">
        <f ca="1">IFERROR(__xludf.DUMMYFUNCTION("""COMPUTED_VALUE"""),43322.6458333333)</f>
        <v>43322.645833333299</v>
      </c>
      <c r="D403">
        <v>9243.1</v>
      </c>
      <c r="E403">
        <v>9281.9</v>
      </c>
      <c r="F403">
        <v>9102.5499999999993</v>
      </c>
      <c r="G403">
        <v>9138.25</v>
      </c>
      <c r="H403">
        <v>0</v>
      </c>
      <c r="I403" s="8">
        <f t="shared" si="25"/>
        <v>-1.2075740949951119E-2</v>
      </c>
      <c r="J403" s="8">
        <f t="shared" si="26"/>
        <v>-1.214924505338205E-2</v>
      </c>
      <c r="K403" s="8">
        <f t="shared" si="23"/>
        <v>8.7498512436034792E-2</v>
      </c>
    </row>
    <row r="404" spans="1:11" x14ac:dyDescent="0.25">
      <c r="A404" t="str">
        <f t="shared" si="24"/>
        <v>82018</v>
      </c>
      <c r="B404" s="1">
        <v>43325</v>
      </c>
      <c r="C404" s="7">
        <f ca="1">IFERROR(__xludf.DUMMYFUNCTION("""COMPUTED_VALUE"""),43325.6458333333)</f>
        <v>43325.645833333299</v>
      </c>
      <c r="D404">
        <v>9117.35</v>
      </c>
      <c r="E404">
        <v>9245.15</v>
      </c>
      <c r="F404">
        <v>9094.25</v>
      </c>
      <c r="G404">
        <v>9186.6</v>
      </c>
      <c r="H404">
        <v>0</v>
      </c>
      <c r="I404" s="8">
        <f t="shared" si="25"/>
        <v>5.2909473914590777E-3</v>
      </c>
      <c r="J404" s="8">
        <f t="shared" si="26"/>
        <v>5.2769995060303462E-3</v>
      </c>
      <c r="K404" s="8">
        <f t="shared" si="23"/>
        <v>0.11870041464469039</v>
      </c>
    </row>
    <row r="405" spans="1:11" x14ac:dyDescent="0.25">
      <c r="A405" t="str">
        <f t="shared" si="24"/>
        <v>82018</v>
      </c>
      <c r="B405" s="1">
        <v>43326</v>
      </c>
      <c r="C405" s="7">
        <f ca="1">IFERROR(__xludf.DUMMYFUNCTION("""COMPUTED_VALUE"""),43326.6458333333)</f>
        <v>43326.645833333299</v>
      </c>
      <c r="D405">
        <v>9205.9</v>
      </c>
      <c r="E405">
        <v>9529.4500000000007</v>
      </c>
      <c r="F405">
        <v>9147.6</v>
      </c>
      <c r="G405">
        <v>9481.15</v>
      </c>
      <c r="H405">
        <v>0</v>
      </c>
      <c r="I405" s="8">
        <f t="shared" si="25"/>
        <v>3.2063004811355489E-2</v>
      </c>
      <c r="J405" s="8">
        <f t="shared" si="26"/>
        <v>3.1559716369618004E-2</v>
      </c>
      <c r="K405" s="8">
        <f t="shared" si="23"/>
        <v>0.18763778935765107</v>
      </c>
    </row>
    <row r="406" spans="1:11" x14ac:dyDescent="0.25">
      <c r="A406" t="str">
        <f t="shared" si="24"/>
        <v>82018</v>
      </c>
      <c r="B406" s="1">
        <v>43328</v>
      </c>
      <c r="C406" s="7">
        <f ca="1">IFERROR(__xludf.DUMMYFUNCTION("""COMPUTED_VALUE"""),43328.6458333333)</f>
        <v>43328.645833333299</v>
      </c>
      <c r="D406">
        <v>9519.5</v>
      </c>
      <c r="E406">
        <v>9613</v>
      </c>
      <c r="F406">
        <v>9474.7000000000007</v>
      </c>
      <c r="G406">
        <v>9595.35</v>
      </c>
      <c r="H406">
        <v>0</v>
      </c>
      <c r="I406" s="8">
        <f t="shared" si="25"/>
        <v>1.2044952352826543E-2</v>
      </c>
      <c r="J406" s="8">
        <f t="shared" si="26"/>
        <v>1.1972989199739822E-2</v>
      </c>
      <c r="K406" s="8">
        <f t="shared" si="23"/>
        <v>0.18185345305398526</v>
      </c>
    </row>
    <row r="407" spans="1:11" x14ac:dyDescent="0.25">
      <c r="A407" t="str">
        <f t="shared" si="24"/>
        <v>82018</v>
      </c>
      <c r="B407" s="1">
        <v>43329</v>
      </c>
      <c r="C407" s="7">
        <f ca="1">IFERROR(__xludf.DUMMYFUNCTION("""COMPUTED_VALUE"""),43329.6458333333)</f>
        <v>43329.645833333299</v>
      </c>
      <c r="D407">
        <v>9643.65</v>
      </c>
      <c r="E407">
        <v>9780.9500000000007</v>
      </c>
      <c r="F407">
        <v>9639.9</v>
      </c>
      <c r="G407">
        <v>9693.85</v>
      </c>
      <c r="H407">
        <v>0</v>
      </c>
      <c r="I407" s="8">
        <f t="shared" si="25"/>
        <v>1.0265388964446398E-2</v>
      </c>
      <c r="J407" s="8">
        <f t="shared" si="26"/>
        <v>1.021305768838747E-2</v>
      </c>
      <c r="K407" s="8">
        <f t="shared" si="23"/>
        <v>0.20126522671226943</v>
      </c>
    </row>
    <row r="408" spans="1:11" x14ac:dyDescent="0.25">
      <c r="A408" t="str">
        <f t="shared" si="24"/>
        <v>82018</v>
      </c>
      <c r="B408" s="1">
        <v>43332</v>
      </c>
      <c r="C408" s="7">
        <f ca="1">IFERROR(__xludf.DUMMYFUNCTION("""COMPUTED_VALUE"""),43332.6458333333)</f>
        <v>43332.645833333299</v>
      </c>
      <c r="D408">
        <v>9725.7000000000007</v>
      </c>
      <c r="E408">
        <v>9824.4</v>
      </c>
      <c r="F408">
        <v>9723.35</v>
      </c>
      <c r="G408">
        <v>9799.15</v>
      </c>
      <c r="H408">
        <v>0</v>
      </c>
      <c r="I408" s="8">
        <f t="shared" si="25"/>
        <v>1.0862557188320299E-2</v>
      </c>
      <c r="J408" s="8">
        <f t="shared" si="26"/>
        <v>1.0803983406264829E-2</v>
      </c>
      <c r="K408" s="8">
        <f t="shared" si="23"/>
        <v>0.19399902522237111</v>
      </c>
    </row>
    <row r="409" spans="1:11" x14ac:dyDescent="0.25">
      <c r="A409" t="str">
        <f t="shared" si="24"/>
        <v>82018</v>
      </c>
      <c r="B409" s="1">
        <v>43333</v>
      </c>
      <c r="C409" s="7">
        <f ca="1">IFERROR(__xludf.DUMMYFUNCTION("""COMPUTED_VALUE"""),43333.6458333333)</f>
        <v>43333.645833333299</v>
      </c>
      <c r="D409">
        <v>9839.7999999999993</v>
      </c>
      <c r="E409">
        <v>9992.75</v>
      </c>
      <c r="F409">
        <v>9745.0499999999993</v>
      </c>
      <c r="G409">
        <v>9950.5</v>
      </c>
      <c r="H409">
        <v>0</v>
      </c>
      <c r="I409" s="8">
        <f t="shared" si="25"/>
        <v>1.544521718720504E-2</v>
      </c>
      <c r="J409" s="8">
        <f t="shared" si="26"/>
        <v>1.5327153943253144E-2</v>
      </c>
      <c r="K409" s="8">
        <f t="shared" si="23"/>
        <v>0.19925276447015583</v>
      </c>
    </row>
    <row r="410" spans="1:11" x14ac:dyDescent="0.25">
      <c r="A410" t="str">
        <f t="shared" si="24"/>
        <v>82018</v>
      </c>
      <c r="B410" s="1">
        <v>43335</v>
      </c>
      <c r="C410" s="7">
        <f ca="1">IFERROR(__xludf.DUMMYFUNCTION("""COMPUTED_VALUE"""),43335.6458333333)</f>
        <v>43335.645833333299</v>
      </c>
      <c r="D410">
        <v>10017.4</v>
      </c>
      <c r="E410">
        <v>10142.450000000001</v>
      </c>
      <c r="F410">
        <v>9999.4500000000007</v>
      </c>
      <c r="G410">
        <v>10076.799999999999</v>
      </c>
      <c r="H410">
        <v>0</v>
      </c>
      <c r="I410" s="8">
        <f t="shared" si="25"/>
        <v>1.2692829506054881E-2</v>
      </c>
      <c r="J410" s="8">
        <f t="shared" si="26"/>
        <v>1.2612950760337641E-2</v>
      </c>
      <c r="K410" s="8">
        <f t="shared" si="23"/>
        <v>0.18575698383187</v>
      </c>
    </row>
    <row r="411" spans="1:11" x14ac:dyDescent="0.25">
      <c r="A411" t="str">
        <f t="shared" si="24"/>
        <v>82018</v>
      </c>
      <c r="B411" s="1">
        <v>43336</v>
      </c>
      <c r="C411" s="7">
        <f ca="1">IFERROR(__xludf.DUMMYFUNCTION("""COMPUTED_VALUE"""),43336.6458333333)</f>
        <v>43336.645833333299</v>
      </c>
      <c r="D411">
        <v>10083.299999999999</v>
      </c>
      <c r="E411">
        <v>10086.35</v>
      </c>
      <c r="F411">
        <v>9879</v>
      </c>
      <c r="G411">
        <v>10061.1</v>
      </c>
      <c r="H411">
        <v>0</v>
      </c>
      <c r="I411" s="8">
        <f t="shared" si="25"/>
        <v>-1.5580342966019511E-3</v>
      </c>
      <c r="J411" s="8">
        <f t="shared" si="26"/>
        <v>-1.5592492942059269E-3</v>
      </c>
      <c r="K411" s="8">
        <f t="shared" si="23"/>
        <v>0.19626179336420746</v>
      </c>
    </row>
    <row r="412" spans="1:11" x14ac:dyDescent="0.25">
      <c r="A412" t="str">
        <f t="shared" si="24"/>
        <v>82018</v>
      </c>
      <c r="B412" s="1">
        <v>43339</v>
      </c>
      <c r="C412" s="7">
        <f ca="1">IFERROR(__xludf.DUMMYFUNCTION("""COMPUTED_VALUE"""),43339.6458333333)</f>
        <v>43339.645833333299</v>
      </c>
      <c r="D412">
        <v>10113.950000000001</v>
      </c>
      <c r="E412">
        <v>10152.700000000001</v>
      </c>
      <c r="F412">
        <v>10028.25</v>
      </c>
      <c r="G412">
        <v>10094.200000000001</v>
      </c>
      <c r="H412">
        <v>0</v>
      </c>
      <c r="I412" s="8">
        <f t="shared" si="25"/>
        <v>3.2898987188278994E-3</v>
      </c>
      <c r="J412" s="8">
        <f t="shared" si="26"/>
        <v>3.2844988421614403E-3</v>
      </c>
      <c r="K412" s="8">
        <f t="shared" si="23"/>
        <v>0.21308480849887634</v>
      </c>
    </row>
    <row r="413" spans="1:11" x14ac:dyDescent="0.25">
      <c r="A413" t="str">
        <f t="shared" si="24"/>
        <v>82018</v>
      </c>
      <c r="B413" s="1">
        <v>43340</v>
      </c>
      <c r="C413" s="7">
        <f ca="1">IFERROR(__xludf.DUMMYFUNCTION("""COMPUTED_VALUE"""),43340.6458333333)</f>
        <v>43340.645833333299</v>
      </c>
      <c r="D413">
        <v>10132.5</v>
      </c>
      <c r="E413">
        <v>10243.200000000001</v>
      </c>
      <c r="F413">
        <v>10030.25</v>
      </c>
      <c r="G413">
        <v>10050.1</v>
      </c>
      <c r="H413">
        <v>0</v>
      </c>
      <c r="I413" s="8">
        <f t="shared" si="25"/>
        <v>-4.3688454756196649E-3</v>
      </c>
      <c r="J413" s="8">
        <f t="shared" si="26"/>
        <v>-4.3784167681863101E-3</v>
      </c>
      <c r="K413" s="8">
        <f t="shared" si="23"/>
        <v>0.22260271889541072</v>
      </c>
    </row>
    <row r="414" spans="1:11" x14ac:dyDescent="0.25">
      <c r="A414" t="str">
        <f t="shared" si="24"/>
        <v>82018</v>
      </c>
      <c r="B414" s="1">
        <v>43341</v>
      </c>
      <c r="C414" s="7">
        <f ca="1">IFERROR(__xludf.DUMMYFUNCTION("""COMPUTED_VALUE"""),43341.6458333333)</f>
        <v>43341.645833333299</v>
      </c>
      <c r="D414">
        <v>10062.700000000001</v>
      </c>
      <c r="E414">
        <v>10136.4</v>
      </c>
      <c r="F414">
        <v>9980.85</v>
      </c>
      <c r="G414">
        <v>10008.9</v>
      </c>
      <c r="H414">
        <v>0</v>
      </c>
      <c r="I414" s="8">
        <f t="shared" si="25"/>
        <v>-4.0994616968985653E-3</v>
      </c>
      <c r="J414" s="8">
        <f t="shared" si="26"/>
        <v>-4.1078875254590003E-3</v>
      </c>
      <c r="K414" s="8">
        <f t="shared" si="23"/>
        <v>0.21863585447815703</v>
      </c>
    </row>
    <row r="415" spans="1:11" x14ac:dyDescent="0.25">
      <c r="A415" t="str">
        <f t="shared" si="24"/>
        <v>82018</v>
      </c>
      <c r="B415" s="1">
        <v>43342</v>
      </c>
      <c r="C415" s="7">
        <f ca="1">IFERROR(__xludf.DUMMYFUNCTION("""COMPUTED_VALUE"""),43342.6458333333)</f>
        <v>43342.645833333299</v>
      </c>
      <c r="D415">
        <v>10024.700000000001</v>
      </c>
      <c r="E415">
        <v>10148.299999999999</v>
      </c>
      <c r="F415">
        <v>10001.35</v>
      </c>
      <c r="G415">
        <v>10120.549999999999</v>
      </c>
      <c r="H415">
        <v>0</v>
      </c>
      <c r="I415" s="8">
        <f t="shared" si="25"/>
        <v>1.1155071985932574E-2</v>
      </c>
      <c r="J415" s="8">
        <f t="shared" si="26"/>
        <v>1.1093313029738296E-2</v>
      </c>
      <c r="K415" s="8">
        <f t="shared" si="23"/>
        <v>0.23334105145141248</v>
      </c>
    </row>
    <row r="416" spans="1:11" x14ac:dyDescent="0.25">
      <c r="A416" t="str">
        <f t="shared" si="24"/>
        <v>82018</v>
      </c>
      <c r="B416" s="1">
        <v>43343</v>
      </c>
      <c r="C416" s="7">
        <f ca="1">IFERROR(__xludf.DUMMYFUNCTION("""COMPUTED_VALUE"""),43343.6458333333)</f>
        <v>43343.645833333299</v>
      </c>
      <c r="D416">
        <v>10157.25</v>
      </c>
      <c r="E416">
        <v>10445.049999999999</v>
      </c>
      <c r="F416">
        <v>10155.15</v>
      </c>
      <c r="G416">
        <v>10390.950000000001</v>
      </c>
      <c r="H416">
        <v>0</v>
      </c>
      <c r="I416" s="8">
        <f t="shared" si="25"/>
        <v>2.671791552830638E-2</v>
      </c>
      <c r="J416" s="8">
        <f t="shared" si="26"/>
        <v>2.636722479390171E-2</v>
      </c>
      <c r="K416" s="8">
        <f t="shared" si="23"/>
        <v>0.28002833297403851</v>
      </c>
    </row>
    <row r="417" spans="1:11" x14ac:dyDescent="0.25">
      <c r="A417" t="str">
        <f t="shared" si="24"/>
        <v>92018</v>
      </c>
      <c r="B417" s="1">
        <v>43346</v>
      </c>
      <c r="C417" s="7">
        <f ca="1">IFERROR(__xludf.DUMMYFUNCTION("""COMPUTED_VALUE"""),43346.6458333333)</f>
        <v>43346.645833333299</v>
      </c>
      <c r="D417">
        <v>10463.4</v>
      </c>
      <c r="E417">
        <v>10577.85</v>
      </c>
      <c r="F417">
        <v>10318.450000000001</v>
      </c>
      <c r="G417">
        <v>10359.9</v>
      </c>
      <c r="H417">
        <v>0</v>
      </c>
      <c r="I417" s="8">
        <f t="shared" si="25"/>
        <v>-2.988177211900811E-3</v>
      </c>
      <c r="J417" s="8">
        <f t="shared" si="26"/>
        <v>-2.9926507274197997E-3</v>
      </c>
      <c r="K417" s="8">
        <f t="shared" si="23"/>
        <v>0.2582390555828824</v>
      </c>
    </row>
    <row r="418" spans="1:11" x14ac:dyDescent="0.25">
      <c r="A418" t="str">
        <f t="shared" si="24"/>
        <v>92018</v>
      </c>
      <c r="B418" s="1">
        <v>43347</v>
      </c>
      <c r="C418" s="7">
        <f ca="1">IFERROR(__xludf.DUMMYFUNCTION("""COMPUTED_VALUE"""),43347.6458333333)</f>
        <v>43347.645833333299</v>
      </c>
      <c r="D418">
        <v>10383.549999999999</v>
      </c>
      <c r="E418">
        <v>10422.450000000001</v>
      </c>
      <c r="F418">
        <v>10119.799999999999</v>
      </c>
      <c r="G418">
        <v>10205.549999999999</v>
      </c>
      <c r="H418">
        <v>0</v>
      </c>
      <c r="I418" s="8">
        <f t="shared" si="25"/>
        <v>-1.4898792459386745E-2</v>
      </c>
      <c r="J418" s="8">
        <f t="shared" si="26"/>
        <v>-1.5010894316145511E-2</v>
      </c>
      <c r="K418" s="8">
        <f t="shared" si="23"/>
        <v>0.23671406845488741</v>
      </c>
    </row>
    <row r="419" spans="1:11" x14ac:dyDescent="0.25">
      <c r="A419" t="str">
        <f t="shared" si="24"/>
        <v>92018</v>
      </c>
      <c r="B419" s="1">
        <v>43348</v>
      </c>
      <c r="C419" s="7">
        <f ca="1">IFERROR(__xludf.DUMMYFUNCTION("""COMPUTED_VALUE"""),43348.6458333333)</f>
        <v>43348.645833333299</v>
      </c>
      <c r="D419">
        <v>10211.4</v>
      </c>
      <c r="E419">
        <v>10378.700000000001</v>
      </c>
      <c r="F419">
        <v>10170.6</v>
      </c>
      <c r="G419">
        <v>10303.4</v>
      </c>
      <c r="H419">
        <v>0</v>
      </c>
      <c r="I419" s="8">
        <f t="shared" si="25"/>
        <v>9.5879202982691591E-3</v>
      </c>
      <c r="J419" s="8">
        <f t="shared" si="26"/>
        <v>9.5422478939585862E-3</v>
      </c>
      <c r="K419" s="8">
        <f t="shared" si="23"/>
        <v>0.19751974383858562</v>
      </c>
    </row>
    <row r="420" spans="1:11" x14ac:dyDescent="0.25">
      <c r="A420" t="str">
        <f t="shared" si="24"/>
        <v>92018</v>
      </c>
      <c r="B420" s="1">
        <v>43349</v>
      </c>
      <c r="C420" s="7">
        <f ca="1">IFERROR(__xludf.DUMMYFUNCTION("""COMPUTED_VALUE"""),43349.6458333333)</f>
        <v>43349.645833333299</v>
      </c>
      <c r="D420">
        <v>10371.5</v>
      </c>
      <c r="E420">
        <v>10595.55</v>
      </c>
      <c r="F420">
        <v>10333.5</v>
      </c>
      <c r="G420">
        <v>10583.15</v>
      </c>
      <c r="H420">
        <v>0</v>
      </c>
      <c r="I420" s="8">
        <f t="shared" si="25"/>
        <v>2.7151231632276618E-2</v>
      </c>
      <c r="J420" s="8">
        <f t="shared" si="26"/>
        <v>2.6789175832991369E-2</v>
      </c>
      <c r="K420" s="8">
        <f t="shared" si="23"/>
        <v>0.22388879573038523</v>
      </c>
    </row>
    <row r="421" spans="1:11" x14ac:dyDescent="0.25">
      <c r="A421" t="str">
        <f t="shared" si="24"/>
        <v>92018</v>
      </c>
      <c r="B421" s="1">
        <v>43350</v>
      </c>
      <c r="C421" s="7">
        <f ca="1">IFERROR(__xludf.DUMMYFUNCTION("""COMPUTED_VALUE"""),43350.6458333333)</f>
        <v>43350.645833333299</v>
      </c>
      <c r="D421">
        <v>10475.75</v>
      </c>
      <c r="E421">
        <v>10704.6</v>
      </c>
      <c r="F421">
        <v>10361.799999999999</v>
      </c>
      <c r="G421">
        <v>10661.25</v>
      </c>
      <c r="H421">
        <v>0</v>
      </c>
      <c r="I421" s="8">
        <f t="shared" si="25"/>
        <v>7.3796553956053668E-3</v>
      </c>
      <c r="J421" s="8">
        <f t="shared" si="26"/>
        <v>7.3525589652790055E-3</v>
      </c>
      <c r="K421" s="8">
        <f t="shared" si="23"/>
        <v>0.2018837826716795</v>
      </c>
    </row>
    <row r="422" spans="1:11" x14ac:dyDescent="0.25">
      <c r="A422" t="str">
        <f t="shared" si="24"/>
        <v>92018</v>
      </c>
      <c r="B422" s="1">
        <v>43353</v>
      </c>
      <c r="C422" s="7">
        <f ca="1">IFERROR(__xludf.DUMMYFUNCTION("""COMPUTED_VALUE"""),43353.6458333333)</f>
        <v>43353.645833333299</v>
      </c>
      <c r="D422">
        <v>10624.5</v>
      </c>
      <c r="E422">
        <v>10786.35</v>
      </c>
      <c r="F422">
        <v>10414.549999999999</v>
      </c>
      <c r="G422">
        <v>10446.5</v>
      </c>
      <c r="H422">
        <v>0</v>
      </c>
      <c r="I422" s="8">
        <f t="shared" si="25"/>
        <v>-2.0143041388204996E-2</v>
      </c>
      <c r="J422" s="8">
        <f t="shared" si="26"/>
        <v>-2.0348678571013686E-2</v>
      </c>
      <c r="K422" s="8">
        <f t="shared" si="23"/>
        <v>0.16734365484218805</v>
      </c>
    </row>
    <row r="423" spans="1:11" x14ac:dyDescent="0.25">
      <c r="A423" t="str">
        <f t="shared" si="24"/>
        <v>92018</v>
      </c>
      <c r="B423" s="1">
        <v>43354</v>
      </c>
      <c r="C423" s="7">
        <f ca="1">IFERROR(__xludf.DUMMYFUNCTION("""COMPUTED_VALUE"""),43354.6458333333)</f>
        <v>43354.645833333299</v>
      </c>
      <c r="D423">
        <v>10502.8</v>
      </c>
      <c r="E423">
        <v>10577.85</v>
      </c>
      <c r="F423">
        <v>10244.35</v>
      </c>
      <c r="G423">
        <v>10279.049999999999</v>
      </c>
      <c r="H423">
        <v>0</v>
      </c>
      <c r="I423" s="8">
        <f t="shared" si="25"/>
        <v>-1.6029292107404447E-2</v>
      </c>
      <c r="J423" s="8">
        <f t="shared" si="26"/>
        <v>-1.6159150774805082E-2</v>
      </c>
      <c r="K423" s="8">
        <f t="shared" si="23"/>
        <v>0.12802265033004279</v>
      </c>
    </row>
    <row r="424" spans="1:11" x14ac:dyDescent="0.25">
      <c r="A424" t="str">
        <f t="shared" si="24"/>
        <v>92018</v>
      </c>
      <c r="B424" s="1">
        <v>43355</v>
      </c>
      <c r="C424" s="7">
        <f ca="1">IFERROR(__xludf.DUMMYFUNCTION("""COMPUTED_VALUE"""),43355.6458333333)</f>
        <v>43355.645833333299</v>
      </c>
      <c r="D424">
        <v>10266.299999999999</v>
      </c>
      <c r="E424">
        <v>10417.4</v>
      </c>
      <c r="F424">
        <v>10152.450000000001</v>
      </c>
      <c r="G424">
        <v>10391.6</v>
      </c>
      <c r="H424">
        <v>0</v>
      </c>
      <c r="I424" s="8">
        <f t="shared" si="25"/>
        <v>1.0949455445785405E-2</v>
      </c>
      <c r="J424" s="8">
        <f t="shared" si="26"/>
        <v>1.0889944175095558E-2</v>
      </c>
      <c r="K424" s="8">
        <f t="shared" si="23"/>
        <v>0.11542734469341198</v>
      </c>
    </row>
    <row r="425" spans="1:11" x14ac:dyDescent="0.25">
      <c r="A425" t="str">
        <f t="shared" si="24"/>
        <v>92018</v>
      </c>
      <c r="B425" s="1">
        <v>43357</v>
      </c>
      <c r="C425" s="7">
        <f ca="1">IFERROR(__xludf.DUMMYFUNCTION("""COMPUTED_VALUE"""),43357.6458333333)</f>
        <v>43357.645833333299</v>
      </c>
      <c r="D425">
        <v>10534.95</v>
      </c>
      <c r="E425">
        <v>10673.1</v>
      </c>
      <c r="F425">
        <v>10499.4</v>
      </c>
      <c r="G425">
        <v>10652.85</v>
      </c>
      <c r="H425">
        <v>0</v>
      </c>
      <c r="I425" s="8">
        <f t="shared" si="25"/>
        <v>2.5140498094614827E-2</v>
      </c>
      <c r="J425" s="8">
        <f t="shared" si="26"/>
        <v>2.4829674508776951E-2</v>
      </c>
      <c r="K425" s="8">
        <f t="shared" si="23"/>
        <v>0.14309551146545352</v>
      </c>
    </row>
    <row r="426" spans="1:11" x14ac:dyDescent="0.25">
      <c r="A426" t="str">
        <f t="shared" si="24"/>
        <v>92018</v>
      </c>
      <c r="B426" s="1">
        <v>43360</v>
      </c>
      <c r="C426" s="7">
        <f ca="1">IFERROR(__xludf.DUMMYFUNCTION("""COMPUTED_VALUE"""),43360.6458333333)</f>
        <v>43360.645833333299</v>
      </c>
      <c r="D426">
        <v>10634</v>
      </c>
      <c r="E426">
        <v>10739.7</v>
      </c>
      <c r="F426">
        <v>10474.4</v>
      </c>
      <c r="G426">
        <v>10504.15</v>
      </c>
      <c r="H426">
        <v>0</v>
      </c>
      <c r="I426" s="8">
        <f t="shared" si="25"/>
        <v>-1.3958705886218281E-2</v>
      </c>
      <c r="J426" s="8">
        <f t="shared" si="26"/>
        <v>-1.4057044816521884E-2</v>
      </c>
      <c r="K426" s="8">
        <f t="shared" si="23"/>
        <v>0.13509906580433206</v>
      </c>
    </row>
    <row r="427" spans="1:11" x14ac:dyDescent="0.25">
      <c r="A427" t="str">
        <f t="shared" si="24"/>
        <v>92018</v>
      </c>
      <c r="B427" s="1">
        <v>43361</v>
      </c>
      <c r="C427" s="7">
        <f ca="1">IFERROR(__xludf.DUMMYFUNCTION("""COMPUTED_VALUE"""),43361.6458333333)</f>
        <v>43361.645833333299</v>
      </c>
      <c r="D427">
        <v>10524.85</v>
      </c>
      <c r="E427">
        <v>10652.85</v>
      </c>
      <c r="F427">
        <v>10433.700000000001</v>
      </c>
      <c r="G427">
        <v>10465.4</v>
      </c>
      <c r="H427">
        <v>0</v>
      </c>
      <c r="I427" s="8">
        <f t="shared" si="25"/>
        <v>-3.6890181499692476E-3</v>
      </c>
      <c r="J427" s="8">
        <f t="shared" si="26"/>
        <v>-3.6958393582995339E-3</v>
      </c>
      <c r="K427" s="8">
        <f t="shared" si="23"/>
        <v>0.12635946337184567</v>
      </c>
    </row>
    <row r="428" spans="1:11" x14ac:dyDescent="0.25">
      <c r="A428" t="str">
        <f t="shared" si="24"/>
        <v>92018</v>
      </c>
      <c r="B428" s="1">
        <v>43362</v>
      </c>
      <c r="C428" s="7">
        <f ca="1">IFERROR(__xludf.DUMMYFUNCTION("""COMPUTED_VALUE"""),43362.6458333333)</f>
        <v>43362.645833333299</v>
      </c>
      <c r="D428">
        <v>10559.55</v>
      </c>
      <c r="E428">
        <v>10636.85</v>
      </c>
      <c r="F428">
        <v>10341.700000000001</v>
      </c>
      <c r="G428">
        <v>10456.950000000001</v>
      </c>
      <c r="H428">
        <v>0</v>
      </c>
      <c r="I428" s="8">
        <f t="shared" si="25"/>
        <v>-8.0742255432175725E-4</v>
      </c>
      <c r="J428" s="8">
        <f t="shared" si="26"/>
        <v>-8.0774869548000644E-4</v>
      </c>
      <c r="K428" s="8">
        <f t="shared" si="23"/>
        <v>0.13677327477497081</v>
      </c>
    </row>
    <row r="429" spans="1:11" x14ac:dyDescent="0.25">
      <c r="A429" t="str">
        <f t="shared" si="24"/>
        <v>92018</v>
      </c>
      <c r="B429" s="1">
        <v>43364</v>
      </c>
      <c r="C429" s="7">
        <f ca="1">IFERROR(__xludf.DUMMYFUNCTION("""COMPUTED_VALUE"""),43364.6458333333)</f>
        <v>43364.645833333299</v>
      </c>
      <c r="D429">
        <v>10542.95</v>
      </c>
      <c r="E429">
        <v>10605.35</v>
      </c>
      <c r="F429">
        <v>9861.35</v>
      </c>
      <c r="G429">
        <v>10252.35</v>
      </c>
      <c r="H429">
        <v>0</v>
      </c>
      <c r="I429" s="8">
        <f t="shared" si="25"/>
        <v>-1.9565934617646663E-2</v>
      </c>
      <c r="J429" s="8">
        <f t="shared" si="26"/>
        <v>-1.9759881519793028E-2</v>
      </c>
      <c r="K429" s="8">
        <f t="shared" si="23"/>
        <v>9.5231227766561011E-2</v>
      </c>
    </row>
    <row r="430" spans="1:11" x14ac:dyDescent="0.25">
      <c r="A430" t="str">
        <f t="shared" si="24"/>
        <v>92018</v>
      </c>
      <c r="B430" s="1">
        <v>43367</v>
      </c>
      <c r="C430" s="7">
        <f ca="1">IFERROR(__xludf.DUMMYFUNCTION("""COMPUTED_VALUE"""),43367.6458333333)</f>
        <v>43367.645833333299</v>
      </c>
      <c r="D430">
        <v>10328.950000000001</v>
      </c>
      <c r="E430">
        <v>10375.200000000001</v>
      </c>
      <c r="F430">
        <v>9952.2000000000007</v>
      </c>
      <c r="G430">
        <v>9994.75</v>
      </c>
      <c r="H430">
        <v>0</v>
      </c>
      <c r="I430" s="8">
        <f t="shared" si="25"/>
        <v>-2.5125946734163462E-2</v>
      </c>
      <c r="J430" s="8">
        <f t="shared" si="26"/>
        <v>-2.5446992465849257E-2</v>
      </c>
      <c r="K430" s="8">
        <f t="shared" si="23"/>
        <v>7.6231855967610063E-2</v>
      </c>
    </row>
    <row r="431" spans="1:11" x14ac:dyDescent="0.25">
      <c r="A431" t="str">
        <f t="shared" si="24"/>
        <v>92018</v>
      </c>
      <c r="B431" s="1">
        <v>43368</v>
      </c>
      <c r="C431" s="7">
        <f ca="1">IFERROR(__xludf.DUMMYFUNCTION("""COMPUTED_VALUE"""),43368.6458333333)</f>
        <v>43368.645833333299</v>
      </c>
      <c r="D431">
        <v>10007.700000000001</v>
      </c>
      <c r="E431">
        <v>10269.35</v>
      </c>
      <c r="F431">
        <v>9992.85</v>
      </c>
      <c r="G431">
        <v>10245.15</v>
      </c>
      <c r="H431">
        <v>0</v>
      </c>
      <c r="I431" s="8">
        <f t="shared" si="25"/>
        <v>2.5053152905275322E-2</v>
      </c>
      <c r="J431" s="8">
        <f t="shared" si="26"/>
        <v>2.4744467738821586E-2</v>
      </c>
      <c r="K431" s="8">
        <f t="shared" si="23"/>
        <v>0.10785326160417386</v>
      </c>
    </row>
    <row r="432" spans="1:11" x14ac:dyDescent="0.25">
      <c r="A432" t="str">
        <f t="shared" si="24"/>
        <v>92018</v>
      </c>
      <c r="B432" s="1">
        <v>43369</v>
      </c>
      <c r="C432" s="7">
        <f ca="1">IFERROR(__xludf.DUMMYFUNCTION("""COMPUTED_VALUE"""),43369.6458333333)</f>
        <v>43369.645833333299</v>
      </c>
      <c r="D432">
        <v>10335.200000000001</v>
      </c>
      <c r="E432">
        <v>10440.4</v>
      </c>
      <c r="F432">
        <v>10213.35</v>
      </c>
      <c r="G432">
        <v>10289.299999999999</v>
      </c>
      <c r="H432">
        <v>0</v>
      </c>
      <c r="I432" s="8">
        <f t="shared" si="25"/>
        <v>4.3093561343658937E-3</v>
      </c>
      <c r="J432" s="8">
        <f t="shared" si="26"/>
        <v>4.3000974490042679E-3</v>
      </c>
      <c r="K432" s="8">
        <f t="shared" si="23"/>
        <v>0.11074167831639392</v>
      </c>
    </row>
    <row r="433" spans="1:11" x14ac:dyDescent="0.25">
      <c r="A433" t="str">
        <f t="shared" si="24"/>
        <v>92018</v>
      </c>
      <c r="B433" s="1">
        <v>43370</v>
      </c>
      <c r="C433" s="7">
        <f ca="1">IFERROR(__xludf.DUMMYFUNCTION("""COMPUTED_VALUE"""),43370.6458333333)</f>
        <v>43370.645833333299</v>
      </c>
      <c r="D433">
        <v>10314.6</v>
      </c>
      <c r="E433">
        <v>10336.049999999999</v>
      </c>
      <c r="F433">
        <v>10077.15</v>
      </c>
      <c r="G433">
        <v>10092.450000000001</v>
      </c>
      <c r="H433">
        <v>0</v>
      </c>
      <c r="I433" s="8">
        <f t="shared" si="25"/>
        <v>-1.9131524982263004E-2</v>
      </c>
      <c r="J433" s="8">
        <f t="shared" si="26"/>
        <v>-1.9316900762322741E-2</v>
      </c>
      <c r="K433" s="8">
        <f t="shared" si="23"/>
        <v>0.10307233261197468</v>
      </c>
    </row>
    <row r="434" spans="1:11" x14ac:dyDescent="0.25">
      <c r="A434" t="str">
        <f t="shared" si="24"/>
        <v>92018</v>
      </c>
      <c r="B434" s="1">
        <v>43371</v>
      </c>
      <c r="C434" s="7">
        <f ca="1">IFERROR(__xludf.DUMMYFUNCTION("""COMPUTED_VALUE"""),43371.6458333333)</f>
        <v>43371.645833333299</v>
      </c>
      <c r="D434">
        <v>10111.700000000001</v>
      </c>
      <c r="E434">
        <v>10149.450000000001</v>
      </c>
      <c r="F434">
        <v>9881.5499999999993</v>
      </c>
      <c r="G434">
        <v>9972.4500000000007</v>
      </c>
      <c r="H434">
        <v>0</v>
      </c>
      <c r="I434" s="8">
        <f t="shared" si="25"/>
        <v>-1.1890076245113956E-2</v>
      </c>
      <c r="J434" s="8">
        <f t="shared" si="26"/>
        <v>-1.196132856185661E-2</v>
      </c>
      <c r="K434" s="8">
        <f t="shared" si="23"/>
        <v>8.7134735614265768E-2</v>
      </c>
    </row>
    <row r="435" spans="1:11" x14ac:dyDescent="0.25">
      <c r="A435" t="str">
        <f t="shared" si="24"/>
        <v>102018</v>
      </c>
      <c r="B435" s="1">
        <v>43374</v>
      </c>
      <c r="C435" s="7">
        <f ca="1">IFERROR(__xludf.DUMMYFUNCTION("""COMPUTED_VALUE"""),43374.6458333333)</f>
        <v>43374.645833333299</v>
      </c>
      <c r="D435">
        <v>9987.4</v>
      </c>
      <c r="E435">
        <v>10067.549999999999</v>
      </c>
      <c r="F435">
        <v>9775.7000000000007</v>
      </c>
      <c r="G435">
        <v>10034.4</v>
      </c>
      <c r="H435">
        <v>0</v>
      </c>
      <c r="I435" s="8">
        <f t="shared" si="25"/>
        <v>6.2121143751032726E-3</v>
      </c>
      <c r="J435" s="8">
        <f t="shared" si="26"/>
        <v>6.1928987313889699E-3</v>
      </c>
      <c r="K435" s="8">
        <f t="shared" si="23"/>
        <v>9.8588773689223697E-2</v>
      </c>
    </row>
    <row r="436" spans="1:11" x14ac:dyDescent="0.25">
      <c r="A436" t="str">
        <f t="shared" si="24"/>
        <v>102018</v>
      </c>
      <c r="B436" s="1">
        <v>43376</v>
      </c>
      <c r="C436" s="7">
        <f ca="1">IFERROR(__xludf.DUMMYFUNCTION("""COMPUTED_VALUE"""),43376.6458333333)</f>
        <v>43376.645833333299</v>
      </c>
      <c r="D436">
        <v>10039.450000000001</v>
      </c>
      <c r="E436">
        <v>10142.549999999999</v>
      </c>
      <c r="F436">
        <v>9924.85</v>
      </c>
      <c r="G436">
        <v>9950.9</v>
      </c>
      <c r="H436">
        <v>0</v>
      </c>
      <c r="I436" s="8">
        <f t="shared" si="25"/>
        <v>-8.3213744718169114E-3</v>
      </c>
      <c r="J436" s="8">
        <f t="shared" si="26"/>
        <v>-8.3561903870790454E-3</v>
      </c>
      <c r="K436" s="8">
        <f t="shared" si="23"/>
        <v>6.70863135770432E-2</v>
      </c>
    </row>
    <row r="437" spans="1:11" x14ac:dyDescent="0.25">
      <c r="A437" t="str">
        <f t="shared" si="24"/>
        <v>102018</v>
      </c>
      <c r="B437" s="1">
        <v>43377</v>
      </c>
      <c r="C437" s="7">
        <f ca="1">IFERROR(__xludf.DUMMYFUNCTION("""COMPUTED_VALUE"""),43377.6458333333)</f>
        <v>43377.645833333299</v>
      </c>
      <c r="D437">
        <v>9869.35</v>
      </c>
      <c r="E437">
        <v>9918.35</v>
      </c>
      <c r="F437">
        <v>9496</v>
      </c>
      <c r="G437">
        <v>9630.75</v>
      </c>
      <c r="H437">
        <v>0</v>
      </c>
      <c r="I437" s="8">
        <f t="shared" si="25"/>
        <v>-3.217296927916069E-2</v>
      </c>
      <c r="J437" s="8">
        <f t="shared" si="26"/>
        <v>-3.2701894943892848E-2</v>
      </c>
      <c r="K437" s="8">
        <f t="shared" si="23"/>
        <v>2.4591471977530865E-2</v>
      </c>
    </row>
    <row r="438" spans="1:11" x14ac:dyDescent="0.25">
      <c r="A438" t="str">
        <f t="shared" si="24"/>
        <v>102018</v>
      </c>
      <c r="B438" s="1">
        <v>43378</v>
      </c>
      <c r="C438" s="7">
        <f ca="1">IFERROR(__xludf.DUMMYFUNCTION("""COMPUTED_VALUE"""),43378.6458333333)</f>
        <v>43378.645833333299</v>
      </c>
      <c r="D438">
        <v>9578.1</v>
      </c>
      <c r="E438">
        <v>9776.4500000000007</v>
      </c>
      <c r="F438">
        <v>9498.2000000000007</v>
      </c>
      <c r="G438">
        <v>9547.35</v>
      </c>
      <c r="H438">
        <v>0</v>
      </c>
      <c r="I438" s="8">
        <f t="shared" si="25"/>
        <v>-8.6597617008020711E-3</v>
      </c>
      <c r="J438" s="8">
        <f t="shared" si="26"/>
        <v>-8.697475322328254E-3</v>
      </c>
      <c r="K438" s="8">
        <f t="shared" si="23"/>
        <v>2.9447125104455907E-2</v>
      </c>
    </row>
    <row r="439" spans="1:11" x14ac:dyDescent="0.25">
      <c r="A439" t="str">
        <f t="shared" si="24"/>
        <v>102018</v>
      </c>
      <c r="B439" s="1">
        <v>43381</v>
      </c>
      <c r="C439" s="7">
        <f ca="1">IFERROR(__xludf.DUMMYFUNCTION("""COMPUTED_VALUE"""),43381.6458333333)</f>
        <v>43381.645833333299</v>
      </c>
      <c r="D439">
        <v>9503.0499999999993</v>
      </c>
      <c r="E439">
        <v>9644.35</v>
      </c>
      <c r="F439">
        <v>9384.2000000000007</v>
      </c>
      <c r="G439">
        <v>9505.7999999999993</v>
      </c>
      <c r="H439">
        <v>0</v>
      </c>
      <c r="I439" s="8">
        <f t="shared" si="25"/>
        <v>-4.3519929613977659E-3</v>
      </c>
      <c r="J439" s="8">
        <f t="shared" si="26"/>
        <v>-4.3614904481126607E-3</v>
      </c>
      <c r="K439" s="8">
        <f t="shared" si="23"/>
        <v>3.4374693957496705E-2</v>
      </c>
    </row>
    <row r="440" spans="1:11" x14ac:dyDescent="0.25">
      <c r="A440" t="str">
        <f t="shared" si="24"/>
        <v>102018</v>
      </c>
      <c r="B440" s="1">
        <v>43382</v>
      </c>
      <c r="C440" s="7">
        <f ca="1">IFERROR(__xludf.DUMMYFUNCTION("""COMPUTED_VALUE"""),43382.6458333333)</f>
        <v>43382.645833333299</v>
      </c>
      <c r="D440">
        <v>9543.9500000000007</v>
      </c>
      <c r="E440">
        <v>9724.4</v>
      </c>
      <c r="F440">
        <v>9414.85</v>
      </c>
      <c r="G440">
        <v>9638.75</v>
      </c>
      <c r="H440">
        <v>0</v>
      </c>
      <c r="I440" s="8">
        <f t="shared" si="25"/>
        <v>1.3986197900229369E-2</v>
      </c>
      <c r="J440" s="8">
        <f t="shared" si="26"/>
        <v>1.3889293538118257E-2</v>
      </c>
      <c r="K440" s="8">
        <f t="shared" si="23"/>
        <v>3.5578452017705819E-2</v>
      </c>
    </row>
    <row r="441" spans="1:11" x14ac:dyDescent="0.25">
      <c r="A441" t="str">
        <f t="shared" si="24"/>
        <v>102018</v>
      </c>
      <c r="B441" s="1">
        <v>43383</v>
      </c>
      <c r="C441" s="7">
        <f ca="1">IFERROR(__xludf.DUMMYFUNCTION("""COMPUTED_VALUE"""),43383.6458333333)</f>
        <v>43383.645833333299</v>
      </c>
      <c r="D441">
        <v>9672.2999999999993</v>
      </c>
      <c r="E441">
        <v>9828.2999999999993</v>
      </c>
      <c r="F441">
        <v>9647.5</v>
      </c>
      <c r="G441">
        <v>9771.35</v>
      </c>
      <c r="H441">
        <v>0</v>
      </c>
      <c r="I441" s="8">
        <f t="shared" si="25"/>
        <v>1.3756970561535464E-2</v>
      </c>
      <c r="J441" s="8">
        <f t="shared" si="26"/>
        <v>1.3663202440157118E-2</v>
      </c>
      <c r="K441" s="8">
        <f t="shared" si="23"/>
        <v>5.3389894459956233E-2</v>
      </c>
    </row>
    <row r="442" spans="1:11" x14ac:dyDescent="0.25">
      <c r="A442" t="str">
        <f t="shared" si="24"/>
        <v>102018</v>
      </c>
      <c r="B442" s="1">
        <v>43384</v>
      </c>
      <c r="C442" s="7">
        <f ca="1">IFERROR(__xludf.DUMMYFUNCTION("""COMPUTED_VALUE"""),43384.6458333333)</f>
        <v>43384.645833333299</v>
      </c>
      <c r="D442">
        <v>9531.65</v>
      </c>
      <c r="E442">
        <v>9725.7000000000007</v>
      </c>
      <c r="F442">
        <v>9452.1</v>
      </c>
      <c r="G442">
        <v>9488.65</v>
      </c>
      <c r="H442">
        <v>0</v>
      </c>
      <c r="I442" s="8">
        <f t="shared" si="25"/>
        <v>-2.8931519186192411E-2</v>
      </c>
      <c r="J442" s="8">
        <f t="shared" si="26"/>
        <v>-2.9358287107825742E-2</v>
      </c>
      <c r="K442" s="8">
        <f t="shared" si="23"/>
        <v>2.8167564228981146E-2</v>
      </c>
    </row>
    <row r="443" spans="1:11" x14ac:dyDescent="0.25">
      <c r="A443" t="str">
        <f t="shared" si="24"/>
        <v>102018</v>
      </c>
      <c r="B443" s="1">
        <v>43385</v>
      </c>
      <c r="C443" s="7">
        <f ca="1">IFERROR(__xludf.DUMMYFUNCTION("""COMPUTED_VALUE"""),43385.6458333333)</f>
        <v>43385.645833333299</v>
      </c>
      <c r="D443">
        <v>9545.6</v>
      </c>
      <c r="E443">
        <v>9676.9500000000007</v>
      </c>
      <c r="F443">
        <v>9449.5</v>
      </c>
      <c r="G443">
        <v>9525.6</v>
      </c>
      <c r="H443">
        <v>0</v>
      </c>
      <c r="I443" s="8">
        <f t="shared" si="25"/>
        <v>3.8941261401781446E-3</v>
      </c>
      <c r="J443" s="8">
        <f t="shared" si="26"/>
        <v>3.8865636574635528E-3</v>
      </c>
      <c r="K443" s="8">
        <f t="shared" si="23"/>
        <v>3.0451855778280246E-2</v>
      </c>
    </row>
    <row r="444" spans="1:11" x14ac:dyDescent="0.25">
      <c r="A444" t="str">
        <f t="shared" si="24"/>
        <v>102018</v>
      </c>
      <c r="B444" s="1">
        <v>43388</v>
      </c>
      <c r="C444" s="7">
        <f ca="1">IFERROR(__xludf.DUMMYFUNCTION("""COMPUTED_VALUE"""),43388.6458333333)</f>
        <v>43388.645833333299</v>
      </c>
      <c r="D444">
        <v>9559.2000000000007</v>
      </c>
      <c r="E444">
        <v>9793.2000000000007</v>
      </c>
      <c r="F444">
        <v>9519</v>
      </c>
      <c r="G444">
        <v>9774.1</v>
      </c>
      <c r="H444">
        <v>0</v>
      </c>
      <c r="I444" s="8">
        <f t="shared" si="25"/>
        <v>2.6087595532039876E-2</v>
      </c>
      <c r="J444" s="8">
        <f t="shared" si="26"/>
        <v>2.5753118866496928E-2</v>
      </c>
      <c r="K444" s="8">
        <f t="shared" si="23"/>
        <v>6.6575731121780946E-2</v>
      </c>
    </row>
    <row r="445" spans="1:11" x14ac:dyDescent="0.25">
      <c r="A445" t="str">
        <f t="shared" si="24"/>
        <v>102018</v>
      </c>
      <c r="B445" s="1">
        <v>43389</v>
      </c>
      <c r="C445" s="7">
        <f ca="1">IFERROR(__xludf.DUMMYFUNCTION("""COMPUTED_VALUE"""),43389.6458333333)</f>
        <v>43389.645833333299</v>
      </c>
      <c r="D445">
        <v>9805.1</v>
      </c>
      <c r="E445">
        <v>9881.1</v>
      </c>
      <c r="F445">
        <v>9727.2999999999993</v>
      </c>
      <c r="G445">
        <v>9836.75</v>
      </c>
      <c r="H445">
        <v>0</v>
      </c>
      <c r="I445" s="8">
        <f t="shared" si="25"/>
        <v>6.4097973214924941E-3</v>
      </c>
      <c r="J445" s="8">
        <f t="shared" si="26"/>
        <v>6.3893419340353063E-3</v>
      </c>
      <c r="K445" s="8">
        <f t="shared" si="23"/>
        <v>0.11954270235818987</v>
      </c>
    </row>
    <row r="446" spans="1:11" x14ac:dyDescent="0.25">
      <c r="A446" t="str">
        <f t="shared" si="24"/>
        <v>102018</v>
      </c>
      <c r="B446" s="1">
        <v>43390</v>
      </c>
      <c r="C446" s="7">
        <f ca="1">IFERROR(__xludf.DUMMYFUNCTION("""COMPUTED_VALUE"""),43390.6458333333)</f>
        <v>43390.645833333299</v>
      </c>
      <c r="D446">
        <v>9911.25</v>
      </c>
      <c r="E446">
        <v>9925.0499999999993</v>
      </c>
      <c r="F446">
        <v>9652.9500000000007</v>
      </c>
      <c r="G446">
        <v>9686.4</v>
      </c>
      <c r="H446">
        <v>0</v>
      </c>
      <c r="I446" s="8">
        <f t="shared" si="25"/>
        <v>-1.5284519785498274E-2</v>
      </c>
      <c r="J446" s="8">
        <f t="shared" si="26"/>
        <v>-1.5402532110098168E-2</v>
      </c>
      <c r="K446" s="8">
        <f t="shared" si="23"/>
        <v>8.5177177042605301E-2</v>
      </c>
    </row>
    <row r="447" spans="1:11" x14ac:dyDescent="0.25">
      <c r="A447" t="str">
        <f t="shared" si="24"/>
        <v>102018</v>
      </c>
      <c r="B447" s="1">
        <v>43392</v>
      </c>
      <c r="C447" s="7">
        <f ca="1">IFERROR(__xludf.DUMMYFUNCTION("""COMPUTED_VALUE"""),43392.6458333333)</f>
        <v>43392.645833333299</v>
      </c>
      <c r="D447">
        <v>9657.75</v>
      </c>
      <c r="E447">
        <v>9805.2999999999993</v>
      </c>
      <c r="F447">
        <v>9549.9</v>
      </c>
      <c r="G447">
        <v>9650.2999999999993</v>
      </c>
      <c r="H447">
        <v>0</v>
      </c>
      <c r="I447" s="8">
        <f t="shared" si="25"/>
        <v>-3.7268747935249591E-3</v>
      </c>
      <c r="J447" s="8">
        <f t="shared" si="26"/>
        <v>-3.7338368946907975E-3</v>
      </c>
      <c r="K447" s="8">
        <f t="shared" si="23"/>
        <v>8.6054481101551339E-2</v>
      </c>
    </row>
    <row r="448" spans="1:11" x14ac:dyDescent="0.25">
      <c r="A448" t="str">
        <f t="shared" si="24"/>
        <v>102018</v>
      </c>
      <c r="B448" s="1">
        <v>43395</v>
      </c>
      <c r="C448" s="7">
        <f ca="1">IFERROR(__xludf.DUMMYFUNCTION("""COMPUTED_VALUE"""),43395.6458333333)</f>
        <v>43395.645833333299</v>
      </c>
      <c r="D448">
        <v>9704.85</v>
      </c>
      <c r="E448">
        <v>9751.7999999999993</v>
      </c>
      <c r="F448">
        <v>9631.65</v>
      </c>
      <c r="G448">
        <v>9646.65</v>
      </c>
      <c r="H448">
        <v>0</v>
      </c>
      <c r="I448" s="8">
        <f t="shared" si="25"/>
        <v>-3.7822658362951511E-4</v>
      </c>
      <c r="J448" s="8">
        <f t="shared" si="26"/>
        <v>-3.7829812934469349E-4</v>
      </c>
      <c r="K448" s="8">
        <f t="shared" ref="K448:K511" si="27">+G448/G387-1</f>
        <v>0.10248688556440655</v>
      </c>
    </row>
    <row r="449" spans="1:11" x14ac:dyDescent="0.25">
      <c r="A449" t="str">
        <f t="shared" si="24"/>
        <v>102018</v>
      </c>
      <c r="B449" s="1">
        <v>43396</v>
      </c>
      <c r="C449" s="7">
        <f ca="1">IFERROR(__xludf.DUMMYFUNCTION("""COMPUTED_VALUE"""),43396.6458333333)</f>
        <v>43396.645833333299</v>
      </c>
      <c r="D449">
        <v>9612.65</v>
      </c>
      <c r="E449">
        <v>9633.9500000000007</v>
      </c>
      <c r="F449">
        <v>9335.25</v>
      </c>
      <c r="G449">
        <v>9368.25</v>
      </c>
      <c r="H449">
        <v>0</v>
      </c>
      <c r="I449" s="8">
        <f t="shared" si="25"/>
        <v>-2.8859759605666224E-2</v>
      </c>
      <c r="J449" s="8">
        <f t="shared" si="26"/>
        <v>-2.9284392289235694E-2</v>
      </c>
      <c r="K449" s="8">
        <f t="shared" si="27"/>
        <v>5.3174447036339556E-2</v>
      </c>
    </row>
    <row r="450" spans="1:11" x14ac:dyDescent="0.25">
      <c r="A450" t="str">
        <f t="shared" si="24"/>
        <v>102018</v>
      </c>
      <c r="B450" s="1">
        <v>43397</v>
      </c>
      <c r="C450" s="7">
        <f ca="1">IFERROR(__xludf.DUMMYFUNCTION("""COMPUTED_VALUE"""),43397.6458333333)</f>
        <v>43397.645833333299</v>
      </c>
      <c r="D450">
        <v>9441.65</v>
      </c>
      <c r="E450">
        <v>9494.0499999999993</v>
      </c>
      <c r="F450">
        <v>9232.9</v>
      </c>
      <c r="G450">
        <v>9334.4</v>
      </c>
      <c r="H450">
        <v>0</v>
      </c>
      <c r="I450" s="8">
        <f t="shared" si="25"/>
        <v>-3.6132682197849153E-3</v>
      </c>
      <c r="J450" s="8">
        <f t="shared" si="26"/>
        <v>-3.6198118407260627E-3</v>
      </c>
      <c r="K450" s="8">
        <f t="shared" si="27"/>
        <v>4.4420077427439697E-2</v>
      </c>
    </row>
    <row r="451" spans="1:11" x14ac:dyDescent="0.25">
      <c r="A451" t="str">
        <f t="shared" ref="A451:A514" si="28">+MONTH(B451)&amp;YEAR(B451)</f>
        <v>102018</v>
      </c>
      <c r="B451" s="1">
        <v>43398</v>
      </c>
      <c r="C451" s="7">
        <f ca="1">IFERROR(__xludf.DUMMYFUNCTION("""COMPUTED_VALUE"""),43398.6458333333)</f>
        <v>43398.645833333299</v>
      </c>
      <c r="D451">
        <v>9246.7000000000007</v>
      </c>
      <c r="E451">
        <v>9345.35</v>
      </c>
      <c r="F451">
        <v>9118.25</v>
      </c>
      <c r="G451">
        <v>9142.7000000000007</v>
      </c>
      <c r="H451">
        <v>0</v>
      </c>
      <c r="I451" s="8">
        <f t="shared" si="25"/>
        <v>-2.0536938635584367E-2</v>
      </c>
      <c r="J451" s="8">
        <f t="shared" si="26"/>
        <v>-2.0750754034613308E-2</v>
      </c>
      <c r="K451" s="8">
        <f t="shared" si="27"/>
        <v>1.0349152673485129E-2</v>
      </c>
    </row>
    <row r="452" spans="1:11" x14ac:dyDescent="0.25">
      <c r="A452" t="str">
        <f t="shared" si="28"/>
        <v>102018</v>
      </c>
      <c r="B452" s="1">
        <v>43399</v>
      </c>
      <c r="C452" s="7">
        <f ca="1">IFERROR(__xludf.DUMMYFUNCTION("""COMPUTED_VALUE"""),43399.6458333333)</f>
        <v>43399.645833333299</v>
      </c>
      <c r="D452">
        <v>9182.2999999999993</v>
      </c>
      <c r="E452">
        <v>9191</v>
      </c>
      <c r="F452">
        <v>9021.2000000000007</v>
      </c>
      <c r="G452">
        <v>9115.1</v>
      </c>
      <c r="H452">
        <v>0</v>
      </c>
      <c r="I452" s="8">
        <f t="shared" ref="I452:I515" si="29">+G452/G451-1</f>
        <v>-3.0188018856573962E-3</v>
      </c>
      <c r="J452" s="8">
        <f t="shared" ref="J452:J515" si="30">+LN(1+I452)</f>
        <v>-3.0233676591622516E-3</v>
      </c>
      <c r="K452" s="8">
        <f t="shared" si="27"/>
        <v>1.6261114362962292E-2</v>
      </c>
    </row>
    <row r="453" spans="1:11" x14ac:dyDescent="0.25">
      <c r="A453" t="str">
        <f t="shared" si="28"/>
        <v>102018</v>
      </c>
      <c r="B453" s="1">
        <v>43402</v>
      </c>
      <c r="C453" s="7">
        <f ca="1">IFERROR(__xludf.DUMMYFUNCTION("""COMPUTED_VALUE"""),43402.6458333333)</f>
        <v>43402.645833333299</v>
      </c>
      <c r="D453">
        <v>9172.15</v>
      </c>
      <c r="E453">
        <v>9612.9500000000007</v>
      </c>
      <c r="F453">
        <v>9168.85</v>
      </c>
      <c r="G453">
        <v>9590.4</v>
      </c>
      <c r="H453">
        <v>0</v>
      </c>
      <c r="I453" s="8">
        <f t="shared" si="29"/>
        <v>5.214424416627339E-2</v>
      </c>
      <c r="J453" s="8">
        <f t="shared" si="30"/>
        <v>5.0830219142717355E-2</v>
      </c>
      <c r="K453" s="8">
        <f t="shared" si="27"/>
        <v>6.6233816768856979E-2</v>
      </c>
    </row>
    <row r="454" spans="1:11" x14ac:dyDescent="0.25">
      <c r="A454" t="str">
        <f t="shared" si="28"/>
        <v>102018</v>
      </c>
      <c r="B454" s="1">
        <v>43403</v>
      </c>
      <c r="C454" s="7">
        <f ca="1">IFERROR(__xludf.DUMMYFUNCTION("""COMPUTED_VALUE"""),43403.6458333333)</f>
        <v>43403.645833333299</v>
      </c>
      <c r="D454">
        <v>9583.7999999999993</v>
      </c>
      <c r="E454">
        <v>9626.5499999999993</v>
      </c>
      <c r="F454">
        <v>9492</v>
      </c>
      <c r="G454">
        <v>9535.2999999999993</v>
      </c>
      <c r="H454">
        <v>0</v>
      </c>
      <c r="I454" s="8">
        <f t="shared" si="29"/>
        <v>-5.7453286619953969E-3</v>
      </c>
      <c r="J454" s="8">
        <f t="shared" si="30"/>
        <v>-5.7618965518368296E-3</v>
      </c>
      <c r="K454" s="8">
        <f t="shared" si="27"/>
        <v>5.4906516207545053E-2</v>
      </c>
    </row>
    <row r="455" spans="1:11" x14ac:dyDescent="0.25">
      <c r="A455" t="str">
        <f t="shared" si="28"/>
        <v>102018</v>
      </c>
      <c r="B455" s="1">
        <v>43404</v>
      </c>
      <c r="C455" s="7">
        <f ca="1">IFERROR(__xludf.DUMMYFUNCTION("""COMPUTED_VALUE"""),43404.6458333333)</f>
        <v>43404.645833333299</v>
      </c>
      <c r="D455">
        <v>9473.0499999999993</v>
      </c>
      <c r="E455">
        <v>9778.25</v>
      </c>
      <c r="F455">
        <v>9436.7000000000007</v>
      </c>
      <c r="G455">
        <v>9757.5</v>
      </c>
      <c r="H455">
        <v>0</v>
      </c>
      <c r="I455" s="8">
        <f t="shared" si="29"/>
        <v>2.3302885069164114E-2</v>
      </c>
      <c r="J455" s="8">
        <f t="shared" si="30"/>
        <v>2.3035518484262781E-2</v>
      </c>
      <c r="K455" s="8">
        <f t="shared" si="27"/>
        <v>7.0423616786699839E-2</v>
      </c>
    </row>
    <row r="456" spans="1:11" x14ac:dyDescent="0.25">
      <c r="A456" t="str">
        <f t="shared" si="28"/>
        <v>112018</v>
      </c>
      <c r="B456" s="1">
        <v>43405</v>
      </c>
      <c r="C456" s="7">
        <f ca="1">IFERROR(__xludf.DUMMYFUNCTION("""COMPUTED_VALUE"""),43405.6458333333)</f>
        <v>43405.645833333299</v>
      </c>
      <c r="D456">
        <v>9765.9</v>
      </c>
      <c r="E456">
        <v>9801.9500000000007</v>
      </c>
      <c r="F456">
        <v>9589.15</v>
      </c>
      <c r="G456">
        <v>9609.15</v>
      </c>
      <c r="H456">
        <v>0</v>
      </c>
      <c r="I456" s="8">
        <f t="shared" si="29"/>
        <v>-1.5203689469638793E-2</v>
      </c>
      <c r="J456" s="8">
        <f t="shared" si="30"/>
        <v>-1.5320450534060186E-2</v>
      </c>
      <c r="K456" s="8">
        <f t="shared" si="27"/>
        <v>4.6816785410811246E-2</v>
      </c>
    </row>
    <row r="457" spans="1:11" x14ac:dyDescent="0.25">
      <c r="A457" t="str">
        <f t="shared" si="28"/>
        <v>112018</v>
      </c>
      <c r="B457" s="1">
        <v>43406</v>
      </c>
      <c r="C457" s="7">
        <f ca="1">IFERROR(__xludf.DUMMYFUNCTION("""COMPUTED_VALUE"""),43406.6458333333)</f>
        <v>43406.645833333299</v>
      </c>
      <c r="D457">
        <v>9652.2000000000007</v>
      </c>
      <c r="E457">
        <v>9690.9500000000007</v>
      </c>
      <c r="F457">
        <v>9520.9500000000007</v>
      </c>
      <c r="G457">
        <v>9547.85</v>
      </c>
      <c r="H457">
        <v>0</v>
      </c>
      <c r="I457" s="8">
        <f t="shared" si="29"/>
        <v>-6.3793363616968524E-3</v>
      </c>
      <c r="J457" s="8">
        <f t="shared" si="30"/>
        <v>-6.3997712817492267E-3</v>
      </c>
      <c r="K457" s="8">
        <f t="shared" si="27"/>
        <v>2.6462904630336403E-2</v>
      </c>
    </row>
    <row r="458" spans="1:11" x14ac:dyDescent="0.25">
      <c r="A458" t="str">
        <f t="shared" si="28"/>
        <v>112018</v>
      </c>
      <c r="B458" s="1">
        <v>43409</v>
      </c>
      <c r="C458" s="7">
        <f ca="1">IFERROR(__xludf.DUMMYFUNCTION("""COMPUTED_VALUE"""),43409.7916666666)</f>
        <v>43409.791666666599</v>
      </c>
      <c r="D458">
        <v>9542</v>
      </c>
      <c r="E458">
        <v>9658.6</v>
      </c>
      <c r="F458">
        <v>9369.4</v>
      </c>
      <c r="G458">
        <v>9460.5</v>
      </c>
      <c r="H458">
        <v>0</v>
      </c>
      <c r="I458" s="8">
        <f t="shared" si="29"/>
        <v>-9.1486565038202405E-3</v>
      </c>
      <c r="J458" s="8">
        <f t="shared" si="30"/>
        <v>-9.1907624671450066E-3</v>
      </c>
      <c r="K458" s="8">
        <f t="shared" si="27"/>
        <v>3.8038547850582916E-3</v>
      </c>
    </row>
    <row r="459" spans="1:11" x14ac:dyDescent="0.25">
      <c r="A459" t="str">
        <f t="shared" si="28"/>
        <v>112018</v>
      </c>
      <c r="B459" s="1">
        <v>43410</v>
      </c>
      <c r="C459" s="7">
        <f ca="1">IFERROR(__xludf.DUMMYFUNCTION("""COMPUTED_VALUE"""),43410.6458333333)</f>
        <v>43410.645833333299</v>
      </c>
      <c r="D459">
        <v>9455.6</v>
      </c>
      <c r="E459">
        <v>9507.25</v>
      </c>
      <c r="F459">
        <v>9400.5</v>
      </c>
      <c r="G459">
        <v>9454.9500000000007</v>
      </c>
      <c r="H459">
        <v>0</v>
      </c>
      <c r="I459" s="8">
        <f t="shared" si="29"/>
        <v>-5.8664975424127519E-4</v>
      </c>
      <c r="J459" s="8">
        <f t="shared" si="30"/>
        <v>-5.868219005380318E-4</v>
      </c>
      <c r="K459" s="8">
        <f t="shared" si="27"/>
        <v>-4.8206720522063762E-3</v>
      </c>
    </row>
    <row r="460" spans="1:11" x14ac:dyDescent="0.25">
      <c r="A460" t="str">
        <f t="shared" si="28"/>
        <v>112018</v>
      </c>
      <c r="B460" s="1">
        <v>43413</v>
      </c>
      <c r="C460" s="7">
        <f ca="1">IFERROR(__xludf.DUMMYFUNCTION("""COMPUTED_VALUE"""),43413.6458333333)</f>
        <v>43413.645833333299</v>
      </c>
      <c r="D460">
        <v>9554.35</v>
      </c>
      <c r="E460">
        <v>9682.2999999999993</v>
      </c>
      <c r="F460">
        <v>9513.9500000000007</v>
      </c>
      <c r="G460">
        <v>9643.9</v>
      </c>
      <c r="H460">
        <v>0</v>
      </c>
      <c r="I460" s="8">
        <f t="shared" si="29"/>
        <v>1.9984241058916163E-2</v>
      </c>
      <c r="J460" s="8">
        <f t="shared" si="30"/>
        <v>1.978717723458907E-2</v>
      </c>
      <c r="K460" s="8">
        <f t="shared" si="27"/>
        <v>2.5009034287779119E-2</v>
      </c>
    </row>
    <row r="461" spans="1:11" x14ac:dyDescent="0.25">
      <c r="A461" t="str">
        <f t="shared" si="28"/>
        <v>112018</v>
      </c>
      <c r="B461" s="1">
        <v>43416</v>
      </c>
      <c r="C461" s="7">
        <f ca="1">IFERROR(__xludf.DUMMYFUNCTION("""COMPUTED_VALUE"""),43416.6458333333)</f>
        <v>43416.645833333299</v>
      </c>
      <c r="D461">
        <v>9683.9</v>
      </c>
      <c r="E461">
        <v>9730.85</v>
      </c>
      <c r="F461">
        <v>9539.75</v>
      </c>
      <c r="G461">
        <v>9557.5</v>
      </c>
      <c r="H461">
        <v>0</v>
      </c>
      <c r="I461" s="8">
        <f t="shared" si="29"/>
        <v>-8.9590310973776122E-3</v>
      </c>
      <c r="J461" s="8">
        <f t="shared" si="30"/>
        <v>-8.9994045352987974E-3</v>
      </c>
      <c r="K461" s="8">
        <f t="shared" si="27"/>
        <v>1.9896383009374796E-2</v>
      </c>
    </row>
    <row r="462" spans="1:11" x14ac:dyDescent="0.25">
      <c r="A462" t="str">
        <f t="shared" si="28"/>
        <v>112018</v>
      </c>
      <c r="B462" s="1">
        <v>43417</v>
      </c>
      <c r="C462" s="7">
        <f ca="1">IFERROR(__xludf.DUMMYFUNCTION("""COMPUTED_VALUE"""),43417.6458333333)</f>
        <v>43417.645833333299</v>
      </c>
      <c r="D462">
        <v>9568.2000000000007</v>
      </c>
      <c r="E462">
        <v>9603.25</v>
      </c>
      <c r="F462">
        <v>9327.0499999999993</v>
      </c>
      <c r="G462">
        <v>9422.5499999999993</v>
      </c>
      <c r="H462">
        <v>0</v>
      </c>
      <c r="I462" s="8">
        <f t="shared" si="29"/>
        <v>-1.4119801203243632E-2</v>
      </c>
      <c r="J462" s="8">
        <f t="shared" si="30"/>
        <v>-1.42204339960231E-2</v>
      </c>
      <c r="K462" s="8">
        <f t="shared" si="27"/>
        <v>1.2388192000859499E-2</v>
      </c>
    </row>
    <row r="463" spans="1:11" x14ac:dyDescent="0.25">
      <c r="A463" t="str">
        <f t="shared" si="28"/>
        <v>112018</v>
      </c>
      <c r="B463" s="1">
        <v>43418</v>
      </c>
      <c r="C463" s="7">
        <f ca="1">IFERROR(__xludf.DUMMYFUNCTION("""COMPUTED_VALUE"""),43418.6458333333)</f>
        <v>43418.645833333299</v>
      </c>
      <c r="D463">
        <v>9437.4</v>
      </c>
      <c r="E463">
        <v>9447.85</v>
      </c>
      <c r="F463">
        <v>9153.4</v>
      </c>
      <c r="G463">
        <v>9216.15</v>
      </c>
      <c r="H463">
        <v>0</v>
      </c>
      <c r="I463" s="8">
        <f t="shared" si="29"/>
        <v>-2.1904898355540658E-2</v>
      </c>
      <c r="J463" s="8">
        <f t="shared" si="30"/>
        <v>-2.214837272965901E-2</v>
      </c>
      <c r="K463" s="8">
        <f t="shared" si="27"/>
        <v>-3.6540738058045141E-3</v>
      </c>
    </row>
    <row r="464" spans="1:11" x14ac:dyDescent="0.25">
      <c r="A464" t="str">
        <f t="shared" si="28"/>
        <v>112018</v>
      </c>
      <c r="B464" s="1">
        <v>43419</v>
      </c>
      <c r="C464" s="7">
        <f ca="1">IFERROR(__xludf.DUMMYFUNCTION("""COMPUTED_VALUE"""),43419.6458333333)</f>
        <v>43419.645833333299</v>
      </c>
      <c r="D464">
        <v>9233.9500000000007</v>
      </c>
      <c r="E464">
        <v>9305.9</v>
      </c>
      <c r="F464">
        <v>9162.5499999999993</v>
      </c>
      <c r="G464">
        <v>9218.5499999999993</v>
      </c>
      <c r="H464">
        <v>0</v>
      </c>
      <c r="I464" s="8">
        <f t="shared" si="29"/>
        <v>2.6041242818308774E-4</v>
      </c>
      <c r="J464" s="8">
        <f t="shared" si="30"/>
        <v>2.6037852675215325E-4</v>
      </c>
      <c r="K464" s="8">
        <f t="shared" si="27"/>
        <v>8.7872404453805952E-3</v>
      </c>
    </row>
    <row r="465" spans="1:11" x14ac:dyDescent="0.25">
      <c r="A465" t="str">
        <f t="shared" si="28"/>
        <v>112018</v>
      </c>
      <c r="B465" s="1">
        <v>43420</v>
      </c>
      <c r="C465" s="7">
        <f ca="1">IFERROR(__xludf.DUMMYFUNCTION("""COMPUTED_VALUE"""),43420.6458333333)</f>
        <v>43420.645833333299</v>
      </c>
      <c r="D465">
        <v>9256.85</v>
      </c>
      <c r="E465">
        <v>9358.7000000000007</v>
      </c>
      <c r="F465">
        <v>9230.2000000000007</v>
      </c>
      <c r="G465">
        <v>9301.35</v>
      </c>
      <c r="H465">
        <v>0</v>
      </c>
      <c r="I465" s="8">
        <f t="shared" si="29"/>
        <v>8.981889776591867E-3</v>
      </c>
      <c r="J465" s="8">
        <f t="shared" si="30"/>
        <v>8.9417925251513621E-3</v>
      </c>
      <c r="K465" s="8">
        <f t="shared" si="27"/>
        <v>1.2491019528443559E-2</v>
      </c>
    </row>
    <row r="466" spans="1:11" x14ac:dyDescent="0.25">
      <c r="A466" t="str">
        <f t="shared" si="28"/>
        <v>112018</v>
      </c>
      <c r="B466" s="1">
        <v>43423</v>
      </c>
      <c r="C466" s="7">
        <f ca="1">IFERROR(__xludf.DUMMYFUNCTION("""COMPUTED_VALUE"""),43423.6458333333)</f>
        <v>43423.645833333299</v>
      </c>
      <c r="D466">
        <v>9386.2000000000007</v>
      </c>
      <c r="E466">
        <v>9416.15</v>
      </c>
      <c r="F466">
        <v>9310.4500000000007</v>
      </c>
      <c r="G466">
        <v>9399.25</v>
      </c>
      <c r="H466">
        <v>0</v>
      </c>
      <c r="I466" s="8">
        <f t="shared" si="29"/>
        <v>1.0525353846484675E-2</v>
      </c>
      <c r="J466" s="8">
        <f t="shared" si="30"/>
        <v>1.0470347944092784E-2</v>
      </c>
      <c r="K466" s="8">
        <f t="shared" si="27"/>
        <v>-8.6381926243124241E-3</v>
      </c>
    </row>
    <row r="467" spans="1:11" x14ac:dyDescent="0.25">
      <c r="A467" t="str">
        <f t="shared" si="28"/>
        <v>112018</v>
      </c>
      <c r="B467" s="1">
        <v>43424</v>
      </c>
      <c r="C467" s="7">
        <f ca="1">IFERROR(__xludf.DUMMYFUNCTION("""COMPUTED_VALUE"""),43424.6458333333)</f>
        <v>43424.645833333299</v>
      </c>
      <c r="D467">
        <v>9363.75</v>
      </c>
      <c r="E467">
        <v>9383.7999999999993</v>
      </c>
      <c r="F467">
        <v>9200.9500000000007</v>
      </c>
      <c r="G467">
        <v>9218.7000000000007</v>
      </c>
      <c r="H467">
        <v>0</v>
      </c>
      <c r="I467" s="8">
        <f t="shared" si="29"/>
        <v>-1.9208979439848894E-2</v>
      </c>
      <c r="J467" s="8">
        <f t="shared" si="30"/>
        <v>-1.9395869062173703E-2</v>
      </c>
      <c r="K467" s="8">
        <f t="shared" si="27"/>
        <v>-3.9253388359986818E-2</v>
      </c>
    </row>
    <row r="468" spans="1:11" x14ac:dyDescent="0.25">
      <c r="A468" t="str">
        <f t="shared" si="28"/>
        <v>112018</v>
      </c>
      <c r="B468" s="1">
        <v>43425</v>
      </c>
      <c r="C468" s="7">
        <f ca="1">IFERROR(__xludf.DUMMYFUNCTION("""COMPUTED_VALUE"""),43425.6458333333)</f>
        <v>43425.645833333299</v>
      </c>
      <c r="D468">
        <v>9314</v>
      </c>
      <c r="E468">
        <v>9415.85</v>
      </c>
      <c r="F468">
        <v>9305.9500000000007</v>
      </c>
      <c r="G468">
        <v>9375.1</v>
      </c>
      <c r="H468">
        <v>0</v>
      </c>
      <c r="I468" s="8">
        <f t="shared" si="29"/>
        <v>1.6965515745170023E-2</v>
      </c>
      <c r="J468" s="8">
        <f t="shared" si="30"/>
        <v>1.6823208669681327E-2</v>
      </c>
      <c r="K468" s="8">
        <f t="shared" si="27"/>
        <v>-3.2881672400542628E-2</v>
      </c>
    </row>
    <row r="469" spans="1:11" x14ac:dyDescent="0.25">
      <c r="A469" t="str">
        <f t="shared" si="28"/>
        <v>112018</v>
      </c>
      <c r="B469" s="1">
        <v>43426</v>
      </c>
      <c r="C469" s="7">
        <f ca="1">IFERROR(__xludf.DUMMYFUNCTION("""COMPUTED_VALUE"""),43426.6458333333)</f>
        <v>43426.645833333299</v>
      </c>
      <c r="D469">
        <v>9373.15</v>
      </c>
      <c r="E469">
        <v>9381.5499999999993</v>
      </c>
      <c r="F469">
        <v>9287.25</v>
      </c>
      <c r="G469">
        <v>9302.2999999999993</v>
      </c>
      <c r="H469">
        <v>0</v>
      </c>
      <c r="I469" s="8">
        <f t="shared" si="29"/>
        <v>-7.7652505039947917E-3</v>
      </c>
      <c r="J469" s="8">
        <f t="shared" si="30"/>
        <v>-7.7955570556145571E-3</v>
      </c>
      <c r="K469" s="8">
        <f t="shared" si="27"/>
        <v>-5.0703377333748412E-2</v>
      </c>
    </row>
    <row r="470" spans="1:11" x14ac:dyDescent="0.25">
      <c r="A470" t="str">
        <f t="shared" si="28"/>
        <v>112018</v>
      </c>
      <c r="B470" s="1">
        <v>43430</v>
      </c>
      <c r="C470" s="7">
        <f ca="1">IFERROR(__xludf.DUMMYFUNCTION("""COMPUTED_VALUE"""),43430.6458333333)</f>
        <v>43430.645833333299</v>
      </c>
      <c r="D470">
        <v>9323.4</v>
      </c>
      <c r="E470">
        <v>9352.4</v>
      </c>
      <c r="F470">
        <v>9104</v>
      </c>
      <c r="G470">
        <v>9180.5</v>
      </c>
      <c r="H470">
        <v>0</v>
      </c>
      <c r="I470" s="8">
        <f t="shared" si="29"/>
        <v>-1.309353600722396E-2</v>
      </c>
      <c r="J470" s="8">
        <f t="shared" si="30"/>
        <v>-1.3180012030533631E-2</v>
      </c>
      <c r="K470" s="8">
        <f t="shared" si="27"/>
        <v>-7.7383046078086548E-2</v>
      </c>
    </row>
    <row r="471" spans="1:11" x14ac:dyDescent="0.25">
      <c r="A471" t="str">
        <f t="shared" si="28"/>
        <v>112018</v>
      </c>
      <c r="B471" s="1">
        <v>43431</v>
      </c>
      <c r="C471" s="7">
        <f ca="1">IFERROR(__xludf.DUMMYFUNCTION("""COMPUTED_VALUE"""),43431.6458333333)</f>
        <v>43431.645833333299</v>
      </c>
      <c r="D471">
        <v>9249.2000000000007</v>
      </c>
      <c r="E471">
        <v>9274.4</v>
      </c>
      <c r="F471">
        <v>8977.5</v>
      </c>
      <c r="G471">
        <v>9058.4500000000007</v>
      </c>
      <c r="H471">
        <v>0</v>
      </c>
      <c r="I471" s="8">
        <f t="shared" si="29"/>
        <v>-1.3294482871303193E-2</v>
      </c>
      <c r="J471" s="8">
        <f t="shared" si="30"/>
        <v>-1.3383645639060297E-2</v>
      </c>
      <c r="K471" s="8">
        <f t="shared" si="27"/>
        <v>-0.10105886789456953</v>
      </c>
    </row>
    <row r="472" spans="1:11" x14ac:dyDescent="0.25">
      <c r="A472" t="str">
        <f t="shared" si="28"/>
        <v>112018</v>
      </c>
      <c r="B472" s="1">
        <v>43432</v>
      </c>
      <c r="C472" s="7">
        <f ca="1">IFERROR(__xludf.DUMMYFUNCTION("""COMPUTED_VALUE"""),43432.6458333333)</f>
        <v>43432.645833333299</v>
      </c>
      <c r="D472">
        <v>9014.9500000000007</v>
      </c>
      <c r="E472">
        <v>9090.9500000000007</v>
      </c>
      <c r="F472">
        <v>8965.85</v>
      </c>
      <c r="G472">
        <v>9014.7999999999993</v>
      </c>
      <c r="H472">
        <v>0</v>
      </c>
      <c r="I472" s="8">
        <f t="shared" si="29"/>
        <v>-4.8187051868698871E-3</v>
      </c>
      <c r="J472" s="8">
        <f t="shared" si="30"/>
        <v>-4.830352578670879E-3</v>
      </c>
      <c r="K472" s="8">
        <f t="shared" si="27"/>
        <v>-0.10399459303654679</v>
      </c>
    </row>
    <row r="473" spans="1:11" x14ac:dyDescent="0.25">
      <c r="A473" t="str">
        <f t="shared" si="28"/>
        <v>112018</v>
      </c>
      <c r="B473" s="1">
        <v>43433</v>
      </c>
      <c r="C473" s="7">
        <f ca="1">IFERROR(__xludf.DUMMYFUNCTION("""COMPUTED_VALUE"""),43433.6458333333)</f>
        <v>43433.645833333299</v>
      </c>
      <c r="D473">
        <v>9048.65</v>
      </c>
      <c r="E473">
        <v>9127.9500000000007</v>
      </c>
      <c r="F473">
        <v>9015.85</v>
      </c>
      <c r="G473">
        <v>9090.65</v>
      </c>
      <c r="H473">
        <v>0</v>
      </c>
      <c r="I473" s="8">
        <f t="shared" si="29"/>
        <v>8.4139415183919208E-3</v>
      </c>
      <c r="J473" s="8">
        <f t="shared" si="30"/>
        <v>8.3787416212145558E-3</v>
      </c>
      <c r="K473" s="8">
        <f t="shared" si="27"/>
        <v>-9.9418477937825767E-2</v>
      </c>
    </row>
    <row r="474" spans="1:11" x14ac:dyDescent="0.25">
      <c r="A474" t="str">
        <f t="shared" si="28"/>
        <v>112018</v>
      </c>
      <c r="B474" s="1">
        <v>43434</v>
      </c>
      <c r="C474" s="7">
        <f ca="1">IFERROR(__xludf.DUMMYFUNCTION("""COMPUTED_VALUE"""),43434.6458333333)</f>
        <v>43434.645833333299</v>
      </c>
      <c r="D474">
        <v>9118.85</v>
      </c>
      <c r="E474">
        <v>9289.5499999999993</v>
      </c>
      <c r="F474">
        <v>9107.7000000000007</v>
      </c>
      <c r="G474">
        <v>9275.7000000000007</v>
      </c>
      <c r="H474">
        <v>0</v>
      </c>
      <c r="I474" s="8">
        <f t="shared" si="29"/>
        <v>2.0356080148284272E-2</v>
      </c>
      <c r="J474" s="8">
        <f t="shared" si="30"/>
        <v>2.015166456017866E-2</v>
      </c>
      <c r="K474" s="8">
        <f t="shared" si="27"/>
        <v>-7.705395966209283E-2</v>
      </c>
    </row>
    <row r="475" spans="1:11" x14ac:dyDescent="0.25">
      <c r="A475" t="str">
        <f t="shared" si="28"/>
        <v>122018</v>
      </c>
      <c r="B475" s="1">
        <v>43437</v>
      </c>
      <c r="C475" s="7">
        <f ca="1">IFERROR(__xludf.DUMMYFUNCTION("""COMPUTED_VALUE"""),43437.6458333333)</f>
        <v>43437.645833333299</v>
      </c>
      <c r="D475">
        <v>9108.0499999999993</v>
      </c>
      <c r="E475">
        <v>9150.4</v>
      </c>
      <c r="F475">
        <v>8985.15</v>
      </c>
      <c r="G475">
        <v>9053.4</v>
      </c>
      <c r="H475">
        <v>0</v>
      </c>
      <c r="I475" s="8">
        <f t="shared" si="29"/>
        <v>-2.396584624341036E-2</v>
      </c>
      <c r="J475" s="8">
        <f t="shared" si="30"/>
        <v>-2.4257699578243256E-2</v>
      </c>
      <c r="K475" s="8">
        <f t="shared" si="27"/>
        <v>-9.5465036117855062E-2</v>
      </c>
    </row>
    <row r="476" spans="1:11" x14ac:dyDescent="0.25">
      <c r="A476" t="str">
        <f t="shared" si="28"/>
        <v>122018</v>
      </c>
      <c r="B476" s="1">
        <v>43438</v>
      </c>
      <c r="C476" s="7">
        <f ca="1">IFERROR(__xludf.DUMMYFUNCTION("""COMPUTED_VALUE"""),43438.6458333333)</f>
        <v>43438.645833333299</v>
      </c>
      <c r="D476">
        <v>9071.9</v>
      </c>
      <c r="E476">
        <v>9157.6</v>
      </c>
      <c r="F476">
        <v>9040.85</v>
      </c>
      <c r="G476">
        <v>9064.4</v>
      </c>
      <c r="H476">
        <v>0</v>
      </c>
      <c r="I476" s="8">
        <f t="shared" si="29"/>
        <v>1.2150131442330014E-3</v>
      </c>
      <c r="J476" s="8">
        <f t="shared" si="30"/>
        <v>1.2142756131088965E-3</v>
      </c>
      <c r="K476" s="8">
        <f t="shared" si="27"/>
        <v>-0.1043569766465261</v>
      </c>
    </row>
    <row r="477" spans="1:11" x14ac:dyDescent="0.25">
      <c r="A477" t="str">
        <f t="shared" si="28"/>
        <v>122018</v>
      </c>
      <c r="B477" s="1">
        <v>43439</v>
      </c>
      <c r="C477" s="7">
        <f ca="1">IFERROR(__xludf.DUMMYFUNCTION("""COMPUTED_VALUE"""),43439.6458333333)</f>
        <v>43439.645833333299</v>
      </c>
      <c r="D477">
        <v>9049.6</v>
      </c>
      <c r="E477">
        <v>9075.9500000000007</v>
      </c>
      <c r="F477">
        <v>8717.4</v>
      </c>
      <c r="G477">
        <v>8812.2000000000007</v>
      </c>
      <c r="H477">
        <v>0</v>
      </c>
      <c r="I477" s="8">
        <f t="shared" si="29"/>
        <v>-2.7823132253651517E-2</v>
      </c>
      <c r="J477" s="8">
        <f t="shared" si="30"/>
        <v>-2.8217528372897812E-2</v>
      </c>
      <c r="K477" s="8">
        <f t="shared" si="27"/>
        <v>-0.15193509736838307</v>
      </c>
    </row>
    <row r="478" spans="1:11" x14ac:dyDescent="0.25">
      <c r="A478" t="str">
        <f t="shared" si="28"/>
        <v>122018</v>
      </c>
      <c r="B478" s="1">
        <v>43440</v>
      </c>
      <c r="C478" s="7">
        <f ca="1">IFERROR(__xludf.DUMMYFUNCTION("""COMPUTED_VALUE"""),43440.6458333333)</f>
        <v>43440.645833333299</v>
      </c>
      <c r="D478">
        <v>8796.9500000000007</v>
      </c>
      <c r="E478">
        <v>8854.15</v>
      </c>
      <c r="F478">
        <v>8653</v>
      </c>
      <c r="G478">
        <v>8686.5</v>
      </c>
      <c r="H478">
        <v>0</v>
      </c>
      <c r="I478" s="8">
        <f t="shared" si="29"/>
        <v>-1.4264315380949188E-2</v>
      </c>
      <c r="J478" s="8">
        <f t="shared" si="30"/>
        <v>-1.4367028653917608E-2</v>
      </c>
      <c r="K478" s="8">
        <f t="shared" si="27"/>
        <v>-0.16152665566269941</v>
      </c>
    </row>
    <row r="479" spans="1:11" x14ac:dyDescent="0.25">
      <c r="A479" t="str">
        <f t="shared" si="28"/>
        <v>122018</v>
      </c>
      <c r="B479" s="1">
        <v>43441</v>
      </c>
      <c r="C479" s="7">
        <f ca="1">IFERROR(__xludf.DUMMYFUNCTION("""COMPUTED_VALUE"""),43441.6458333333)</f>
        <v>43441.645833333299</v>
      </c>
      <c r="D479">
        <v>8743.9</v>
      </c>
      <c r="E479">
        <v>8811.85</v>
      </c>
      <c r="F479">
        <v>8641.85</v>
      </c>
      <c r="G479">
        <v>8682.6</v>
      </c>
      <c r="H479">
        <v>0</v>
      </c>
      <c r="I479" s="8">
        <f t="shared" si="29"/>
        <v>-4.4897254360209971E-4</v>
      </c>
      <c r="J479" s="8">
        <f t="shared" si="30"/>
        <v>-4.4907336195213062E-4</v>
      </c>
      <c r="K479" s="8">
        <f t="shared" si="27"/>
        <v>-0.14922762614459772</v>
      </c>
    </row>
    <row r="480" spans="1:11" x14ac:dyDescent="0.25">
      <c r="A480" t="str">
        <f t="shared" si="28"/>
        <v>122018</v>
      </c>
      <c r="B480" s="1">
        <v>43444</v>
      </c>
      <c r="C480" s="7">
        <f ca="1">IFERROR(__xludf.DUMMYFUNCTION("""COMPUTED_VALUE"""),43444.6458333333)</f>
        <v>43444.645833333299</v>
      </c>
      <c r="D480">
        <v>8539.1</v>
      </c>
      <c r="E480">
        <v>8615.85</v>
      </c>
      <c r="F480">
        <v>8504.9</v>
      </c>
      <c r="G480">
        <v>8535.2999999999993</v>
      </c>
      <c r="H480">
        <v>0</v>
      </c>
      <c r="I480" s="8">
        <f t="shared" si="29"/>
        <v>-1.6964964411581906E-2</v>
      </c>
      <c r="J480" s="8">
        <f t="shared" si="30"/>
        <v>-1.7110517976300536E-2</v>
      </c>
      <c r="K480" s="8">
        <f t="shared" si="27"/>
        <v>-0.17160354834326541</v>
      </c>
    </row>
    <row r="481" spans="1:11" x14ac:dyDescent="0.25">
      <c r="A481" t="str">
        <f t="shared" si="28"/>
        <v>122018</v>
      </c>
      <c r="B481" s="1">
        <v>43445</v>
      </c>
      <c r="C481" s="7">
        <f ca="1">IFERROR(__xludf.DUMMYFUNCTION("""COMPUTED_VALUE"""),43445.6458333333)</f>
        <v>43445.645833333299</v>
      </c>
      <c r="D481">
        <v>8417.65</v>
      </c>
      <c r="E481">
        <v>8788.7999999999993</v>
      </c>
      <c r="F481">
        <v>8417.65</v>
      </c>
      <c r="G481">
        <v>8746.6</v>
      </c>
      <c r="H481">
        <v>0</v>
      </c>
      <c r="I481" s="8">
        <f t="shared" si="29"/>
        <v>2.4756013262568599E-2</v>
      </c>
      <c r="J481" s="8">
        <f t="shared" si="30"/>
        <v>2.4454548413947529E-2</v>
      </c>
      <c r="K481" s="8">
        <f t="shared" si="27"/>
        <v>-0.1735352895876936</v>
      </c>
    </row>
    <row r="482" spans="1:11" x14ac:dyDescent="0.25">
      <c r="A482" t="str">
        <f t="shared" si="28"/>
        <v>122018</v>
      </c>
      <c r="B482" s="1">
        <v>43446</v>
      </c>
      <c r="C482" s="7">
        <f ca="1">IFERROR(__xludf.DUMMYFUNCTION("""COMPUTED_VALUE"""),43446.6458333333)</f>
        <v>43446.645833333299</v>
      </c>
      <c r="D482">
        <v>8779.4</v>
      </c>
      <c r="E482">
        <v>8859.4500000000007</v>
      </c>
      <c r="F482">
        <v>8691</v>
      </c>
      <c r="G482">
        <v>8801.5</v>
      </c>
      <c r="H482">
        <v>0</v>
      </c>
      <c r="I482" s="8">
        <f t="shared" si="29"/>
        <v>6.2767246701576074E-3</v>
      </c>
      <c r="J482" s="8">
        <f t="shared" si="30"/>
        <v>6.2571080763781173E-3</v>
      </c>
      <c r="K482" s="8">
        <f t="shared" si="27"/>
        <v>-0.17444014538632902</v>
      </c>
    </row>
    <row r="483" spans="1:11" x14ac:dyDescent="0.25">
      <c r="A483" t="str">
        <f t="shared" si="28"/>
        <v>122018</v>
      </c>
      <c r="B483" s="1">
        <v>43447</v>
      </c>
      <c r="C483" s="7">
        <f ca="1">IFERROR(__xludf.DUMMYFUNCTION("""COMPUTED_VALUE"""),43447.6458333333)</f>
        <v>43447.645833333299</v>
      </c>
      <c r="D483">
        <v>8794.25</v>
      </c>
      <c r="E483">
        <v>8870.0499999999993</v>
      </c>
      <c r="F483">
        <v>8720.7000000000007</v>
      </c>
      <c r="G483">
        <v>8810.7999999999993</v>
      </c>
      <c r="H483">
        <v>0</v>
      </c>
      <c r="I483" s="8">
        <f t="shared" si="29"/>
        <v>1.0566380730556713E-3</v>
      </c>
      <c r="J483" s="8">
        <f t="shared" si="30"/>
        <v>1.0560802239754253E-3</v>
      </c>
      <c r="K483" s="8">
        <f t="shared" si="27"/>
        <v>-0.15657875843583979</v>
      </c>
    </row>
    <row r="484" spans="1:11" x14ac:dyDescent="0.25">
      <c r="A484" t="str">
        <f t="shared" si="28"/>
        <v>122018</v>
      </c>
      <c r="B484" s="1">
        <v>43448</v>
      </c>
      <c r="C484" s="7">
        <f ca="1">IFERROR(__xludf.DUMMYFUNCTION("""COMPUTED_VALUE"""),43448.6458333333)</f>
        <v>43448.645833333299</v>
      </c>
      <c r="D484">
        <v>8803.9</v>
      </c>
      <c r="E484">
        <v>8860.4500000000007</v>
      </c>
      <c r="F484">
        <v>8660.4</v>
      </c>
      <c r="G484">
        <v>8726.4</v>
      </c>
      <c r="H484">
        <v>0</v>
      </c>
      <c r="I484" s="8">
        <f t="shared" si="29"/>
        <v>-9.5791528578562657E-3</v>
      </c>
      <c r="J484" s="8">
        <f t="shared" si="30"/>
        <v>-9.6253280587330729E-3</v>
      </c>
      <c r="K484" s="8">
        <f t="shared" si="27"/>
        <v>-0.15104995111415931</v>
      </c>
    </row>
    <row r="485" spans="1:11" x14ac:dyDescent="0.25">
      <c r="A485" t="str">
        <f t="shared" si="28"/>
        <v>122018</v>
      </c>
      <c r="B485" s="1">
        <v>43451</v>
      </c>
      <c r="C485" s="7">
        <f ca="1">IFERROR(__xludf.DUMMYFUNCTION("""COMPUTED_VALUE"""),43451.6458333333)</f>
        <v>43451.645833333299</v>
      </c>
      <c r="D485">
        <v>8775.35</v>
      </c>
      <c r="E485">
        <v>8829.7999999999993</v>
      </c>
      <c r="F485">
        <v>8746.5</v>
      </c>
      <c r="G485">
        <v>8771.2999999999993</v>
      </c>
      <c r="H485">
        <v>0</v>
      </c>
      <c r="I485" s="8">
        <f t="shared" si="29"/>
        <v>5.1453061972863701E-3</v>
      </c>
      <c r="J485" s="8">
        <f t="shared" si="30"/>
        <v>5.132114340765841E-3</v>
      </c>
      <c r="K485" s="8">
        <f t="shared" si="27"/>
        <v>-0.15592401555102209</v>
      </c>
    </row>
    <row r="486" spans="1:11" x14ac:dyDescent="0.25">
      <c r="A486" t="str">
        <f t="shared" si="28"/>
        <v>122018</v>
      </c>
      <c r="B486" s="1">
        <v>43452</v>
      </c>
      <c r="C486" s="7">
        <f ca="1">IFERROR(__xludf.DUMMYFUNCTION("""COMPUTED_VALUE"""),43452.6458333333)</f>
        <v>43452.645833333299</v>
      </c>
      <c r="D486">
        <v>8748.25</v>
      </c>
      <c r="E486">
        <v>8853.1</v>
      </c>
      <c r="F486">
        <v>8716</v>
      </c>
      <c r="G486">
        <v>8840.4</v>
      </c>
      <c r="H486">
        <v>0</v>
      </c>
      <c r="I486" s="8">
        <f t="shared" si="29"/>
        <v>7.87796563793286E-3</v>
      </c>
      <c r="J486" s="8">
        <f t="shared" si="30"/>
        <v>7.8470964847330189E-3</v>
      </c>
      <c r="K486" s="8">
        <f t="shared" si="27"/>
        <v>-0.17013756881961173</v>
      </c>
    </row>
    <row r="487" spans="1:11" x14ac:dyDescent="0.25">
      <c r="A487" t="str">
        <f t="shared" si="28"/>
        <v>122018</v>
      </c>
      <c r="B487" s="1">
        <v>43453</v>
      </c>
      <c r="C487" s="7">
        <f ca="1">IFERROR(__xludf.DUMMYFUNCTION("""COMPUTED_VALUE"""),43453.6458333333)</f>
        <v>43453.645833333299</v>
      </c>
      <c r="D487">
        <v>8864</v>
      </c>
      <c r="E487">
        <v>8893.85</v>
      </c>
      <c r="F487">
        <v>8804.9</v>
      </c>
      <c r="G487">
        <v>8823.4500000000007</v>
      </c>
      <c r="H487">
        <v>0</v>
      </c>
      <c r="I487" s="8">
        <f t="shared" si="29"/>
        <v>-1.9173340572823383E-3</v>
      </c>
      <c r="J487" s="8">
        <f t="shared" si="30"/>
        <v>-1.9191744950916008E-3</v>
      </c>
      <c r="K487" s="8">
        <f t="shared" si="27"/>
        <v>-0.16000342721686178</v>
      </c>
    </row>
    <row r="488" spans="1:11" x14ac:dyDescent="0.25">
      <c r="A488" t="str">
        <f t="shared" si="28"/>
        <v>122018</v>
      </c>
      <c r="B488" s="1">
        <v>43454</v>
      </c>
      <c r="C488" s="7">
        <f ca="1">IFERROR(__xludf.DUMMYFUNCTION("""COMPUTED_VALUE"""),43454.6458333333)</f>
        <v>43454.645833333299</v>
      </c>
      <c r="D488">
        <v>8782.9</v>
      </c>
      <c r="E488">
        <v>8877.85</v>
      </c>
      <c r="F488">
        <v>8774.7000000000007</v>
      </c>
      <c r="G488">
        <v>8853.7999999999993</v>
      </c>
      <c r="H488">
        <v>0</v>
      </c>
      <c r="I488" s="8">
        <f t="shared" si="29"/>
        <v>3.4396976239450261E-3</v>
      </c>
      <c r="J488" s="8">
        <f t="shared" si="30"/>
        <v>3.4337953947895343E-3</v>
      </c>
      <c r="K488" s="8">
        <f t="shared" si="27"/>
        <v>-0.15399315840770544</v>
      </c>
    </row>
    <row r="489" spans="1:11" x14ac:dyDescent="0.25">
      <c r="A489" t="str">
        <f t="shared" si="28"/>
        <v>122018</v>
      </c>
      <c r="B489" s="1">
        <v>43455</v>
      </c>
      <c r="C489" s="7">
        <f ca="1">IFERROR(__xludf.DUMMYFUNCTION("""COMPUTED_VALUE"""),43455.6458333333)</f>
        <v>43455.645833333299</v>
      </c>
      <c r="D489">
        <v>8851.9</v>
      </c>
      <c r="E489">
        <v>8913.65</v>
      </c>
      <c r="F489">
        <v>8741.25</v>
      </c>
      <c r="G489">
        <v>8774.0499999999993</v>
      </c>
      <c r="H489">
        <v>0</v>
      </c>
      <c r="I489" s="8">
        <f t="shared" si="29"/>
        <v>-9.0074318371772266E-3</v>
      </c>
      <c r="J489" s="8">
        <f t="shared" si="30"/>
        <v>-9.0482440114268321E-3</v>
      </c>
      <c r="K489" s="8">
        <f t="shared" si="27"/>
        <v>-0.16093602819177688</v>
      </c>
    </row>
    <row r="490" spans="1:11" x14ac:dyDescent="0.25">
      <c r="A490" t="str">
        <f t="shared" si="28"/>
        <v>122018</v>
      </c>
      <c r="B490" s="1">
        <v>43458</v>
      </c>
      <c r="C490" s="7">
        <f ca="1">IFERROR(__xludf.DUMMYFUNCTION("""COMPUTED_VALUE"""),43458.6458333333)</f>
        <v>43458.645833333299</v>
      </c>
      <c r="D490">
        <v>8804.6</v>
      </c>
      <c r="E490">
        <v>8850.9</v>
      </c>
      <c r="F490">
        <v>8699.4500000000007</v>
      </c>
      <c r="G490">
        <v>8726.35</v>
      </c>
      <c r="H490">
        <v>0</v>
      </c>
      <c r="I490" s="8">
        <f t="shared" si="29"/>
        <v>-5.436486001333396E-3</v>
      </c>
      <c r="J490" s="8">
        <f t="shared" si="30"/>
        <v>-5.4513174698255871E-3</v>
      </c>
      <c r="K490" s="8">
        <f t="shared" si="27"/>
        <v>-0.14884392358825049</v>
      </c>
    </row>
    <row r="491" spans="1:11" x14ac:dyDescent="0.25">
      <c r="A491" t="str">
        <f t="shared" si="28"/>
        <v>122018</v>
      </c>
      <c r="B491" s="1">
        <v>43460</v>
      </c>
      <c r="C491" s="7">
        <f ca="1">IFERROR(__xludf.DUMMYFUNCTION("""COMPUTED_VALUE"""),43460.6458333333)</f>
        <v>43460.645833333299</v>
      </c>
      <c r="D491">
        <v>8694.15</v>
      </c>
      <c r="E491">
        <v>8710.65</v>
      </c>
      <c r="F491">
        <v>8549.4</v>
      </c>
      <c r="G491">
        <v>8684.85</v>
      </c>
      <c r="H491">
        <v>0</v>
      </c>
      <c r="I491" s="8">
        <f t="shared" si="29"/>
        <v>-4.7557111507101624E-3</v>
      </c>
      <c r="J491" s="8">
        <f t="shared" si="30"/>
        <v>-4.7670555263240669E-3</v>
      </c>
      <c r="K491" s="8">
        <f t="shared" si="27"/>
        <v>-0.13105880587308338</v>
      </c>
    </row>
    <row r="492" spans="1:11" x14ac:dyDescent="0.25">
      <c r="A492" t="str">
        <f t="shared" si="28"/>
        <v>122018</v>
      </c>
      <c r="B492" s="1">
        <v>43461</v>
      </c>
      <c r="C492" s="7">
        <f ca="1">IFERROR(__xludf.DUMMYFUNCTION("""COMPUTED_VALUE"""),43461.6458333333)</f>
        <v>43461.645833333299</v>
      </c>
      <c r="D492">
        <v>8774.85</v>
      </c>
      <c r="E492">
        <v>8779.25</v>
      </c>
      <c r="F492">
        <v>8653.85</v>
      </c>
      <c r="G492">
        <v>8665.75</v>
      </c>
      <c r="H492">
        <v>0</v>
      </c>
      <c r="I492" s="8">
        <f t="shared" si="29"/>
        <v>-2.1992319959469597E-3</v>
      </c>
      <c r="J492" s="8">
        <f t="shared" si="30"/>
        <v>-2.2016538581089841E-3</v>
      </c>
      <c r="K492" s="8">
        <f t="shared" si="27"/>
        <v>-0.15416074923256362</v>
      </c>
    </row>
    <row r="493" spans="1:11" x14ac:dyDescent="0.25">
      <c r="A493" t="str">
        <f t="shared" si="28"/>
        <v>122018</v>
      </c>
      <c r="B493" s="1">
        <v>43462</v>
      </c>
      <c r="C493" s="7">
        <f ca="1">IFERROR(__xludf.DUMMYFUNCTION("""COMPUTED_VALUE"""),43462.6458333333)</f>
        <v>43462.645833333299</v>
      </c>
      <c r="D493">
        <v>8700.2999999999993</v>
      </c>
      <c r="E493">
        <v>8840.4500000000007</v>
      </c>
      <c r="F493">
        <v>8698.0499999999993</v>
      </c>
      <c r="G493">
        <v>8814.2000000000007</v>
      </c>
      <c r="H493">
        <v>0</v>
      </c>
      <c r="I493" s="8">
        <f t="shared" si="29"/>
        <v>1.7130658050370728E-2</v>
      </c>
      <c r="J493" s="8">
        <f t="shared" si="30"/>
        <v>1.6985582806844559E-2</v>
      </c>
      <c r="K493" s="8">
        <f t="shared" si="27"/>
        <v>-0.14336252223183299</v>
      </c>
    </row>
    <row r="494" spans="1:11" x14ac:dyDescent="0.25">
      <c r="A494" t="str">
        <f t="shared" si="28"/>
        <v>122018</v>
      </c>
      <c r="B494" s="1">
        <v>43465</v>
      </c>
      <c r="C494" s="7">
        <f ca="1">IFERROR(__xludf.DUMMYFUNCTION("""COMPUTED_VALUE"""),43465.6458333333)</f>
        <v>43465.645833333299</v>
      </c>
      <c r="D494">
        <v>8866.9500000000007</v>
      </c>
      <c r="E494">
        <v>8905.2999999999993</v>
      </c>
      <c r="F494">
        <v>8824.2000000000007</v>
      </c>
      <c r="G494">
        <v>8868.7000000000007</v>
      </c>
      <c r="H494">
        <v>0</v>
      </c>
      <c r="I494" s="8">
        <f t="shared" si="29"/>
        <v>6.1832043747589438E-3</v>
      </c>
      <c r="J494" s="8">
        <f t="shared" si="30"/>
        <v>6.1641668017557031E-3</v>
      </c>
      <c r="K494" s="8">
        <f t="shared" si="27"/>
        <v>-0.1212540067079847</v>
      </c>
    </row>
    <row r="495" spans="1:11" x14ac:dyDescent="0.25">
      <c r="A495" t="str">
        <f t="shared" si="28"/>
        <v>12019</v>
      </c>
      <c r="B495" s="1">
        <v>43466</v>
      </c>
      <c r="C495" s="7">
        <f ca="1">IFERROR(__xludf.DUMMYFUNCTION("""COMPUTED_VALUE"""),43466.6458333333)</f>
        <v>43466.645833333299</v>
      </c>
      <c r="D495">
        <v>8890.5499999999993</v>
      </c>
      <c r="E495">
        <v>8929.7000000000007</v>
      </c>
      <c r="F495">
        <v>8852.65</v>
      </c>
      <c r="G495">
        <v>8881.9500000000007</v>
      </c>
      <c r="H495">
        <v>0</v>
      </c>
      <c r="I495" s="8">
        <f t="shared" si="29"/>
        <v>1.4940182890390563E-3</v>
      </c>
      <c r="J495" s="8">
        <f t="shared" si="30"/>
        <v>1.4929033540657447E-3</v>
      </c>
      <c r="K495" s="8">
        <f t="shared" si="27"/>
        <v>-0.1093512627288179</v>
      </c>
    </row>
    <row r="496" spans="1:11" x14ac:dyDescent="0.25">
      <c r="A496" t="str">
        <f t="shared" si="28"/>
        <v>12019</v>
      </c>
      <c r="B496" s="1">
        <v>43467</v>
      </c>
      <c r="C496" s="7">
        <f ca="1">IFERROR(__xludf.DUMMYFUNCTION("""COMPUTED_VALUE"""),43467.6458333333)</f>
        <v>43467.645833333299</v>
      </c>
      <c r="D496">
        <v>8856</v>
      </c>
      <c r="E496">
        <v>8884.1</v>
      </c>
      <c r="F496">
        <v>8765.2999999999993</v>
      </c>
      <c r="G496">
        <v>8839.9500000000007</v>
      </c>
      <c r="H496">
        <v>0</v>
      </c>
      <c r="I496" s="8">
        <f t="shared" si="29"/>
        <v>-4.7286913346731296E-3</v>
      </c>
      <c r="J496" s="8">
        <f t="shared" si="30"/>
        <v>-4.7399069663505303E-3</v>
      </c>
      <c r="K496" s="8">
        <f t="shared" si="27"/>
        <v>-0.11903551781870358</v>
      </c>
    </row>
    <row r="497" spans="1:11" x14ac:dyDescent="0.25">
      <c r="A497" t="str">
        <f t="shared" si="28"/>
        <v>12019</v>
      </c>
      <c r="B497" s="1">
        <v>43468</v>
      </c>
      <c r="C497" s="7">
        <f ca="1">IFERROR(__xludf.DUMMYFUNCTION("""COMPUTED_VALUE"""),43468.6458333333)</f>
        <v>43468.645833333299</v>
      </c>
      <c r="D497">
        <v>8856.5</v>
      </c>
      <c r="E497">
        <v>8867.5499999999993</v>
      </c>
      <c r="F497">
        <v>8704.5</v>
      </c>
      <c r="G497">
        <v>8722.2999999999993</v>
      </c>
      <c r="H497">
        <v>0</v>
      </c>
      <c r="I497" s="8">
        <f t="shared" si="29"/>
        <v>-1.3308898805988845E-2</v>
      </c>
      <c r="J497" s="8">
        <f t="shared" si="30"/>
        <v>-1.3398255915121438E-2</v>
      </c>
      <c r="K497" s="8">
        <f t="shared" si="27"/>
        <v>-0.12346621913595757</v>
      </c>
    </row>
    <row r="498" spans="1:11" x14ac:dyDescent="0.25">
      <c r="A498" t="str">
        <f t="shared" si="28"/>
        <v>12019</v>
      </c>
      <c r="B498" s="1">
        <v>43469</v>
      </c>
      <c r="C498" s="7">
        <f ca="1">IFERROR(__xludf.DUMMYFUNCTION("""COMPUTED_VALUE"""),43469.6458333333)</f>
        <v>43469.645833333299</v>
      </c>
      <c r="D498">
        <v>8744.7000000000007</v>
      </c>
      <c r="E498">
        <v>8804.0499999999993</v>
      </c>
      <c r="F498">
        <v>8683.7999999999993</v>
      </c>
      <c r="G498">
        <v>8788.0499999999993</v>
      </c>
      <c r="H498">
        <v>0</v>
      </c>
      <c r="I498" s="8">
        <f t="shared" si="29"/>
        <v>7.5381493413435585E-3</v>
      </c>
      <c r="J498" s="8">
        <f t="shared" si="30"/>
        <v>7.5098794730361681E-3</v>
      </c>
      <c r="K498" s="8">
        <f t="shared" si="27"/>
        <v>-8.7500973444435859E-2</v>
      </c>
    </row>
    <row r="499" spans="1:11" x14ac:dyDescent="0.25">
      <c r="A499" t="str">
        <f t="shared" si="28"/>
        <v>12019</v>
      </c>
      <c r="B499" s="1">
        <v>43472</v>
      </c>
      <c r="C499" s="7">
        <f ca="1">IFERROR(__xludf.DUMMYFUNCTION("""COMPUTED_VALUE"""),43472.6458333333)</f>
        <v>43472.645833333299</v>
      </c>
      <c r="D499">
        <v>8840.6</v>
      </c>
      <c r="E499">
        <v>8847.15</v>
      </c>
      <c r="F499">
        <v>8711.5</v>
      </c>
      <c r="G499">
        <v>8732.65</v>
      </c>
      <c r="H499">
        <v>0</v>
      </c>
      <c r="I499" s="8">
        <f t="shared" si="29"/>
        <v>-6.3040151114296394E-3</v>
      </c>
      <c r="J499" s="8">
        <f t="shared" si="30"/>
        <v>-6.3239693199842384E-3</v>
      </c>
      <c r="K499" s="8">
        <f t="shared" si="27"/>
        <v>-8.533257919736903E-2</v>
      </c>
    </row>
    <row r="500" spans="1:11" x14ac:dyDescent="0.25">
      <c r="A500" t="str">
        <f t="shared" si="28"/>
        <v>12019</v>
      </c>
      <c r="B500" s="1">
        <v>43473</v>
      </c>
      <c r="C500" s="7">
        <f ca="1">IFERROR(__xludf.DUMMYFUNCTION("""COMPUTED_VALUE"""),43473.6458333333)</f>
        <v>43473.645833333299</v>
      </c>
      <c r="D500">
        <v>8764.1</v>
      </c>
      <c r="E500">
        <v>8873.15</v>
      </c>
      <c r="F500">
        <v>8754.15</v>
      </c>
      <c r="G500">
        <v>8864.75</v>
      </c>
      <c r="H500">
        <v>0</v>
      </c>
      <c r="I500" s="8">
        <f t="shared" si="29"/>
        <v>1.5127137810401203E-2</v>
      </c>
      <c r="J500" s="8">
        <f t="shared" si="30"/>
        <v>1.5013863576010002E-2</v>
      </c>
      <c r="K500" s="8">
        <f t="shared" si="27"/>
        <v>-6.7437774832207587E-2</v>
      </c>
    </row>
    <row r="501" spans="1:11" x14ac:dyDescent="0.25">
      <c r="A501" t="str">
        <f t="shared" si="28"/>
        <v>12019</v>
      </c>
      <c r="B501" s="1">
        <v>43474</v>
      </c>
      <c r="C501" s="7">
        <f ca="1">IFERROR(__xludf.DUMMYFUNCTION("""COMPUTED_VALUE"""),43474.6458333333)</f>
        <v>43474.645833333299</v>
      </c>
      <c r="D501">
        <v>8898.5</v>
      </c>
      <c r="E501">
        <v>8930.4500000000007</v>
      </c>
      <c r="F501">
        <v>8831.7999999999993</v>
      </c>
      <c r="G501">
        <v>8906.7000000000007</v>
      </c>
      <c r="H501">
        <v>0</v>
      </c>
      <c r="I501" s="8">
        <f t="shared" si="29"/>
        <v>4.7322259510984566E-3</v>
      </c>
      <c r="J501" s="8">
        <f t="shared" si="30"/>
        <v>4.7210641694027996E-3</v>
      </c>
      <c r="K501" s="8">
        <f t="shared" si="27"/>
        <v>-7.5948644793152553E-2</v>
      </c>
    </row>
    <row r="502" spans="1:11" x14ac:dyDescent="0.25">
      <c r="A502" t="str">
        <f t="shared" si="28"/>
        <v>12019</v>
      </c>
      <c r="B502" s="1">
        <v>43475</v>
      </c>
      <c r="C502" s="7">
        <f ca="1">IFERROR(__xludf.DUMMYFUNCTION("""COMPUTED_VALUE"""),43475.6458333333)</f>
        <v>43475.645833333299</v>
      </c>
      <c r="D502">
        <v>8878.7000000000007</v>
      </c>
      <c r="E502">
        <v>8945.25</v>
      </c>
      <c r="F502">
        <v>8866.35</v>
      </c>
      <c r="G502">
        <v>8934.7999999999993</v>
      </c>
      <c r="H502">
        <v>0</v>
      </c>
      <c r="I502" s="8">
        <f t="shared" si="29"/>
        <v>3.1549283123939453E-3</v>
      </c>
      <c r="J502" s="8">
        <f t="shared" si="30"/>
        <v>3.1499619689624486E-3</v>
      </c>
      <c r="K502" s="8">
        <f t="shared" si="27"/>
        <v>-8.561253051011386E-2</v>
      </c>
    </row>
    <row r="503" spans="1:11" x14ac:dyDescent="0.25">
      <c r="A503" t="str">
        <f t="shared" si="28"/>
        <v>12019</v>
      </c>
      <c r="B503" s="1">
        <v>43476</v>
      </c>
      <c r="C503" s="7">
        <f ca="1">IFERROR(__xludf.DUMMYFUNCTION("""COMPUTED_VALUE"""),43476.6458333333)</f>
        <v>43476.645833333299</v>
      </c>
      <c r="D503">
        <v>8943.6</v>
      </c>
      <c r="E503">
        <v>8968.65</v>
      </c>
      <c r="F503">
        <v>8867.4500000000007</v>
      </c>
      <c r="G503">
        <v>8902.4500000000007</v>
      </c>
      <c r="H503">
        <v>0</v>
      </c>
      <c r="I503" s="8">
        <f t="shared" si="29"/>
        <v>-3.6206742176655426E-3</v>
      </c>
      <c r="J503" s="8">
        <f t="shared" si="30"/>
        <v>-3.627244723128446E-3</v>
      </c>
      <c r="K503" s="8">
        <f t="shared" si="27"/>
        <v>-6.1779072892350184E-2</v>
      </c>
    </row>
    <row r="504" spans="1:11" x14ac:dyDescent="0.25">
      <c r="A504" t="str">
        <f t="shared" si="28"/>
        <v>12019</v>
      </c>
      <c r="B504" s="1">
        <v>43479</v>
      </c>
      <c r="C504" s="7">
        <f ca="1">IFERROR(__xludf.DUMMYFUNCTION("""COMPUTED_VALUE"""),43479.6458333333)</f>
        <v>43479.645833333299</v>
      </c>
      <c r="D504">
        <v>8915.7000000000007</v>
      </c>
      <c r="E504">
        <v>8961.25</v>
      </c>
      <c r="F504">
        <v>8879.7000000000007</v>
      </c>
      <c r="G504">
        <v>8949.2999999999993</v>
      </c>
      <c r="H504">
        <v>0</v>
      </c>
      <c r="I504" s="8">
        <f t="shared" si="29"/>
        <v>5.2625962515935321E-3</v>
      </c>
      <c r="J504" s="8">
        <f t="shared" si="30"/>
        <v>5.2487971833843619E-3</v>
      </c>
      <c r="K504" s="8">
        <f t="shared" si="27"/>
        <v>-6.0500125976316599E-2</v>
      </c>
    </row>
    <row r="505" spans="1:11" x14ac:dyDescent="0.25">
      <c r="A505" t="str">
        <f t="shared" si="28"/>
        <v>12019</v>
      </c>
      <c r="B505" s="1">
        <v>43480</v>
      </c>
      <c r="C505" s="7">
        <f ca="1">IFERROR(__xludf.DUMMYFUNCTION("""COMPUTED_VALUE"""),43480.6458333333)</f>
        <v>43480.645833333299</v>
      </c>
      <c r="D505">
        <v>8984.9500000000007</v>
      </c>
      <c r="E505">
        <v>9035.4</v>
      </c>
      <c r="F505">
        <v>8958.6</v>
      </c>
      <c r="G505">
        <v>9027.5</v>
      </c>
      <c r="H505">
        <v>0</v>
      </c>
      <c r="I505" s="8">
        <f t="shared" si="29"/>
        <v>8.7381135954767153E-3</v>
      </c>
      <c r="J505" s="8">
        <f t="shared" si="30"/>
        <v>8.7001572319552068E-3</v>
      </c>
      <c r="K505" s="8">
        <f t="shared" si="27"/>
        <v>-7.6385549564665811E-2</v>
      </c>
    </row>
    <row r="506" spans="1:11" x14ac:dyDescent="0.25">
      <c r="A506" t="str">
        <f t="shared" si="28"/>
        <v>12019</v>
      </c>
      <c r="B506" s="1">
        <v>43481</v>
      </c>
      <c r="C506" s="7">
        <f ca="1">IFERROR(__xludf.DUMMYFUNCTION("""COMPUTED_VALUE"""),43481.6458333333)</f>
        <v>43481.645833333299</v>
      </c>
      <c r="D506">
        <v>9019.4</v>
      </c>
      <c r="E506">
        <v>9069.5</v>
      </c>
      <c r="F506">
        <v>8989.75</v>
      </c>
      <c r="G506">
        <v>9054.2000000000007</v>
      </c>
      <c r="H506">
        <v>0</v>
      </c>
      <c r="I506" s="8">
        <f t="shared" si="29"/>
        <v>2.957629465522027E-3</v>
      </c>
      <c r="J506" s="8">
        <f t="shared" si="30"/>
        <v>2.953264284435134E-3</v>
      </c>
      <c r="K506" s="8">
        <f t="shared" si="27"/>
        <v>-7.9553714387373797E-2</v>
      </c>
    </row>
    <row r="507" spans="1:11" x14ac:dyDescent="0.25">
      <c r="A507" t="str">
        <f t="shared" si="28"/>
        <v>12019</v>
      </c>
      <c r="B507" s="1">
        <v>43482</v>
      </c>
      <c r="C507" s="7">
        <f ca="1">IFERROR(__xludf.DUMMYFUNCTION("""COMPUTED_VALUE"""),43482.6458333333)</f>
        <v>43482.645833333299</v>
      </c>
      <c r="D507">
        <v>9069.6</v>
      </c>
      <c r="E507">
        <v>9097.5499999999993</v>
      </c>
      <c r="F507">
        <v>8905.4</v>
      </c>
      <c r="G507">
        <v>8930.5</v>
      </c>
      <c r="H507">
        <v>0</v>
      </c>
      <c r="I507" s="8">
        <f t="shared" si="29"/>
        <v>-1.3662167833712657E-2</v>
      </c>
      <c r="J507" s="8">
        <f t="shared" si="30"/>
        <v>-1.3756354091509816E-2</v>
      </c>
      <c r="K507" s="8">
        <f t="shared" si="27"/>
        <v>-7.8037248100429446E-2</v>
      </c>
    </row>
    <row r="508" spans="1:11" x14ac:dyDescent="0.25">
      <c r="A508" t="str">
        <f t="shared" si="28"/>
        <v>12019</v>
      </c>
      <c r="B508" s="1">
        <v>43483</v>
      </c>
      <c r="C508" s="7">
        <f ca="1">IFERROR(__xludf.DUMMYFUNCTION("""COMPUTED_VALUE"""),43483.6458333333)</f>
        <v>43483.645833333299</v>
      </c>
      <c r="D508">
        <v>8911.75</v>
      </c>
      <c r="E508">
        <v>8912.5499999999993</v>
      </c>
      <c r="F508">
        <v>8616.85</v>
      </c>
      <c r="G508">
        <v>8689.6</v>
      </c>
      <c r="H508">
        <v>0</v>
      </c>
      <c r="I508" s="8">
        <f t="shared" si="29"/>
        <v>-2.6974973405744285E-2</v>
      </c>
      <c r="J508" s="8">
        <f t="shared" si="30"/>
        <v>-2.7345476063957343E-2</v>
      </c>
      <c r="K508" s="8">
        <f t="shared" si="27"/>
        <v>-9.9551309285721534E-2</v>
      </c>
    </row>
    <row r="509" spans="1:11" x14ac:dyDescent="0.25">
      <c r="A509" t="str">
        <f t="shared" si="28"/>
        <v>12019</v>
      </c>
      <c r="B509" s="1">
        <v>43486</v>
      </c>
      <c r="C509" s="7">
        <f ca="1">IFERROR(__xludf.DUMMYFUNCTION("""COMPUTED_VALUE"""),43486.6458333333)</f>
        <v>43486.645833333299</v>
      </c>
      <c r="D509">
        <v>8694.2000000000007</v>
      </c>
      <c r="E509">
        <v>8833.7000000000007</v>
      </c>
      <c r="F509">
        <v>8694.2000000000007</v>
      </c>
      <c r="G509">
        <v>8734.7000000000007</v>
      </c>
      <c r="H509">
        <v>0</v>
      </c>
      <c r="I509" s="8">
        <f t="shared" si="29"/>
        <v>5.1901123181734565E-3</v>
      </c>
      <c r="J509" s="8">
        <f t="shared" si="30"/>
        <v>5.1766901070601969E-3</v>
      </c>
      <c r="K509" s="8">
        <f t="shared" si="27"/>
        <v>-9.4535408665184173E-2</v>
      </c>
    </row>
    <row r="510" spans="1:11" x14ac:dyDescent="0.25">
      <c r="A510" t="str">
        <f t="shared" si="28"/>
        <v>12019</v>
      </c>
      <c r="B510" s="1">
        <v>43487</v>
      </c>
      <c r="C510" s="7">
        <f ca="1">IFERROR(__xludf.DUMMYFUNCTION("""COMPUTED_VALUE"""),43487.6458333333)</f>
        <v>43487.645833333299</v>
      </c>
      <c r="D510">
        <v>8791.85</v>
      </c>
      <c r="E510">
        <v>8903.2999999999993</v>
      </c>
      <c r="F510">
        <v>8783.0499999999993</v>
      </c>
      <c r="G510">
        <v>8892.6</v>
      </c>
      <c r="H510">
        <v>0</v>
      </c>
      <c r="I510" s="8">
        <f t="shared" si="29"/>
        <v>1.8077323777576648E-2</v>
      </c>
      <c r="J510" s="8">
        <f t="shared" si="30"/>
        <v>1.7915871803283148E-2</v>
      </c>
      <c r="K510" s="8">
        <f t="shared" si="27"/>
        <v>-5.077255624049315E-2</v>
      </c>
    </row>
    <row r="511" spans="1:11" x14ac:dyDescent="0.25">
      <c r="A511" t="str">
        <f t="shared" si="28"/>
        <v>12019</v>
      </c>
      <c r="B511" s="1">
        <v>43488</v>
      </c>
      <c r="C511" s="7">
        <f ca="1">IFERROR(__xludf.DUMMYFUNCTION("""COMPUTED_VALUE"""),43488.6458333333)</f>
        <v>43488.645833333299</v>
      </c>
      <c r="D511">
        <v>8905.2000000000007</v>
      </c>
      <c r="E511">
        <v>8969.5</v>
      </c>
      <c r="F511">
        <v>8855.1</v>
      </c>
      <c r="G511">
        <v>8946.2000000000007</v>
      </c>
      <c r="H511">
        <v>0</v>
      </c>
      <c r="I511" s="8">
        <f t="shared" si="29"/>
        <v>6.0274835256279857E-3</v>
      </c>
      <c r="J511" s="8">
        <f t="shared" si="30"/>
        <v>6.0093909123538755E-3</v>
      </c>
      <c r="K511" s="8">
        <f t="shared" si="27"/>
        <v>-4.1588104216660815E-2</v>
      </c>
    </row>
    <row r="512" spans="1:11" x14ac:dyDescent="0.25">
      <c r="A512" t="str">
        <f t="shared" si="28"/>
        <v>12019</v>
      </c>
      <c r="B512" s="1">
        <v>43489</v>
      </c>
      <c r="C512" s="7">
        <f ca="1">IFERROR(__xludf.DUMMYFUNCTION("""COMPUTED_VALUE"""),43489.6458333333)</f>
        <v>43489.645833333299</v>
      </c>
      <c r="D512">
        <v>8956.4500000000007</v>
      </c>
      <c r="E512">
        <v>9001.0499999999993</v>
      </c>
      <c r="F512">
        <v>8845.9500000000007</v>
      </c>
      <c r="G512">
        <v>8894.5</v>
      </c>
      <c r="H512">
        <v>0</v>
      </c>
      <c r="I512" s="8">
        <f t="shared" si="29"/>
        <v>-5.7789899622187058E-3</v>
      </c>
      <c r="J512" s="8">
        <f t="shared" si="30"/>
        <v>-5.7957529379538929E-3</v>
      </c>
      <c r="K512" s="8">
        <f t="shared" ref="K512:K575" si="31">+G512/G451-1</f>
        <v>-2.7147341594933705E-2</v>
      </c>
    </row>
    <row r="513" spans="1:11" x14ac:dyDescent="0.25">
      <c r="A513" t="str">
        <f t="shared" si="28"/>
        <v>12019</v>
      </c>
      <c r="B513" s="1">
        <v>43490</v>
      </c>
      <c r="C513" s="7">
        <f ca="1">IFERROR(__xludf.DUMMYFUNCTION("""COMPUTED_VALUE"""),43490.6458333333)</f>
        <v>43490.645833333299</v>
      </c>
      <c r="D513">
        <v>8928.7999999999993</v>
      </c>
      <c r="E513">
        <v>8960.65</v>
      </c>
      <c r="F513">
        <v>8851.75</v>
      </c>
      <c r="G513">
        <v>8891</v>
      </c>
      <c r="H513">
        <v>0</v>
      </c>
      <c r="I513" s="8">
        <f t="shared" si="29"/>
        <v>-3.9350160211371055E-4</v>
      </c>
      <c r="J513" s="8">
        <f t="shared" si="30"/>
        <v>-3.9357904418552944E-4</v>
      </c>
      <c r="K513" s="8">
        <f t="shared" si="31"/>
        <v>-2.4585577777534007E-2</v>
      </c>
    </row>
    <row r="514" spans="1:11" x14ac:dyDescent="0.25">
      <c r="A514" t="str">
        <f t="shared" si="28"/>
        <v>12019</v>
      </c>
      <c r="B514" s="1">
        <v>43493</v>
      </c>
      <c r="C514" s="7">
        <f ca="1">IFERROR(__xludf.DUMMYFUNCTION("""COMPUTED_VALUE"""),43493.6458333333)</f>
        <v>43493.645833333299</v>
      </c>
      <c r="D514">
        <v>8886.15</v>
      </c>
      <c r="E514">
        <v>8886.15</v>
      </c>
      <c r="F514">
        <v>8638.25</v>
      </c>
      <c r="G514">
        <v>8663.9</v>
      </c>
      <c r="H514">
        <v>0</v>
      </c>
      <c r="I514" s="8">
        <f t="shared" si="29"/>
        <v>-2.5542683612642003E-2</v>
      </c>
      <c r="J514" s="8">
        <f t="shared" si="30"/>
        <v>-2.5874561519849047E-2</v>
      </c>
      <c r="K514" s="8">
        <f t="shared" si="31"/>
        <v>-9.6607023690357008E-2</v>
      </c>
    </row>
    <row r="515" spans="1:11" x14ac:dyDescent="0.25">
      <c r="A515" t="str">
        <f t="shared" ref="A515:A578" si="32">+MONTH(B515)&amp;YEAR(B515)</f>
        <v>12019</v>
      </c>
      <c r="B515" s="1">
        <v>43494</v>
      </c>
      <c r="C515" s="7">
        <f ca="1">IFERROR(__xludf.DUMMYFUNCTION("""COMPUTED_VALUE"""),43494.6458333333)</f>
        <v>43494.645833333299</v>
      </c>
      <c r="D515">
        <v>8635.15</v>
      </c>
      <c r="E515">
        <v>8786.5499999999993</v>
      </c>
      <c r="F515">
        <v>8562.35</v>
      </c>
      <c r="G515">
        <v>8756.9</v>
      </c>
      <c r="H515">
        <v>0</v>
      </c>
      <c r="I515" s="8">
        <f t="shared" si="29"/>
        <v>1.0734195916388689E-2</v>
      </c>
      <c r="J515" s="8">
        <f t="shared" si="30"/>
        <v>1.0676993419852378E-2</v>
      </c>
      <c r="K515" s="8">
        <f t="shared" si="31"/>
        <v>-8.1633509171184948E-2</v>
      </c>
    </row>
    <row r="516" spans="1:11" x14ac:dyDescent="0.25">
      <c r="A516" t="str">
        <f t="shared" si="32"/>
        <v>12019</v>
      </c>
      <c r="B516" s="1">
        <v>43495</v>
      </c>
      <c r="C516" s="7">
        <f ca="1">IFERROR(__xludf.DUMMYFUNCTION("""COMPUTED_VALUE"""),43495.6458333333)</f>
        <v>43495.645833333299</v>
      </c>
      <c r="D516">
        <v>8771.5</v>
      </c>
      <c r="E516">
        <v>8784</v>
      </c>
      <c r="F516">
        <v>8692.9</v>
      </c>
      <c r="G516">
        <v>8734.6</v>
      </c>
      <c r="H516">
        <v>0</v>
      </c>
      <c r="I516" s="8">
        <f t="shared" ref="I516:I579" si="33">+G516/G515-1</f>
        <v>-2.5465632815264705E-3</v>
      </c>
      <c r="J516" s="8">
        <f t="shared" ref="J516:J579" si="34">+LN(1+I516)</f>
        <v>-2.5498112891429434E-3</v>
      </c>
      <c r="K516" s="8">
        <f t="shared" si="31"/>
        <v>-0.10483218037407116</v>
      </c>
    </row>
    <row r="517" spans="1:11" x14ac:dyDescent="0.25">
      <c r="A517" t="str">
        <f t="shared" si="32"/>
        <v>12019</v>
      </c>
      <c r="B517" s="1">
        <v>43496</v>
      </c>
      <c r="C517" s="7">
        <f ca="1">IFERROR(__xludf.DUMMYFUNCTION("""COMPUTED_VALUE"""),43496.6458333333)</f>
        <v>43496.645833333299</v>
      </c>
      <c r="D517">
        <v>8748.4500000000007</v>
      </c>
      <c r="E517">
        <v>8866.5499999999993</v>
      </c>
      <c r="F517">
        <v>8713.7999999999993</v>
      </c>
      <c r="G517">
        <v>8825.35</v>
      </c>
      <c r="H517">
        <v>0</v>
      </c>
      <c r="I517" s="8">
        <f t="shared" si="33"/>
        <v>1.0389714468893807E-2</v>
      </c>
      <c r="J517" s="8">
        <f t="shared" si="34"/>
        <v>1.0336112339716187E-2</v>
      </c>
      <c r="K517" s="8">
        <f t="shared" si="31"/>
        <v>-8.156808874874466E-2</v>
      </c>
    </row>
    <row r="518" spans="1:11" x14ac:dyDescent="0.25">
      <c r="A518" t="str">
        <f t="shared" si="32"/>
        <v>22019</v>
      </c>
      <c r="B518" s="1">
        <v>43497</v>
      </c>
      <c r="C518" s="7">
        <f ca="1">IFERROR(__xludf.DUMMYFUNCTION("""COMPUTED_VALUE"""),43497.6458333333)</f>
        <v>43497.645833333299</v>
      </c>
      <c r="D518">
        <v>8810.65</v>
      </c>
      <c r="E518">
        <v>8991.9500000000007</v>
      </c>
      <c r="F518">
        <v>8806.4</v>
      </c>
      <c r="G518">
        <v>8969.5499999999993</v>
      </c>
      <c r="H518">
        <v>0</v>
      </c>
      <c r="I518" s="8">
        <f t="shared" si="33"/>
        <v>1.6339295325397796E-2</v>
      </c>
      <c r="J518" s="8">
        <f t="shared" si="34"/>
        <v>1.620724549862871E-2</v>
      </c>
      <c r="K518" s="8">
        <f t="shared" si="31"/>
        <v>-6.0568609686997732E-2</v>
      </c>
    </row>
    <row r="519" spans="1:11" x14ac:dyDescent="0.25">
      <c r="A519" t="str">
        <f t="shared" si="32"/>
        <v>22019</v>
      </c>
      <c r="B519" s="1">
        <v>43500</v>
      </c>
      <c r="C519" s="7">
        <f ca="1">IFERROR(__xludf.DUMMYFUNCTION("""COMPUTED_VALUE"""),43500.6458333333)</f>
        <v>43500.645833333299</v>
      </c>
      <c r="D519">
        <v>8992.1</v>
      </c>
      <c r="E519">
        <v>8998.25</v>
      </c>
      <c r="F519">
        <v>8772.9</v>
      </c>
      <c r="G519">
        <v>8811.9</v>
      </c>
      <c r="H519">
        <v>0</v>
      </c>
      <c r="I519" s="8">
        <f t="shared" si="33"/>
        <v>-1.7576132581902049E-2</v>
      </c>
      <c r="J519" s="8">
        <f t="shared" si="34"/>
        <v>-1.7732426874099157E-2</v>
      </c>
      <c r="K519" s="8">
        <f t="shared" si="31"/>
        <v>-6.8558744252418036E-2</v>
      </c>
    </row>
    <row r="520" spans="1:11" x14ac:dyDescent="0.25">
      <c r="A520" t="str">
        <f t="shared" si="32"/>
        <v>22019</v>
      </c>
      <c r="B520" s="1">
        <v>43501</v>
      </c>
      <c r="C520" s="7">
        <f ca="1">IFERROR(__xludf.DUMMYFUNCTION("""COMPUTED_VALUE"""),43501.6458333333)</f>
        <v>43501.645833333299</v>
      </c>
      <c r="D520">
        <v>8828.5</v>
      </c>
      <c r="E520">
        <v>8887.4500000000007</v>
      </c>
      <c r="F520">
        <v>8764.5</v>
      </c>
      <c r="G520">
        <v>8800.6</v>
      </c>
      <c r="H520">
        <v>0</v>
      </c>
      <c r="I520" s="8">
        <f t="shared" si="33"/>
        <v>-1.2823568129460838E-3</v>
      </c>
      <c r="J520" s="8">
        <f t="shared" si="34"/>
        <v>-1.2831797360398607E-3</v>
      </c>
      <c r="K520" s="8">
        <f t="shared" si="31"/>
        <v>-6.9207134887016908E-2</v>
      </c>
    </row>
    <row r="521" spans="1:11" x14ac:dyDescent="0.25">
      <c r="A521" t="str">
        <f t="shared" si="32"/>
        <v>22019</v>
      </c>
      <c r="B521" s="1">
        <v>43502</v>
      </c>
      <c r="C521" s="7">
        <f ca="1">IFERROR(__xludf.DUMMYFUNCTION("""COMPUTED_VALUE"""),43502.6458333333)</f>
        <v>43502.645833333299</v>
      </c>
      <c r="D521">
        <v>8803.4</v>
      </c>
      <c r="E521">
        <v>8955</v>
      </c>
      <c r="F521">
        <v>8703.4</v>
      </c>
      <c r="G521">
        <v>8906.9</v>
      </c>
      <c r="H521">
        <v>0</v>
      </c>
      <c r="I521" s="8">
        <f t="shared" si="33"/>
        <v>1.2078721905324663E-2</v>
      </c>
      <c r="J521" s="8">
        <f t="shared" si="34"/>
        <v>1.2006356283906386E-2</v>
      </c>
      <c r="K521" s="8">
        <f t="shared" si="31"/>
        <v>-7.6421364800547509E-2</v>
      </c>
    </row>
    <row r="522" spans="1:11" x14ac:dyDescent="0.25">
      <c r="A522" t="str">
        <f t="shared" si="32"/>
        <v>22019</v>
      </c>
      <c r="B522" s="1">
        <v>43503</v>
      </c>
      <c r="C522" s="7">
        <f ca="1">IFERROR(__xludf.DUMMYFUNCTION("""COMPUTED_VALUE"""),43503.6458333333)</f>
        <v>43503.645833333299</v>
      </c>
      <c r="D522">
        <v>8937.9500000000007</v>
      </c>
      <c r="E522">
        <v>9088.5499999999993</v>
      </c>
      <c r="F522">
        <v>8937.9500000000007</v>
      </c>
      <c r="G522">
        <v>9056.15</v>
      </c>
      <c r="H522">
        <v>0</v>
      </c>
      <c r="I522" s="8">
        <f t="shared" si="33"/>
        <v>1.6756671793777933E-2</v>
      </c>
      <c r="J522" s="8">
        <f t="shared" si="34"/>
        <v>1.6617827665918048E-2</v>
      </c>
      <c r="K522" s="8">
        <f t="shared" si="31"/>
        <v>-5.2456186241171876E-2</v>
      </c>
    </row>
    <row r="523" spans="1:11" x14ac:dyDescent="0.25">
      <c r="A523" t="str">
        <f t="shared" si="32"/>
        <v>22019</v>
      </c>
      <c r="B523" s="1">
        <v>43504</v>
      </c>
      <c r="C523" s="7">
        <f ca="1">IFERROR(__xludf.DUMMYFUNCTION("""COMPUTED_VALUE"""),43504.6458333333)</f>
        <v>43504.645833333299</v>
      </c>
      <c r="D523">
        <v>9060.7999999999993</v>
      </c>
      <c r="E523">
        <v>9060.7999999999993</v>
      </c>
      <c r="F523">
        <v>8921.6</v>
      </c>
      <c r="G523">
        <v>8984.85</v>
      </c>
      <c r="H523">
        <v>0</v>
      </c>
      <c r="I523" s="8">
        <f t="shared" si="33"/>
        <v>-7.8731028085885502E-3</v>
      </c>
      <c r="J523" s="8">
        <f t="shared" si="34"/>
        <v>-7.9042593225425659E-3</v>
      </c>
      <c r="K523" s="8">
        <f t="shared" si="31"/>
        <v>-4.645239346036889E-2</v>
      </c>
    </row>
    <row r="524" spans="1:11" x14ac:dyDescent="0.25">
      <c r="A524" t="str">
        <f t="shared" si="32"/>
        <v>22019</v>
      </c>
      <c r="B524" s="1">
        <v>43507</v>
      </c>
      <c r="C524" s="7">
        <f ca="1">IFERROR(__xludf.DUMMYFUNCTION("""COMPUTED_VALUE"""),43507.6458333333)</f>
        <v>43507.645833333299</v>
      </c>
      <c r="D524">
        <v>8924.9500000000007</v>
      </c>
      <c r="E524">
        <v>8957.2999999999993</v>
      </c>
      <c r="F524">
        <v>8772.6</v>
      </c>
      <c r="G524">
        <v>8838</v>
      </c>
      <c r="H524">
        <v>0</v>
      </c>
      <c r="I524" s="8">
        <f t="shared" si="33"/>
        <v>-1.6344179368603884E-2</v>
      </c>
      <c r="J524" s="8">
        <f t="shared" si="34"/>
        <v>-1.6479218896801619E-2</v>
      </c>
      <c r="K524" s="8">
        <f t="shared" si="31"/>
        <v>-4.1031233215605201E-2</v>
      </c>
    </row>
    <row r="525" spans="1:11" x14ac:dyDescent="0.25">
      <c r="A525" t="str">
        <f t="shared" si="32"/>
        <v>22019</v>
      </c>
      <c r="B525" s="1">
        <v>43508</v>
      </c>
      <c r="C525" s="7">
        <f ca="1">IFERROR(__xludf.DUMMYFUNCTION("""COMPUTED_VALUE"""),43508.6458333333)</f>
        <v>43508.645833333299</v>
      </c>
      <c r="D525">
        <v>8839.9</v>
      </c>
      <c r="E525">
        <v>8948.0499999999993</v>
      </c>
      <c r="F525">
        <v>8795.25</v>
      </c>
      <c r="G525">
        <v>8904.9500000000007</v>
      </c>
      <c r="H525">
        <v>0</v>
      </c>
      <c r="I525" s="8">
        <f t="shared" si="33"/>
        <v>7.5752432677076431E-3</v>
      </c>
      <c r="J525" s="8">
        <f t="shared" si="34"/>
        <v>7.5466951941805223E-3</v>
      </c>
      <c r="K525" s="8">
        <f t="shared" si="31"/>
        <v>-3.4018365144192764E-2</v>
      </c>
    </row>
    <row r="526" spans="1:11" x14ac:dyDescent="0.25">
      <c r="A526" t="str">
        <f t="shared" si="32"/>
        <v>22019</v>
      </c>
      <c r="B526" s="1">
        <v>43509</v>
      </c>
      <c r="C526" s="7">
        <f ca="1">IFERROR(__xludf.DUMMYFUNCTION("""COMPUTED_VALUE"""),43509.6458333333)</f>
        <v>43509.645833333299</v>
      </c>
      <c r="D526">
        <v>9000.1</v>
      </c>
      <c r="E526">
        <v>9009.15</v>
      </c>
      <c r="F526">
        <v>8803.5499999999993</v>
      </c>
      <c r="G526">
        <v>8839.75</v>
      </c>
      <c r="H526">
        <v>0</v>
      </c>
      <c r="I526" s="8">
        <f t="shared" si="33"/>
        <v>-7.3217704759712676E-3</v>
      </c>
      <c r="J526" s="8">
        <f t="shared" si="34"/>
        <v>-7.3487061960652161E-3</v>
      </c>
      <c r="K526" s="8">
        <f t="shared" si="31"/>
        <v>-4.9627204653088008E-2</v>
      </c>
    </row>
    <row r="527" spans="1:11" x14ac:dyDescent="0.25">
      <c r="A527" t="str">
        <f t="shared" si="32"/>
        <v>22019</v>
      </c>
      <c r="B527" s="1">
        <v>43510</v>
      </c>
      <c r="C527" s="7">
        <f ca="1">IFERROR(__xludf.DUMMYFUNCTION("""COMPUTED_VALUE"""),43510.6458333333)</f>
        <v>43510.645833333299</v>
      </c>
      <c r="D527">
        <v>8835.5</v>
      </c>
      <c r="E527">
        <v>8944.65</v>
      </c>
      <c r="F527">
        <v>8809.7000000000007</v>
      </c>
      <c r="G527">
        <v>8920.9</v>
      </c>
      <c r="H527">
        <v>0</v>
      </c>
      <c r="I527" s="8">
        <f t="shared" si="33"/>
        <v>9.1801238722815093E-3</v>
      </c>
      <c r="J527" s="8">
        <f t="shared" si="34"/>
        <v>9.1382426564951408E-3</v>
      </c>
      <c r="K527" s="8">
        <f t="shared" si="31"/>
        <v>-5.0892358432853779E-2</v>
      </c>
    </row>
    <row r="528" spans="1:11" x14ac:dyDescent="0.25">
      <c r="A528" t="str">
        <f t="shared" si="32"/>
        <v>22019</v>
      </c>
      <c r="B528" s="1">
        <v>43511</v>
      </c>
      <c r="C528" s="7">
        <f ca="1">IFERROR(__xludf.DUMMYFUNCTION("""COMPUTED_VALUE"""),43511.6458333333)</f>
        <v>43511.645833333299</v>
      </c>
      <c r="D528">
        <v>8890.9500000000007</v>
      </c>
      <c r="E528">
        <v>8893.4500000000007</v>
      </c>
      <c r="F528">
        <v>8252.1</v>
      </c>
      <c r="G528">
        <v>8643.2999999999993</v>
      </c>
      <c r="H528">
        <v>0</v>
      </c>
      <c r="I528" s="8">
        <f t="shared" si="33"/>
        <v>-3.1117936531067536E-2</v>
      </c>
      <c r="J528" s="8">
        <f t="shared" si="34"/>
        <v>-3.1612384024961734E-2</v>
      </c>
      <c r="K528" s="8">
        <f t="shared" si="31"/>
        <v>-6.2416609717205418E-2</v>
      </c>
    </row>
    <row r="529" spans="1:11" x14ac:dyDescent="0.25">
      <c r="A529" t="str">
        <f t="shared" si="32"/>
        <v>22019</v>
      </c>
      <c r="B529" s="1">
        <v>43514</v>
      </c>
      <c r="C529" s="7">
        <f ca="1">IFERROR(__xludf.DUMMYFUNCTION("""COMPUTED_VALUE"""),43514.6458333333)</f>
        <v>43514.645833333299</v>
      </c>
      <c r="D529">
        <v>8703.6</v>
      </c>
      <c r="E529">
        <v>8744.25</v>
      </c>
      <c r="F529">
        <v>8560.5</v>
      </c>
      <c r="G529">
        <v>8573.9500000000007</v>
      </c>
      <c r="H529">
        <v>0</v>
      </c>
      <c r="I529" s="8">
        <f t="shared" si="33"/>
        <v>-8.0235558178008981E-3</v>
      </c>
      <c r="J529" s="8">
        <f t="shared" si="34"/>
        <v>-8.0559177632733396E-3</v>
      </c>
      <c r="K529" s="8">
        <f t="shared" si="31"/>
        <v>-8.545508847905614E-2</v>
      </c>
    </row>
    <row r="530" spans="1:11" x14ac:dyDescent="0.25">
      <c r="A530" t="str">
        <f t="shared" si="32"/>
        <v>22019</v>
      </c>
      <c r="B530" s="1">
        <v>43515</v>
      </c>
      <c r="C530" s="7">
        <f ca="1">IFERROR(__xludf.DUMMYFUNCTION("""COMPUTED_VALUE"""),43515.6458333333)</f>
        <v>43515.645833333299</v>
      </c>
      <c r="D530">
        <v>8611.1</v>
      </c>
      <c r="E530">
        <v>8636.9500000000007</v>
      </c>
      <c r="F530">
        <v>8539.75</v>
      </c>
      <c r="G530">
        <v>8552.7000000000007</v>
      </c>
      <c r="H530">
        <v>0</v>
      </c>
      <c r="I530" s="8">
        <f t="shared" si="33"/>
        <v>-2.4784375929414182E-3</v>
      </c>
      <c r="J530" s="8">
        <f t="shared" si="34"/>
        <v>-2.4815140035715499E-3</v>
      </c>
      <c r="K530" s="8">
        <f t="shared" si="31"/>
        <v>-8.0582221601109283E-2</v>
      </c>
    </row>
    <row r="531" spans="1:11" x14ac:dyDescent="0.25">
      <c r="A531" t="str">
        <f t="shared" si="32"/>
        <v>22019</v>
      </c>
      <c r="B531" s="1">
        <v>43516</v>
      </c>
      <c r="C531" s="7">
        <f ca="1">IFERROR(__xludf.DUMMYFUNCTION("""COMPUTED_VALUE"""),43516.6458333333)</f>
        <v>43516.645833333299</v>
      </c>
      <c r="D531">
        <v>8600.9500000000007</v>
      </c>
      <c r="E531">
        <v>8621</v>
      </c>
      <c r="F531">
        <v>8551.4500000000007</v>
      </c>
      <c r="G531">
        <v>8606.35</v>
      </c>
      <c r="H531">
        <v>0</v>
      </c>
      <c r="I531" s="8">
        <f t="shared" si="33"/>
        <v>6.2728728939398515E-3</v>
      </c>
      <c r="J531" s="8">
        <f t="shared" si="34"/>
        <v>6.2532803185703862E-3</v>
      </c>
      <c r="K531" s="8">
        <f t="shared" si="31"/>
        <v>-6.2540166657589435E-2</v>
      </c>
    </row>
    <row r="532" spans="1:11" x14ac:dyDescent="0.25">
      <c r="A532" t="str">
        <f t="shared" si="32"/>
        <v>22019</v>
      </c>
      <c r="B532" s="1">
        <v>43517</v>
      </c>
      <c r="C532" s="7">
        <f ca="1">IFERROR(__xludf.DUMMYFUNCTION("""COMPUTED_VALUE"""),43517.6458333333)</f>
        <v>43517.645833333299</v>
      </c>
      <c r="D532">
        <v>8632.25</v>
      </c>
      <c r="E532">
        <v>8721.9500000000007</v>
      </c>
      <c r="F532">
        <v>8606.0499999999993</v>
      </c>
      <c r="G532">
        <v>8706.35</v>
      </c>
      <c r="H532">
        <v>0</v>
      </c>
      <c r="I532" s="8">
        <f t="shared" si="33"/>
        <v>1.1619327589512451E-2</v>
      </c>
      <c r="J532" s="8">
        <f t="shared" si="34"/>
        <v>1.1552341591528629E-2</v>
      </c>
      <c r="K532" s="8">
        <f t="shared" si="31"/>
        <v>-3.8869784565792154E-2</v>
      </c>
    </row>
    <row r="533" spans="1:11" x14ac:dyDescent="0.25">
      <c r="A533" t="str">
        <f t="shared" si="32"/>
        <v>22019</v>
      </c>
      <c r="B533" s="1">
        <v>43518</v>
      </c>
      <c r="C533" s="7">
        <f ca="1">IFERROR(__xludf.DUMMYFUNCTION("""COMPUTED_VALUE"""),43518.6458333333)</f>
        <v>43518.645833333299</v>
      </c>
      <c r="D533">
        <v>8718.6</v>
      </c>
      <c r="E533">
        <v>8778.4</v>
      </c>
      <c r="F533">
        <v>8698.85</v>
      </c>
      <c r="G533">
        <v>8772.6</v>
      </c>
      <c r="H533">
        <v>0</v>
      </c>
      <c r="I533" s="8">
        <f t="shared" si="33"/>
        <v>7.6093885497365843E-3</v>
      </c>
      <c r="J533" s="8">
        <f t="shared" si="34"/>
        <v>7.5805831878592092E-3</v>
      </c>
      <c r="K533" s="8">
        <f t="shared" si="31"/>
        <v>-2.6866929937436113E-2</v>
      </c>
    </row>
    <row r="534" spans="1:11" x14ac:dyDescent="0.25">
      <c r="A534" t="str">
        <f t="shared" si="32"/>
        <v>22019</v>
      </c>
      <c r="B534" s="1">
        <v>43521</v>
      </c>
      <c r="C534" s="7">
        <f ca="1">IFERROR(__xludf.DUMMYFUNCTION("""COMPUTED_VALUE"""),43521.6458333333)</f>
        <v>43521.645833333299</v>
      </c>
      <c r="D534">
        <v>8795.35</v>
      </c>
      <c r="E534">
        <v>8858.2000000000007</v>
      </c>
      <c r="F534">
        <v>8738.1</v>
      </c>
      <c r="G534">
        <v>8816.2000000000007</v>
      </c>
      <c r="H534">
        <v>0</v>
      </c>
      <c r="I534" s="8">
        <f t="shared" si="33"/>
        <v>4.9700202904499058E-3</v>
      </c>
      <c r="J534" s="8">
        <f t="shared" si="34"/>
        <v>4.9577105093329037E-3</v>
      </c>
      <c r="K534" s="8">
        <f t="shared" si="31"/>
        <v>-3.0190360425272011E-2</v>
      </c>
    </row>
    <row r="535" spans="1:11" x14ac:dyDescent="0.25">
      <c r="A535" t="str">
        <f t="shared" si="32"/>
        <v>22019</v>
      </c>
      <c r="B535" s="1">
        <v>43522</v>
      </c>
      <c r="C535" s="7">
        <f ca="1">IFERROR(__xludf.DUMMYFUNCTION("""COMPUTED_VALUE"""),43522.6458333333)</f>
        <v>43522.645833333299</v>
      </c>
      <c r="D535">
        <v>8733.9500000000007</v>
      </c>
      <c r="E535">
        <v>8869.7999999999993</v>
      </c>
      <c r="F535">
        <v>8659.1</v>
      </c>
      <c r="G535">
        <v>8829.4500000000007</v>
      </c>
      <c r="H535">
        <v>0</v>
      </c>
      <c r="I535" s="8">
        <f t="shared" si="33"/>
        <v>1.502915088133161E-3</v>
      </c>
      <c r="J535" s="8">
        <f t="shared" si="34"/>
        <v>1.5017868415498346E-3</v>
      </c>
      <c r="K535" s="8">
        <f t="shared" si="31"/>
        <v>-4.8109576635725571E-2</v>
      </c>
    </row>
    <row r="536" spans="1:11" x14ac:dyDescent="0.25">
      <c r="A536" t="str">
        <f t="shared" si="32"/>
        <v>22019</v>
      </c>
      <c r="B536" s="1">
        <v>43523</v>
      </c>
      <c r="C536" s="7">
        <f ca="1">IFERROR(__xludf.DUMMYFUNCTION("""COMPUTED_VALUE"""),43523.6458333333)</f>
        <v>43523.645833333299</v>
      </c>
      <c r="D536">
        <v>8859.5499999999993</v>
      </c>
      <c r="E536">
        <v>8975.4</v>
      </c>
      <c r="F536">
        <v>8799.4500000000007</v>
      </c>
      <c r="G536">
        <v>8866.2000000000007</v>
      </c>
      <c r="H536">
        <v>0</v>
      </c>
      <c r="I536" s="8">
        <f t="shared" si="33"/>
        <v>4.1622071589964005E-3</v>
      </c>
      <c r="J536" s="8">
        <f t="shared" si="34"/>
        <v>4.1535691353133449E-3</v>
      </c>
      <c r="K536" s="8">
        <f t="shared" si="31"/>
        <v>-2.0677314600039631E-2</v>
      </c>
    </row>
    <row r="537" spans="1:11" x14ac:dyDescent="0.25">
      <c r="A537" t="str">
        <f t="shared" si="32"/>
        <v>22019</v>
      </c>
      <c r="B537" s="1">
        <v>43524</v>
      </c>
      <c r="C537" s="7">
        <f ca="1">IFERROR(__xludf.DUMMYFUNCTION("""COMPUTED_VALUE"""),43524.6458333333)</f>
        <v>43524.645833333299</v>
      </c>
      <c r="D537">
        <v>8918.9500000000007</v>
      </c>
      <c r="E537">
        <v>8934.4</v>
      </c>
      <c r="F537">
        <v>8871.4</v>
      </c>
      <c r="G537">
        <v>8884.85</v>
      </c>
      <c r="H537">
        <v>0</v>
      </c>
      <c r="I537" s="8">
        <f t="shared" si="33"/>
        <v>2.1034941688660158E-3</v>
      </c>
      <c r="J537" s="8">
        <f t="shared" si="34"/>
        <v>2.101284922555484E-3</v>
      </c>
      <c r="K537" s="8">
        <f t="shared" si="31"/>
        <v>-1.9808260888751539E-2</v>
      </c>
    </row>
    <row r="538" spans="1:11" x14ac:dyDescent="0.25">
      <c r="A538" t="str">
        <f t="shared" si="32"/>
        <v>32019</v>
      </c>
      <c r="B538" s="1">
        <v>43525</v>
      </c>
      <c r="C538" s="7">
        <f ca="1">IFERROR(__xludf.DUMMYFUNCTION("""COMPUTED_VALUE"""),43525.6458333333)</f>
        <v>43525.645833333299</v>
      </c>
      <c r="D538">
        <v>8909</v>
      </c>
      <c r="E538">
        <v>8993.7999999999993</v>
      </c>
      <c r="F538">
        <v>8882.2000000000007</v>
      </c>
      <c r="G538">
        <v>8972.65</v>
      </c>
      <c r="H538">
        <v>0</v>
      </c>
      <c r="I538" s="8">
        <f t="shared" si="33"/>
        <v>9.8819901292648282E-3</v>
      </c>
      <c r="J538" s="8">
        <f t="shared" si="34"/>
        <v>9.8334825704999556E-3</v>
      </c>
      <c r="K538" s="8">
        <f t="shared" si="31"/>
        <v>1.8207712035586798E-2</v>
      </c>
    </row>
    <row r="539" spans="1:11" x14ac:dyDescent="0.25">
      <c r="A539" t="str">
        <f t="shared" si="32"/>
        <v>32019</v>
      </c>
      <c r="B539" s="1">
        <v>43529</v>
      </c>
      <c r="C539" s="7">
        <f ca="1">IFERROR(__xludf.DUMMYFUNCTION("""COMPUTED_VALUE"""),43529.6458333333)</f>
        <v>43529.645833333299</v>
      </c>
      <c r="D539">
        <v>8975.2000000000007</v>
      </c>
      <c r="E539">
        <v>9066.4</v>
      </c>
      <c r="F539">
        <v>8937.9</v>
      </c>
      <c r="G539">
        <v>9054.65</v>
      </c>
      <c r="H539">
        <v>0</v>
      </c>
      <c r="I539" s="8">
        <f t="shared" si="33"/>
        <v>9.1388831616077137E-3</v>
      </c>
      <c r="J539" s="8">
        <f t="shared" si="34"/>
        <v>9.0973762617024348E-3</v>
      </c>
      <c r="K539" s="8">
        <f t="shared" si="31"/>
        <v>4.238185690439189E-2</v>
      </c>
    </row>
    <row r="540" spans="1:11" x14ac:dyDescent="0.25">
      <c r="A540" t="str">
        <f t="shared" si="32"/>
        <v>32019</v>
      </c>
      <c r="B540" s="1">
        <v>43530</v>
      </c>
      <c r="C540" s="7">
        <f ca="1">IFERROR(__xludf.DUMMYFUNCTION("""COMPUTED_VALUE"""),43530.6458333333)</f>
        <v>43530.645833333299</v>
      </c>
      <c r="D540">
        <v>9088.4500000000007</v>
      </c>
      <c r="E540">
        <v>9193.0499999999993</v>
      </c>
      <c r="F540">
        <v>9026.6</v>
      </c>
      <c r="G540">
        <v>9155</v>
      </c>
      <c r="H540">
        <v>0</v>
      </c>
      <c r="I540" s="8">
        <f t="shared" si="33"/>
        <v>1.1082703362360835E-2</v>
      </c>
      <c r="J540" s="8">
        <f t="shared" si="34"/>
        <v>1.1021740216209809E-2</v>
      </c>
      <c r="K540" s="8">
        <f t="shared" si="31"/>
        <v>5.4407665906525571E-2</v>
      </c>
    </row>
    <row r="541" spans="1:11" x14ac:dyDescent="0.25">
      <c r="A541" t="str">
        <f t="shared" si="32"/>
        <v>32019</v>
      </c>
      <c r="B541" s="1">
        <v>43531</v>
      </c>
      <c r="C541" s="7">
        <f ca="1">IFERROR(__xludf.DUMMYFUNCTION("""COMPUTED_VALUE"""),43531.6458333333)</f>
        <v>43531.645833333299</v>
      </c>
      <c r="D541">
        <v>9129.65</v>
      </c>
      <c r="E541">
        <v>9209.15</v>
      </c>
      <c r="F541">
        <v>9021.5</v>
      </c>
      <c r="G541">
        <v>9045.65</v>
      </c>
      <c r="H541">
        <v>0</v>
      </c>
      <c r="I541" s="8">
        <f t="shared" si="33"/>
        <v>-1.1944292736209783E-2</v>
      </c>
      <c r="J541" s="8">
        <f t="shared" si="34"/>
        <v>-1.2016198953546886E-2</v>
      </c>
      <c r="K541" s="8">
        <f t="shared" si="31"/>
        <v>5.9792860239241685E-2</v>
      </c>
    </row>
    <row r="542" spans="1:11" x14ac:dyDescent="0.25">
      <c r="A542" t="str">
        <f t="shared" si="32"/>
        <v>32019</v>
      </c>
      <c r="B542" s="1">
        <v>43532</v>
      </c>
      <c r="C542" s="7">
        <f ca="1">IFERROR(__xludf.DUMMYFUNCTION("""COMPUTED_VALUE"""),43532.6458333333)</f>
        <v>43532.645833333299</v>
      </c>
      <c r="D542">
        <v>9038.85</v>
      </c>
      <c r="E542">
        <v>9085.2000000000007</v>
      </c>
      <c r="F542">
        <v>9007.7999999999993</v>
      </c>
      <c r="G542">
        <v>9021.85</v>
      </c>
      <c r="H542">
        <v>0</v>
      </c>
      <c r="I542" s="8">
        <f t="shared" si="33"/>
        <v>-2.6310989260029949E-3</v>
      </c>
      <c r="J542" s="8">
        <f t="shared" si="34"/>
        <v>-2.6345663502083602E-3</v>
      </c>
      <c r="K542" s="8">
        <f t="shared" si="31"/>
        <v>3.1469370955571341E-2</v>
      </c>
    </row>
    <row r="543" spans="1:11" x14ac:dyDescent="0.25">
      <c r="A543" t="str">
        <f t="shared" si="32"/>
        <v>32019</v>
      </c>
      <c r="B543" s="1">
        <v>43535</v>
      </c>
      <c r="C543" s="7">
        <f ca="1">IFERROR(__xludf.DUMMYFUNCTION("""COMPUTED_VALUE"""),43535.6458333333)</f>
        <v>43535.645833333299</v>
      </c>
      <c r="D543">
        <v>9052.9500000000007</v>
      </c>
      <c r="E543">
        <v>9168.4500000000007</v>
      </c>
      <c r="F543">
        <v>9047.15</v>
      </c>
      <c r="G543">
        <v>9155.0499999999993</v>
      </c>
      <c r="H543">
        <v>0</v>
      </c>
      <c r="I543" s="8">
        <f t="shared" si="33"/>
        <v>1.4764155910373056E-2</v>
      </c>
      <c r="J543" s="8">
        <f t="shared" si="34"/>
        <v>1.4656226785291314E-2</v>
      </c>
      <c r="K543" s="8">
        <f t="shared" si="31"/>
        <v>4.0169289325683089E-2</v>
      </c>
    </row>
    <row r="544" spans="1:11" x14ac:dyDescent="0.25">
      <c r="A544" t="str">
        <f t="shared" si="32"/>
        <v>32019</v>
      </c>
      <c r="B544" s="1">
        <v>43536</v>
      </c>
      <c r="C544" s="7">
        <f ca="1">IFERROR(__xludf.DUMMYFUNCTION("""COMPUTED_VALUE"""),43536.6458333333)</f>
        <v>43536.645833333299</v>
      </c>
      <c r="D544">
        <v>9212.6</v>
      </c>
      <c r="E544">
        <v>9345.1</v>
      </c>
      <c r="F544">
        <v>9202.7000000000007</v>
      </c>
      <c r="G544">
        <v>9274.7999999999993</v>
      </c>
      <c r="H544">
        <v>0</v>
      </c>
      <c r="I544" s="8">
        <f t="shared" si="33"/>
        <v>1.3080212560280913E-2</v>
      </c>
      <c r="J544" s="8">
        <f t="shared" si="34"/>
        <v>1.2995405310678399E-2</v>
      </c>
      <c r="K544" s="8">
        <f t="shared" si="31"/>
        <v>5.2662641303854452E-2</v>
      </c>
    </row>
    <row r="545" spans="1:11" x14ac:dyDescent="0.25">
      <c r="A545" t="str">
        <f t="shared" si="32"/>
        <v>32019</v>
      </c>
      <c r="B545" s="1">
        <v>43537</v>
      </c>
      <c r="C545" s="7">
        <f ca="1">IFERROR(__xludf.DUMMYFUNCTION("""COMPUTED_VALUE"""),43537.6458333333)</f>
        <v>43537.645833333299</v>
      </c>
      <c r="D545">
        <v>9298.7000000000007</v>
      </c>
      <c r="E545">
        <v>9318.15</v>
      </c>
      <c r="F545">
        <v>9070.6</v>
      </c>
      <c r="G545">
        <v>9100.25</v>
      </c>
      <c r="H545">
        <v>0</v>
      </c>
      <c r="I545" s="8">
        <f t="shared" si="33"/>
        <v>-1.8819812826152527E-2</v>
      </c>
      <c r="J545" s="8">
        <f t="shared" si="34"/>
        <v>-1.8999159245774597E-2</v>
      </c>
      <c r="K545" s="8">
        <f t="shared" si="31"/>
        <v>4.2841263292995979E-2</v>
      </c>
    </row>
    <row r="546" spans="1:11" x14ac:dyDescent="0.25">
      <c r="A546" t="str">
        <f t="shared" si="32"/>
        <v>32019</v>
      </c>
      <c r="B546" s="1">
        <v>43538</v>
      </c>
      <c r="C546" s="7">
        <f ca="1">IFERROR(__xludf.DUMMYFUNCTION("""COMPUTED_VALUE"""),43538.6458333333)</f>
        <v>43538.645833333299</v>
      </c>
      <c r="D546">
        <v>9102.1</v>
      </c>
      <c r="E546">
        <v>9209.2000000000007</v>
      </c>
      <c r="F546">
        <v>9077.35</v>
      </c>
      <c r="G546">
        <v>9184.9</v>
      </c>
      <c r="H546">
        <v>0</v>
      </c>
      <c r="I546" s="8">
        <f t="shared" si="33"/>
        <v>9.3019422543336727E-3</v>
      </c>
      <c r="J546" s="8">
        <f t="shared" si="34"/>
        <v>9.2589456186312653E-3</v>
      </c>
      <c r="K546" s="8">
        <f t="shared" si="31"/>
        <v>4.7153785641809165E-2</v>
      </c>
    </row>
    <row r="547" spans="1:11" x14ac:dyDescent="0.25">
      <c r="A547" t="str">
        <f t="shared" si="32"/>
        <v>32019</v>
      </c>
      <c r="B547" s="1">
        <v>43539</v>
      </c>
      <c r="C547" s="7">
        <f ca="1">IFERROR(__xludf.DUMMYFUNCTION("""COMPUTED_VALUE"""),43539.6458333333)</f>
        <v>43539.645833333299</v>
      </c>
      <c r="D547">
        <v>9203.9500000000007</v>
      </c>
      <c r="E547">
        <v>9256.25</v>
      </c>
      <c r="F547">
        <v>9178.6</v>
      </c>
      <c r="G547">
        <v>9221.75</v>
      </c>
      <c r="H547">
        <v>0</v>
      </c>
      <c r="I547" s="8">
        <f t="shared" si="33"/>
        <v>4.0120197280320014E-3</v>
      </c>
      <c r="J547" s="8">
        <f t="shared" si="34"/>
        <v>4.0039930385448643E-3</v>
      </c>
      <c r="K547" s="8">
        <f t="shared" si="31"/>
        <v>4.3137188362517564E-2</v>
      </c>
    </row>
    <row r="548" spans="1:11" x14ac:dyDescent="0.25">
      <c r="A548" t="str">
        <f t="shared" si="32"/>
        <v>32019</v>
      </c>
      <c r="B548" s="1">
        <v>43542</v>
      </c>
      <c r="C548" s="7">
        <f ca="1">IFERROR(__xludf.DUMMYFUNCTION("""COMPUTED_VALUE"""),43542.6458333333)</f>
        <v>43542.645833333299</v>
      </c>
      <c r="D548">
        <v>9224.0499999999993</v>
      </c>
      <c r="E548">
        <v>9240.9</v>
      </c>
      <c r="F548">
        <v>9133.7999999999993</v>
      </c>
      <c r="G548">
        <v>9204.9500000000007</v>
      </c>
      <c r="H548">
        <v>0</v>
      </c>
      <c r="I548" s="8">
        <f t="shared" si="33"/>
        <v>-1.8217800309051624E-3</v>
      </c>
      <c r="J548" s="8">
        <f t="shared" si="34"/>
        <v>-1.8234414903280391E-3</v>
      </c>
      <c r="K548" s="8">
        <f t="shared" si="31"/>
        <v>4.32370558001689E-2</v>
      </c>
    </row>
    <row r="549" spans="1:11" x14ac:dyDescent="0.25">
      <c r="A549" t="str">
        <f t="shared" si="32"/>
        <v>32019</v>
      </c>
      <c r="B549" s="1">
        <v>43543</v>
      </c>
      <c r="C549" s="7">
        <f ca="1">IFERROR(__xludf.DUMMYFUNCTION("""COMPUTED_VALUE"""),43543.6458333333)</f>
        <v>43543.645833333299</v>
      </c>
      <c r="D549">
        <v>9230.7000000000007</v>
      </c>
      <c r="E549">
        <v>9312.2000000000007</v>
      </c>
      <c r="F549">
        <v>9216.2999999999993</v>
      </c>
      <c r="G549">
        <v>9244.6</v>
      </c>
      <c r="H549">
        <v>0</v>
      </c>
      <c r="I549" s="8">
        <f t="shared" si="33"/>
        <v>4.3074650052417063E-3</v>
      </c>
      <c r="J549" s="8">
        <f t="shared" si="34"/>
        <v>4.2982144326874821E-3</v>
      </c>
      <c r="K549" s="8">
        <f t="shared" si="31"/>
        <v>4.413923964851274E-2</v>
      </c>
    </row>
    <row r="550" spans="1:11" x14ac:dyDescent="0.25">
      <c r="A550" t="str">
        <f t="shared" si="32"/>
        <v>32019</v>
      </c>
      <c r="B550" s="1">
        <v>43544</v>
      </c>
      <c r="C550" s="7">
        <f ca="1">IFERROR(__xludf.DUMMYFUNCTION("""COMPUTED_VALUE"""),43544.6458333333)</f>
        <v>43544.645833333299</v>
      </c>
      <c r="D550">
        <v>9259.2999999999993</v>
      </c>
      <c r="E550">
        <v>9300.7999999999993</v>
      </c>
      <c r="F550">
        <v>9231.65</v>
      </c>
      <c r="G550">
        <v>9264.5</v>
      </c>
      <c r="H550">
        <v>0</v>
      </c>
      <c r="I550" s="8">
        <f t="shared" si="33"/>
        <v>2.1526080089997457E-3</v>
      </c>
      <c r="J550" s="8">
        <f t="shared" si="34"/>
        <v>2.150294467882743E-3</v>
      </c>
      <c r="K550" s="8">
        <f t="shared" si="31"/>
        <v>5.5897789504276929E-2</v>
      </c>
    </row>
    <row r="551" spans="1:11" x14ac:dyDescent="0.25">
      <c r="A551" t="str">
        <f t="shared" si="32"/>
        <v>32019</v>
      </c>
      <c r="B551" s="1">
        <v>43546</v>
      </c>
      <c r="C551" s="7">
        <f ca="1">IFERROR(__xludf.DUMMYFUNCTION("""COMPUTED_VALUE"""),43546.6458333333)</f>
        <v>43546.645833333299</v>
      </c>
      <c r="D551">
        <v>9298.5</v>
      </c>
      <c r="E551">
        <v>9338.2999999999993</v>
      </c>
      <c r="F551">
        <v>9188.1</v>
      </c>
      <c r="G551">
        <v>9199.35</v>
      </c>
      <c r="H551">
        <v>0</v>
      </c>
      <c r="I551" s="8">
        <f t="shared" si="33"/>
        <v>-7.0322197636137895E-3</v>
      </c>
      <c r="J551" s="8">
        <f t="shared" si="34"/>
        <v>-7.0570623552330299E-3</v>
      </c>
      <c r="K551" s="8">
        <f t="shared" si="31"/>
        <v>5.4203647573154878E-2</v>
      </c>
    </row>
    <row r="552" spans="1:11" x14ac:dyDescent="0.25">
      <c r="A552" t="str">
        <f t="shared" si="32"/>
        <v>32019</v>
      </c>
      <c r="B552" s="1">
        <v>43549</v>
      </c>
      <c r="C552" s="7">
        <f ca="1">IFERROR(__xludf.DUMMYFUNCTION("""COMPUTED_VALUE"""),43549.6458333333)</f>
        <v>43549.645833333299</v>
      </c>
      <c r="D552">
        <v>9159.9500000000007</v>
      </c>
      <c r="E552">
        <v>9181.7999999999993</v>
      </c>
      <c r="F552">
        <v>9081.5499999999993</v>
      </c>
      <c r="G552">
        <v>9170.15</v>
      </c>
      <c r="H552">
        <v>0</v>
      </c>
      <c r="I552" s="8">
        <f t="shared" si="33"/>
        <v>-3.1741373031790587E-3</v>
      </c>
      <c r="J552" s="8">
        <f t="shared" si="34"/>
        <v>-3.1791855623978342E-3</v>
      </c>
      <c r="K552" s="8">
        <f t="shared" si="31"/>
        <v>5.5878915582882716E-2</v>
      </c>
    </row>
    <row r="553" spans="1:11" x14ac:dyDescent="0.25">
      <c r="A553" t="str">
        <f t="shared" si="32"/>
        <v>32019</v>
      </c>
      <c r="B553" s="1">
        <v>43550</v>
      </c>
      <c r="C553" s="7">
        <f ca="1">IFERROR(__xludf.DUMMYFUNCTION("""COMPUTED_VALUE"""),43550.6458333333)</f>
        <v>43550.645833333299</v>
      </c>
      <c r="D553">
        <v>9210.6</v>
      </c>
      <c r="E553">
        <v>9259.7000000000007</v>
      </c>
      <c r="F553">
        <v>9164.4</v>
      </c>
      <c r="G553">
        <v>9245</v>
      </c>
      <c r="H553">
        <v>0</v>
      </c>
      <c r="I553" s="8">
        <f t="shared" si="33"/>
        <v>8.1623528513710131E-3</v>
      </c>
      <c r="J553" s="8">
        <f t="shared" si="34"/>
        <v>8.129221016386785E-3</v>
      </c>
      <c r="K553" s="8">
        <f t="shared" si="31"/>
        <v>6.6843608458587056E-2</v>
      </c>
    </row>
    <row r="554" spans="1:11" x14ac:dyDescent="0.25">
      <c r="A554" t="str">
        <f t="shared" si="32"/>
        <v>32019</v>
      </c>
      <c r="B554" s="1">
        <v>43551</v>
      </c>
      <c r="C554" s="7">
        <f ca="1">IFERROR(__xludf.DUMMYFUNCTION("""COMPUTED_VALUE"""),43551.6458333333)</f>
        <v>43551.645833333299</v>
      </c>
      <c r="D554">
        <v>9267.4</v>
      </c>
      <c r="E554">
        <v>9322.0499999999993</v>
      </c>
      <c r="F554">
        <v>9120.2999999999993</v>
      </c>
      <c r="G554">
        <v>9148.7999999999993</v>
      </c>
      <c r="H554">
        <v>0</v>
      </c>
      <c r="I554" s="8">
        <f t="shared" si="33"/>
        <v>-1.0405624661979473E-2</v>
      </c>
      <c r="J554" s="8">
        <f t="shared" si="34"/>
        <v>-1.046014169323258E-2</v>
      </c>
      <c r="K554" s="8">
        <f t="shared" si="31"/>
        <v>3.796147126228111E-2</v>
      </c>
    </row>
    <row r="555" spans="1:11" x14ac:dyDescent="0.25">
      <c r="A555" t="str">
        <f t="shared" si="32"/>
        <v>32019</v>
      </c>
      <c r="B555" s="1">
        <v>43552</v>
      </c>
      <c r="C555" s="7">
        <f ca="1">IFERROR(__xludf.DUMMYFUNCTION("""COMPUTED_VALUE"""),43552.6458333333)</f>
        <v>43552.645833333299</v>
      </c>
      <c r="D555">
        <v>9172.2000000000007</v>
      </c>
      <c r="E555">
        <v>9235.25</v>
      </c>
      <c r="F555">
        <v>9126.9</v>
      </c>
      <c r="G555">
        <v>9199.4</v>
      </c>
      <c r="H555">
        <v>0</v>
      </c>
      <c r="I555" s="8">
        <f t="shared" si="33"/>
        <v>5.5307799930046642E-3</v>
      </c>
      <c r="J555" s="8">
        <f t="shared" si="34"/>
        <v>5.5155413910882474E-3</v>
      </c>
      <c r="K555" s="8">
        <f t="shared" si="31"/>
        <v>3.7288441372467007E-2</v>
      </c>
    </row>
    <row r="556" spans="1:11" x14ac:dyDescent="0.25">
      <c r="A556" t="str">
        <f t="shared" si="32"/>
        <v>32019</v>
      </c>
      <c r="B556" s="1">
        <v>43553</v>
      </c>
      <c r="C556" s="7">
        <f ca="1">IFERROR(__xludf.DUMMYFUNCTION("""COMPUTED_VALUE"""),43553.6458333333)</f>
        <v>43553.645833333299</v>
      </c>
      <c r="D556">
        <v>9243.1</v>
      </c>
      <c r="E556">
        <v>9366.65</v>
      </c>
      <c r="F556">
        <v>9240.7999999999993</v>
      </c>
      <c r="G556">
        <v>9346.5499999999993</v>
      </c>
      <c r="H556">
        <v>0</v>
      </c>
      <c r="I556" s="8">
        <f t="shared" si="33"/>
        <v>1.5995608409244078E-2</v>
      </c>
      <c r="J556" s="8">
        <f t="shared" si="34"/>
        <v>1.5869026715102034E-2</v>
      </c>
      <c r="K556" s="8">
        <f t="shared" si="31"/>
        <v>5.23083331925982E-2</v>
      </c>
    </row>
    <row r="557" spans="1:11" x14ac:dyDescent="0.25">
      <c r="A557" t="str">
        <f t="shared" si="32"/>
        <v>42019</v>
      </c>
      <c r="B557" s="1">
        <v>43556</v>
      </c>
      <c r="C557" s="7">
        <f ca="1">IFERROR(__xludf.DUMMYFUNCTION("""COMPUTED_VALUE"""),43556.6458333333)</f>
        <v>43556.645833333299</v>
      </c>
      <c r="D557">
        <v>9367.6</v>
      </c>
      <c r="E557">
        <v>9416.9500000000007</v>
      </c>
      <c r="F557">
        <v>9353.65</v>
      </c>
      <c r="G557">
        <v>9375.4</v>
      </c>
      <c r="H557">
        <v>0</v>
      </c>
      <c r="I557" s="8">
        <f t="shared" si="33"/>
        <v>3.0867004402694853E-3</v>
      </c>
      <c r="J557" s="8">
        <f t="shared" si="34"/>
        <v>3.0819463608991447E-3</v>
      </c>
      <c r="K557" s="8">
        <f t="shared" si="31"/>
        <v>6.0571609567927398E-2</v>
      </c>
    </row>
    <row r="558" spans="1:11" x14ac:dyDescent="0.25">
      <c r="A558" t="str">
        <f t="shared" si="32"/>
        <v>42019</v>
      </c>
      <c r="B558" s="1">
        <v>43557</v>
      </c>
      <c r="C558" s="7">
        <f ca="1">IFERROR(__xludf.DUMMYFUNCTION("""COMPUTED_VALUE"""),43557.6458333333)</f>
        <v>43557.645833333299</v>
      </c>
      <c r="D558">
        <v>9419.25</v>
      </c>
      <c r="E558">
        <v>9425.9500000000007</v>
      </c>
      <c r="F558">
        <v>9272.4</v>
      </c>
      <c r="G558">
        <v>9296.9500000000007</v>
      </c>
      <c r="H558">
        <v>0</v>
      </c>
      <c r="I558" s="8">
        <f t="shared" si="33"/>
        <v>-8.3676429805660257E-3</v>
      </c>
      <c r="J558" s="8">
        <f t="shared" si="34"/>
        <v>-8.4028482326359497E-3</v>
      </c>
      <c r="K558" s="8">
        <f t="shared" si="31"/>
        <v>6.5882852000046066E-2</v>
      </c>
    </row>
    <row r="559" spans="1:11" x14ac:dyDescent="0.25">
      <c r="A559" t="str">
        <f t="shared" si="32"/>
        <v>42019</v>
      </c>
      <c r="B559" s="1">
        <v>43558</v>
      </c>
      <c r="C559" s="7">
        <f ca="1">IFERROR(__xludf.DUMMYFUNCTION("""COMPUTED_VALUE"""),43558.6458333333)</f>
        <v>43558.645833333299</v>
      </c>
      <c r="D559">
        <v>9312.25</v>
      </c>
      <c r="E559">
        <v>9341.25</v>
      </c>
      <c r="F559">
        <v>9163.5</v>
      </c>
      <c r="G559">
        <v>9180.2999999999993</v>
      </c>
      <c r="H559">
        <v>0</v>
      </c>
      <c r="I559" s="8">
        <f t="shared" si="33"/>
        <v>-1.254712567024685E-2</v>
      </c>
      <c r="J559" s="8">
        <f t="shared" si="34"/>
        <v>-1.2626505543318754E-2</v>
      </c>
      <c r="K559" s="8">
        <f t="shared" si="31"/>
        <v>4.4634475224879289E-2</v>
      </c>
    </row>
    <row r="560" spans="1:11" x14ac:dyDescent="0.25">
      <c r="A560" t="str">
        <f t="shared" si="32"/>
        <v>42019</v>
      </c>
      <c r="B560" s="1">
        <v>43559</v>
      </c>
      <c r="C560" s="7">
        <f ca="1">IFERROR(__xludf.DUMMYFUNCTION("""COMPUTED_VALUE"""),43559.6458333333)</f>
        <v>43559.645833333299</v>
      </c>
      <c r="D560">
        <v>9193.2999999999993</v>
      </c>
      <c r="E560">
        <v>9278.7000000000007</v>
      </c>
      <c r="F560">
        <v>9181.65</v>
      </c>
      <c r="G560">
        <v>9263.4</v>
      </c>
      <c r="H560">
        <v>0</v>
      </c>
      <c r="I560" s="8">
        <f t="shared" si="33"/>
        <v>9.0519917649749537E-3</v>
      </c>
      <c r="J560" s="8">
        <f t="shared" si="34"/>
        <v>9.0112680568086734E-3</v>
      </c>
      <c r="K560" s="8">
        <f t="shared" si="31"/>
        <v>6.0777656266997937E-2</v>
      </c>
    </row>
    <row r="561" spans="1:11" x14ac:dyDescent="0.25">
      <c r="A561" t="str">
        <f t="shared" si="32"/>
        <v>42019</v>
      </c>
      <c r="B561" s="1">
        <v>43560</v>
      </c>
      <c r="C561" s="7">
        <f ca="1">IFERROR(__xludf.DUMMYFUNCTION("""COMPUTED_VALUE"""),43560.6458333333)</f>
        <v>43560.645833333299</v>
      </c>
      <c r="D561">
        <v>9314.2999999999993</v>
      </c>
      <c r="E561">
        <v>9332.1</v>
      </c>
      <c r="F561">
        <v>9259.4500000000007</v>
      </c>
      <c r="G561">
        <v>9271.5499999999993</v>
      </c>
      <c r="H561">
        <v>0</v>
      </c>
      <c r="I561" s="8">
        <f t="shared" si="33"/>
        <v>8.7980655051067558E-4</v>
      </c>
      <c r="J561" s="8">
        <f t="shared" si="34"/>
        <v>8.7941974758538714E-4</v>
      </c>
      <c r="K561" s="8">
        <f t="shared" si="31"/>
        <v>4.5889618996587611E-2</v>
      </c>
    </row>
    <row r="562" spans="1:11" x14ac:dyDescent="0.25">
      <c r="A562" t="str">
        <f t="shared" si="32"/>
        <v>42019</v>
      </c>
      <c r="B562" s="1">
        <v>43563</v>
      </c>
      <c r="C562" s="7">
        <f ca="1">IFERROR(__xludf.DUMMYFUNCTION("""COMPUTED_VALUE"""),43563.6458333333)</f>
        <v>43563.645833333299</v>
      </c>
      <c r="D562">
        <v>9292.1</v>
      </c>
      <c r="E562">
        <v>9329.4</v>
      </c>
      <c r="F562">
        <v>9219</v>
      </c>
      <c r="G562">
        <v>9243.9</v>
      </c>
      <c r="H562">
        <v>0</v>
      </c>
      <c r="I562" s="8">
        <f t="shared" si="33"/>
        <v>-2.982241372801675E-3</v>
      </c>
      <c r="J562" s="8">
        <f t="shared" si="34"/>
        <v>-2.9866971155431488E-3</v>
      </c>
      <c r="K562" s="8">
        <f t="shared" si="31"/>
        <v>3.7859139748728454E-2</v>
      </c>
    </row>
    <row r="563" spans="1:11" x14ac:dyDescent="0.25">
      <c r="A563" t="str">
        <f t="shared" si="32"/>
        <v>42019</v>
      </c>
      <c r="B563" s="1">
        <v>43564</v>
      </c>
      <c r="C563" s="7">
        <f ca="1">IFERROR(__xludf.DUMMYFUNCTION("""COMPUTED_VALUE"""),43564.6458333333)</f>
        <v>43564.645833333299</v>
      </c>
      <c r="D563">
        <v>9231.9500000000007</v>
      </c>
      <c r="E563">
        <v>9349.85</v>
      </c>
      <c r="F563">
        <v>9207.4500000000007</v>
      </c>
      <c r="G563">
        <v>9333.2999999999993</v>
      </c>
      <c r="H563">
        <v>0</v>
      </c>
      <c r="I563" s="8">
        <f t="shared" si="33"/>
        <v>9.6712426573200005E-3</v>
      </c>
      <c r="J563" s="8">
        <f t="shared" si="34"/>
        <v>9.6247755463042851E-3</v>
      </c>
      <c r="K563" s="8">
        <f t="shared" si="31"/>
        <v>4.4600886421632291E-2</v>
      </c>
    </row>
    <row r="564" spans="1:11" x14ac:dyDescent="0.25">
      <c r="A564" t="str">
        <f t="shared" si="32"/>
        <v>42019</v>
      </c>
      <c r="B564" s="1">
        <v>43565</v>
      </c>
      <c r="C564" s="7">
        <f ca="1">IFERROR(__xludf.DUMMYFUNCTION("""COMPUTED_VALUE"""),43565.6458333333)</f>
        <v>43565.645833333299</v>
      </c>
      <c r="D564">
        <v>9308.2000000000007</v>
      </c>
      <c r="E564">
        <v>9520.2999999999993</v>
      </c>
      <c r="F564">
        <v>9305.5</v>
      </c>
      <c r="G564">
        <v>9407.9</v>
      </c>
      <c r="H564">
        <v>0</v>
      </c>
      <c r="I564" s="8">
        <f t="shared" si="33"/>
        <v>7.9928856888775712E-3</v>
      </c>
      <c r="J564" s="8">
        <f t="shared" si="34"/>
        <v>7.9611117759344017E-3</v>
      </c>
      <c r="K564" s="8">
        <f t="shared" si="31"/>
        <v>5.6776505344034334E-2</v>
      </c>
    </row>
    <row r="565" spans="1:11" x14ac:dyDescent="0.25">
      <c r="A565" t="str">
        <f t="shared" si="32"/>
        <v>42019</v>
      </c>
      <c r="B565" s="1">
        <v>43566</v>
      </c>
      <c r="C565" s="7">
        <f ca="1">IFERROR(__xludf.DUMMYFUNCTION("""COMPUTED_VALUE"""),43566.6458333333)</f>
        <v>43566.645833333299</v>
      </c>
      <c r="D565">
        <v>9386.75</v>
      </c>
      <c r="E565">
        <v>9422</v>
      </c>
      <c r="F565">
        <v>9355.9</v>
      </c>
      <c r="G565">
        <v>9391.15</v>
      </c>
      <c r="H565">
        <v>0</v>
      </c>
      <c r="I565" s="8">
        <f t="shared" si="33"/>
        <v>-1.7804185843811604E-3</v>
      </c>
      <c r="J565" s="8">
        <f t="shared" si="34"/>
        <v>-1.7820054133084878E-3</v>
      </c>
      <c r="K565" s="8">
        <f t="shared" si="31"/>
        <v>4.9372576626104836E-2</v>
      </c>
    </row>
    <row r="566" spans="1:11" x14ac:dyDescent="0.25">
      <c r="A566" t="str">
        <f t="shared" si="32"/>
        <v>42019</v>
      </c>
      <c r="B566" s="1">
        <v>43567</v>
      </c>
      <c r="C566" s="7">
        <f ca="1">IFERROR(__xludf.DUMMYFUNCTION("""COMPUTED_VALUE"""),43567.6458333333)</f>
        <v>43567.645833333299</v>
      </c>
      <c r="D566">
        <v>9398.25</v>
      </c>
      <c r="E566">
        <v>9448.4500000000007</v>
      </c>
      <c r="F566">
        <v>9383.75</v>
      </c>
      <c r="G566">
        <v>9426.4500000000007</v>
      </c>
      <c r="H566">
        <v>0</v>
      </c>
      <c r="I566" s="8">
        <f t="shared" si="33"/>
        <v>3.7588580738250332E-3</v>
      </c>
      <c r="J566" s="8">
        <f t="shared" si="34"/>
        <v>3.7518112200439413E-3</v>
      </c>
      <c r="K566" s="8">
        <f t="shared" si="31"/>
        <v>4.4192744392135275E-2</v>
      </c>
    </row>
    <row r="567" spans="1:11" x14ac:dyDescent="0.25">
      <c r="A567" t="str">
        <f t="shared" si="32"/>
        <v>42019</v>
      </c>
      <c r="B567" s="1">
        <v>43570</v>
      </c>
      <c r="C567" s="7">
        <f ca="1">IFERROR(__xludf.DUMMYFUNCTION("""COMPUTED_VALUE"""),43570.6458333333)</f>
        <v>43570.645833333299</v>
      </c>
      <c r="D567">
        <v>9431.7999999999993</v>
      </c>
      <c r="E567">
        <v>9447.4500000000007</v>
      </c>
      <c r="F567">
        <v>9358.75</v>
      </c>
      <c r="G567">
        <v>9417.75</v>
      </c>
      <c r="H567">
        <v>0</v>
      </c>
      <c r="I567" s="8">
        <f t="shared" si="33"/>
        <v>-9.2293493308726049E-4</v>
      </c>
      <c r="J567" s="8">
        <f t="shared" si="34"/>
        <v>-9.2336109976887267E-4</v>
      </c>
      <c r="K567" s="8">
        <f t="shared" si="31"/>
        <v>4.015263634556332E-2</v>
      </c>
    </row>
    <row r="568" spans="1:11" x14ac:dyDescent="0.25">
      <c r="A568" t="str">
        <f t="shared" si="32"/>
        <v>42019</v>
      </c>
      <c r="B568" s="1">
        <v>43571</v>
      </c>
      <c r="C568" s="7">
        <f ca="1">IFERROR(__xludf.DUMMYFUNCTION("""COMPUTED_VALUE"""),43571.6458333333)</f>
        <v>43571.645833333299</v>
      </c>
      <c r="D568">
        <v>9460.1</v>
      </c>
      <c r="E568">
        <v>9474.1</v>
      </c>
      <c r="F568">
        <v>9410.2000000000007</v>
      </c>
      <c r="G568">
        <v>9417.7999999999993</v>
      </c>
      <c r="H568">
        <v>0</v>
      </c>
      <c r="I568" s="8">
        <f t="shared" si="33"/>
        <v>5.309123729091425E-6</v>
      </c>
      <c r="J568" s="8">
        <f t="shared" si="34"/>
        <v>5.309109635743922E-6</v>
      </c>
      <c r="K568" s="8">
        <f t="shared" si="31"/>
        <v>5.4565813784222428E-2</v>
      </c>
    </row>
    <row r="569" spans="1:11" x14ac:dyDescent="0.25">
      <c r="A569" t="str">
        <f t="shared" si="32"/>
        <v>42019</v>
      </c>
      <c r="B569" s="1">
        <v>43573</v>
      </c>
      <c r="C569" s="7">
        <f ca="1">IFERROR(__xludf.DUMMYFUNCTION("""COMPUTED_VALUE"""),43573.6458333333)</f>
        <v>43573.645833333299</v>
      </c>
      <c r="D569">
        <v>9442.5499999999993</v>
      </c>
      <c r="E569">
        <v>9450.9500000000007</v>
      </c>
      <c r="F569">
        <v>9338.65</v>
      </c>
      <c r="G569">
        <v>9409.9</v>
      </c>
      <c r="H569">
        <v>0</v>
      </c>
      <c r="I569" s="8">
        <f t="shared" si="33"/>
        <v>-8.3883709571230813E-4</v>
      </c>
      <c r="J569" s="8">
        <f t="shared" si="34"/>
        <v>-8.3918911642133303E-4</v>
      </c>
      <c r="K569" s="8">
        <f t="shared" si="31"/>
        <v>8.2892192966304457E-2</v>
      </c>
    </row>
    <row r="570" spans="1:11" x14ac:dyDescent="0.25">
      <c r="A570" t="str">
        <f t="shared" si="32"/>
        <v>42019</v>
      </c>
      <c r="B570" s="1">
        <v>43577</v>
      </c>
      <c r="C570" s="7">
        <f ca="1">IFERROR(__xludf.DUMMYFUNCTION("""COMPUTED_VALUE"""),43577.6458333333)</f>
        <v>43577.645833333299</v>
      </c>
      <c r="D570">
        <v>9392.25</v>
      </c>
      <c r="E570">
        <v>9410.65</v>
      </c>
      <c r="F570">
        <v>9260.9500000000007</v>
      </c>
      <c r="G570">
        <v>9285.4500000000007</v>
      </c>
      <c r="H570">
        <v>0</v>
      </c>
      <c r="I570" s="8">
        <f t="shared" si="33"/>
        <v>-1.3225432788871228E-2</v>
      </c>
      <c r="J570" s="8">
        <f t="shared" si="34"/>
        <v>-1.3313667651435211E-2</v>
      </c>
      <c r="K570" s="8">
        <f t="shared" si="31"/>
        <v>6.3053110009502422E-2</v>
      </c>
    </row>
    <row r="571" spans="1:11" x14ac:dyDescent="0.25">
      <c r="A571" t="str">
        <f t="shared" si="32"/>
        <v>42019</v>
      </c>
      <c r="B571" s="1">
        <v>43578</v>
      </c>
      <c r="C571" s="7">
        <f ca="1">IFERROR(__xludf.DUMMYFUNCTION("""COMPUTED_VALUE"""),43578.6458333333)</f>
        <v>43578.645833333299</v>
      </c>
      <c r="D571">
        <v>9294</v>
      </c>
      <c r="E571">
        <v>9422</v>
      </c>
      <c r="F571">
        <v>9290.5499999999993</v>
      </c>
      <c r="G571">
        <v>9388.7999999999993</v>
      </c>
      <c r="H571">
        <v>0</v>
      </c>
      <c r="I571" s="8">
        <f t="shared" si="33"/>
        <v>1.1130316785939121E-2</v>
      </c>
      <c r="J571" s="8">
        <f t="shared" si="34"/>
        <v>1.1068830629645672E-2</v>
      </c>
      <c r="K571" s="8">
        <f t="shared" si="31"/>
        <v>5.579920383239978E-2</v>
      </c>
    </row>
    <row r="572" spans="1:11" x14ac:dyDescent="0.25">
      <c r="A572" t="str">
        <f t="shared" si="32"/>
        <v>42019</v>
      </c>
      <c r="B572" s="1">
        <v>43579</v>
      </c>
      <c r="C572" s="7">
        <f ca="1">IFERROR(__xludf.DUMMYFUNCTION("""COMPUTED_VALUE"""),43579.6458333333)</f>
        <v>43579.645833333299</v>
      </c>
      <c r="D572">
        <v>9383.4</v>
      </c>
      <c r="E572">
        <v>9474.6</v>
      </c>
      <c r="F572">
        <v>9358.35</v>
      </c>
      <c r="G572">
        <v>9459</v>
      </c>
      <c r="H572">
        <v>0</v>
      </c>
      <c r="I572" s="8">
        <f t="shared" si="33"/>
        <v>7.4769938650307566E-3</v>
      </c>
      <c r="J572" s="8">
        <f t="shared" si="34"/>
        <v>7.4491797045627001E-3</v>
      </c>
      <c r="K572" s="8">
        <f t="shared" si="31"/>
        <v>5.7320426549819947E-2</v>
      </c>
    </row>
    <row r="573" spans="1:11" x14ac:dyDescent="0.25">
      <c r="A573" t="str">
        <f t="shared" si="32"/>
        <v>42019</v>
      </c>
      <c r="B573" s="1">
        <v>43580</v>
      </c>
      <c r="C573" s="7">
        <f ca="1">IFERROR(__xludf.DUMMYFUNCTION("""COMPUTED_VALUE"""),43580.6458333333)</f>
        <v>43580.645833333299</v>
      </c>
      <c r="D573">
        <v>9435.4500000000007</v>
      </c>
      <c r="E573">
        <v>9534.5499999999993</v>
      </c>
      <c r="F573">
        <v>9423.5</v>
      </c>
      <c r="G573">
        <v>9442.5499999999993</v>
      </c>
      <c r="H573">
        <v>0</v>
      </c>
      <c r="I573" s="8">
        <f t="shared" si="33"/>
        <v>-1.739084469817187E-3</v>
      </c>
      <c r="J573" s="8">
        <f t="shared" si="34"/>
        <v>-1.7405984327413231E-3</v>
      </c>
      <c r="K573" s="8">
        <f t="shared" si="31"/>
        <v>6.1616729439541107E-2</v>
      </c>
    </row>
    <row r="574" spans="1:11" x14ac:dyDescent="0.25">
      <c r="A574" t="str">
        <f t="shared" si="32"/>
        <v>42019</v>
      </c>
      <c r="B574" s="1">
        <v>43581</v>
      </c>
      <c r="C574" s="7">
        <f ca="1">IFERROR(__xludf.DUMMYFUNCTION("""COMPUTED_VALUE"""),43581.6458333333)</f>
        <v>43581.645833333299</v>
      </c>
      <c r="D574">
        <v>9493.6</v>
      </c>
      <c r="E574">
        <v>9578.4</v>
      </c>
      <c r="F574">
        <v>9440.15</v>
      </c>
      <c r="G574">
        <v>9461.7000000000007</v>
      </c>
      <c r="H574">
        <v>0</v>
      </c>
      <c r="I574" s="8">
        <f t="shared" si="33"/>
        <v>2.0280538625689903E-3</v>
      </c>
      <c r="J574" s="8">
        <f t="shared" si="34"/>
        <v>2.0260001375754177E-3</v>
      </c>
      <c r="K574" s="8">
        <f t="shared" si="31"/>
        <v>6.4188505230007964E-2</v>
      </c>
    </row>
    <row r="575" spans="1:11" x14ac:dyDescent="0.25">
      <c r="A575" t="str">
        <f t="shared" si="32"/>
        <v>42019</v>
      </c>
      <c r="B575" s="1">
        <v>43585</v>
      </c>
      <c r="C575" s="7">
        <f ca="1">IFERROR(__xludf.DUMMYFUNCTION("""COMPUTED_VALUE"""),43585.6458333333)</f>
        <v>43585.645833333299</v>
      </c>
      <c r="D575">
        <v>9468.6</v>
      </c>
      <c r="E575">
        <v>9471.85</v>
      </c>
      <c r="F575">
        <v>9307.2000000000007</v>
      </c>
      <c r="G575">
        <v>9402.5</v>
      </c>
      <c r="H575">
        <v>0</v>
      </c>
      <c r="I575" s="8">
        <f t="shared" si="33"/>
        <v>-6.2568037456272041E-3</v>
      </c>
      <c r="J575" s="8">
        <f t="shared" si="34"/>
        <v>-6.2764595735132394E-3</v>
      </c>
      <c r="K575" s="8">
        <f t="shared" si="31"/>
        <v>8.5250291439190162E-2</v>
      </c>
    </row>
    <row r="576" spans="1:11" x14ac:dyDescent="0.25">
      <c r="A576" t="str">
        <f t="shared" si="32"/>
        <v>52019</v>
      </c>
      <c r="B576" s="1">
        <v>43587</v>
      </c>
      <c r="C576" s="7">
        <f ca="1">IFERROR(__xludf.DUMMYFUNCTION("""COMPUTED_VALUE"""),43587.6458333333)</f>
        <v>43587.645833333299</v>
      </c>
      <c r="D576">
        <v>9379.15</v>
      </c>
      <c r="E576">
        <v>9419.7000000000007</v>
      </c>
      <c r="F576">
        <v>9271.85</v>
      </c>
      <c r="G576">
        <v>9291.2999999999993</v>
      </c>
      <c r="H576">
        <v>0</v>
      </c>
      <c r="I576" s="8">
        <f t="shared" si="33"/>
        <v>-1.1826641850571695E-2</v>
      </c>
      <c r="J576" s="8">
        <f t="shared" si="34"/>
        <v>-1.1897132912229982E-2</v>
      </c>
      <c r="K576" s="8">
        <f t="shared" ref="K576:K639" si="35">+G576/G515-1</f>
        <v>6.1026162226358593E-2</v>
      </c>
    </row>
    <row r="577" spans="1:11" x14ac:dyDescent="0.25">
      <c r="A577" t="str">
        <f t="shared" si="32"/>
        <v>52019</v>
      </c>
      <c r="B577" s="1">
        <v>43588</v>
      </c>
      <c r="C577" s="7">
        <f ca="1">IFERROR(__xludf.DUMMYFUNCTION("""COMPUTED_VALUE"""),43588.6458333333)</f>
        <v>43588.645833333299</v>
      </c>
      <c r="D577">
        <v>9307.35</v>
      </c>
      <c r="E577">
        <v>9324.2000000000007</v>
      </c>
      <c r="F577">
        <v>9193.0499999999993</v>
      </c>
      <c r="G577">
        <v>9220.4500000000007</v>
      </c>
      <c r="H577">
        <v>0</v>
      </c>
      <c r="I577" s="8">
        <f t="shared" si="33"/>
        <v>-7.6254130207826787E-3</v>
      </c>
      <c r="J577" s="8">
        <f t="shared" si="34"/>
        <v>-7.654635131210139E-3</v>
      </c>
      <c r="K577" s="8">
        <f t="shared" si="35"/>
        <v>5.5623611842557263E-2</v>
      </c>
    </row>
    <row r="578" spans="1:11" x14ac:dyDescent="0.25">
      <c r="A578" t="str">
        <f t="shared" si="32"/>
        <v>52019</v>
      </c>
      <c r="B578" s="1">
        <v>43591</v>
      </c>
      <c r="C578" s="7">
        <f ca="1">IFERROR(__xludf.DUMMYFUNCTION("""COMPUTED_VALUE"""),43591.6458333333)</f>
        <v>43591.645833333299</v>
      </c>
      <c r="D578">
        <v>9121.35</v>
      </c>
      <c r="E578">
        <v>9226.85</v>
      </c>
      <c r="F578">
        <v>9110.9500000000007</v>
      </c>
      <c r="G578">
        <v>9189.75</v>
      </c>
      <c r="H578">
        <v>0</v>
      </c>
      <c r="I578" s="8">
        <f t="shared" si="33"/>
        <v>-3.3295554989182241E-3</v>
      </c>
      <c r="J578" s="8">
        <f t="shared" si="34"/>
        <v>-3.3351108033856246E-3</v>
      </c>
      <c r="K578" s="8">
        <f t="shared" si="35"/>
        <v>4.1290147132974964E-2</v>
      </c>
    </row>
    <row r="579" spans="1:11" x14ac:dyDescent="0.25">
      <c r="A579" t="str">
        <f t="shared" ref="A579:A642" si="36">+MONTH(B579)&amp;YEAR(B579)</f>
        <v>52019</v>
      </c>
      <c r="B579" s="1">
        <v>43592</v>
      </c>
      <c r="C579" s="7">
        <f ca="1">IFERROR(__xludf.DUMMYFUNCTION("""COMPUTED_VALUE"""),43592.7916666666)</f>
        <v>43592.791666666599</v>
      </c>
      <c r="D579">
        <v>9215.4500000000007</v>
      </c>
      <c r="E579">
        <v>9229.7999999999993</v>
      </c>
      <c r="F579">
        <v>9126.85</v>
      </c>
      <c r="G579">
        <v>9148.2000000000007</v>
      </c>
      <c r="H579">
        <v>0</v>
      </c>
      <c r="I579" s="8">
        <f t="shared" si="33"/>
        <v>-4.5213417122336175E-3</v>
      </c>
      <c r="J579" s="8">
        <f t="shared" si="34"/>
        <v>-4.5315938917491186E-3</v>
      </c>
      <c r="K579" s="8">
        <f t="shared" si="35"/>
        <v>1.991738715989122E-2</v>
      </c>
    </row>
    <row r="580" spans="1:11" x14ac:dyDescent="0.25">
      <c r="A580" t="str">
        <f t="shared" si="36"/>
        <v>52019</v>
      </c>
      <c r="B580" s="1">
        <v>43593</v>
      </c>
      <c r="C580" s="7">
        <f ca="1">IFERROR(__xludf.DUMMYFUNCTION("""COMPUTED_VALUE"""),43593.6458333333)</f>
        <v>43593.645833333299</v>
      </c>
      <c r="D580">
        <v>9144.1</v>
      </c>
      <c r="E580">
        <v>9146.75</v>
      </c>
      <c r="F580">
        <v>8973.4</v>
      </c>
      <c r="G580">
        <v>9003.35</v>
      </c>
      <c r="H580">
        <v>0</v>
      </c>
      <c r="I580" s="8">
        <f t="shared" ref="I580:I643" si="37">+G580/G579-1</f>
        <v>-1.5833715922258018E-2</v>
      </c>
      <c r="J580" s="8">
        <f t="shared" ref="J580:J643" si="38">+LN(1+I580)</f>
        <v>-1.5960408322843563E-2</v>
      </c>
      <c r="K580" s="8">
        <f t="shared" si="35"/>
        <v>2.1726301932613934E-2</v>
      </c>
    </row>
    <row r="581" spans="1:11" x14ac:dyDescent="0.25">
      <c r="A581" t="str">
        <f t="shared" si="36"/>
        <v>52019</v>
      </c>
      <c r="B581" s="1">
        <v>43594</v>
      </c>
      <c r="C581" s="7">
        <f ca="1">IFERROR(__xludf.DUMMYFUNCTION("""COMPUTED_VALUE"""),43594.6458333333)</f>
        <v>43594.645833333299</v>
      </c>
      <c r="D581">
        <v>8963.5499999999993</v>
      </c>
      <c r="E581">
        <v>9011.6</v>
      </c>
      <c r="F581">
        <v>8881.6</v>
      </c>
      <c r="G581">
        <v>8976.9</v>
      </c>
      <c r="H581">
        <v>0</v>
      </c>
      <c r="I581" s="8">
        <f t="shared" si="37"/>
        <v>-2.937795376165564E-3</v>
      </c>
      <c r="J581" s="8">
        <f t="shared" si="38"/>
        <v>-2.9421191673539406E-3</v>
      </c>
      <c r="K581" s="8">
        <f t="shared" si="35"/>
        <v>2.0032725041474464E-2</v>
      </c>
    </row>
    <row r="582" spans="1:11" x14ac:dyDescent="0.25">
      <c r="A582" t="str">
        <f t="shared" si="36"/>
        <v>52019</v>
      </c>
      <c r="B582" s="1">
        <v>43595</v>
      </c>
      <c r="C582" s="7">
        <f ca="1">IFERROR(__xludf.DUMMYFUNCTION("""COMPUTED_VALUE"""),43595.6458333333)</f>
        <v>43595.645833333299</v>
      </c>
      <c r="D582">
        <v>8964.7000000000007</v>
      </c>
      <c r="E582">
        <v>9012.75</v>
      </c>
      <c r="F582">
        <v>8914.9500000000007</v>
      </c>
      <c r="G582">
        <v>8944.6</v>
      </c>
      <c r="H582">
        <v>0</v>
      </c>
      <c r="I582" s="8">
        <f t="shared" si="37"/>
        <v>-3.5981240740120546E-3</v>
      </c>
      <c r="J582" s="8">
        <f t="shared" si="38"/>
        <v>-3.6046128921626386E-3</v>
      </c>
      <c r="K582" s="8">
        <f t="shared" si="35"/>
        <v>4.2326735452291597E-3</v>
      </c>
    </row>
    <row r="583" spans="1:11" x14ac:dyDescent="0.25">
      <c r="A583" t="str">
        <f t="shared" si="36"/>
        <v>52019</v>
      </c>
      <c r="B583" s="1">
        <v>43598</v>
      </c>
      <c r="C583" s="7">
        <f ca="1">IFERROR(__xludf.DUMMYFUNCTION("""COMPUTED_VALUE"""),43598.6458333333)</f>
        <v>43598.645833333299</v>
      </c>
      <c r="D583">
        <v>8904.7999999999993</v>
      </c>
      <c r="E583">
        <v>8906.4</v>
      </c>
      <c r="F583">
        <v>8244.65</v>
      </c>
      <c r="G583">
        <v>8553.5</v>
      </c>
      <c r="H583">
        <v>0</v>
      </c>
      <c r="I583" s="8">
        <f t="shared" si="37"/>
        <v>-4.3724705408850095E-2</v>
      </c>
      <c r="J583" s="8">
        <f t="shared" si="38"/>
        <v>-4.4709442331209694E-2</v>
      </c>
      <c r="K583" s="8">
        <f t="shared" si="35"/>
        <v>-5.5503718467560637E-2</v>
      </c>
    </row>
    <row r="584" spans="1:11" x14ac:dyDescent="0.25">
      <c r="A584" t="str">
        <f t="shared" si="36"/>
        <v>52019</v>
      </c>
      <c r="B584" s="1">
        <v>43599</v>
      </c>
      <c r="C584" s="7">
        <f ca="1">IFERROR(__xludf.DUMMYFUNCTION("""COMPUTED_VALUE"""),43599.6458333333)</f>
        <v>43599.645833333299</v>
      </c>
      <c r="D584">
        <v>8573.65</v>
      </c>
      <c r="E584">
        <v>8762.2000000000007</v>
      </c>
      <c r="F584">
        <v>8516.1</v>
      </c>
      <c r="G584">
        <v>8683.9</v>
      </c>
      <c r="H584">
        <v>0</v>
      </c>
      <c r="I584" s="8">
        <f t="shared" si="37"/>
        <v>1.5245221254457153E-2</v>
      </c>
      <c r="J584" s="8">
        <f t="shared" si="38"/>
        <v>1.5130180608855615E-2</v>
      </c>
      <c r="K584" s="8">
        <f t="shared" si="35"/>
        <v>-3.349527259776186E-2</v>
      </c>
    </row>
    <row r="585" spans="1:11" x14ac:dyDescent="0.25">
      <c r="A585" t="str">
        <f t="shared" si="36"/>
        <v>52019</v>
      </c>
      <c r="B585" s="1">
        <v>43600</v>
      </c>
      <c r="C585" s="7">
        <f ca="1">IFERROR(__xludf.DUMMYFUNCTION("""COMPUTED_VALUE"""),43600.6458333333)</f>
        <v>43600.645833333299</v>
      </c>
      <c r="D585">
        <v>8690.7000000000007</v>
      </c>
      <c r="E585">
        <v>8756.5499999999993</v>
      </c>
      <c r="F585">
        <v>8562.75</v>
      </c>
      <c r="G585">
        <v>8595.75</v>
      </c>
      <c r="H585">
        <v>0</v>
      </c>
      <c r="I585" s="8">
        <f t="shared" si="37"/>
        <v>-1.0150969034650292E-2</v>
      </c>
      <c r="J585" s="8">
        <f t="shared" si="38"/>
        <v>-1.0202841456283977E-2</v>
      </c>
      <c r="K585" s="8">
        <f t="shared" si="35"/>
        <v>-2.7410047522063774E-2</v>
      </c>
    </row>
    <row r="586" spans="1:11" x14ac:dyDescent="0.25">
      <c r="A586" t="str">
        <f t="shared" si="36"/>
        <v>52019</v>
      </c>
      <c r="B586" s="1">
        <v>43601</v>
      </c>
      <c r="C586" s="7">
        <f ca="1">IFERROR(__xludf.DUMMYFUNCTION("""COMPUTED_VALUE"""),43601.6458333333)</f>
        <v>43601.645833333299</v>
      </c>
      <c r="D586">
        <v>8592.1</v>
      </c>
      <c r="E586">
        <v>8606.7999999999993</v>
      </c>
      <c r="F586">
        <v>8293.0499999999993</v>
      </c>
      <c r="G586">
        <v>8577.35</v>
      </c>
      <c r="H586">
        <v>0</v>
      </c>
      <c r="I586" s="8">
        <f t="shared" si="37"/>
        <v>-2.1405927347817322E-3</v>
      </c>
      <c r="J586" s="8">
        <f t="shared" si="38"/>
        <v>-2.1428870781644059E-3</v>
      </c>
      <c r="K586" s="8">
        <f t="shared" si="35"/>
        <v>-3.6788527728959797E-2</v>
      </c>
    </row>
    <row r="587" spans="1:11" x14ac:dyDescent="0.25">
      <c r="A587" t="str">
        <f t="shared" si="36"/>
        <v>52019</v>
      </c>
      <c r="B587" s="1">
        <v>43602</v>
      </c>
      <c r="C587" s="7">
        <f ca="1">IFERROR(__xludf.DUMMYFUNCTION("""COMPUTED_VALUE"""),43602.6458333333)</f>
        <v>43602.645833333299</v>
      </c>
      <c r="D587">
        <v>8540.9</v>
      </c>
      <c r="E587">
        <v>8542.7000000000007</v>
      </c>
      <c r="F587">
        <v>8387.9</v>
      </c>
      <c r="G587">
        <v>8448.9500000000007</v>
      </c>
      <c r="H587">
        <v>0</v>
      </c>
      <c r="I587" s="8">
        <f t="shared" si="37"/>
        <v>-1.4969658460946556E-2</v>
      </c>
      <c r="J587" s="8">
        <f t="shared" si="38"/>
        <v>-1.5082834691521437E-2</v>
      </c>
      <c r="K587" s="8">
        <f t="shared" si="35"/>
        <v>-4.4209395062077439E-2</v>
      </c>
    </row>
    <row r="588" spans="1:11" x14ac:dyDescent="0.25">
      <c r="A588" t="str">
        <f t="shared" si="36"/>
        <v>52019</v>
      </c>
      <c r="B588" s="1">
        <v>43605</v>
      </c>
      <c r="C588" s="7">
        <f ca="1">IFERROR(__xludf.DUMMYFUNCTION("""COMPUTED_VALUE"""),43605.6458333333)</f>
        <v>43605.645833333299</v>
      </c>
      <c r="D588">
        <v>8640</v>
      </c>
      <c r="E588">
        <v>8675.2999999999993</v>
      </c>
      <c r="F588">
        <v>8415.25</v>
      </c>
      <c r="G588">
        <v>8505.9500000000007</v>
      </c>
      <c r="H588">
        <v>0</v>
      </c>
      <c r="I588" s="8">
        <f t="shared" si="37"/>
        <v>6.7464004402912892E-3</v>
      </c>
      <c r="J588" s="8">
        <f t="shared" si="38"/>
        <v>6.7237453174486409E-3</v>
      </c>
      <c r="K588" s="8">
        <f t="shared" si="35"/>
        <v>-4.6514365142530378E-2</v>
      </c>
    </row>
    <row r="589" spans="1:11" x14ac:dyDescent="0.25">
      <c r="A589" t="str">
        <f t="shared" si="36"/>
        <v>52019</v>
      </c>
      <c r="B589" s="1">
        <v>43606</v>
      </c>
      <c r="C589" s="7">
        <f ca="1">IFERROR(__xludf.DUMMYFUNCTION("""COMPUTED_VALUE"""),43606.6458333333)</f>
        <v>43606.645833333299</v>
      </c>
      <c r="D589">
        <v>8517</v>
      </c>
      <c r="E589">
        <v>8725.7999999999993</v>
      </c>
      <c r="F589">
        <v>8471.6</v>
      </c>
      <c r="G589">
        <v>8488.25</v>
      </c>
      <c r="H589">
        <v>0</v>
      </c>
      <c r="I589" s="8">
        <f t="shared" si="37"/>
        <v>-2.0808963137569636E-3</v>
      </c>
      <c r="J589" s="8">
        <f t="shared" si="38"/>
        <v>-2.0830643867034058E-3</v>
      </c>
      <c r="K589" s="8">
        <f t="shared" si="35"/>
        <v>-1.7938750245855117E-2</v>
      </c>
    </row>
    <row r="590" spans="1:11" x14ac:dyDescent="0.25">
      <c r="A590" t="str">
        <f t="shared" si="36"/>
        <v>52019</v>
      </c>
      <c r="B590" s="1">
        <v>43607</v>
      </c>
      <c r="C590" s="7">
        <f ca="1">IFERROR(__xludf.DUMMYFUNCTION("""COMPUTED_VALUE"""),43607.6458333333)</f>
        <v>43607.645833333299</v>
      </c>
      <c r="D590">
        <v>8498.0499999999993</v>
      </c>
      <c r="E590">
        <v>8584.9500000000007</v>
      </c>
      <c r="F590">
        <v>8413.2999999999993</v>
      </c>
      <c r="G590">
        <v>8510.85</v>
      </c>
      <c r="H590">
        <v>0</v>
      </c>
      <c r="I590" s="8">
        <f t="shared" si="37"/>
        <v>2.662504049715908E-3</v>
      </c>
      <c r="J590" s="8">
        <f t="shared" si="38"/>
        <v>2.6589658647050121E-3</v>
      </c>
      <c r="K590" s="8">
        <f t="shared" si="35"/>
        <v>-7.35950174656963E-3</v>
      </c>
    </row>
    <row r="591" spans="1:11" x14ac:dyDescent="0.25">
      <c r="A591" t="str">
        <f t="shared" si="36"/>
        <v>52019</v>
      </c>
      <c r="B591" s="1">
        <v>43608</v>
      </c>
      <c r="C591" s="7">
        <f ca="1">IFERROR(__xludf.DUMMYFUNCTION("""COMPUTED_VALUE"""),43608.6458333333)</f>
        <v>43608.645833333299</v>
      </c>
      <c r="D591">
        <v>8613.2999999999993</v>
      </c>
      <c r="E591">
        <v>8626.1</v>
      </c>
      <c r="F591">
        <v>8472.2000000000007</v>
      </c>
      <c r="G591">
        <v>8497.6</v>
      </c>
      <c r="H591">
        <v>0</v>
      </c>
      <c r="I591" s="8">
        <f t="shared" si="37"/>
        <v>-1.556836273697737E-3</v>
      </c>
      <c r="J591" s="8">
        <f t="shared" si="38"/>
        <v>-1.5580494025481063E-3</v>
      </c>
      <c r="K591" s="8">
        <f t="shared" si="35"/>
        <v>-6.4424099991815531E-3</v>
      </c>
    </row>
    <row r="592" spans="1:11" x14ac:dyDescent="0.25">
      <c r="A592" t="str">
        <f t="shared" si="36"/>
        <v>52019</v>
      </c>
      <c r="B592" s="1">
        <v>43609</v>
      </c>
      <c r="C592" s="7">
        <f ca="1">IFERROR(__xludf.DUMMYFUNCTION("""COMPUTED_VALUE"""),43609.6458333333)</f>
        <v>43609.645833333299</v>
      </c>
      <c r="D592">
        <v>8529.4</v>
      </c>
      <c r="E592">
        <v>8620.2000000000007</v>
      </c>
      <c r="F592">
        <v>8515.65</v>
      </c>
      <c r="G592">
        <v>8608.4500000000007</v>
      </c>
      <c r="H592">
        <v>0</v>
      </c>
      <c r="I592" s="8">
        <f t="shared" si="37"/>
        <v>1.3044859725098945E-2</v>
      </c>
      <c r="J592" s="8">
        <f t="shared" si="38"/>
        <v>1.2960508318711681E-2</v>
      </c>
      <c r="K592" s="8">
        <f t="shared" si="35"/>
        <v>2.440058793797828E-4</v>
      </c>
    </row>
    <row r="593" spans="1:11" x14ac:dyDescent="0.25">
      <c r="A593" t="str">
        <f t="shared" si="36"/>
        <v>52019</v>
      </c>
      <c r="B593" s="1">
        <v>43612</v>
      </c>
      <c r="C593" s="7">
        <f ca="1">IFERROR(__xludf.DUMMYFUNCTION("""COMPUTED_VALUE"""),43612.6458333333)</f>
        <v>43612.645833333299</v>
      </c>
      <c r="D593">
        <v>8593.7999999999993</v>
      </c>
      <c r="E593">
        <v>8607.4500000000007</v>
      </c>
      <c r="F593">
        <v>8493.4500000000007</v>
      </c>
      <c r="G593">
        <v>8525</v>
      </c>
      <c r="H593">
        <v>0</v>
      </c>
      <c r="I593" s="8">
        <f t="shared" si="37"/>
        <v>-9.6939634893622451E-3</v>
      </c>
      <c r="J593" s="8">
        <f t="shared" si="38"/>
        <v>-9.7412558351288071E-3</v>
      </c>
      <c r="K593" s="8">
        <f t="shared" si="35"/>
        <v>-2.0829624354637755E-2</v>
      </c>
    </row>
    <row r="594" spans="1:11" x14ac:dyDescent="0.25">
      <c r="A594" t="str">
        <f t="shared" si="36"/>
        <v>52019</v>
      </c>
      <c r="B594" s="1">
        <v>43613</v>
      </c>
      <c r="C594" s="7">
        <f ca="1">IFERROR(__xludf.DUMMYFUNCTION("""COMPUTED_VALUE"""),43613.6458333333)</f>
        <v>43613.645833333299</v>
      </c>
      <c r="D594">
        <v>8552.35</v>
      </c>
      <c r="E594">
        <v>8599.15</v>
      </c>
      <c r="F594">
        <v>8492.4</v>
      </c>
      <c r="G594">
        <v>8513.85</v>
      </c>
      <c r="H594">
        <v>0</v>
      </c>
      <c r="I594" s="8">
        <f t="shared" si="37"/>
        <v>-1.3079178885629927E-3</v>
      </c>
      <c r="J594" s="8">
        <f t="shared" si="38"/>
        <v>-1.3087739596931822E-3</v>
      </c>
      <c r="K594" s="8">
        <f t="shared" si="35"/>
        <v>-2.9495246563162603E-2</v>
      </c>
    </row>
    <row r="595" spans="1:11" x14ac:dyDescent="0.25">
      <c r="A595" t="str">
        <f t="shared" si="36"/>
        <v>52019</v>
      </c>
      <c r="B595" s="1">
        <v>43614</v>
      </c>
      <c r="C595" s="7">
        <f ca="1">IFERROR(__xludf.DUMMYFUNCTION("""COMPUTED_VALUE"""),43614.6458333333)</f>
        <v>43614.645833333299</v>
      </c>
      <c r="D595">
        <v>8554.5</v>
      </c>
      <c r="E595">
        <v>8567.0499999999993</v>
      </c>
      <c r="F595">
        <v>8431.6</v>
      </c>
      <c r="G595">
        <v>8484.65</v>
      </c>
      <c r="H595">
        <v>0</v>
      </c>
      <c r="I595" s="8">
        <f t="shared" si="37"/>
        <v>-3.4297057148059418E-3</v>
      </c>
      <c r="J595" s="8">
        <f t="shared" si="38"/>
        <v>-3.4356006378779493E-3</v>
      </c>
      <c r="K595" s="8">
        <f t="shared" si="35"/>
        <v>-3.7606905469476759E-2</v>
      </c>
    </row>
    <row r="596" spans="1:11" x14ac:dyDescent="0.25">
      <c r="A596" t="str">
        <f t="shared" si="36"/>
        <v>52019</v>
      </c>
      <c r="B596" s="1">
        <v>43615</v>
      </c>
      <c r="C596" s="7">
        <f ca="1">IFERROR(__xludf.DUMMYFUNCTION("""COMPUTED_VALUE"""),43615.6458333333)</f>
        <v>43615.645833333299</v>
      </c>
      <c r="D596">
        <v>8479.65</v>
      </c>
      <c r="E596">
        <v>8531.2999999999993</v>
      </c>
      <c r="F596">
        <v>8459.7999999999993</v>
      </c>
      <c r="G596">
        <v>8474.7000000000007</v>
      </c>
      <c r="H596">
        <v>0</v>
      </c>
      <c r="I596" s="8">
        <f t="shared" si="37"/>
        <v>-1.1727060043724702E-3</v>
      </c>
      <c r="J596" s="8">
        <f t="shared" si="38"/>
        <v>-1.1733941621159039E-3</v>
      </c>
      <c r="K596" s="8">
        <f t="shared" si="35"/>
        <v>-4.0178040534801118E-2</v>
      </c>
    </row>
    <row r="597" spans="1:11" x14ac:dyDescent="0.25">
      <c r="A597" t="str">
        <f t="shared" si="36"/>
        <v>52019</v>
      </c>
      <c r="B597" s="1">
        <v>43616</v>
      </c>
      <c r="C597" s="7">
        <f ca="1">IFERROR(__xludf.DUMMYFUNCTION("""COMPUTED_VALUE"""),43616.6458333333)</f>
        <v>43616.645833333299</v>
      </c>
      <c r="D597">
        <v>8503.2999999999993</v>
      </c>
      <c r="E597">
        <v>8544.25</v>
      </c>
      <c r="F597">
        <v>8403.6</v>
      </c>
      <c r="G597">
        <v>8455.1</v>
      </c>
      <c r="H597">
        <v>0</v>
      </c>
      <c r="I597" s="8">
        <f t="shared" si="37"/>
        <v>-2.3127662336129839E-3</v>
      </c>
      <c r="J597" s="8">
        <f t="shared" si="38"/>
        <v>-2.3154448081801459E-3</v>
      </c>
      <c r="K597" s="8">
        <f t="shared" si="35"/>
        <v>-4.6367102027926266E-2</v>
      </c>
    </row>
    <row r="598" spans="1:11" x14ac:dyDescent="0.25">
      <c r="A598" t="str">
        <f t="shared" si="36"/>
        <v>62019</v>
      </c>
      <c r="B598" s="1">
        <v>43619</v>
      </c>
      <c r="C598" s="7">
        <f ca="1">IFERROR(__xludf.DUMMYFUNCTION("""COMPUTED_VALUE"""),43619.6458333333)</f>
        <v>43619.645833333299</v>
      </c>
      <c r="D598">
        <v>8459.85</v>
      </c>
      <c r="E598">
        <v>8547.35</v>
      </c>
      <c r="F598">
        <v>8371.9500000000007</v>
      </c>
      <c r="G598">
        <v>8536.6</v>
      </c>
      <c r="H598">
        <v>0</v>
      </c>
      <c r="I598" s="8">
        <f t="shared" si="37"/>
        <v>9.6391527007368971E-3</v>
      </c>
      <c r="J598" s="8">
        <f t="shared" si="38"/>
        <v>9.5929924616833442E-3</v>
      </c>
      <c r="K598" s="8">
        <f t="shared" si="35"/>
        <v>-3.9195934652807907E-2</v>
      </c>
    </row>
    <row r="599" spans="1:11" x14ac:dyDescent="0.25">
      <c r="A599" t="str">
        <f t="shared" si="36"/>
        <v>62019</v>
      </c>
      <c r="B599" s="1">
        <v>43620</v>
      </c>
      <c r="C599" s="7">
        <f ca="1">IFERROR(__xludf.DUMMYFUNCTION("""COMPUTED_VALUE"""),43620.6458333333)</f>
        <v>43620.645833333299</v>
      </c>
      <c r="D599">
        <v>8524.7999999999993</v>
      </c>
      <c r="E599">
        <v>8602.0499999999993</v>
      </c>
      <c r="F599">
        <v>8342.85</v>
      </c>
      <c r="G599">
        <v>8432.9500000000007</v>
      </c>
      <c r="H599">
        <v>0</v>
      </c>
      <c r="I599" s="8">
        <f t="shared" si="37"/>
        <v>-1.2141836328280586E-2</v>
      </c>
      <c r="J599" s="8">
        <f t="shared" si="38"/>
        <v>-1.2216150576575309E-2</v>
      </c>
      <c r="K599" s="8">
        <f t="shared" si="35"/>
        <v>-6.0149454174630579E-2</v>
      </c>
    </row>
    <row r="600" spans="1:11" x14ac:dyDescent="0.25">
      <c r="A600" t="str">
        <f t="shared" si="36"/>
        <v>62019</v>
      </c>
      <c r="B600" s="1">
        <v>43622</v>
      </c>
      <c r="C600" s="7">
        <f ca="1">IFERROR(__xludf.DUMMYFUNCTION("""COMPUTED_VALUE"""),43622.6458333333)</f>
        <v>43622.645833333299</v>
      </c>
      <c r="D600">
        <v>8464.35</v>
      </c>
      <c r="E600">
        <v>8466.5</v>
      </c>
      <c r="F600">
        <v>8262.1</v>
      </c>
      <c r="G600">
        <v>8279.1</v>
      </c>
      <c r="H600">
        <v>0</v>
      </c>
      <c r="I600" s="8">
        <f t="shared" si="37"/>
        <v>-1.8243912272692286E-2</v>
      </c>
      <c r="J600" s="8">
        <f t="shared" si="38"/>
        <v>-1.8412384649627304E-2</v>
      </c>
      <c r="K600" s="8">
        <f t="shared" si="35"/>
        <v>-8.5652123494557975E-2</v>
      </c>
    </row>
    <row r="601" spans="1:11" x14ac:dyDescent="0.25">
      <c r="A601" t="str">
        <f t="shared" si="36"/>
        <v>62019</v>
      </c>
      <c r="B601" s="1">
        <v>43623</v>
      </c>
      <c r="C601" s="7">
        <f ca="1">IFERROR(__xludf.DUMMYFUNCTION("""COMPUTED_VALUE"""),43623.6458333333)</f>
        <v>43623.645833333299</v>
      </c>
      <c r="D601">
        <v>8274.7000000000007</v>
      </c>
      <c r="E601">
        <v>8289.85</v>
      </c>
      <c r="F601">
        <v>8096.55</v>
      </c>
      <c r="G601">
        <v>8179.6</v>
      </c>
      <c r="H601">
        <v>0</v>
      </c>
      <c r="I601" s="8">
        <f t="shared" si="37"/>
        <v>-1.2018214540227778E-2</v>
      </c>
      <c r="J601" s="8">
        <f t="shared" si="38"/>
        <v>-1.2091017173671437E-2</v>
      </c>
      <c r="K601" s="8">
        <f t="shared" si="35"/>
        <v>-0.1065428727471327</v>
      </c>
    </row>
    <row r="602" spans="1:11" x14ac:dyDescent="0.25">
      <c r="A602" t="str">
        <f t="shared" si="36"/>
        <v>62019</v>
      </c>
      <c r="B602" s="1">
        <v>43626</v>
      </c>
      <c r="C602" s="7">
        <f ca="1">IFERROR(__xludf.DUMMYFUNCTION("""COMPUTED_VALUE"""),43626.6458333333)</f>
        <v>43626.645833333299</v>
      </c>
      <c r="D602">
        <v>8215.0499999999993</v>
      </c>
      <c r="E602">
        <v>8265.4</v>
      </c>
      <c r="F602">
        <v>8185.4</v>
      </c>
      <c r="G602">
        <v>8246.7000000000007</v>
      </c>
      <c r="H602">
        <v>0</v>
      </c>
      <c r="I602" s="8">
        <f t="shared" si="37"/>
        <v>8.2033351264121368E-3</v>
      </c>
      <c r="J602" s="8">
        <f t="shared" si="38"/>
        <v>8.1698706617275244E-3</v>
      </c>
      <c r="K602" s="8">
        <f t="shared" si="35"/>
        <v>-8.8324222139923525E-2</v>
      </c>
    </row>
    <row r="603" spans="1:11" x14ac:dyDescent="0.25">
      <c r="A603" t="str">
        <f t="shared" si="36"/>
        <v>62019</v>
      </c>
      <c r="B603" s="1">
        <v>43627</v>
      </c>
      <c r="C603" s="7">
        <f ca="1">IFERROR(__xludf.DUMMYFUNCTION("""COMPUTED_VALUE"""),43627.6458333333)</f>
        <v>43627.645833333299</v>
      </c>
      <c r="D603">
        <v>8237.85</v>
      </c>
      <c r="E603">
        <v>8277.2999999999993</v>
      </c>
      <c r="F603">
        <v>8114.5</v>
      </c>
      <c r="G603">
        <v>8243.5</v>
      </c>
      <c r="H603">
        <v>0</v>
      </c>
      <c r="I603" s="8">
        <f t="shared" si="37"/>
        <v>-3.8803400147946476E-4</v>
      </c>
      <c r="J603" s="8">
        <f t="shared" si="38"/>
        <v>-3.8810930615376297E-4</v>
      </c>
      <c r="K603" s="8">
        <f t="shared" si="35"/>
        <v>-8.6273879525817887E-2</v>
      </c>
    </row>
    <row r="604" spans="1:11" x14ac:dyDescent="0.25">
      <c r="A604" t="str">
        <f t="shared" si="36"/>
        <v>62019</v>
      </c>
      <c r="B604" s="1">
        <v>43628</v>
      </c>
      <c r="C604" s="7">
        <f ca="1">IFERROR(__xludf.DUMMYFUNCTION("""COMPUTED_VALUE"""),43628.6458333333)</f>
        <v>43628.645833333299</v>
      </c>
      <c r="D604">
        <v>8243.9</v>
      </c>
      <c r="E604">
        <v>8262.6</v>
      </c>
      <c r="F604">
        <v>8137.3</v>
      </c>
      <c r="G604">
        <v>8179.15</v>
      </c>
      <c r="H604">
        <v>0</v>
      </c>
      <c r="I604" s="8">
        <f t="shared" si="37"/>
        <v>-7.8061503002365695E-3</v>
      </c>
      <c r="J604" s="8">
        <f t="shared" si="38"/>
        <v>-7.8367777841045067E-3</v>
      </c>
      <c r="K604" s="8">
        <f t="shared" si="35"/>
        <v>-0.10659690553301182</v>
      </c>
    </row>
    <row r="605" spans="1:11" x14ac:dyDescent="0.25">
      <c r="A605" t="str">
        <f t="shared" si="36"/>
        <v>62019</v>
      </c>
      <c r="B605" s="1">
        <v>43629</v>
      </c>
      <c r="C605" s="7">
        <f ca="1">IFERROR(__xludf.DUMMYFUNCTION("""COMPUTED_VALUE"""),43629.6458333333)</f>
        <v>43629.645833333299</v>
      </c>
      <c r="D605">
        <v>8163.45</v>
      </c>
      <c r="E605">
        <v>8193.7000000000007</v>
      </c>
      <c r="F605">
        <v>8062.55</v>
      </c>
      <c r="G605">
        <v>8148.55</v>
      </c>
      <c r="H605">
        <v>0</v>
      </c>
      <c r="I605" s="8">
        <f t="shared" si="37"/>
        <v>-3.7412200534284734E-3</v>
      </c>
      <c r="J605" s="8">
        <f t="shared" si="38"/>
        <v>-3.7482359212425557E-3</v>
      </c>
      <c r="K605" s="8">
        <f t="shared" si="35"/>
        <v>-0.12143118989088708</v>
      </c>
    </row>
    <row r="606" spans="1:11" x14ac:dyDescent="0.25">
      <c r="A606" t="str">
        <f t="shared" si="36"/>
        <v>62019</v>
      </c>
      <c r="B606" s="1">
        <v>43630</v>
      </c>
      <c r="C606" s="7">
        <f ca="1">IFERROR(__xludf.DUMMYFUNCTION("""COMPUTED_VALUE"""),43630.6458333333)</f>
        <v>43630.645833333299</v>
      </c>
      <c r="D606">
        <v>8138.05</v>
      </c>
      <c r="E606">
        <v>8142.95</v>
      </c>
      <c r="F606">
        <v>7954.6</v>
      </c>
      <c r="G606">
        <v>8083.55</v>
      </c>
      <c r="H606">
        <v>0</v>
      </c>
      <c r="I606" s="8">
        <f t="shared" si="37"/>
        <v>-7.9768793220880152E-3</v>
      </c>
      <c r="J606" s="8">
        <f t="shared" si="38"/>
        <v>-8.0088648338793901E-3</v>
      </c>
      <c r="K606" s="8">
        <f t="shared" si="35"/>
        <v>-0.11172220543391664</v>
      </c>
    </row>
    <row r="607" spans="1:11" x14ac:dyDescent="0.25">
      <c r="A607" t="str">
        <f t="shared" si="36"/>
        <v>62019</v>
      </c>
      <c r="B607" s="1">
        <v>43633</v>
      </c>
      <c r="C607" s="7">
        <f ca="1">IFERROR(__xludf.DUMMYFUNCTION("""COMPUTED_VALUE"""),43633.6458333333)</f>
        <v>43633.645833333299</v>
      </c>
      <c r="D607">
        <v>8098.3</v>
      </c>
      <c r="E607">
        <v>8131.2</v>
      </c>
      <c r="F607">
        <v>7962.5</v>
      </c>
      <c r="G607">
        <v>7975.25</v>
      </c>
      <c r="H607">
        <v>0</v>
      </c>
      <c r="I607" s="8">
        <f t="shared" si="37"/>
        <v>-1.3397579033964102E-2</v>
      </c>
      <c r="J607" s="8">
        <f t="shared" si="38"/>
        <v>-1.3488136337916203E-2</v>
      </c>
      <c r="K607" s="8">
        <f t="shared" si="35"/>
        <v>-0.13169985519711702</v>
      </c>
    </row>
    <row r="608" spans="1:11" x14ac:dyDescent="0.25">
      <c r="A608" t="str">
        <f t="shared" si="36"/>
        <v>62019</v>
      </c>
      <c r="B608" s="1">
        <v>43634</v>
      </c>
      <c r="C608" s="7">
        <f ca="1">IFERROR(__xludf.DUMMYFUNCTION("""COMPUTED_VALUE"""),43634.6458333333)</f>
        <v>43634.645833333299</v>
      </c>
      <c r="D608">
        <v>7980.15</v>
      </c>
      <c r="E608">
        <v>8032.35</v>
      </c>
      <c r="F608">
        <v>7878.8</v>
      </c>
      <c r="G608">
        <v>7916.95</v>
      </c>
      <c r="H608">
        <v>0</v>
      </c>
      <c r="I608" s="8">
        <f t="shared" si="37"/>
        <v>-7.3101156703552217E-3</v>
      </c>
      <c r="J608" s="8">
        <f t="shared" si="38"/>
        <v>-7.3369654961568682E-3</v>
      </c>
      <c r="K608" s="8">
        <f t="shared" si="35"/>
        <v>-0.14149158240030368</v>
      </c>
    </row>
    <row r="609" spans="1:11" x14ac:dyDescent="0.25">
      <c r="A609" t="str">
        <f t="shared" si="36"/>
        <v>62019</v>
      </c>
      <c r="B609" s="1">
        <v>43635</v>
      </c>
      <c r="C609" s="7">
        <f ca="1">IFERROR(__xludf.DUMMYFUNCTION("""COMPUTED_VALUE"""),43635.6458333333)</f>
        <v>43635.645833333299</v>
      </c>
      <c r="D609">
        <v>7943.45</v>
      </c>
      <c r="E609">
        <v>7958.1</v>
      </c>
      <c r="F609">
        <v>7753.75</v>
      </c>
      <c r="G609">
        <v>7790.5</v>
      </c>
      <c r="H609">
        <v>0</v>
      </c>
      <c r="I609" s="8">
        <f t="shared" si="37"/>
        <v>-1.5972059947328199E-2</v>
      </c>
      <c r="J609" s="8">
        <f t="shared" si="38"/>
        <v>-1.6100987970524564E-2</v>
      </c>
      <c r="K609" s="8">
        <f t="shared" si="35"/>
        <v>-0.15366188844045869</v>
      </c>
    </row>
    <row r="610" spans="1:11" x14ac:dyDescent="0.25">
      <c r="A610" t="str">
        <f t="shared" si="36"/>
        <v>62019</v>
      </c>
      <c r="B610" s="1">
        <v>43636</v>
      </c>
      <c r="C610" s="7">
        <f ca="1">IFERROR(__xludf.DUMMYFUNCTION("""COMPUTED_VALUE"""),43636.6458333333)</f>
        <v>43636.645833333299</v>
      </c>
      <c r="D610">
        <v>7758.8</v>
      </c>
      <c r="E610">
        <v>8043.3</v>
      </c>
      <c r="F610">
        <v>7737</v>
      </c>
      <c r="G610">
        <v>8029</v>
      </c>
      <c r="H610">
        <v>0</v>
      </c>
      <c r="I610" s="8">
        <f t="shared" si="37"/>
        <v>3.0614209614273857E-2</v>
      </c>
      <c r="J610" s="8">
        <f t="shared" si="38"/>
        <v>3.0154944527274768E-2</v>
      </c>
      <c r="K610" s="8">
        <f t="shared" si="35"/>
        <v>-0.13149297968543805</v>
      </c>
    </row>
    <row r="611" spans="1:11" x14ac:dyDescent="0.25">
      <c r="A611" t="str">
        <f t="shared" si="36"/>
        <v>62019</v>
      </c>
      <c r="B611" s="1">
        <v>43637</v>
      </c>
      <c r="C611" s="7">
        <f ca="1">IFERROR(__xludf.DUMMYFUNCTION("""COMPUTED_VALUE"""),43637.6458333333)</f>
        <v>43637.645833333299</v>
      </c>
      <c r="D611">
        <v>8011.5</v>
      </c>
      <c r="E611">
        <v>8033.3</v>
      </c>
      <c r="F611">
        <v>7895.1</v>
      </c>
      <c r="G611">
        <v>7911.55</v>
      </c>
      <c r="H611">
        <v>0</v>
      </c>
      <c r="I611" s="8">
        <f t="shared" si="37"/>
        <v>-1.4628222692738779E-2</v>
      </c>
      <c r="J611" s="8">
        <f t="shared" si="38"/>
        <v>-1.4736270131567461E-2</v>
      </c>
      <c r="K611" s="8">
        <f t="shared" si="35"/>
        <v>-0.14603594365589079</v>
      </c>
    </row>
    <row r="612" spans="1:11" x14ac:dyDescent="0.25">
      <c r="A612" t="str">
        <f t="shared" si="36"/>
        <v>62019</v>
      </c>
      <c r="B612" s="1">
        <v>43640</v>
      </c>
      <c r="C612" s="7">
        <f ca="1">IFERROR(__xludf.DUMMYFUNCTION("""COMPUTED_VALUE"""),43640.6458333333)</f>
        <v>43640.645833333299</v>
      </c>
      <c r="D612">
        <v>7921.55</v>
      </c>
      <c r="E612">
        <v>7935.75</v>
      </c>
      <c r="F612">
        <v>7867.8</v>
      </c>
      <c r="G612">
        <v>7902</v>
      </c>
      <c r="H612">
        <v>0</v>
      </c>
      <c r="I612" s="8">
        <f t="shared" si="37"/>
        <v>-1.2070959546486293E-3</v>
      </c>
      <c r="J612" s="8">
        <f t="shared" si="38"/>
        <v>-1.2078250817804947E-3</v>
      </c>
      <c r="K612" s="8">
        <f t="shared" si="35"/>
        <v>-0.14102626816025043</v>
      </c>
    </row>
    <row r="613" spans="1:11" x14ac:dyDescent="0.25">
      <c r="A613" t="str">
        <f t="shared" si="36"/>
        <v>62019</v>
      </c>
      <c r="B613" s="1">
        <v>43641</v>
      </c>
      <c r="C613" s="7">
        <f ca="1">IFERROR(__xludf.DUMMYFUNCTION("""COMPUTED_VALUE"""),43641.6458333333)</f>
        <v>43641.645833333299</v>
      </c>
      <c r="D613">
        <v>7889.3</v>
      </c>
      <c r="E613">
        <v>7961.55</v>
      </c>
      <c r="F613">
        <v>7847.1</v>
      </c>
      <c r="G613">
        <v>7947.2</v>
      </c>
      <c r="H613">
        <v>0</v>
      </c>
      <c r="I613" s="8">
        <f t="shared" si="37"/>
        <v>5.7200708681346413E-3</v>
      </c>
      <c r="J613" s="8">
        <f t="shared" si="38"/>
        <v>5.7037733817500106E-3</v>
      </c>
      <c r="K613" s="8">
        <f t="shared" si="35"/>
        <v>-0.13336204969384358</v>
      </c>
    </row>
    <row r="614" spans="1:11" x14ac:dyDescent="0.25">
      <c r="A614" t="str">
        <f t="shared" si="36"/>
        <v>62019</v>
      </c>
      <c r="B614" s="1">
        <v>43642</v>
      </c>
      <c r="C614" s="7">
        <f ca="1">IFERROR(__xludf.DUMMYFUNCTION("""COMPUTED_VALUE"""),43642.6458333333)</f>
        <v>43642.645833333299</v>
      </c>
      <c r="D614">
        <v>7927.5</v>
      </c>
      <c r="E614">
        <v>8121.25</v>
      </c>
      <c r="F614">
        <v>7915</v>
      </c>
      <c r="G614">
        <v>8086.3</v>
      </c>
      <c r="H614">
        <v>0</v>
      </c>
      <c r="I614" s="8">
        <f t="shared" si="37"/>
        <v>1.7503019931548236E-2</v>
      </c>
      <c r="J614" s="8">
        <f t="shared" si="38"/>
        <v>1.7351606321902122E-2</v>
      </c>
      <c r="K614" s="8">
        <f t="shared" si="35"/>
        <v>-0.1253326122228231</v>
      </c>
    </row>
    <row r="615" spans="1:11" x14ac:dyDescent="0.25">
      <c r="A615" t="str">
        <f t="shared" si="36"/>
        <v>62019</v>
      </c>
      <c r="B615" s="1">
        <v>43643</v>
      </c>
      <c r="C615" s="7">
        <f ca="1">IFERROR(__xludf.DUMMYFUNCTION("""COMPUTED_VALUE"""),43643.6458333333)</f>
        <v>43643.645833333299</v>
      </c>
      <c r="D615">
        <v>8080.15</v>
      </c>
      <c r="E615">
        <v>8140.95</v>
      </c>
      <c r="F615">
        <v>8018.25</v>
      </c>
      <c r="G615">
        <v>8088</v>
      </c>
      <c r="H615">
        <v>0</v>
      </c>
      <c r="I615" s="8">
        <f t="shared" si="37"/>
        <v>2.1023212099469113E-4</v>
      </c>
      <c r="J615" s="8">
        <f t="shared" si="38"/>
        <v>2.1021002531910175E-4</v>
      </c>
      <c r="K615" s="8">
        <f t="shared" si="35"/>
        <v>-0.11594963273871972</v>
      </c>
    </row>
    <row r="616" spans="1:11" x14ac:dyDescent="0.25">
      <c r="A616" t="str">
        <f t="shared" si="36"/>
        <v>62019</v>
      </c>
      <c r="B616" s="1">
        <v>43644</v>
      </c>
      <c r="C616" s="7">
        <f ca="1">IFERROR(__xludf.DUMMYFUNCTION("""COMPUTED_VALUE"""),43644.6458333333)</f>
        <v>43644.645833333299</v>
      </c>
      <c r="D616">
        <v>8116.8</v>
      </c>
      <c r="E616">
        <v>8202.65</v>
      </c>
      <c r="F616">
        <v>8031.35</v>
      </c>
      <c r="G616">
        <v>8065.15</v>
      </c>
      <c r="H616">
        <v>0</v>
      </c>
      <c r="I616" s="8">
        <f t="shared" si="37"/>
        <v>-2.8251730959446553E-3</v>
      </c>
      <c r="J616" s="8">
        <f t="shared" si="38"/>
        <v>-2.8291714298882978E-3</v>
      </c>
      <c r="K616" s="8">
        <f t="shared" si="35"/>
        <v>-0.12329608452725183</v>
      </c>
    </row>
    <row r="617" spans="1:11" x14ac:dyDescent="0.25">
      <c r="A617" t="str">
        <f t="shared" si="36"/>
        <v>72019</v>
      </c>
      <c r="B617" s="1">
        <v>43647</v>
      </c>
      <c r="C617" s="7">
        <f ca="1">IFERROR(__xludf.DUMMYFUNCTION("""COMPUTED_VALUE"""),43647.6458333333)</f>
        <v>43647.645833333299</v>
      </c>
      <c r="D617">
        <v>8085.4</v>
      </c>
      <c r="E617">
        <v>8192.4500000000007</v>
      </c>
      <c r="F617">
        <v>8085.35</v>
      </c>
      <c r="G617">
        <v>8178.8</v>
      </c>
      <c r="H617">
        <v>0</v>
      </c>
      <c r="I617" s="8">
        <f t="shared" si="37"/>
        <v>1.4091492408696782E-2</v>
      </c>
      <c r="J617" s="8">
        <f t="shared" si="38"/>
        <v>1.3993130298480216E-2</v>
      </c>
      <c r="K617" s="8">
        <f t="shared" si="35"/>
        <v>-0.12493914866982991</v>
      </c>
    </row>
    <row r="618" spans="1:11" x14ac:dyDescent="0.25">
      <c r="A618" t="str">
        <f t="shared" si="36"/>
        <v>72019</v>
      </c>
      <c r="B618" s="1">
        <v>43648</v>
      </c>
      <c r="C618" s="7">
        <f ca="1">IFERROR(__xludf.DUMMYFUNCTION("""COMPUTED_VALUE"""),43648.6458333333)</f>
        <v>43648.645833333299</v>
      </c>
      <c r="D618">
        <v>8185.4</v>
      </c>
      <c r="E618">
        <v>8198.2999999999993</v>
      </c>
      <c r="F618">
        <v>8068</v>
      </c>
      <c r="G618">
        <v>8101.65</v>
      </c>
      <c r="H618">
        <v>0</v>
      </c>
      <c r="I618" s="8">
        <f t="shared" si="37"/>
        <v>-9.4329241453514623E-3</v>
      </c>
      <c r="J618" s="8">
        <f t="shared" si="38"/>
        <v>-9.4776959494477387E-3</v>
      </c>
      <c r="K618" s="8">
        <f t="shared" si="35"/>
        <v>-0.13586086993621604</v>
      </c>
    </row>
    <row r="619" spans="1:11" x14ac:dyDescent="0.25">
      <c r="A619" t="str">
        <f t="shared" si="36"/>
        <v>72019</v>
      </c>
      <c r="B619" s="1">
        <v>43649</v>
      </c>
      <c r="C619" s="7">
        <f ca="1">IFERROR(__xludf.DUMMYFUNCTION("""COMPUTED_VALUE"""),43649.6458333333)</f>
        <v>43649.645833333299</v>
      </c>
      <c r="D619">
        <v>8120.75</v>
      </c>
      <c r="E619">
        <v>8120.75</v>
      </c>
      <c r="F619">
        <v>8032.25</v>
      </c>
      <c r="G619">
        <v>8092.2</v>
      </c>
      <c r="H619">
        <v>0</v>
      </c>
      <c r="I619" s="8">
        <f t="shared" si="37"/>
        <v>-1.1664290607468208E-3</v>
      </c>
      <c r="J619" s="8">
        <f t="shared" si="38"/>
        <v>-1.1671098685845545E-3</v>
      </c>
      <c r="K619" s="8">
        <f t="shared" si="35"/>
        <v>-0.12958550922614409</v>
      </c>
    </row>
    <row r="620" spans="1:11" x14ac:dyDescent="0.25">
      <c r="A620" t="str">
        <f t="shared" si="36"/>
        <v>72019</v>
      </c>
      <c r="B620" s="1">
        <v>43650</v>
      </c>
      <c r="C620" s="7">
        <f ca="1">IFERROR(__xludf.DUMMYFUNCTION("""COMPUTED_VALUE"""),43650.6458333333)</f>
        <v>43650.645833333299</v>
      </c>
      <c r="D620">
        <v>8099.45</v>
      </c>
      <c r="E620">
        <v>8138.9</v>
      </c>
      <c r="F620">
        <v>8035.15</v>
      </c>
      <c r="G620">
        <v>8046.8</v>
      </c>
      <c r="H620">
        <v>0</v>
      </c>
      <c r="I620" s="8">
        <f t="shared" si="37"/>
        <v>-5.6103408220260498E-3</v>
      </c>
      <c r="J620" s="8">
        <f t="shared" si="38"/>
        <v>-5.6261378964500754E-3</v>
      </c>
      <c r="K620" s="8">
        <f t="shared" si="35"/>
        <v>-0.12347091053669257</v>
      </c>
    </row>
    <row r="621" spans="1:11" x14ac:dyDescent="0.25">
      <c r="A621" t="str">
        <f t="shared" si="36"/>
        <v>72019</v>
      </c>
      <c r="B621" s="1">
        <v>43651</v>
      </c>
      <c r="C621" s="7">
        <f ca="1">IFERROR(__xludf.DUMMYFUNCTION("""COMPUTED_VALUE"""),43651.6458333333)</f>
        <v>43651.645833333299</v>
      </c>
      <c r="D621">
        <v>8058.65</v>
      </c>
      <c r="E621">
        <v>8082.7</v>
      </c>
      <c r="F621">
        <v>7911.2</v>
      </c>
      <c r="G621">
        <v>7926.5</v>
      </c>
      <c r="H621">
        <v>0</v>
      </c>
      <c r="I621" s="8">
        <f t="shared" si="37"/>
        <v>-1.4950042252821039E-2</v>
      </c>
      <c r="J621" s="8">
        <f t="shared" si="38"/>
        <v>-1.5062920571134291E-2</v>
      </c>
      <c r="K621" s="8">
        <f t="shared" si="35"/>
        <v>-0.144320659800937</v>
      </c>
    </row>
    <row r="622" spans="1:11" x14ac:dyDescent="0.25">
      <c r="A622" t="str">
        <f t="shared" si="36"/>
        <v>72019</v>
      </c>
      <c r="B622" s="1">
        <v>43654</v>
      </c>
      <c r="C622" s="7">
        <f ca="1">IFERROR(__xludf.DUMMYFUNCTION("""COMPUTED_VALUE"""),43654.6458333333)</f>
        <v>43654.645833333299</v>
      </c>
      <c r="D622">
        <v>7862.8</v>
      </c>
      <c r="E622">
        <v>7922</v>
      </c>
      <c r="F622">
        <v>7791.1</v>
      </c>
      <c r="G622">
        <v>7801.75</v>
      </c>
      <c r="H622">
        <v>0</v>
      </c>
      <c r="I622" s="8">
        <f t="shared" si="37"/>
        <v>-1.5738346054374519E-2</v>
      </c>
      <c r="J622" s="8">
        <f t="shared" si="38"/>
        <v>-1.5863508795951164E-2</v>
      </c>
      <c r="K622" s="8">
        <f t="shared" si="35"/>
        <v>-0.15852796997265828</v>
      </c>
    </row>
    <row r="623" spans="1:11" x14ac:dyDescent="0.25">
      <c r="A623" t="str">
        <f t="shared" si="36"/>
        <v>72019</v>
      </c>
      <c r="B623" s="1">
        <v>43655</v>
      </c>
      <c r="C623" s="7">
        <f ca="1">IFERROR(__xludf.DUMMYFUNCTION("""COMPUTED_VALUE"""),43655.6458333333)</f>
        <v>43655.645833333299</v>
      </c>
      <c r="D623">
        <v>7810.15</v>
      </c>
      <c r="E623">
        <v>8053.45</v>
      </c>
      <c r="F623">
        <v>7795.25</v>
      </c>
      <c r="G623">
        <v>8012.05</v>
      </c>
      <c r="H623">
        <v>0</v>
      </c>
      <c r="I623" s="8">
        <f t="shared" si="37"/>
        <v>2.6955490755279365E-2</v>
      </c>
      <c r="J623" s="8">
        <f t="shared" si="38"/>
        <v>2.6598590917946429E-2</v>
      </c>
      <c r="K623" s="8">
        <f t="shared" si="35"/>
        <v>-0.13326085310312741</v>
      </c>
    </row>
    <row r="624" spans="1:11" x14ac:dyDescent="0.25">
      <c r="A624" t="str">
        <f t="shared" si="36"/>
        <v>72019</v>
      </c>
      <c r="B624" s="1">
        <v>43656</v>
      </c>
      <c r="C624" s="7">
        <f ca="1">IFERROR(__xludf.DUMMYFUNCTION("""COMPUTED_VALUE"""),43656.6458333333)</f>
        <v>43656.645833333299</v>
      </c>
      <c r="D624">
        <v>8011.8</v>
      </c>
      <c r="E624">
        <v>8060.7</v>
      </c>
      <c r="F624">
        <v>7963.25</v>
      </c>
      <c r="G624">
        <v>8009.5</v>
      </c>
      <c r="H624">
        <v>0</v>
      </c>
      <c r="I624" s="8">
        <f t="shared" si="37"/>
        <v>-3.1827060490141612E-4</v>
      </c>
      <c r="J624" s="8">
        <f t="shared" si="38"/>
        <v>-3.1832126373948608E-4</v>
      </c>
      <c r="K624" s="8">
        <f t="shared" si="35"/>
        <v>-0.14183622084364578</v>
      </c>
    </row>
    <row r="625" spans="1:11" x14ac:dyDescent="0.25">
      <c r="A625" t="str">
        <f t="shared" si="36"/>
        <v>72019</v>
      </c>
      <c r="B625" s="1">
        <v>43657</v>
      </c>
      <c r="C625" s="7">
        <f ca="1">IFERROR(__xludf.DUMMYFUNCTION("""COMPUTED_VALUE"""),43657.6458333333)</f>
        <v>43657.645833333299</v>
      </c>
      <c r="D625">
        <v>8068.3</v>
      </c>
      <c r="E625">
        <v>8152.9</v>
      </c>
      <c r="F625">
        <v>8049.7</v>
      </c>
      <c r="G625">
        <v>8110.05</v>
      </c>
      <c r="H625">
        <v>0</v>
      </c>
      <c r="I625" s="8">
        <f t="shared" si="37"/>
        <v>1.2553842312254204E-2</v>
      </c>
      <c r="J625" s="8">
        <f t="shared" si="38"/>
        <v>1.2475696177028945E-2</v>
      </c>
      <c r="K625" s="8">
        <f t="shared" si="35"/>
        <v>-0.1379532095366659</v>
      </c>
    </row>
    <row r="626" spans="1:11" x14ac:dyDescent="0.25">
      <c r="A626" t="str">
        <f t="shared" si="36"/>
        <v>72019</v>
      </c>
      <c r="B626" s="1">
        <v>43658</v>
      </c>
      <c r="C626" s="7">
        <f ca="1">IFERROR(__xludf.DUMMYFUNCTION("""COMPUTED_VALUE"""),43658.6458333333)</f>
        <v>43658.645833333299</v>
      </c>
      <c r="D626">
        <v>8132.4</v>
      </c>
      <c r="E626">
        <v>8189</v>
      </c>
      <c r="F626">
        <v>8083.9</v>
      </c>
      <c r="G626">
        <v>8144.3</v>
      </c>
      <c r="H626">
        <v>0</v>
      </c>
      <c r="I626" s="8">
        <f t="shared" si="37"/>
        <v>4.2231552209912593E-3</v>
      </c>
      <c r="J626" s="8">
        <f t="shared" si="38"/>
        <v>4.2142627284406549E-3</v>
      </c>
      <c r="K626" s="8">
        <f t="shared" si="35"/>
        <v>-0.13276861726199662</v>
      </c>
    </row>
    <row r="627" spans="1:11" x14ac:dyDescent="0.25">
      <c r="A627" t="str">
        <f t="shared" si="36"/>
        <v>72019</v>
      </c>
      <c r="B627" s="1">
        <v>43661</v>
      </c>
      <c r="C627" s="7">
        <f ca="1">IFERROR(__xludf.DUMMYFUNCTION("""COMPUTED_VALUE"""),43661.6458333333)</f>
        <v>43661.645833333299</v>
      </c>
      <c r="D627">
        <v>8198.75</v>
      </c>
      <c r="E627">
        <v>8276.5499999999993</v>
      </c>
      <c r="F627">
        <v>8151.75</v>
      </c>
      <c r="G627">
        <v>8231.85</v>
      </c>
      <c r="H627">
        <v>0</v>
      </c>
      <c r="I627" s="8">
        <f t="shared" si="37"/>
        <v>1.0749849588055582E-2</v>
      </c>
      <c r="J627" s="8">
        <f t="shared" si="38"/>
        <v>1.0692480726519E-2</v>
      </c>
      <c r="K627" s="8">
        <f t="shared" si="35"/>
        <v>-0.126728513915631</v>
      </c>
    </row>
    <row r="628" spans="1:11" x14ac:dyDescent="0.25">
      <c r="A628" t="str">
        <f t="shared" si="36"/>
        <v>72019</v>
      </c>
      <c r="B628" s="1">
        <v>43662</v>
      </c>
      <c r="C628" s="7">
        <f ca="1">IFERROR(__xludf.DUMMYFUNCTION("""COMPUTED_VALUE"""),43662.6458333333)</f>
        <v>43662.645833333299</v>
      </c>
      <c r="D628">
        <v>8227.35</v>
      </c>
      <c r="E628">
        <v>8360.15</v>
      </c>
      <c r="F628">
        <v>8194.9</v>
      </c>
      <c r="G628">
        <v>8347.9500000000007</v>
      </c>
      <c r="H628">
        <v>0</v>
      </c>
      <c r="I628" s="8">
        <f t="shared" si="37"/>
        <v>1.4103755534904172E-2</v>
      </c>
      <c r="J628" s="8">
        <f t="shared" si="38"/>
        <v>1.4005222947075043E-2</v>
      </c>
      <c r="K628" s="8">
        <f t="shared" si="35"/>
        <v>-0.1135940113084335</v>
      </c>
    </row>
    <row r="629" spans="1:11" x14ac:dyDescent="0.25">
      <c r="A629" t="str">
        <f t="shared" si="36"/>
        <v>72019</v>
      </c>
      <c r="B629" s="1">
        <v>43663</v>
      </c>
      <c r="C629" s="7">
        <f ca="1">IFERROR(__xludf.DUMMYFUNCTION("""COMPUTED_VALUE"""),43663.6458333333)</f>
        <v>43663.645833333299</v>
      </c>
      <c r="D629">
        <v>8351.9500000000007</v>
      </c>
      <c r="E629">
        <v>8363.75</v>
      </c>
      <c r="F629">
        <v>8288.5</v>
      </c>
      <c r="G629">
        <v>8330.75</v>
      </c>
      <c r="H629">
        <v>0</v>
      </c>
      <c r="I629" s="8">
        <f t="shared" si="37"/>
        <v>-2.0603860828107834E-3</v>
      </c>
      <c r="J629" s="8">
        <f t="shared" si="38"/>
        <v>-2.0625115983061086E-3</v>
      </c>
      <c r="K629" s="8">
        <f t="shared" si="35"/>
        <v>-0.11542504618913119</v>
      </c>
    </row>
    <row r="630" spans="1:11" x14ac:dyDescent="0.25">
      <c r="A630" t="str">
        <f t="shared" si="36"/>
        <v>72019</v>
      </c>
      <c r="B630" s="1">
        <v>43664</v>
      </c>
      <c r="C630" s="7">
        <f ca="1">IFERROR(__xludf.DUMMYFUNCTION("""COMPUTED_VALUE"""),43664.6458333333)</f>
        <v>43664.645833333299</v>
      </c>
      <c r="D630">
        <v>8328</v>
      </c>
      <c r="E630">
        <v>8329.9500000000007</v>
      </c>
      <c r="F630">
        <v>8207.2000000000007</v>
      </c>
      <c r="G630">
        <v>8223.15</v>
      </c>
      <c r="H630">
        <v>0</v>
      </c>
      <c r="I630" s="8">
        <f t="shared" si="37"/>
        <v>-1.2916003961228051E-2</v>
      </c>
      <c r="J630" s="8">
        <f t="shared" si="38"/>
        <v>-1.3000140800080244E-2</v>
      </c>
      <c r="K630" s="8">
        <f t="shared" si="35"/>
        <v>-0.12611717446519088</v>
      </c>
    </row>
    <row r="631" spans="1:11" x14ac:dyDescent="0.25">
      <c r="A631" t="str">
        <f t="shared" si="36"/>
        <v>72019</v>
      </c>
      <c r="B631" s="1">
        <v>43665</v>
      </c>
      <c r="C631" s="7">
        <f ca="1">IFERROR(__xludf.DUMMYFUNCTION("""COMPUTED_VALUE"""),43665.6458333333)</f>
        <v>43665.645833333299</v>
      </c>
      <c r="D631">
        <v>8253.75</v>
      </c>
      <c r="E631">
        <v>8288</v>
      </c>
      <c r="F631">
        <v>8029.95</v>
      </c>
      <c r="G631">
        <v>8040.1</v>
      </c>
      <c r="H631">
        <v>0</v>
      </c>
      <c r="I631" s="8">
        <f t="shared" si="37"/>
        <v>-2.2260326030778876E-2</v>
      </c>
      <c r="J631" s="8">
        <f t="shared" si="38"/>
        <v>-2.2511826415606812E-2</v>
      </c>
      <c r="K631" s="8">
        <f t="shared" si="35"/>
        <v>-0.13411843260154332</v>
      </c>
    </row>
    <row r="632" spans="1:11" x14ac:dyDescent="0.25">
      <c r="A632" t="str">
        <f t="shared" si="36"/>
        <v>72019</v>
      </c>
      <c r="B632" s="1">
        <v>43668</v>
      </c>
      <c r="C632" s="7">
        <f ca="1">IFERROR(__xludf.DUMMYFUNCTION("""COMPUTED_VALUE"""),43668.6458333333)</f>
        <v>43668.645833333299</v>
      </c>
      <c r="D632">
        <v>8028.5</v>
      </c>
      <c r="E632">
        <v>8189.2</v>
      </c>
      <c r="F632">
        <v>7976.05</v>
      </c>
      <c r="G632">
        <v>8120.85</v>
      </c>
      <c r="H632">
        <v>0</v>
      </c>
      <c r="I632" s="8">
        <f t="shared" si="37"/>
        <v>1.0043407420305739E-2</v>
      </c>
      <c r="J632" s="8">
        <f t="shared" si="38"/>
        <v>9.9933075735226754E-3</v>
      </c>
      <c r="K632" s="8">
        <f t="shared" si="35"/>
        <v>-0.1350492075664621</v>
      </c>
    </row>
    <row r="633" spans="1:11" x14ac:dyDescent="0.25">
      <c r="A633" t="str">
        <f t="shared" si="36"/>
        <v>72019</v>
      </c>
      <c r="B633" s="1">
        <v>43669</v>
      </c>
      <c r="C633" s="7">
        <f ca="1">IFERROR(__xludf.DUMMYFUNCTION("""COMPUTED_VALUE"""),43669.6458333333)</f>
        <v>43669.645833333299</v>
      </c>
      <c r="D633">
        <v>8142.05</v>
      </c>
      <c r="E633">
        <v>8165.05</v>
      </c>
      <c r="F633">
        <v>8043.25</v>
      </c>
      <c r="G633">
        <v>8063.65</v>
      </c>
      <c r="H633">
        <v>0</v>
      </c>
      <c r="I633" s="8">
        <f t="shared" si="37"/>
        <v>-7.0435976529551469E-3</v>
      </c>
      <c r="J633" s="8">
        <f t="shared" si="38"/>
        <v>-7.0685208886868906E-3</v>
      </c>
      <c r="K633" s="8">
        <f t="shared" si="35"/>
        <v>-0.14751559361454702</v>
      </c>
    </row>
    <row r="634" spans="1:11" x14ac:dyDescent="0.25">
      <c r="A634" t="str">
        <f t="shared" si="36"/>
        <v>72019</v>
      </c>
      <c r="B634" s="1">
        <v>43670</v>
      </c>
      <c r="C634" s="7">
        <f ca="1">IFERROR(__xludf.DUMMYFUNCTION("""COMPUTED_VALUE"""),43670.6458333333)</f>
        <v>43670.645833333299</v>
      </c>
      <c r="D634">
        <v>8057.15</v>
      </c>
      <c r="E634">
        <v>8071.25</v>
      </c>
      <c r="F634">
        <v>7890.2</v>
      </c>
      <c r="G634">
        <v>7920.65</v>
      </c>
      <c r="H634">
        <v>0</v>
      </c>
      <c r="I634" s="8">
        <f t="shared" si="37"/>
        <v>-1.7733904621356378E-2</v>
      </c>
      <c r="J634" s="8">
        <f t="shared" si="38"/>
        <v>-1.7893034443518287E-2</v>
      </c>
      <c r="K634" s="8">
        <f t="shared" si="35"/>
        <v>-0.1611746826863506</v>
      </c>
    </row>
    <row r="635" spans="1:11" x14ac:dyDescent="0.25">
      <c r="A635" t="str">
        <f t="shared" si="36"/>
        <v>72019</v>
      </c>
      <c r="B635" s="1">
        <v>43671</v>
      </c>
      <c r="C635" s="7">
        <f ca="1">IFERROR(__xludf.DUMMYFUNCTION("""COMPUTED_VALUE"""),43671.6458333333)</f>
        <v>43671.645833333299</v>
      </c>
      <c r="D635">
        <v>7942.5</v>
      </c>
      <c r="E635">
        <v>8116.6</v>
      </c>
      <c r="F635">
        <v>7931.4</v>
      </c>
      <c r="G635">
        <v>8094.35</v>
      </c>
      <c r="H635">
        <v>0</v>
      </c>
      <c r="I635" s="8">
        <f t="shared" si="37"/>
        <v>2.1930018369704651E-2</v>
      </c>
      <c r="J635" s="8">
        <f t="shared" si="38"/>
        <v>2.1693014260566534E-2</v>
      </c>
      <c r="K635" s="8">
        <f t="shared" si="35"/>
        <v>-0.14451419935106802</v>
      </c>
    </row>
    <row r="636" spans="1:11" x14ac:dyDescent="0.25">
      <c r="A636" t="str">
        <f t="shared" si="36"/>
        <v>72019</v>
      </c>
      <c r="B636" s="1">
        <v>43672</v>
      </c>
      <c r="C636" s="7">
        <f ca="1">IFERROR(__xludf.DUMMYFUNCTION("""COMPUTED_VALUE"""),43672.6458333333)</f>
        <v>43672.645833333299</v>
      </c>
      <c r="D636">
        <v>8113.4</v>
      </c>
      <c r="E636">
        <v>8210.1</v>
      </c>
      <c r="F636">
        <v>8050.05</v>
      </c>
      <c r="G636">
        <v>8178.9</v>
      </c>
      <c r="H636">
        <v>0</v>
      </c>
      <c r="I636" s="8">
        <f t="shared" si="37"/>
        <v>1.0445557703830266E-2</v>
      </c>
      <c r="J636" s="8">
        <f t="shared" si="38"/>
        <v>1.0391379818188723E-2</v>
      </c>
      <c r="K636" s="8">
        <f t="shared" si="35"/>
        <v>-0.13013560223344856</v>
      </c>
    </row>
    <row r="637" spans="1:11" x14ac:dyDescent="0.25">
      <c r="A637" t="str">
        <f t="shared" si="36"/>
        <v>72019</v>
      </c>
      <c r="B637" s="1">
        <v>43675</v>
      </c>
      <c r="C637" s="7">
        <f ca="1">IFERROR(__xludf.DUMMYFUNCTION("""COMPUTED_VALUE"""),43675.6458333333)</f>
        <v>43675.645833333299</v>
      </c>
      <c r="D637">
        <v>8177.15</v>
      </c>
      <c r="E637">
        <v>8184</v>
      </c>
      <c r="F637">
        <v>7994.15</v>
      </c>
      <c r="G637">
        <v>8039.8</v>
      </c>
      <c r="H637">
        <v>0</v>
      </c>
      <c r="I637" s="8">
        <f t="shared" si="37"/>
        <v>-1.7007177004242591E-2</v>
      </c>
      <c r="J637" s="8">
        <f t="shared" si="38"/>
        <v>-1.715345998496319E-2</v>
      </c>
      <c r="K637" s="8">
        <f t="shared" si="35"/>
        <v>-0.13469589831347595</v>
      </c>
    </row>
    <row r="638" spans="1:11" x14ac:dyDescent="0.25">
      <c r="A638" t="str">
        <f t="shared" si="36"/>
        <v>72019</v>
      </c>
      <c r="B638" s="1">
        <v>43676</v>
      </c>
      <c r="C638" s="7">
        <f ca="1">IFERROR(__xludf.DUMMYFUNCTION("""COMPUTED_VALUE"""),43676.6458333333)</f>
        <v>43676.645833333299</v>
      </c>
      <c r="D638">
        <v>8039.45</v>
      </c>
      <c r="E638">
        <v>8205.25</v>
      </c>
      <c r="F638">
        <v>7853.6</v>
      </c>
      <c r="G638">
        <v>7877.75</v>
      </c>
      <c r="H638">
        <v>0</v>
      </c>
      <c r="I638" s="8">
        <f t="shared" si="37"/>
        <v>-2.0155974029204771E-2</v>
      </c>
      <c r="J638" s="8">
        <f t="shared" si="38"/>
        <v>-2.0361877157024214E-2</v>
      </c>
      <c r="K638" s="8">
        <f t="shared" si="35"/>
        <v>-0.14562195988265225</v>
      </c>
    </row>
    <row r="639" spans="1:11" x14ac:dyDescent="0.25">
      <c r="A639" t="str">
        <f t="shared" si="36"/>
        <v>72019</v>
      </c>
      <c r="B639" s="1">
        <v>43677</v>
      </c>
      <c r="C639" s="7">
        <f ca="1">IFERROR(__xludf.DUMMYFUNCTION("""COMPUTED_VALUE"""),43677.6458333333)</f>
        <v>43677.645833333299</v>
      </c>
      <c r="D639">
        <v>7857.6</v>
      </c>
      <c r="E639">
        <v>7999.6</v>
      </c>
      <c r="F639">
        <v>7801.85</v>
      </c>
      <c r="G639">
        <v>7987.5</v>
      </c>
      <c r="H639">
        <v>0</v>
      </c>
      <c r="I639" s="8">
        <f t="shared" si="37"/>
        <v>1.3931642918346032E-2</v>
      </c>
      <c r="J639" s="8">
        <f t="shared" si="38"/>
        <v>1.3835489601096354E-2</v>
      </c>
      <c r="K639" s="8">
        <f t="shared" si="35"/>
        <v>-0.13082510405614955</v>
      </c>
    </row>
    <row r="640" spans="1:11" x14ac:dyDescent="0.25">
      <c r="A640" t="str">
        <f t="shared" si="36"/>
        <v>82019</v>
      </c>
      <c r="B640" s="1">
        <v>43678</v>
      </c>
      <c r="C640" s="7">
        <f ca="1">IFERROR(__xludf.DUMMYFUNCTION("""COMPUTED_VALUE"""),43678.6458333333)</f>
        <v>43678.645833333299</v>
      </c>
      <c r="D640">
        <v>7945.05</v>
      </c>
      <c r="E640">
        <v>7963.15</v>
      </c>
      <c r="F640">
        <v>7790.1</v>
      </c>
      <c r="G640">
        <v>7878.75</v>
      </c>
      <c r="H640">
        <v>0</v>
      </c>
      <c r="I640" s="8">
        <f t="shared" si="37"/>
        <v>-1.3615023474178423E-2</v>
      </c>
      <c r="J640" s="8">
        <f t="shared" si="38"/>
        <v>-1.3708557858470399E-2</v>
      </c>
      <c r="K640" s="8">
        <f t="shared" ref="K640:K703" si="39">+G640/G579-1</f>
        <v>-0.13876500295140037</v>
      </c>
    </row>
    <row r="641" spans="1:11" x14ac:dyDescent="0.25">
      <c r="A641" t="str">
        <f t="shared" si="36"/>
        <v>82019</v>
      </c>
      <c r="B641" s="1">
        <v>43679</v>
      </c>
      <c r="C641" s="7">
        <f ca="1">IFERROR(__xludf.DUMMYFUNCTION("""COMPUTED_VALUE"""),43679.6458333333)</f>
        <v>43679.645833333299</v>
      </c>
      <c r="D641">
        <v>7841.95</v>
      </c>
      <c r="E641">
        <v>7963.95</v>
      </c>
      <c r="F641">
        <v>7781.85</v>
      </c>
      <c r="G641">
        <v>7868.2</v>
      </c>
      <c r="H641">
        <v>0</v>
      </c>
      <c r="I641" s="8">
        <f t="shared" si="37"/>
        <v>-1.3390448992542936E-3</v>
      </c>
      <c r="J641" s="8">
        <f t="shared" si="38"/>
        <v>-1.3399422210009242E-3</v>
      </c>
      <c r="K641" s="8">
        <f t="shared" si="39"/>
        <v>-0.12608084768447303</v>
      </c>
    </row>
    <row r="642" spans="1:11" x14ac:dyDescent="0.25">
      <c r="A642" t="str">
        <f t="shared" si="36"/>
        <v>82019</v>
      </c>
      <c r="B642" s="1">
        <v>43682</v>
      </c>
      <c r="C642" s="7">
        <f ca="1">IFERROR(__xludf.DUMMYFUNCTION("""COMPUTED_VALUE"""),43682.6458333333)</f>
        <v>43682.645833333299</v>
      </c>
      <c r="D642">
        <v>7819.9</v>
      </c>
      <c r="E642">
        <v>7881.85</v>
      </c>
      <c r="F642">
        <v>7735.05</v>
      </c>
      <c r="G642">
        <v>7807.95</v>
      </c>
      <c r="H642">
        <v>0</v>
      </c>
      <c r="I642" s="8">
        <f t="shared" si="37"/>
        <v>-7.6574057598942646E-3</v>
      </c>
      <c r="J642" s="8">
        <f t="shared" si="38"/>
        <v>-7.6868742224187932E-3</v>
      </c>
      <c r="K642" s="8">
        <f t="shared" si="39"/>
        <v>-0.13021755839989302</v>
      </c>
    </row>
    <row r="643" spans="1:11" x14ac:dyDescent="0.25">
      <c r="A643" t="str">
        <f t="shared" ref="A643:A706" si="40">+MONTH(B643)&amp;YEAR(B643)</f>
        <v>82019</v>
      </c>
      <c r="B643" s="1">
        <v>43683</v>
      </c>
      <c r="C643" s="7">
        <f ca="1">IFERROR(__xludf.DUMMYFUNCTION("""COMPUTED_VALUE"""),43683.6458333333)</f>
        <v>43683.645833333299</v>
      </c>
      <c r="D643">
        <v>7790.9</v>
      </c>
      <c r="E643">
        <v>7905.9</v>
      </c>
      <c r="F643">
        <v>7783.75</v>
      </c>
      <c r="G643">
        <v>7818.5</v>
      </c>
      <c r="H643">
        <v>0</v>
      </c>
      <c r="I643" s="8">
        <f t="shared" si="37"/>
        <v>1.3511869312687885E-3</v>
      </c>
      <c r="J643" s="8">
        <f t="shared" si="38"/>
        <v>1.3502748996648566E-3</v>
      </c>
      <c r="K643" s="8">
        <f t="shared" si="39"/>
        <v>-0.12589718936565086</v>
      </c>
    </row>
    <row r="644" spans="1:11" x14ac:dyDescent="0.25">
      <c r="A644" t="str">
        <f t="shared" si="40"/>
        <v>82019</v>
      </c>
      <c r="B644" s="1">
        <v>43684</v>
      </c>
      <c r="C644" s="7">
        <f ca="1">IFERROR(__xludf.DUMMYFUNCTION("""COMPUTED_VALUE"""),43684.6458333333)</f>
        <v>43684.645833333299</v>
      </c>
      <c r="D644">
        <v>7833.7</v>
      </c>
      <c r="E644">
        <v>7959.95</v>
      </c>
      <c r="F644">
        <v>7823.75</v>
      </c>
      <c r="G644">
        <v>7879.75</v>
      </c>
      <c r="H644">
        <v>0</v>
      </c>
      <c r="I644" s="8">
        <f t="shared" ref="I644:I707" si="41">+G644/G643-1</f>
        <v>7.8339835006715486E-3</v>
      </c>
      <c r="J644" s="8">
        <f t="shared" ref="J644:J707" si="42">+LN(1+I644)</f>
        <v>7.8034571767583985E-3</v>
      </c>
      <c r="K644" s="8">
        <f t="shared" si="39"/>
        <v>-7.8768925001461376E-2</v>
      </c>
    </row>
    <row r="645" spans="1:11" x14ac:dyDescent="0.25">
      <c r="A645" t="str">
        <f t="shared" si="40"/>
        <v>82019</v>
      </c>
      <c r="B645" s="1">
        <v>43685</v>
      </c>
      <c r="C645" s="7">
        <f ca="1">IFERROR(__xludf.DUMMYFUNCTION("""COMPUTED_VALUE"""),43685.6458333333)</f>
        <v>43685.645833333299</v>
      </c>
      <c r="D645">
        <v>7919.1</v>
      </c>
      <c r="E645">
        <v>7994.1</v>
      </c>
      <c r="F645">
        <v>7854.2</v>
      </c>
      <c r="G645">
        <v>7964.8</v>
      </c>
      <c r="H645">
        <v>0</v>
      </c>
      <c r="I645" s="8">
        <f t="shared" si="41"/>
        <v>1.0793489641168774E-2</v>
      </c>
      <c r="J645" s="8">
        <f t="shared" si="42"/>
        <v>1.0735655712949526E-2</v>
      </c>
      <c r="K645" s="8">
        <f t="shared" si="39"/>
        <v>-8.2808415573647709E-2</v>
      </c>
    </row>
    <row r="646" spans="1:11" x14ac:dyDescent="0.25">
      <c r="A646" t="str">
        <f t="shared" si="40"/>
        <v>82019</v>
      </c>
      <c r="B646" s="1">
        <v>43686</v>
      </c>
      <c r="C646" s="7">
        <f ca="1">IFERROR(__xludf.DUMMYFUNCTION("""COMPUTED_VALUE"""),43686.6458333333)</f>
        <v>43686.645833333299</v>
      </c>
      <c r="D646">
        <v>8014.95</v>
      </c>
      <c r="E646">
        <v>8049.1</v>
      </c>
      <c r="F646">
        <v>7896.4</v>
      </c>
      <c r="G646">
        <v>7924.05</v>
      </c>
      <c r="H646">
        <v>0</v>
      </c>
      <c r="I646" s="8">
        <f t="shared" si="41"/>
        <v>-5.1162615508236753E-3</v>
      </c>
      <c r="J646" s="8">
        <f t="shared" si="42"/>
        <v>-5.1293944302664976E-3</v>
      </c>
      <c r="K646" s="8">
        <f t="shared" si="39"/>
        <v>-7.8143268475700189E-2</v>
      </c>
    </row>
    <row r="647" spans="1:11" x14ac:dyDescent="0.25">
      <c r="A647" t="str">
        <f t="shared" si="40"/>
        <v>82019</v>
      </c>
      <c r="B647" s="1">
        <v>43690</v>
      </c>
      <c r="C647" s="7">
        <f ca="1">IFERROR(__xludf.DUMMYFUNCTION("""COMPUTED_VALUE"""),43690.6458333333)</f>
        <v>43690.645833333299</v>
      </c>
      <c r="D647">
        <v>7909.3</v>
      </c>
      <c r="E647">
        <v>7984.85</v>
      </c>
      <c r="F647">
        <v>7789.15</v>
      </c>
      <c r="G647">
        <v>7851.95</v>
      </c>
      <c r="H647">
        <v>0</v>
      </c>
      <c r="I647" s="8">
        <f t="shared" si="41"/>
        <v>-9.0988825158851983E-3</v>
      </c>
      <c r="J647" s="8">
        <f t="shared" si="42"/>
        <v>-9.1405301713103522E-3</v>
      </c>
      <c r="K647" s="8">
        <f t="shared" si="39"/>
        <v>-8.4571575136842991E-2</v>
      </c>
    </row>
    <row r="648" spans="1:11" x14ac:dyDescent="0.25">
      <c r="A648" t="str">
        <f t="shared" si="40"/>
        <v>82019</v>
      </c>
      <c r="B648" s="1">
        <v>43691</v>
      </c>
      <c r="C648" s="7">
        <f ca="1">IFERROR(__xludf.DUMMYFUNCTION("""COMPUTED_VALUE"""),43691.6458333333)</f>
        <v>43691.645833333299</v>
      </c>
      <c r="D648">
        <v>7859.1</v>
      </c>
      <c r="E648">
        <v>7866.2</v>
      </c>
      <c r="F648">
        <v>7550.55</v>
      </c>
      <c r="G648">
        <v>7744.3</v>
      </c>
      <c r="H648">
        <v>0</v>
      </c>
      <c r="I648" s="8">
        <f t="shared" si="41"/>
        <v>-1.3709970134807237E-2</v>
      </c>
      <c r="J648" s="8">
        <f t="shared" si="42"/>
        <v>-1.3804819696223223E-2</v>
      </c>
      <c r="K648" s="8">
        <f t="shared" si="39"/>
        <v>-8.3400895969321653E-2</v>
      </c>
    </row>
    <row r="649" spans="1:11" x14ac:dyDescent="0.25">
      <c r="A649" t="str">
        <f t="shared" si="40"/>
        <v>82019</v>
      </c>
      <c r="B649" s="1">
        <v>43693</v>
      </c>
      <c r="C649" s="7">
        <f ca="1">IFERROR(__xludf.DUMMYFUNCTION("""COMPUTED_VALUE"""),43693.6458333333)</f>
        <v>43693.645833333299</v>
      </c>
      <c r="D649">
        <v>7738.35</v>
      </c>
      <c r="E649">
        <v>7756.6</v>
      </c>
      <c r="F649">
        <v>7636.2</v>
      </c>
      <c r="G649">
        <v>7684.3</v>
      </c>
      <c r="H649">
        <v>0</v>
      </c>
      <c r="I649" s="8">
        <f t="shared" si="41"/>
        <v>-7.7476337435274933E-3</v>
      </c>
      <c r="J649" s="8">
        <f t="shared" si="42"/>
        <v>-7.7778025836122726E-3</v>
      </c>
      <c r="K649" s="8">
        <f t="shared" si="39"/>
        <v>-9.6597087920808455E-2</v>
      </c>
    </row>
    <row r="650" spans="1:11" x14ac:dyDescent="0.25">
      <c r="A650" t="str">
        <f t="shared" si="40"/>
        <v>82019</v>
      </c>
      <c r="B650" s="1">
        <v>43696</v>
      </c>
      <c r="C650" s="7">
        <f ca="1">IFERROR(__xludf.DUMMYFUNCTION("""COMPUTED_VALUE"""),43696.6458333333)</f>
        <v>43696.645833333299</v>
      </c>
      <c r="D650">
        <v>7770.3</v>
      </c>
      <c r="E650">
        <v>7851.15</v>
      </c>
      <c r="F650">
        <v>7727.55</v>
      </c>
      <c r="G650">
        <v>7741.35</v>
      </c>
      <c r="H650">
        <v>0</v>
      </c>
      <c r="I650" s="8">
        <f t="shared" si="41"/>
        <v>7.4242286219954323E-3</v>
      </c>
      <c r="J650" s="8">
        <f t="shared" si="42"/>
        <v>7.3968046874070131E-3</v>
      </c>
      <c r="K650" s="8">
        <f t="shared" si="39"/>
        <v>-8.7992224545695441E-2</v>
      </c>
    </row>
    <row r="651" spans="1:11" x14ac:dyDescent="0.25">
      <c r="A651" t="str">
        <f t="shared" si="40"/>
        <v>82019</v>
      </c>
      <c r="B651" s="1">
        <v>43697</v>
      </c>
      <c r="C651" s="7">
        <f ca="1">IFERROR(__xludf.DUMMYFUNCTION("""COMPUTED_VALUE"""),43697.6458333333)</f>
        <v>43697.645833333299</v>
      </c>
      <c r="D651">
        <v>7764.85</v>
      </c>
      <c r="E651">
        <v>7772.1</v>
      </c>
      <c r="F651">
        <v>7676.45</v>
      </c>
      <c r="G651">
        <v>7749.7</v>
      </c>
      <c r="H651">
        <v>0</v>
      </c>
      <c r="I651" s="8">
        <f t="shared" si="41"/>
        <v>1.0786232375490368E-3</v>
      </c>
      <c r="J651" s="8">
        <f t="shared" si="42"/>
        <v>1.0780419414668375E-3</v>
      </c>
      <c r="K651" s="8">
        <f t="shared" si="39"/>
        <v>-8.9432900356603673E-2</v>
      </c>
    </row>
    <row r="652" spans="1:11" x14ac:dyDescent="0.25">
      <c r="A652" t="str">
        <f t="shared" si="40"/>
        <v>82019</v>
      </c>
      <c r="B652" s="1">
        <v>43698</v>
      </c>
      <c r="C652" s="7">
        <f ca="1">IFERROR(__xludf.DUMMYFUNCTION("""COMPUTED_VALUE"""),43698.6458333333)</f>
        <v>43698.645833333299</v>
      </c>
      <c r="D652">
        <v>7732.95</v>
      </c>
      <c r="E652">
        <v>7765</v>
      </c>
      <c r="F652">
        <v>7660.65</v>
      </c>
      <c r="G652">
        <v>7677.25</v>
      </c>
      <c r="H652">
        <v>0</v>
      </c>
      <c r="I652" s="8">
        <f t="shared" si="41"/>
        <v>-9.3487489838316451E-3</v>
      </c>
      <c r="J652" s="8">
        <f t="shared" si="42"/>
        <v>-9.3927228190977749E-3</v>
      </c>
      <c r="K652" s="8">
        <f t="shared" si="39"/>
        <v>-9.6539022782903494E-2</v>
      </c>
    </row>
    <row r="653" spans="1:11" x14ac:dyDescent="0.25">
      <c r="A653" t="str">
        <f t="shared" si="40"/>
        <v>82019</v>
      </c>
      <c r="B653" s="1">
        <v>43699</v>
      </c>
      <c r="C653" s="7">
        <f ca="1">IFERROR(__xludf.DUMMYFUNCTION("""COMPUTED_VALUE"""),43699.6458333333)</f>
        <v>43699.645833333299</v>
      </c>
      <c r="D653">
        <v>7667.8</v>
      </c>
      <c r="E653">
        <v>7746.35</v>
      </c>
      <c r="F653">
        <v>7630.2</v>
      </c>
      <c r="G653">
        <v>7670.85</v>
      </c>
      <c r="H653">
        <v>0</v>
      </c>
      <c r="I653" s="8">
        <f t="shared" si="41"/>
        <v>-8.3363183431561794E-4</v>
      </c>
      <c r="J653" s="8">
        <f t="shared" si="42"/>
        <v>-8.3397949856262802E-4</v>
      </c>
      <c r="K653" s="8">
        <f t="shared" si="39"/>
        <v>-0.10891623927652483</v>
      </c>
    </row>
    <row r="654" spans="1:11" x14ac:dyDescent="0.25">
      <c r="A654" t="str">
        <f t="shared" si="40"/>
        <v>82019</v>
      </c>
      <c r="B654" s="1">
        <v>43700</v>
      </c>
      <c r="C654" s="7">
        <f ca="1">IFERROR(__xludf.DUMMYFUNCTION("""COMPUTED_VALUE"""),43700.6458333333)</f>
        <v>43700.645833333299</v>
      </c>
      <c r="D654">
        <v>7669</v>
      </c>
      <c r="E654">
        <v>7793</v>
      </c>
      <c r="F654">
        <v>7554.7</v>
      </c>
      <c r="G654">
        <v>7780.55</v>
      </c>
      <c r="H654">
        <v>0</v>
      </c>
      <c r="I654" s="8">
        <f t="shared" si="41"/>
        <v>1.4300892339180082E-2</v>
      </c>
      <c r="J654" s="8">
        <f t="shared" si="42"/>
        <v>1.4199599158057611E-2</v>
      </c>
      <c r="K654" s="8">
        <f t="shared" si="39"/>
        <v>-8.7325513196480964E-2</v>
      </c>
    </row>
    <row r="655" spans="1:11" x14ac:dyDescent="0.25">
      <c r="A655" t="str">
        <f t="shared" si="40"/>
        <v>82019</v>
      </c>
      <c r="B655" s="1">
        <v>43703</v>
      </c>
      <c r="C655" s="7">
        <f ca="1">IFERROR(__xludf.DUMMYFUNCTION("""COMPUTED_VALUE"""),43703.6458333333)</f>
        <v>43703.645833333299</v>
      </c>
      <c r="D655">
        <v>7834.95</v>
      </c>
      <c r="E655">
        <v>7858</v>
      </c>
      <c r="F655">
        <v>7690.75</v>
      </c>
      <c r="G655">
        <v>7824.3</v>
      </c>
      <c r="H655">
        <v>0</v>
      </c>
      <c r="I655" s="8">
        <f t="shared" si="41"/>
        <v>5.6229958036384531E-3</v>
      </c>
      <c r="J655" s="8">
        <f t="shared" si="42"/>
        <v>5.6072457767082744E-3</v>
      </c>
      <c r="K655" s="8">
        <f t="shared" si="39"/>
        <v>-8.099156080973946E-2</v>
      </c>
    </row>
    <row r="656" spans="1:11" x14ac:dyDescent="0.25">
      <c r="A656" t="str">
        <f t="shared" si="40"/>
        <v>82019</v>
      </c>
      <c r="B656" s="1">
        <v>43704</v>
      </c>
      <c r="C656" s="7">
        <f ca="1">IFERROR(__xludf.DUMMYFUNCTION("""COMPUTED_VALUE"""),43704.6458333333)</f>
        <v>43704.645833333299</v>
      </c>
      <c r="D656">
        <v>7869.25</v>
      </c>
      <c r="E656">
        <v>7896.3</v>
      </c>
      <c r="F656">
        <v>7804.2</v>
      </c>
      <c r="G656">
        <v>7812.1</v>
      </c>
      <c r="H656">
        <v>0</v>
      </c>
      <c r="I656" s="8">
        <f t="shared" si="41"/>
        <v>-1.5592449164780753E-3</v>
      </c>
      <c r="J656" s="8">
        <f t="shared" si="42"/>
        <v>-1.5604618039477582E-3</v>
      </c>
      <c r="K656" s="8">
        <f t="shared" si="39"/>
        <v>-7.9266675702592271E-2</v>
      </c>
    </row>
    <row r="657" spans="1:11" x14ac:dyDescent="0.25">
      <c r="A657" t="str">
        <f t="shared" si="40"/>
        <v>82019</v>
      </c>
      <c r="B657" s="1">
        <v>43705</v>
      </c>
      <c r="C657" s="7">
        <f ca="1">IFERROR(__xludf.DUMMYFUNCTION("""COMPUTED_VALUE"""),43705.6458333333)</f>
        <v>43705.645833333299</v>
      </c>
      <c r="D657">
        <v>7824.5</v>
      </c>
      <c r="E657">
        <v>7897.1</v>
      </c>
      <c r="F657">
        <v>7701.35</v>
      </c>
      <c r="G657">
        <v>7738.65</v>
      </c>
      <c r="H657">
        <v>0</v>
      </c>
      <c r="I657" s="8">
        <f t="shared" si="41"/>
        <v>-9.4020813865670627E-3</v>
      </c>
      <c r="J657" s="8">
        <f t="shared" si="42"/>
        <v>-9.4465599674643987E-3</v>
      </c>
      <c r="K657" s="8">
        <f t="shared" si="39"/>
        <v>-8.6852631951573667E-2</v>
      </c>
    </row>
    <row r="658" spans="1:11" x14ac:dyDescent="0.25">
      <c r="A658" t="str">
        <f t="shared" si="40"/>
        <v>82019</v>
      </c>
      <c r="B658" s="1">
        <v>43706</v>
      </c>
      <c r="C658" s="7">
        <f ca="1">IFERROR(__xludf.DUMMYFUNCTION("""COMPUTED_VALUE"""),43706.6458333333)</f>
        <v>43706.645833333299</v>
      </c>
      <c r="D658">
        <v>7802</v>
      </c>
      <c r="E658">
        <v>7933.45</v>
      </c>
      <c r="F658">
        <v>7742.15</v>
      </c>
      <c r="G658">
        <v>7912.5</v>
      </c>
      <c r="H658">
        <v>0</v>
      </c>
      <c r="I658" s="8">
        <f t="shared" si="41"/>
        <v>2.2465158651702843E-2</v>
      </c>
      <c r="J658" s="8">
        <f t="shared" si="42"/>
        <v>2.2216533686003785E-2</v>
      </c>
      <c r="K658" s="8">
        <f t="shared" si="39"/>
        <v>-6.41742853425743E-2</v>
      </c>
    </row>
    <row r="659" spans="1:11" x14ac:dyDescent="0.25">
      <c r="A659" t="str">
        <f t="shared" si="40"/>
        <v>82019</v>
      </c>
      <c r="B659" s="1">
        <v>43707</v>
      </c>
      <c r="C659" s="7">
        <f ca="1">IFERROR(__xludf.DUMMYFUNCTION("""COMPUTED_VALUE"""),43707.6458333333)</f>
        <v>43707.645833333299</v>
      </c>
      <c r="D659">
        <v>7916.3</v>
      </c>
      <c r="E659">
        <v>8112.55</v>
      </c>
      <c r="F659">
        <v>7875.85</v>
      </c>
      <c r="G659">
        <v>8072.05</v>
      </c>
      <c r="H659">
        <v>0</v>
      </c>
      <c r="I659" s="8">
        <f t="shared" si="41"/>
        <v>2.016429699842015E-2</v>
      </c>
      <c r="J659" s="8">
        <f t="shared" si="42"/>
        <v>1.9963689813563282E-2</v>
      </c>
      <c r="K659" s="8">
        <f t="shared" si="39"/>
        <v>-5.4418620996649736E-2</v>
      </c>
    </row>
    <row r="660" spans="1:11" x14ac:dyDescent="0.25">
      <c r="A660" t="str">
        <f t="shared" si="40"/>
        <v>92019</v>
      </c>
      <c r="B660" s="1">
        <v>43711</v>
      </c>
      <c r="C660" s="7">
        <f ca="1">IFERROR(__xludf.DUMMYFUNCTION("""COMPUTED_VALUE"""),43711.6458333333)</f>
        <v>43711.645833333299</v>
      </c>
      <c r="D660">
        <v>8032.9</v>
      </c>
      <c r="E660">
        <v>8104.7</v>
      </c>
      <c r="F660">
        <v>7939.7</v>
      </c>
      <c r="G660">
        <v>7976.45</v>
      </c>
      <c r="H660">
        <v>0</v>
      </c>
      <c r="I660" s="8">
        <f t="shared" si="41"/>
        <v>-1.1843335955550316E-2</v>
      </c>
      <c r="J660" s="8">
        <f t="shared" si="42"/>
        <v>-1.1914026958053853E-2</v>
      </c>
      <c r="K660" s="8">
        <f t="shared" si="39"/>
        <v>-5.413289536876198E-2</v>
      </c>
    </row>
    <row r="661" spans="1:11" x14ac:dyDescent="0.25">
      <c r="A661" t="str">
        <f t="shared" si="40"/>
        <v>92019</v>
      </c>
      <c r="B661" s="1">
        <v>43712</v>
      </c>
      <c r="C661" s="7">
        <f ca="1">IFERROR(__xludf.DUMMYFUNCTION("""COMPUTED_VALUE"""),43712.6458333333)</f>
        <v>43712.645833333299</v>
      </c>
      <c r="D661">
        <v>7931.6</v>
      </c>
      <c r="E661">
        <v>7985</v>
      </c>
      <c r="F661">
        <v>7768</v>
      </c>
      <c r="G661">
        <v>7967.65</v>
      </c>
      <c r="H661">
        <v>0</v>
      </c>
      <c r="I661" s="8">
        <f t="shared" si="41"/>
        <v>-1.1032476853738427E-3</v>
      </c>
      <c r="J661" s="8">
        <f t="shared" si="42"/>
        <v>-1.1038567110801577E-3</v>
      </c>
      <c r="K661" s="8">
        <f t="shared" si="39"/>
        <v>-3.7618823302049798E-2</v>
      </c>
    </row>
    <row r="662" spans="1:11" x14ac:dyDescent="0.25">
      <c r="A662" t="str">
        <f t="shared" si="40"/>
        <v>92019</v>
      </c>
      <c r="B662" s="1">
        <v>43713</v>
      </c>
      <c r="C662" s="7">
        <f ca="1">IFERROR(__xludf.DUMMYFUNCTION("""COMPUTED_VALUE"""),43713.6458333333)</f>
        <v>43713.645833333299</v>
      </c>
      <c r="D662">
        <v>7998.95</v>
      </c>
      <c r="E662">
        <v>8086.55</v>
      </c>
      <c r="F662">
        <v>7969.1</v>
      </c>
      <c r="G662">
        <v>8071.75</v>
      </c>
      <c r="H662">
        <v>0</v>
      </c>
      <c r="I662" s="8">
        <f t="shared" si="41"/>
        <v>1.3065332940076502E-2</v>
      </c>
      <c r="J662" s="8">
        <f t="shared" si="42"/>
        <v>1.2980717698292683E-2</v>
      </c>
      <c r="K662" s="8">
        <f t="shared" si="39"/>
        <v>-1.3185241332094533E-2</v>
      </c>
    </row>
    <row r="663" spans="1:11" x14ac:dyDescent="0.25">
      <c r="A663" t="str">
        <f t="shared" si="40"/>
        <v>92019</v>
      </c>
      <c r="B663" s="1">
        <v>43714</v>
      </c>
      <c r="C663" s="7">
        <f ca="1">IFERROR(__xludf.DUMMYFUNCTION("""COMPUTED_VALUE"""),43714.6458333333)</f>
        <v>43714.645833333299</v>
      </c>
      <c r="D663">
        <v>8028.5</v>
      </c>
      <c r="E663">
        <v>8084.65</v>
      </c>
      <c r="F663">
        <v>7966.2</v>
      </c>
      <c r="G663">
        <v>8068.75</v>
      </c>
      <c r="H663">
        <v>0</v>
      </c>
      <c r="I663" s="8">
        <f t="shared" si="41"/>
        <v>-3.716666150462844E-4</v>
      </c>
      <c r="J663" s="8">
        <f t="shared" si="42"/>
        <v>-3.7173570020094837E-4</v>
      </c>
      <c r="K663" s="8">
        <f t="shared" si="39"/>
        <v>-2.1578328301017469E-2</v>
      </c>
    </row>
    <row r="664" spans="1:11" x14ac:dyDescent="0.25">
      <c r="A664" t="str">
        <f t="shared" si="40"/>
        <v>92019</v>
      </c>
      <c r="B664" s="1">
        <v>43717</v>
      </c>
      <c r="C664" s="7">
        <f ca="1">IFERROR(__xludf.DUMMYFUNCTION("""COMPUTED_VALUE"""),43717.6458333333)</f>
        <v>43717.645833333299</v>
      </c>
      <c r="D664">
        <v>8067.4</v>
      </c>
      <c r="E664">
        <v>8130.9</v>
      </c>
      <c r="F664">
        <v>8047.5</v>
      </c>
      <c r="G664">
        <v>8077.9</v>
      </c>
      <c r="H664">
        <v>0</v>
      </c>
      <c r="I664" s="8">
        <f t="shared" si="41"/>
        <v>1.1340046475600829E-3</v>
      </c>
      <c r="J664" s="8">
        <f t="shared" si="42"/>
        <v>1.1333621499740308E-3</v>
      </c>
      <c r="K664" s="8">
        <f t="shared" si="39"/>
        <v>-2.0088554618790555E-2</v>
      </c>
    </row>
    <row r="665" spans="1:11" x14ac:dyDescent="0.25">
      <c r="A665" t="str">
        <f t="shared" si="40"/>
        <v>92019</v>
      </c>
      <c r="B665" s="1">
        <v>43719</v>
      </c>
      <c r="C665" s="7">
        <f ca="1">IFERROR(__xludf.DUMMYFUNCTION("""COMPUTED_VALUE"""),43719.6458333333)</f>
        <v>43719.645833333299</v>
      </c>
      <c r="D665">
        <v>8107.65</v>
      </c>
      <c r="E665">
        <v>8157.85</v>
      </c>
      <c r="F665">
        <v>8053.1</v>
      </c>
      <c r="G665">
        <v>8082.9</v>
      </c>
      <c r="H665">
        <v>0</v>
      </c>
      <c r="I665" s="8">
        <f t="shared" si="41"/>
        <v>6.1897275281941333E-4</v>
      </c>
      <c r="J665" s="8">
        <f t="shared" si="42"/>
        <v>6.1878126819681523E-4</v>
      </c>
      <c r="K665" s="8">
        <f t="shared" si="39"/>
        <v>-1.1767726475244933E-2</v>
      </c>
    </row>
    <row r="666" spans="1:11" x14ac:dyDescent="0.25">
      <c r="A666" t="str">
        <f t="shared" si="40"/>
        <v>92019</v>
      </c>
      <c r="B666" s="1">
        <v>43720</v>
      </c>
      <c r="C666" s="7">
        <f ca="1">IFERROR(__xludf.DUMMYFUNCTION("""COMPUTED_VALUE"""),43720.6458333333)</f>
        <v>43720.645833333299</v>
      </c>
      <c r="D666">
        <v>8113.25</v>
      </c>
      <c r="E666">
        <v>8168.5</v>
      </c>
      <c r="F666">
        <v>8040.25</v>
      </c>
      <c r="G666">
        <v>8102.15</v>
      </c>
      <c r="H666">
        <v>0</v>
      </c>
      <c r="I666" s="8">
        <f t="shared" si="41"/>
        <v>2.381570970815039E-3</v>
      </c>
      <c r="J666" s="8">
        <f t="shared" si="42"/>
        <v>2.3787395253050763E-3</v>
      </c>
      <c r="K666" s="8">
        <f t="shared" si="39"/>
        <v>-5.694264623767431E-3</v>
      </c>
    </row>
    <row r="667" spans="1:11" x14ac:dyDescent="0.25">
      <c r="A667" t="str">
        <f t="shared" si="40"/>
        <v>92019</v>
      </c>
      <c r="B667" s="1">
        <v>43721</v>
      </c>
      <c r="C667" s="7">
        <f ca="1">IFERROR(__xludf.DUMMYFUNCTION("""COMPUTED_VALUE"""),43721.6458333333)</f>
        <v>43721.645833333299</v>
      </c>
      <c r="D667">
        <v>8141.4</v>
      </c>
      <c r="E667">
        <v>8141.7</v>
      </c>
      <c r="F667">
        <v>7974.65</v>
      </c>
      <c r="G667">
        <v>8033.05</v>
      </c>
      <c r="H667">
        <v>0</v>
      </c>
      <c r="I667" s="8">
        <f t="shared" si="41"/>
        <v>-8.5286004332182364E-3</v>
      </c>
      <c r="J667" s="8">
        <f t="shared" si="42"/>
        <v>-8.5651770593260183E-3</v>
      </c>
      <c r="K667" s="8">
        <f t="shared" si="39"/>
        <v>-6.2472552282103466E-3</v>
      </c>
    </row>
    <row r="668" spans="1:11" x14ac:dyDescent="0.25">
      <c r="A668" t="str">
        <f t="shared" si="40"/>
        <v>92019</v>
      </c>
      <c r="B668" s="1">
        <v>43724</v>
      </c>
      <c r="C668" s="7">
        <f ca="1">IFERROR(__xludf.DUMMYFUNCTION("""COMPUTED_VALUE"""),43724.6458333333)</f>
        <v>43724.645833333299</v>
      </c>
      <c r="D668">
        <v>8005.3</v>
      </c>
      <c r="E668">
        <v>8119.4</v>
      </c>
      <c r="F668">
        <v>7978.15</v>
      </c>
      <c r="G668">
        <v>8070.65</v>
      </c>
      <c r="H668">
        <v>0</v>
      </c>
      <c r="I668" s="8">
        <f t="shared" si="41"/>
        <v>4.6806630109359482E-3</v>
      </c>
      <c r="J668" s="8">
        <f t="shared" si="42"/>
        <v>4.6697427705433931E-3</v>
      </c>
      <c r="K668" s="8">
        <f t="shared" si="39"/>
        <v>1.196200746058107E-2</v>
      </c>
    </row>
    <row r="669" spans="1:11" x14ac:dyDescent="0.25">
      <c r="A669" t="str">
        <f t="shared" si="40"/>
        <v>92019</v>
      </c>
      <c r="B669" s="1">
        <v>43725</v>
      </c>
      <c r="C669" s="7">
        <f ca="1">IFERROR(__xludf.DUMMYFUNCTION("""COMPUTED_VALUE"""),43725.6458333333)</f>
        <v>43725.645833333299</v>
      </c>
      <c r="D669">
        <v>8082.05</v>
      </c>
      <c r="E669">
        <v>8106</v>
      </c>
      <c r="F669">
        <v>7919.2</v>
      </c>
      <c r="G669">
        <v>7933.85</v>
      </c>
      <c r="H669">
        <v>0</v>
      </c>
      <c r="I669" s="8">
        <f t="shared" si="41"/>
        <v>-1.6950307596042324E-2</v>
      </c>
      <c r="J669" s="8">
        <f t="shared" si="42"/>
        <v>-1.7095608328378271E-2</v>
      </c>
      <c r="K669" s="8">
        <f t="shared" si="39"/>
        <v>2.1346604437315619E-3</v>
      </c>
    </row>
    <row r="670" spans="1:11" x14ac:dyDescent="0.25">
      <c r="A670" t="str">
        <f t="shared" si="40"/>
        <v>92019</v>
      </c>
      <c r="B670" s="1">
        <v>43726</v>
      </c>
      <c r="C670" s="7">
        <f ca="1">IFERROR(__xludf.DUMMYFUNCTION("""COMPUTED_VALUE"""),43726.6458333333)</f>
        <v>43726.645833333299</v>
      </c>
      <c r="D670">
        <v>7973.95</v>
      </c>
      <c r="E670">
        <v>7984.05</v>
      </c>
      <c r="F670">
        <v>7882.55</v>
      </c>
      <c r="G670">
        <v>7923.45</v>
      </c>
      <c r="H670">
        <v>0</v>
      </c>
      <c r="I670" s="8">
        <f t="shared" si="41"/>
        <v>-1.3108389999811898E-3</v>
      </c>
      <c r="J670" s="8">
        <f t="shared" si="42"/>
        <v>-1.3116989009664352E-3</v>
      </c>
      <c r="K670" s="8">
        <f t="shared" si="39"/>
        <v>1.706565688980155E-2</v>
      </c>
    </row>
    <row r="671" spans="1:11" x14ac:dyDescent="0.25">
      <c r="A671" t="str">
        <f t="shared" si="40"/>
        <v>92019</v>
      </c>
      <c r="B671" s="1">
        <v>43727</v>
      </c>
      <c r="C671" s="7">
        <f ca="1">IFERROR(__xludf.DUMMYFUNCTION("""COMPUTED_VALUE"""),43727.6458333333)</f>
        <v>43727.645833333299</v>
      </c>
      <c r="D671">
        <v>7922.4</v>
      </c>
      <c r="E671">
        <v>7938.75</v>
      </c>
      <c r="F671">
        <v>7777.75</v>
      </c>
      <c r="G671">
        <v>7799.6</v>
      </c>
      <c r="H671">
        <v>0</v>
      </c>
      <c r="I671" s="8">
        <f t="shared" si="41"/>
        <v>-1.5630817383841533E-2</v>
      </c>
      <c r="J671" s="8">
        <f t="shared" si="42"/>
        <v>-1.575426670886924E-2</v>
      </c>
      <c r="K671" s="8">
        <f t="shared" si="39"/>
        <v>-2.8571428571428581E-2</v>
      </c>
    </row>
    <row r="672" spans="1:11" x14ac:dyDescent="0.25">
      <c r="A672" t="str">
        <f t="shared" si="40"/>
        <v>92019</v>
      </c>
      <c r="B672" s="1">
        <v>43728</v>
      </c>
      <c r="C672" s="7">
        <f ca="1">IFERROR(__xludf.DUMMYFUNCTION("""COMPUTED_VALUE"""),43728.6458333333)</f>
        <v>43728.645833333299</v>
      </c>
      <c r="D672">
        <v>7839.55</v>
      </c>
      <c r="E672">
        <v>8018.4</v>
      </c>
      <c r="F672">
        <v>7745.55</v>
      </c>
      <c r="G672">
        <v>7983.55</v>
      </c>
      <c r="H672">
        <v>0</v>
      </c>
      <c r="I672" s="8">
        <f t="shared" si="41"/>
        <v>2.3584542797066455E-2</v>
      </c>
      <c r="J672" s="8">
        <f t="shared" si="42"/>
        <v>2.3310724365979141E-2</v>
      </c>
      <c r="K672" s="8">
        <f t="shared" si="39"/>
        <v>9.1006187156752461E-3</v>
      </c>
    </row>
    <row r="673" spans="1:11" x14ac:dyDescent="0.25">
      <c r="A673" t="str">
        <f t="shared" si="40"/>
        <v>92019</v>
      </c>
      <c r="B673" s="1">
        <v>43731</v>
      </c>
      <c r="C673" s="7">
        <f ca="1">IFERROR(__xludf.DUMMYFUNCTION("""COMPUTED_VALUE"""),43731.6458333333)</f>
        <v>43731.645833333299</v>
      </c>
      <c r="D673">
        <v>8063.1</v>
      </c>
      <c r="E673">
        <v>8073.7</v>
      </c>
      <c r="F673">
        <v>7802.3</v>
      </c>
      <c r="G673">
        <v>7857.25</v>
      </c>
      <c r="H673">
        <v>0</v>
      </c>
      <c r="I673" s="8">
        <f t="shared" si="41"/>
        <v>-1.5820029936557067E-2</v>
      </c>
      <c r="J673" s="8">
        <f t="shared" si="42"/>
        <v>-1.594650224745426E-2</v>
      </c>
      <c r="K673" s="8">
        <f t="shared" si="39"/>
        <v>-5.6631232599342329E-3</v>
      </c>
    </row>
    <row r="674" spans="1:11" x14ac:dyDescent="0.25">
      <c r="A674" t="str">
        <f t="shared" si="40"/>
        <v>92019</v>
      </c>
      <c r="B674" s="1">
        <v>43732</v>
      </c>
      <c r="C674" s="7">
        <f ca="1">IFERROR(__xludf.DUMMYFUNCTION("""COMPUTED_VALUE"""),43732.6458333333)</f>
        <v>43732.645833333299</v>
      </c>
      <c r="D674">
        <v>7831</v>
      </c>
      <c r="E674">
        <v>7976.15</v>
      </c>
      <c r="F674">
        <v>7773.85</v>
      </c>
      <c r="G674">
        <v>7891.95</v>
      </c>
      <c r="H674">
        <v>0</v>
      </c>
      <c r="I674" s="8">
        <f t="shared" si="41"/>
        <v>4.4163034140443092E-3</v>
      </c>
      <c r="J674" s="8">
        <f t="shared" si="42"/>
        <v>4.4065801628294212E-3</v>
      </c>
      <c r="K674" s="8">
        <f t="shared" si="39"/>
        <v>-6.9521340849607594E-3</v>
      </c>
    </row>
    <row r="675" spans="1:11" x14ac:dyDescent="0.25">
      <c r="A675" t="str">
        <f t="shared" si="40"/>
        <v>92019</v>
      </c>
      <c r="B675" s="1">
        <v>43733</v>
      </c>
      <c r="C675" s="7">
        <f ca="1">IFERROR(__xludf.DUMMYFUNCTION("""COMPUTED_VALUE"""),43733.6458333333)</f>
        <v>43733.645833333299</v>
      </c>
      <c r="D675">
        <v>7860.9</v>
      </c>
      <c r="E675">
        <v>7887.5</v>
      </c>
      <c r="F675">
        <v>7759.75</v>
      </c>
      <c r="G675">
        <v>7789.7</v>
      </c>
      <c r="H675">
        <v>0</v>
      </c>
      <c r="I675" s="8">
        <f t="shared" si="41"/>
        <v>-1.2956240219464177E-2</v>
      </c>
      <c r="J675" s="8">
        <f t="shared" si="42"/>
        <v>-1.3040904380981317E-2</v>
      </c>
      <c r="K675" s="8">
        <f t="shared" si="39"/>
        <v>-3.6679321815910937E-2</v>
      </c>
    </row>
    <row r="676" spans="1:11" x14ac:dyDescent="0.25">
      <c r="A676" t="str">
        <f t="shared" si="40"/>
        <v>92019</v>
      </c>
      <c r="B676" s="1">
        <v>43734</v>
      </c>
      <c r="C676" s="7">
        <f ca="1">IFERROR(__xludf.DUMMYFUNCTION("""COMPUTED_VALUE"""),43734.6458333333)</f>
        <v>43734.645833333299</v>
      </c>
      <c r="D676">
        <v>7818.7</v>
      </c>
      <c r="E676">
        <v>7871.15</v>
      </c>
      <c r="F676">
        <v>7788.6</v>
      </c>
      <c r="G676">
        <v>7857.3</v>
      </c>
      <c r="H676">
        <v>0</v>
      </c>
      <c r="I676" s="8">
        <f t="shared" si="41"/>
        <v>8.6781262436295137E-3</v>
      </c>
      <c r="J676" s="8">
        <f t="shared" si="42"/>
        <v>8.640687747492581E-3</v>
      </c>
      <c r="K676" s="8">
        <f t="shared" si="39"/>
        <v>-2.8523738872403559E-2</v>
      </c>
    </row>
    <row r="677" spans="1:11" x14ac:dyDescent="0.25">
      <c r="A677" t="str">
        <f t="shared" si="40"/>
        <v>92019</v>
      </c>
      <c r="B677" s="1">
        <v>43735</v>
      </c>
      <c r="C677" s="7">
        <f ca="1">IFERROR(__xludf.DUMMYFUNCTION("""COMPUTED_VALUE"""),43735.6458333333)</f>
        <v>43735.645833333299</v>
      </c>
      <c r="D677">
        <v>7837.25</v>
      </c>
      <c r="E677">
        <v>7842.95</v>
      </c>
      <c r="F677">
        <v>7683.25</v>
      </c>
      <c r="G677">
        <v>7695.3</v>
      </c>
      <c r="H677">
        <v>0</v>
      </c>
      <c r="I677" s="8">
        <f t="shared" si="41"/>
        <v>-2.061776946279259E-2</v>
      </c>
      <c r="J677" s="8">
        <f t="shared" si="42"/>
        <v>-2.0833283091490108E-2</v>
      </c>
      <c r="K677" s="8">
        <f t="shared" si="39"/>
        <v>-4.5857795577267546E-2</v>
      </c>
    </row>
    <row r="678" spans="1:11" x14ac:dyDescent="0.25">
      <c r="A678" t="str">
        <f t="shared" si="40"/>
        <v>92019</v>
      </c>
      <c r="B678" s="1">
        <v>43738</v>
      </c>
      <c r="C678" s="7">
        <f ca="1">IFERROR(__xludf.DUMMYFUNCTION("""COMPUTED_VALUE"""),43738.6458333333)</f>
        <v>43738.645833333299</v>
      </c>
      <c r="D678">
        <v>7688.15</v>
      </c>
      <c r="E678">
        <v>7692.95</v>
      </c>
      <c r="F678">
        <v>7509.1</v>
      </c>
      <c r="G678">
        <v>7547.75</v>
      </c>
      <c r="H678">
        <v>0</v>
      </c>
      <c r="I678" s="8">
        <f t="shared" si="41"/>
        <v>-1.9174041297935096E-2</v>
      </c>
      <c r="J678" s="8">
        <f t="shared" si="42"/>
        <v>-1.9360247284541422E-2</v>
      </c>
      <c r="K678" s="8">
        <f t="shared" si="39"/>
        <v>-7.7156795617939089E-2</v>
      </c>
    </row>
    <row r="679" spans="1:11" x14ac:dyDescent="0.25">
      <c r="A679" t="str">
        <f t="shared" si="40"/>
        <v>102019</v>
      </c>
      <c r="B679" s="1">
        <v>43739</v>
      </c>
      <c r="C679" s="7">
        <f ca="1">IFERROR(__xludf.DUMMYFUNCTION("""COMPUTED_VALUE"""),43739.6458333333)</f>
        <v>43739.645833333299</v>
      </c>
      <c r="D679">
        <v>7552.35</v>
      </c>
      <c r="E679">
        <v>7601.4</v>
      </c>
      <c r="F679">
        <v>7388.6</v>
      </c>
      <c r="G679">
        <v>7466.45</v>
      </c>
      <c r="H679">
        <v>0</v>
      </c>
      <c r="I679" s="8">
        <f t="shared" si="41"/>
        <v>-1.0771421946937809E-2</v>
      </c>
      <c r="J679" s="8">
        <f t="shared" si="42"/>
        <v>-1.0829853686413291E-2</v>
      </c>
      <c r="K679" s="8">
        <f t="shared" si="39"/>
        <v>-7.8403781945653006E-2</v>
      </c>
    </row>
    <row r="680" spans="1:11" x14ac:dyDescent="0.25">
      <c r="A680" t="str">
        <f t="shared" si="40"/>
        <v>102019</v>
      </c>
      <c r="B680" s="1">
        <v>43741</v>
      </c>
      <c r="C680" s="7">
        <f ca="1">IFERROR(__xludf.DUMMYFUNCTION("""COMPUTED_VALUE"""),43741.6458333333)</f>
        <v>43741.645833333299</v>
      </c>
      <c r="D680">
        <v>7418.8</v>
      </c>
      <c r="E680">
        <v>7497.3</v>
      </c>
      <c r="F680">
        <v>7323.3</v>
      </c>
      <c r="G680">
        <v>7461.75</v>
      </c>
      <c r="H680">
        <v>0</v>
      </c>
      <c r="I680" s="8">
        <f t="shared" si="41"/>
        <v>-6.2948255194905656E-4</v>
      </c>
      <c r="J680" s="8">
        <f t="shared" si="42"/>
        <v>-6.296807592737272E-4</v>
      </c>
      <c r="K680" s="8">
        <f t="shared" si="39"/>
        <v>-7.7908356194854256E-2</v>
      </c>
    </row>
    <row r="681" spans="1:11" x14ac:dyDescent="0.25">
      <c r="A681" t="str">
        <f t="shared" si="40"/>
        <v>102019</v>
      </c>
      <c r="B681" s="1">
        <v>43742</v>
      </c>
      <c r="C681" s="7">
        <f ca="1">IFERROR(__xludf.DUMMYFUNCTION("""COMPUTED_VALUE"""),43742.6458333333)</f>
        <v>43742.645833333299</v>
      </c>
      <c r="D681">
        <v>7490.1</v>
      </c>
      <c r="E681">
        <v>7525.15</v>
      </c>
      <c r="F681">
        <v>7383.05</v>
      </c>
      <c r="G681">
        <v>7396.9</v>
      </c>
      <c r="H681">
        <v>0</v>
      </c>
      <c r="I681" s="8">
        <f t="shared" si="41"/>
        <v>-8.6909907193353231E-3</v>
      </c>
      <c r="J681" s="8">
        <f t="shared" si="42"/>
        <v>-8.7289776352804348E-3</v>
      </c>
      <c r="K681" s="8">
        <f t="shared" si="39"/>
        <v>-8.0765024606054614E-2</v>
      </c>
    </row>
    <row r="682" spans="1:11" x14ac:dyDescent="0.25">
      <c r="A682" t="str">
        <f t="shared" si="40"/>
        <v>102019</v>
      </c>
      <c r="B682" s="1">
        <v>43745</v>
      </c>
      <c r="C682" s="7">
        <f ca="1">IFERROR(__xludf.DUMMYFUNCTION("""COMPUTED_VALUE"""),43745.6458333333)</f>
        <v>43745.645833333299</v>
      </c>
      <c r="D682">
        <v>7396.8</v>
      </c>
      <c r="E682">
        <v>7414.15</v>
      </c>
      <c r="F682">
        <v>7126.55</v>
      </c>
      <c r="G682">
        <v>7148.95</v>
      </c>
      <c r="H682">
        <v>0</v>
      </c>
      <c r="I682" s="8">
        <f t="shared" si="41"/>
        <v>-3.3520799253741407E-2</v>
      </c>
      <c r="J682" s="8">
        <f t="shared" si="42"/>
        <v>-3.4095500745077341E-2</v>
      </c>
      <c r="K682" s="8">
        <f t="shared" si="39"/>
        <v>-9.8094997792215977E-2</v>
      </c>
    </row>
    <row r="683" spans="1:11" x14ac:dyDescent="0.25">
      <c r="A683" t="str">
        <f t="shared" si="40"/>
        <v>102019</v>
      </c>
      <c r="B683" s="1">
        <v>43747</v>
      </c>
      <c r="C683" s="7">
        <f ca="1">IFERROR(__xludf.DUMMYFUNCTION("""COMPUTED_VALUE"""),43747.6458333333)</f>
        <v>43747.645833333299</v>
      </c>
      <c r="D683">
        <v>7154.7</v>
      </c>
      <c r="E683">
        <v>7256.1</v>
      </c>
      <c r="F683">
        <v>7047.1</v>
      </c>
      <c r="G683">
        <v>7235.6</v>
      </c>
      <c r="H683">
        <v>0</v>
      </c>
      <c r="I683" s="8">
        <f t="shared" si="41"/>
        <v>1.2120661076102213E-2</v>
      </c>
      <c r="J683" s="8">
        <f t="shared" si="42"/>
        <v>1.2047794070259011E-2</v>
      </c>
      <c r="K683" s="8">
        <f t="shared" si="39"/>
        <v>-7.2567052263915133E-2</v>
      </c>
    </row>
    <row r="684" spans="1:11" x14ac:dyDescent="0.25">
      <c r="A684" t="str">
        <f t="shared" si="40"/>
        <v>102019</v>
      </c>
      <c r="B684" s="1">
        <v>43748</v>
      </c>
      <c r="C684" s="7">
        <f ca="1">IFERROR(__xludf.DUMMYFUNCTION("""COMPUTED_VALUE"""),43748.6458333333)</f>
        <v>43748.645833333299</v>
      </c>
      <c r="D684">
        <v>7200.25</v>
      </c>
      <c r="E684">
        <v>7272.8</v>
      </c>
      <c r="F684">
        <v>7130.5</v>
      </c>
      <c r="G684">
        <v>7235.6</v>
      </c>
      <c r="H684">
        <v>0</v>
      </c>
      <c r="I684" s="8">
        <f t="shared" si="41"/>
        <v>0</v>
      </c>
      <c r="J684" s="8">
        <f t="shared" si="42"/>
        <v>0</v>
      </c>
      <c r="K684" s="8">
        <f t="shared" si="39"/>
        <v>-9.6910278892418322E-2</v>
      </c>
    </row>
    <row r="685" spans="1:11" x14ac:dyDescent="0.25">
      <c r="A685" t="str">
        <f t="shared" si="40"/>
        <v>102019</v>
      </c>
      <c r="B685" s="1">
        <v>43749</v>
      </c>
      <c r="C685" s="7">
        <f ca="1">IFERROR(__xludf.DUMMYFUNCTION("""COMPUTED_VALUE"""),43749.6458333333)</f>
        <v>43749.645833333299</v>
      </c>
      <c r="D685">
        <v>7256.6</v>
      </c>
      <c r="E685">
        <v>7292.7</v>
      </c>
      <c r="F685">
        <v>7115.65</v>
      </c>
      <c r="G685">
        <v>7278.45</v>
      </c>
      <c r="H685">
        <v>0</v>
      </c>
      <c r="I685" s="8">
        <f t="shared" si="41"/>
        <v>5.9221073580628669E-3</v>
      </c>
      <c r="J685" s="8">
        <f t="shared" si="42"/>
        <v>5.9046406063432864E-3</v>
      </c>
      <c r="K685" s="8">
        <f t="shared" si="39"/>
        <v>-9.1272863474623933E-2</v>
      </c>
    </row>
    <row r="686" spans="1:11" x14ac:dyDescent="0.25">
      <c r="A686" t="str">
        <f t="shared" si="40"/>
        <v>102019</v>
      </c>
      <c r="B686" s="1">
        <v>43752</v>
      </c>
      <c r="C686" s="7">
        <f ca="1">IFERROR(__xludf.DUMMYFUNCTION("""COMPUTED_VALUE"""),43752.6458333333)</f>
        <v>43752.645833333299</v>
      </c>
      <c r="D686">
        <v>7296.05</v>
      </c>
      <c r="E686">
        <v>7411.8</v>
      </c>
      <c r="F686">
        <v>7281.85</v>
      </c>
      <c r="G686">
        <v>7361.7</v>
      </c>
      <c r="H686">
        <v>0</v>
      </c>
      <c r="I686" s="8">
        <f t="shared" si="41"/>
        <v>1.1437874822249228E-2</v>
      </c>
      <c r="J686" s="8">
        <f t="shared" si="42"/>
        <v>1.137295687859665E-2</v>
      </c>
      <c r="K686" s="8">
        <f t="shared" si="39"/>
        <v>-9.2274400281132762E-2</v>
      </c>
    </row>
    <row r="687" spans="1:11" x14ac:dyDescent="0.25">
      <c r="A687" t="str">
        <f t="shared" si="40"/>
        <v>102019</v>
      </c>
      <c r="B687" s="1">
        <v>43753</v>
      </c>
      <c r="C687" s="7">
        <f ca="1">IFERROR(__xludf.DUMMYFUNCTION("""COMPUTED_VALUE"""),43753.6458333333)</f>
        <v>43753.645833333299</v>
      </c>
      <c r="D687">
        <v>7371.75</v>
      </c>
      <c r="E687">
        <v>7434.05</v>
      </c>
      <c r="F687">
        <v>7349.25</v>
      </c>
      <c r="G687">
        <v>7420.65</v>
      </c>
      <c r="H687">
        <v>0</v>
      </c>
      <c r="I687" s="8">
        <f t="shared" si="41"/>
        <v>8.0076612738904096E-3</v>
      </c>
      <c r="J687" s="8">
        <f t="shared" si="42"/>
        <v>7.9757700904228221E-3</v>
      </c>
      <c r="K687" s="8">
        <f t="shared" si="39"/>
        <v>-8.8853554019375558E-2</v>
      </c>
    </row>
    <row r="688" spans="1:11" x14ac:dyDescent="0.25">
      <c r="A688" t="str">
        <f t="shared" si="40"/>
        <v>102019</v>
      </c>
      <c r="B688" s="1">
        <v>43754</v>
      </c>
      <c r="C688" s="7">
        <f ca="1">IFERROR(__xludf.DUMMYFUNCTION("""COMPUTED_VALUE"""),43754.6458333333)</f>
        <v>43754.645833333299</v>
      </c>
      <c r="D688">
        <v>7448.05</v>
      </c>
      <c r="E688">
        <v>7486</v>
      </c>
      <c r="F688">
        <v>7387.9</v>
      </c>
      <c r="G688">
        <v>7475.35</v>
      </c>
      <c r="H688">
        <v>0</v>
      </c>
      <c r="I688" s="8">
        <f t="shared" si="41"/>
        <v>7.37132191923906E-3</v>
      </c>
      <c r="J688" s="8">
        <f t="shared" si="42"/>
        <v>7.3442865023690121E-3</v>
      </c>
      <c r="K688" s="8">
        <f t="shared" si="39"/>
        <v>-9.1899147822178451E-2</v>
      </c>
    </row>
    <row r="689" spans="1:11" x14ac:dyDescent="0.25">
      <c r="A689" t="str">
        <f t="shared" si="40"/>
        <v>102019</v>
      </c>
      <c r="B689" s="1">
        <v>43755</v>
      </c>
      <c r="C689" s="7">
        <f ca="1">IFERROR(__xludf.DUMMYFUNCTION("""COMPUTED_VALUE"""),43755.6458333333)</f>
        <v>43755.645833333299</v>
      </c>
      <c r="D689">
        <v>7480.15</v>
      </c>
      <c r="E689">
        <v>7545.35</v>
      </c>
      <c r="F689">
        <v>7428.65</v>
      </c>
      <c r="G689">
        <v>7533.45</v>
      </c>
      <c r="H689">
        <v>0</v>
      </c>
      <c r="I689" s="8">
        <f t="shared" si="41"/>
        <v>7.7722113345861654E-3</v>
      </c>
      <c r="J689" s="8">
        <f t="shared" si="42"/>
        <v>7.7421632928012978E-3</v>
      </c>
      <c r="K689" s="8">
        <f t="shared" si="39"/>
        <v>-9.7568864212171924E-2</v>
      </c>
    </row>
    <row r="690" spans="1:11" x14ac:dyDescent="0.25">
      <c r="A690" t="str">
        <f t="shared" si="40"/>
        <v>102019</v>
      </c>
      <c r="B690" s="1">
        <v>43756</v>
      </c>
      <c r="C690" s="7">
        <f ca="1">IFERROR(__xludf.DUMMYFUNCTION("""COMPUTED_VALUE"""),43756.6458333333)</f>
        <v>43756.645833333299</v>
      </c>
      <c r="D690">
        <v>7530.65</v>
      </c>
      <c r="E690">
        <v>7651.95</v>
      </c>
      <c r="F690">
        <v>7500.5</v>
      </c>
      <c r="G690">
        <v>7608.15</v>
      </c>
      <c r="H690">
        <v>0</v>
      </c>
      <c r="I690" s="8">
        <f t="shared" si="41"/>
        <v>9.9157756406427211E-3</v>
      </c>
      <c r="J690" s="8">
        <f t="shared" si="42"/>
        <v>9.8669369211816082E-3</v>
      </c>
      <c r="K690" s="8">
        <f t="shared" si="39"/>
        <v>-8.6738889055607227E-2</v>
      </c>
    </row>
    <row r="691" spans="1:11" x14ac:dyDescent="0.25">
      <c r="A691" t="str">
        <f t="shared" si="40"/>
        <v>102019</v>
      </c>
      <c r="B691" s="1">
        <v>43760</v>
      </c>
      <c r="C691" s="7">
        <f ca="1">IFERROR(__xludf.DUMMYFUNCTION("""COMPUTED_VALUE"""),43760.6458333333)</f>
        <v>43760.645833333299</v>
      </c>
      <c r="D691">
        <v>7607.95</v>
      </c>
      <c r="E691">
        <v>7799.4</v>
      </c>
      <c r="F691">
        <v>7597.7</v>
      </c>
      <c r="G691">
        <v>7746.15</v>
      </c>
      <c r="H691">
        <v>0</v>
      </c>
      <c r="I691" s="8">
        <f t="shared" si="41"/>
        <v>1.8138443642672586E-2</v>
      </c>
      <c r="J691" s="8">
        <f t="shared" si="42"/>
        <v>1.7975904601469098E-2</v>
      </c>
      <c r="K691" s="8">
        <f t="shared" si="39"/>
        <v>-5.8006968132649939E-2</v>
      </c>
    </row>
    <row r="692" spans="1:11" x14ac:dyDescent="0.25">
      <c r="A692" t="str">
        <f t="shared" si="40"/>
        <v>102019</v>
      </c>
      <c r="B692" s="1">
        <v>43761</v>
      </c>
      <c r="C692" s="7">
        <f ca="1">IFERROR(__xludf.DUMMYFUNCTION("""COMPUTED_VALUE"""),43761.6458333333)</f>
        <v>43761.645833333299</v>
      </c>
      <c r="D692">
        <v>7760.65</v>
      </c>
      <c r="E692">
        <v>7785.8</v>
      </c>
      <c r="F692">
        <v>7711.95</v>
      </c>
      <c r="G692">
        <v>7761.85</v>
      </c>
      <c r="H692">
        <v>0</v>
      </c>
      <c r="I692" s="8">
        <f t="shared" si="41"/>
        <v>2.0268133201655214E-3</v>
      </c>
      <c r="J692" s="8">
        <f t="shared" si="42"/>
        <v>2.024762105200373E-3</v>
      </c>
      <c r="K692" s="8">
        <f t="shared" si="39"/>
        <v>-3.4607778510217568E-2</v>
      </c>
    </row>
    <row r="693" spans="1:11" x14ac:dyDescent="0.25">
      <c r="A693" t="str">
        <f t="shared" si="40"/>
        <v>102019</v>
      </c>
      <c r="B693" s="1">
        <v>43762</v>
      </c>
      <c r="C693" s="7">
        <f ca="1">IFERROR(__xludf.DUMMYFUNCTION("""COMPUTED_VALUE"""),43762.6458333333)</f>
        <v>43762.645833333299</v>
      </c>
      <c r="D693">
        <v>7770.3</v>
      </c>
      <c r="E693">
        <v>7800.25</v>
      </c>
      <c r="F693">
        <v>7652.5</v>
      </c>
      <c r="G693">
        <v>7728.15</v>
      </c>
      <c r="H693">
        <v>0</v>
      </c>
      <c r="I693" s="8">
        <f t="shared" si="41"/>
        <v>-4.3417484233785331E-3</v>
      </c>
      <c r="J693" s="8">
        <f t="shared" si="42"/>
        <v>-4.3512011839926881E-3</v>
      </c>
      <c r="K693" s="8">
        <f t="shared" si="39"/>
        <v>-4.8357006963556826E-2</v>
      </c>
    </row>
    <row r="694" spans="1:11" x14ac:dyDescent="0.25">
      <c r="A694" t="str">
        <f t="shared" si="40"/>
        <v>102019</v>
      </c>
      <c r="B694" s="1">
        <v>43763</v>
      </c>
      <c r="C694" s="7">
        <f ca="1">IFERROR(__xludf.DUMMYFUNCTION("""COMPUTED_VALUE"""),43763.7916666666)</f>
        <v>43763.791666666599</v>
      </c>
      <c r="D694">
        <v>7719.45</v>
      </c>
      <c r="E694">
        <v>7757.1</v>
      </c>
      <c r="F694">
        <v>7591.7</v>
      </c>
      <c r="G694">
        <v>7736.55</v>
      </c>
      <c r="H694">
        <v>0</v>
      </c>
      <c r="I694" s="8">
        <f t="shared" si="41"/>
        <v>1.0869354243900897E-3</v>
      </c>
      <c r="J694" s="8">
        <f t="shared" si="42"/>
        <v>1.0863451377785907E-3</v>
      </c>
      <c r="K694" s="8">
        <f t="shared" si="39"/>
        <v>-4.0564756654864698E-2</v>
      </c>
    </row>
    <row r="695" spans="1:11" x14ac:dyDescent="0.25">
      <c r="A695" t="str">
        <f t="shared" si="40"/>
        <v>102019</v>
      </c>
      <c r="B695" s="1">
        <v>43765</v>
      </c>
      <c r="C695" s="7">
        <f ca="1">IFERROR(__xludf.DUMMYFUNCTION("""COMPUTED_VALUE"""),43765.8090277777)</f>
        <v>43765.809027777701</v>
      </c>
      <c r="D695">
        <v>7741.5</v>
      </c>
      <c r="E695">
        <v>7776.75</v>
      </c>
      <c r="F695">
        <v>7729.95</v>
      </c>
      <c r="G695">
        <v>7743.55</v>
      </c>
      <c r="H695">
        <v>0</v>
      </c>
      <c r="I695" s="8">
        <f t="shared" si="41"/>
        <v>9.0479606542959168E-4</v>
      </c>
      <c r="J695" s="8">
        <f t="shared" si="42"/>
        <v>9.0438698420770684E-4</v>
      </c>
      <c r="K695" s="8">
        <f t="shared" si="39"/>
        <v>-2.2359276069514378E-2</v>
      </c>
    </row>
    <row r="696" spans="1:11" x14ac:dyDescent="0.25">
      <c r="A696" t="str">
        <f t="shared" si="40"/>
        <v>102019</v>
      </c>
      <c r="B696" s="1">
        <v>43767</v>
      </c>
      <c r="C696" s="7">
        <f ca="1">IFERROR(__xludf.DUMMYFUNCTION("""COMPUTED_VALUE"""),43767.6458333333)</f>
        <v>43767.645833333299</v>
      </c>
      <c r="D696">
        <v>7745.6</v>
      </c>
      <c r="E696">
        <v>7852.3</v>
      </c>
      <c r="F696">
        <v>7722.25</v>
      </c>
      <c r="G696">
        <v>7824.6</v>
      </c>
      <c r="H696">
        <v>0</v>
      </c>
      <c r="I696" s="8">
        <f t="shared" si="41"/>
        <v>1.0466775574510478E-2</v>
      </c>
      <c r="J696" s="8">
        <f t="shared" si="42"/>
        <v>1.0412378127053088E-2</v>
      </c>
      <c r="K696" s="8">
        <f t="shared" si="39"/>
        <v>-3.332571485048208E-2</v>
      </c>
    </row>
    <row r="697" spans="1:11" x14ac:dyDescent="0.25">
      <c r="A697" t="str">
        <f t="shared" si="40"/>
        <v>102019</v>
      </c>
      <c r="B697" s="1">
        <v>43768</v>
      </c>
      <c r="C697" s="7">
        <f ca="1">IFERROR(__xludf.DUMMYFUNCTION("""COMPUTED_VALUE"""),43768.6458333333)</f>
        <v>43768.645833333299</v>
      </c>
      <c r="D697">
        <v>7871.4</v>
      </c>
      <c r="E697">
        <v>7871.4</v>
      </c>
      <c r="F697">
        <v>7771.75</v>
      </c>
      <c r="G697">
        <v>7819.35</v>
      </c>
      <c r="H697">
        <v>0</v>
      </c>
      <c r="I697" s="8">
        <f t="shared" si="41"/>
        <v>-6.709608158883551E-4</v>
      </c>
      <c r="J697" s="8">
        <f t="shared" si="42"/>
        <v>-6.7118601083354093E-4</v>
      </c>
      <c r="K697" s="8">
        <f t="shared" si="39"/>
        <v>-4.3960679308953421E-2</v>
      </c>
    </row>
    <row r="698" spans="1:11" x14ac:dyDescent="0.25">
      <c r="A698" t="str">
        <f t="shared" si="40"/>
        <v>102019</v>
      </c>
      <c r="B698" s="1">
        <v>43769</v>
      </c>
      <c r="C698" s="7">
        <f ca="1">IFERROR(__xludf.DUMMYFUNCTION("""COMPUTED_VALUE"""),43769.6458333333)</f>
        <v>43769.645833333299</v>
      </c>
      <c r="D698">
        <v>7840.65</v>
      </c>
      <c r="E698">
        <v>7923.5</v>
      </c>
      <c r="F698">
        <v>7829.55</v>
      </c>
      <c r="G698">
        <v>7878.15</v>
      </c>
      <c r="H698">
        <v>0</v>
      </c>
      <c r="I698" s="8">
        <f t="shared" si="41"/>
        <v>7.5198066335435687E-3</v>
      </c>
      <c r="J698" s="8">
        <f t="shared" si="42"/>
        <v>7.4916738350830677E-3</v>
      </c>
      <c r="K698" s="8">
        <f t="shared" si="39"/>
        <v>-2.010622154779973E-2</v>
      </c>
    </row>
    <row r="699" spans="1:11" x14ac:dyDescent="0.25">
      <c r="A699" t="str">
        <f t="shared" si="40"/>
        <v>112019</v>
      </c>
      <c r="B699" s="1">
        <v>43770</v>
      </c>
      <c r="C699" s="7">
        <f ca="1">IFERROR(__xludf.DUMMYFUNCTION("""COMPUTED_VALUE"""),43770.6458333333)</f>
        <v>43770.645833333299</v>
      </c>
      <c r="D699">
        <v>7902.75</v>
      </c>
      <c r="E699">
        <v>7979.55</v>
      </c>
      <c r="F699">
        <v>7894.2</v>
      </c>
      <c r="G699">
        <v>7949.45</v>
      </c>
      <c r="H699">
        <v>0</v>
      </c>
      <c r="I699" s="8">
        <f t="shared" si="41"/>
        <v>9.0503481147223841E-3</v>
      </c>
      <c r="J699" s="8">
        <f t="shared" si="42"/>
        <v>9.0096391500678313E-3</v>
      </c>
      <c r="K699" s="8">
        <f t="shared" si="39"/>
        <v>9.1015835739900464E-3</v>
      </c>
    </row>
    <row r="700" spans="1:11" x14ac:dyDescent="0.25">
      <c r="A700" t="str">
        <f t="shared" si="40"/>
        <v>112019</v>
      </c>
      <c r="B700" s="1">
        <v>43773</v>
      </c>
      <c r="C700" s="7">
        <f ca="1">IFERROR(__xludf.DUMMYFUNCTION("""COMPUTED_VALUE"""),43773.6458333333)</f>
        <v>43773.645833333299</v>
      </c>
      <c r="D700">
        <v>7983.6</v>
      </c>
      <c r="E700">
        <v>8030.15</v>
      </c>
      <c r="F700">
        <v>7925.25</v>
      </c>
      <c r="G700">
        <v>7966.85</v>
      </c>
      <c r="H700">
        <v>0</v>
      </c>
      <c r="I700" s="8">
        <f t="shared" si="41"/>
        <v>2.1888306738202523E-3</v>
      </c>
      <c r="J700" s="8">
        <f t="shared" si="42"/>
        <v>2.1864386737803711E-3</v>
      </c>
      <c r="K700" s="8">
        <f t="shared" si="39"/>
        <v>-2.5852895148669175E-3</v>
      </c>
    </row>
    <row r="701" spans="1:11" x14ac:dyDescent="0.25">
      <c r="A701" t="str">
        <f t="shared" si="40"/>
        <v>112019</v>
      </c>
      <c r="B701" s="1">
        <v>43774</v>
      </c>
      <c r="C701" s="7">
        <f ca="1">IFERROR(__xludf.DUMMYFUNCTION("""COMPUTED_VALUE"""),43774.6458333333)</f>
        <v>43774.645833333299</v>
      </c>
      <c r="D701">
        <v>7960.35</v>
      </c>
      <c r="E701">
        <v>8003.85</v>
      </c>
      <c r="F701">
        <v>7847.85</v>
      </c>
      <c r="G701">
        <v>7879.55</v>
      </c>
      <c r="H701">
        <v>0</v>
      </c>
      <c r="I701" s="8">
        <f t="shared" si="41"/>
        <v>-1.0957906826411956E-2</v>
      </c>
      <c r="J701" s="8">
        <f t="shared" si="42"/>
        <v>-1.1018386916712758E-2</v>
      </c>
      <c r="K701" s="8">
        <f t="shared" si="39"/>
        <v>1.0153894970654775E-4</v>
      </c>
    </row>
    <row r="702" spans="1:11" x14ac:dyDescent="0.25">
      <c r="A702" t="str">
        <f t="shared" si="40"/>
        <v>112019</v>
      </c>
      <c r="B702" s="1">
        <v>43775</v>
      </c>
      <c r="C702" s="7">
        <f ca="1">IFERROR(__xludf.DUMMYFUNCTION("""COMPUTED_VALUE"""),43775.6458333333)</f>
        <v>43775.645833333299</v>
      </c>
      <c r="D702">
        <v>7877</v>
      </c>
      <c r="E702">
        <v>8061.95</v>
      </c>
      <c r="F702">
        <v>7861.65</v>
      </c>
      <c r="G702">
        <v>7926.35</v>
      </c>
      <c r="H702">
        <v>0</v>
      </c>
      <c r="I702" s="8">
        <f t="shared" si="41"/>
        <v>5.9394254748050823E-3</v>
      </c>
      <c r="J702" s="8">
        <f t="shared" si="42"/>
        <v>5.921856618936616E-3</v>
      </c>
      <c r="K702" s="8">
        <f t="shared" si="39"/>
        <v>7.390508629673942E-3</v>
      </c>
    </row>
    <row r="703" spans="1:11" x14ac:dyDescent="0.25">
      <c r="A703" t="str">
        <f t="shared" si="40"/>
        <v>112019</v>
      </c>
      <c r="B703" s="1">
        <v>43776</v>
      </c>
      <c r="C703" s="7">
        <f ca="1">IFERROR(__xludf.DUMMYFUNCTION("""COMPUTED_VALUE"""),43776.6458333333)</f>
        <v>43776.645833333299</v>
      </c>
      <c r="D703">
        <v>7942.3</v>
      </c>
      <c r="E703">
        <v>7982</v>
      </c>
      <c r="F703">
        <v>7871</v>
      </c>
      <c r="G703">
        <v>7966</v>
      </c>
      <c r="H703">
        <v>0</v>
      </c>
      <c r="I703" s="8">
        <f t="shared" si="41"/>
        <v>5.0023024469016963E-3</v>
      </c>
      <c r="J703" s="8">
        <f t="shared" si="42"/>
        <v>4.9898325003567418E-3</v>
      </c>
      <c r="K703" s="8">
        <f t="shared" si="39"/>
        <v>2.0242189050903248E-2</v>
      </c>
    </row>
    <row r="704" spans="1:11" x14ac:dyDescent="0.25">
      <c r="A704" t="str">
        <f t="shared" si="40"/>
        <v>112019</v>
      </c>
      <c r="B704" s="1">
        <v>43777</v>
      </c>
      <c r="C704" s="7">
        <f ca="1">IFERROR(__xludf.DUMMYFUNCTION("""COMPUTED_VALUE"""),43777.6458333333)</f>
        <v>43777.645833333299</v>
      </c>
      <c r="D704">
        <v>7955.55</v>
      </c>
      <c r="E704">
        <v>7958.15</v>
      </c>
      <c r="F704">
        <v>7771</v>
      </c>
      <c r="G704">
        <v>7787.4</v>
      </c>
      <c r="H704">
        <v>0</v>
      </c>
      <c r="I704" s="8">
        <f t="shared" si="41"/>
        <v>-2.2420286216419782E-2</v>
      </c>
      <c r="J704" s="8">
        <f t="shared" si="42"/>
        <v>-2.267544181982125E-2</v>
      </c>
      <c r="K704" s="8">
        <f t="shared" ref="K704:K767" si="43">+G704/G643-1</f>
        <v>-3.9777450917695134E-3</v>
      </c>
    </row>
    <row r="705" spans="1:11" x14ac:dyDescent="0.25">
      <c r="A705" t="str">
        <f t="shared" si="40"/>
        <v>112019</v>
      </c>
      <c r="B705" s="1">
        <v>43780</v>
      </c>
      <c r="C705" s="7">
        <f ca="1">IFERROR(__xludf.DUMMYFUNCTION("""COMPUTED_VALUE"""),43780.6458333333)</f>
        <v>43780.645833333299</v>
      </c>
      <c r="D705">
        <v>7728.55</v>
      </c>
      <c r="E705">
        <v>7807.6</v>
      </c>
      <c r="F705">
        <v>7675</v>
      </c>
      <c r="G705">
        <v>7784.9</v>
      </c>
      <c r="H705">
        <v>0</v>
      </c>
      <c r="I705" s="8">
        <f t="shared" si="41"/>
        <v>-3.2103140971317945E-4</v>
      </c>
      <c r="J705" s="8">
        <f t="shared" si="42"/>
        <v>-3.2108295132747056E-4</v>
      </c>
      <c r="K705" s="8">
        <f t="shared" si="43"/>
        <v>-1.2037183920809769E-2</v>
      </c>
    </row>
    <row r="706" spans="1:11" x14ac:dyDescent="0.25">
      <c r="A706" t="str">
        <f t="shared" si="40"/>
        <v>112019</v>
      </c>
      <c r="B706" s="1">
        <v>43782</v>
      </c>
      <c r="C706" s="7">
        <f ca="1">IFERROR(__xludf.DUMMYFUNCTION("""COMPUTED_VALUE"""),43782.6458333333)</f>
        <v>43782.645833333299</v>
      </c>
      <c r="D706">
        <v>7795.3</v>
      </c>
      <c r="E706">
        <v>7853</v>
      </c>
      <c r="F706">
        <v>7642</v>
      </c>
      <c r="G706">
        <v>7660.45</v>
      </c>
      <c r="H706">
        <v>0</v>
      </c>
      <c r="I706" s="8">
        <f t="shared" si="41"/>
        <v>-1.5986075607907546E-2</v>
      </c>
      <c r="J706" s="8">
        <f t="shared" si="42"/>
        <v>-1.6115231225033319E-2</v>
      </c>
      <c r="K706" s="8">
        <f t="shared" si="43"/>
        <v>-3.8211882282040976E-2</v>
      </c>
    </row>
    <row r="707" spans="1:11" x14ac:dyDescent="0.25">
      <c r="A707" t="str">
        <f t="shared" ref="A707:A770" si="44">+MONTH(B707)&amp;YEAR(B707)</f>
        <v>112019</v>
      </c>
      <c r="B707" s="1">
        <v>43783</v>
      </c>
      <c r="C707" s="7">
        <f ca="1">IFERROR(__xludf.DUMMYFUNCTION("""COMPUTED_VALUE"""),43783.6458333333)</f>
        <v>43783.645833333299</v>
      </c>
      <c r="D707">
        <v>7634.4</v>
      </c>
      <c r="E707">
        <v>7655.6</v>
      </c>
      <c r="F707">
        <v>7553.05</v>
      </c>
      <c r="G707">
        <v>7591.45</v>
      </c>
      <c r="H707">
        <v>0</v>
      </c>
      <c r="I707" s="8">
        <f t="shared" si="41"/>
        <v>-9.0073037484743601E-3</v>
      </c>
      <c r="J707" s="8">
        <f t="shared" si="42"/>
        <v>-9.048114758495273E-3</v>
      </c>
      <c r="K707" s="8">
        <f t="shared" si="43"/>
        <v>-4.1973485780629871E-2</v>
      </c>
    </row>
    <row r="708" spans="1:11" x14ac:dyDescent="0.25">
      <c r="A708" t="str">
        <f t="shared" si="44"/>
        <v>112019</v>
      </c>
      <c r="B708" s="1">
        <v>43784</v>
      </c>
      <c r="C708" s="7">
        <f ca="1">IFERROR(__xludf.DUMMYFUNCTION("""COMPUTED_VALUE"""),43784.6458333333)</f>
        <v>43784.645833333299</v>
      </c>
      <c r="D708">
        <v>7620.45</v>
      </c>
      <c r="E708">
        <v>7769.3</v>
      </c>
      <c r="F708">
        <v>7554.5</v>
      </c>
      <c r="G708">
        <v>7720.6</v>
      </c>
      <c r="H708">
        <v>0</v>
      </c>
      <c r="I708" s="8">
        <f t="shared" ref="I708:I771" si="45">+G708/G707-1</f>
        <v>1.7012560182837255E-2</v>
      </c>
      <c r="J708" s="8">
        <f t="shared" ref="J708:J771" si="46">+LN(1+I708)</f>
        <v>1.6869467219104636E-2</v>
      </c>
      <c r="K708" s="8">
        <f t="shared" si="43"/>
        <v>-1.6728328631741118E-2</v>
      </c>
    </row>
    <row r="709" spans="1:11" x14ac:dyDescent="0.25">
      <c r="A709" t="str">
        <f t="shared" si="44"/>
        <v>112019</v>
      </c>
      <c r="B709" s="1">
        <v>43787</v>
      </c>
      <c r="C709" s="7">
        <f ca="1">IFERROR(__xludf.DUMMYFUNCTION("""COMPUTED_VALUE"""),43787.6458333333)</f>
        <v>43787.645833333299</v>
      </c>
      <c r="D709">
        <v>7757.95</v>
      </c>
      <c r="E709">
        <v>7881.05</v>
      </c>
      <c r="F709">
        <v>7750.95</v>
      </c>
      <c r="G709">
        <v>7816.55</v>
      </c>
      <c r="H709">
        <v>0</v>
      </c>
      <c r="I709" s="8">
        <f t="shared" si="45"/>
        <v>1.2427790586223786E-2</v>
      </c>
      <c r="J709" s="8">
        <f t="shared" si="46"/>
        <v>1.2351199515779921E-2</v>
      </c>
      <c r="K709" s="8">
        <f t="shared" si="43"/>
        <v>9.3294422994976145E-3</v>
      </c>
    </row>
    <row r="710" spans="1:11" x14ac:dyDescent="0.25">
      <c r="A710" t="str">
        <f t="shared" si="44"/>
        <v>112019</v>
      </c>
      <c r="B710" s="1">
        <v>43788</v>
      </c>
      <c r="C710" s="7">
        <f ca="1">IFERROR(__xludf.DUMMYFUNCTION("""COMPUTED_VALUE"""),43788.6458333333)</f>
        <v>43788.645833333299</v>
      </c>
      <c r="D710">
        <v>7839.65</v>
      </c>
      <c r="E710">
        <v>7881.9</v>
      </c>
      <c r="F710">
        <v>7823.75</v>
      </c>
      <c r="G710">
        <v>7851.45</v>
      </c>
      <c r="H710">
        <v>0</v>
      </c>
      <c r="I710" s="8">
        <f t="shared" si="45"/>
        <v>4.4648854034068375E-3</v>
      </c>
      <c r="J710" s="8">
        <f t="shared" si="46"/>
        <v>4.4549473730382018E-3</v>
      </c>
      <c r="K710" s="8">
        <f t="shared" si="43"/>
        <v>2.1752143981885075E-2</v>
      </c>
    </row>
    <row r="711" spans="1:11" x14ac:dyDescent="0.25">
      <c r="A711" t="str">
        <f t="shared" si="44"/>
        <v>112019</v>
      </c>
      <c r="B711" s="1">
        <v>43789</v>
      </c>
      <c r="C711" s="7">
        <f ca="1">IFERROR(__xludf.DUMMYFUNCTION("""COMPUTED_VALUE"""),43789.6458333333)</f>
        <v>43789.645833333299</v>
      </c>
      <c r="D711">
        <v>7866</v>
      </c>
      <c r="E711">
        <v>8187.1</v>
      </c>
      <c r="F711">
        <v>7843.65</v>
      </c>
      <c r="G711">
        <v>8107.6</v>
      </c>
      <c r="H711">
        <v>0</v>
      </c>
      <c r="I711" s="8">
        <f t="shared" si="45"/>
        <v>3.2624547058186737E-2</v>
      </c>
      <c r="J711" s="8">
        <f t="shared" si="46"/>
        <v>3.2103665268974291E-2</v>
      </c>
      <c r="K711" s="8">
        <f t="shared" si="43"/>
        <v>4.7310869551176582E-2</v>
      </c>
    </row>
    <row r="712" spans="1:11" x14ac:dyDescent="0.25">
      <c r="A712" t="str">
        <f t="shared" si="44"/>
        <v>112019</v>
      </c>
      <c r="B712" s="1">
        <v>43790</v>
      </c>
      <c r="C712" s="7">
        <f ca="1">IFERROR(__xludf.DUMMYFUNCTION("""COMPUTED_VALUE"""),43790.6458333333)</f>
        <v>43790.645833333299</v>
      </c>
      <c r="D712">
        <v>8107.8</v>
      </c>
      <c r="E712">
        <v>8153</v>
      </c>
      <c r="F712">
        <v>8058.45</v>
      </c>
      <c r="G712">
        <v>8068.95</v>
      </c>
      <c r="H712">
        <v>0</v>
      </c>
      <c r="I712" s="8">
        <f t="shared" si="45"/>
        <v>-4.7671320736100142E-3</v>
      </c>
      <c r="J712" s="8">
        <f t="shared" si="46"/>
        <v>-4.7785310892172151E-3</v>
      </c>
      <c r="K712" s="8">
        <f t="shared" si="43"/>
        <v>4.1195143037795035E-2</v>
      </c>
    </row>
    <row r="713" spans="1:11" x14ac:dyDescent="0.25">
      <c r="A713" t="str">
        <f t="shared" si="44"/>
        <v>112019</v>
      </c>
      <c r="B713" s="1">
        <v>43791</v>
      </c>
      <c r="C713" s="7">
        <f ca="1">IFERROR(__xludf.DUMMYFUNCTION("""COMPUTED_VALUE"""),43791.6458333333)</f>
        <v>43791.645833333299</v>
      </c>
      <c r="D713">
        <v>8076.7</v>
      </c>
      <c r="E713">
        <v>8162.1</v>
      </c>
      <c r="F713">
        <v>7995.05</v>
      </c>
      <c r="G713">
        <v>8067.2</v>
      </c>
      <c r="H713">
        <v>0</v>
      </c>
      <c r="I713" s="8">
        <f t="shared" si="45"/>
        <v>-2.1688075895875958E-4</v>
      </c>
      <c r="J713" s="8">
        <f t="shared" si="46"/>
        <v>-2.1690428099160853E-4</v>
      </c>
      <c r="K713" s="8">
        <f t="shared" si="43"/>
        <v>5.0792927154905687E-2</v>
      </c>
    </row>
    <row r="714" spans="1:11" x14ac:dyDescent="0.25">
      <c r="A714" t="str">
        <f t="shared" si="44"/>
        <v>112019</v>
      </c>
      <c r="B714" s="1">
        <v>43794</v>
      </c>
      <c r="C714" s="7">
        <f ca="1">IFERROR(__xludf.DUMMYFUNCTION("""COMPUTED_VALUE"""),43794.6458333333)</f>
        <v>43794.645833333299</v>
      </c>
      <c r="D714">
        <v>8072.15</v>
      </c>
      <c r="E714">
        <v>8226.7999999999993</v>
      </c>
      <c r="F714">
        <v>8047.8</v>
      </c>
      <c r="G714">
        <v>8211.5499999999993</v>
      </c>
      <c r="H714">
        <v>0</v>
      </c>
      <c r="I714" s="8">
        <f t="shared" si="45"/>
        <v>1.7893445061483382E-2</v>
      </c>
      <c r="J714" s="8">
        <f t="shared" si="46"/>
        <v>1.7735241786971008E-2</v>
      </c>
      <c r="K714" s="8">
        <f t="shared" si="43"/>
        <v>7.0487625230580608E-2</v>
      </c>
    </row>
    <row r="715" spans="1:11" x14ac:dyDescent="0.25">
      <c r="A715" t="str">
        <f t="shared" si="44"/>
        <v>112019</v>
      </c>
      <c r="B715" s="1">
        <v>43795</v>
      </c>
      <c r="C715" s="7">
        <f ca="1">IFERROR(__xludf.DUMMYFUNCTION("""COMPUTED_VALUE"""),43795.6458333333)</f>
        <v>43795.645833333299</v>
      </c>
      <c r="D715">
        <v>8242.7999999999993</v>
      </c>
      <c r="E715">
        <v>8298.4</v>
      </c>
      <c r="F715">
        <v>8132.25</v>
      </c>
      <c r="G715">
        <v>8177.85</v>
      </c>
      <c r="H715">
        <v>0</v>
      </c>
      <c r="I715" s="8">
        <f t="shared" si="45"/>
        <v>-4.1039754979265153E-3</v>
      </c>
      <c r="J715" s="8">
        <f t="shared" si="46"/>
        <v>-4.1124199170819685E-3</v>
      </c>
      <c r="K715" s="8">
        <f t="shared" si="43"/>
        <v>5.106322817795661E-2</v>
      </c>
    </row>
    <row r="716" spans="1:11" x14ac:dyDescent="0.25">
      <c r="A716" t="str">
        <f t="shared" si="44"/>
        <v>112019</v>
      </c>
      <c r="B716" s="1">
        <v>43796</v>
      </c>
      <c r="C716" s="7">
        <f ca="1">IFERROR(__xludf.DUMMYFUNCTION("""COMPUTED_VALUE"""),43796.6458333333)</f>
        <v>43796.645833333299</v>
      </c>
      <c r="D716">
        <v>8178.25</v>
      </c>
      <c r="E716">
        <v>8267.65</v>
      </c>
      <c r="F716">
        <v>8165.2</v>
      </c>
      <c r="G716">
        <v>8246.1</v>
      </c>
      <c r="H716">
        <v>0</v>
      </c>
      <c r="I716" s="8">
        <f t="shared" si="45"/>
        <v>8.3457143381207022E-3</v>
      </c>
      <c r="J716" s="8">
        <f t="shared" si="46"/>
        <v>8.3110814217464447E-3</v>
      </c>
      <c r="K716" s="8">
        <f t="shared" si="43"/>
        <v>5.3908975882826615E-2</v>
      </c>
    </row>
    <row r="717" spans="1:11" x14ac:dyDescent="0.25">
      <c r="A717" t="str">
        <f t="shared" si="44"/>
        <v>112019</v>
      </c>
      <c r="B717" s="1">
        <v>43797</v>
      </c>
      <c r="C717" s="7">
        <f ca="1">IFERROR(__xludf.DUMMYFUNCTION("""COMPUTED_VALUE"""),43797.6458333333)</f>
        <v>43797.645833333299</v>
      </c>
      <c r="D717">
        <v>8247.1</v>
      </c>
      <c r="E717">
        <v>8288.5499999999993</v>
      </c>
      <c r="F717">
        <v>8216.75</v>
      </c>
      <c r="G717">
        <v>8273.65</v>
      </c>
      <c r="H717">
        <v>0</v>
      </c>
      <c r="I717" s="8">
        <f t="shared" si="45"/>
        <v>3.3409733085942861E-3</v>
      </c>
      <c r="J717" s="8">
        <f t="shared" si="46"/>
        <v>3.3354046569671423E-3</v>
      </c>
      <c r="K717" s="8">
        <f t="shared" si="43"/>
        <v>5.9081424968958407E-2</v>
      </c>
    </row>
    <row r="718" spans="1:11" x14ac:dyDescent="0.25">
      <c r="A718" t="str">
        <f t="shared" si="44"/>
        <v>112019</v>
      </c>
      <c r="B718" s="1">
        <v>43798</v>
      </c>
      <c r="C718" s="7">
        <f ca="1">IFERROR(__xludf.DUMMYFUNCTION("""COMPUTED_VALUE"""),43798.6458333333)</f>
        <v>43798.645833333299</v>
      </c>
      <c r="D718">
        <v>8286.25</v>
      </c>
      <c r="E718">
        <v>8320.25</v>
      </c>
      <c r="F718">
        <v>8159.2</v>
      </c>
      <c r="G718">
        <v>8189.95</v>
      </c>
      <c r="H718">
        <v>0</v>
      </c>
      <c r="I718" s="8">
        <f t="shared" si="45"/>
        <v>-1.0116454043862078E-2</v>
      </c>
      <c r="J718" s="8">
        <f t="shared" si="46"/>
        <v>-1.0167973119828774E-2</v>
      </c>
      <c r="K718" s="8">
        <f t="shared" si="43"/>
        <v>5.8317665225846804E-2</v>
      </c>
    </row>
    <row r="719" spans="1:11" x14ac:dyDescent="0.25">
      <c r="A719" t="str">
        <f t="shared" si="44"/>
        <v>122019</v>
      </c>
      <c r="B719" s="1">
        <v>43801</v>
      </c>
      <c r="C719" s="7">
        <f ca="1">IFERROR(__xludf.DUMMYFUNCTION("""COMPUTED_VALUE"""),43801.6458333333)</f>
        <v>43801.645833333299</v>
      </c>
      <c r="D719">
        <v>8195.4500000000007</v>
      </c>
      <c r="E719">
        <v>8198.9500000000007</v>
      </c>
      <c r="F719">
        <v>8056.2</v>
      </c>
      <c r="G719">
        <v>8128.95</v>
      </c>
      <c r="H719">
        <v>0</v>
      </c>
      <c r="I719" s="8">
        <f t="shared" si="45"/>
        <v>-7.4481529191264828E-3</v>
      </c>
      <c r="J719" s="8">
        <f t="shared" si="46"/>
        <v>-7.4760289127773112E-3</v>
      </c>
      <c r="K719" s="8">
        <f t="shared" si="43"/>
        <v>2.7355450236966838E-2</v>
      </c>
    </row>
    <row r="720" spans="1:11" x14ac:dyDescent="0.25">
      <c r="A720" t="str">
        <f t="shared" si="44"/>
        <v>122019</v>
      </c>
      <c r="B720" s="1">
        <v>43802</v>
      </c>
      <c r="C720" s="7">
        <f ca="1">IFERROR(__xludf.DUMMYFUNCTION("""COMPUTED_VALUE"""),43802.6458333333)</f>
        <v>43802.645833333299</v>
      </c>
      <c r="D720">
        <v>8167.6</v>
      </c>
      <c r="E720">
        <v>8172.3</v>
      </c>
      <c r="F720">
        <v>8027.05</v>
      </c>
      <c r="G720">
        <v>8044.85</v>
      </c>
      <c r="H720">
        <v>0</v>
      </c>
      <c r="I720" s="8">
        <f t="shared" si="45"/>
        <v>-1.0345739609666671E-2</v>
      </c>
      <c r="J720" s="8">
        <f t="shared" si="46"/>
        <v>-1.0399628778129279E-2</v>
      </c>
      <c r="K720" s="8">
        <f t="shared" si="43"/>
        <v>-3.369652071035234E-3</v>
      </c>
    </row>
    <row r="721" spans="1:11" x14ac:dyDescent="0.25">
      <c r="A721" t="str">
        <f t="shared" si="44"/>
        <v>122019</v>
      </c>
      <c r="B721" s="1">
        <v>43803</v>
      </c>
      <c r="C721" s="7">
        <f ca="1">IFERROR(__xludf.DUMMYFUNCTION("""COMPUTED_VALUE"""),43803.6458333333)</f>
        <v>43803.645833333299</v>
      </c>
      <c r="D721">
        <v>8032</v>
      </c>
      <c r="E721">
        <v>8132.05</v>
      </c>
      <c r="F721">
        <v>8021.8</v>
      </c>
      <c r="G721">
        <v>8121.5</v>
      </c>
      <c r="H721">
        <v>0</v>
      </c>
      <c r="I721" s="8">
        <f t="shared" si="45"/>
        <v>9.5278345774003625E-3</v>
      </c>
      <c r="J721" s="8">
        <f t="shared" si="46"/>
        <v>9.4827310279825359E-3</v>
      </c>
      <c r="K721" s="8">
        <f t="shared" si="43"/>
        <v>1.8184781450394594E-2</v>
      </c>
    </row>
    <row r="722" spans="1:11" x14ac:dyDescent="0.25">
      <c r="A722" t="str">
        <f t="shared" si="44"/>
        <v>122019</v>
      </c>
      <c r="B722" s="1">
        <v>43804</v>
      </c>
      <c r="C722" s="7">
        <f ca="1">IFERROR(__xludf.DUMMYFUNCTION("""COMPUTED_VALUE"""),43804.6458333333)</f>
        <v>43804.645833333299</v>
      </c>
      <c r="D722">
        <v>8104.35</v>
      </c>
      <c r="E722">
        <v>8115.25</v>
      </c>
      <c r="F722">
        <v>8030.15</v>
      </c>
      <c r="G722">
        <v>8051.85</v>
      </c>
      <c r="H722">
        <v>0</v>
      </c>
      <c r="I722" s="8">
        <f t="shared" si="45"/>
        <v>-8.5760019700793499E-3</v>
      </c>
      <c r="J722" s="8">
        <f t="shared" si="46"/>
        <v>-8.6129874853601851E-3</v>
      </c>
      <c r="K722" s="8">
        <f t="shared" si="43"/>
        <v>1.0567733271416468E-2</v>
      </c>
    </row>
    <row r="723" spans="1:11" x14ac:dyDescent="0.25">
      <c r="A723" t="str">
        <f t="shared" si="44"/>
        <v>122019</v>
      </c>
      <c r="B723" s="1">
        <v>43805</v>
      </c>
      <c r="C723" s="7">
        <f ca="1">IFERROR(__xludf.DUMMYFUNCTION("""COMPUTED_VALUE"""),43805.6458333333)</f>
        <v>43805.645833333299</v>
      </c>
      <c r="D723">
        <v>8091.2</v>
      </c>
      <c r="E723">
        <v>8152.25</v>
      </c>
      <c r="F723">
        <v>7942</v>
      </c>
      <c r="G723">
        <v>7957.55</v>
      </c>
      <c r="H723">
        <v>0</v>
      </c>
      <c r="I723" s="8">
        <f t="shared" si="45"/>
        <v>-1.1711594229897537E-2</v>
      </c>
      <c r="J723" s="8">
        <f t="shared" si="46"/>
        <v>-1.1780715157124066E-2</v>
      </c>
      <c r="K723" s="8">
        <f t="shared" si="43"/>
        <v>-1.4148109146095877E-2</v>
      </c>
    </row>
    <row r="724" spans="1:11" x14ac:dyDescent="0.25">
      <c r="A724" t="str">
        <f t="shared" si="44"/>
        <v>122019</v>
      </c>
      <c r="B724" s="1">
        <v>43808</v>
      </c>
      <c r="C724" s="7">
        <f ca="1">IFERROR(__xludf.DUMMYFUNCTION("""COMPUTED_VALUE"""),43808.6458333333)</f>
        <v>43808.645833333299</v>
      </c>
      <c r="D724">
        <v>7987.5</v>
      </c>
      <c r="E724">
        <v>8043.55</v>
      </c>
      <c r="F724">
        <v>7936.7</v>
      </c>
      <c r="G724">
        <v>7960.35</v>
      </c>
      <c r="H724">
        <v>0</v>
      </c>
      <c r="I724" s="8">
        <f t="shared" si="45"/>
        <v>3.5186709477175171E-4</v>
      </c>
      <c r="J724" s="8">
        <f t="shared" si="46"/>
        <v>3.5180520406333704E-4</v>
      </c>
      <c r="K724" s="8">
        <f t="shared" si="43"/>
        <v>-1.3434546862896912E-2</v>
      </c>
    </row>
    <row r="725" spans="1:11" x14ac:dyDescent="0.25">
      <c r="A725" t="str">
        <f t="shared" si="44"/>
        <v>122019</v>
      </c>
      <c r="B725" s="1">
        <v>43809</v>
      </c>
      <c r="C725" s="7">
        <f ca="1">IFERROR(__xludf.DUMMYFUNCTION("""COMPUTED_VALUE"""),43809.6458333333)</f>
        <v>43809.645833333299</v>
      </c>
      <c r="D725">
        <v>7983.75</v>
      </c>
      <c r="E725">
        <v>8016.95</v>
      </c>
      <c r="F725">
        <v>7926</v>
      </c>
      <c r="G725">
        <v>7940.5</v>
      </c>
      <c r="H725">
        <v>0</v>
      </c>
      <c r="I725" s="8">
        <f t="shared" si="45"/>
        <v>-2.4936089493552416E-3</v>
      </c>
      <c r="J725" s="8">
        <f t="shared" si="46"/>
        <v>-2.4967231703281576E-3</v>
      </c>
      <c r="K725" s="8">
        <f t="shared" si="43"/>
        <v>-1.7009371247477589E-2</v>
      </c>
    </row>
    <row r="726" spans="1:11" x14ac:dyDescent="0.25">
      <c r="A726" t="str">
        <f t="shared" si="44"/>
        <v>122019</v>
      </c>
      <c r="B726" s="1">
        <v>43810</v>
      </c>
      <c r="C726" s="7">
        <f ca="1">IFERROR(__xludf.DUMMYFUNCTION("""COMPUTED_VALUE"""),43810.6458333333)</f>
        <v>43810.645833333299</v>
      </c>
      <c r="D726">
        <v>7958.4</v>
      </c>
      <c r="E726">
        <v>7980.9</v>
      </c>
      <c r="F726">
        <v>7909.9</v>
      </c>
      <c r="G726">
        <v>7967.85</v>
      </c>
      <c r="H726">
        <v>0</v>
      </c>
      <c r="I726" s="8">
        <f t="shared" si="45"/>
        <v>3.4443674831559079E-3</v>
      </c>
      <c r="J726" s="8">
        <f t="shared" si="46"/>
        <v>3.4384492353297861E-3</v>
      </c>
      <c r="K726" s="8">
        <f t="shared" si="43"/>
        <v>-1.4233752737260019E-2</v>
      </c>
    </row>
    <row r="727" spans="1:11" x14ac:dyDescent="0.25">
      <c r="A727" t="str">
        <f t="shared" si="44"/>
        <v>122019</v>
      </c>
      <c r="B727" s="1">
        <v>43811</v>
      </c>
      <c r="C727" s="7">
        <f ca="1">IFERROR(__xludf.DUMMYFUNCTION("""COMPUTED_VALUE"""),43811.6458333333)</f>
        <v>43811.645833333299</v>
      </c>
      <c r="D727">
        <v>7991.15</v>
      </c>
      <c r="E727">
        <v>8073.6</v>
      </c>
      <c r="F727">
        <v>7973.85</v>
      </c>
      <c r="G727">
        <v>8045.35</v>
      </c>
      <c r="H727">
        <v>0</v>
      </c>
      <c r="I727" s="8">
        <f t="shared" si="45"/>
        <v>9.7265887284525565E-3</v>
      </c>
      <c r="J727" s="8">
        <f t="shared" si="46"/>
        <v>9.6795899769095053E-3</v>
      </c>
      <c r="K727" s="8">
        <f t="shared" si="43"/>
        <v>-7.010484871299516E-3</v>
      </c>
    </row>
    <row r="728" spans="1:11" x14ac:dyDescent="0.25">
      <c r="A728" t="str">
        <f t="shared" si="44"/>
        <v>122019</v>
      </c>
      <c r="B728" s="1">
        <v>43812</v>
      </c>
      <c r="C728" s="7">
        <f ca="1">IFERROR(__xludf.DUMMYFUNCTION("""COMPUTED_VALUE"""),43812.6458333333)</f>
        <v>43812.645833333299</v>
      </c>
      <c r="D728">
        <v>8050.6</v>
      </c>
      <c r="E728">
        <v>8066</v>
      </c>
      <c r="F728">
        <v>7947.8</v>
      </c>
      <c r="G728">
        <v>8045.05</v>
      </c>
      <c r="H728">
        <v>0</v>
      </c>
      <c r="I728" s="8">
        <f t="shared" si="45"/>
        <v>-3.728862013463452E-5</v>
      </c>
      <c r="J728" s="8">
        <f t="shared" si="46"/>
        <v>-3.7289315372513323E-5</v>
      </c>
      <c r="K728" s="8">
        <f t="shared" si="43"/>
        <v>1.4938286205115059E-3</v>
      </c>
    </row>
    <row r="729" spans="1:11" x14ac:dyDescent="0.25">
      <c r="A729" t="str">
        <f t="shared" si="44"/>
        <v>122019</v>
      </c>
      <c r="B729" s="1">
        <v>43815</v>
      </c>
      <c r="C729" s="7">
        <f ca="1">IFERROR(__xludf.DUMMYFUNCTION("""COMPUTED_VALUE"""),43815.6458333333)</f>
        <v>43815.645833333299</v>
      </c>
      <c r="D729">
        <v>8017.95</v>
      </c>
      <c r="E729">
        <v>8091.3</v>
      </c>
      <c r="F729">
        <v>7990.1</v>
      </c>
      <c r="G729">
        <v>8025.85</v>
      </c>
      <c r="H729">
        <v>0</v>
      </c>
      <c r="I729" s="8">
        <f t="shared" si="45"/>
        <v>-2.3865606801697359E-3</v>
      </c>
      <c r="J729" s="8">
        <f t="shared" si="46"/>
        <v>-2.3894130552576721E-3</v>
      </c>
      <c r="K729" s="8">
        <f t="shared" si="43"/>
        <v>-5.5509779261893044E-3</v>
      </c>
    </row>
    <row r="730" spans="1:11" x14ac:dyDescent="0.25">
      <c r="A730" t="str">
        <f t="shared" si="44"/>
        <v>122019</v>
      </c>
      <c r="B730" s="1">
        <v>43816</v>
      </c>
      <c r="C730" s="7">
        <f ca="1">IFERROR(__xludf.DUMMYFUNCTION("""COMPUTED_VALUE"""),43816.6458333333)</f>
        <v>43816.645833333299</v>
      </c>
      <c r="D730">
        <v>8037.35</v>
      </c>
      <c r="E730">
        <v>8068.2</v>
      </c>
      <c r="F730">
        <v>7973.7</v>
      </c>
      <c r="G730">
        <v>7999.6</v>
      </c>
      <c r="H730">
        <v>0</v>
      </c>
      <c r="I730" s="8">
        <f t="shared" si="45"/>
        <v>-3.27068161004751E-3</v>
      </c>
      <c r="J730" s="8">
        <f t="shared" si="46"/>
        <v>-3.2760419803789967E-3</v>
      </c>
      <c r="K730" s="8">
        <f t="shared" si="43"/>
        <v>8.2872754085343558E-3</v>
      </c>
    </row>
    <row r="731" spans="1:11" x14ac:dyDescent="0.25">
      <c r="A731" t="str">
        <f t="shared" si="44"/>
        <v>122019</v>
      </c>
      <c r="B731" s="1">
        <v>43817</v>
      </c>
      <c r="C731" s="7">
        <f ca="1">IFERROR(__xludf.DUMMYFUNCTION("""COMPUTED_VALUE"""),43817.6458333333)</f>
        <v>43817.645833333299</v>
      </c>
      <c r="D731">
        <v>8013.45</v>
      </c>
      <c r="E731">
        <v>8100.4</v>
      </c>
      <c r="F731">
        <v>7988.2</v>
      </c>
      <c r="G731">
        <v>8091.1</v>
      </c>
      <c r="H731">
        <v>0</v>
      </c>
      <c r="I731" s="8">
        <f t="shared" si="45"/>
        <v>1.1438071903595137E-2</v>
      </c>
      <c r="J731" s="8">
        <f t="shared" si="46"/>
        <v>1.1373151731223406E-2</v>
      </c>
      <c r="K731" s="8">
        <f t="shared" si="43"/>
        <v>2.1158712429560467E-2</v>
      </c>
    </row>
    <row r="732" spans="1:11" x14ac:dyDescent="0.25">
      <c r="A732" t="str">
        <f t="shared" si="44"/>
        <v>122019</v>
      </c>
      <c r="B732" s="1">
        <v>43818</v>
      </c>
      <c r="C732" s="7">
        <f ca="1">IFERROR(__xludf.DUMMYFUNCTION("""COMPUTED_VALUE"""),43818.6458333333)</f>
        <v>43818.645833333299</v>
      </c>
      <c r="D732">
        <v>8087.5</v>
      </c>
      <c r="E732">
        <v>8128</v>
      </c>
      <c r="F732">
        <v>8024.65</v>
      </c>
      <c r="G732">
        <v>8073.05</v>
      </c>
      <c r="H732">
        <v>0</v>
      </c>
      <c r="I732" s="8">
        <f t="shared" si="45"/>
        <v>-2.230846238459594E-3</v>
      </c>
      <c r="J732" s="8">
        <f t="shared" si="46"/>
        <v>-2.2333382828645027E-3</v>
      </c>
      <c r="K732" s="8">
        <f t="shared" si="43"/>
        <v>3.5059490230268109E-2</v>
      </c>
    </row>
    <row r="733" spans="1:11" x14ac:dyDescent="0.25">
      <c r="A733" t="str">
        <f t="shared" si="44"/>
        <v>122019</v>
      </c>
      <c r="B733" s="1">
        <v>43819</v>
      </c>
      <c r="C733" s="7">
        <f ca="1">IFERROR(__xludf.DUMMYFUNCTION("""COMPUTED_VALUE"""),43819.6458333333)</f>
        <v>43819.645833333299</v>
      </c>
      <c r="D733">
        <v>8059.6</v>
      </c>
      <c r="E733">
        <v>8090.15</v>
      </c>
      <c r="F733">
        <v>8038.8</v>
      </c>
      <c r="G733">
        <v>8049.45</v>
      </c>
      <c r="H733">
        <v>0</v>
      </c>
      <c r="I733" s="8">
        <f t="shared" si="45"/>
        <v>-2.9233065570014594E-3</v>
      </c>
      <c r="J733" s="8">
        <f t="shared" si="46"/>
        <v>-2.9275877631690012E-3</v>
      </c>
      <c r="K733" s="8">
        <f t="shared" si="43"/>
        <v>8.2544732606422144E-3</v>
      </c>
    </row>
    <row r="734" spans="1:11" x14ac:dyDescent="0.25">
      <c r="A734" t="str">
        <f t="shared" si="44"/>
        <v>122019</v>
      </c>
      <c r="B734" s="1">
        <v>43822</v>
      </c>
      <c r="C734" s="7">
        <f ca="1">IFERROR(__xludf.DUMMYFUNCTION("""COMPUTED_VALUE"""),43822.6458333333)</f>
        <v>43822.645833333299</v>
      </c>
      <c r="D734">
        <v>8043.05</v>
      </c>
      <c r="E734">
        <v>8096</v>
      </c>
      <c r="F734">
        <v>8020.8</v>
      </c>
      <c r="G734">
        <v>8051.5</v>
      </c>
      <c r="H734">
        <v>0</v>
      </c>
      <c r="I734" s="8">
        <f t="shared" si="45"/>
        <v>2.5467578530213864E-4</v>
      </c>
      <c r="J734" s="8">
        <f t="shared" si="46"/>
        <v>2.5464336092934726E-4</v>
      </c>
      <c r="K734" s="8">
        <f t="shared" si="43"/>
        <v>2.4722390149225282E-2</v>
      </c>
    </row>
    <row r="735" spans="1:11" x14ac:dyDescent="0.25">
      <c r="A735" t="str">
        <f t="shared" si="44"/>
        <v>122019</v>
      </c>
      <c r="B735" s="1">
        <v>43823</v>
      </c>
      <c r="C735" s="7">
        <f ca="1">IFERROR(__xludf.DUMMYFUNCTION("""COMPUTED_VALUE"""),43823.6458333333)</f>
        <v>43823.645833333299</v>
      </c>
      <c r="D735">
        <v>8060.4</v>
      </c>
      <c r="E735">
        <v>8083.25</v>
      </c>
      <c r="F735">
        <v>8020.85</v>
      </c>
      <c r="G735">
        <v>8073.8</v>
      </c>
      <c r="H735">
        <v>0</v>
      </c>
      <c r="I735" s="8">
        <f t="shared" si="45"/>
        <v>2.7696702477799651E-3</v>
      </c>
      <c r="J735" s="8">
        <f t="shared" si="46"/>
        <v>2.7658417785749053E-3</v>
      </c>
      <c r="K735" s="8">
        <f t="shared" si="43"/>
        <v>2.3042467324298821E-2</v>
      </c>
    </row>
    <row r="736" spans="1:11" x14ac:dyDescent="0.25">
      <c r="A736" t="str">
        <f t="shared" si="44"/>
        <v>122019</v>
      </c>
      <c r="B736" s="1">
        <v>43825</v>
      </c>
      <c r="C736" s="7">
        <f ca="1">IFERROR(__xludf.DUMMYFUNCTION("""COMPUTED_VALUE"""),43825.6458333333)</f>
        <v>43825.645833333299</v>
      </c>
      <c r="D736">
        <v>8079.65</v>
      </c>
      <c r="E736">
        <v>8097.75</v>
      </c>
      <c r="F736">
        <v>7985.75</v>
      </c>
      <c r="G736">
        <v>7997.6</v>
      </c>
      <c r="H736">
        <v>0</v>
      </c>
      <c r="I736" s="8">
        <f t="shared" si="45"/>
        <v>-9.4379350491713421E-3</v>
      </c>
      <c r="J736" s="8">
        <f t="shared" si="46"/>
        <v>-9.4827545836545461E-3</v>
      </c>
      <c r="K736" s="8">
        <f t="shared" si="43"/>
        <v>2.6689089438617808E-2</v>
      </c>
    </row>
    <row r="737" spans="1:11" x14ac:dyDescent="0.25">
      <c r="A737" t="str">
        <f t="shared" si="44"/>
        <v>122019</v>
      </c>
      <c r="B737" s="1">
        <v>43826</v>
      </c>
      <c r="C737" s="7">
        <f ca="1">IFERROR(__xludf.DUMMYFUNCTION("""COMPUTED_VALUE"""),43826.6458333333)</f>
        <v>43826.645833333299</v>
      </c>
      <c r="D737">
        <v>8013.75</v>
      </c>
      <c r="E737">
        <v>8075.55</v>
      </c>
      <c r="F737">
        <v>8010.35</v>
      </c>
      <c r="G737">
        <v>8068.05</v>
      </c>
      <c r="H737">
        <v>0</v>
      </c>
      <c r="I737" s="8">
        <f t="shared" si="45"/>
        <v>8.8088926678002721E-3</v>
      </c>
      <c r="J737" s="8">
        <f t="shared" si="46"/>
        <v>8.7703207246846125E-3</v>
      </c>
      <c r="K737" s="8">
        <f t="shared" si="43"/>
        <v>2.6822190828910797E-2</v>
      </c>
    </row>
    <row r="738" spans="1:11" x14ac:dyDescent="0.25">
      <c r="A738" t="str">
        <f t="shared" si="44"/>
        <v>122019</v>
      </c>
      <c r="B738" s="1">
        <v>43829</v>
      </c>
      <c r="C738" s="7">
        <f ca="1">IFERROR(__xludf.DUMMYFUNCTION("""COMPUTED_VALUE"""),43829.6458333333)</f>
        <v>43829.645833333299</v>
      </c>
      <c r="D738">
        <v>8086.55</v>
      </c>
      <c r="E738">
        <v>8125.05</v>
      </c>
      <c r="F738">
        <v>8071.25</v>
      </c>
      <c r="G738">
        <v>8083.1</v>
      </c>
      <c r="H738">
        <v>0</v>
      </c>
      <c r="I738" s="8">
        <f t="shared" si="45"/>
        <v>1.8653825893493181E-3</v>
      </c>
      <c r="J738" s="8">
        <f t="shared" si="46"/>
        <v>1.8636449238520561E-3</v>
      </c>
      <c r="K738" s="8">
        <f t="shared" si="43"/>
        <v>5.0394396579730438E-2</v>
      </c>
    </row>
    <row r="739" spans="1:11" x14ac:dyDescent="0.25">
      <c r="A739" t="str">
        <f t="shared" si="44"/>
        <v>122019</v>
      </c>
      <c r="B739" s="1">
        <v>43830</v>
      </c>
      <c r="C739" s="7">
        <f ca="1">IFERROR(__xludf.DUMMYFUNCTION("""COMPUTED_VALUE"""),43830.6458333333)</f>
        <v>43830.645833333299</v>
      </c>
      <c r="D739">
        <v>8082.2</v>
      </c>
      <c r="E739">
        <v>8121.45</v>
      </c>
      <c r="F739">
        <v>8028.55</v>
      </c>
      <c r="G739">
        <v>8040.15</v>
      </c>
      <c r="H739">
        <v>0</v>
      </c>
      <c r="I739" s="8">
        <f t="shared" si="45"/>
        <v>-5.3135554428376253E-3</v>
      </c>
      <c r="J739" s="8">
        <f t="shared" si="46"/>
        <v>-5.3277225861122256E-3</v>
      </c>
      <c r="K739" s="8">
        <f t="shared" si="43"/>
        <v>6.5237984829916051E-2</v>
      </c>
    </row>
    <row r="740" spans="1:11" x14ac:dyDescent="0.25">
      <c r="A740" t="str">
        <f t="shared" si="44"/>
        <v>12020</v>
      </c>
      <c r="B740" s="1">
        <v>43831</v>
      </c>
      <c r="C740" s="7">
        <f ca="1">IFERROR(__xludf.DUMMYFUNCTION("""COMPUTED_VALUE"""),43831.6458333333)</f>
        <v>43831.645833333299</v>
      </c>
      <c r="D740">
        <v>8060.3</v>
      </c>
      <c r="E740">
        <v>8076.65</v>
      </c>
      <c r="F740">
        <v>8018.95</v>
      </c>
      <c r="G740">
        <v>8047.1</v>
      </c>
      <c r="H740">
        <v>0</v>
      </c>
      <c r="I740" s="8">
        <f t="shared" si="45"/>
        <v>8.6441173361206936E-4</v>
      </c>
      <c r="J740" s="8">
        <f t="shared" si="46"/>
        <v>8.6403834494833489E-4</v>
      </c>
      <c r="K740" s="8">
        <f t="shared" si="43"/>
        <v>7.7767881657280213E-2</v>
      </c>
    </row>
    <row r="741" spans="1:11" x14ac:dyDescent="0.25">
      <c r="A741" t="str">
        <f t="shared" si="44"/>
        <v>12020</v>
      </c>
      <c r="B741" s="1">
        <v>43832</v>
      </c>
      <c r="C741" s="7">
        <f ca="1">IFERROR(__xludf.DUMMYFUNCTION("""COMPUTED_VALUE"""),43832.6458333333)</f>
        <v>43832.645833333299</v>
      </c>
      <c r="D741">
        <v>8056.75</v>
      </c>
      <c r="E741">
        <v>8102.4</v>
      </c>
      <c r="F741">
        <v>8027.15</v>
      </c>
      <c r="G741">
        <v>8053.95</v>
      </c>
      <c r="H741">
        <v>0</v>
      </c>
      <c r="I741" s="8">
        <f t="shared" si="45"/>
        <v>8.5123833430666984E-4</v>
      </c>
      <c r="J741" s="8">
        <f t="shared" si="46"/>
        <v>8.5087623642893283E-4</v>
      </c>
      <c r="K741" s="8">
        <f t="shared" si="43"/>
        <v>7.9364760277414792E-2</v>
      </c>
    </row>
    <row r="742" spans="1:11" x14ac:dyDescent="0.25">
      <c r="A742" t="str">
        <f t="shared" si="44"/>
        <v>12020</v>
      </c>
      <c r="B742" s="1">
        <v>43833</v>
      </c>
      <c r="C742" s="7">
        <f ca="1">IFERROR(__xludf.DUMMYFUNCTION("""COMPUTED_VALUE"""),43833.6458333333)</f>
        <v>43833.645833333299</v>
      </c>
      <c r="D742">
        <v>8053</v>
      </c>
      <c r="E742">
        <v>8189.8</v>
      </c>
      <c r="F742">
        <v>8026.3</v>
      </c>
      <c r="G742">
        <v>8111.95</v>
      </c>
      <c r="H742">
        <v>0</v>
      </c>
      <c r="I742" s="8">
        <f t="shared" si="45"/>
        <v>7.2014353205569481E-3</v>
      </c>
      <c r="J742" s="8">
        <f t="shared" si="46"/>
        <v>7.1756288071090166E-3</v>
      </c>
      <c r="K742" s="8">
        <f t="shared" si="43"/>
        <v>9.6668874798902182E-2</v>
      </c>
    </row>
    <row r="743" spans="1:11" x14ac:dyDescent="0.25">
      <c r="A743" t="str">
        <f t="shared" si="44"/>
        <v>12020</v>
      </c>
      <c r="B743" s="1">
        <v>43836</v>
      </c>
      <c r="C743" s="7">
        <f ca="1">IFERROR(__xludf.DUMMYFUNCTION("""COMPUTED_VALUE"""),43836.6458333333)</f>
        <v>43836.645833333299</v>
      </c>
      <c r="D743">
        <v>8076.85</v>
      </c>
      <c r="E743">
        <v>8085.5</v>
      </c>
      <c r="F743">
        <v>7943.15</v>
      </c>
      <c r="G743">
        <v>7987.35</v>
      </c>
      <c r="H743">
        <v>0</v>
      </c>
      <c r="I743" s="8">
        <f t="shared" si="45"/>
        <v>-1.5360055227164771E-2</v>
      </c>
      <c r="J743" s="8">
        <f t="shared" si="46"/>
        <v>-1.5479242937148622E-2</v>
      </c>
      <c r="K743" s="8">
        <f t="shared" si="43"/>
        <v>0.11727596360304671</v>
      </c>
    </row>
    <row r="744" spans="1:11" x14ac:dyDescent="0.25">
      <c r="A744" t="str">
        <f t="shared" si="44"/>
        <v>12020</v>
      </c>
      <c r="B744" s="1">
        <v>43837</v>
      </c>
      <c r="C744" s="7">
        <f ca="1">IFERROR(__xludf.DUMMYFUNCTION("""COMPUTED_VALUE"""),43837.6458333333)</f>
        <v>43837.645833333299</v>
      </c>
      <c r="D744">
        <v>8014.1</v>
      </c>
      <c r="E744">
        <v>8087.65</v>
      </c>
      <c r="F744">
        <v>7973.95</v>
      </c>
      <c r="G744">
        <v>8036.5</v>
      </c>
      <c r="H744">
        <v>0</v>
      </c>
      <c r="I744" s="8">
        <f t="shared" si="45"/>
        <v>6.1534801905511749E-3</v>
      </c>
      <c r="J744" s="8">
        <f t="shared" si="46"/>
        <v>6.1346248424623941E-3</v>
      </c>
      <c r="K744" s="8">
        <f t="shared" si="43"/>
        <v>0.11068881640776151</v>
      </c>
    </row>
    <row r="745" spans="1:11" x14ac:dyDescent="0.25">
      <c r="A745" t="str">
        <f t="shared" si="44"/>
        <v>12020</v>
      </c>
      <c r="B745" s="1">
        <v>43838</v>
      </c>
      <c r="C745" s="7">
        <f ca="1">IFERROR(__xludf.DUMMYFUNCTION("""COMPUTED_VALUE"""),43838.6458333333)</f>
        <v>43838.645833333299</v>
      </c>
      <c r="D745">
        <v>7975.7</v>
      </c>
      <c r="E745">
        <v>8041.6</v>
      </c>
      <c r="F745">
        <v>7960.05</v>
      </c>
      <c r="G745">
        <v>7996.15</v>
      </c>
      <c r="H745">
        <v>0</v>
      </c>
      <c r="I745" s="8">
        <f t="shared" si="45"/>
        <v>-5.0208424065203427E-3</v>
      </c>
      <c r="J745" s="8">
        <f t="shared" si="46"/>
        <v>-5.0334891851702302E-3</v>
      </c>
      <c r="K745" s="8">
        <f t="shared" si="43"/>
        <v>0.10511222289789357</v>
      </c>
    </row>
    <row r="746" spans="1:11" x14ac:dyDescent="0.25">
      <c r="A746" t="str">
        <f t="shared" si="44"/>
        <v>12020</v>
      </c>
      <c r="B746" s="1">
        <v>43839</v>
      </c>
      <c r="C746" s="7">
        <f ca="1">IFERROR(__xludf.DUMMYFUNCTION("""COMPUTED_VALUE"""),43839.6458333333)</f>
        <v>43839.645833333299</v>
      </c>
      <c r="D746">
        <v>8057.8</v>
      </c>
      <c r="E746">
        <v>8090.95</v>
      </c>
      <c r="F746">
        <v>8015.15</v>
      </c>
      <c r="G746">
        <v>8033.15</v>
      </c>
      <c r="H746">
        <v>0</v>
      </c>
      <c r="I746" s="8">
        <f t="shared" si="45"/>
        <v>4.6272268529230498E-3</v>
      </c>
      <c r="J746" s="8">
        <f t="shared" si="46"/>
        <v>4.6165541494315575E-3</v>
      </c>
      <c r="K746" s="8">
        <f t="shared" si="43"/>
        <v>0.10368965919941742</v>
      </c>
    </row>
    <row r="747" spans="1:11" x14ac:dyDescent="0.25">
      <c r="A747" t="str">
        <f t="shared" si="44"/>
        <v>12020</v>
      </c>
      <c r="B747" s="1">
        <v>43840</v>
      </c>
      <c r="C747" s="7">
        <f ca="1">IFERROR(__xludf.DUMMYFUNCTION("""COMPUTED_VALUE"""),43840.6458333333)</f>
        <v>43840.645833333299</v>
      </c>
      <c r="D747">
        <v>8048.55</v>
      </c>
      <c r="E747">
        <v>8171.2</v>
      </c>
      <c r="F747">
        <v>8044.35</v>
      </c>
      <c r="G747">
        <v>8058.5</v>
      </c>
      <c r="H747">
        <v>0</v>
      </c>
      <c r="I747" s="8">
        <f t="shared" si="45"/>
        <v>3.1556736772000438E-3</v>
      </c>
      <c r="J747" s="8">
        <f t="shared" si="46"/>
        <v>3.1507049893156874E-3</v>
      </c>
      <c r="K747" s="8">
        <f t="shared" si="43"/>
        <v>9.4652050477471272E-2</v>
      </c>
    </row>
    <row r="748" spans="1:11" x14ac:dyDescent="0.25">
      <c r="A748" t="str">
        <f t="shared" si="44"/>
        <v>12020</v>
      </c>
      <c r="B748" s="1">
        <v>43843</v>
      </c>
      <c r="C748" s="7">
        <f ca="1">IFERROR(__xludf.DUMMYFUNCTION("""COMPUTED_VALUE"""),43843.6458333333)</f>
        <v>43843.645833333299</v>
      </c>
      <c r="D748">
        <v>8082.3</v>
      </c>
      <c r="E748">
        <v>8141.3</v>
      </c>
      <c r="F748">
        <v>8042.65</v>
      </c>
      <c r="G748">
        <v>8078.45</v>
      </c>
      <c r="H748">
        <v>0</v>
      </c>
      <c r="I748" s="8">
        <f t="shared" si="45"/>
        <v>2.4756468325370928E-3</v>
      </c>
      <c r="J748" s="8">
        <f t="shared" si="46"/>
        <v>2.4725874671492109E-3</v>
      </c>
      <c r="K748" s="8">
        <f t="shared" si="43"/>
        <v>8.8644525749091985E-2</v>
      </c>
    </row>
    <row r="749" spans="1:11" x14ac:dyDescent="0.25">
      <c r="A749" t="str">
        <f t="shared" si="44"/>
        <v>12020</v>
      </c>
      <c r="B749" s="1">
        <v>43844</v>
      </c>
      <c r="C749" s="7">
        <f ca="1">IFERROR(__xludf.DUMMYFUNCTION("""COMPUTED_VALUE"""),43844.6458333333)</f>
        <v>43844.645833333299</v>
      </c>
      <c r="D749">
        <v>8104.15</v>
      </c>
      <c r="E749">
        <v>8136.4</v>
      </c>
      <c r="F749">
        <v>8081.3</v>
      </c>
      <c r="G749">
        <v>8117</v>
      </c>
      <c r="H749">
        <v>0</v>
      </c>
      <c r="I749" s="8">
        <f t="shared" si="45"/>
        <v>4.7719550161231528E-3</v>
      </c>
      <c r="J749" s="8">
        <f t="shared" si="46"/>
        <v>4.7606053312537295E-3</v>
      </c>
      <c r="K749" s="8">
        <f t="shared" si="43"/>
        <v>8.5835445831967672E-2</v>
      </c>
    </row>
    <row r="750" spans="1:11" x14ac:dyDescent="0.25">
      <c r="A750" t="str">
        <f t="shared" si="44"/>
        <v>12020</v>
      </c>
      <c r="B750" s="1">
        <v>43845</v>
      </c>
      <c r="C750" s="7">
        <f ca="1">IFERROR(__xludf.DUMMYFUNCTION("""COMPUTED_VALUE"""),43845.6458333333)</f>
        <v>43845.645833333299</v>
      </c>
      <c r="D750">
        <v>8135.75</v>
      </c>
      <c r="E750">
        <v>8178.85</v>
      </c>
      <c r="F750">
        <v>8080.35</v>
      </c>
      <c r="G750">
        <v>8166.2</v>
      </c>
      <c r="H750">
        <v>0</v>
      </c>
      <c r="I750" s="8">
        <f t="shared" si="45"/>
        <v>6.0613527165207515E-3</v>
      </c>
      <c r="J750" s="8">
        <f t="shared" si="46"/>
        <v>6.0430566136747176E-3</v>
      </c>
      <c r="K750" s="8">
        <f t="shared" si="43"/>
        <v>8.3992062069835116E-2</v>
      </c>
    </row>
    <row r="751" spans="1:11" x14ac:dyDescent="0.25">
      <c r="A751" t="str">
        <f t="shared" si="44"/>
        <v>12020</v>
      </c>
      <c r="B751" s="1">
        <v>43846</v>
      </c>
      <c r="C751" s="7">
        <f ca="1">IFERROR(__xludf.DUMMYFUNCTION("""COMPUTED_VALUE"""),43846.6458333333)</f>
        <v>43846.645833333299</v>
      </c>
      <c r="D751">
        <v>8188.05</v>
      </c>
      <c r="E751">
        <v>8223.85</v>
      </c>
      <c r="F751">
        <v>8175.35</v>
      </c>
      <c r="G751">
        <v>8203.1</v>
      </c>
      <c r="H751">
        <v>0</v>
      </c>
      <c r="I751" s="8">
        <f t="shared" si="45"/>
        <v>4.5186255541134202E-3</v>
      </c>
      <c r="J751" s="8">
        <f t="shared" si="46"/>
        <v>4.5084472155469011E-3</v>
      </c>
      <c r="K751" s="8">
        <f t="shared" si="43"/>
        <v>7.8199036559479129E-2</v>
      </c>
    </row>
    <row r="752" spans="1:11" x14ac:dyDescent="0.25">
      <c r="A752" t="str">
        <f t="shared" si="44"/>
        <v>12020</v>
      </c>
      <c r="B752" s="1">
        <v>43847</v>
      </c>
      <c r="C752" s="7">
        <f ca="1">IFERROR(__xludf.DUMMYFUNCTION("""COMPUTED_VALUE"""),43847.6458333333)</f>
        <v>43847.645833333299</v>
      </c>
      <c r="D752">
        <v>8208.2999999999993</v>
      </c>
      <c r="E752">
        <v>8371.6</v>
      </c>
      <c r="F752">
        <v>8200</v>
      </c>
      <c r="G752">
        <v>8345.2999999999993</v>
      </c>
      <c r="H752">
        <v>0</v>
      </c>
      <c r="I752" s="8">
        <f t="shared" si="45"/>
        <v>1.7334909973058865E-2</v>
      </c>
      <c r="J752" s="8">
        <f t="shared" si="46"/>
        <v>1.7186374529825469E-2</v>
      </c>
      <c r="K752" s="8">
        <f t="shared" si="43"/>
        <v>7.7348101960328597E-2</v>
      </c>
    </row>
    <row r="753" spans="1:11" x14ac:dyDescent="0.25">
      <c r="A753" t="str">
        <f t="shared" si="44"/>
        <v>12020</v>
      </c>
      <c r="B753" s="1">
        <v>43850</v>
      </c>
      <c r="C753" s="7">
        <f ca="1">IFERROR(__xludf.DUMMYFUNCTION("""COMPUTED_VALUE"""),43850.6458333333)</f>
        <v>43850.645833333299</v>
      </c>
      <c r="D753">
        <v>8353.7000000000007</v>
      </c>
      <c r="E753">
        <v>8375.2000000000007</v>
      </c>
      <c r="F753">
        <v>8251</v>
      </c>
      <c r="G753">
        <v>8269.35</v>
      </c>
      <c r="H753">
        <v>0</v>
      </c>
      <c r="I753" s="8">
        <f t="shared" si="45"/>
        <v>-9.1009310629933671E-3</v>
      </c>
      <c r="J753" s="8">
        <f t="shared" si="46"/>
        <v>-9.1425975312008252E-3</v>
      </c>
      <c r="K753" s="8">
        <f t="shared" si="43"/>
        <v>6.5383896880254033E-2</v>
      </c>
    </row>
    <row r="754" spans="1:11" x14ac:dyDescent="0.25">
      <c r="A754" t="str">
        <f t="shared" si="44"/>
        <v>12020</v>
      </c>
      <c r="B754" s="1">
        <v>43851</v>
      </c>
      <c r="C754" s="7">
        <f ca="1">IFERROR(__xludf.DUMMYFUNCTION("""COMPUTED_VALUE"""),43851.6458333333)</f>
        <v>43851.645833333299</v>
      </c>
      <c r="D754">
        <v>8249.15</v>
      </c>
      <c r="E754">
        <v>8313.4500000000007</v>
      </c>
      <c r="F754">
        <v>8214.5499999999993</v>
      </c>
      <c r="G754">
        <v>8274.2000000000007</v>
      </c>
      <c r="H754">
        <v>0</v>
      </c>
      <c r="I754" s="8">
        <f t="shared" si="45"/>
        <v>5.8650317134967267E-4</v>
      </c>
      <c r="J754" s="8">
        <f t="shared" si="46"/>
        <v>5.8633124558472415E-4</v>
      </c>
      <c r="K754" s="8">
        <f t="shared" si="43"/>
        <v>7.0657272439070384E-2</v>
      </c>
    </row>
    <row r="755" spans="1:11" x14ac:dyDescent="0.25">
      <c r="A755" t="str">
        <f t="shared" si="44"/>
        <v>12020</v>
      </c>
      <c r="B755" s="1">
        <v>43852</v>
      </c>
      <c r="C755" s="7">
        <f ca="1">IFERROR(__xludf.DUMMYFUNCTION("""COMPUTED_VALUE"""),43852.6458333333)</f>
        <v>43852.645833333299</v>
      </c>
      <c r="D755">
        <v>8295</v>
      </c>
      <c r="E755">
        <v>8372.2999999999993</v>
      </c>
      <c r="F755">
        <v>8245.4500000000007</v>
      </c>
      <c r="G755">
        <v>8256.65</v>
      </c>
      <c r="H755">
        <v>0</v>
      </c>
      <c r="I755" s="8">
        <f t="shared" si="45"/>
        <v>-2.1210509777381814E-3</v>
      </c>
      <c r="J755" s="8">
        <f t="shared" si="46"/>
        <v>-2.1233035922003166E-3</v>
      </c>
      <c r="K755" s="8">
        <f t="shared" si="43"/>
        <v>6.7226347661425212E-2</v>
      </c>
    </row>
    <row r="756" spans="1:11" x14ac:dyDescent="0.25">
      <c r="A756" t="str">
        <f t="shared" si="44"/>
        <v>12020</v>
      </c>
      <c r="B756" s="1">
        <v>43853</v>
      </c>
      <c r="C756" s="7">
        <f ca="1">IFERROR(__xludf.DUMMYFUNCTION("""COMPUTED_VALUE"""),43853.6458333333)</f>
        <v>43853.645833333299</v>
      </c>
      <c r="D756">
        <v>8245.9500000000007</v>
      </c>
      <c r="E756">
        <v>8322.4500000000007</v>
      </c>
      <c r="F756">
        <v>8208.5499999999993</v>
      </c>
      <c r="G756">
        <v>8300.2000000000007</v>
      </c>
      <c r="H756">
        <v>0</v>
      </c>
      <c r="I756" s="8">
        <f t="shared" si="45"/>
        <v>5.2745362828752196E-3</v>
      </c>
      <c r="J756" s="8">
        <f t="shared" si="46"/>
        <v>5.2606746375120318E-3</v>
      </c>
      <c r="K756" s="8">
        <f t="shared" si="43"/>
        <v>7.1885633850107489E-2</v>
      </c>
    </row>
    <row r="757" spans="1:11" x14ac:dyDescent="0.25">
      <c r="A757" t="str">
        <f t="shared" si="44"/>
        <v>12020</v>
      </c>
      <c r="B757" s="1">
        <v>43854</v>
      </c>
      <c r="C757" s="7">
        <f ca="1">IFERROR(__xludf.DUMMYFUNCTION("""COMPUTED_VALUE"""),43854.6458333333)</f>
        <v>43854.645833333299</v>
      </c>
      <c r="D757">
        <v>8291.75</v>
      </c>
      <c r="E757">
        <v>8349.25</v>
      </c>
      <c r="F757">
        <v>8273.9500000000007</v>
      </c>
      <c r="G757">
        <v>8294.0499999999993</v>
      </c>
      <c r="H757">
        <v>0</v>
      </c>
      <c r="I757" s="8">
        <f t="shared" si="45"/>
        <v>-7.4094600130136801E-4</v>
      </c>
      <c r="J757" s="8">
        <f t="shared" si="46"/>
        <v>-7.4122063745854494E-4</v>
      </c>
      <c r="K757" s="8">
        <f t="shared" si="43"/>
        <v>5.9996677146435529E-2</v>
      </c>
    </row>
    <row r="758" spans="1:11" x14ac:dyDescent="0.25">
      <c r="A758" t="str">
        <f t="shared" si="44"/>
        <v>12020</v>
      </c>
      <c r="B758" s="1">
        <v>43857</v>
      </c>
      <c r="C758" s="7">
        <f ca="1">IFERROR(__xludf.DUMMYFUNCTION("""COMPUTED_VALUE"""),43857.6458333333)</f>
        <v>43857.645833333299</v>
      </c>
      <c r="D758">
        <v>8270.0499999999993</v>
      </c>
      <c r="E758">
        <v>8471.7999999999993</v>
      </c>
      <c r="F758">
        <v>8240.1</v>
      </c>
      <c r="G758">
        <v>8416.35</v>
      </c>
      <c r="H758">
        <v>0</v>
      </c>
      <c r="I758" s="8">
        <f t="shared" si="45"/>
        <v>1.47455103357228E-2</v>
      </c>
      <c r="J758" s="8">
        <f t="shared" si="46"/>
        <v>1.463785232276878E-2</v>
      </c>
      <c r="K758" s="8">
        <f t="shared" si="43"/>
        <v>7.6349057146693822E-2</v>
      </c>
    </row>
    <row r="759" spans="1:11" x14ac:dyDescent="0.25">
      <c r="A759" t="str">
        <f t="shared" si="44"/>
        <v>12020</v>
      </c>
      <c r="B759" s="1">
        <v>43858</v>
      </c>
      <c r="C759" s="7">
        <f ca="1">IFERROR(__xludf.DUMMYFUNCTION("""COMPUTED_VALUE"""),43858.6458333333)</f>
        <v>43858.645833333299</v>
      </c>
      <c r="D759">
        <v>8427.7999999999993</v>
      </c>
      <c r="E759">
        <v>8513.15</v>
      </c>
      <c r="F759">
        <v>8395.65</v>
      </c>
      <c r="G759">
        <v>8420.25</v>
      </c>
      <c r="H759">
        <v>0</v>
      </c>
      <c r="I759" s="8">
        <f t="shared" si="45"/>
        <v>4.6338377087451477E-4</v>
      </c>
      <c r="J759" s="8">
        <f t="shared" si="46"/>
        <v>4.6327644177005656E-4</v>
      </c>
      <c r="K759" s="8">
        <f t="shared" si="43"/>
        <v>6.8810571009691346E-2</v>
      </c>
    </row>
    <row r="760" spans="1:11" x14ac:dyDescent="0.25">
      <c r="A760" t="str">
        <f t="shared" si="44"/>
        <v>12020</v>
      </c>
      <c r="B760" s="1">
        <v>43859</v>
      </c>
      <c r="C760" s="7">
        <f ca="1">IFERROR(__xludf.DUMMYFUNCTION("""COMPUTED_VALUE"""),43859.6458333333)</f>
        <v>43859.645833333299</v>
      </c>
      <c r="D760">
        <v>8446.2000000000007</v>
      </c>
      <c r="E760">
        <v>8492.4500000000007</v>
      </c>
      <c r="F760">
        <v>8361.25</v>
      </c>
      <c r="G760">
        <v>8412.7999999999993</v>
      </c>
      <c r="H760">
        <v>0</v>
      </c>
      <c r="I760" s="8">
        <f t="shared" si="45"/>
        <v>-8.8477182981516744E-4</v>
      </c>
      <c r="J760" s="8">
        <f t="shared" si="46"/>
        <v>-8.8516347143660797E-4</v>
      </c>
      <c r="K760" s="8">
        <f t="shared" si="43"/>
        <v>5.8287051305436099E-2</v>
      </c>
    </row>
    <row r="761" spans="1:11" x14ac:dyDescent="0.25">
      <c r="A761" t="str">
        <f t="shared" si="44"/>
        <v>12020</v>
      </c>
      <c r="B761" s="1">
        <v>43860</v>
      </c>
      <c r="C761" s="7">
        <f ca="1">IFERROR(__xludf.DUMMYFUNCTION("""COMPUTED_VALUE"""),43860.6458333333)</f>
        <v>43860.645833333299</v>
      </c>
      <c r="D761">
        <v>8426.25</v>
      </c>
      <c r="E761">
        <v>8438.2000000000007</v>
      </c>
      <c r="F761">
        <v>8207.6</v>
      </c>
      <c r="G761">
        <v>8237.0499999999993</v>
      </c>
      <c r="H761">
        <v>0</v>
      </c>
      <c r="I761" s="8">
        <f t="shared" si="45"/>
        <v>-2.089078546976042E-2</v>
      </c>
      <c r="J761" s="8">
        <f t="shared" si="46"/>
        <v>-2.1112085441557977E-2</v>
      </c>
      <c r="K761" s="8">
        <f t="shared" si="43"/>
        <v>3.3915537508550919E-2</v>
      </c>
    </row>
    <row r="762" spans="1:11" x14ac:dyDescent="0.25">
      <c r="A762" t="str">
        <f t="shared" si="44"/>
        <v>12020</v>
      </c>
      <c r="B762" s="1">
        <v>43861</v>
      </c>
      <c r="C762" s="7">
        <f ca="1">IFERROR(__xludf.DUMMYFUNCTION("""COMPUTED_VALUE"""),43861.6458333333)</f>
        <v>43861.645833333299</v>
      </c>
      <c r="D762">
        <v>8256.2000000000007</v>
      </c>
      <c r="E762">
        <v>8299.35</v>
      </c>
      <c r="F762">
        <v>8122.95</v>
      </c>
      <c r="G762">
        <v>8138.6</v>
      </c>
      <c r="H762">
        <v>0</v>
      </c>
      <c r="I762" s="8">
        <f t="shared" si="45"/>
        <v>-1.1952094499851129E-2</v>
      </c>
      <c r="J762" s="8">
        <f t="shared" si="46"/>
        <v>-1.2024095061413897E-2</v>
      </c>
      <c r="K762" s="8">
        <f t="shared" si="43"/>
        <v>3.2876242932654787E-2</v>
      </c>
    </row>
    <row r="763" spans="1:11" x14ac:dyDescent="0.25">
      <c r="A763" t="str">
        <f t="shared" si="44"/>
        <v>22020</v>
      </c>
      <c r="B763" s="1">
        <v>43862</v>
      </c>
      <c r="C763" s="7">
        <f ca="1">IFERROR(__xludf.DUMMYFUNCTION("""COMPUTED_VALUE"""),43862.7083333333)</f>
        <v>43862.708333333299</v>
      </c>
      <c r="D763">
        <v>8129.3</v>
      </c>
      <c r="E763">
        <v>8209.85</v>
      </c>
      <c r="F763">
        <v>7975.9</v>
      </c>
      <c r="G763">
        <v>7990.5</v>
      </c>
      <c r="H763">
        <v>0</v>
      </c>
      <c r="I763" s="8">
        <f t="shared" si="45"/>
        <v>-1.819723293932618E-2</v>
      </c>
      <c r="J763" s="8">
        <f t="shared" si="46"/>
        <v>-1.8364839007426585E-2</v>
      </c>
      <c r="K763" s="8">
        <f t="shared" si="43"/>
        <v>8.0932585616328989E-3</v>
      </c>
    </row>
    <row r="764" spans="1:11" x14ac:dyDescent="0.25">
      <c r="A764" t="str">
        <f t="shared" si="44"/>
        <v>22020</v>
      </c>
      <c r="B764" s="1">
        <v>43864</v>
      </c>
      <c r="C764" s="7">
        <f ca="1">IFERROR(__xludf.DUMMYFUNCTION("""COMPUTED_VALUE"""),43864.6458333333)</f>
        <v>43864.645833333299</v>
      </c>
      <c r="D764">
        <v>8020.95</v>
      </c>
      <c r="E764">
        <v>8122</v>
      </c>
      <c r="F764">
        <v>7944.9</v>
      </c>
      <c r="G764">
        <v>7967.55</v>
      </c>
      <c r="H764">
        <v>0</v>
      </c>
      <c r="I764" s="8">
        <f t="shared" si="45"/>
        <v>-2.8721606908203023E-3</v>
      </c>
      <c r="J764" s="8">
        <f t="shared" si="46"/>
        <v>-2.8762932591676633E-3</v>
      </c>
      <c r="K764" s="8">
        <f t="shared" si="43"/>
        <v>1.9457695204616599E-4</v>
      </c>
    </row>
    <row r="765" spans="1:11" x14ac:dyDescent="0.25">
      <c r="A765" t="str">
        <f t="shared" si="44"/>
        <v>22020</v>
      </c>
      <c r="B765" s="1">
        <v>43865</v>
      </c>
      <c r="C765" s="7">
        <f ca="1">IFERROR(__xludf.DUMMYFUNCTION("""COMPUTED_VALUE"""),43865.6458333333)</f>
        <v>43865.645833333299</v>
      </c>
      <c r="D765">
        <v>8002.65</v>
      </c>
      <c r="E765">
        <v>8166.8</v>
      </c>
      <c r="F765">
        <v>7967.8</v>
      </c>
      <c r="G765">
        <v>8122.4</v>
      </c>
      <c r="H765">
        <v>0</v>
      </c>
      <c r="I765" s="8">
        <f t="shared" si="45"/>
        <v>1.9435083557680866E-2</v>
      </c>
      <c r="J765" s="8">
        <f t="shared" si="46"/>
        <v>1.9248634221017153E-2</v>
      </c>
      <c r="K765" s="8">
        <f t="shared" si="43"/>
        <v>4.3018208901558941E-2</v>
      </c>
    </row>
    <row r="766" spans="1:11" x14ac:dyDescent="0.25">
      <c r="A766" t="str">
        <f t="shared" si="44"/>
        <v>22020</v>
      </c>
      <c r="B766" s="1">
        <v>43866</v>
      </c>
      <c r="C766" s="7">
        <f ca="1">IFERROR(__xludf.DUMMYFUNCTION("""COMPUTED_VALUE"""),43866.6458333333)</f>
        <v>43866.645833333299</v>
      </c>
      <c r="D766">
        <v>8151.2</v>
      </c>
      <c r="E766">
        <v>8185</v>
      </c>
      <c r="F766">
        <v>8091.6</v>
      </c>
      <c r="G766">
        <v>8125.6</v>
      </c>
      <c r="H766">
        <v>0</v>
      </c>
      <c r="I766" s="8">
        <f t="shared" si="45"/>
        <v>3.939722249581834E-4</v>
      </c>
      <c r="J766" s="8">
        <f t="shared" si="46"/>
        <v>3.9389463827849315E-4</v>
      </c>
      <c r="K766" s="8">
        <f t="shared" si="43"/>
        <v>4.376421020180099E-2</v>
      </c>
    </row>
    <row r="767" spans="1:11" x14ac:dyDescent="0.25">
      <c r="A767" t="str">
        <f t="shared" si="44"/>
        <v>22020</v>
      </c>
      <c r="B767" s="1">
        <v>43867</v>
      </c>
      <c r="C767" s="7">
        <f ca="1">IFERROR(__xludf.DUMMYFUNCTION("""COMPUTED_VALUE"""),43867.6458333333)</f>
        <v>43867.645833333299</v>
      </c>
      <c r="D767">
        <v>8194</v>
      </c>
      <c r="E767">
        <v>8281.25</v>
      </c>
      <c r="F767">
        <v>8176.6</v>
      </c>
      <c r="G767">
        <v>8227.9</v>
      </c>
      <c r="H767">
        <v>0</v>
      </c>
      <c r="I767" s="8">
        <f t="shared" si="45"/>
        <v>1.2589839519543178E-2</v>
      </c>
      <c r="J767" s="8">
        <f t="shared" si="46"/>
        <v>1.2511246451921247E-2</v>
      </c>
      <c r="K767" s="8">
        <f t="shared" si="43"/>
        <v>7.4075282783648388E-2</v>
      </c>
    </row>
    <row r="768" spans="1:11" x14ac:dyDescent="0.25">
      <c r="A768" t="str">
        <f t="shared" si="44"/>
        <v>22020</v>
      </c>
      <c r="B768" s="1">
        <v>43868</v>
      </c>
      <c r="C768" s="7">
        <f ca="1">IFERROR(__xludf.DUMMYFUNCTION("""COMPUTED_VALUE"""),43868.6458333333)</f>
        <v>43868.645833333299</v>
      </c>
      <c r="D768">
        <v>8243.0499999999993</v>
      </c>
      <c r="E768">
        <v>8363.2999999999993</v>
      </c>
      <c r="F768">
        <v>8180.05</v>
      </c>
      <c r="G768">
        <v>8341.85</v>
      </c>
      <c r="H768">
        <v>0</v>
      </c>
      <c r="I768" s="8">
        <f t="shared" si="45"/>
        <v>1.3849220335687251E-2</v>
      </c>
      <c r="J768" s="8">
        <f t="shared" si="46"/>
        <v>1.3754196218563977E-2</v>
      </c>
      <c r="K768" s="8">
        <f t="shared" ref="K768:K831" si="47">+G768/G707-1</f>
        <v>9.8848046157190117E-2</v>
      </c>
    </row>
    <row r="769" spans="1:11" x14ac:dyDescent="0.25">
      <c r="A769" t="str">
        <f t="shared" si="44"/>
        <v>22020</v>
      </c>
      <c r="B769" s="1">
        <v>43871</v>
      </c>
      <c r="C769" s="7">
        <f ca="1">IFERROR(__xludf.DUMMYFUNCTION("""COMPUTED_VALUE"""),43871.6458333333)</f>
        <v>43871.645833333299</v>
      </c>
      <c r="D769">
        <v>8340.15</v>
      </c>
      <c r="E769">
        <v>8371.2000000000007</v>
      </c>
      <c r="F769">
        <v>8235</v>
      </c>
      <c r="G769">
        <v>8261.25</v>
      </c>
      <c r="H769">
        <v>0</v>
      </c>
      <c r="I769" s="8">
        <f t="shared" si="45"/>
        <v>-9.6621253079353098E-3</v>
      </c>
      <c r="J769" s="8">
        <f t="shared" si="46"/>
        <v>-9.7091065111139276E-3</v>
      </c>
      <c r="K769" s="8">
        <f t="shared" si="47"/>
        <v>7.0026940911328106E-2</v>
      </c>
    </row>
    <row r="770" spans="1:11" x14ac:dyDescent="0.25">
      <c r="A770" t="str">
        <f t="shared" si="44"/>
        <v>22020</v>
      </c>
      <c r="B770" s="1">
        <v>43872</v>
      </c>
      <c r="C770" s="7">
        <f ca="1">IFERROR(__xludf.DUMMYFUNCTION("""COMPUTED_VALUE"""),43872.6458333333)</f>
        <v>43872.645833333299</v>
      </c>
      <c r="D770">
        <v>8303.2999999999993</v>
      </c>
      <c r="E770">
        <v>8359.5</v>
      </c>
      <c r="F770">
        <v>8280.9500000000007</v>
      </c>
      <c r="G770">
        <v>8324.65</v>
      </c>
      <c r="H770">
        <v>0</v>
      </c>
      <c r="I770" s="8">
        <f t="shared" si="45"/>
        <v>7.6743834165531322E-3</v>
      </c>
      <c r="J770" s="8">
        <f t="shared" si="46"/>
        <v>7.6450851381484903E-3</v>
      </c>
      <c r="K770" s="8">
        <f t="shared" si="47"/>
        <v>6.5003102391720136E-2</v>
      </c>
    </row>
    <row r="771" spans="1:11" x14ac:dyDescent="0.25">
      <c r="A771" t="str">
        <f t="shared" ref="A771:A834" si="48">+MONTH(B771)&amp;YEAR(B771)</f>
        <v>22020</v>
      </c>
      <c r="B771" s="1">
        <v>43873</v>
      </c>
      <c r="C771" s="7">
        <f ca="1">IFERROR(__xludf.DUMMYFUNCTION("""COMPUTED_VALUE"""),43873.6458333333)</f>
        <v>43873.645833333299</v>
      </c>
      <c r="D771">
        <v>8341.7000000000007</v>
      </c>
      <c r="E771">
        <v>8375</v>
      </c>
      <c r="F771">
        <v>8238.9500000000007</v>
      </c>
      <c r="G771">
        <v>8265.0499999999993</v>
      </c>
      <c r="H771">
        <v>0</v>
      </c>
      <c r="I771" s="8">
        <f t="shared" si="45"/>
        <v>-7.1594601574841432E-3</v>
      </c>
      <c r="J771" s="8">
        <f t="shared" si="46"/>
        <v>-7.1852120792098434E-3</v>
      </c>
      <c r="K771" s="8">
        <f t="shared" si="47"/>
        <v>5.2678167726980307E-2</v>
      </c>
    </row>
    <row r="772" spans="1:11" x14ac:dyDescent="0.25">
      <c r="A772" t="str">
        <f t="shared" si="48"/>
        <v>22020</v>
      </c>
      <c r="B772" s="1">
        <v>43874</v>
      </c>
      <c r="C772" s="7">
        <f ca="1">IFERROR(__xludf.DUMMYFUNCTION("""COMPUTED_VALUE"""),43874.6458333333)</f>
        <v>43874.645833333299</v>
      </c>
      <c r="D772">
        <v>8292</v>
      </c>
      <c r="E772">
        <v>8351.5499999999993</v>
      </c>
      <c r="F772">
        <v>8246.9500000000007</v>
      </c>
      <c r="G772">
        <v>8335.7000000000007</v>
      </c>
      <c r="H772">
        <v>0</v>
      </c>
      <c r="I772" s="8">
        <f t="shared" ref="I772:I835" si="49">+G772/G771-1</f>
        <v>8.5480426615691663E-3</v>
      </c>
      <c r="J772" s="8">
        <f t="shared" ref="J772:J835" si="50">+LN(1+I772)</f>
        <v>8.5117150182608715E-3</v>
      </c>
      <c r="K772" s="8">
        <f t="shared" si="47"/>
        <v>2.813409640337472E-2</v>
      </c>
    </row>
    <row r="773" spans="1:11" x14ac:dyDescent="0.25">
      <c r="A773" t="str">
        <f t="shared" si="48"/>
        <v>22020</v>
      </c>
      <c r="B773" s="1">
        <v>43875</v>
      </c>
      <c r="C773" s="7">
        <f ca="1">IFERROR(__xludf.DUMMYFUNCTION("""COMPUTED_VALUE"""),43875.6458333333)</f>
        <v>43875.645833333299</v>
      </c>
      <c r="D773">
        <v>8349.9</v>
      </c>
      <c r="E773">
        <v>8384.1</v>
      </c>
      <c r="F773">
        <v>8294.2000000000007</v>
      </c>
      <c r="G773">
        <v>8331.7000000000007</v>
      </c>
      <c r="H773">
        <v>0</v>
      </c>
      <c r="I773" s="8">
        <f t="shared" si="49"/>
        <v>-4.7986371870389899E-4</v>
      </c>
      <c r="J773" s="8">
        <f t="shared" si="50"/>
        <v>-4.7997889014403394E-4</v>
      </c>
      <c r="K773" s="8">
        <f t="shared" si="47"/>
        <v>3.2563096809374414E-2</v>
      </c>
    </row>
    <row r="774" spans="1:11" x14ac:dyDescent="0.25">
      <c r="A774" t="str">
        <f t="shared" si="48"/>
        <v>22020</v>
      </c>
      <c r="B774" s="1">
        <v>43878</v>
      </c>
      <c r="C774" s="7">
        <f ca="1">IFERROR(__xludf.DUMMYFUNCTION("""COMPUTED_VALUE"""),43878.6458333333)</f>
        <v>43878.645833333299</v>
      </c>
      <c r="D774">
        <v>8342.6</v>
      </c>
      <c r="E774">
        <v>8377.35</v>
      </c>
      <c r="F774">
        <v>8193.6</v>
      </c>
      <c r="G774">
        <v>8204.85</v>
      </c>
      <c r="H774">
        <v>0</v>
      </c>
      <c r="I774" s="8">
        <f t="shared" si="49"/>
        <v>-1.5224984096882999E-2</v>
      </c>
      <c r="J774" s="8">
        <f t="shared" si="50"/>
        <v>-1.5342074150284938E-2</v>
      </c>
      <c r="K774" s="8">
        <f t="shared" si="47"/>
        <v>1.7062921459738201E-2</v>
      </c>
    </row>
    <row r="775" spans="1:11" x14ac:dyDescent="0.25">
      <c r="A775" t="str">
        <f t="shared" si="48"/>
        <v>22020</v>
      </c>
      <c r="B775" s="1">
        <v>43879</v>
      </c>
      <c r="C775" s="7">
        <f ca="1">IFERROR(__xludf.DUMMYFUNCTION("""COMPUTED_VALUE"""),43879.6458333333)</f>
        <v>43879.645833333299</v>
      </c>
      <c r="D775">
        <v>8190.85</v>
      </c>
      <c r="E775">
        <v>8213</v>
      </c>
      <c r="F775">
        <v>8068.2</v>
      </c>
      <c r="G775">
        <v>8198.2999999999993</v>
      </c>
      <c r="H775">
        <v>0</v>
      </c>
      <c r="I775" s="8">
        <f t="shared" si="49"/>
        <v>-7.9830831764149401E-4</v>
      </c>
      <c r="J775" s="8">
        <f t="shared" si="50"/>
        <v>-7.9862713541438109E-4</v>
      </c>
      <c r="K775" s="8">
        <f t="shared" si="47"/>
        <v>-1.6135808708465094E-3</v>
      </c>
    </row>
    <row r="776" spans="1:11" x14ac:dyDescent="0.25">
      <c r="A776" t="str">
        <f t="shared" si="48"/>
        <v>22020</v>
      </c>
      <c r="B776" s="1">
        <v>43880</v>
      </c>
      <c r="C776" s="7">
        <f ca="1">IFERROR(__xludf.DUMMYFUNCTION("""COMPUTED_VALUE"""),43880.6458333333)</f>
        <v>43880.645833333299</v>
      </c>
      <c r="D776">
        <v>8277.4</v>
      </c>
      <c r="E776">
        <v>8390.4</v>
      </c>
      <c r="F776">
        <v>8276.15</v>
      </c>
      <c r="G776">
        <v>8378.65</v>
      </c>
      <c r="H776">
        <v>0</v>
      </c>
      <c r="I776" s="8">
        <f t="shared" si="49"/>
        <v>2.1998463096007725E-2</v>
      </c>
      <c r="J776" s="8">
        <f t="shared" si="50"/>
        <v>2.1759987960428651E-2</v>
      </c>
      <c r="K776" s="8">
        <f t="shared" si="47"/>
        <v>2.4554130975745325E-2</v>
      </c>
    </row>
    <row r="777" spans="1:11" x14ac:dyDescent="0.25">
      <c r="A777" t="str">
        <f t="shared" si="48"/>
        <v>22020</v>
      </c>
      <c r="B777" s="1">
        <v>43881</v>
      </c>
      <c r="C777" s="7">
        <f ca="1">IFERROR(__xludf.DUMMYFUNCTION("""COMPUTED_VALUE"""),43881.6458333333)</f>
        <v>43881.645833333299</v>
      </c>
      <c r="D777">
        <v>8401.5499999999993</v>
      </c>
      <c r="E777">
        <v>8473.7999999999993</v>
      </c>
      <c r="F777">
        <v>8348.75</v>
      </c>
      <c r="G777">
        <v>8364.35</v>
      </c>
      <c r="H777">
        <v>0</v>
      </c>
      <c r="I777" s="8">
        <f t="shared" si="49"/>
        <v>-1.7067188628239194E-3</v>
      </c>
      <c r="J777" s="8">
        <f t="shared" si="50"/>
        <v>-1.708176966747435E-3</v>
      </c>
      <c r="K777" s="8">
        <f t="shared" si="47"/>
        <v>1.4340112295509355E-2</v>
      </c>
    </row>
    <row r="778" spans="1:11" x14ac:dyDescent="0.25">
      <c r="A778" t="str">
        <f t="shared" si="48"/>
        <v>22020</v>
      </c>
      <c r="B778" s="1">
        <v>43885</v>
      </c>
      <c r="C778" s="7">
        <f ca="1">IFERROR(__xludf.DUMMYFUNCTION("""COMPUTED_VALUE"""),43885.6458333333)</f>
        <v>43885.645833333299</v>
      </c>
      <c r="D778">
        <v>8275.9500000000007</v>
      </c>
      <c r="E778">
        <v>8281.9500000000007</v>
      </c>
      <c r="F778">
        <v>8086.65</v>
      </c>
      <c r="G778">
        <v>8115.55</v>
      </c>
      <c r="H778">
        <v>0</v>
      </c>
      <c r="I778" s="8">
        <f t="shared" si="49"/>
        <v>-2.9745288037922868E-2</v>
      </c>
      <c r="J778" s="8">
        <f t="shared" si="50"/>
        <v>-3.0196652303710918E-2</v>
      </c>
      <c r="K778" s="8">
        <f t="shared" si="47"/>
        <v>-1.9108857638406196E-2</v>
      </c>
    </row>
    <row r="779" spans="1:11" x14ac:dyDescent="0.25">
      <c r="A779" t="str">
        <f t="shared" si="48"/>
        <v>22020</v>
      </c>
      <c r="B779" s="1">
        <v>43886</v>
      </c>
      <c r="C779" s="7">
        <f ca="1">IFERROR(__xludf.DUMMYFUNCTION("""COMPUTED_VALUE"""),43886.6458333333)</f>
        <v>43886.645833333299</v>
      </c>
      <c r="D779">
        <v>8153.85</v>
      </c>
      <c r="E779">
        <v>8153.85</v>
      </c>
      <c r="F779">
        <v>7898.35</v>
      </c>
      <c r="G779">
        <v>7938.45</v>
      </c>
      <c r="H779">
        <v>0</v>
      </c>
      <c r="I779" s="8">
        <f t="shared" si="49"/>
        <v>-2.1822304095224676E-2</v>
      </c>
      <c r="J779" s="8">
        <f t="shared" si="50"/>
        <v>-2.206393229735475E-2</v>
      </c>
      <c r="K779" s="8">
        <f t="shared" si="47"/>
        <v>-3.070836818295597E-2</v>
      </c>
    </row>
    <row r="780" spans="1:11" x14ac:dyDescent="0.25">
      <c r="A780" t="str">
        <f t="shared" si="48"/>
        <v>22020</v>
      </c>
      <c r="B780" s="1">
        <v>43887</v>
      </c>
      <c r="C780" s="7">
        <f ca="1">IFERROR(__xludf.DUMMYFUNCTION("""COMPUTED_VALUE"""),43887.6458333333)</f>
        <v>43887.645833333299</v>
      </c>
      <c r="D780">
        <v>7886.35</v>
      </c>
      <c r="E780">
        <v>7931.7</v>
      </c>
      <c r="F780">
        <v>7813.95</v>
      </c>
      <c r="G780">
        <v>7839.2</v>
      </c>
      <c r="H780">
        <v>0</v>
      </c>
      <c r="I780" s="8">
        <f t="shared" si="49"/>
        <v>-1.2502440652772284E-2</v>
      </c>
      <c r="J780" s="8">
        <f t="shared" si="50"/>
        <v>-1.258125375702557E-2</v>
      </c>
      <c r="K780" s="8">
        <f t="shared" si="47"/>
        <v>-3.56442098918065E-2</v>
      </c>
    </row>
    <row r="781" spans="1:11" x14ac:dyDescent="0.25">
      <c r="A781" t="str">
        <f t="shared" si="48"/>
        <v>22020</v>
      </c>
      <c r="B781" s="1">
        <v>43888</v>
      </c>
      <c r="C781" s="7">
        <f ca="1">IFERROR(__xludf.DUMMYFUNCTION("""COMPUTED_VALUE"""),43888.6458333333)</f>
        <v>43888.645833333299</v>
      </c>
      <c r="D781">
        <v>7824.5</v>
      </c>
      <c r="E781">
        <v>7903.55</v>
      </c>
      <c r="F781">
        <v>7740.95</v>
      </c>
      <c r="G781">
        <v>7885.15</v>
      </c>
      <c r="H781">
        <v>0</v>
      </c>
      <c r="I781" s="8">
        <f t="shared" si="49"/>
        <v>5.8615675068884876E-3</v>
      </c>
      <c r="J781" s="8">
        <f t="shared" si="50"/>
        <v>5.8444553568564421E-3</v>
      </c>
      <c r="K781" s="8">
        <f t="shared" si="47"/>
        <v>-1.9851209158654348E-2</v>
      </c>
    </row>
    <row r="782" spans="1:11" x14ac:dyDescent="0.25">
      <c r="A782" t="str">
        <f t="shared" si="48"/>
        <v>22020</v>
      </c>
      <c r="B782" s="1">
        <v>43889</v>
      </c>
      <c r="C782" s="7">
        <f ca="1">IFERROR(__xludf.DUMMYFUNCTION("""COMPUTED_VALUE"""),43889.6458333333)</f>
        <v>43889.645833333299</v>
      </c>
      <c r="D782">
        <v>7751.45</v>
      </c>
      <c r="E782">
        <v>7786.6</v>
      </c>
      <c r="F782">
        <v>7559</v>
      </c>
      <c r="G782">
        <v>7576.75</v>
      </c>
      <c r="H782">
        <v>0</v>
      </c>
      <c r="I782" s="8">
        <f t="shared" si="49"/>
        <v>-3.9111494391355861E-2</v>
      </c>
      <c r="J782" s="8">
        <f t="shared" si="50"/>
        <v>-3.9896895880312547E-2</v>
      </c>
      <c r="K782" s="8">
        <f t="shared" si="47"/>
        <v>-6.707504771286088E-2</v>
      </c>
    </row>
    <row r="783" spans="1:11" x14ac:dyDescent="0.25">
      <c r="A783" t="str">
        <f t="shared" si="48"/>
        <v>32020</v>
      </c>
      <c r="B783" s="1">
        <v>43892</v>
      </c>
      <c r="C783" s="7">
        <f ca="1">IFERROR(__xludf.DUMMYFUNCTION("""COMPUTED_VALUE"""),43892.6458333333)</f>
        <v>43892.645833333299</v>
      </c>
      <c r="D783">
        <v>7675.55</v>
      </c>
      <c r="E783">
        <v>7768</v>
      </c>
      <c r="F783">
        <v>7463.05</v>
      </c>
      <c r="G783">
        <v>7535.1</v>
      </c>
      <c r="H783">
        <v>0</v>
      </c>
      <c r="I783" s="8">
        <f t="shared" si="49"/>
        <v>-5.4970798825353384E-3</v>
      </c>
      <c r="J783" s="8">
        <f t="shared" si="50"/>
        <v>-5.5122444254881936E-3</v>
      </c>
      <c r="K783" s="8">
        <f t="shared" si="47"/>
        <v>-6.4177797648987456E-2</v>
      </c>
    </row>
    <row r="784" spans="1:11" x14ac:dyDescent="0.25">
      <c r="A784" t="str">
        <f t="shared" si="48"/>
        <v>32020</v>
      </c>
      <c r="B784" s="1">
        <v>43893</v>
      </c>
      <c r="C784" s="7">
        <f ca="1">IFERROR(__xludf.DUMMYFUNCTION("""COMPUTED_VALUE"""),43893.6458333333)</f>
        <v>43893.645833333299</v>
      </c>
      <c r="D784">
        <v>7606.8</v>
      </c>
      <c r="E784">
        <v>7966.15</v>
      </c>
      <c r="F784">
        <v>7603.15</v>
      </c>
      <c r="G784">
        <v>7920.6</v>
      </c>
      <c r="H784">
        <v>0</v>
      </c>
      <c r="I784" s="8">
        <f t="shared" si="49"/>
        <v>5.1160568539236451E-2</v>
      </c>
      <c r="J784" s="8">
        <f t="shared" si="50"/>
        <v>4.9894857142104669E-2</v>
      </c>
      <c r="K784" s="8">
        <f t="shared" si="47"/>
        <v>-4.6433889827899311E-3</v>
      </c>
    </row>
    <row r="785" spans="1:11" x14ac:dyDescent="0.25">
      <c r="A785" t="str">
        <f t="shared" si="48"/>
        <v>32020</v>
      </c>
      <c r="B785" s="1">
        <v>43894</v>
      </c>
      <c r="C785" s="7">
        <f ca="1">IFERROR(__xludf.DUMMYFUNCTION("""COMPUTED_VALUE"""),43894.6458333333)</f>
        <v>43894.645833333299</v>
      </c>
      <c r="D785">
        <v>7970</v>
      </c>
      <c r="E785">
        <v>8131.85</v>
      </c>
      <c r="F785">
        <v>7840.85</v>
      </c>
      <c r="G785">
        <v>8086.55</v>
      </c>
      <c r="H785">
        <v>0</v>
      </c>
      <c r="I785" s="8">
        <f t="shared" si="49"/>
        <v>2.0951695578617757E-2</v>
      </c>
      <c r="J785" s="8">
        <f t="shared" si="50"/>
        <v>2.0735227170696053E-2</v>
      </c>
      <c r="K785" s="8">
        <f t="shared" si="47"/>
        <v>1.5853574277512994E-2</v>
      </c>
    </row>
    <row r="786" spans="1:11" x14ac:dyDescent="0.25">
      <c r="A786" t="str">
        <f t="shared" si="48"/>
        <v>32020</v>
      </c>
      <c r="B786" s="1">
        <v>43895</v>
      </c>
      <c r="C786" s="7">
        <f ca="1">IFERROR(__xludf.DUMMYFUNCTION("""COMPUTED_VALUE"""),43895.6458333333)</f>
        <v>43895.645833333299</v>
      </c>
      <c r="D786">
        <v>8125.9</v>
      </c>
      <c r="E786">
        <v>8281.7000000000007</v>
      </c>
      <c r="F786">
        <v>8122.6</v>
      </c>
      <c r="G786">
        <v>8146</v>
      </c>
      <c r="H786">
        <v>0</v>
      </c>
      <c r="I786" s="8">
        <f t="shared" si="49"/>
        <v>7.3517136479710476E-3</v>
      </c>
      <c r="J786" s="8">
        <f t="shared" si="50"/>
        <v>7.3248215228929516E-3</v>
      </c>
      <c r="K786" s="8">
        <f t="shared" si="47"/>
        <v>2.5879982368868459E-2</v>
      </c>
    </row>
    <row r="787" spans="1:11" x14ac:dyDescent="0.25">
      <c r="A787" t="str">
        <f t="shared" si="48"/>
        <v>32020</v>
      </c>
      <c r="B787" s="1">
        <v>43896</v>
      </c>
      <c r="C787" s="7">
        <f ca="1">IFERROR(__xludf.DUMMYFUNCTION("""COMPUTED_VALUE"""),43896.6458333333)</f>
        <v>43896.645833333299</v>
      </c>
      <c r="D787">
        <v>7863.1</v>
      </c>
      <c r="E787">
        <v>8057.95</v>
      </c>
      <c r="F787">
        <v>7860.6</v>
      </c>
      <c r="G787">
        <v>8018.3</v>
      </c>
      <c r="H787">
        <v>0</v>
      </c>
      <c r="I787" s="8">
        <f t="shared" si="49"/>
        <v>-1.5676405597839449E-2</v>
      </c>
      <c r="J787" s="8">
        <f t="shared" si="50"/>
        <v>-1.5800579891442207E-2</v>
      </c>
      <c r="K787" s="8">
        <f t="shared" si="47"/>
        <v>6.3316955012957532E-3</v>
      </c>
    </row>
    <row r="788" spans="1:11" x14ac:dyDescent="0.25">
      <c r="A788" t="str">
        <f t="shared" si="48"/>
        <v>32020</v>
      </c>
      <c r="B788" s="1">
        <v>43899</v>
      </c>
      <c r="C788" s="7">
        <f ca="1">IFERROR(__xludf.DUMMYFUNCTION("""COMPUTED_VALUE"""),43899.6458333333)</f>
        <v>43899.645833333299</v>
      </c>
      <c r="D788">
        <v>7921.25</v>
      </c>
      <c r="E788">
        <v>7999.3</v>
      </c>
      <c r="F788">
        <v>7698.25</v>
      </c>
      <c r="G788">
        <v>7756.45</v>
      </c>
      <c r="H788">
        <v>0</v>
      </c>
      <c r="I788" s="8">
        <f t="shared" si="49"/>
        <v>-3.2656548146115849E-2</v>
      </c>
      <c r="J788" s="8">
        <f t="shared" si="50"/>
        <v>-3.3201674039714336E-2</v>
      </c>
      <c r="K788" s="8">
        <f t="shared" si="47"/>
        <v>-3.5908941189631394E-2</v>
      </c>
    </row>
    <row r="789" spans="1:11" x14ac:dyDescent="0.25">
      <c r="A789" t="str">
        <f t="shared" si="48"/>
        <v>32020</v>
      </c>
      <c r="B789" s="1">
        <v>43901</v>
      </c>
      <c r="C789" s="7">
        <f ca="1">IFERROR(__xludf.DUMMYFUNCTION("""COMPUTED_VALUE"""),43901.6458333333)</f>
        <v>43901.645833333299</v>
      </c>
      <c r="D789">
        <v>7754.75</v>
      </c>
      <c r="E789">
        <v>7779.1</v>
      </c>
      <c r="F789">
        <v>7596.35</v>
      </c>
      <c r="G789">
        <v>7623.05</v>
      </c>
      <c r="H789">
        <v>0</v>
      </c>
      <c r="I789" s="8">
        <f t="shared" si="49"/>
        <v>-1.7198589560945998E-2</v>
      </c>
      <c r="J789" s="8">
        <f t="shared" si="50"/>
        <v>-1.7348203212970221E-2</v>
      </c>
      <c r="K789" s="8">
        <f t="shared" si="47"/>
        <v>-5.245461494956527E-2</v>
      </c>
    </row>
    <row r="790" spans="1:11" x14ac:dyDescent="0.25">
      <c r="A790" t="str">
        <f t="shared" si="48"/>
        <v>32020</v>
      </c>
      <c r="B790" s="1">
        <v>43902</v>
      </c>
      <c r="C790" s="7">
        <f ca="1">IFERROR(__xludf.DUMMYFUNCTION("""COMPUTED_VALUE"""),43902.6458333333)</f>
        <v>43902.645833333299</v>
      </c>
      <c r="D790">
        <v>7408.4</v>
      </c>
      <c r="E790">
        <v>7423.95</v>
      </c>
      <c r="F790">
        <v>6868.7</v>
      </c>
      <c r="G790">
        <v>6942.55</v>
      </c>
      <c r="H790">
        <v>0</v>
      </c>
      <c r="I790" s="8">
        <f t="shared" si="49"/>
        <v>-8.9268731019736203E-2</v>
      </c>
      <c r="J790" s="8">
        <f t="shared" si="50"/>
        <v>-9.3507409892646332E-2</v>
      </c>
      <c r="K790" s="8">
        <f t="shared" si="47"/>
        <v>-0.13497635764436167</v>
      </c>
    </row>
    <row r="791" spans="1:11" x14ac:dyDescent="0.25">
      <c r="A791" t="str">
        <f t="shared" si="48"/>
        <v>32020</v>
      </c>
      <c r="B791" s="1">
        <v>43903</v>
      </c>
      <c r="C791" s="7">
        <f ca="1">IFERROR(__xludf.DUMMYFUNCTION("""COMPUTED_VALUE"""),43903.6458333333)</f>
        <v>43903.645833333299</v>
      </c>
      <c r="D791">
        <v>6558.25</v>
      </c>
      <c r="E791">
        <v>7469.7</v>
      </c>
      <c r="F791">
        <v>6242.85</v>
      </c>
      <c r="G791">
        <v>7268</v>
      </c>
      <c r="H791">
        <v>0</v>
      </c>
      <c r="I791" s="8">
        <f t="shared" si="49"/>
        <v>4.6877588206062581E-2</v>
      </c>
      <c r="J791" s="8">
        <f t="shared" si="50"/>
        <v>4.581200834447692E-2</v>
      </c>
      <c r="K791" s="8">
        <f t="shared" si="47"/>
        <v>-9.1454572728636441E-2</v>
      </c>
    </row>
    <row r="792" spans="1:11" x14ac:dyDescent="0.25">
      <c r="A792" t="str">
        <f t="shared" si="48"/>
        <v>32020</v>
      </c>
      <c r="B792" s="1">
        <v>43906</v>
      </c>
      <c r="C792" s="7">
        <f ca="1">IFERROR(__xludf.DUMMYFUNCTION("""COMPUTED_VALUE"""),43906.6458333333)</f>
        <v>43906.645833333299</v>
      </c>
      <c r="D792">
        <v>7075.35</v>
      </c>
      <c r="E792">
        <v>7406.05</v>
      </c>
      <c r="F792">
        <v>6909.65</v>
      </c>
      <c r="G792">
        <v>6959.35</v>
      </c>
      <c r="H792">
        <v>0</v>
      </c>
      <c r="I792" s="8">
        <f t="shared" si="49"/>
        <v>-4.2466978536048416E-2</v>
      </c>
      <c r="J792" s="8">
        <f t="shared" si="50"/>
        <v>-4.3395071353386883E-2</v>
      </c>
      <c r="K792" s="8">
        <f t="shared" si="47"/>
        <v>-0.13987591304025415</v>
      </c>
    </row>
    <row r="793" spans="1:11" x14ac:dyDescent="0.25">
      <c r="A793" t="str">
        <f t="shared" si="48"/>
        <v>32020</v>
      </c>
      <c r="B793" s="1">
        <v>43907</v>
      </c>
      <c r="C793" s="7">
        <f ca="1">IFERROR(__xludf.DUMMYFUNCTION("""COMPUTED_VALUE"""),43907.6458333333)</f>
        <v>43907.645833333299</v>
      </c>
      <c r="D793">
        <v>7014.5</v>
      </c>
      <c r="E793">
        <v>7289.65</v>
      </c>
      <c r="F793">
        <v>6927.05</v>
      </c>
      <c r="G793">
        <v>6979.1</v>
      </c>
      <c r="H793">
        <v>0</v>
      </c>
      <c r="I793" s="8">
        <f t="shared" si="49"/>
        <v>2.8379087127390346E-3</v>
      </c>
      <c r="J793" s="8">
        <f t="shared" si="50"/>
        <v>2.8338894522088151E-3</v>
      </c>
      <c r="K793" s="8">
        <f t="shared" si="47"/>
        <v>-0.13550640711998563</v>
      </c>
    </row>
    <row r="794" spans="1:11" x14ac:dyDescent="0.25">
      <c r="A794" t="str">
        <f t="shared" si="48"/>
        <v>32020</v>
      </c>
      <c r="B794" s="1">
        <v>43908</v>
      </c>
      <c r="C794" s="7">
        <f ca="1">IFERROR(__xludf.DUMMYFUNCTION("""COMPUTED_VALUE"""),43908.6458333333)</f>
        <v>43908.645833333299</v>
      </c>
      <c r="D794">
        <v>7135.05</v>
      </c>
      <c r="E794">
        <v>7145.4</v>
      </c>
      <c r="F794">
        <v>6666.85</v>
      </c>
      <c r="G794">
        <v>6705.75</v>
      </c>
      <c r="H794">
        <v>0</v>
      </c>
      <c r="I794" s="8">
        <f t="shared" si="49"/>
        <v>-3.9166941296155722E-2</v>
      </c>
      <c r="J794" s="8">
        <f t="shared" si="50"/>
        <v>-3.9954601331346581E-2</v>
      </c>
      <c r="K794" s="8">
        <f t="shared" si="47"/>
        <v>-0.16693065985874811</v>
      </c>
    </row>
    <row r="795" spans="1:11" x14ac:dyDescent="0.25">
      <c r="A795" t="str">
        <f t="shared" si="48"/>
        <v>32020</v>
      </c>
      <c r="B795" s="1">
        <v>43909</v>
      </c>
      <c r="C795" s="7">
        <f ca="1">IFERROR(__xludf.DUMMYFUNCTION("""COMPUTED_VALUE"""),43909.6458333333)</f>
        <v>43909.645833333299</v>
      </c>
      <c r="D795">
        <v>6489.5</v>
      </c>
      <c r="E795">
        <v>6871.4</v>
      </c>
      <c r="F795">
        <v>6332</v>
      </c>
      <c r="G795">
        <v>6655.5</v>
      </c>
      <c r="H795">
        <v>0</v>
      </c>
      <c r="I795" s="8">
        <f t="shared" si="49"/>
        <v>-7.4935689520188031E-3</v>
      </c>
      <c r="J795" s="8">
        <f t="shared" si="50"/>
        <v>-7.5217867964632798E-3</v>
      </c>
      <c r="K795" s="8">
        <f t="shared" si="47"/>
        <v>-0.17338384152021358</v>
      </c>
    </row>
    <row r="796" spans="1:11" x14ac:dyDescent="0.25">
      <c r="A796" t="str">
        <f t="shared" si="48"/>
        <v>32020</v>
      </c>
      <c r="B796" s="1">
        <v>43910</v>
      </c>
      <c r="C796" s="7">
        <f ca="1">IFERROR(__xludf.DUMMYFUNCTION("""COMPUTED_VALUE"""),43910.6458333333)</f>
        <v>43910.645833333299</v>
      </c>
      <c r="D796">
        <v>6740.25</v>
      </c>
      <c r="E796">
        <v>7088.15</v>
      </c>
      <c r="F796">
        <v>6728.75</v>
      </c>
      <c r="G796">
        <v>6951.9</v>
      </c>
      <c r="H796">
        <v>0</v>
      </c>
      <c r="I796" s="8">
        <f t="shared" si="49"/>
        <v>4.453459544737437E-2</v>
      </c>
      <c r="J796" s="8">
        <f t="shared" si="50"/>
        <v>4.357142300487097E-2</v>
      </c>
      <c r="K796" s="8">
        <f t="shared" si="47"/>
        <v>-0.13895563427382407</v>
      </c>
    </row>
    <row r="797" spans="1:11" x14ac:dyDescent="0.25">
      <c r="A797" t="str">
        <f t="shared" si="48"/>
        <v>32020</v>
      </c>
      <c r="B797" s="1">
        <v>43913</v>
      </c>
      <c r="C797" s="7">
        <f ca="1">IFERROR(__xludf.DUMMYFUNCTION("""COMPUTED_VALUE"""),43913.6458333333)</f>
        <v>43913.645833333299</v>
      </c>
      <c r="D797">
        <v>6518</v>
      </c>
      <c r="E797">
        <v>6850.55</v>
      </c>
      <c r="F797">
        <v>6380.1</v>
      </c>
      <c r="G797">
        <v>6432.3</v>
      </c>
      <c r="H797">
        <v>0</v>
      </c>
      <c r="I797" s="8">
        <f t="shared" si="49"/>
        <v>-7.47421568204375E-2</v>
      </c>
      <c r="J797" s="8">
        <f t="shared" si="50"/>
        <v>-7.7682830929792182E-2</v>
      </c>
      <c r="K797" s="8">
        <f t="shared" si="47"/>
        <v>-0.19572121636490947</v>
      </c>
    </row>
    <row r="798" spans="1:11" x14ac:dyDescent="0.25">
      <c r="A798" t="str">
        <f t="shared" si="48"/>
        <v>32020</v>
      </c>
      <c r="B798" s="1">
        <v>43914</v>
      </c>
      <c r="C798" s="7">
        <f ca="1">IFERROR(__xludf.DUMMYFUNCTION("""COMPUTED_VALUE"""),43914.6458333333)</f>
        <v>43914.645833333299</v>
      </c>
      <c r="D798">
        <v>6589.45</v>
      </c>
      <c r="E798">
        <v>6828.3</v>
      </c>
      <c r="F798">
        <v>6532.65</v>
      </c>
      <c r="G798">
        <v>6611.05</v>
      </c>
      <c r="H798">
        <v>0</v>
      </c>
      <c r="I798" s="8">
        <f t="shared" si="49"/>
        <v>2.7789437681700058E-2</v>
      </c>
      <c r="J798" s="8">
        <f t="shared" si="50"/>
        <v>2.7410318895146852E-2</v>
      </c>
      <c r="K798" s="8">
        <f t="shared" si="47"/>
        <v>-0.18058886595893675</v>
      </c>
    </row>
    <row r="799" spans="1:11" x14ac:dyDescent="0.25">
      <c r="A799" t="str">
        <f t="shared" si="48"/>
        <v>32020</v>
      </c>
      <c r="B799" s="1">
        <v>43915</v>
      </c>
      <c r="C799" s="7">
        <f ca="1">IFERROR(__xludf.DUMMYFUNCTION("""COMPUTED_VALUE"""),43915.6458333333)</f>
        <v>43915.645833333299</v>
      </c>
      <c r="D799">
        <v>6539.6</v>
      </c>
      <c r="E799">
        <v>6746.3</v>
      </c>
      <c r="F799">
        <v>6538.55</v>
      </c>
      <c r="G799">
        <v>6695.55</v>
      </c>
      <c r="H799">
        <v>0</v>
      </c>
      <c r="I799" s="8">
        <f t="shared" si="49"/>
        <v>1.2781630754570061E-2</v>
      </c>
      <c r="J799" s="8">
        <f t="shared" si="50"/>
        <v>1.2700635152626301E-2</v>
      </c>
      <c r="K799" s="8">
        <f t="shared" si="47"/>
        <v>-0.17166062525516201</v>
      </c>
    </row>
    <row r="800" spans="1:11" x14ac:dyDescent="0.25">
      <c r="A800" t="str">
        <f t="shared" si="48"/>
        <v>32020</v>
      </c>
      <c r="B800" s="1">
        <v>43916</v>
      </c>
      <c r="C800" s="7">
        <f ca="1">IFERROR(__xludf.DUMMYFUNCTION("""COMPUTED_VALUE"""),43916.6458333333)</f>
        <v>43916.645833333299</v>
      </c>
      <c r="D800">
        <v>6845.25</v>
      </c>
      <c r="E800">
        <v>6963.25</v>
      </c>
      <c r="F800">
        <v>6743.05</v>
      </c>
      <c r="G800">
        <v>6775</v>
      </c>
      <c r="H800">
        <v>0</v>
      </c>
      <c r="I800" s="8">
        <f t="shared" si="49"/>
        <v>1.1866090164362797E-2</v>
      </c>
      <c r="J800" s="8">
        <f t="shared" si="50"/>
        <v>1.1796240137975792E-2</v>
      </c>
      <c r="K800" s="8">
        <f t="shared" si="47"/>
        <v>-0.1573540294646244</v>
      </c>
    </row>
    <row r="801" spans="1:11" x14ac:dyDescent="0.25">
      <c r="A801" t="str">
        <f t="shared" si="48"/>
        <v>32020</v>
      </c>
      <c r="B801" s="1">
        <v>43917</v>
      </c>
      <c r="C801" s="7">
        <f ca="1">IFERROR(__xludf.DUMMYFUNCTION("""COMPUTED_VALUE"""),43917.6458333333)</f>
        <v>43917.645833333299</v>
      </c>
      <c r="D801">
        <v>6924.6</v>
      </c>
      <c r="E801">
        <v>7058.8</v>
      </c>
      <c r="F801">
        <v>6697.95</v>
      </c>
      <c r="G801">
        <v>6813.05</v>
      </c>
      <c r="H801">
        <v>0</v>
      </c>
      <c r="I801" s="8">
        <f t="shared" si="49"/>
        <v>5.6162361623617318E-3</v>
      </c>
      <c r="J801" s="8">
        <f t="shared" si="50"/>
        <v>5.6005239097425639E-3</v>
      </c>
      <c r="K801" s="8">
        <f t="shared" si="47"/>
        <v>-0.15335338196368875</v>
      </c>
    </row>
    <row r="802" spans="1:11" x14ac:dyDescent="0.25">
      <c r="A802" t="str">
        <f t="shared" si="48"/>
        <v>32020</v>
      </c>
      <c r="B802" s="1">
        <v>43920</v>
      </c>
      <c r="C802" s="7">
        <f ca="1">IFERROR(__xludf.DUMMYFUNCTION("""COMPUTED_VALUE"""),43920.6458333333)</f>
        <v>43920.645833333299</v>
      </c>
      <c r="D802">
        <v>6708.7</v>
      </c>
      <c r="E802">
        <v>6970.5</v>
      </c>
      <c r="F802">
        <v>6608.8</v>
      </c>
      <c r="G802">
        <v>6896</v>
      </c>
      <c r="H802">
        <v>0</v>
      </c>
      <c r="I802" s="8">
        <f t="shared" si="49"/>
        <v>1.2175163839983627E-2</v>
      </c>
      <c r="J802" s="8">
        <f t="shared" si="50"/>
        <v>1.2101642685884985E-2</v>
      </c>
      <c r="K802" s="8">
        <f t="shared" si="47"/>
        <v>-0.14377417292136152</v>
      </c>
    </row>
    <row r="803" spans="1:11" x14ac:dyDescent="0.25">
      <c r="A803" t="str">
        <f t="shared" si="48"/>
        <v>32020</v>
      </c>
      <c r="B803" s="1">
        <v>43921</v>
      </c>
      <c r="C803" s="7">
        <f ca="1">IFERROR(__xludf.DUMMYFUNCTION("""COMPUTED_VALUE"""),43921.6458333333)</f>
        <v>43921.645833333299</v>
      </c>
      <c r="D803">
        <v>7074.2</v>
      </c>
      <c r="E803">
        <v>7224.35</v>
      </c>
      <c r="F803">
        <v>6951.4</v>
      </c>
      <c r="G803">
        <v>7176.5</v>
      </c>
      <c r="H803">
        <v>0</v>
      </c>
      <c r="I803" s="8">
        <f t="shared" si="49"/>
        <v>4.0675754060324865E-2</v>
      </c>
      <c r="J803" s="8">
        <f t="shared" si="50"/>
        <v>3.9870265667906024E-2</v>
      </c>
      <c r="K803" s="8">
        <f t="shared" si="47"/>
        <v>-0.11531752537922446</v>
      </c>
    </row>
    <row r="804" spans="1:11" x14ac:dyDescent="0.25">
      <c r="A804" t="str">
        <f t="shared" si="48"/>
        <v>42020</v>
      </c>
      <c r="B804" s="1">
        <v>43922</v>
      </c>
      <c r="C804" s="7">
        <f ca="1">IFERROR(__xludf.DUMMYFUNCTION("""COMPUTED_VALUE"""),43922.6458333333)</f>
        <v>43922.645833333299</v>
      </c>
      <c r="D804">
        <v>7206.2</v>
      </c>
      <c r="E804">
        <v>7208.25</v>
      </c>
      <c r="F804">
        <v>6991.6</v>
      </c>
      <c r="G804">
        <v>7026.7</v>
      </c>
      <c r="H804">
        <v>0</v>
      </c>
      <c r="I804" s="8">
        <f t="shared" si="49"/>
        <v>-2.0873684943914173E-2</v>
      </c>
      <c r="J804" s="8">
        <f t="shared" si="50"/>
        <v>-2.1094620202480943E-2</v>
      </c>
      <c r="K804" s="8">
        <f t="shared" si="47"/>
        <v>-0.12027142919741851</v>
      </c>
    </row>
    <row r="805" spans="1:11" x14ac:dyDescent="0.25">
      <c r="A805" t="str">
        <f t="shared" si="48"/>
        <v>42020</v>
      </c>
      <c r="B805" s="1">
        <v>43924</v>
      </c>
      <c r="C805" s="7">
        <f ca="1">IFERROR(__xludf.DUMMYFUNCTION("""COMPUTED_VALUE"""),43924.6458333333)</f>
        <v>43924.645833333299</v>
      </c>
      <c r="D805">
        <v>7019.85</v>
      </c>
      <c r="E805">
        <v>7452.8</v>
      </c>
      <c r="F805">
        <v>6956.2</v>
      </c>
      <c r="G805">
        <v>7361.6</v>
      </c>
      <c r="H805">
        <v>0</v>
      </c>
      <c r="I805" s="8">
        <f t="shared" si="49"/>
        <v>4.7661064226450556E-2</v>
      </c>
      <c r="J805" s="8">
        <f t="shared" si="50"/>
        <v>4.6560121592250092E-2</v>
      </c>
      <c r="K805" s="8">
        <f t="shared" si="47"/>
        <v>-8.3979344241896348E-2</v>
      </c>
    </row>
    <row r="806" spans="1:11" x14ac:dyDescent="0.25">
      <c r="A806" t="str">
        <f t="shared" si="48"/>
        <v>42020</v>
      </c>
      <c r="B806" s="1">
        <v>43928</v>
      </c>
      <c r="C806" s="7">
        <f ca="1">IFERROR(__xludf.DUMMYFUNCTION("""COMPUTED_VALUE"""),43928.6458333333)</f>
        <v>43928.645833333299</v>
      </c>
      <c r="D806">
        <v>7729.25</v>
      </c>
      <c r="E806">
        <v>8159.75</v>
      </c>
      <c r="F806">
        <v>7569.85</v>
      </c>
      <c r="G806">
        <v>8124.85</v>
      </c>
      <c r="H806">
        <v>0</v>
      </c>
      <c r="I806" s="8">
        <f t="shared" si="49"/>
        <v>0.10367990654205617</v>
      </c>
      <c r="J806" s="8">
        <f t="shared" si="50"/>
        <v>9.8649966087856325E-2</v>
      </c>
      <c r="K806" s="8">
        <f t="shared" si="47"/>
        <v>1.6095245837059124E-2</v>
      </c>
    </row>
    <row r="807" spans="1:11" x14ac:dyDescent="0.25">
      <c r="A807" t="str">
        <f t="shared" si="48"/>
        <v>42020</v>
      </c>
      <c r="B807" s="1">
        <v>43929</v>
      </c>
      <c r="C807" s="7">
        <f ca="1">IFERROR(__xludf.DUMMYFUNCTION("""COMPUTED_VALUE"""),43929.6458333333)</f>
        <v>43929.645833333299</v>
      </c>
      <c r="D807">
        <v>8122.9</v>
      </c>
      <c r="E807">
        <v>8564.85</v>
      </c>
      <c r="F807">
        <v>8056.3</v>
      </c>
      <c r="G807">
        <v>8412.2000000000007</v>
      </c>
      <c r="H807">
        <v>0</v>
      </c>
      <c r="I807" s="8">
        <f t="shared" si="49"/>
        <v>3.5366806771817361E-2</v>
      </c>
      <c r="J807" s="8">
        <f t="shared" si="50"/>
        <v>3.4755766609621548E-2</v>
      </c>
      <c r="K807" s="8">
        <f t="shared" si="47"/>
        <v>4.7185724155530684E-2</v>
      </c>
    </row>
    <row r="808" spans="1:11" x14ac:dyDescent="0.25">
      <c r="A808" t="str">
        <f t="shared" si="48"/>
        <v>42020</v>
      </c>
      <c r="B808" s="1">
        <v>43930</v>
      </c>
      <c r="C808" s="7">
        <f ca="1">IFERROR(__xludf.DUMMYFUNCTION("""COMPUTED_VALUE"""),43930.6458333333)</f>
        <v>43930.645833333299</v>
      </c>
      <c r="D808">
        <v>8739.5</v>
      </c>
      <c r="E808">
        <v>9032.4</v>
      </c>
      <c r="F808">
        <v>8706.4</v>
      </c>
      <c r="G808">
        <v>8800.4500000000007</v>
      </c>
      <c r="H808">
        <v>0</v>
      </c>
      <c r="I808" s="8">
        <f t="shared" si="49"/>
        <v>4.6153206057868434E-2</v>
      </c>
      <c r="J808" s="8">
        <f t="shared" si="50"/>
        <v>4.5119823423833111E-2</v>
      </c>
      <c r="K808" s="8">
        <f t="shared" si="47"/>
        <v>9.2070484581497913E-2</v>
      </c>
    </row>
    <row r="809" spans="1:11" x14ac:dyDescent="0.25">
      <c r="A809" t="str">
        <f t="shared" si="48"/>
        <v>42020</v>
      </c>
      <c r="B809" s="1">
        <v>43934</v>
      </c>
      <c r="C809" s="7">
        <f ca="1">IFERROR(__xludf.DUMMYFUNCTION("""COMPUTED_VALUE"""),43934.6458333333)</f>
        <v>43934.645833333299</v>
      </c>
      <c r="D809">
        <v>9000.25</v>
      </c>
      <c r="E809">
        <v>9229.6</v>
      </c>
      <c r="F809">
        <v>8852</v>
      </c>
      <c r="G809">
        <v>9044.35</v>
      </c>
      <c r="H809">
        <v>0</v>
      </c>
      <c r="I809" s="8">
        <f t="shared" si="49"/>
        <v>2.7714491872574687E-2</v>
      </c>
      <c r="J809" s="8">
        <f t="shared" si="50"/>
        <v>2.7337396816934298E-2</v>
      </c>
      <c r="K809" s="8">
        <f t="shared" si="47"/>
        <v>0.11956501556610499</v>
      </c>
    </row>
    <row r="810" spans="1:11" x14ac:dyDescent="0.25">
      <c r="A810" t="str">
        <f t="shared" si="48"/>
        <v>42020</v>
      </c>
      <c r="B810" s="1">
        <v>43936</v>
      </c>
      <c r="C810" s="7">
        <f ca="1">IFERROR(__xludf.DUMMYFUNCTION("""COMPUTED_VALUE"""),43936.6458333333)</f>
        <v>43936.645833333299</v>
      </c>
      <c r="D810">
        <v>9265.4</v>
      </c>
      <c r="E810">
        <v>9382.15</v>
      </c>
      <c r="F810">
        <v>8889.2000000000007</v>
      </c>
      <c r="G810">
        <v>9038.7999999999993</v>
      </c>
      <c r="H810">
        <v>0</v>
      </c>
      <c r="I810" s="8">
        <f t="shared" si="49"/>
        <v>-6.1364277145414814E-4</v>
      </c>
      <c r="J810" s="8">
        <f t="shared" si="50"/>
        <v>-6.1383112723901263E-4</v>
      </c>
      <c r="K810" s="8">
        <f t="shared" si="47"/>
        <v>0.11356412467660459</v>
      </c>
    </row>
    <row r="811" spans="1:11" x14ac:dyDescent="0.25">
      <c r="A811" t="str">
        <f t="shared" si="48"/>
        <v>42020</v>
      </c>
      <c r="B811" s="1">
        <v>43937</v>
      </c>
      <c r="C811" s="7">
        <f ca="1">IFERROR(__xludf.DUMMYFUNCTION("""COMPUTED_VALUE"""),43937.6458333333)</f>
        <v>43937.645833333299</v>
      </c>
      <c r="D811">
        <v>9040.9</v>
      </c>
      <c r="E811">
        <v>9251.0499999999993</v>
      </c>
      <c r="F811">
        <v>8989.7999999999993</v>
      </c>
      <c r="G811">
        <v>9199.2999999999993</v>
      </c>
      <c r="H811">
        <v>0</v>
      </c>
      <c r="I811" s="8">
        <f t="shared" si="49"/>
        <v>1.7756781873700112E-2</v>
      </c>
      <c r="J811" s="8">
        <f t="shared" si="50"/>
        <v>1.7600971973640311E-2</v>
      </c>
      <c r="K811" s="8">
        <f t="shared" si="47"/>
        <v>0.12650926991746458</v>
      </c>
    </row>
    <row r="812" spans="1:11" x14ac:dyDescent="0.25">
      <c r="A812" t="str">
        <f t="shared" si="48"/>
        <v>42020</v>
      </c>
      <c r="B812" s="1">
        <v>43938</v>
      </c>
      <c r="C812" s="7">
        <f ca="1">IFERROR(__xludf.DUMMYFUNCTION("""COMPUTED_VALUE"""),43938.6458333333)</f>
        <v>43938.645833333299</v>
      </c>
      <c r="D812">
        <v>9429.5</v>
      </c>
      <c r="E812">
        <v>9454.1</v>
      </c>
      <c r="F812">
        <v>9066.1</v>
      </c>
      <c r="G812">
        <v>9157.75</v>
      </c>
      <c r="H812">
        <v>0</v>
      </c>
      <c r="I812" s="8">
        <f t="shared" si="49"/>
        <v>-4.5166480058264069E-3</v>
      </c>
      <c r="J812" s="8">
        <f t="shared" si="50"/>
        <v>-4.5268788782200009E-3</v>
      </c>
      <c r="K812" s="8">
        <f t="shared" si="47"/>
        <v>0.11637673562433704</v>
      </c>
    </row>
    <row r="813" spans="1:11" x14ac:dyDescent="0.25">
      <c r="A813" t="str">
        <f t="shared" si="48"/>
        <v>42020</v>
      </c>
      <c r="B813" s="1">
        <v>43941</v>
      </c>
      <c r="C813" s="7">
        <f ca="1">IFERROR(__xludf.DUMMYFUNCTION("""COMPUTED_VALUE"""),43941.6458333333)</f>
        <v>43941.645833333299</v>
      </c>
      <c r="D813">
        <v>9176.7000000000007</v>
      </c>
      <c r="E813">
        <v>9212.5499999999993</v>
      </c>
      <c r="F813">
        <v>9004.75</v>
      </c>
      <c r="G813">
        <v>9149.2000000000007</v>
      </c>
      <c r="H813">
        <v>0</v>
      </c>
      <c r="I813" s="8">
        <f t="shared" si="49"/>
        <v>-9.3363544538771492E-4</v>
      </c>
      <c r="J813" s="8">
        <f t="shared" si="50"/>
        <v>-9.3407155442585751E-4</v>
      </c>
      <c r="K813" s="8">
        <f t="shared" si="47"/>
        <v>9.6329670593028549E-2</v>
      </c>
    </row>
    <row r="814" spans="1:11" x14ac:dyDescent="0.25">
      <c r="A814" t="str">
        <f t="shared" si="48"/>
        <v>42020</v>
      </c>
      <c r="B814" s="1">
        <v>43942</v>
      </c>
      <c r="C814" s="7">
        <f ca="1">IFERROR(__xludf.DUMMYFUNCTION("""COMPUTED_VALUE"""),43942.6458333333)</f>
        <v>43942.645833333299</v>
      </c>
      <c r="D814">
        <v>9031.85</v>
      </c>
      <c r="E814">
        <v>9561.35</v>
      </c>
      <c r="F814">
        <v>8999.9500000000007</v>
      </c>
      <c r="G814">
        <v>9381.65</v>
      </c>
      <c r="H814">
        <v>0</v>
      </c>
      <c r="I814" s="8">
        <f t="shared" si="49"/>
        <v>2.5406592926157323E-2</v>
      </c>
      <c r="J814" s="8">
        <f t="shared" si="50"/>
        <v>2.5089209960755948E-2</v>
      </c>
      <c r="K814" s="8">
        <f t="shared" si="47"/>
        <v>0.13450875824581132</v>
      </c>
    </row>
    <row r="815" spans="1:11" x14ac:dyDescent="0.25">
      <c r="A815" t="str">
        <f t="shared" si="48"/>
        <v>42020</v>
      </c>
      <c r="B815" s="1">
        <v>43943</v>
      </c>
      <c r="C815" s="7">
        <f ca="1">IFERROR(__xludf.DUMMYFUNCTION("""COMPUTED_VALUE"""),43943.6458333333)</f>
        <v>43943.645833333299</v>
      </c>
      <c r="D815">
        <v>9369.4</v>
      </c>
      <c r="E815">
        <v>9513</v>
      </c>
      <c r="F815">
        <v>9305.75</v>
      </c>
      <c r="G815">
        <v>9377</v>
      </c>
      <c r="H815">
        <v>0</v>
      </c>
      <c r="I815" s="8">
        <f t="shared" si="49"/>
        <v>-4.9564842005400678E-4</v>
      </c>
      <c r="J815" s="8">
        <f t="shared" si="50"/>
        <v>-4.957712943354642E-4</v>
      </c>
      <c r="K815" s="8">
        <f t="shared" si="47"/>
        <v>0.13328176742162379</v>
      </c>
    </row>
    <row r="816" spans="1:11" x14ac:dyDescent="0.25">
      <c r="A816" t="str">
        <f t="shared" si="48"/>
        <v>42020</v>
      </c>
      <c r="B816" s="1">
        <v>43944</v>
      </c>
      <c r="C816" s="7">
        <f ca="1">IFERROR(__xludf.DUMMYFUNCTION("""COMPUTED_VALUE"""),43944.6458333333)</f>
        <v>43944.645833333299</v>
      </c>
      <c r="D816">
        <v>9400.15</v>
      </c>
      <c r="E816">
        <v>9580.85</v>
      </c>
      <c r="F816">
        <v>9358.35</v>
      </c>
      <c r="G816">
        <v>9388.9</v>
      </c>
      <c r="H816">
        <v>0</v>
      </c>
      <c r="I816" s="8">
        <f t="shared" si="49"/>
        <v>1.2690625999787208E-3</v>
      </c>
      <c r="J816" s="8">
        <f t="shared" si="50"/>
        <v>1.268258020673119E-3</v>
      </c>
      <c r="K816" s="8">
        <f t="shared" si="47"/>
        <v>0.13713188762997097</v>
      </c>
    </row>
    <row r="817" spans="1:11" x14ac:dyDescent="0.25">
      <c r="A817" t="str">
        <f t="shared" si="48"/>
        <v>42020</v>
      </c>
      <c r="B817" s="1">
        <v>43945</v>
      </c>
      <c r="C817" s="7">
        <f ca="1">IFERROR(__xludf.DUMMYFUNCTION("""COMPUTED_VALUE"""),43945.6458333333)</f>
        <v>43945.645833333299</v>
      </c>
      <c r="D817">
        <v>9358.4</v>
      </c>
      <c r="E817">
        <v>9638.7000000000007</v>
      </c>
      <c r="F817">
        <v>9305.6</v>
      </c>
      <c r="G817">
        <v>9518.4500000000007</v>
      </c>
      <c r="H817">
        <v>0</v>
      </c>
      <c r="I817" s="8">
        <f t="shared" si="49"/>
        <v>1.3798208522830313E-2</v>
      </c>
      <c r="J817" s="8">
        <f t="shared" si="50"/>
        <v>1.3703879963241012E-2</v>
      </c>
      <c r="K817" s="8">
        <f t="shared" si="47"/>
        <v>0.14677357172116334</v>
      </c>
    </row>
    <row r="818" spans="1:11" x14ac:dyDescent="0.25">
      <c r="A818" t="str">
        <f t="shared" si="48"/>
        <v>42020</v>
      </c>
      <c r="B818" s="1">
        <v>43948</v>
      </c>
      <c r="C818" s="7">
        <f ca="1">IFERROR(__xludf.DUMMYFUNCTION("""COMPUTED_VALUE"""),43948.6458333333)</f>
        <v>43948.645833333299</v>
      </c>
      <c r="D818">
        <v>9590.5</v>
      </c>
      <c r="E818">
        <v>9753.5</v>
      </c>
      <c r="F818">
        <v>9557.4</v>
      </c>
      <c r="G818">
        <v>9602.0499999999993</v>
      </c>
      <c r="H818">
        <v>0</v>
      </c>
      <c r="I818" s="8">
        <f t="shared" si="49"/>
        <v>8.7829426009484735E-3</v>
      </c>
      <c r="J818" s="8">
        <f t="shared" si="50"/>
        <v>8.7445969222785889E-3</v>
      </c>
      <c r="K818" s="8">
        <f t="shared" si="47"/>
        <v>0.15770341389309195</v>
      </c>
    </row>
    <row r="819" spans="1:11" x14ac:dyDescent="0.25">
      <c r="A819" t="str">
        <f t="shared" si="48"/>
        <v>42020</v>
      </c>
      <c r="B819" s="1">
        <v>43949</v>
      </c>
      <c r="C819" s="7">
        <f ca="1">IFERROR(__xludf.DUMMYFUNCTION("""COMPUTED_VALUE"""),43949.6458333333)</f>
        <v>43949.645833333299</v>
      </c>
      <c r="D819">
        <v>9699.25</v>
      </c>
      <c r="E819">
        <v>9701</v>
      </c>
      <c r="F819">
        <v>9352</v>
      </c>
      <c r="G819">
        <v>9386.2000000000007</v>
      </c>
      <c r="H819">
        <v>0</v>
      </c>
      <c r="I819" s="8">
        <f t="shared" si="49"/>
        <v>-2.2479574674157954E-2</v>
      </c>
      <c r="J819" s="8">
        <f t="shared" si="50"/>
        <v>-2.2736091866916382E-2</v>
      </c>
      <c r="K819" s="8">
        <f t="shared" si="47"/>
        <v>0.11523403850837965</v>
      </c>
    </row>
    <row r="820" spans="1:11" x14ac:dyDescent="0.25">
      <c r="A820" t="str">
        <f t="shared" si="48"/>
        <v>42020</v>
      </c>
      <c r="B820" s="1">
        <v>43950</v>
      </c>
      <c r="C820" s="7">
        <f ca="1">IFERROR(__xludf.DUMMYFUNCTION("""COMPUTED_VALUE"""),43950.6458333333)</f>
        <v>43950.645833333299</v>
      </c>
      <c r="D820">
        <v>9453.2999999999993</v>
      </c>
      <c r="E820">
        <v>9498.15</v>
      </c>
      <c r="F820">
        <v>9339.75</v>
      </c>
      <c r="G820">
        <v>9385.4500000000007</v>
      </c>
      <c r="H820">
        <v>0</v>
      </c>
      <c r="I820" s="8">
        <f t="shared" si="49"/>
        <v>-7.9904540708719551E-5</v>
      </c>
      <c r="J820" s="8">
        <f t="shared" si="50"/>
        <v>-7.9907733246599132E-5</v>
      </c>
      <c r="K820" s="8">
        <f t="shared" si="47"/>
        <v>0.11462842552180774</v>
      </c>
    </row>
    <row r="821" spans="1:11" x14ac:dyDescent="0.25">
      <c r="A821" t="str">
        <f t="shared" si="48"/>
        <v>42020</v>
      </c>
      <c r="B821" s="1">
        <v>43951</v>
      </c>
      <c r="C821" s="7">
        <f ca="1">IFERROR(__xludf.DUMMYFUNCTION("""COMPUTED_VALUE"""),43951.6458333333)</f>
        <v>43951.645833333299</v>
      </c>
      <c r="D821">
        <v>9522.5499999999993</v>
      </c>
      <c r="E821">
        <v>9556.5</v>
      </c>
      <c r="F821">
        <v>9253.9</v>
      </c>
      <c r="G821">
        <v>9327.1</v>
      </c>
      <c r="H821">
        <v>0</v>
      </c>
      <c r="I821" s="8">
        <f t="shared" si="49"/>
        <v>-6.217070039262973E-3</v>
      </c>
      <c r="J821" s="8">
        <f t="shared" si="50"/>
        <v>-6.2364764952075567E-3</v>
      </c>
      <c r="K821" s="8">
        <f t="shared" si="47"/>
        <v>0.10867963103841771</v>
      </c>
    </row>
    <row r="822" spans="1:11" x14ac:dyDescent="0.25">
      <c r="A822" t="str">
        <f t="shared" si="48"/>
        <v>52020</v>
      </c>
      <c r="B822" s="1">
        <v>43955</v>
      </c>
      <c r="C822" s="7">
        <f ca="1">IFERROR(__xludf.DUMMYFUNCTION("""COMPUTED_VALUE"""),43955.6458333333)</f>
        <v>43955.645833333299</v>
      </c>
      <c r="D822">
        <v>9181.6</v>
      </c>
      <c r="E822">
        <v>9507.4500000000007</v>
      </c>
      <c r="F822">
        <v>9140.15</v>
      </c>
      <c r="G822">
        <v>9364.6</v>
      </c>
      <c r="H822">
        <v>0</v>
      </c>
      <c r="I822" s="8">
        <f t="shared" si="49"/>
        <v>4.0205422907442223E-3</v>
      </c>
      <c r="J822" s="8">
        <f t="shared" si="50"/>
        <v>4.0124815091737509E-3</v>
      </c>
      <c r="K822" s="8">
        <f t="shared" si="47"/>
        <v>0.13688759932257311</v>
      </c>
    </row>
    <row r="823" spans="1:11" x14ac:dyDescent="0.25">
      <c r="A823" t="str">
        <f t="shared" si="48"/>
        <v>52020</v>
      </c>
      <c r="B823" s="1">
        <v>43956</v>
      </c>
      <c r="C823" s="7">
        <f ca="1">IFERROR(__xludf.DUMMYFUNCTION("""COMPUTED_VALUE"""),43956.6458333333)</f>
        <v>43956.645833333299</v>
      </c>
      <c r="D823">
        <v>9493.7000000000007</v>
      </c>
      <c r="E823">
        <v>9503.75</v>
      </c>
      <c r="F823">
        <v>9157.35</v>
      </c>
      <c r="G823">
        <v>9181.5</v>
      </c>
      <c r="H823">
        <v>0</v>
      </c>
      <c r="I823" s="8">
        <f t="shared" si="49"/>
        <v>-1.9552356747752242E-2</v>
      </c>
      <c r="J823" s="8">
        <f t="shared" si="50"/>
        <v>-1.9746032780386821E-2</v>
      </c>
      <c r="K823" s="8">
        <f t="shared" si="47"/>
        <v>0.12814243235937384</v>
      </c>
    </row>
    <row r="824" spans="1:11" x14ac:dyDescent="0.25">
      <c r="A824" t="str">
        <f t="shared" si="48"/>
        <v>52020</v>
      </c>
      <c r="B824" s="1">
        <v>43957</v>
      </c>
      <c r="C824" s="7">
        <f ca="1">IFERROR(__xludf.DUMMYFUNCTION("""COMPUTED_VALUE"""),43957.6458333333)</f>
        <v>43957.645833333299</v>
      </c>
      <c r="D824">
        <v>9229.85</v>
      </c>
      <c r="E824">
        <v>9289.9</v>
      </c>
      <c r="F824">
        <v>9128.0499999999993</v>
      </c>
      <c r="G824">
        <v>9227.15</v>
      </c>
      <c r="H824">
        <v>0</v>
      </c>
      <c r="I824" s="8">
        <f t="shared" si="49"/>
        <v>4.9719544736699373E-3</v>
      </c>
      <c r="J824" s="8">
        <f t="shared" si="50"/>
        <v>4.9596351253111924E-3</v>
      </c>
      <c r="K824" s="8">
        <f t="shared" si="47"/>
        <v>0.15476503347725412</v>
      </c>
    </row>
    <row r="825" spans="1:11" x14ac:dyDescent="0.25">
      <c r="A825" t="str">
        <f t="shared" si="48"/>
        <v>52020</v>
      </c>
      <c r="B825" s="1">
        <v>43958</v>
      </c>
      <c r="C825" s="7">
        <f ca="1">IFERROR(__xludf.DUMMYFUNCTION("""COMPUTED_VALUE"""),43958.6458333333)</f>
        <v>43958.645833333299</v>
      </c>
      <c r="D825">
        <v>9283.2000000000007</v>
      </c>
      <c r="E825">
        <v>9373.5499999999993</v>
      </c>
      <c r="F825">
        <v>9128.9500000000007</v>
      </c>
      <c r="G825">
        <v>9148.1</v>
      </c>
      <c r="H825">
        <v>0</v>
      </c>
      <c r="I825" s="8">
        <f t="shared" si="49"/>
        <v>-8.5671090206618228E-3</v>
      </c>
      <c r="J825" s="8">
        <f t="shared" si="50"/>
        <v>-8.6040176505053564E-3</v>
      </c>
      <c r="K825" s="8">
        <f t="shared" si="47"/>
        <v>0.14816976360361722</v>
      </c>
    </row>
    <row r="826" spans="1:11" x14ac:dyDescent="0.25">
      <c r="A826" t="str">
        <f t="shared" si="48"/>
        <v>52020</v>
      </c>
      <c r="B826" s="1">
        <v>43959</v>
      </c>
      <c r="C826" s="7">
        <f ca="1">IFERROR(__xludf.DUMMYFUNCTION("""COMPUTED_VALUE"""),43959.6458333333)</f>
        <v>43959.645833333299</v>
      </c>
      <c r="D826">
        <v>9275.9</v>
      </c>
      <c r="E826">
        <v>9385.6</v>
      </c>
      <c r="F826">
        <v>9230.35</v>
      </c>
      <c r="G826">
        <v>9343.35</v>
      </c>
      <c r="H826">
        <v>0</v>
      </c>
      <c r="I826" s="8">
        <f t="shared" si="49"/>
        <v>2.1343229741694891E-2</v>
      </c>
      <c r="J826" s="8">
        <f t="shared" si="50"/>
        <v>2.1118652858161363E-2</v>
      </c>
      <c r="K826" s="8">
        <f t="shared" si="47"/>
        <v>0.15031887126957555</v>
      </c>
    </row>
    <row r="827" spans="1:11" x14ac:dyDescent="0.25">
      <c r="A827" t="str">
        <f t="shared" si="48"/>
        <v>52020</v>
      </c>
      <c r="B827" s="1">
        <v>43962</v>
      </c>
      <c r="C827" s="7">
        <f ca="1">IFERROR(__xludf.DUMMYFUNCTION("""COMPUTED_VALUE"""),43962.6458333333)</f>
        <v>43962.645833333299</v>
      </c>
      <c r="D827">
        <v>9413.25</v>
      </c>
      <c r="E827">
        <v>9416.5</v>
      </c>
      <c r="F827">
        <v>9281.7000000000007</v>
      </c>
      <c r="G827">
        <v>9307.2999999999993</v>
      </c>
      <c r="H827">
        <v>0</v>
      </c>
      <c r="I827" s="8">
        <f t="shared" si="49"/>
        <v>-3.8583591538368101E-3</v>
      </c>
      <c r="J827" s="8">
        <f t="shared" si="50"/>
        <v>-3.8658218234746957E-3</v>
      </c>
      <c r="K827" s="8">
        <f t="shared" si="47"/>
        <v>0.1454292606084473</v>
      </c>
    </row>
    <row r="828" spans="1:11" x14ac:dyDescent="0.25">
      <c r="A828" t="str">
        <f t="shared" si="48"/>
        <v>52020</v>
      </c>
      <c r="B828" s="1">
        <v>43963</v>
      </c>
      <c r="C828" s="7">
        <f ca="1">IFERROR(__xludf.DUMMYFUNCTION("""COMPUTED_VALUE"""),43963.6458333333)</f>
        <v>43963.645833333299</v>
      </c>
      <c r="D828">
        <v>9291.1</v>
      </c>
      <c r="E828">
        <v>9368.0499999999993</v>
      </c>
      <c r="F828">
        <v>9142.7999999999993</v>
      </c>
      <c r="G828">
        <v>9246.65</v>
      </c>
      <c r="H828">
        <v>0</v>
      </c>
      <c r="I828" s="8">
        <f t="shared" si="49"/>
        <v>-6.5163903602548645E-3</v>
      </c>
      <c r="J828" s="8">
        <f t="shared" si="50"/>
        <v>-6.5377147209722177E-3</v>
      </c>
      <c r="K828" s="8">
        <f t="shared" si="47"/>
        <v>0.12381652669575471</v>
      </c>
    </row>
    <row r="829" spans="1:11" x14ac:dyDescent="0.25">
      <c r="A829" t="str">
        <f t="shared" si="48"/>
        <v>52020</v>
      </c>
      <c r="B829" s="1">
        <v>43964</v>
      </c>
      <c r="C829" s="7">
        <f ca="1">IFERROR(__xludf.DUMMYFUNCTION("""COMPUTED_VALUE"""),43964.6458333333)</f>
        <v>43964.645833333299</v>
      </c>
      <c r="D829">
        <v>9447.9500000000007</v>
      </c>
      <c r="E829">
        <v>9447.9500000000007</v>
      </c>
      <c r="F829">
        <v>9131.15</v>
      </c>
      <c r="G829">
        <v>9147.75</v>
      </c>
      <c r="H829">
        <v>0</v>
      </c>
      <c r="I829" s="8">
        <f t="shared" si="49"/>
        <v>-1.0695765493448972E-2</v>
      </c>
      <c r="J829" s="8">
        <f t="shared" si="50"/>
        <v>-1.075337635629731E-2</v>
      </c>
      <c r="K829" s="8">
        <f t="shared" si="47"/>
        <v>9.6609265330831917E-2</v>
      </c>
    </row>
    <row r="830" spans="1:11" x14ac:dyDescent="0.25">
      <c r="A830" t="str">
        <f t="shared" si="48"/>
        <v>52020</v>
      </c>
      <c r="B830" s="1">
        <v>43965</v>
      </c>
      <c r="C830" s="7">
        <f ca="1">IFERROR(__xludf.DUMMYFUNCTION("""COMPUTED_VALUE"""),43965.6458333333)</f>
        <v>43965.645833333299</v>
      </c>
      <c r="D830">
        <v>9146.1</v>
      </c>
      <c r="E830">
        <v>9279.65</v>
      </c>
      <c r="F830">
        <v>9103.7999999999993</v>
      </c>
      <c r="G830">
        <v>9172.2000000000007</v>
      </c>
      <c r="H830">
        <v>0</v>
      </c>
      <c r="I830" s="8">
        <f t="shared" si="49"/>
        <v>2.6727883905879324E-3</v>
      </c>
      <c r="J830" s="8">
        <f t="shared" si="50"/>
        <v>2.6692228435861842E-3</v>
      </c>
      <c r="K830" s="8">
        <f t="shared" si="47"/>
        <v>0.11026781661370877</v>
      </c>
    </row>
    <row r="831" spans="1:11" x14ac:dyDescent="0.25">
      <c r="A831" t="str">
        <f t="shared" si="48"/>
        <v>52020</v>
      </c>
      <c r="B831" s="1">
        <v>43966</v>
      </c>
      <c r="C831" s="7">
        <f ca="1">IFERROR(__xludf.DUMMYFUNCTION("""COMPUTED_VALUE"""),43966.6458333333)</f>
        <v>43966.645833333299</v>
      </c>
      <c r="D831">
        <v>9177.35</v>
      </c>
      <c r="E831">
        <v>9211</v>
      </c>
      <c r="F831">
        <v>9065.65</v>
      </c>
      <c r="G831">
        <v>9093</v>
      </c>
      <c r="H831">
        <v>0</v>
      </c>
      <c r="I831" s="8">
        <f t="shared" si="49"/>
        <v>-8.6347877281350849E-3</v>
      </c>
      <c r="J831" s="8">
        <f t="shared" si="50"/>
        <v>-8.672283509130671E-3</v>
      </c>
      <c r="K831" s="8">
        <f t="shared" si="47"/>
        <v>9.2298174698035362E-2</v>
      </c>
    </row>
    <row r="832" spans="1:11" x14ac:dyDescent="0.25">
      <c r="A832" t="str">
        <f t="shared" si="48"/>
        <v>52020</v>
      </c>
      <c r="B832" s="1">
        <v>43969</v>
      </c>
      <c r="C832" s="7">
        <f ca="1">IFERROR(__xludf.DUMMYFUNCTION("""COMPUTED_VALUE"""),43969.6458333333)</f>
        <v>43969.645833333299</v>
      </c>
      <c r="D832">
        <v>9097.6</v>
      </c>
      <c r="E832">
        <v>9201.4500000000007</v>
      </c>
      <c r="F832">
        <v>8999.85</v>
      </c>
      <c r="G832">
        <v>9092.65</v>
      </c>
      <c r="H832">
        <v>0</v>
      </c>
      <c r="I832" s="8">
        <f t="shared" si="49"/>
        <v>-3.8491147036245899E-5</v>
      </c>
      <c r="J832" s="8">
        <f t="shared" si="50"/>
        <v>-3.8491887839455622E-5</v>
      </c>
      <c r="K832" s="8">
        <f t="shared" ref="K832:K895" si="51">+G832/G771-1</f>
        <v>0.10013248558689902</v>
      </c>
    </row>
    <row r="833" spans="1:11" x14ac:dyDescent="0.25">
      <c r="A833" t="str">
        <f t="shared" si="48"/>
        <v>52020</v>
      </c>
      <c r="B833" s="1">
        <v>43970</v>
      </c>
      <c r="C833" s="7">
        <f ca="1">IFERROR(__xludf.DUMMYFUNCTION("""COMPUTED_VALUE"""),43970.6458333333)</f>
        <v>43970.645833333299</v>
      </c>
      <c r="D833">
        <v>9149.4500000000007</v>
      </c>
      <c r="E833">
        <v>9231.5</v>
      </c>
      <c r="F833">
        <v>9044.0499999999993</v>
      </c>
      <c r="G833">
        <v>9084.6</v>
      </c>
      <c r="H833">
        <v>0</v>
      </c>
      <c r="I833" s="8">
        <f t="shared" si="49"/>
        <v>-8.8533045921701525E-4</v>
      </c>
      <c r="J833" s="8">
        <f t="shared" si="50"/>
        <v>-8.8572259569201799E-4</v>
      </c>
      <c r="K833" s="8">
        <f t="shared" si="51"/>
        <v>8.9842484734335315E-2</v>
      </c>
    </row>
    <row r="834" spans="1:11" x14ac:dyDescent="0.25">
      <c r="A834" t="str">
        <f t="shared" si="48"/>
        <v>52020</v>
      </c>
      <c r="B834" s="1">
        <v>43971</v>
      </c>
      <c r="C834" s="7">
        <f ca="1">IFERROR(__xludf.DUMMYFUNCTION("""COMPUTED_VALUE"""),43971.6458333333)</f>
        <v>43971.645833333299</v>
      </c>
      <c r="D834">
        <v>9098.7000000000007</v>
      </c>
      <c r="E834">
        <v>9495.5</v>
      </c>
      <c r="F834">
        <v>9074.6</v>
      </c>
      <c r="G834">
        <v>9456.7999999999993</v>
      </c>
      <c r="H834">
        <v>0</v>
      </c>
      <c r="I834" s="8">
        <f t="shared" si="49"/>
        <v>4.0970433480835622E-2</v>
      </c>
      <c r="J834" s="8">
        <f t="shared" si="50"/>
        <v>4.0153387193785729E-2</v>
      </c>
      <c r="K834" s="8">
        <f t="shared" si="51"/>
        <v>0.13503846753963766</v>
      </c>
    </row>
    <row r="835" spans="1:11" x14ac:dyDescent="0.25">
      <c r="A835" t="str">
        <f t="shared" ref="A835:A898" si="52">+MONTH(B835)&amp;YEAR(B835)</f>
        <v>52020</v>
      </c>
      <c r="B835" s="1">
        <v>43972</v>
      </c>
      <c r="C835" s="7">
        <f ca="1">IFERROR(__xludf.DUMMYFUNCTION("""COMPUTED_VALUE"""),43972.6458333333)</f>
        <v>43972.645833333299</v>
      </c>
      <c r="D835">
        <v>9475.2000000000007</v>
      </c>
      <c r="E835">
        <v>9549.4</v>
      </c>
      <c r="F835">
        <v>9436.0499999999993</v>
      </c>
      <c r="G835">
        <v>9520.5499999999993</v>
      </c>
      <c r="H835">
        <v>0</v>
      </c>
      <c r="I835" s="8">
        <f t="shared" si="49"/>
        <v>6.7411809491582098E-3</v>
      </c>
      <c r="J835" s="8">
        <f t="shared" si="50"/>
        <v>6.7185607896856347E-3</v>
      </c>
      <c r="K835" s="8">
        <f t="shared" si="51"/>
        <v>0.16035637458332563</v>
      </c>
    </row>
    <row r="836" spans="1:11" x14ac:dyDescent="0.25">
      <c r="A836" t="str">
        <f t="shared" si="52"/>
        <v>52020</v>
      </c>
      <c r="B836" s="1">
        <v>43973</v>
      </c>
      <c r="C836" s="7">
        <f ca="1">IFERROR(__xludf.DUMMYFUNCTION("""COMPUTED_VALUE"""),43973.6458333333)</f>
        <v>43973.645833333299</v>
      </c>
      <c r="D836">
        <v>9502.2999999999993</v>
      </c>
      <c r="E836">
        <v>9619.6</v>
      </c>
      <c r="F836">
        <v>9427.2000000000007</v>
      </c>
      <c r="G836">
        <v>9600.65</v>
      </c>
      <c r="H836">
        <v>0</v>
      </c>
      <c r="I836" s="8">
        <f t="shared" ref="I836:I899" si="53">+G836/G835-1</f>
        <v>8.4133794791267924E-3</v>
      </c>
      <c r="J836" s="8">
        <f t="shared" ref="J836:J899" si="54">+LN(1+I836)</f>
        <v>8.378184271302368E-3</v>
      </c>
      <c r="K836" s="8">
        <f t="shared" si="51"/>
        <v>0.17105375504677811</v>
      </c>
    </row>
    <row r="837" spans="1:11" x14ac:dyDescent="0.25">
      <c r="A837" t="str">
        <f t="shared" si="52"/>
        <v>52020</v>
      </c>
      <c r="B837" s="1">
        <v>43977</v>
      </c>
      <c r="C837" s="7">
        <f ca="1">IFERROR(__xludf.DUMMYFUNCTION("""COMPUTED_VALUE"""),43977.6458333333)</f>
        <v>43977.645833333299</v>
      </c>
      <c r="D837">
        <v>9624.2999999999993</v>
      </c>
      <c r="E837">
        <v>9679.85</v>
      </c>
      <c r="F837">
        <v>9454.75</v>
      </c>
      <c r="G837">
        <v>9483.5</v>
      </c>
      <c r="H837">
        <v>0</v>
      </c>
      <c r="I837" s="8">
        <f t="shared" si="53"/>
        <v>-1.2202298802685196E-2</v>
      </c>
      <c r="J837" s="8">
        <f t="shared" si="54"/>
        <v>-1.2277358072778089E-2</v>
      </c>
      <c r="K837" s="8">
        <f t="shared" si="51"/>
        <v>0.13186491857280114</v>
      </c>
    </row>
    <row r="838" spans="1:11" x14ac:dyDescent="0.25">
      <c r="A838" t="str">
        <f t="shared" si="52"/>
        <v>52020</v>
      </c>
      <c r="B838" s="1">
        <v>43978</v>
      </c>
      <c r="C838" s="7">
        <f ca="1">IFERROR(__xludf.DUMMYFUNCTION("""COMPUTED_VALUE"""),43978.6458333333)</f>
        <v>43978.645833333299</v>
      </c>
      <c r="D838">
        <v>9528.75</v>
      </c>
      <c r="E838">
        <v>9537.7999999999993</v>
      </c>
      <c r="F838">
        <v>9416.7999999999993</v>
      </c>
      <c r="G838">
        <v>9463.7000000000007</v>
      </c>
      <c r="H838">
        <v>0</v>
      </c>
      <c r="I838" s="8">
        <f t="shared" si="53"/>
        <v>-2.0878367691252731E-3</v>
      </c>
      <c r="J838" s="8">
        <f t="shared" si="54"/>
        <v>-2.090019338741068E-3</v>
      </c>
      <c r="K838" s="8">
        <f t="shared" si="51"/>
        <v>0.13143280709200367</v>
      </c>
    </row>
    <row r="839" spans="1:11" x14ac:dyDescent="0.25">
      <c r="A839" t="str">
        <f t="shared" si="52"/>
        <v>52020</v>
      </c>
      <c r="B839" s="1">
        <v>43979</v>
      </c>
      <c r="C839" s="7">
        <f ca="1">IFERROR(__xludf.DUMMYFUNCTION("""COMPUTED_VALUE"""),43979.6458333333)</f>
        <v>43979.645833333299</v>
      </c>
      <c r="D839">
        <v>9488.9500000000007</v>
      </c>
      <c r="E839">
        <v>9507.5499999999993</v>
      </c>
      <c r="F839">
        <v>9362.0499999999993</v>
      </c>
      <c r="G839">
        <v>9464.5</v>
      </c>
      <c r="H839">
        <v>0</v>
      </c>
      <c r="I839" s="8">
        <f t="shared" si="53"/>
        <v>8.4533533395880767E-5</v>
      </c>
      <c r="J839" s="8">
        <f t="shared" si="54"/>
        <v>8.4529960638090373E-5</v>
      </c>
      <c r="K839" s="8">
        <f t="shared" si="51"/>
        <v>0.16621793963440545</v>
      </c>
    </row>
    <row r="840" spans="1:11" x14ac:dyDescent="0.25">
      <c r="A840" t="str">
        <f t="shared" si="52"/>
        <v>52020</v>
      </c>
      <c r="B840" s="1">
        <v>43980</v>
      </c>
      <c r="C840" s="7">
        <f ca="1">IFERROR(__xludf.DUMMYFUNCTION("""COMPUTED_VALUE"""),43980.6458333333)</f>
        <v>43980.645833333299</v>
      </c>
      <c r="D840">
        <v>9459.25</v>
      </c>
      <c r="E840">
        <v>9812.9</v>
      </c>
      <c r="F840">
        <v>9432.6</v>
      </c>
      <c r="G840">
        <v>9768.6</v>
      </c>
      <c r="H840">
        <v>0</v>
      </c>
      <c r="I840" s="8">
        <f t="shared" si="53"/>
        <v>3.2130593269586338E-2</v>
      </c>
      <c r="J840" s="8">
        <f t="shared" si="54"/>
        <v>3.1625202919249633E-2</v>
      </c>
      <c r="K840" s="8">
        <f t="shared" si="51"/>
        <v>0.23054248625361384</v>
      </c>
    </row>
    <row r="841" spans="1:11" x14ac:dyDescent="0.25">
      <c r="A841" t="str">
        <f t="shared" si="52"/>
        <v>62020</v>
      </c>
      <c r="B841" s="1">
        <v>43983</v>
      </c>
      <c r="C841" s="7">
        <f ca="1">IFERROR(__xludf.DUMMYFUNCTION("""COMPUTED_VALUE"""),43983.6458333333)</f>
        <v>43983.645833333299</v>
      </c>
      <c r="D841">
        <v>9844.2000000000007</v>
      </c>
      <c r="E841">
        <v>9872.4</v>
      </c>
      <c r="F841">
        <v>9677.9500000000007</v>
      </c>
      <c r="G841">
        <v>9802.1</v>
      </c>
      <c r="H841">
        <v>0</v>
      </c>
      <c r="I841" s="8">
        <f t="shared" si="53"/>
        <v>3.4293552812070249E-3</v>
      </c>
      <c r="J841" s="8">
        <f t="shared" si="54"/>
        <v>3.4234884515207437E-3</v>
      </c>
      <c r="K841" s="8">
        <f t="shared" si="51"/>
        <v>0.25039544851515472</v>
      </c>
    </row>
    <row r="842" spans="1:11" x14ac:dyDescent="0.25">
      <c r="A842" t="str">
        <f t="shared" si="52"/>
        <v>62020</v>
      </c>
      <c r="B842" s="1">
        <v>43984</v>
      </c>
      <c r="C842" s="7">
        <f ca="1">IFERROR(__xludf.DUMMYFUNCTION("""COMPUTED_VALUE"""),43984.6458333333)</f>
        <v>43984.645833333299</v>
      </c>
      <c r="D842">
        <v>9869.65</v>
      </c>
      <c r="E842">
        <v>10047.299999999999</v>
      </c>
      <c r="F842">
        <v>9814.4500000000007</v>
      </c>
      <c r="G842">
        <v>9833.6</v>
      </c>
      <c r="H842">
        <v>0</v>
      </c>
      <c r="I842" s="8">
        <f t="shared" si="53"/>
        <v>3.2135970863387264E-3</v>
      </c>
      <c r="J842" s="8">
        <f t="shared" si="54"/>
        <v>3.2084445191209177E-3</v>
      </c>
      <c r="K842" s="8">
        <f t="shared" si="51"/>
        <v>0.24710373296639898</v>
      </c>
    </row>
    <row r="843" spans="1:11" x14ac:dyDescent="0.25">
      <c r="A843" t="str">
        <f t="shared" si="52"/>
        <v>62020</v>
      </c>
      <c r="B843" s="1">
        <v>43985</v>
      </c>
      <c r="C843" s="7">
        <f ca="1">IFERROR(__xludf.DUMMYFUNCTION("""COMPUTED_VALUE"""),43985.6458333333)</f>
        <v>43985.645833333299</v>
      </c>
      <c r="D843">
        <v>9914.7999999999993</v>
      </c>
      <c r="E843">
        <v>9980.85</v>
      </c>
      <c r="F843">
        <v>9835.0499999999993</v>
      </c>
      <c r="G843">
        <v>9864.0499999999993</v>
      </c>
      <c r="H843">
        <v>0</v>
      </c>
      <c r="I843" s="8">
        <f t="shared" si="53"/>
        <v>3.0965261958997292E-3</v>
      </c>
      <c r="J843" s="8">
        <f t="shared" si="54"/>
        <v>3.0917418327183342E-3</v>
      </c>
      <c r="K843" s="8">
        <f t="shared" si="51"/>
        <v>0.30188405318903211</v>
      </c>
    </row>
    <row r="844" spans="1:11" x14ac:dyDescent="0.25">
      <c r="A844" t="str">
        <f t="shared" si="52"/>
        <v>62020</v>
      </c>
      <c r="B844" s="1">
        <v>43986</v>
      </c>
      <c r="C844" s="7">
        <f ca="1">IFERROR(__xludf.DUMMYFUNCTION("""COMPUTED_VALUE"""),43986.6458333333)</f>
        <v>43986.645833333299</v>
      </c>
      <c r="D844">
        <v>9880.85</v>
      </c>
      <c r="E844">
        <v>10114.1</v>
      </c>
      <c r="F844">
        <v>9869.6</v>
      </c>
      <c r="G844">
        <v>10077.85</v>
      </c>
      <c r="H844">
        <v>0</v>
      </c>
      <c r="I844" s="8">
        <f t="shared" si="53"/>
        <v>2.167466709921384E-2</v>
      </c>
      <c r="J844" s="8">
        <f t="shared" si="54"/>
        <v>2.1443111455356299E-2</v>
      </c>
      <c r="K844" s="8">
        <f t="shared" si="51"/>
        <v>0.33745404838688264</v>
      </c>
    </row>
    <row r="845" spans="1:11" x14ac:dyDescent="0.25">
      <c r="A845" t="str">
        <f t="shared" si="52"/>
        <v>62020</v>
      </c>
      <c r="B845" s="1">
        <v>43987</v>
      </c>
      <c r="C845" s="7">
        <f ca="1">IFERROR(__xludf.DUMMYFUNCTION("""COMPUTED_VALUE"""),43987.6458333333)</f>
        <v>43987.645833333299</v>
      </c>
      <c r="D845">
        <v>10161.4</v>
      </c>
      <c r="E845">
        <v>10234.799999999999</v>
      </c>
      <c r="F845">
        <v>10061.950000000001</v>
      </c>
      <c r="G845">
        <v>10081.299999999999</v>
      </c>
      <c r="H845">
        <v>0</v>
      </c>
      <c r="I845" s="8">
        <f t="shared" si="53"/>
        <v>3.4233492262725207E-4</v>
      </c>
      <c r="J845" s="8">
        <f t="shared" si="54"/>
        <v>3.4227633939730261E-4</v>
      </c>
      <c r="K845" s="8">
        <f t="shared" si="51"/>
        <v>0.27279499027851406</v>
      </c>
    </row>
    <row r="846" spans="1:11" x14ac:dyDescent="0.25">
      <c r="A846" t="str">
        <f t="shared" si="52"/>
        <v>62020</v>
      </c>
      <c r="B846" s="1">
        <v>43990</v>
      </c>
      <c r="C846" s="7">
        <f ca="1">IFERROR(__xludf.DUMMYFUNCTION("""COMPUTED_VALUE"""),43990.6458333333)</f>
        <v>43990.645833333299</v>
      </c>
      <c r="D846">
        <v>10158.85</v>
      </c>
      <c r="E846">
        <v>10158.85</v>
      </c>
      <c r="F846">
        <v>9883.7000000000007</v>
      </c>
      <c r="G846">
        <v>9939.1</v>
      </c>
      <c r="H846">
        <v>0</v>
      </c>
      <c r="I846" s="8">
        <f t="shared" si="53"/>
        <v>-1.4105323718171192E-2</v>
      </c>
      <c r="J846" s="8">
        <f t="shared" si="54"/>
        <v>-1.420574927186348E-2</v>
      </c>
      <c r="K846" s="8">
        <f t="shared" si="51"/>
        <v>0.22909027953824568</v>
      </c>
    </row>
    <row r="847" spans="1:11" x14ac:dyDescent="0.25">
      <c r="A847" t="str">
        <f t="shared" si="52"/>
        <v>62020</v>
      </c>
      <c r="B847" s="1">
        <v>43991</v>
      </c>
      <c r="C847" s="7">
        <f ca="1">IFERROR(__xludf.DUMMYFUNCTION("""COMPUTED_VALUE"""),43991.6458333333)</f>
        <v>43991.645833333299</v>
      </c>
      <c r="D847">
        <v>9950.5</v>
      </c>
      <c r="E847">
        <v>10227.9</v>
      </c>
      <c r="F847">
        <v>9948.75</v>
      </c>
      <c r="G847">
        <v>10122.049999999999</v>
      </c>
      <c r="H847">
        <v>0</v>
      </c>
      <c r="I847" s="8">
        <f t="shared" si="53"/>
        <v>1.8407099234337032E-2</v>
      </c>
      <c r="J847" s="8">
        <f t="shared" si="54"/>
        <v>1.8239739205278955E-2</v>
      </c>
      <c r="K847" s="8">
        <f t="shared" si="51"/>
        <v>0.24257917996562717</v>
      </c>
    </row>
    <row r="848" spans="1:11" x14ac:dyDescent="0.25">
      <c r="A848" t="str">
        <f t="shared" si="52"/>
        <v>62020</v>
      </c>
      <c r="B848" s="1">
        <v>43992</v>
      </c>
      <c r="C848" s="7">
        <f ca="1">IFERROR(__xludf.DUMMYFUNCTION("""COMPUTED_VALUE"""),43992.6458333333)</f>
        <v>43992.645833333299</v>
      </c>
      <c r="D848">
        <v>10159.1</v>
      </c>
      <c r="E848">
        <v>10237.049999999999</v>
      </c>
      <c r="F848">
        <v>10070.799999999999</v>
      </c>
      <c r="G848">
        <v>10149.25</v>
      </c>
      <c r="H848">
        <v>0</v>
      </c>
      <c r="I848" s="8">
        <f t="shared" si="53"/>
        <v>2.6872026911546332E-3</v>
      </c>
      <c r="J848" s="8">
        <f t="shared" si="54"/>
        <v>2.6835986171441016E-3</v>
      </c>
      <c r="K848" s="8">
        <f t="shared" si="51"/>
        <v>0.26576082211940188</v>
      </c>
    </row>
    <row r="849" spans="1:11" x14ac:dyDescent="0.25">
      <c r="A849" t="str">
        <f t="shared" si="52"/>
        <v>62020</v>
      </c>
      <c r="B849" s="1">
        <v>43993</v>
      </c>
      <c r="C849" s="7">
        <f ca="1">IFERROR(__xludf.DUMMYFUNCTION("""COMPUTED_VALUE"""),43993.6458333333)</f>
        <v>43993.645833333299</v>
      </c>
      <c r="D849">
        <v>10097.85</v>
      </c>
      <c r="E849">
        <v>10177.35</v>
      </c>
      <c r="F849">
        <v>9893.7999999999993</v>
      </c>
      <c r="G849">
        <v>9933.4</v>
      </c>
      <c r="H849">
        <v>0</v>
      </c>
      <c r="I849" s="8">
        <f t="shared" si="53"/>
        <v>-2.1267581348375586E-2</v>
      </c>
      <c r="J849" s="8">
        <f t="shared" si="54"/>
        <v>-2.1496994901936368E-2</v>
      </c>
      <c r="K849" s="8">
        <f t="shared" si="51"/>
        <v>0.28066318999026607</v>
      </c>
    </row>
    <row r="850" spans="1:11" x14ac:dyDescent="0.25">
      <c r="A850" t="str">
        <f t="shared" si="52"/>
        <v>62020</v>
      </c>
      <c r="B850" s="1">
        <v>43994</v>
      </c>
      <c r="C850" s="7">
        <f ca="1">IFERROR(__xludf.DUMMYFUNCTION("""COMPUTED_VALUE"""),43994.6458333333)</f>
        <v>43994.645833333299</v>
      </c>
      <c r="D850">
        <v>9690.9</v>
      </c>
      <c r="E850">
        <v>9997.5</v>
      </c>
      <c r="F850">
        <v>9687.9500000000007</v>
      </c>
      <c r="G850">
        <v>9982.7999999999993</v>
      </c>
      <c r="H850">
        <v>0</v>
      </c>
      <c r="I850" s="8">
        <f t="shared" si="53"/>
        <v>4.9731209857650782E-3</v>
      </c>
      <c r="J850" s="8">
        <f t="shared" si="54"/>
        <v>4.9607958655815444E-3</v>
      </c>
      <c r="K850" s="8">
        <f t="shared" si="51"/>
        <v>0.30955457461252367</v>
      </c>
    </row>
    <row r="851" spans="1:11" x14ac:dyDescent="0.25">
      <c r="A851" t="str">
        <f t="shared" si="52"/>
        <v>62020</v>
      </c>
      <c r="B851" s="1">
        <v>43997</v>
      </c>
      <c r="C851" s="7">
        <f ca="1">IFERROR(__xludf.DUMMYFUNCTION("""COMPUTED_VALUE"""),43997.6458333333)</f>
        <v>43997.645833333299</v>
      </c>
      <c r="D851">
        <v>10020.75</v>
      </c>
      <c r="E851">
        <v>10171.799999999999</v>
      </c>
      <c r="F851">
        <v>9894.7000000000007</v>
      </c>
      <c r="G851">
        <v>9989.0499999999993</v>
      </c>
      <c r="H851">
        <v>0</v>
      </c>
      <c r="I851" s="8">
        <f t="shared" si="53"/>
        <v>6.2607685218574183E-4</v>
      </c>
      <c r="J851" s="8">
        <f t="shared" si="54"/>
        <v>6.2588094783650795E-4</v>
      </c>
      <c r="K851" s="8">
        <f t="shared" si="51"/>
        <v>0.43881570892539479</v>
      </c>
    </row>
    <row r="852" spans="1:11" x14ac:dyDescent="0.25">
      <c r="A852" t="str">
        <f t="shared" si="52"/>
        <v>62020</v>
      </c>
      <c r="B852" s="1">
        <v>43998</v>
      </c>
      <c r="C852" s="7">
        <f ca="1">IFERROR(__xludf.DUMMYFUNCTION("""COMPUTED_VALUE"""),43998.6458333333)</f>
        <v>43998.645833333299</v>
      </c>
      <c r="D852">
        <v>10063.25</v>
      </c>
      <c r="E852">
        <v>10092.35</v>
      </c>
      <c r="F852">
        <v>9800.0499999999993</v>
      </c>
      <c r="G852">
        <v>9926.4</v>
      </c>
      <c r="H852">
        <v>0</v>
      </c>
      <c r="I852" s="8">
        <f t="shared" si="53"/>
        <v>-6.2718676951261099E-3</v>
      </c>
      <c r="J852" s="8">
        <f t="shared" si="54"/>
        <v>-6.291618483513832E-3</v>
      </c>
      <c r="K852" s="8">
        <f t="shared" si="51"/>
        <v>0.36576774903687381</v>
      </c>
    </row>
    <row r="853" spans="1:11" x14ac:dyDescent="0.25">
      <c r="A853" t="str">
        <f t="shared" si="52"/>
        <v>62020</v>
      </c>
      <c r="B853" s="1">
        <v>43999</v>
      </c>
      <c r="C853" s="7">
        <f ca="1">IFERROR(__xludf.DUMMYFUNCTION("""COMPUTED_VALUE"""),43999.6458333333)</f>
        <v>43999.645833333299</v>
      </c>
      <c r="D853">
        <v>9956.7000000000007</v>
      </c>
      <c r="E853">
        <v>10020.25</v>
      </c>
      <c r="F853">
        <v>9915.2000000000007</v>
      </c>
      <c r="G853">
        <v>9977.2000000000007</v>
      </c>
      <c r="H853">
        <v>0</v>
      </c>
      <c r="I853" s="8">
        <f t="shared" si="53"/>
        <v>5.1176660219214298E-3</v>
      </c>
      <c r="J853" s="8">
        <f t="shared" si="54"/>
        <v>5.1046152764656428E-3</v>
      </c>
      <c r="K853" s="8">
        <f t="shared" si="51"/>
        <v>0.43363963588553522</v>
      </c>
    </row>
    <row r="854" spans="1:11" x14ac:dyDescent="0.25">
      <c r="A854" t="str">
        <f t="shared" si="52"/>
        <v>62020</v>
      </c>
      <c r="B854" s="1">
        <v>44000</v>
      </c>
      <c r="C854" s="7">
        <f ca="1">IFERROR(__xludf.DUMMYFUNCTION("""COMPUTED_VALUE"""),44000.6458333333)</f>
        <v>44000.645833333299</v>
      </c>
      <c r="D854">
        <v>9991.75</v>
      </c>
      <c r="E854">
        <v>10050.200000000001</v>
      </c>
      <c r="F854">
        <v>9953.0499999999993</v>
      </c>
      <c r="G854">
        <v>9975.2999999999993</v>
      </c>
      <c r="H854">
        <v>0</v>
      </c>
      <c r="I854" s="8">
        <f t="shared" si="53"/>
        <v>-1.9043418995323691E-4</v>
      </c>
      <c r="J854" s="8">
        <f t="shared" si="54"/>
        <v>-1.9045232484596076E-4</v>
      </c>
      <c r="K854" s="8">
        <f t="shared" si="51"/>
        <v>0.42931036953188784</v>
      </c>
    </row>
    <row r="855" spans="1:11" x14ac:dyDescent="0.25">
      <c r="A855" t="str">
        <f t="shared" si="52"/>
        <v>62020</v>
      </c>
      <c r="B855" s="1">
        <v>44001</v>
      </c>
      <c r="C855" s="7">
        <f ca="1">IFERROR(__xludf.DUMMYFUNCTION("""COMPUTED_VALUE"""),44001.6458333333)</f>
        <v>44001.645833333299</v>
      </c>
      <c r="D855">
        <v>10022.9</v>
      </c>
      <c r="E855">
        <v>10098.85</v>
      </c>
      <c r="F855">
        <v>9982.4500000000007</v>
      </c>
      <c r="G855">
        <v>10002.15</v>
      </c>
      <c r="H855">
        <v>0</v>
      </c>
      <c r="I855" s="8">
        <f t="shared" si="53"/>
        <v>2.6916483714776174E-3</v>
      </c>
      <c r="J855" s="8">
        <f t="shared" si="54"/>
        <v>2.6880323732103289E-3</v>
      </c>
      <c r="K855" s="8">
        <f t="shared" si="51"/>
        <v>0.49157812325243255</v>
      </c>
    </row>
    <row r="856" spans="1:11" x14ac:dyDescent="0.25">
      <c r="A856" t="str">
        <f t="shared" si="52"/>
        <v>62020</v>
      </c>
      <c r="B856" s="1">
        <v>44004</v>
      </c>
      <c r="C856" s="7">
        <f ca="1">IFERROR(__xludf.DUMMYFUNCTION("""COMPUTED_VALUE"""),44004.6458333333)</f>
        <v>44004.645833333299</v>
      </c>
      <c r="D856">
        <v>10223.049999999999</v>
      </c>
      <c r="E856">
        <v>10291.450000000001</v>
      </c>
      <c r="F856">
        <v>10102.299999999999</v>
      </c>
      <c r="G856">
        <v>10218.35</v>
      </c>
      <c r="H856">
        <v>0</v>
      </c>
      <c r="I856" s="8">
        <f t="shared" si="53"/>
        <v>2.161535269916981E-2</v>
      </c>
      <c r="J856" s="8">
        <f t="shared" si="54"/>
        <v>2.1385053715646356E-2</v>
      </c>
      <c r="K856" s="8">
        <f t="shared" si="51"/>
        <v>0.53532416798136895</v>
      </c>
    </row>
    <row r="857" spans="1:11" x14ac:dyDescent="0.25">
      <c r="A857" t="str">
        <f t="shared" si="52"/>
        <v>62020</v>
      </c>
      <c r="B857" s="1">
        <v>44005</v>
      </c>
      <c r="C857" s="7">
        <f ca="1">IFERROR(__xludf.DUMMYFUNCTION("""COMPUTED_VALUE"""),44005.6458333333)</f>
        <v>44005.645833333299</v>
      </c>
      <c r="D857">
        <v>10300.1</v>
      </c>
      <c r="E857">
        <v>10385.200000000001</v>
      </c>
      <c r="F857">
        <v>10217.9</v>
      </c>
      <c r="G857">
        <v>10360.799999999999</v>
      </c>
      <c r="H857">
        <v>0</v>
      </c>
      <c r="I857" s="8">
        <f t="shared" si="53"/>
        <v>1.3940606849442316E-2</v>
      </c>
      <c r="J857" s="8">
        <f t="shared" si="54"/>
        <v>1.3844330326736118E-2</v>
      </c>
      <c r="K857" s="8">
        <f t="shared" si="51"/>
        <v>0.49035515470590774</v>
      </c>
    </row>
    <row r="858" spans="1:11" x14ac:dyDescent="0.25">
      <c r="A858" t="str">
        <f t="shared" si="52"/>
        <v>62020</v>
      </c>
      <c r="B858" s="1">
        <v>44006</v>
      </c>
      <c r="C858" s="7">
        <f ca="1">IFERROR(__xludf.DUMMYFUNCTION("""COMPUTED_VALUE"""),44006.6458333333)</f>
        <v>44006.645833333299</v>
      </c>
      <c r="D858">
        <v>10393.35</v>
      </c>
      <c r="E858">
        <v>10404.35</v>
      </c>
      <c r="F858">
        <v>10088.6</v>
      </c>
      <c r="G858">
        <v>10110.5</v>
      </c>
      <c r="H858">
        <v>0</v>
      </c>
      <c r="I858" s="8">
        <f t="shared" si="53"/>
        <v>-2.4158366149331978E-2</v>
      </c>
      <c r="J858" s="8">
        <f t="shared" si="54"/>
        <v>-2.4454966133593003E-2</v>
      </c>
      <c r="K858" s="8">
        <f t="shared" si="51"/>
        <v>0.5718327814312143</v>
      </c>
    </row>
    <row r="859" spans="1:11" x14ac:dyDescent="0.25">
      <c r="A859" t="str">
        <f t="shared" si="52"/>
        <v>62020</v>
      </c>
      <c r="B859" s="1">
        <v>44007</v>
      </c>
      <c r="C859" s="7">
        <f ca="1">IFERROR(__xludf.DUMMYFUNCTION("""COMPUTED_VALUE"""),44007.6458333333)</f>
        <v>44007.645833333299</v>
      </c>
      <c r="D859">
        <v>10075.549999999999</v>
      </c>
      <c r="E859">
        <v>10239.6</v>
      </c>
      <c r="F859">
        <v>10040.6</v>
      </c>
      <c r="G859">
        <v>10193.15</v>
      </c>
      <c r="H859">
        <v>0</v>
      </c>
      <c r="I859" s="8">
        <f t="shared" si="53"/>
        <v>8.1746698976310483E-3</v>
      </c>
      <c r="J859" s="8">
        <f t="shared" si="54"/>
        <v>8.141438265905316E-3</v>
      </c>
      <c r="K859" s="8">
        <f t="shared" si="51"/>
        <v>0.54183526066207333</v>
      </c>
    </row>
    <row r="860" spans="1:11" x14ac:dyDescent="0.25">
      <c r="A860" t="str">
        <f t="shared" si="52"/>
        <v>62020</v>
      </c>
      <c r="B860" s="1">
        <v>44008</v>
      </c>
      <c r="C860" s="7">
        <f ca="1">IFERROR(__xludf.DUMMYFUNCTION("""COMPUTED_VALUE"""),44008.6458333333)</f>
        <v>44008.645833333299</v>
      </c>
      <c r="D860">
        <v>10239.1</v>
      </c>
      <c r="E860">
        <v>10285.200000000001</v>
      </c>
      <c r="F860">
        <v>10100.25</v>
      </c>
      <c r="G860">
        <v>10137.85</v>
      </c>
      <c r="H860">
        <v>0</v>
      </c>
      <c r="I860" s="8">
        <f t="shared" si="53"/>
        <v>-5.4252120296472972E-3</v>
      </c>
      <c r="J860" s="8">
        <f t="shared" si="54"/>
        <v>-5.4399819365697445E-3</v>
      </c>
      <c r="K860" s="8">
        <f t="shared" si="51"/>
        <v>0.51411758556055887</v>
      </c>
    </row>
    <row r="861" spans="1:11" x14ac:dyDescent="0.25">
      <c r="A861" t="str">
        <f t="shared" si="52"/>
        <v>62020</v>
      </c>
      <c r="B861" s="1">
        <v>44011</v>
      </c>
      <c r="C861" s="7">
        <f ca="1">IFERROR(__xludf.DUMMYFUNCTION("""COMPUTED_VALUE"""),44011.6458333333)</f>
        <v>44011.645833333299</v>
      </c>
      <c r="D861">
        <v>10132.75</v>
      </c>
      <c r="E861">
        <v>10264.9</v>
      </c>
      <c r="F861">
        <v>10115.299999999999</v>
      </c>
      <c r="G861">
        <v>10135.9</v>
      </c>
      <c r="H861">
        <v>0</v>
      </c>
      <c r="I861" s="8">
        <f t="shared" si="53"/>
        <v>-1.9234847625493323E-4</v>
      </c>
      <c r="J861" s="8">
        <f t="shared" si="54"/>
        <v>-1.9236697759559984E-4</v>
      </c>
      <c r="K861" s="8">
        <f t="shared" si="51"/>
        <v>0.49607380073800722</v>
      </c>
    </row>
    <row r="862" spans="1:11" x14ac:dyDescent="0.25">
      <c r="A862" t="str">
        <f t="shared" si="52"/>
        <v>62020</v>
      </c>
      <c r="B862" s="1">
        <v>44012</v>
      </c>
      <c r="C862" s="7">
        <f ca="1">IFERROR(__xludf.DUMMYFUNCTION("""COMPUTED_VALUE"""),44012.6458333333)</f>
        <v>44012.645833333299</v>
      </c>
      <c r="D862">
        <v>10189.450000000001</v>
      </c>
      <c r="E862">
        <v>10198.4</v>
      </c>
      <c r="F862">
        <v>9956.15</v>
      </c>
      <c r="G862">
        <v>9985.15</v>
      </c>
      <c r="H862">
        <v>0</v>
      </c>
      <c r="I862" s="8">
        <f t="shared" si="53"/>
        <v>-1.4872877593504308E-2</v>
      </c>
      <c r="J862" s="8">
        <f t="shared" si="54"/>
        <v>-1.498458785664533E-2</v>
      </c>
      <c r="K862" s="8">
        <f t="shared" si="51"/>
        <v>0.46559176873793673</v>
      </c>
    </row>
    <row r="863" spans="1:11" x14ac:dyDescent="0.25">
      <c r="A863" t="str">
        <f t="shared" si="52"/>
        <v>72020</v>
      </c>
      <c r="B863" s="1">
        <v>44013</v>
      </c>
      <c r="C863" s="7">
        <f ca="1">IFERROR(__xludf.DUMMYFUNCTION("""COMPUTED_VALUE"""),44013.6458333333)</f>
        <v>44013.645833333299</v>
      </c>
      <c r="D863">
        <v>10004.65</v>
      </c>
      <c r="E863">
        <v>10006.6</v>
      </c>
      <c r="F863">
        <v>9844.5</v>
      </c>
      <c r="G863">
        <v>9882.85</v>
      </c>
      <c r="H863">
        <v>0</v>
      </c>
      <c r="I863" s="8">
        <f t="shared" si="53"/>
        <v>-1.0245214143002279E-2</v>
      </c>
      <c r="J863" s="8">
        <f t="shared" si="54"/>
        <v>-1.0298057587534392E-2</v>
      </c>
      <c r="K863" s="8">
        <f t="shared" si="51"/>
        <v>0.43312790023201853</v>
      </c>
    </row>
    <row r="864" spans="1:11" x14ac:dyDescent="0.25">
      <c r="A864" t="str">
        <f t="shared" si="52"/>
        <v>72020</v>
      </c>
      <c r="B864" s="1">
        <v>44014</v>
      </c>
      <c r="C864" s="7">
        <f ca="1">IFERROR(__xludf.DUMMYFUNCTION("""COMPUTED_VALUE"""),44014.6458333333)</f>
        <v>44014.645833333299</v>
      </c>
      <c r="D864">
        <v>9845.35</v>
      </c>
      <c r="E864">
        <v>9976.15</v>
      </c>
      <c r="F864">
        <v>9832.65</v>
      </c>
      <c r="G864">
        <v>9943.65</v>
      </c>
      <c r="H864">
        <v>0</v>
      </c>
      <c r="I864" s="8">
        <f t="shared" si="53"/>
        <v>6.1520715178313701E-3</v>
      </c>
      <c r="J864" s="8">
        <f t="shared" si="54"/>
        <v>6.1332247839885612E-3</v>
      </c>
      <c r="K864" s="8">
        <f t="shared" si="51"/>
        <v>0.38558489514387229</v>
      </c>
    </row>
    <row r="865" spans="1:11" x14ac:dyDescent="0.25">
      <c r="A865" t="str">
        <f t="shared" si="52"/>
        <v>72020</v>
      </c>
      <c r="B865" s="1">
        <v>44015</v>
      </c>
      <c r="C865" s="7">
        <f ca="1">IFERROR(__xludf.DUMMYFUNCTION("""COMPUTED_VALUE"""),44015.6458333333)</f>
        <v>44015.645833333299</v>
      </c>
      <c r="D865">
        <v>10020</v>
      </c>
      <c r="E865">
        <v>10046.1</v>
      </c>
      <c r="F865">
        <v>9927.6</v>
      </c>
      <c r="G865">
        <v>9963.4</v>
      </c>
      <c r="H865">
        <v>0</v>
      </c>
      <c r="I865" s="8">
        <f t="shared" si="53"/>
        <v>1.9861921930075521E-3</v>
      </c>
      <c r="J865" s="8">
        <f t="shared" si="54"/>
        <v>1.984222321225138E-3</v>
      </c>
      <c r="K865" s="8">
        <f t="shared" si="51"/>
        <v>0.41793445002632823</v>
      </c>
    </row>
    <row r="866" spans="1:11" x14ac:dyDescent="0.25">
      <c r="A866" t="str">
        <f t="shared" si="52"/>
        <v>72020</v>
      </c>
      <c r="B866" s="1">
        <v>44018</v>
      </c>
      <c r="C866" s="7">
        <f ca="1">IFERROR(__xludf.DUMMYFUNCTION("""COMPUTED_VALUE"""),44018.6458333333)</f>
        <v>44018.645833333299</v>
      </c>
      <c r="D866">
        <v>10002.25</v>
      </c>
      <c r="E866">
        <v>10012.950000000001</v>
      </c>
      <c r="F866">
        <v>9852.2999999999993</v>
      </c>
      <c r="G866">
        <v>9901.25</v>
      </c>
      <c r="H866">
        <v>0</v>
      </c>
      <c r="I866" s="8">
        <f t="shared" si="53"/>
        <v>-6.2378304594816747E-3</v>
      </c>
      <c r="J866" s="8">
        <f t="shared" si="54"/>
        <v>-6.2573670100689966E-3</v>
      </c>
      <c r="K866" s="8">
        <f t="shared" si="51"/>
        <v>0.3449861443164528</v>
      </c>
    </row>
    <row r="867" spans="1:11" x14ac:dyDescent="0.25">
      <c r="A867" t="str">
        <f t="shared" si="52"/>
        <v>72020</v>
      </c>
      <c r="B867" s="1">
        <v>44019</v>
      </c>
      <c r="C867" s="7">
        <f ca="1">IFERROR(__xludf.DUMMYFUNCTION("""COMPUTED_VALUE"""),44019.6458333333)</f>
        <v>44019.645833333299</v>
      </c>
      <c r="D867">
        <v>9924.7000000000007</v>
      </c>
      <c r="E867">
        <v>10000.950000000001</v>
      </c>
      <c r="F867">
        <v>9866.9500000000007</v>
      </c>
      <c r="G867">
        <v>9878</v>
      </c>
      <c r="H867">
        <v>0</v>
      </c>
      <c r="I867" s="8">
        <f t="shared" si="53"/>
        <v>-2.3481883600555697E-3</v>
      </c>
      <c r="J867" s="8">
        <f t="shared" si="54"/>
        <v>-2.3509496779193068E-3</v>
      </c>
      <c r="K867" s="8">
        <f t="shared" si="51"/>
        <v>0.21577629125460773</v>
      </c>
    </row>
    <row r="868" spans="1:11" x14ac:dyDescent="0.25">
      <c r="A868" t="str">
        <f t="shared" si="52"/>
        <v>72020</v>
      </c>
      <c r="B868" s="1">
        <v>44020</v>
      </c>
      <c r="C868" s="7">
        <f ca="1">IFERROR(__xludf.DUMMYFUNCTION("""COMPUTED_VALUE"""),44020.6458333333)</f>
        <v>44020.645833333299</v>
      </c>
      <c r="D868">
        <v>9920.85</v>
      </c>
      <c r="E868">
        <v>10035.85</v>
      </c>
      <c r="F868">
        <v>9909.9500000000007</v>
      </c>
      <c r="G868">
        <v>9948.5</v>
      </c>
      <c r="H868">
        <v>0</v>
      </c>
      <c r="I868" s="8">
        <f t="shared" si="53"/>
        <v>7.1370722818384635E-3</v>
      </c>
      <c r="J868" s="8">
        <f t="shared" si="54"/>
        <v>7.1117239187325357E-3</v>
      </c>
      <c r="K868" s="8">
        <f t="shared" si="51"/>
        <v>0.18262761227740643</v>
      </c>
    </row>
    <row r="869" spans="1:11" x14ac:dyDescent="0.25">
      <c r="A869" t="str">
        <f t="shared" si="52"/>
        <v>72020</v>
      </c>
      <c r="B869" s="1">
        <v>44021</v>
      </c>
      <c r="C869" s="7">
        <f ca="1">IFERROR(__xludf.DUMMYFUNCTION("""COMPUTED_VALUE"""),44021.6458333333)</f>
        <v>44021.645833333299</v>
      </c>
      <c r="D869">
        <v>10000.9</v>
      </c>
      <c r="E869">
        <v>10039.700000000001</v>
      </c>
      <c r="F869">
        <v>9955.35</v>
      </c>
      <c r="G869">
        <v>9987.5499999999993</v>
      </c>
      <c r="H869">
        <v>0</v>
      </c>
      <c r="I869" s="8">
        <f t="shared" si="53"/>
        <v>3.9252148565109835E-3</v>
      </c>
      <c r="J869" s="8">
        <f t="shared" si="54"/>
        <v>3.9175313005184211E-3</v>
      </c>
      <c r="K869" s="8">
        <f t="shared" si="51"/>
        <v>0.13489082944622122</v>
      </c>
    </row>
    <row r="870" spans="1:11" x14ac:dyDescent="0.25">
      <c r="A870" t="str">
        <f t="shared" si="52"/>
        <v>72020</v>
      </c>
      <c r="B870" s="1">
        <v>44022</v>
      </c>
      <c r="C870" s="7">
        <f ca="1">IFERROR(__xludf.DUMMYFUNCTION("""COMPUTED_VALUE"""),44022.6458333333)</f>
        <v>44022.645833333299</v>
      </c>
      <c r="D870">
        <v>9998.5499999999993</v>
      </c>
      <c r="E870">
        <v>10161.15</v>
      </c>
      <c r="F870">
        <v>9982.5499999999993</v>
      </c>
      <c r="G870">
        <v>10072.25</v>
      </c>
      <c r="H870">
        <v>0</v>
      </c>
      <c r="I870" s="8">
        <f t="shared" si="53"/>
        <v>8.4805582950775449E-3</v>
      </c>
      <c r="J870" s="8">
        <f t="shared" si="54"/>
        <v>8.4448003830546129E-3</v>
      </c>
      <c r="K870" s="8">
        <f t="shared" si="51"/>
        <v>0.11365106392388613</v>
      </c>
    </row>
    <row r="871" spans="1:11" x14ac:dyDescent="0.25">
      <c r="A871" t="str">
        <f t="shared" si="52"/>
        <v>72020</v>
      </c>
      <c r="B871" s="1">
        <v>44025</v>
      </c>
      <c r="C871" s="7">
        <f ca="1">IFERROR(__xludf.DUMMYFUNCTION("""COMPUTED_VALUE"""),44025.6458333333)</f>
        <v>44025.645833333299</v>
      </c>
      <c r="D871">
        <v>10171.85</v>
      </c>
      <c r="E871">
        <v>10185.35</v>
      </c>
      <c r="F871">
        <v>10065.950000000001</v>
      </c>
      <c r="G871">
        <v>10106.6</v>
      </c>
      <c r="H871">
        <v>0</v>
      </c>
      <c r="I871" s="8">
        <f t="shared" si="53"/>
        <v>3.4103601479311685E-3</v>
      </c>
      <c r="J871" s="8">
        <f t="shared" si="54"/>
        <v>3.404558057498357E-3</v>
      </c>
      <c r="K871" s="8">
        <f t="shared" si="51"/>
        <v>0.11813515068371916</v>
      </c>
    </row>
    <row r="872" spans="1:11" x14ac:dyDescent="0.25">
      <c r="A872" t="str">
        <f t="shared" si="52"/>
        <v>72020</v>
      </c>
      <c r="B872" s="1">
        <v>44026</v>
      </c>
      <c r="C872" s="7">
        <f ca="1">IFERROR(__xludf.DUMMYFUNCTION("""COMPUTED_VALUE"""),44026.6458333333)</f>
        <v>44026.645833333299</v>
      </c>
      <c r="D872">
        <v>10132.6</v>
      </c>
      <c r="E872">
        <v>10203.549999999999</v>
      </c>
      <c r="F872">
        <v>10105.299999999999</v>
      </c>
      <c r="G872">
        <v>10155.049999999999</v>
      </c>
      <c r="H872">
        <v>0</v>
      </c>
      <c r="I872" s="8">
        <f t="shared" si="53"/>
        <v>4.7938970573684347E-3</v>
      </c>
      <c r="J872" s="8">
        <f t="shared" si="54"/>
        <v>4.7824429249046308E-3</v>
      </c>
      <c r="K872" s="8">
        <f t="shared" si="51"/>
        <v>0.10389377452632265</v>
      </c>
    </row>
    <row r="873" spans="1:11" x14ac:dyDescent="0.25">
      <c r="A873" t="str">
        <f t="shared" si="52"/>
        <v>72020</v>
      </c>
      <c r="B873" s="1">
        <v>44027</v>
      </c>
      <c r="C873" s="7">
        <f ca="1">IFERROR(__xludf.DUMMYFUNCTION("""COMPUTED_VALUE"""),44027.6458333333)</f>
        <v>44027.645833333299</v>
      </c>
      <c r="D873">
        <v>10192.299999999999</v>
      </c>
      <c r="E873">
        <v>10261.200000000001</v>
      </c>
      <c r="F873">
        <v>10157.299999999999</v>
      </c>
      <c r="G873">
        <v>10210.75</v>
      </c>
      <c r="H873">
        <v>0</v>
      </c>
      <c r="I873" s="8">
        <f t="shared" si="53"/>
        <v>5.4849557609268906E-3</v>
      </c>
      <c r="J873" s="8">
        <f t="shared" si="54"/>
        <v>5.4699681702814742E-3</v>
      </c>
      <c r="K873" s="8">
        <f t="shared" si="51"/>
        <v>0.11498457590565359</v>
      </c>
    </row>
    <row r="874" spans="1:11" x14ac:dyDescent="0.25">
      <c r="A874" t="str">
        <f t="shared" si="52"/>
        <v>72020</v>
      </c>
      <c r="B874" s="1">
        <v>44028</v>
      </c>
      <c r="C874" s="7">
        <f ca="1">IFERROR(__xludf.DUMMYFUNCTION("""COMPUTED_VALUE"""),44028.6458333333)</f>
        <v>44028.645833333299</v>
      </c>
      <c r="D874">
        <v>10234.85</v>
      </c>
      <c r="E874">
        <v>10398.5</v>
      </c>
      <c r="F874">
        <v>10166.75</v>
      </c>
      <c r="G874">
        <v>10382.299999999999</v>
      </c>
      <c r="H874">
        <v>0</v>
      </c>
      <c r="I874" s="8">
        <f t="shared" si="53"/>
        <v>1.680092059838878E-2</v>
      </c>
      <c r="J874" s="8">
        <f t="shared" si="54"/>
        <v>1.6661346280569901E-2</v>
      </c>
      <c r="K874" s="8">
        <f t="shared" si="51"/>
        <v>0.13477681108730799</v>
      </c>
    </row>
    <row r="875" spans="1:11" x14ac:dyDescent="0.25">
      <c r="A875" t="str">
        <f t="shared" si="52"/>
        <v>72020</v>
      </c>
      <c r="B875" s="1">
        <v>44029</v>
      </c>
      <c r="C875" s="7">
        <f ca="1">IFERROR(__xludf.DUMMYFUNCTION("""COMPUTED_VALUE"""),44029.6458333333)</f>
        <v>44029.645833333299</v>
      </c>
      <c r="D875">
        <v>10394.799999999999</v>
      </c>
      <c r="E875">
        <v>10497.15</v>
      </c>
      <c r="F875">
        <v>10347.049999999999</v>
      </c>
      <c r="G875">
        <v>10472.15</v>
      </c>
      <c r="H875">
        <v>0</v>
      </c>
      <c r="I875" s="8">
        <f t="shared" si="53"/>
        <v>8.6541517775444721E-3</v>
      </c>
      <c r="J875" s="8">
        <f t="shared" si="54"/>
        <v>8.6169192624022742E-3</v>
      </c>
      <c r="K875" s="8">
        <f t="shared" si="51"/>
        <v>0.11623754883202841</v>
      </c>
    </row>
    <row r="876" spans="1:11" x14ac:dyDescent="0.25">
      <c r="A876" t="str">
        <f t="shared" si="52"/>
        <v>72020</v>
      </c>
      <c r="B876" s="1">
        <v>44032</v>
      </c>
      <c r="C876" s="7">
        <f ca="1">IFERROR(__xludf.DUMMYFUNCTION("""COMPUTED_VALUE"""),44032.6458333333)</f>
        <v>44032.645833333299</v>
      </c>
      <c r="D876">
        <v>10495.15</v>
      </c>
      <c r="E876">
        <v>10495.15</v>
      </c>
      <c r="F876">
        <v>10283.25</v>
      </c>
      <c r="G876">
        <v>10304.6</v>
      </c>
      <c r="H876">
        <v>0</v>
      </c>
      <c r="I876" s="8">
        <f t="shared" si="53"/>
        <v>-1.5999579837951083E-2</v>
      </c>
      <c r="J876" s="8">
        <f t="shared" si="54"/>
        <v>-1.6128954936022639E-2</v>
      </c>
      <c r="K876" s="8">
        <f t="shared" si="51"/>
        <v>9.8922896448757625E-2</v>
      </c>
    </row>
    <row r="877" spans="1:11" x14ac:dyDescent="0.25">
      <c r="A877" t="str">
        <f t="shared" si="52"/>
        <v>72020</v>
      </c>
      <c r="B877" s="1">
        <v>44033</v>
      </c>
      <c r="C877" s="7">
        <f ca="1">IFERROR(__xludf.DUMMYFUNCTION("""COMPUTED_VALUE"""),44033.6458333333)</f>
        <v>44033.645833333299</v>
      </c>
      <c r="D877">
        <v>10355.85</v>
      </c>
      <c r="E877">
        <v>10381.299999999999</v>
      </c>
      <c r="F877">
        <v>10133.25</v>
      </c>
      <c r="G877">
        <v>10153.799999999999</v>
      </c>
      <c r="H877">
        <v>0</v>
      </c>
      <c r="I877" s="8">
        <f t="shared" si="53"/>
        <v>-1.4634241018574357E-2</v>
      </c>
      <c r="J877" s="8">
        <f t="shared" si="54"/>
        <v>-1.4742377820414683E-2</v>
      </c>
      <c r="K877" s="8">
        <f t="shared" si="51"/>
        <v>8.1468542640777963E-2</v>
      </c>
    </row>
    <row r="878" spans="1:11" x14ac:dyDescent="0.25">
      <c r="A878" t="str">
        <f t="shared" si="52"/>
        <v>72020</v>
      </c>
      <c r="B878" s="1">
        <v>44034</v>
      </c>
      <c r="C878" s="7">
        <f ca="1">IFERROR(__xludf.DUMMYFUNCTION("""COMPUTED_VALUE"""),44034.6458333333)</f>
        <v>44034.645833333299</v>
      </c>
      <c r="D878">
        <v>10199.75</v>
      </c>
      <c r="E878">
        <v>10355.5</v>
      </c>
      <c r="F878">
        <v>10110.049999999999</v>
      </c>
      <c r="G878">
        <v>10175.200000000001</v>
      </c>
      <c r="H878">
        <v>0</v>
      </c>
      <c r="I878" s="8">
        <f t="shared" si="53"/>
        <v>2.1075853375092102E-3</v>
      </c>
      <c r="J878" s="8">
        <f t="shared" si="54"/>
        <v>2.1053674951797283E-3</v>
      </c>
      <c r="K878" s="8">
        <f t="shared" si="51"/>
        <v>6.8997578387237413E-2</v>
      </c>
    </row>
    <row r="879" spans="1:11" x14ac:dyDescent="0.25">
      <c r="A879" t="str">
        <f t="shared" si="52"/>
        <v>72020</v>
      </c>
      <c r="B879" s="1">
        <v>44035</v>
      </c>
      <c r="C879" s="7">
        <f ca="1">IFERROR(__xludf.DUMMYFUNCTION("""COMPUTED_VALUE"""),44035.6458333333)</f>
        <v>44035.645833333299</v>
      </c>
      <c r="D879">
        <v>10237.950000000001</v>
      </c>
      <c r="E879">
        <v>10335.299999999999</v>
      </c>
      <c r="F879">
        <v>10207.75</v>
      </c>
      <c r="G879">
        <v>10322.15</v>
      </c>
      <c r="H879">
        <v>0</v>
      </c>
      <c r="I879" s="8">
        <f t="shared" si="53"/>
        <v>1.4441976570485071E-2</v>
      </c>
      <c r="J879" s="8">
        <f t="shared" si="54"/>
        <v>1.4338684533237018E-2</v>
      </c>
      <c r="K879" s="8">
        <f t="shared" si="51"/>
        <v>7.4994402237022362E-2</v>
      </c>
    </row>
    <row r="880" spans="1:11" x14ac:dyDescent="0.25">
      <c r="A880" t="str">
        <f t="shared" si="52"/>
        <v>72020</v>
      </c>
      <c r="B880" s="1">
        <v>44036</v>
      </c>
      <c r="C880" s="7">
        <f ca="1">IFERROR(__xludf.DUMMYFUNCTION("""COMPUTED_VALUE"""),44036.6458333333)</f>
        <v>44036.645833333299</v>
      </c>
      <c r="D880">
        <v>10382.35</v>
      </c>
      <c r="E880">
        <v>10476</v>
      </c>
      <c r="F880">
        <v>10192.200000000001</v>
      </c>
      <c r="G880">
        <v>10237.950000000001</v>
      </c>
      <c r="H880">
        <v>0</v>
      </c>
      <c r="I880" s="8">
        <f t="shared" si="53"/>
        <v>-8.1572153088260713E-3</v>
      </c>
      <c r="J880" s="8">
        <f t="shared" si="54"/>
        <v>-8.1906674312693713E-3</v>
      </c>
      <c r="K880" s="8">
        <f t="shared" si="51"/>
        <v>9.0744923398180299E-2</v>
      </c>
    </row>
    <row r="881" spans="1:11" x14ac:dyDescent="0.25">
      <c r="A881" t="str">
        <f t="shared" si="52"/>
        <v>72020</v>
      </c>
      <c r="B881" s="1">
        <v>44039</v>
      </c>
      <c r="C881" s="7">
        <f ca="1">IFERROR(__xludf.DUMMYFUNCTION("""COMPUTED_VALUE"""),44039.6458333333)</f>
        <v>44039.645833333299</v>
      </c>
      <c r="D881">
        <v>10247.4</v>
      </c>
      <c r="E881">
        <v>10265.549999999999</v>
      </c>
      <c r="F881">
        <v>9994.7999999999993</v>
      </c>
      <c r="G881">
        <v>10062.049999999999</v>
      </c>
      <c r="H881">
        <v>0</v>
      </c>
      <c r="I881" s="8">
        <f t="shared" si="53"/>
        <v>-1.7181173965491237E-2</v>
      </c>
      <c r="J881" s="8">
        <f t="shared" si="54"/>
        <v>-1.7330483009309252E-2</v>
      </c>
      <c r="K881" s="8">
        <f t="shared" si="51"/>
        <v>7.209031000111854E-2</v>
      </c>
    </row>
    <row r="882" spans="1:11" x14ac:dyDescent="0.25">
      <c r="A882" t="str">
        <f t="shared" si="52"/>
        <v>72020</v>
      </c>
      <c r="B882" s="1">
        <v>44040</v>
      </c>
      <c r="C882" s="7">
        <f ca="1">IFERROR(__xludf.DUMMYFUNCTION("""COMPUTED_VALUE"""),44040.6458333333)</f>
        <v>44040.645833333299</v>
      </c>
      <c r="D882">
        <v>10065.450000000001</v>
      </c>
      <c r="E882">
        <v>10168.549999999999</v>
      </c>
      <c r="F882">
        <v>10033.299999999999</v>
      </c>
      <c r="G882">
        <v>10128.049999999999</v>
      </c>
      <c r="H882">
        <v>0</v>
      </c>
      <c r="I882" s="8">
        <f t="shared" si="53"/>
        <v>6.5592995463150672E-3</v>
      </c>
      <c r="J882" s="8">
        <f t="shared" si="54"/>
        <v>6.5378809506849728E-3</v>
      </c>
      <c r="K882" s="8">
        <f t="shared" si="51"/>
        <v>8.5873422607241068E-2</v>
      </c>
    </row>
    <row r="883" spans="1:11" x14ac:dyDescent="0.25">
      <c r="A883" t="str">
        <f t="shared" si="52"/>
        <v>72020</v>
      </c>
      <c r="B883" s="1">
        <v>44041</v>
      </c>
      <c r="C883" s="7">
        <f ca="1">IFERROR(__xludf.DUMMYFUNCTION("""COMPUTED_VALUE"""),44041.6458333333)</f>
        <v>44041.645833333299</v>
      </c>
      <c r="D883">
        <v>10176.4</v>
      </c>
      <c r="E883">
        <v>10469.1</v>
      </c>
      <c r="F883">
        <v>10166.1</v>
      </c>
      <c r="G883">
        <v>10441.15</v>
      </c>
      <c r="H883">
        <v>0</v>
      </c>
      <c r="I883" s="8">
        <f t="shared" si="53"/>
        <v>3.0914144381198883E-2</v>
      </c>
      <c r="J883" s="8">
        <f t="shared" si="54"/>
        <v>3.0445927446292143E-2</v>
      </c>
      <c r="K883" s="8">
        <f t="shared" si="51"/>
        <v>0.11495952843687918</v>
      </c>
    </row>
    <row r="884" spans="1:11" x14ac:dyDescent="0.25">
      <c r="A884" t="str">
        <f t="shared" si="52"/>
        <v>72020</v>
      </c>
      <c r="B884" s="1">
        <v>44042</v>
      </c>
      <c r="C884" s="7">
        <f ca="1">IFERROR(__xludf.DUMMYFUNCTION("""COMPUTED_VALUE"""),44042.6458333333)</f>
        <v>44042.645833333299</v>
      </c>
      <c r="D884">
        <v>10505.3</v>
      </c>
      <c r="E884">
        <v>10788.3</v>
      </c>
      <c r="F884">
        <v>10493.55</v>
      </c>
      <c r="G884">
        <v>10766.05</v>
      </c>
      <c r="H884">
        <v>0</v>
      </c>
      <c r="I884" s="8">
        <f t="shared" si="53"/>
        <v>3.1117261987424705E-2</v>
      </c>
      <c r="J884" s="8">
        <f t="shared" si="54"/>
        <v>3.0642934733625823E-2</v>
      </c>
      <c r="K884" s="8">
        <f t="shared" si="51"/>
        <v>0.17258073299569787</v>
      </c>
    </row>
    <row r="885" spans="1:11" x14ac:dyDescent="0.25">
      <c r="A885" t="str">
        <f t="shared" si="52"/>
        <v>72020</v>
      </c>
      <c r="B885" s="1">
        <v>44043</v>
      </c>
      <c r="C885" s="7">
        <f ca="1">IFERROR(__xludf.DUMMYFUNCTION("""COMPUTED_VALUE"""),44043.6458333333)</f>
        <v>44043.645833333299</v>
      </c>
      <c r="D885">
        <v>10801.05</v>
      </c>
      <c r="E885">
        <v>11194.45</v>
      </c>
      <c r="F885">
        <v>10780.45</v>
      </c>
      <c r="G885">
        <v>11148.9</v>
      </c>
      <c r="H885">
        <v>0</v>
      </c>
      <c r="I885" s="8">
        <f t="shared" si="53"/>
        <v>3.5560860296951935E-2</v>
      </c>
      <c r="J885" s="8">
        <f t="shared" si="54"/>
        <v>3.4943173952512667E-2</v>
      </c>
      <c r="K885" s="8">
        <f t="shared" si="51"/>
        <v>0.20827124301653277</v>
      </c>
    </row>
    <row r="886" spans="1:11" x14ac:dyDescent="0.25">
      <c r="A886" t="str">
        <f t="shared" si="52"/>
        <v>82020</v>
      </c>
      <c r="B886" s="1">
        <v>44046</v>
      </c>
      <c r="C886" s="7">
        <f ca="1">IFERROR(__xludf.DUMMYFUNCTION("""COMPUTED_VALUE"""),44046.6458333333)</f>
        <v>44046.645833333299</v>
      </c>
      <c r="D886">
        <v>11176.3</v>
      </c>
      <c r="E886">
        <v>11389.95</v>
      </c>
      <c r="F886">
        <v>11090.65</v>
      </c>
      <c r="G886">
        <v>11128.4</v>
      </c>
      <c r="H886">
        <v>0</v>
      </c>
      <c r="I886" s="8">
        <f t="shared" si="53"/>
        <v>-1.8387464234139728E-3</v>
      </c>
      <c r="J886" s="8">
        <f t="shared" si="54"/>
        <v>-1.8404389927408778E-3</v>
      </c>
      <c r="K886" s="8">
        <f t="shared" si="51"/>
        <v>0.21647117980782893</v>
      </c>
    </row>
    <row r="887" spans="1:11" x14ac:dyDescent="0.25">
      <c r="A887" t="str">
        <f t="shared" si="52"/>
        <v>82020</v>
      </c>
      <c r="B887" s="1">
        <v>44047</v>
      </c>
      <c r="C887" s="7">
        <f ca="1">IFERROR(__xludf.DUMMYFUNCTION("""COMPUTED_VALUE"""),44047.6458333333)</f>
        <v>44047.645833333299</v>
      </c>
      <c r="D887">
        <v>11179.5</v>
      </c>
      <c r="E887">
        <v>11337.7</v>
      </c>
      <c r="F887">
        <v>11056.95</v>
      </c>
      <c r="G887">
        <v>11316.95</v>
      </c>
      <c r="H887">
        <v>0</v>
      </c>
      <c r="I887" s="8">
        <f t="shared" si="53"/>
        <v>1.6943136479637744E-2</v>
      </c>
      <c r="J887" s="8">
        <f t="shared" si="54"/>
        <v>1.6801202503859965E-2</v>
      </c>
      <c r="K887" s="8">
        <f t="shared" si="51"/>
        <v>0.21123044732349738</v>
      </c>
    </row>
    <row r="888" spans="1:11" x14ac:dyDescent="0.25">
      <c r="A888" t="str">
        <f t="shared" si="52"/>
        <v>82020</v>
      </c>
      <c r="B888" s="1">
        <v>44048</v>
      </c>
      <c r="C888" s="7">
        <f ca="1">IFERROR(__xludf.DUMMYFUNCTION("""COMPUTED_VALUE"""),44048.6458333333)</f>
        <v>44048.645833333299</v>
      </c>
      <c r="D888">
        <v>11397.7</v>
      </c>
      <c r="E888">
        <v>11413.85</v>
      </c>
      <c r="F888">
        <v>11239.05</v>
      </c>
      <c r="G888">
        <v>11263.75</v>
      </c>
      <c r="H888">
        <v>0</v>
      </c>
      <c r="I888" s="8">
        <f t="shared" si="53"/>
        <v>-4.7009132319221214E-3</v>
      </c>
      <c r="J888" s="8">
        <f t="shared" si="54"/>
        <v>-4.7119972749208403E-3</v>
      </c>
      <c r="K888" s="8">
        <f t="shared" si="51"/>
        <v>0.21020596735895491</v>
      </c>
    </row>
    <row r="889" spans="1:11" x14ac:dyDescent="0.25">
      <c r="A889" t="str">
        <f t="shared" si="52"/>
        <v>82020</v>
      </c>
      <c r="B889" s="1">
        <v>44049</v>
      </c>
      <c r="C889" s="7">
        <f ca="1">IFERROR(__xludf.DUMMYFUNCTION("""COMPUTED_VALUE"""),44049.6458333333)</f>
        <v>44049.645833333299</v>
      </c>
      <c r="D889">
        <v>11325.9</v>
      </c>
      <c r="E889">
        <v>11478.5</v>
      </c>
      <c r="F889">
        <v>11265</v>
      </c>
      <c r="G889">
        <v>11403.65</v>
      </c>
      <c r="H889">
        <v>0</v>
      </c>
      <c r="I889" s="8">
        <f t="shared" si="53"/>
        <v>1.2420375097103475E-2</v>
      </c>
      <c r="J889" s="8">
        <f t="shared" si="54"/>
        <v>1.2343875026718449E-2</v>
      </c>
      <c r="K889" s="8">
        <f t="shared" si="51"/>
        <v>0.23327367208664751</v>
      </c>
    </row>
    <row r="890" spans="1:11" x14ac:dyDescent="0.25">
      <c r="A890" t="str">
        <f t="shared" si="52"/>
        <v>82020</v>
      </c>
      <c r="B890" s="1">
        <v>44050</v>
      </c>
      <c r="C890" s="7">
        <f ca="1">IFERROR(__xludf.DUMMYFUNCTION("""COMPUTED_VALUE"""),44050.6458333333)</f>
        <v>44050.645833333299</v>
      </c>
      <c r="D890">
        <v>11410.15</v>
      </c>
      <c r="E890">
        <v>11468</v>
      </c>
      <c r="F890">
        <v>11283.6</v>
      </c>
      <c r="G890">
        <v>11333</v>
      </c>
      <c r="H890">
        <v>0</v>
      </c>
      <c r="I890" s="8">
        <f t="shared" si="53"/>
        <v>-6.1953848110034571E-3</v>
      </c>
      <c r="J890" s="8">
        <f t="shared" si="54"/>
        <v>-6.2146558430171217E-3</v>
      </c>
      <c r="K890" s="8">
        <f t="shared" si="51"/>
        <v>0.2388838785493701</v>
      </c>
    </row>
    <row r="891" spans="1:11" x14ac:dyDescent="0.25">
      <c r="A891" t="str">
        <f t="shared" si="52"/>
        <v>82020</v>
      </c>
      <c r="B891" s="1">
        <v>44053</v>
      </c>
      <c r="C891" s="7">
        <f ca="1">IFERROR(__xludf.DUMMYFUNCTION("""COMPUTED_VALUE"""),44053.6458333333)</f>
        <v>44053.645833333299</v>
      </c>
      <c r="D891">
        <v>11583.6</v>
      </c>
      <c r="E891">
        <v>12027.95</v>
      </c>
      <c r="F891">
        <v>11582.45</v>
      </c>
      <c r="G891">
        <v>11941.4</v>
      </c>
      <c r="H891">
        <v>0</v>
      </c>
      <c r="I891" s="8">
        <f t="shared" si="53"/>
        <v>5.3683931880349478E-2</v>
      </c>
      <c r="J891" s="8">
        <f t="shared" si="54"/>
        <v>5.2292530271380325E-2</v>
      </c>
      <c r="K891" s="8">
        <f t="shared" si="51"/>
        <v>0.3019123002115085</v>
      </c>
    </row>
    <row r="892" spans="1:11" x14ac:dyDescent="0.25">
      <c r="A892" t="str">
        <f t="shared" si="52"/>
        <v>82020</v>
      </c>
      <c r="B892" s="1">
        <v>44054</v>
      </c>
      <c r="C892" s="7">
        <f ca="1">IFERROR(__xludf.DUMMYFUNCTION("""COMPUTED_VALUE"""),44054.6458333333)</f>
        <v>44054.645833333299</v>
      </c>
      <c r="D892">
        <v>12021.85</v>
      </c>
      <c r="E892">
        <v>12045.3</v>
      </c>
      <c r="F892">
        <v>11712.4</v>
      </c>
      <c r="G892">
        <v>11772.25</v>
      </c>
      <c r="H892">
        <v>0</v>
      </c>
      <c r="I892" s="8">
        <f t="shared" si="53"/>
        <v>-1.4165005778216888E-2</v>
      </c>
      <c r="J892" s="8">
        <f t="shared" si="54"/>
        <v>-1.4266287043300149E-2</v>
      </c>
      <c r="K892" s="8">
        <f t="shared" si="51"/>
        <v>0.29464973056197086</v>
      </c>
    </row>
    <row r="893" spans="1:11" x14ac:dyDescent="0.25">
      <c r="A893" t="str">
        <f t="shared" si="52"/>
        <v>82020</v>
      </c>
      <c r="B893" s="1">
        <v>44055</v>
      </c>
      <c r="C893" s="7">
        <f ca="1">IFERROR(__xludf.DUMMYFUNCTION("""COMPUTED_VALUE"""),44055.6458333333)</f>
        <v>44055.645833333299</v>
      </c>
      <c r="D893">
        <v>11766.4</v>
      </c>
      <c r="E893">
        <v>11766.4</v>
      </c>
      <c r="F893">
        <v>11536.75</v>
      </c>
      <c r="G893">
        <v>11590.25</v>
      </c>
      <c r="H893">
        <v>0</v>
      </c>
      <c r="I893" s="8">
        <f t="shared" si="53"/>
        <v>-1.5460086219711622E-2</v>
      </c>
      <c r="J893" s="8">
        <f t="shared" si="54"/>
        <v>-1.5580839540626369E-2</v>
      </c>
      <c r="K893" s="8">
        <f t="shared" si="51"/>
        <v>0.27468339812925824</v>
      </c>
    </row>
    <row r="894" spans="1:11" x14ac:dyDescent="0.25">
      <c r="A894" t="str">
        <f t="shared" si="52"/>
        <v>82020</v>
      </c>
      <c r="B894" s="1">
        <v>44056</v>
      </c>
      <c r="C894" s="7">
        <f ca="1">IFERROR(__xludf.DUMMYFUNCTION("""COMPUTED_VALUE"""),44056.6458333333)</f>
        <v>44056.645833333299</v>
      </c>
      <c r="D894">
        <v>11621.5</v>
      </c>
      <c r="E894">
        <v>11718.9</v>
      </c>
      <c r="F894">
        <v>11456.5</v>
      </c>
      <c r="G894">
        <v>11477.95</v>
      </c>
      <c r="H894">
        <v>0</v>
      </c>
      <c r="I894" s="8">
        <f t="shared" si="53"/>
        <v>-9.6891784042620888E-3</v>
      </c>
      <c r="J894" s="8">
        <f t="shared" si="54"/>
        <v>-9.7364239211919137E-3</v>
      </c>
      <c r="K894" s="8">
        <f t="shared" si="51"/>
        <v>0.26345133522664743</v>
      </c>
    </row>
    <row r="895" spans="1:11" x14ac:dyDescent="0.25">
      <c r="A895" t="str">
        <f t="shared" si="52"/>
        <v>82020</v>
      </c>
      <c r="B895" s="1">
        <v>44057</v>
      </c>
      <c r="C895" s="7">
        <f ca="1">IFERROR(__xludf.DUMMYFUNCTION("""COMPUTED_VALUE"""),44057.6458333333)</f>
        <v>44057.645833333299</v>
      </c>
      <c r="D895">
        <v>11529.4</v>
      </c>
      <c r="E895">
        <v>11800.65</v>
      </c>
      <c r="F895">
        <v>11465.7</v>
      </c>
      <c r="G895">
        <v>11640.4</v>
      </c>
      <c r="H895">
        <v>0</v>
      </c>
      <c r="I895" s="8">
        <f t="shared" si="53"/>
        <v>1.4153224225580185E-2</v>
      </c>
      <c r="J895" s="8">
        <f t="shared" si="54"/>
        <v>1.4054002456949244E-2</v>
      </c>
      <c r="K895" s="8">
        <f t="shared" si="51"/>
        <v>0.23090263091109042</v>
      </c>
    </row>
    <row r="896" spans="1:11" x14ac:dyDescent="0.25">
      <c r="A896" t="str">
        <f t="shared" si="52"/>
        <v>82020</v>
      </c>
      <c r="B896" s="1">
        <v>44060</v>
      </c>
      <c r="C896" s="7">
        <f ca="1">IFERROR(__xludf.DUMMYFUNCTION("""COMPUTED_VALUE"""),44060.6458333333)</f>
        <v>44060.645833333299</v>
      </c>
      <c r="D896">
        <v>11731.5</v>
      </c>
      <c r="E896">
        <v>11751</v>
      </c>
      <c r="F896">
        <v>11547.55</v>
      </c>
      <c r="G896">
        <v>11595.35</v>
      </c>
      <c r="H896">
        <v>0</v>
      </c>
      <c r="I896" s="8">
        <f t="shared" si="53"/>
        <v>-3.8701419195216191E-3</v>
      </c>
      <c r="J896" s="8">
        <f t="shared" si="54"/>
        <v>-3.877650297346148E-3</v>
      </c>
      <c r="K896" s="8">
        <f t="shared" ref="K896:K959" si="55">+G896/G835-1</f>
        <v>0.21792858605857868</v>
      </c>
    </row>
    <row r="897" spans="1:11" x14ac:dyDescent="0.25">
      <c r="A897" t="str">
        <f t="shared" si="52"/>
        <v>82020</v>
      </c>
      <c r="B897" s="1">
        <v>44061</v>
      </c>
      <c r="C897" s="7">
        <f ca="1">IFERROR(__xludf.DUMMYFUNCTION("""COMPUTED_VALUE"""),44061.6458333333)</f>
        <v>44061.645833333299</v>
      </c>
      <c r="D897">
        <v>11620.75</v>
      </c>
      <c r="E897">
        <v>11694.2</v>
      </c>
      <c r="F897">
        <v>11537.4</v>
      </c>
      <c r="G897">
        <v>11581.7</v>
      </c>
      <c r="H897">
        <v>0</v>
      </c>
      <c r="I897" s="8">
        <f t="shared" si="53"/>
        <v>-1.1771960311676155E-3</v>
      </c>
      <c r="J897" s="8">
        <f t="shared" si="54"/>
        <v>-1.1778894706784275E-3</v>
      </c>
      <c r="K897" s="8">
        <f t="shared" si="55"/>
        <v>0.2063454036966248</v>
      </c>
    </row>
    <row r="898" spans="1:11" x14ac:dyDescent="0.25">
      <c r="A898" t="str">
        <f t="shared" si="52"/>
        <v>82020</v>
      </c>
      <c r="B898" s="1">
        <v>44062</v>
      </c>
      <c r="C898" s="7">
        <f ca="1">IFERROR(__xludf.DUMMYFUNCTION("""COMPUTED_VALUE"""),44062.6458333333)</f>
        <v>44062.645833333299</v>
      </c>
      <c r="D898">
        <v>11647.7</v>
      </c>
      <c r="E898">
        <v>11704.85</v>
      </c>
      <c r="F898">
        <v>11510.35</v>
      </c>
      <c r="G898">
        <v>11537.9</v>
      </c>
      <c r="H898">
        <v>0</v>
      </c>
      <c r="I898" s="8">
        <f t="shared" si="53"/>
        <v>-3.7818282290165151E-3</v>
      </c>
      <c r="J898" s="8">
        <f t="shared" si="54"/>
        <v>-3.7889974222061269E-3</v>
      </c>
      <c r="K898" s="8">
        <f t="shared" si="55"/>
        <v>0.21662888174197281</v>
      </c>
    </row>
    <row r="899" spans="1:11" x14ac:dyDescent="0.25">
      <c r="A899" t="str">
        <f t="shared" ref="A899:A962" si="56">+MONTH(B899)&amp;YEAR(B899)</f>
        <v>82020</v>
      </c>
      <c r="B899" s="1">
        <v>44063</v>
      </c>
      <c r="C899" s="7">
        <f ca="1">IFERROR(__xludf.DUMMYFUNCTION("""COMPUTED_VALUE"""),44063.6458333333)</f>
        <v>44063.645833333299</v>
      </c>
      <c r="D899">
        <v>11520.85</v>
      </c>
      <c r="E899">
        <v>11650.75</v>
      </c>
      <c r="F899">
        <v>11503.05</v>
      </c>
      <c r="G899">
        <v>11540.9</v>
      </c>
      <c r="H899">
        <v>0</v>
      </c>
      <c r="I899" s="8">
        <f t="shared" si="53"/>
        <v>2.6001265394914874E-4</v>
      </c>
      <c r="J899" s="8">
        <f t="shared" si="54"/>
        <v>2.5997885651742161E-4</v>
      </c>
      <c r="K899" s="8">
        <f t="shared" si="55"/>
        <v>0.21949131946278921</v>
      </c>
    </row>
    <row r="900" spans="1:11" x14ac:dyDescent="0.25">
      <c r="A900" t="str">
        <f t="shared" si="56"/>
        <v>82020</v>
      </c>
      <c r="B900" s="1">
        <v>44064</v>
      </c>
      <c r="C900" s="7">
        <f ca="1">IFERROR(__xludf.DUMMYFUNCTION("""COMPUTED_VALUE"""),44064.6458333333)</f>
        <v>44064.645833333299</v>
      </c>
      <c r="D900">
        <v>11659.75</v>
      </c>
      <c r="E900">
        <v>11733.95</v>
      </c>
      <c r="F900">
        <v>11594.05</v>
      </c>
      <c r="G900">
        <v>11614.9</v>
      </c>
      <c r="H900">
        <v>0</v>
      </c>
      <c r="I900" s="8">
        <f t="shared" ref="I900:I963" si="57">+G900/G899-1</f>
        <v>6.411978268592522E-3</v>
      </c>
      <c r="J900" s="8">
        <f t="shared" ref="J900:J963" si="58">+LN(1+I900)</f>
        <v>6.3915089883930017E-3</v>
      </c>
      <c r="K900" s="8">
        <f t="shared" si="55"/>
        <v>0.22720693116382273</v>
      </c>
    </row>
    <row r="901" spans="1:11" x14ac:dyDescent="0.25">
      <c r="A901" t="str">
        <f t="shared" si="56"/>
        <v>82020</v>
      </c>
      <c r="B901" s="1">
        <v>44067</v>
      </c>
      <c r="C901" s="7">
        <f ca="1">IFERROR(__xludf.DUMMYFUNCTION("""COMPUTED_VALUE"""),44067.6458333333)</f>
        <v>44067.645833333299</v>
      </c>
      <c r="D901">
        <v>11681.95</v>
      </c>
      <c r="E901">
        <v>11696.45</v>
      </c>
      <c r="F901">
        <v>11508.3</v>
      </c>
      <c r="G901">
        <v>11572.25</v>
      </c>
      <c r="H901">
        <v>0</v>
      </c>
      <c r="I901" s="8">
        <f t="shared" si="57"/>
        <v>-3.6720075075979963E-3</v>
      </c>
      <c r="J901" s="8">
        <f t="shared" si="58"/>
        <v>-3.6787658767600314E-3</v>
      </c>
      <c r="K901" s="8">
        <f t="shared" si="55"/>
        <v>0.18463751202833567</v>
      </c>
    </row>
    <row r="902" spans="1:11" x14ac:dyDescent="0.25">
      <c r="A902" t="str">
        <f t="shared" si="56"/>
        <v>82020</v>
      </c>
      <c r="B902" s="1">
        <v>44068</v>
      </c>
      <c r="C902" s="7">
        <f ca="1">IFERROR(__xludf.DUMMYFUNCTION("""COMPUTED_VALUE"""),44068.6458333333)</f>
        <v>44068.645833333299</v>
      </c>
      <c r="D902">
        <v>11649.75</v>
      </c>
      <c r="E902">
        <v>11674.55</v>
      </c>
      <c r="F902">
        <v>11485.15</v>
      </c>
      <c r="G902">
        <v>11500</v>
      </c>
      <c r="H902">
        <v>0</v>
      </c>
      <c r="I902" s="8">
        <f t="shared" si="57"/>
        <v>-6.2433839573117211E-3</v>
      </c>
      <c r="J902" s="8">
        <f t="shared" si="58"/>
        <v>-6.2629553827378177E-3</v>
      </c>
      <c r="K902" s="8">
        <f t="shared" si="55"/>
        <v>0.17321798390140875</v>
      </c>
    </row>
    <row r="903" spans="1:11" x14ac:dyDescent="0.25">
      <c r="A903" t="str">
        <f t="shared" si="56"/>
        <v>82020</v>
      </c>
      <c r="B903" s="1">
        <v>44069</v>
      </c>
      <c r="C903" s="7">
        <f ca="1">IFERROR(__xludf.DUMMYFUNCTION("""COMPUTED_VALUE"""),44069.6458333333)</f>
        <v>44069.645833333299</v>
      </c>
      <c r="D903">
        <v>11532.55</v>
      </c>
      <c r="E903">
        <v>11536.15</v>
      </c>
      <c r="F903">
        <v>11444.5</v>
      </c>
      <c r="G903">
        <v>11484.55</v>
      </c>
      <c r="H903">
        <v>0</v>
      </c>
      <c r="I903" s="8">
        <f t="shared" si="57"/>
        <v>-1.3434782608696683E-3</v>
      </c>
      <c r="J903" s="8">
        <f t="shared" si="58"/>
        <v>-1.3443815369001634E-3</v>
      </c>
      <c r="K903" s="8">
        <f t="shared" si="55"/>
        <v>0.16788866742596809</v>
      </c>
    </row>
    <row r="904" spans="1:11" x14ac:dyDescent="0.25">
      <c r="A904" t="str">
        <f t="shared" si="56"/>
        <v>82020</v>
      </c>
      <c r="B904" s="1">
        <v>44070</v>
      </c>
      <c r="C904" s="7">
        <f ca="1">IFERROR(__xludf.DUMMYFUNCTION("""COMPUTED_VALUE"""),44070.6458333333)</f>
        <v>44070.645833333299</v>
      </c>
      <c r="D904">
        <v>11516.4</v>
      </c>
      <c r="E904">
        <v>11640.85</v>
      </c>
      <c r="F904">
        <v>11509.15</v>
      </c>
      <c r="G904">
        <v>11588.05</v>
      </c>
      <c r="H904">
        <v>0</v>
      </c>
      <c r="I904" s="8">
        <f t="shared" si="57"/>
        <v>9.0121075706057763E-3</v>
      </c>
      <c r="J904" s="8">
        <f t="shared" si="58"/>
        <v>8.9717408739134405E-3</v>
      </c>
      <c r="K904" s="8">
        <f t="shared" si="55"/>
        <v>0.17477608081873064</v>
      </c>
    </row>
    <row r="905" spans="1:11" x14ac:dyDescent="0.25">
      <c r="A905" t="str">
        <f t="shared" si="56"/>
        <v>82020</v>
      </c>
      <c r="B905" s="1">
        <v>44071</v>
      </c>
      <c r="C905" s="7">
        <f ca="1">IFERROR(__xludf.DUMMYFUNCTION("""COMPUTED_VALUE"""),44071.6458333333)</f>
        <v>44071.645833333299</v>
      </c>
      <c r="D905">
        <v>11658.75</v>
      </c>
      <c r="E905">
        <v>11697.15</v>
      </c>
      <c r="F905">
        <v>11572.7</v>
      </c>
      <c r="G905">
        <v>11622.9</v>
      </c>
      <c r="H905">
        <v>0</v>
      </c>
      <c r="I905" s="8">
        <f t="shared" si="57"/>
        <v>3.0074084940951984E-3</v>
      </c>
      <c r="J905" s="8">
        <f t="shared" si="58"/>
        <v>3.0028952876095688E-3</v>
      </c>
      <c r="K905" s="8">
        <f t="shared" si="55"/>
        <v>0.15331147020445823</v>
      </c>
    </row>
    <row r="906" spans="1:11" x14ac:dyDescent="0.25">
      <c r="A906" t="str">
        <f t="shared" si="56"/>
        <v>82020</v>
      </c>
      <c r="B906" s="1">
        <v>44074</v>
      </c>
      <c r="C906" s="7">
        <f ca="1">IFERROR(__xludf.DUMMYFUNCTION("""COMPUTED_VALUE"""),44074.6458333333)</f>
        <v>44074.645833333299</v>
      </c>
      <c r="D906">
        <v>11675.7</v>
      </c>
      <c r="E906">
        <v>11710.15</v>
      </c>
      <c r="F906">
        <v>11005.9</v>
      </c>
      <c r="G906">
        <v>11079.8</v>
      </c>
      <c r="H906">
        <v>0</v>
      </c>
      <c r="I906" s="8">
        <f t="shared" si="57"/>
        <v>-4.6726720525858467E-2</v>
      </c>
      <c r="J906" s="8">
        <f t="shared" si="58"/>
        <v>-4.7853659379118806E-2</v>
      </c>
      <c r="K906" s="8">
        <f t="shared" si="55"/>
        <v>9.9044766051997302E-2</v>
      </c>
    </row>
    <row r="907" spans="1:11" x14ac:dyDescent="0.25">
      <c r="A907" t="str">
        <f t="shared" si="56"/>
        <v>92020</v>
      </c>
      <c r="B907" s="1">
        <v>44075</v>
      </c>
      <c r="C907" s="7">
        <f ca="1">IFERROR(__xludf.DUMMYFUNCTION("""COMPUTED_VALUE"""),44075.6458333333)</f>
        <v>44075.645833333299</v>
      </c>
      <c r="D907">
        <v>11103.65</v>
      </c>
      <c r="E907">
        <v>11401.5</v>
      </c>
      <c r="F907">
        <v>11052.4</v>
      </c>
      <c r="G907">
        <v>11339.5</v>
      </c>
      <c r="H907">
        <v>0</v>
      </c>
      <c r="I907" s="8">
        <f t="shared" si="57"/>
        <v>2.3439051246412435E-2</v>
      </c>
      <c r="J907" s="8">
        <f t="shared" si="58"/>
        <v>2.3168575002071104E-2</v>
      </c>
      <c r="K907" s="8">
        <f t="shared" si="55"/>
        <v>0.14089806924168191</v>
      </c>
    </row>
    <row r="908" spans="1:11" x14ac:dyDescent="0.25">
      <c r="A908" t="str">
        <f t="shared" si="56"/>
        <v>92020</v>
      </c>
      <c r="B908" s="1">
        <v>44076</v>
      </c>
      <c r="C908" s="7">
        <f ca="1">IFERROR(__xludf.DUMMYFUNCTION("""COMPUTED_VALUE"""),44076.6458333333)</f>
        <v>44076.645833333299</v>
      </c>
      <c r="D908">
        <v>11370.75</v>
      </c>
      <c r="E908">
        <v>11467.95</v>
      </c>
      <c r="F908">
        <v>11259.8</v>
      </c>
      <c r="G908">
        <v>11404.25</v>
      </c>
      <c r="H908">
        <v>0</v>
      </c>
      <c r="I908" s="8">
        <f t="shared" si="57"/>
        <v>5.7101283125358115E-3</v>
      </c>
      <c r="J908" s="8">
        <f t="shared" si="58"/>
        <v>5.6938873259445837E-3</v>
      </c>
      <c r="K908" s="8">
        <f t="shared" si="55"/>
        <v>0.12667394450728864</v>
      </c>
    </row>
    <row r="909" spans="1:11" x14ac:dyDescent="0.25">
      <c r="A909" t="str">
        <f t="shared" si="56"/>
        <v>92020</v>
      </c>
      <c r="B909" s="1">
        <v>44077</v>
      </c>
      <c r="C909" s="7">
        <f ca="1">IFERROR(__xludf.DUMMYFUNCTION("""COMPUTED_VALUE"""),44077.6458333333)</f>
        <v>44077.645833333299</v>
      </c>
      <c r="D909">
        <v>11453.35</v>
      </c>
      <c r="E909">
        <v>11567.15</v>
      </c>
      <c r="F909">
        <v>11365.15</v>
      </c>
      <c r="G909">
        <v>11511.85</v>
      </c>
      <c r="H909">
        <v>0</v>
      </c>
      <c r="I909" s="8">
        <f t="shared" si="57"/>
        <v>9.4350790275554708E-3</v>
      </c>
      <c r="J909" s="8">
        <f t="shared" si="58"/>
        <v>9.3908466755904148E-3</v>
      </c>
      <c r="K909" s="8">
        <f t="shared" si="55"/>
        <v>0.13425622582949481</v>
      </c>
    </row>
    <row r="910" spans="1:11" x14ac:dyDescent="0.25">
      <c r="A910" t="str">
        <f t="shared" si="56"/>
        <v>92020</v>
      </c>
      <c r="B910" s="1">
        <v>44078</v>
      </c>
      <c r="C910" s="7">
        <f ca="1">IFERROR(__xludf.DUMMYFUNCTION("""COMPUTED_VALUE"""),44078.6458333333)</f>
        <v>44078.645833333299</v>
      </c>
      <c r="D910">
        <v>11397.3</v>
      </c>
      <c r="E910">
        <v>11616.8</v>
      </c>
      <c r="F910">
        <v>11220.3</v>
      </c>
      <c r="G910">
        <v>11281.45</v>
      </c>
      <c r="H910">
        <v>0</v>
      </c>
      <c r="I910" s="8">
        <f t="shared" si="57"/>
        <v>-2.0014159322784719E-2</v>
      </c>
      <c r="J910" s="8">
        <f t="shared" si="58"/>
        <v>-2.0217155710452812E-2</v>
      </c>
      <c r="K910" s="8">
        <f t="shared" si="55"/>
        <v>0.13570882074616963</v>
      </c>
    </row>
    <row r="911" spans="1:11" x14ac:dyDescent="0.25">
      <c r="A911" t="str">
        <f t="shared" si="56"/>
        <v>92020</v>
      </c>
      <c r="B911" s="1">
        <v>44081</v>
      </c>
      <c r="C911" s="7">
        <f ca="1">IFERROR(__xludf.DUMMYFUNCTION("""COMPUTED_VALUE"""),44081.6458333333)</f>
        <v>44081.645833333299</v>
      </c>
      <c r="D911">
        <v>11343.1</v>
      </c>
      <c r="E911">
        <v>11415.75</v>
      </c>
      <c r="F911">
        <v>11150.75</v>
      </c>
      <c r="G911">
        <v>11269.85</v>
      </c>
      <c r="H911">
        <v>0</v>
      </c>
      <c r="I911" s="8">
        <f t="shared" si="57"/>
        <v>-1.0282366185198066E-3</v>
      </c>
      <c r="J911" s="8">
        <f t="shared" si="58"/>
        <v>-1.0287656164460874E-3</v>
      </c>
      <c r="K911" s="8">
        <f t="shared" si="55"/>
        <v>0.12892675401690923</v>
      </c>
    </row>
    <row r="912" spans="1:11" x14ac:dyDescent="0.25">
      <c r="A912" t="str">
        <f t="shared" si="56"/>
        <v>92020</v>
      </c>
      <c r="B912" s="1">
        <v>44082</v>
      </c>
      <c r="C912" s="7">
        <f ca="1">IFERROR(__xludf.DUMMYFUNCTION("""COMPUTED_VALUE"""),44082.6458333333)</f>
        <v>44082.645833333299</v>
      </c>
      <c r="D912">
        <v>11302.55</v>
      </c>
      <c r="E912">
        <v>11367.2</v>
      </c>
      <c r="F912">
        <v>11058.6</v>
      </c>
      <c r="G912">
        <v>11093.2</v>
      </c>
      <c r="H912">
        <v>0</v>
      </c>
      <c r="I912" s="8">
        <f t="shared" si="57"/>
        <v>-1.5674565322519762E-2</v>
      </c>
      <c r="J912" s="8">
        <f t="shared" si="58"/>
        <v>-1.5798710309518255E-2</v>
      </c>
      <c r="K912" s="8">
        <f t="shared" si="55"/>
        <v>0.11053603696047176</v>
      </c>
    </row>
    <row r="913" spans="1:11" x14ac:dyDescent="0.25">
      <c r="A913" t="str">
        <f t="shared" si="56"/>
        <v>92020</v>
      </c>
      <c r="B913" s="1">
        <v>44083</v>
      </c>
      <c r="C913" s="7">
        <f ca="1">IFERROR(__xludf.DUMMYFUNCTION("""COMPUTED_VALUE"""),44083.6458333333)</f>
        <v>44083.645833333299</v>
      </c>
      <c r="D913">
        <v>11038.6</v>
      </c>
      <c r="E913">
        <v>11343.45</v>
      </c>
      <c r="F913">
        <v>11006.8</v>
      </c>
      <c r="G913">
        <v>11304.1</v>
      </c>
      <c r="H913">
        <v>0</v>
      </c>
      <c r="I913" s="8">
        <f t="shared" si="57"/>
        <v>1.9011646774600655E-2</v>
      </c>
      <c r="J913" s="8">
        <f t="shared" si="58"/>
        <v>1.8833183787243409E-2</v>
      </c>
      <c r="K913" s="8">
        <f t="shared" si="55"/>
        <v>0.13879150548033525</v>
      </c>
    </row>
    <row r="914" spans="1:11" x14ac:dyDescent="0.25">
      <c r="A914" t="str">
        <f t="shared" si="56"/>
        <v>92020</v>
      </c>
      <c r="B914" s="1">
        <v>44084</v>
      </c>
      <c r="C914" s="7">
        <f ca="1">IFERROR(__xludf.DUMMYFUNCTION("""COMPUTED_VALUE"""),44084.6458333333)</f>
        <v>44084.645833333299</v>
      </c>
      <c r="D914">
        <v>11366.05</v>
      </c>
      <c r="E914">
        <v>11402.45</v>
      </c>
      <c r="F914">
        <v>11233.8</v>
      </c>
      <c r="G914">
        <v>11303.4</v>
      </c>
      <c r="H914">
        <v>0</v>
      </c>
      <c r="I914" s="8">
        <f t="shared" si="57"/>
        <v>-6.1924434497262482E-5</v>
      </c>
      <c r="J914" s="8">
        <f t="shared" si="58"/>
        <v>-6.1926351894212611E-5</v>
      </c>
      <c r="K914" s="8">
        <f t="shared" si="55"/>
        <v>0.13292306458725878</v>
      </c>
    </row>
    <row r="915" spans="1:11" x14ac:dyDescent="0.25">
      <c r="A915" t="str">
        <f t="shared" si="56"/>
        <v>92020</v>
      </c>
      <c r="B915" s="1">
        <v>44085</v>
      </c>
      <c r="C915" s="7">
        <f ca="1">IFERROR(__xludf.DUMMYFUNCTION("""COMPUTED_VALUE"""),44085.6458333333)</f>
        <v>44085.645833333299</v>
      </c>
      <c r="D915">
        <v>11308.3</v>
      </c>
      <c r="E915">
        <v>11375.9</v>
      </c>
      <c r="F915">
        <v>11240.3</v>
      </c>
      <c r="G915">
        <v>11313.3</v>
      </c>
      <c r="H915">
        <v>0</v>
      </c>
      <c r="I915" s="8">
        <f t="shared" si="57"/>
        <v>8.7584266680829082E-4</v>
      </c>
      <c r="J915" s="8">
        <f t="shared" si="58"/>
        <v>8.7545934042586207E-4</v>
      </c>
      <c r="K915" s="8">
        <f t="shared" si="55"/>
        <v>0.13413130432167453</v>
      </c>
    </row>
    <row r="916" spans="1:11" x14ac:dyDescent="0.25">
      <c r="A916" t="str">
        <f t="shared" si="56"/>
        <v>92020</v>
      </c>
      <c r="B916" s="1">
        <v>44088</v>
      </c>
      <c r="C916" s="7">
        <f ca="1">IFERROR(__xludf.DUMMYFUNCTION("""COMPUTED_VALUE"""),44088.6458333333)</f>
        <v>44088.645833333299</v>
      </c>
      <c r="D916">
        <v>11361.45</v>
      </c>
      <c r="E916">
        <v>11376.55</v>
      </c>
      <c r="F916">
        <v>11186.5</v>
      </c>
      <c r="G916">
        <v>11233.3</v>
      </c>
      <c r="H916">
        <v>0</v>
      </c>
      <c r="I916" s="8">
        <f t="shared" si="57"/>
        <v>-7.0713231329496695E-3</v>
      </c>
      <c r="J916" s="8">
        <f t="shared" si="58"/>
        <v>-7.0964434309190886E-3</v>
      </c>
      <c r="K916" s="8">
        <f t="shared" si="55"/>
        <v>0.12308853596476754</v>
      </c>
    </row>
    <row r="917" spans="1:11" x14ac:dyDescent="0.25">
      <c r="A917" t="str">
        <f t="shared" si="56"/>
        <v>92020</v>
      </c>
      <c r="B917" s="1">
        <v>44089</v>
      </c>
      <c r="C917" s="7">
        <f ca="1">IFERROR(__xludf.DUMMYFUNCTION("""COMPUTED_VALUE"""),44089.6458333333)</f>
        <v>44089.645833333299</v>
      </c>
      <c r="D917">
        <v>11269.55</v>
      </c>
      <c r="E917">
        <v>11604.35</v>
      </c>
      <c r="F917">
        <v>11263.15</v>
      </c>
      <c r="G917">
        <v>11450.5</v>
      </c>
      <c r="H917">
        <v>0</v>
      </c>
      <c r="I917" s="8">
        <f t="shared" si="57"/>
        <v>1.9335368947682507E-2</v>
      </c>
      <c r="J917" s="8">
        <f t="shared" si="58"/>
        <v>1.9150815842341583E-2</v>
      </c>
      <c r="K917" s="8">
        <f t="shared" si="55"/>
        <v>0.12058209006346421</v>
      </c>
    </row>
    <row r="918" spans="1:11" x14ac:dyDescent="0.25">
      <c r="A918" t="str">
        <f t="shared" si="56"/>
        <v>92020</v>
      </c>
      <c r="B918" s="1">
        <v>44090</v>
      </c>
      <c r="C918" s="7">
        <f ca="1">IFERROR(__xludf.DUMMYFUNCTION("""COMPUTED_VALUE"""),44090.6458333333)</f>
        <v>44090.645833333299</v>
      </c>
      <c r="D918">
        <v>11506.75</v>
      </c>
      <c r="E918">
        <v>11727.7</v>
      </c>
      <c r="F918">
        <v>11436.3</v>
      </c>
      <c r="G918">
        <v>11688.55</v>
      </c>
      <c r="H918">
        <v>0</v>
      </c>
      <c r="I918" s="8">
        <f t="shared" si="57"/>
        <v>2.0789485175319866E-2</v>
      </c>
      <c r="J918" s="8">
        <f t="shared" si="58"/>
        <v>2.0576332982570531E-2</v>
      </c>
      <c r="K918" s="8">
        <f t="shared" si="55"/>
        <v>0.12815130105783346</v>
      </c>
    </row>
    <row r="919" spans="1:11" x14ac:dyDescent="0.25">
      <c r="A919" t="str">
        <f t="shared" si="56"/>
        <v>92020</v>
      </c>
      <c r="B919" s="1">
        <v>44091</v>
      </c>
      <c r="C919" s="7">
        <f ca="1">IFERROR(__xludf.DUMMYFUNCTION("""COMPUTED_VALUE"""),44091.6458333333)</f>
        <v>44091.645833333299</v>
      </c>
      <c r="D919">
        <v>11701</v>
      </c>
      <c r="E919">
        <v>11785.05</v>
      </c>
      <c r="F919">
        <v>11647.6</v>
      </c>
      <c r="G919">
        <v>11735.95</v>
      </c>
      <c r="H919">
        <v>0</v>
      </c>
      <c r="I919" s="8">
        <f t="shared" si="57"/>
        <v>4.0552506512785413E-3</v>
      </c>
      <c r="J919" s="8">
        <f t="shared" si="58"/>
        <v>4.0470502845753251E-3</v>
      </c>
      <c r="K919" s="8">
        <f t="shared" si="55"/>
        <v>0.16076850798674647</v>
      </c>
    </row>
    <row r="920" spans="1:11" x14ac:dyDescent="0.25">
      <c r="A920" t="str">
        <f t="shared" si="56"/>
        <v>92020</v>
      </c>
      <c r="B920" s="1">
        <v>44092</v>
      </c>
      <c r="C920" s="7">
        <f ca="1">IFERROR(__xludf.DUMMYFUNCTION("""COMPUTED_VALUE"""),44092.6458333333)</f>
        <v>44092.645833333299</v>
      </c>
      <c r="D920">
        <v>11958.2</v>
      </c>
      <c r="E920">
        <v>12528.85</v>
      </c>
      <c r="F920">
        <v>11926.65</v>
      </c>
      <c r="G920">
        <v>12320.9</v>
      </c>
      <c r="H920">
        <v>0</v>
      </c>
      <c r="I920" s="8">
        <f t="shared" si="57"/>
        <v>4.9842577720593528E-2</v>
      </c>
      <c r="J920" s="8">
        <f t="shared" si="58"/>
        <v>4.8640226949021627E-2</v>
      </c>
      <c r="K920" s="8">
        <f t="shared" si="55"/>
        <v>0.20874312651143168</v>
      </c>
    </row>
    <row r="921" spans="1:11" x14ac:dyDescent="0.25">
      <c r="A921" t="str">
        <f t="shared" si="56"/>
        <v>92020</v>
      </c>
      <c r="B921" s="1">
        <v>44095</v>
      </c>
      <c r="C921" s="7">
        <f ca="1">IFERROR(__xludf.DUMMYFUNCTION("""COMPUTED_VALUE"""),44095.6458333333)</f>
        <v>44095.645833333299</v>
      </c>
      <c r="D921">
        <v>12341.75</v>
      </c>
      <c r="E921">
        <v>12496.7</v>
      </c>
      <c r="F921">
        <v>11724</v>
      </c>
      <c r="G921">
        <v>11799.55</v>
      </c>
      <c r="H921">
        <v>0</v>
      </c>
      <c r="I921" s="8">
        <f t="shared" si="57"/>
        <v>-4.2314278989359577E-2</v>
      </c>
      <c r="J921" s="8">
        <f t="shared" si="58"/>
        <v>-4.3235612234043576E-2</v>
      </c>
      <c r="K921" s="8">
        <f t="shared" si="55"/>
        <v>0.16391049384238254</v>
      </c>
    </row>
    <row r="922" spans="1:11" x14ac:dyDescent="0.25">
      <c r="A922" t="str">
        <f t="shared" si="56"/>
        <v>92020</v>
      </c>
      <c r="B922" s="1">
        <v>44096</v>
      </c>
      <c r="C922" s="7">
        <f ca="1">IFERROR(__xludf.DUMMYFUNCTION("""COMPUTED_VALUE"""),44096.6458333333)</f>
        <v>44096.645833333299</v>
      </c>
      <c r="D922">
        <v>11889.1</v>
      </c>
      <c r="E922">
        <v>11952.1</v>
      </c>
      <c r="F922">
        <v>11540.4</v>
      </c>
      <c r="G922">
        <v>11876.85</v>
      </c>
      <c r="H922">
        <v>0</v>
      </c>
      <c r="I922" s="8">
        <f t="shared" si="57"/>
        <v>6.5510972876086093E-3</v>
      </c>
      <c r="J922" s="8">
        <f t="shared" si="58"/>
        <v>6.5297321092509381E-3</v>
      </c>
      <c r="K922" s="8">
        <f t="shared" si="55"/>
        <v>0.17176077112047294</v>
      </c>
    </row>
    <row r="923" spans="1:11" x14ac:dyDescent="0.25">
      <c r="A923" t="str">
        <f t="shared" si="56"/>
        <v>92020</v>
      </c>
      <c r="B923" s="1">
        <v>44097</v>
      </c>
      <c r="C923" s="7">
        <f ca="1">IFERROR(__xludf.DUMMYFUNCTION("""COMPUTED_VALUE"""),44097.6458333333)</f>
        <v>44097.645833333299</v>
      </c>
      <c r="D923">
        <v>12032.45</v>
      </c>
      <c r="E923">
        <v>12052.4</v>
      </c>
      <c r="F923">
        <v>11608</v>
      </c>
      <c r="G923">
        <v>11685.9</v>
      </c>
      <c r="H923">
        <v>0</v>
      </c>
      <c r="I923" s="8">
        <f t="shared" si="57"/>
        <v>-1.6077495295469868E-2</v>
      </c>
      <c r="J923" s="8">
        <f t="shared" si="58"/>
        <v>-1.6208140412826595E-2</v>
      </c>
      <c r="K923" s="8">
        <f t="shared" si="55"/>
        <v>0.17032793698642479</v>
      </c>
    </row>
    <row r="924" spans="1:11" x14ac:dyDescent="0.25">
      <c r="A924" t="str">
        <f t="shared" si="56"/>
        <v>92020</v>
      </c>
      <c r="B924" s="1">
        <v>44098</v>
      </c>
      <c r="C924" s="7">
        <f ca="1">IFERROR(__xludf.DUMMYFUNCTION("""COMPUTED_VALUE"""),44098.6458333333)</f>
        <v>44098.645833333299</v>
      </c>
      <c r="D924">
        <v>11581.1</v>
      </c>
      <c r="E924">
        <v>11717.45</v>
      </c>
      <c r="F924">
        <v>11268.9</v>
      </c>
      <c r="G924">
        <v>11334.6</v>
      </c>
      <c r="H924">
        <v>0</v>
      </c>
      <c r="I924" s="8">
        <f t="shared" si="57"/>
        <v>-3.0061869432392863E-2</v>
      </c>
      <c r="J924" s="8">
        <f t="shared" si="58"/>
        <v>-3.052299243891813E-2</v>
      </c>
      <c r="K924" s="8">
        <f t="shared" si="55"/>
        <v>0.14689588529624542</v>
      </c>
    </row>
    <row r="925" spans="1:11" x14ac:dyDescent="0.25">
      <c r="A925" t="str">
        <f t="shared" si="56"/>
        <v>92020</v>
      </c>
      <c r="B925" s="1">
        <v>44099</v>
      </c>
      <c r="C925" s="7">
        <f ca="1">IFERROR(__xludf.DUMMYFUNCTION("""COMPUTED_VALUE"""),44099.6458333333)</f>
        <v>44099.645833333299</v>
      </c>
      <c r="D925">
        <v>11513.05</v>
      </c>
      <c r="E925">
        <v>11666</v>
      </c>
      <c r="F925">
        <v>11383.35</v>
      </c>
      <c r="G925">
        <v>11595.9</v>
      </c>
      <c r="H925">
        <v>0</v>
      </c>
      <c r="I925" s="8">
        <f t="shared" si="57"/>
        <v>2.3053305806997937E-2</v>
      </c>
      <c r="J925" s="8">
        <f t="shared" si="58"/>
        <v>2.2791592950168141E-2</v>
      </c>
      <c r="K925" s="8">
        <f t="shared" si="55"/>
        <v>0.16616131903274955</v>
      </c>
    </row>
    <row r="926" spans="1:11" x14ac:dyDescent="0.25">
      <c r="A926" t="str">
        <f t="shared" si="56"/>
        <v>92020</v>
      </c>
      <c r="B926" s="1">
        <v>44102</v>
      </c>
      <c r="C926" s="7">
        <f ca="1">IFERROR(__xludf.DUMMYFUNCTION("""COMPUTED_VALUE"""),44102.6458333333)</f>
        <v>44102.645833333299</v>
      </c>
      <c r="D926">
        <v>11724.75</v>
      </c>
      <c r="E926">
        <v>11842.35</v>
      </c>
      <c r="F926">
        <v>11528.25</v>
      </c>
      <c r="G926">
        <v>11796.6</v>
      </c>
      <c r="H926">
        <v>0</v>
      </c>
      <c r="I926" s="8">
        <f t="shared" si="57"/>
        <v>1.7307841564691007E-2</v>
      </c>
      <c r="J926" s="8">
        <f t="shared" si="58"/>
        <v>1.7159767000470255E-2</v>
      </c>
      <c r="K926" s="8">
        <f t="shared" si="55"/>
        <v>0.18399341590220208</v>
      </c>
    </row>
    <row r="927" spans="1:11" x14ac:dyDescent="0.25">
      <c r="A927" t="str">
        <f t="shared" si="56"/>
        <v>92020</v>
      </c>
      <c r="B927" s="1">
        <v>44103</v>
      </c>
      <c r="C927" s="7">
        <f ca="1">IFERROR(__xludf.DUMMYFUNCTION("""COMPUTED_VALUE"""),44103.6458333333)</f>
        <v>44103.645833333299</v>
      </c>
      <c r="D927">
        <v>11857</v>
      </c>
      <c r="E927">
        <v>11874.1</v>
      </c>
      <c r="F927">
        <v>11680.9</v>
      </c>
      <c r="G927">
        <v>11709.5</v>
      </c>
      <c r="H927">
        <v>0</v>
      </c>
      <c r="I927" s="8">
        <f t="shared" si="57"/>
        <v>-7.3834833765661356E-3</v>
      </c>
      <c r="J927" s="8">
        <f t="shared" si="58"/>
        <v>-7.4108762095954506E-3</v>
      </c>
      <c r="K927" s="8">
        <f t="shared" si="55"/>
        <v>0.18262845600303002</v>
      </c>
    </row>
    <row r="928" spans="1:11" x14ac:dyDescent="0.25">
      <c r="A928" t="str">
        <f t="shared" si="56"/>
        <v>92020</v>
      </c>
      <c r="B928" s="1">
        <v>44104</v>
      </c>
      <c r="C928" s="7">
        <f ca="1">IFERROR(__xludf.DUMMYFUNCTION("""COMPUTED_VALUE"""),44104.6458333333)</f>
        <v>44104.645833333299</v>
      </c>
      <c r="D928">
        <v>11745</v>
      </c>
      <c r="E928">
        <v>12015.7</v>
      </c>
      <c r="F928">
        <v>11691.5</v>
      </c>
      <c r="G928">
        <v>11772.85</v>
      </c>
      <c r="H928">
        <v>0</v>
      </c>
      <c r="I928" s="8">
        <f t="shared" si="57"/>
        <v>5.4101370681924887E-3</v>
      </c>
      <c r="J928" s="8">
        <f t="shared" si="58"/>
        <v>5.3955548475420325E-3</v>
      </c>
      <c r="K928" s="8">
        <f t="shared" si="55"/>
        <v>0.19182526827292978</v>
      </c>
    </row>
    <row r="929" spans="1:11" x14ac:dyDescent="0.25">
      <c r="A929" t="str">
        <f t="shared" si="56"/>
        <v>102020</v>
      </c>
      <c r="B929" s="1">
        <v>44105</v>
      </c>
      <c r="C929" s="7">
        <f ca="1">IFERROR(__xludf.DUMMYFUNCTION("""COMPUTED_VALUE"""),44105.6458333333)</f>
        <v>44105.645833333299</v>
      </c>
      <c r="D929">
        <v>11869.1</v>
      </c>
      <c r="E929">
        <v>11893.2</v>
      </c>
      <c r="F929">
        <v>11710.1</v>
      </c>
      <c r="G929">
        <v>11822.9</v>
      </c>
      <c r="H929">
        <v>0</v>
      </c>
      <c r="I929" s="8">
        <f t="shared" si="57"/>
        <v>4.2513070327065972E-3</v>
      </c>
      <c r="J929" s="8">
        <f t="shared" si="58"/>
        <v>4.2422957577335366E-3</v>
      </c>
      <c r="K929" s="8">
        <f t="shared" si="55"/>
        <v>0.18841031311252943</v>
      </c>
    </row>
    <row r="930" spans="1:11" x14ac:dyDescent="0.25">
      <c r="A930" t="str">
        <f t="shared" si="56"/>
        <v>102020</v>
      </c>
      <c r="B930" s="1">
        <v>44109</v>
      </c>
      <c r="C930" s="7">
        <f ca="1">IFERROR(__xludf.DUMMYFUNCTION("""COMPUTED_VALUE"""),44109.6458333333)</f>
        <v>44109.645833333299</v>
      </c>
      <c r="D930">
        <v>11881.25</v>
      </c>
      <c r="E930">
        <v>12073.4</v>
      </c>
      <c r="F930">
        <v>11748.95</v>
      </c>
      <c r="G930">
        <v>12024</v>
      </c>
      <c r="H930">
        <v>0</v>
      </c>
      <c r="I930" s="8">
        <f t="shared" si="57"/>
        <v>1.7009363185005455E-2</v>
      </c>
      <c r="J930" s="8">
        <f t="shared" si="58"/>
        <v>1.6866323695630209E-2</v>
      </c>
      <c r="K930" s="8">
        <f t="shared" si="55"/>
        <v>0.20389885407332131</v>
      </c>
    </row>
    <row r="931" spans="1:11" x14ac:dyDescent="0.25">
      <c r="A931" t="str">
        <f t="shared" si="56"/>
        <v>102020</v>
      </c>
      <c r="B931" s="1">
        <v>44110</v>
      </c>
      <c r="C931" s="7">
        <f ca="1">IFERROR(__xludf.DUMMYFUNCTION("""COMPUTED_VALUE"""),44110.6458333333)</f>
        <v>44110.645833333299</v>
      </c>
      <c r="D931">
        <v>12084.8</v>
      </c>
      <c r="E931">
        <v>12161.1</v>
      </c>
      <c r="F931">
        <v>11979.05</v>
      </c>
      <c r="G931">
        <v>12009.45</v>
      </c>
      <c r="H931">
        <v>0</v>
      </c>
      <c r="I931" s="8">
        <f t="shared" si="57"/>
        <v>-1.2100798403192892E-3</v>
      </c>
      <c r="J931" s="8">
        <f t="shared" si="58"/>
        <v>-1.210812578103056E-3</v>
      </c>
      <c r="K931" s="8">
        <f t="shared" si="55"/>
        <v>0.19233041276775298</v>
      </c>
    </row>
    <row r="932" spans="1:11" x14ac:dyDescent="0.25">
      <c r="A932" t="str">
        <f t="shared" si="56"/>
        <v>102020</v>
      </c>
      <c r="B932" s="1">
        <v>44111</v>
      </c>
      <c r="C932" s="7">
        <f ca="1">IFERROR(__xludf.DUMMYFUNCTION("""COMPUTED_VALUE"""),44111.6458333333)</f>
        <v>44111.645833333299</v>
      </c>
      <c r="D932">
        <v>12009.05</v>
      </c>
      <c r="E932">
        <v>12119.4</v>
      </c>
      <c r="F932">
        <v>11880.25</v>
      </c>
      <c r="G932">
        <v>11915</v>
      </c>
      <c r="H932">
        <v>0</v>
      </c>
      <c r="I932" s="8">
        <f t="shared" si="57"/>
        <v>-7.8646399293890168E-3</v>
      </c>
      <c r="J932" s="8">
        <f t="shared" si="58"/>
        <v>-7.8957293218648705E-3</v>
      </c>
      <c r="K932" s="8">
        <f t="shared" si="55"/>
        <v>0.17893257871094126</v>
      </c>
    </row>
    <row r="933" spans="1:11" x14ac:dyDescent="0.25">
      <c r="A933" t="str">
        <f t="shared" si="56"/>
        <v>102020</v>
      </c>
      <c r="B933" s="1">
        <v>44112</v>
      </c>
      <c r="C933" s="7">
        <f ca="1">IFERROR(__xludf.DUMMYFUNCTION("""COMPUTED_VALUE"""),44112.6458333333)</f>
        <v>44112.645833333299</v>
      </c>
      <c r="D933">
        <v>11968.8</v>
      </c>
      <c r="E933">
        <v>12255.7</v>
      </c>
      <c r="F933">
        <v>11910.9</v>
      </c>
      <c r="G933">
        <v>12209.2</v>
      </c>
      <c r="H933">
        <v>0</v>
      </c>
      <c r="I933" s="8">
        <f t="shared" si="57"/>
        <v>2.469156525388172E-2</v>
      </c>
      <c r="J933" s="8">
        <f t="shared" si="58"/>
        <v>2.4391655359854603E-2</v>
      </c>
      <c r="K933" s="8">
        <f t="shared" si="55"/>
        <v>0.2022786692335341</v>
      </c>
    </row>
    <row r="934" spans="1:11" x14ac:dyDescent="0.25">
      <c r="A934" t="str">
        <f t="shared" si="56"/>
        <v>102020</v>
      </c>
      <c r="B934" s="1">
        <v>44113</v>
      </c>
      <c r="C934" s="7">
        <f ca="1">IFERROR(__xludf.DUMMYFUNCTION("""COMPUTED_VALUE"""),44113.6458333333)</f>
        <v>44113.645833333299</v>
      </c>
      <c r="D934">
        <v>12230.15</v>
      </c>
      <c r="E934">
        <v>12343.7</v>
      </c>
      <c r="F934">
        <v>12017.95</v>
      </c>
      <c r="G934">
        <v>12043.95</v>
      </c>
      <c r="H934">
        <v>0</v>
      </c>
      <c r="I934" s="8">
        <f t="shared" si="57"/>
        <v>-1.3534875339907604E-2</v>
      </c>
      <c r="J934" s="8">
        <f t="shared" si="58"/>
        <v>-1.3627306744392616E-2</v>
      </c>
      <c r="K934" s="8">
        <f t="shared" si="55"/>
        <v>0.17953627304556474</v>
      </c>
    </row>
    <row r="935" spans="1:11" x14ac:dyDescent="0.25">
      <c r="A935" t="str">
        <f t="shared" si="56"/>
        <v>102020</v>
      </c>
      <c r="B935" s="1">
        <v>44116</v>
      </c>
      <c r="C935" s="7">
        <f ca="1">IFERROR(__xludf.DUMMYFUNCTION("""COMPUTED_VALUE"""),44116.6458333333)</f>
        <v>44116.645833333299</v>
      </c>
      <c r="D935">
        <v>12067.9</v>
      </c>
      <c r="E935">
        <v>12184</v>
      </c>
      <c r="F935">
        <v>11987.05</v>
      </c>
      <c r="G935">
        <v>12154.55</v>
      </c>
      <c r="H935">
        <v>0</v>
      </c>
      <c r="I935" s="8">
        <f t="shared" si="57"/>
        <v>9.1830338053544569E-3</v>
      </c>
      <c r="J935" s="8">
        <f t="shared" si="58"/>
        <v>9.1411261148677155E-3</v>
      </c>
      <c r="K935" s="8">
        <f t="shared" si="55"/>
        <v>0.17069917070398666</v>
      </c>
    </row>
    <row r="936" spans="1:11" x14ac:dyDescent="0.25">
      <c r="A936" t="str">
        <f t="shared" si="56"/>
        <v>102020</v>
      </c>
      <c r="B936" s="1">
        <v>44117</v>
      </c>
      <c r="C936" s="7">
        <f ca="1">IFERROR(__xludf.DUMMYFUNCTION("""COMPUTED_VALUE"""),44117.6458333333)</f>
        <v>44117.645833333299</v>
      </c>
      <c r="D936">
        <v>12149.65</v>
      </c>
      <c r="E936">
        <v>12331.05</v>
      </c>
      <c r="F936">
        <v>11892.5</v>
      </c>
      <c r="G936">
        <v>11937.1</v>
      </c>
      <c r="H936">
        <v>0</v>
      </c>
      <c r="I936" s="8">
        <f t="shared" si="57"/>
        <v>-1.7890419637090593E-2</v>
      </c>
      <c r="J936" s="8">
        <f t="shared" si="58"/>
        <v>-1.8052387888990305E-2</v>
      </c>
      <c r="K936" s="8">
        <f t="shared" si="55"/>
        <v>0.13989008942767245</v>
      </c>
    </row>
    <row r="937" spans="1:11" x14ac:dyDescent="0.25">
      <c r="A937" t="str">
        <f t="shared" si="56"/>
        <v>102020</v>
      </c>
      <c r="B937" s="1">
        <v>44118</v>
      </c>
      <c r="C937" s="7">
        <f ca="1">IFERROR(__xludf.DUMMYFUNCTION("""COMPUTED_VALUE"""),44118.6458333333)</f>
        <v>44118.645833333299</v>
      </c>
      <c r="D937">
        <v>11956.55</v>
      </c>
      <c r="E937">
        <v>12011.45</v>
      </c>
      <c r="F937">
        <v>11740.9</v>
      </c>
      <c r="G937">
        <v>11857.25</v>
      </c>
      <c r="H937">
        <v>0</v>
      </c>
      <c r="I937" s="8">
        <f t="shared" si="57"/>
        <v>-6.6892293773195277E-3</v>
      </c>
      <c r="J937" s="8">
        <f t="shared" si="58"/>
        <v>-6.7117025470076891E-3</v>
      </c>
      <c r="K937" s="8">
        <f t="shared" si="55"/>
        <v>0.15067542650854948</v>
      </c>
    </row>
    <row r="938" spans="1:11" x14ac:dyDescent="0.25">
      <c r="A938" t="str">
        <f t="shared" si="56"/>
        <v>102020</v>
      </c>
      <c r="B938" s="1">
        <v>44119</v>
      </c>
      <c r="C938" s="7">
        <f ca="1">IFERROR(__xludf.DUMMYFUNCTION("""COMPUTED_VALUE"""),44119.6458333333)</f>
        <v>44119.645833333299</v>
      </c>
      <c r="D938">
        <v>11891.85</v>
      </c>
      <c r="E938">
        <v>11932.3</v>
      </c>
      <c r="F938">
        <v>11571.05</v>
      </c>
      <c r="G938">
        <v>11637.9</v>
      </c>
      <c r="H938">
        <v>0</v>
      </c>
      <c r="I938" s="8">
        <f t="shared" si="57"/>
        <v>-1.8499230428640767E-2</v>
      </c>
      <c r="J938" s="8">
        <f t="shared" si="58"/>
        <v>-1.8672481189149027E-2</v>
      </c>
      <c r="K938" s="8">
        <f t="shared" si="55"/>
        <v>0.14616202800921818</v>
      </c>
    </row>
    <row r="939" spans="1:11" x14ac:dyDescent="0.25">
      <c r="A939" t="str">
        <f t="shared" si="56"/>
        <v>102020</v>
      </c>
      <c r="B939" s="1">
        <v>44120</v>
      </c>
      <c r="C939" s="7">
        <f ca="1">IFERROR(__xludf.DUMMYFUNCTION("""COMPUTED_VALUE"""),44120.6458333333)</f>
        <v>44120.645833333299</v>
      </c>
      <c r="D939">
        <v>11637.45</v>
      </c>
      <c r="E939">
        <v>11854.7</v>
      </c>
      <c r="F939">
        <v>11596.8</v>
      </c>
      <c r="G939">
        <v>11814.1</v>
      </c>
      <c r="H939">
        <v>0</v>
      </c>
      <c r="I939" s="8">
        <f t="shared" si="57"/>
        <v>1.5140188521984177E-2</v>
      </c>
      <c r="J939" s="8">
        <f t="shared" si="58"/>
        <v>1.5026719726935438E-2</v>
      </c>
      <c r="K939" s="8">
        <f t="shared" si="55"/>
        <v>0.16106808711376686</v>
      </c>
    </row>
    <row r="940" spans="1:11" x14ac:dyDescent="0.25">
      <c r="A940" t="str">
        <f t="shared" si="56"/>
        <v>102020</v>
      </c>
      <c r="B940" s="1">
        <v>44123</v>
      </c>
      <c r="C940" s="7">
        <f ca="1">IFERROR(__xludf.DUMMYFUNCTION("""COMPUTED_VALUE"""),44123.6458333333)</f>
        <v>44123.645833333299</v>
      </c>
      <c r="D940">
        <v>11911.65</v>
      </c>
      <c r="E940">
        <v>11923.95</v>
      </c>
      <c r="F940">
        <v>11592.95</v>
      </c>
      <c r="G940">
        <v>11616.65</v>
      </c>
      <c r="H940">
        <v>0</v>
      </c>
      <c r="I940" s="8">
        <f t="shared" si="57"/>
        <v>-1.6713080133061387E-2</v>
      </c>
      <c r="J940" s="8">
        <f t="shared" si="58"/>
        <v>-1.6854319565659338E-2</v>
      </c>
      <c r="K940" s="8">
        <f t="shared" si="55"/>
        <v>0.12540991944507685</v>
      </c>
    </row>
    <row r="941" spans="1:11" x14ac:dyDescent="0.25">
      <c r="A941" t="str">
        <f t="shared" si="56"/>
        <v>102020</v>
      </c>
      <c r="B941" s="1">
        <v>44124</v>
      </c>
      <c r="C941" s="7">
        <f ca="1">IFERROR(__xludf.DUMMYFUNCTION("""COMPUTED_VALUE"""),44124.6458333333)</f>
        <v>44124.645833333299</v>
      </c>
      <c r="D941">
        <v>11626.55</v>
      </c>
      <c r="E941">
        <v>11746.2</v>
      </c>
      <c r="F941">
        <v>11551.3</v>
      </c>
      <c r="G941">
        <v>11644.4</v>
      </c>
      <c r="H941">
        <v>0</v>
      </c>
      <c r="I941" s="8">
        <f t="shared" si="57"/>
        <v>2.3888126094873119E-3</v>
      </c>
      <c r="J941" s="8">
        <f t="shared" si="58"/>
        <v>2.3859639323809347E-3</v>
      </c>
      <c r="K941" s="8">
        <f t="shared" si="55"/>
        <v>0.13737613487075029</v>
      </c>
    </row>
    <row r="942" spans="1:11" x14ac:dyDescent="0.25">
      <c r="A942" t="str">
        <f t="shared" si="56"/>
        <v>102020</v>
      </c>
      <c r="B942" s="1">
        <v>44125</v>
      </c>
      <c r="C942" s="7">
        <f ca="1">IFERROR(__xludf.DUMMYFUNCTION("""COMPUTED_VALUE"""),44125.6458333333)</f>
        <v>44125.645833333299</v>
      </c>
      <c r="D942">
        <v>11696.3</v>
      </c>
      <c r="E942">
        <v>11712.55</v>
      </c>
      <c r="F942">
        <v>11444.35</v>
      </c>
      <c r="G942">
        <v>11645.7</v>
      </c>
      <c r="H942">
        <v>0</v>
      </c>
      <c r="I942" s="8">
        <f t="shared" si="57"/>
        <v>1.1164164748733718E-4</v>
      </c>
      <c r="J942" s="8">
        <f t="shared" si="58"/>
        <v>1.1163541602240003E-4</v>
      </c>
      <c r="K942" s="8">
        <f t="shared" si="55"/>
        <v>0.15738840494730222</v>
      </c>
    </row>
    <row r="943" spans="1:11" x14ac:dyDescent="0.25">
      <c r="A943" t="str">
        <f t="shared" si="56"/>
        <v>102020</v>
      </c>
      <c r="B943" s="1">
        <v>44126</v>
      </c>
      <c r="C943" s="7">
        <f ca="1">IFERROR(__xludf.DUMMYFUNCTION("""COMPUTED_VALUE"""),44126.6458333333)</f>
        <v>44126.645833333299</v>
      </c>
      <c r="D943">
        <v>11645.85</v>
      </c>
      <c r="E943">
        <v>11645.85</v>
      </c>
      <c r="F943">
        <v>11316.35</v>
      </c>
      <c r="G943">
        <v>11545.3</v>
      </c>
      <c r="H943">
        <v>0</v>
      </c>
      <c r="I943" s="8">
        <f t="shared" si="57"/>
        <v>-8.6212078277820847E-3</v>
      </c>
      <c r="J943" s="8">
        <f t="shared" si="58"/>
        <v>-8.6585854217096272E-3</v>
      </c>
      <c r="K943" s="8">
        <f t="shared" si="55"/>
        <v>0.13993315593821132</v>
      </c>
    </row>
    <row r="944" spans="1:11" x14ac:dyDescent="0.25">
      <c r="A944" t="str">
        <f t="shared" si="56"/>
        <v>102020</v>
      </c>
      <c r="B944" s="1">
        <v>44127</v>
      </c>
      <c r="C944" s="7">
        <f ca="1">IFERROR(__xludf.DUMMYFUNCTION("""COMPUTED_VALUE"""),44127.6458333333)</f>
        <v>44127.645833333299</v>
      </c>
      <c r="D944">
        <v>11573.15</v>
      </c>
      <c r="E944">
        <v>11681.25</v>
      </c>
      <c r="F944">
        <v>11473.45</v>
      </c>
      <c r="G944">
        <v>11503.05</v>
      </c>
      <c r="H944">
        <v>0</v>
      </c>
      <c r="I944" s="8">
        <f t="shared" si="57"/>
        <v>-3.6594978043013038E-3</v>
      </c>
      <c r="J944" s="8">
        <f t="shared" si="58"/>
        <v>-3.6662101472644286E-3</v>
      </c>
      <c r="K944" s="8">
        <f t="shared" si="55"/>
        <v>0.10170335643104433</v>
      </c>
    </row>
    <row r="945" spans="1:11" x14ac:dyDescent="0.25">
      <c r="A945" t="str">
        <f t="shared" si="56"/>
        <v>102020</v>
      </c>
      <c r="B945" s="1">
        <v>44130</v>
      </c>
      <c r="C945" s="7">
        <f ca="1">IFERROR(__xludf.DUMMYFUNCTION("""COMPUTED_VALUE"""),44130.6458333333)</f>
        <v>44130.645833333299</v>
      </c>
      <c r="D945">
        <v>11564.5</v>
      </c>
      <c r="E945">
        <v>11578.75</v>
      </c>
      <c r="F945">
        <v>11263.8</v>
      </c>
      <c r="G945">
        <v>11334.2</v>
      </c>
      <c r="H945">
        <v>0</v>
      </c>
      <c r="I945" s="8">
        <f t="shared" si="57"/>
        <v>-1.4678715644981022E-2</v>
      </c>
      <c r="J945" s="8">
        <f t="shared" si="58"/>
        <v>-1.4787513984032949E-2</v>
      </c>
      <c r="K945" s="8">
        <f t="shared" si="55"/>
        <v>5.2772372411423074E-2</v>
      </c>
    </row>
    <row r="946" spans="1:11" x14ac:dyDescent="0.25">
      <c r="A946" t="str">
        <f t="shared" si="56"/>
        <v>102020</v>
      </c>
      <c r="B946" s="1">
        <v>44131</v>
      </c>
      <c r="C946" s="7">
        <f ca="1">IFERROR(__xludf.DUMMYFUNCTION("""COMPUTED_VALUE"""),44131.6458333333)</f>
        <v>44131.645833333299</v>
      </c>
      <c r="D946">
        <v>11350.55</v>
      </c>
      <c r="E946">
        <v>11539.05</v>
      </c>
      <c r="F946">
        <v>11284.7</v>
      </c>
      <c r="G946">
        <v>11511.5</v>
      </c>
      <c r="H946">
        <v>0</v>
      </c>
      <c r="I946" s="8">
        <f t="shared" si="57"/>
        <v>1.5642921423655753E-2</v>
      </c>
      <c r="J946" s="8">
        <f t="shared" si="58"/>
        <v>1.552183208972722E-2</v>
      </c>
      <c r="K946" s="8">
        <f t="shared" si="55"/>
        <v>3.2523387957556382E-2</v>
      </c>
    </row>
    <row r="947" spans="1:11" x14ac:dyDescent="0.25">
      <c r="A947" t="str">
        <f t="shared" si="56"/>
        <v>102020</v>
      </c>
      <c r="B947" s="1">
        <v>44132</v>
      </c>
      <c r="C947" s="7">
        <f ca="1">IFERROR(__xludf.DUMMYFUNCTION("""COMPUTED_VALUE"""),44132.6458333333)</f>
        <v>44132.645833333299</v>
      </c>
      <c r="D947">
        <v>11531.7</v>
      </c>
      <c r="E947">
        <v>11625.95</v>
      </c>
      <c r="F947">
        <v>11295.45</v>
      </c>
      <c r="G947">
        <v>11325.1</v>
      </c>
      <c r="H947">
        <v>0</v>
      </c>
      <c r="I947" s="8">
        <f t="shared" si="57"/>
        <v>-1.6192503149024873E-2</v>
      </c>
      <c r="J947" s="8">
        <f t="shared" si="58"/>
        <v>-1.6325034350099542E-2</v>
      </c>
      <c r="K947" s="8">
        <f t="shared" si="55"/>
        <v>1.7675496926782053E-2</v>
      </c>
    </row>
    <row r="948" spans="1:11" x14ac:dyDescent="0.25">
      <c r="A948" t="str">
        <f t="shared" si="56"/>
        <v>102020</v>
      </c>
      <c r="B948" s="1">
        <v>44133</v>
      </c>
      <c r="C948" s="7">
        <f ca="1">IFERROR(__xludf.DUMMYFUNCTION("""COMPUTED_VALUE"""),44133.6458333333)</f>
        <v>44133.645833333299</v>
      </c>
      <c r="D948">
        <v>11284.1</v>
      </c>
      <c r="E948">
        <v>11394.75</v>
      </c>
      <c r="F948">
        <v>11174.1</v>
      </c>
      <c r="G948">
        <v>11226</v>
      </c>
      <c r="H948">
        <v>0</v>
      </c>
      <c r="I948" s="8">
        <f t="shared" si="57"/>
        <v>-8.7504746094957397E-3</v>
      </c>
      <c r="J948" s="8">
        <f t="shared" si="58"/>
        <v>-8.7889848321808101E-3</v>
      </c>
      <c r="K948" s="8">
        <f t="shared" si="55"/>
        <v>-8.0366176399119249E-3</v>
      </c>
    </row>
    <row r="949" spans="1:11" x14ac:dyDescent="0.25">
      <c r="A949" t="str">
        <f t="shared" si="56"/>
        <v>102020</v>
      </c>
      <c r="B949" s="1">
        <v>44134</v>
      </c>
      <c r="C949" s="7">
        <f ca="1">IFERROR(__xludf.DUMMYFUNCTION("""COMPUTED_VALUE"""),44134.6458333333)</f>
        <v>44134.645833333299</v>
      </c>
      <c r="D949">
        <v>11267.65</v>
      </c>
      <c r="E949">
        <v>11301.95</v>
      </c>
      <c r="F949">
        <v>11135.15</v>
      </c>
      <c r="G949">
        <v>11243.75</v>
      </c>
      <c r="H949">
        <v>0</v>
      </c>
      <c r="I949" s="8">
        <f t="shared" si="57"/>
        <v>1.5811508996972368E-3</v>
      </c>
      <c r="J949" s="8">
        <f t="shared" si="58"/>
        <v>1.5799021966987222E-3</v>
      </c>
      <c r="K949" s="8">
        <f t="shared" si="55"/>
        <v>-1.7756075907224833E-3</v>
      </c>
    </row>
    <row r="950" spans="1:11" x14ac:dyDescent="0.25">
      <c r="A950" t="str">
        <f t="shared" si="56"/>
        <v>112020</v>
      </c>
      <c r="B950" s="1">
        <v>44137</v>
      </c>
      <c r="C950" s="7">
        <f ca="1">IFERROR(__xludf.DUMMYFUNCTION("""COMPUTED_VALUE"""),44137.6458333333)</f>
        <v>44137.645833333299</v>
      </c>
      <c r="D950">
        <v>11256.25</v>
      </c>
      <c r="E950">
        <v>11281.6</v>
      </c>
      <c r="F950">
        <v>11096.25</v>
      </c>
      <c r="G950">
        <v>11175.3</v>
      </c>
      <c r="H950">
        <v>0</v>
      </c>
      <c r="I950" s="8">
        <f t="shared" si="57"/>
        <v>-6.0878265703169232E-3</v>
      </c>
      <c r="J950" s="8">
        <f t="shared" si="58"/>
        <v>-6.1064329398275207E-3</v>
      </c>
      <c r="K950" s="8">
        <f t="shared" si="55"/>
        <v>-2.0024290468402706E-2</v>
      </c>
    </row>
    <row r="951" spans="1:11" x14ac:dyDescent="0.25">
      <c r="A951" t="str">
        <f t="shared" si="56"/>
        <v>112020</v>
      </c>
      <c r="B951" s="1">
        <v>44138</v>
      </c>
      <c r="C951" s="7">
        <f ca="1">IFERROR(__xludf.DUMMYFUNCTION("""COMPUTED_VALUE"""),44138.6458333333)</f>
        <v>44138.645833333299</v>
      </c>
      <c r="D951">
        <v>11214.6</v>
      </c>
      <c r="E951">
        <v>11400.85</v>
      </c>
      <c r="F951">
        <v>11204.05</v>
      </c>
      <c r="G951">
        <v>11361</v>
      </c>
      <c r="H951">
        <v>0</v>
      </c>
      <c r="I951" s="8">
        <f t="shared" si="57"/>
        <v>1.66170035703741E-2</v>
      </c>
      <c r="J951" s="8">
        <f t="shared" si="58"/>
        <v>1.648045181088887E-2</v>
      </c>
      <c r="K951" s="8">
        <f t="shared" si="55"/>
        <v>2.4706609017912662E-3</v>
      </c>
    </row>
    <row r="952" spans="1:11" x14ac:dyDescent="0.25">
      <c r="A952" t="str">
        <f t="shared" si="56"/>
        <v>112020</v>
      </c>
      <c r="B952" s="1">
        <v>44139</v>
      </c>
      <c r="C952" s="7">
        <f ca="1">IFERROR(__xludf.DUMMYFUNCTION("""COMPUTED_VALUE"""),44139.6458333333)</f>
        <v>44139.645833333299</v>
      </c>
      <c r="D952">
        <v>11456.75</v>
      </c>
      <c r="E952">
        <v>11681</v>
      </c>
      <c r="F952">
        <v>11430.65</v>
      </c>
      <c r="G952">
        <v>11608.65</v>
      </c>
      <c r="H952">
        <v>0</v>
      </c>
      <c r="I952" s="8">
        <f t="shared" si="57"/>
        <v>2.1798257195669413E-2</v>
      </c>
      <c r="J952" s="8">
        <f t="shared" si="58"/>
        <v>2.1564072291330096E-2</v>
      </c>
      <c r="K952" s="8">
        <f t="shared" si="55"/>
        <v>-2.7865241931431806E-2</v>
      </c>
    </row>
    <row r="953" spans="1:11" x14ac:dyDescent="0.25">
      <c r="A953" t="str">
        <f t="shared" si="56"/>
        <v>112020</v>
      </c>
      <c r="B953" s="1">
        <v>44140</v>
      </c>
      <c r="C953" s="7">
        <f ca="1">IFERROR(__xludf.DUMMYFUNCTION("""COMPUTED_VALUE"""),44140.6458333333)</f>
        <v>44140.645833333299</v>
      </c>
      <c r="D953">
        <v>11677.4</v>
      </c>
      <c r="E953">
        <v>11721.85</v>
      </c>
      <c r="F953">
        <v>11595.7</v>
      </c>
      <c r="G953">
        <v>11704.95</v>
      </c>
      <c r="H953">
        <v>0</v>
      </c>
      <c r="I953" s="8">
        <f t="shared" si="57"/>
        <v>8.2955382408809175E-3</v>
      </c>
      <c r="J953" s="8">
        <f t="shared" si="58"/>
        <v>8.2613193758833327E-3</v>
      </c>
      <c r="K953" s="8">
        <f t="shared" si="55"/>
        <v>-5.7168340801460049E-3</v>
      </c>
    </row>
    <row r="954" spans="1:11" x14ac:dyDescent="0.25">
      <c r="A954" t="str">
        <f t="shared" si="56"/>
        <v>112020</v>
      </c>
      <c r="B954" s="1">
        <v>44141</v>
      </c>
      <c r="C954" s="7">
        <f ca="1">IFERROR(__xludf.DUMMYFUNCTION("""COMPUTED_VALUE"""),44141.6458333333)</f>
        <v>44141.645833333299</v>
      </c>
      <c r="D954">
        <v>11735.5</v>
      </c>
      <c r="E954">
        <v>11753.45</v>
      </c>
      <c r="F954">
        <v>11596.7</v>
      </c>
      <c r="G954">
        <v>11623.35</v>
      </c>
      <c r="H954">
        <v>0</v>
      </c>
      <c r="I954" s="8">
        <f t="shared" si="57"/>
        <v>-6.9714095318647029E-3</v>
      </c>
      <c r="J954" s="8">
        <f t="shared" si="58"/>
        <v>-6.9958233392256449E-3</v>
      </c>
      <c r="K954" s="8">
        <f t="shared" si="55"/>
        <v>2.8558486659044924E-3</v>
      </c>
    </row>
    <row r="955" spans="1:11" x14ac:dyDescent="0.25">
      <c r="A955" t="str">
        <f t="shared" si="56"/>
        <v>112020</v>
      </c>
      <c r="B955" s="1">
        <v>44144</v>
      </c>
      <c r="C955" s="7">
        <f ca="1">IFERROR(__xludf.DUMMYFUNCTION("""COMPUTED_VALUE"""),44144.6458333333)</f>
        <v>44144.645833333299</v>
      </c>
      <c r="D955">
        <v>11803.55</v>
      </c>
      <c r="E955">
        <v>11809.55</v>
      </c>
      <c r="F955">
        <v>11567.55</v>
      </c>
      <c r="G955">
        <v>11674.35</v>
      </c>
      <c r="H955">
        <v>0</v>
      </c>
      <c r="I955" s="8">
        <f t="shared" si="57"/>
        <v>4.3877195472905584E-3</v>
      </c>
      <c r="J955" s="8">
        <f t="shared" si="58"/>
        <v>4.3781215711211647E-3</v>
      </c>
      <c r="K955" s="8">
        <f t="shared" si="55"/>
        <v>1.711106948540464E-2</v>
      </c>
    </row>
    <row r="956" spans="1:11" x14ac:dyDescent="0.25">
      <c r="A956" t="str">
        <f t="shared" si="56"/>
        <v>112020</v>
      </c>
      <c r="B956" s="1">
        <v>44145</v>
      </c>
      <c r="C956" s="7">
        <f ca="1">IFERROR(__xludf.DUMMYFUNCTION("""COMPUTED_VALUE"""),44145.6458333333)</f>
        <v>44145.645833333299</v>
      </c>
      <c r="D956">
        <v>11670.25</v>
      </c>
      <c r="E956">
        <v>11673.7</v>
      </c>
      <c r="F956">
        <v>11136.65</v>
      </c>
      <c r="G956">
        <v>11168.9</v>
      </c>
      <c r="H956">
        <v>0</v>
      </c>
      <c r="I956" s="8">
        <f t="shared" si="57"/>
        <v>-4.3295772355634421E-2</v>
      </c>
      <c r="J956" s="8">
        <f t="shared" si="58"/>
        <v>-4.4260997321298949E-2</v>
      </c>
      <c r="K956" s="8">
        <f t="shared" si="55"/>
        <v>-4.05054809113089E-2</v>
      </c>
    </row>
    <row r="957" spans="1:11" x14ac:dyDescent="0.25">
      <c r="A957" t="str">
        <f t="shared" si="56"/>
        <v>112020</v>
      </c>
      <c r="B957" s="1">
        <v>44146</v>
      </c>
      <c r="C957" s="7">
        <f ca="1">IFERROR(__xludf.DUMMYFUNCTION("""COMPUTED_VALUE"""),44146.6458333333)</f>
        <v>44146.645833333299</v>
      </c>
      <c r="D957">
        <v>11274.05</v>
      </c>
      <c r="E957">
        <v>11601.7</v>
      </c>
      <c r="F957">
        <v>11224.4</v>
      </c>
      <c r="G957">
        <v>11570.35</v>
      </c>
      <c r="H957">
        <v>0</v>
      </c>
      <c r="I957" s="8">
        <f t="shared" si="57"/>
        <v>3.59435575571454E-2</v>
      </c>
      <c r="J957" s="8">
        <f t="shared" si="58"/>
        <v>3.5312661230694535E-2</v>
      </c>
      <c r="K957" s="8">
        <f t="shared" si="55"/>
        <v>-2.1560366871202774E-3</v>
      </c>
    </row>
    <row r="958" spans="1:11" x14ac:dyDescent="0.25">
      <c r="A958" t="str">
        <f t="shared" si="56"/>
        <v>112020</v>
      </c>
      <c r="B958" s="1">
        <v>44147</v>
      </c>
      <c r="C958" s="7">
        <f ca="1">IFERROR(__xludf.DUMMYFUNCTION("""COMPUTED_VALUE"""),44147.6458333333)</f>
        <v>44147.645833333299</v>
      </c>
      <c r="D958">
        <v>11548.7</v>
      </c>
      <c r="E958">
        <v>11788.1</v>
      </c>
      <c r="F958">
        <v>11494.55</v>
      </c>
      <c r="G958">
        <v>11600.8</v>
      </c>
      <c r="H958">
        <v>0</v>
      </c>
      <c r="I958" s="8">
        <f t="shared" si="57"/>
        <v>2.6317267844100378E-3</v>
      </c>
      <c r="J958" s="8">
        <f t="shared" si="58"/>
        <v>2.6282698552765257E-3</v>
      </c>
      <c r="K958" s="8">
        <f t="shared" si="55"/>
        <v>1.6491534058038493E-3</v>
      </c>
    </row>
    <row r="959" spans="1:11" x14ac:dyDescent="0.25">
      <c r="A959" t="str">
        <f t="shared" si="56"/>
        <v>112020</v>
      </c>
      <c r="B959" s="1">
        <v>44148</v>
      </c>
      <c r="C959" s="7">
        <f ca="1">IFERROR(__xludf.DUMMYFUNCTION("""COMPUTED_VALUE"""),44148.6458333333)</f>
        <v>44148.645833333299</v>
      </c>
      <c r="D959">
        <v>11640.5</v>
      </c>
      <c r="E959">
        <v>11744.75</v>
      </c>
      <c r="F959">
        <v>11619.85</v>
      </c>
      <c r="G959">
        <v>11726.45</v>
      </c>
      <c r="H959">
        <v>0</v>
      </c>
      <c r="I959" s="8">
        <f t="shared" si="57"/>
        <v>1.0831149575891486E-2</v>
      </c>
      <c r="J959" s="8">
        <f t="shared" si="58"/>
        <v>1.0772912812013823E-2</v>
      </c>
      <c r="K959" s="8">
        <f t="shared" si="55"/>
        <v>1.6341795300704787E-2</v>
      </c>
    </row>
    <row r="960" spans="1:11" x14ac:dyDescent="0.25">
      <c r="A960" t="str">
        <f t="shared" si="56"/>
        <v>112020</v>
      </c>
      <c r="B960" s="1">
        <v>44152</v>
      </c>
      <c r="C960" s="7">
        <f ca="1">IFERROR(__xludf.DUMMYFUNCTION("""COMPUTED_VALUE"""),44152.6458333333)</f>
        <v>44152.645833333299</v>
      </c>
      <c r="D960">
        <v>11816.6</v>
      </c>
      <c r="E960">
        <v>11837.3</v>
      </c>
      <c r="F960">
        <v>11633.05</v>
      </c>
      <c r="G960">
        <v>11690.8</v>
      </c>
      <c r="H960">
        <v>0</v>
      </c>
      <c r="I960" s="8">
        <f t="shared" si="57"/>
        <v>-3.040135761462448E-3</v>
      </c>
      <c r="J960" s="8">
        <f t="shared" si="58"/>
        <v>-3.0447663616702302E-3</v>
      </c>
      <c r="K960" s="8">
        <f t="shared" ref="K960:K1023" si="59">+G960/G899-1</f>
        <v>1.298858841164896E-2</v>
      </c>
    </row>
    <row r="961" spans="1:11" x14ac:dyDescent="0.25">
      <c r="A961" t="str">
        <f t="shared" si="56"/>
        <v>112020</v>
      </c>
      <c r="B961" s="1">
        <v>44153</v>
      </c>
      <c r="C961" s="7">
        <f ca="1">IFERROR(__xludf.DUMMYFUNCTION("""COMPUTED_VALUE"""),44153.6458333333)</f>
        <v>44153.645833333299</v>
      </c>
      <c r="D961">
        <v>11688.5</v>
      </c>
      <c r="E961">
        <v>11708.15</v>
      </c>
      <c r="F961">
        <v>11523.25</v>
      </c>
      <c r="G961">
        <v>11612.95</v>
      </c>
      <c r="H961">
        <v>0</v>
      </c>
      <c r="I961" s="8">
        <f t="shared" si="57"/>
        <v>-6.6590823553561718E-3</v>
      </c>
      <c r="J961" s="8">
        <f t="shared" si="58"/>
        <v>-6.6813529672160111E-3</v>
      </c>
      <c r="K961" s="8">
        <f t="shared" si="59"/>
        <v>-1.678877992922212E-4</v>
      </c>
    </row>
    <row r="962" spans="1:11" x14ac:dyDescent="0.25">
      <c r="A962" t="str">
        <f t="shared" si="56"/>
        <v>112020</v>
      </c>
      <c r="B962" s="1">
        <v>44154</v>
      </c>
      <c r="C962" s="7">
        <f ca="1">IFERROR(__xludf.DUMMYFUNCTION("""COMPUTED_VALUE"""),44154.6458333333)</f>
        <v>44154.645833333299</v>
      </c>
      <c r="D962">
        <v>11581.55</v>
      </c>
      <c r="E962">
        <v>11741.35</v>
      </c>
      <c r="F962">
        <v>11539.55</v>
      </c>
      <c r="G962">
        <v>11566.6</v>
      </c>
      <c r="H962">
        <v>0</v>
      </c>
      <c r="I962" s="8">
        <f t="shared" si="57"/>
        <v>-3.9912339241967576E-3</v>
      </c>
      <c r="J962" s="8">
        <f t="shared" si="58"/>
        <v>-3.9992201553429143E-3</v>
      </c>
      <c r="K962" s="8">
        <f t="shared" si="59"/>
        <v>-4.8823694614263946E-4</v>
      </c>
    </row>
    <row r="963" spans="1:11" x14ac:dyDescent="0.25">
      <c r="A963" t="str">
        <f t="shared" ref="A963:A1026" si="60">+MONTH(B963)&amp;YEAR(B963)</f>
        <v>112020</v>
      </c>
      <c r="B963" s="1">
        <v>44155</v>
      </c>
      <c r="C963" s="7">
        <f ca="1">IFERROR(__xludf.DUMMYFUNCTION("""COMPUTED_VALUE"""),44155.6458333333)</f>
        <v>44155.645833333299</v>
      </c>
      <c r="D963">
        <v>11600.85</v>
      </c>
      <c r="E963">
        <v>11670.1</v>
      </c>
      <c r="F963">
        <v>11454.8</v>
      </c>
      <c r="G963">
        <v>11526.75</v>
      </c>
      <c r="H963">
        <v>0</v>
      </c>
      <c r="I963" s="8">
        <f t="shared" si="57"/>
        <v>-3.4452648142064835E-3</v>
      </c>
      <c r="J963" s="8">
        <f t="shared" si="58"/>
        <v>-3.4512134059389546E-3</v>
      </c>
      <c r="K963" s="8">
        <f t="shared" si="59"/>
        <v>2.3260869565218112E-3</v>
      </c>
    </row>
    <row r="964" spans="1:11" x14ac:dyDescent="0.25">
      <c r="A964" t="str">
        <f t="shared" si="60"/>
        <v>112020</v>
      </c>
      <c r="B964" s="1">
        <v>44158</v>
      </c>
      <c r="C964" s="7">
        <f ca="1">IFERROR(__xludf.DUMMYFUNCTION("""COMPUTED_VALUE"""),44158.6458333333)</f>
        <v>44158.645833333299</v>
      </c>
      <c r="D964">
        <v>11569.7</v>
      </c>
      <c r="E964">
        <v>11835.65</v>
      </c>
      <c r="F964">
        <v>11525.4</v>
      </c>
      <c r="G964">
        <v>11737.2</v>
      </c>
      <c r="H964">
        <v>0</v>
      </c>
      <c r="I964" s="8">
        <f t="shared" ref="I964:I1027" si="61">+G964/G963-1</f>
        <v>1.8257531394365367E-2</v>
      </c>
      <c r="J964" s="8">
        <f t="shared" ref="J964:J1027" si="62">+LN(1+I964)</f>
        <v>1.8092863928916569E-2</v>
      </c>
      <c r="K964" s="8">
        <f t="shared" si="59"/>
        <v>2.1999120557618879E-2</v>
      </c>
    </row>
    <row r="965" spans="1:11" x14ac:dyDescent="0.25">
      <c r="A965" t="str">
        <f t="shared" si="60"/>
        <v>112020</v>
      </c>
      <c r="B965" s="1">
        <v>44159</v>
      </c>
      <c r="C965" s="7">
        <f ca="1">IFERROR(__xludf.DUMMYFUNCTION("""COMPUTED_VALUE"""),44159.6458333333)</f>
        <v>44159.645833333299</v>
      </c>
      <c r="D965">
        <v>11808.9</v>
      </c>
      <c r="E965">
        <v>11912.35</v>
      </c>
      <c r="F965">
        <v>11680</v>
      </c>
      <c r="G965">
        <v>11880.8</v>
      </c>
      <c r="H965">
        <v>0</v>
      </c>
      <c r="I965" s="8">
        <f t="shared" si="61"/>
        <v>1.2234604505333424E-2</v>
      </c>
      <c r="J965" s="8">
        <f t="shared" si="62"/>
        <v>1.2160366632287855E-2</v>
      </c>
      <c r="K965" s="8">
        <f t="shared" si="59"/>
        <v>2.5263094308360712E-2</v>
      </c>
    </row>
    <row r="966" spans="1:11" x14ac:dyDescent="0.25">
      <c r="A966" t="str">
        <f t="shared" si="60"/>
        <v>112020</v>
      </c>
      <c r="B966" s="1">
        <v>44160</v>
      </c>
      <c r="C966" s="7">
        <f ca="1">IFERROR(__xludf.DUMMYFUNCTION("""COMPUTED_VALUE"""),44160.6458333333)</f>
        <v>44160.645833333299</v>
      </c>
      <c r="D966">
        <v>11977.75</v>
      </c>
      <c r="E966">
        <v>12012.45</v>
      </c>
      <c r="F966">
        <v>11600.75</v>
      </c>
      <c r="G966">
        <v>11635.2</v>
      </c>
      <c r="H966">
        <v>0</v>
      </c>
      <c r="I966" s="8">
        <f t="shared" si="61"/>
        <v>-2.0672008618948134E-2</v>
      </c>
      <c r="J966" s="8">
        <f t="shared" si="62"/>
        <v>-2.0888665613685034E-2</v>
      </c>
      <c r="K966" s="8">
        <f t="shared" si="59"/>
        <v>1.0582556848979241E-3</v>
      </c>
    </row>
    <row r="967" spans="1:11" x14ac:dyDescent="0.25">
      <c r="A967" t="str">
        <f t="shared" si="60"/>
        <v>112020</v>
      </c>
      <c r="B967" s="1">
        <v>44161</v>
      </c>
      <c r="C967" s="7">
        <f ca="1">IFERROR(__xludf.DUMMYFUNCTION("""COMPUTED_VALUE"""),44161.6458333333)</f>
        <v>44161.645833333299</v>
      </c>
      <c r="D967">
        <v>11665.15</v>
      </c>
      <c r="E967">
        <v>11834.95</v>
      </c>
      <c r="F967">
        <v>11604.65</v>
      </c>
      <c r="G967">
        <v>11801.25</v>
      </c>
      <c r="H967">
        <v>0</v>
      </c>
      <c r="I967" s="8">
        <f t="shared" si="61"/>
        <v>1.4271349009900902E-2</v>
      </c>
      <c r="J967" s="8">
        <f t="shared" si="62"/>
        <v>1.4170471943675912E-2</v>
      </c>
      <c r="K967" s="8">
        <f t="shared" si="59"/>
        <v>6.5113991227278456E-2</v>
      </c>
    </row>
    <row r="968" spans="1:11" x14ac:dyDescent="0.25">
      <c r="A968" t="str">
        <f t="shared" si="60"/>
        <v>112020</v>
      </c>
      <c r="B968" s="1">
        <v>44162</v>
      </c>
      <c r="C968" s="7">
        <f ca="1">IFERROR(__xludf.DUMMYFUNCTION("""COMPUTED_VALUE"""),44162.6458333333)</f>
        <v>44162.645833333299</v>
      </c>
      <c r="D968">
        <v>11840.4</v>
      </c>
      <c r="E968">
        <v>11976.1</v>
      </c>
      <c r="F968">
        <v>11792.35</v>
      </c>
      <c r="G968">
        <v>11839.15</v>
      </c>
      <c r="H968">
        <v>0</v>
      </c>
      <c r="I968" s="8">
        <f t="shared" si="61"/>
        <v>3.2115242029446822E-3</v>
      </c>
      <c r="J968" s="8">
        <f t="shared" si="62"/>
        <v>3.2063782736657044E-3</v>
      </c>
      <c r="K968" s="8">
        <f t="shared" si="59"/>
        <v>4.4062789364610389E-2</v>
      </c>
    </row>
    <row r="969" spans="1:11" x14ac:dyDescent="0.25">
      <c r="A969" t="str">
        <f t="shared" si="60"/>
        <v>122020</v>
      </c>
      <c r="B969" s="1">
        <v>44166</v>
      </c>
      <c r="C969" s="7">
        <f ca="1">IFERROR(__xludf.DUMMYFUNCTION("""COMPUTED_VALUE"""),44166.6458333333)</f>
        <v>44166.645833333299</v>
      </c>
      <c r="D969">
        <v>12021</v>
      </c>
      <c r="E969">
        <v>12085.95</v>
      </c>
      <c r="F969">
        <v>11875.6</v>
      </c>
      <c r="G969">
        <v>12045.15</v>
      </c>
      <c r="H969">
        <v>0</v>
      </c>
      <c r="I969" s="8">
        <f t="shared" si="61"/>
        <v>1.7399897796716912E-2</v>
      </c>
      <c r="J969" s="8">
        <f t="shared" si="62"/>
        <v>1.7250252951162719E-2</v>
      </c>
      <c r="K969" s="8">
        <f t="shared" si="59"/>
        <v>5.6198347107437874E-2</v>
      </c>
    </row>
    <row r="970" spans="1:11" x14ac:dyDescent="0.25">
      <c r="A970" t="str">
        <f t="shared" si="60"/>
        <v>122020</v>
      </c>
      <c r="B970" s="1">
        <v>44167</v>
      </c>
      <c r="C970" s="7">
        <f ca="1">IFERROR(__xludf.DUMMYFUNCTION("""COMPUTED_VALUE"""),44167.6458333333)</f>
        <v>44167.645833333299</v>
      </c>
      <c r="D970">
        <v>12073.35</v>
      </c>
      <c r="E970">
        <v>12137.65</v>
      </c>
      <c r="F970">
        <v>11986.55</v>
      </c>
      <c r="G970">
        <v>12088.6</v>
      </c>
      <c r="H970">
        <v>0</v>
      </c>
      <c r="I970" s="8">
        <f t="shared" si="61"/>
        <v>3.6072610137691807E-3</v>
      </c>
      <c r="J970" s="8">
        <f t="shared" si="62"/>
        <v>3.6007704518427122E-3</v>
      </c>
      <c r="K970" s="8">
        <f t="shared" si="59"/>
        <v>5.0100548565174208E-2</v>
      </c>
    </row>
    <row r="971" spans="1:11" x14ac:dyDescent="0.25">
      <c r="A971" t="str">
        <f t="shared" si="60"/>
        <v>122020</v>
      </c>
      <c r="B971" s="1">
        <v>44168</v>
      </c>
      <c r="C971" s="7">
        <f ca="1">IFERROR(__xludf.DUMMYFUNCTION("""COMPUTED_VALUE"""),44168.6458333333)</f>
        <v>44168.645833333299</v>
      </c>
      <c r="D971">
        <v>12151.55</v>
      </c>
      <c r="E971">
        <v>12232.1</v>
      </c>
      <c r="F971">
        <v>12083.1</v>
      </c>
      <c r="G971">
        <v>12206.95</v>
      </c>
      <c r="H971">
        <v>0</v>
      </c>
      <c r="I971" s="8">
        <f t="shared" si="61"/>
        <v>9.7902155750044795E-3</v>
      </c>
      <c r="J971" s="8">
        <f t="shared" si="62"/>
        <v>9.7426019275279798E-3</v>
      </c>
      <c r="K971" s="8">
        <f t="shared" si="59"/>
        <v>8.2037326762073981E-2</v>
      </c>
    </row>
    <row r="972" spans="1:11" x14ac:dyDescent="0.25">
      <c r="A972" t="str">
        <f t="shared" si="60"/>
        <v>122020</v>
      </c>
      <c r="B972" s="1">
        <v>44169</v>
      </c>
      <c r="C972" s="7">
        <f ca="1">IFERROR(__xludf.DUMMYFUNCTION("""COMPUTED_VALUE"""),44169.6458333333)</f>
        <v>44169.645833333299</v>
      </c>
      <c r="D972">
        <v>12248.55</v>
      </c>
      <c r="E972">
        <v>12393.55</v>
      </c>
      <c r="F972">
        <v>12131.9</v>
      </c>
      <c r="G972">
        <v>12353.6</v>
      </c>
      <c r="H972">
        <v>0</v>
      </c>
      <c r="I972" s="8">
        <f t="shared" si="61"/>
        <v>1.2013647962840768E-2</v>
      </c>
      <c r="J972" s="8">
        <f t="shared" si="62"/>
        <v>1.1942056903626075E-2</v>
      </c>
      <c r="K972" s="8">
        <f t="shared" si="59"/>
        <v>9.6163657901391808E-2</v>
      </c>
    </row>
    <row r="973" spans="1:11" x14ac:dyDescent="0.25">
      <c r="A973" t="str">
        <f t="shared" si="60"/>
        <v>122020</v>
      </c>
      <c r="B973" s="1">
        <v>44172</v>
      </c>
      <c r="C973" s="7">
        <f ca="1">IFERROR(__xludf.DUMMYFUNCTION("""COMPUTED_VALUE"""),44172.6458333333)</f>
        <v>44172.645833333299</v>
      </c>
      <c r="D973">
        <v>12376.45</v>
      </c>
      <c r="E973">
        <v>12636.9</v>
      </c>
      <c r="F973">
        <v>12314.8</v>
      </c>
      <c r="G973">
        <v>12555.95</v>
      </c>
      <c r="H973">
        <v>0</v>
      </c>
      <c r="I973" s="8">
        <f t="shared" si="61"/>
        <v>1.6379840694210612E-2</v>
      </c>
      <c r="J973" s="8">
        <f t="shared" si="62"/>
        <v>1.6247138239440496E-2</v>
      </c>
      <c r="K973" s="8">
        <f t="shared" si="59"/>
        <v>0.13186005841416359</v>
      </c>
    </row>
    <row r="974" spans="1:11" x14ac:dyDescent="0.25">
      <c r="A974" t="str">
        <f t="shared" si="60"/>
        <v>122020</v>
      </c>
      <c r="B974" s="1">
        <v>44173</v>
      </c>
      <c r="C974" s="7">
        <f ca="1">IFERROR(__xludf.DUMMYFUNCTION("""COMPUTED_VALUE"""),44173.6458333333)</f>
        <v>44173.645833333299</v>
      </c>
      <c r="D974">
        <v>12588.8</v>
      </c>
      <c r="E974">
        <v>12621.6</v>
      </c>
      <c r="F974">
        <v>12327.55</v>
      </c>
      <c r="G974">
        <v>12407.3</v>
      </c>
      <c r="H974">
        <v>0</v>
      </c>
      <c r="I974" s="8">
        <f t="shared" si="61"/>
        <v>-1.1839008597517631E-2</v>
      </c>
      <c r="J974" s="8">
        <f t="shared" si="62"/>
        <v>-1.1909647745005013E-2</v>
      </c>
      <c r="K974" s="8">
        <f t="shared" si="59"/>
        <v>9.7592908767615283E-2</v>
      </c>
    </row>
    <row r="975" spans="1:11" x14ac:dyDescent="0.25">
      <c r="A975" t="str">
        <f t="shared" si="60"/>
        <v>122020</v>
      </c>
      <c r="B975" s="1">
        <v>44174</v>
      </c>
      <c r="C975" s="7">
        <f ca="1">IFERROR(__xludf.DUMMYFUNCTION("""COMPUTED_VALUE"""),44174.6458333333)</f>
        <v>44174.645833333299</v>
      </c>
      <c r="D975">
        <v>12463.55</v>
      </c>
      <c r="E975">
        <v>12568.95</v>
      </c>
      <c r="F975">
        <v>12408.05</v>
      </c>
      <c r="G975">
        <v>12443.9</v>
      </c>
      <c r="H975">
        <v>0</v>
      </c>
      <c r="I975" s="8">
        <f t="shared" si="61"/>
        <v>2.949876282511088E-3</v>
      </c>
      <c r="J975" s="8">
        <f t="shared" si="62"/>
        <v>2.9455339349661177E-3</v>
      </c>
      <c r="K975" s="8">
        <f t="shared" si="59"/>
        <v>0.10089884459543152</v>
      </c>
    </row>
    <row r="976" spans="1:11" x14ac:dyDescent="0.25">
      <c r="A976" t="str">
        <f t="shared" si="60"/>
        <v>122020</v>
      </c>
      <c r="B976" s="1">
        <v>44175</v>
      </c>
      <c r="C976" s="7">
        <f ca="1">IFERROR(__xludf.DUMMYFUNCTION("""COMPUTED_VALUE"""),44175.6458333333)</f>
        <v>44175.645833333299</v>
      </c>
      <c r="D976">
        <v>12453.1</v>
      </c>
      <c r="E976">
        <v>12551.4</v>
      </c>
      <c r="F976">
        <v>12338.1</v>
      </c>
      <c r="G976">
        <v>12440.6</v>
      </c>
      <c r="H976">
        <v>0</v>
      </c>
      <c r="I976" s="8">
        <f t="shared" si="61"/>
        <v>-2.651901734985751E-4</v>
      </c>
      <c r="J976" s="8">
        <f t="shared" si="62"/>
        <v>-2.6522534263044475E-4</v>
      </c>
      <c r="K976" s="8">
        <f t="shared" si="59"/>
        <v>9.9643782097177835E-2</v>
      </c>
    </row>
    <row r="977" spans="1:11" x14ac:dyDescent="0.25">
      <c r="A977" t="str">
        <f t="shared" si="60"/>
        <v>122020</v>
      </c>
      <c r="B977" s="1">
        <v>44176</v>
      </c>
      <c r="C977" s="7">
        <f ca="1">IFERROR(__xludf.DUMMYFUNCTION("""COMPUTED_VALUE"""),44176.6458333333)</f>
        <v>44176.645833333299</v>
      </c>
      <c r="D977">
        <v>12460</v>
      </c>
      <c r="E977">
        <v>12493.45</v>
      </c>
      <c r="F977">
        <v>12277.5</v>
      </c>
      <c r="G977">
        <v>12366</v>
      </c>
      <c r="H977">
        <v>0</v>
      </c>
      <c r="I977" s="8">
        <f t="shared" si="61"/>
        <v>-5.9964953458836456E-3</v>
      </c>
      <c r="J977" s="8">
        <f t="shared" si="62"/>
        <v>-6.0145465228084909E-3</v>
      </c>
      <c r="K977" s="8">
        <f t="shared" si="59"/>
        <v>0.10083412710423478</v>
      </c>
    </row>
    <row r="978" spans="1:11" x14ac:dyDescent="0.25">
      <c r="A978" t="str">
        <f t="shared" si="60"/>
        <v>122020</v>
      </c>
      <c r="B978" s="1">
        <v>44179</v>
      </c>
      <c r="C978" s="7">
        <f ca="1">IFERROR(__xludf.DUMMYFUNCTION("""COMPUTED_VALUE"""),44179.6458333333)</f>
        <v>44179.645833333299</v>
      </c>
      <c r="D978">
        <v>12399.75</v>
      </c>
      <c r="E978">
        <v>12506.9</v>
      </c>
      <c r="F978">
        <v>12395.55</v>
      </c>
      <c r="G978">
        <v>12459.9</v>
      </c>
      <c r="H978">
        <v>0</v>
      </c>
      <c r="I978" s="8">
        <f t="shared" si="61"/>
        <v>7.5934012615235247E-3</v>
      </c>
      <c r="J978" s="8">
        <f t="shared" si="62"/>
        <v>7.5647165085411519E-3</v>
      </c>
      <c r="K978" s="8">
        <f t="shared" si="59"/>
        <v>8.8153355748657125E-2</v>
      </c>
    </row>
    <row r="979" spans="1:11" x14ac:dyDescent="0.25">
      <c r="A979" t="str">
        <f t="shared" si="60"/>
        <v>122020</v>
      </c>
      <c r="B979" s="1">
        <v>44180</v>
      </c>
      <c r="C979" s="7">
        <f ca="1">IFERROR(__xludf.DUMMYFUNCTION("""COMPUTED_VALUE"""),44180.6458333333)</f>
        <v>44180.645833333299</v>
      </c>
      <c r="D979">
        <v>12498.35</v>
      </c>
      <c r="E979">
        <v>12556.35</v>
      </c>
      <c r="F979">
        <v>12400.7</v>
      </c>
      <c r="G979">
        <v>12432.6</v>
      </c>
      <c r="H979">
        <v>0</v>
      </c>
      <c r="I979" s="8">
        <f t="shared" si="61"/>
        <v>-2.1910288204559647E-3</v>
      </c>
      <c r="J979" s="8">
        <f t="shared" si="62"/>
        <v>-2.1934326359632182E-3</v>
      </c>
      <c r="K979" s="8">
        <f t="shared" si="59"/>
        <v>6.3656313229613737E-2</v>
      </c>
    </row>
    <row r="980" spans="1:11" x14ac:dyDescent="0.25">
      <c r="A980" t="str">
        <f t="shared" si="60"/>
        <v>122020</v>
      </c>
      <c r="B980" s="1">
        <v>44181</v>
      </c>
      <c r="C980" s="7">
        <f ca="1">IFERROR(__xludf.DUMMYFUNCTION("""COMPUTED_VALUE"""),44181.6458333333)</f>
        <v>44181.645833333299</v>
      </c>
      <c r="D980">
        <v>12492.9</v>
      </c>
      <c r="E980">
        <v>12578.4</v>
      </c>
      <c r="F980">
        <v>12437.85</v>
      </c>
      <c r="G980">
        <v>12547.5</v>
      </c>
      <c r="H980">
        <v>0</v>
      </c>
      <c r="I980" s="8">
        <f t="shared" si="61"/>
        <v>9.2418319579170571E-3</v>
      </c>
      <c r="J980" s="8">
        <f t="shared" si="62"/>
        <v>9.1993875379967824E-3</v>
      </c>
      <c r="K980" s="8">
        <f t="shared" si="59"/>
        <v>6.9150771773908382E-2</v>
      </c>
    </row>
    <row r="981" spans="1:11" x14ac:dyDescent="0.25">
      <c r="A981" t="str">
        <f t="shared" si="60"/>
        <v>122020</v>
      </c>
      <c r="B981" s="1">
        <v>44182</v>
      </c>
      <c r="C981" s="7">
        <f ca="1">IFERROR(__xludf.DUMMYFUNCTION("""COMPUTED_VALUE"""),44182.6458333333)</f>
        <v>44182.645833333299</v>
      </c>
      <c r="D981">
        <v>12585</v>
      </c>
      <c r="E981">
        <v>12731.45</v>
      </c>
      <c r="F981">
        <v>12561.25</v>
      </c>
      <c r="G981">
        <v>12602.4</v>
      </c>
      <c r="H981">
        <v>0</v>
      </c>
      <c r="I981" s="8">
        <f t="shared" si="61"/>
        <v>4.3753735803944149E-3</v>
      </c>
      <c r="J981" s="8">
        <f t="shared" si="62"/>
        <v>4.3658294626704106E-3</v>
      </c>
      <c r="K981" s="8">
        <f t="shared" si="59"/>
        <v>2.2847356930094431E-2</v>
      </c>
    </row>
    <row r="982" spans="1:11" x14ac:dyDescent="0.25">
      <c r="A982" t="str">
        <f t="shared" si="60"/>
        <v>122020</v>
      </c>
      <c r="B982" s="1">
        <v>44183</v>
      </c>
      <c r="C982" s="7">
        <f ca="1">IFERROR(__xludf.DUMMYFUNCTION("""COMPUTED_VALUE"""),44183.6458333333)</f>
        <v>44183.645833333299</v>
      </c>
      <c r="D982">
        <v>12632.6</v>
      </c>
      <c r="E982">
        <v>12796.95</v>
      </c>
      <c r="F982">
        <v>12559.4</v>
      </c>
      <c r="G982">
        <v>12762.35</v>
      </c>
      <c r="H982">
        <v>0</v>
      </c>
      <c r="I982" s="8">
        <f t="shared" si="61"/>
        <v>1.2692026915508192E-2</v>
      </c>
      <c r="J982" s="8">
        <f t="shared" si="62"/>
        <v>1.2612158228938837E-2</v>
      </c>
      <c r="K982" s="8">
        <f t="shared" si="59"/>
        <v>8.1596332063510912E-2</v>
      </c>
    </row>
    <row r="983" spans="1:11" x14ac:dyDescent="0.25">
      <c r="A983" t="str">
        <f t="shared" si="60"/>
        <v>122020</v>
      </c>
      <c r="B983" s="1">
        <v>44186</v>
      </c>
      <c r="C983" s="7">
        <f ca="1">IFERROR(__xludf.DUMMYFUNCTION("""COMPUTED_VALUE"""),44186.6458333333)</f>
        <v>44186.645833333299</v>
      </c>
      <c r="D983">
        <v>12752</v>
      </c>
      <c r="E983">
        <v>12869.7</v>
      </c>
      <c r="F983">
        <v>11949.6</v>
      </c>
      <c r="G983">
        <v>12278.15</v>
      </c>
      <c r="H983">
        <v>0</v>
      </c>
      <c r="I983" s="8">
        <f t="shared" si="61"/>
        <v>-3.793972113286348E-2</v>
      </c>
      <c r="J983" s="8">
        <f t="shared" si="62"/>
        <v>-3.8678170334434561E-2</v>
      </c>
      <c r="K983" s="8">
        <f t="shared" si="59"/>
        <v>3.3788420330306268E-2</v>
      </c>
    </row>
    <row r="984" spans="1:11" x14ac:dyDescent="0.25">
      <c r="A984" t="str">
        <f t="shared" si="60"/>
        <v>122020</v>
      </c>
      <c r="B984" s="1">
        <v>44187</v>
      </c>
      <c r="C984" s="7">
        <f ca="1">IFERROR(__xludf.DUMMYFUNCTION("""COMPUTED_VALUE"""),44187.6458333333)</f>
        <v>44187.645833333299</v>
      </c>
      <c r="D984">
        <v>12328.55</v>
      </c>
      <c r="E984">
        <v>12592.45</v>
      </c>
      <c r="F984">
        <v>12020.7</v>
      </c>
      <c r="G984">
        <v>12550.95</v>
      </c>
      <c r="H984">
        <v>0</v>
      </c>
      <c r="I984" s="8">
        <f t="shared" si="61"/>
        <v>2.2218330937478381E-2</v>
      </c>
      <c r="J984" s="8">
        <f t="shared" si="62"/>
        <v>2.1975100019932539E-2</v>
      </c>
      <c r="K984" s="8">
        <f t="shared" si="59"/>
        <v>7.4025107180448302E-2</v>
      </c>
    </row>
    <row r="985" spans="1:11" x14ac:dyDescent="0.25">
      <c r="A985" t="str">
        <f t="shared" si="60"/>
        <v>122020</v>
      </c>
      <c r="B985" s="1">
        <v>44188</v>
      </c>
      <c r="C985" s="7">
        <f ca="1">IFERROR(__xludf.DUMMYFUNCTION("""COMPUTED_VALUE"""),44188.6458333333)</f>
        <v>44188.645833333299</v>
      </c>
      <c r="D985">
        <v>12558.05</v>
      </c>
      <c r="E985">
        <v>12781.55</v>
      </c>
      <c r="F985">
        <v>12481.35</v>
      </c>
      <c r="G985">
        <v>12753.25</v>
      </c>
      <c r="H985">
        <v>0</v>
      </c>
      <c r="I985" s="8">
        <f t="shared" si="61"/>
        <v>1.6118301801855583E-2</v>
      </c>
      <c r="J985" s="8">
        <f t="shared" si="62"/>
        <v>1.5989781159175348E-2</v>
      </c>
      <c r="K985" s="8">
        <f t="shared" si="59"/>
        <v>0.12516101141637104</v>
      </c>
    </row>
    <row r="986" spans="1:11" x14ac:dyDescent="0.25">
      <c r="A986" t="str">
        <f t="shared" si="60"/>
        <v>122020</v>
      </c>
      <c r="B986" s="1">
        <v>44189</v>
      </c>
      <c r="C986" s="7">
        <f ca="1">IFERROR(__xludf.DUMMYFUNCTION("""COMPUTED_VALUE"""),44189.6458333333)</f>
        <v>44189.645833333299</v>
      </c>
      <c r="D986">
        <v>12815.9</v>
      </c>
      <c r="E986">
        <v>12943.2</v>
      </c>
      <c r="F986">
        <v>12694.55</v>
      </c>
      <c r="G986">
        <v>12908.95</v>
      </c>
      <c r="H986">
        <v>0</v>
      </c>
      <c r="I986" s="8">
        <f t="shared" si="61"/>
        <v>1.2208652696371614E-2</v>
      </c>
      <c r="J986" s="8">
        <f t="shared" si="62"/>
        <v>1.2134728167123755E-2</v>
      </c>
      <c r="K986" s="8">
        <f t="shared" si="59"/>
        <v>0.11323398787502481</v>
      </c>
    </row>
    <row r="987" spans="1:11" x14ac:dyDescent="0.25">
      <c r="A987" t="str">
        <f t="shared" si="60"/>
        <v>122020</v>
      </c>
      <c r="B987" s="1">
        <v>44193</v>
      </c>
      <c r="C987" s="7">
        <f ca="1">IFERROR(__xludf.DUMMYFUNCTION("""COMPUTED_VALUE"""),44193.6458333333)</f>
        <v>44193.645833333299</v>
      </c>
      <c r="D987">
        <v>12989.4</v>
      </c>
      <c r="E987">
        <v>12995.2</v>
      </c>
      <c r="F987">
        <v>12842.55</v>
      </c>
      <c r="G987">
        <v>12874.35</v>
      </c>
      <c r="H987">
        <v>0</v>
      </c>
      <c r="I987" s="8">
        <f t="shared" si="61"/>
        <v>-2.6803109470561193E-3</v>
      </c>
      <c r="J987" s="8">
        <f t="shared" si="62"/>
        <v>-2.6839094118839449E-3</v>
      </c>
      <c r="K987" s="8">
        <f t="shared" si="59"/>
        <v>9.1361070138853639E-2</v>
      </c>
    </row>
    <row r="988" spans="1:11" x14ac:dyDescent="0.25">
      <c r="A988" t="str">
        <f t="shared" si="60"/>
        <v>122020</v>
      </c>
      <c r="B988" s="1">
        <v>44194</v>
      </c>
      <c r="C988" s="7">
        <f ca="1">IFERROR(__xludf.DUMMYFUNCTION("""COMPUTED_VALUE"""),44194.6458333333)</f>
        <v>44194.645833333299</v>
      </c>
      <c r="D988">
        <v>12932.3</v>
      </c>
      <c r="E988">
        <v>13006.2</v>
      </c>
      <c r="F988">
        <v>12802.85</v>
      </c>
      <c r="G988">
        <v>12843.9</v>
      </c>
      <c r="H988">
        <v>0</v>
      </c>
      <c r="I988" s="8">
        <f t="shared" si="61"/>
        <v>-2.3651679502266765E-3</v>
      </c>
      <c r="J988" s="8">
        <f t="shared" si="62"/>
        <v>-2.3679693780463201E-3</v>
      </c>
      <c r="K988" s="8">
        <f t="shared" si="59"/>
        <v>9.6878602843844641E-2</v>
      </c>
    </row>
    <row r="989" spans="1:11" x14ac:dyDescent="0.25">
      <c r="A989" t="str">
        <f t="shared" si="60"/>
        <v>122020</v>
      </c>
      <c r="B989" s="1">
        <v>44195</v>
      </c>
      <c r="C989" s="7">
        <f ca="1">IFERROR(__xludf.DUMMYFUNCTION("""COMPUTED_VALUE"""),44195.6458333333)</f>
        <v>44195.645833333299</v>
      </c>
      <c r="D989">
        <v>12898.6</v>
      </c>
      <c r="E989">
        <v>12898.6</v>
      </c>
      <c r="F989">
        <v>12753.85</v>
      </c>
      <c r="G989">
        <v>12823.9</v>
      </c>
      <c r="H989">
        <v>0</v>
      </c>
      <c r="I989" s="8">
        <f t="shared" si="61"/>
        <v>-1.5571594297681957E-3</v>
      </c>
      <c r="J989" s="8">
        <f t="shared" si="62"/>
        <v>-1.5583730625565028E-3</v>
      </c>
      <c r="K989" s="8">
        <f t="shared" si="59"/>
        <v>8.9277447686838762E-2</v>
      </c>
    </row>
    <row r="990" spans="1:11" x14ac:dyDescent="0.25">
      <c r="A990" t="str">
        <f t="shared" si="60"/>
        <v>122020</v>
      </c>
      <c r="B990" s="1">
        <v>44196</v>
      </c>
      <c r="C990" s="7">
        <f ca="1">IFERROR(__xludf.DUMMYFUNCTION("""COMPUTED_VALUE"""),44196.6458333333)</f>
        <v>44196.645833333299</v>
      </c>
      <c r="D990">
        <v>12829.75</v>
      </c>
      <c r="E990">
        <v>12986.45</v>
      </c>
      <c r="F990">
        <v>12797.95</v>
      </c>
      <c r="G990">
        <v>12915.9</v>
      </c>
      <c r="H990">
        <v>0</v>
      </c>
      <c r="I990" s="8">
        <f t="shared" si="61"/>
        <v>7.1741046015643128E-3</v>
      </c>
      <c r="J990" s="8">
        <f t="shared" si="62"/>
        <v>7.1484931330972386E-3</v>
      </c>
      <c r="K990" s="8">
        <f t="shared" si="59"/>
        <v>9.2447707415270308E-2</v>
      </c>
    </row>
    <row r="991" spans="1:11" x14ac:dyDescent="0.25">
      <c r="A991" t="str">
        <f t="shared" si="60"/>
        <v>12021</v>
      </c>
      <c r="B991" s="1">
        <v>44197</v>
      </c>
      <c r="C991" s="7">
        <f ca="1">IFERROR(__xludf.DUMMYFUNCTION("""COMPUTED_VALUE"""),44197.6458333333)</f>
        <v>44197.645833333299</v>
      </c>
      <c r="D991">
        <v>12933.1</v>
      </c>
      <c r="E991">
        <v>13045.55</v>
      </c>
      <c r="F991">
        <v>12875.55</v>
      </c>
      <c r="G991">
        <v>13001.95</v>
      </c>
      <c r="H991">
        <v>0</v>
      </c>
      <c r="I991" s="8">
        <f t="shared" si="61"/>
        <v>6.6623309254485452E-3</v>
      </c>
      <c r="J991" s="8">
        <f t="shared" si="62"/>
        <v>6.6402356816931875E-3</v>
      </c>
      <c r="K991" s="8">
        <f t="shared" si="59"/>
        <v>8.1333166999334683E-2</v>
      </c>
    </row>
    <row r="992" spans="1:11" x14ac:dyDescent="0.25">
      <c r="A992" t="str">
        <f t="shared" si="60"/>
        <v>12021</v>
      </c>
      <c r="B992" s="1">
        <v>44200</v>
      </c>
      <c r="C992" s="7">
        <f ca="1">IFERROR(__xludf.DUMMYFUNCTION("""COMPUTED_VALUE"""),44200.6458333333)</f>
        <v>44200.645833333299</v>
      </c>
      <c r="D992">
        <v>13085.3</v>
      </c>
      <c r="E992">
        <v>13186.55</v>
      </c>
      <c r="F992">
        <v>13028.2</v>
      </c>
      <c r="G992">
        <v>13149.8</v>
      </c>
      <c r="H992">
        <v>0</v>
      </c>
      <c r="I992" s="8">
        <f t="shared" si="61"/>
        <v>1.1371371217394177E-2</v>
      </c>
      <c r="J992" s="8">
        <f t="shared" si="62"/>
        <v>1.1307203169976606E-2</v>
      </c>
      <c r="K992" s="8">
        <f t="shared" si="59"/>
        <v>9.4954390084474927E-2</v>
      </c>
    </row>
    <row r="993" spans="1:11" x14ac:dyDescent="0.25">
      <c r="A993" t="str">
        <f t="shared" si="60"/>
        <v>12021</v>
      </c>
      <c r="B993" s="1">
        <v>44201</v>
      </c>
      <c r="C993" s="7">
        <f ca="1">IFERROR(__xludf.DUMMYFUNCTION("""COMPUTED_VALUE"""),44201.6458333333)</f>
        <v>44201.645833333299</v>
      </c>
      <c r="D993">
        <v>13148.05</v>
      </c>
      <c r="E993">
        <v>13247.05</v>
      </c>
      <c r="F993">
        <v>13073</v>
      </c>
      <c r="G993">
        <v>13166.35</v>
      </c>
      <c r="H993">
        <v>0</v>
      </c>
      <c r="I993" s="8">
        <f t="shared" si="61"/>
        <v>1.2585742748940643E-3</v>
      </c>
      <c r="J993" s="8">
        <f t="shared" si="62"/>
        <v>1.2577829341957904E-3</v>
      </c>
      <c r="K993" s="8">
        <f t="shared" si="59"/>
        <v>0.10502308015107009</v>
      </c>
    </row>
    <row r="994" spans="1:11" x14ac:dyDescent="0.25">
      <c r="A994" t="str">
        <f t="shared" si="60"/>
        <v>12021</v>
      </c>
      <c r="B994" s="1">
        <v>44202</v>
      </c>
      <c r="C994" s="7">
        <f ca="1">IFERROR(__xludf.DUMMYFUNCTION("""COMPUTED_VALUE"""),44202.6458333333)</f>
        <v>44202.645833333299</v>
      </c>
      <c r="D994">
        <v>13181</v>
      </c>
      <c r="E994">
        <v>13205.65</v>
      </c>
      <c r="F994">
        <v>12965.65</v>
      </c>
      <c r="G994">
        <v>13118.1</v>
      </c>
      <c r="H994">
        <v>0</v>
      </c>
      <c r="I994" s="8">
        <f t="shared" si="61"/>
        <v>-3.6646450990593937E-3</v>
      </c>
      <c r="J994" s="8">
        <f t="shared" si="62"/>
        <v>-3.6713763610666081E-3</v>
      </c>
      <c r="K994" s="8">
        <f t="shared" si="59"/>
        <v>7.4443862005700634E-2</v>
      </c>
    </row>
    <row r="995" spans="1:11" x14ac:dyDescent="0.25">
      <c r="A995" t="str">
        <f t="shared" si="60"/>
        <v>12021</v>
      </c>
      <c r="B995" s="1">
        <v>44203</v>
      </c>
      <c r="C995" s="7">
        <f ca="1">IFERROR(__xludf.DUMMYFUNCTION("""COMPUTED_VALUE"""),44203.6458333333)</f>
        <v>44203.645833333299</v>
      </c>
      <c r="D995">
        <v>13168.45</v>
      </c>
      <c r="E995">
        <v>13200.25</v>
      </c>
      <c r="F995">
        <v>13010.35</v>
      </c>
      <c r="G995">
        <v>13060.75</v>
      </c>
      <c r="H995">
        <v>0</v>
      </c>
      <c r="I995" s="8">
        <f t="shared" si="61"/>
        <v>-4.3718221388768796E-3</v>
      </c>
      <c r="J995" s="8">
        <f t="shared" si="62"/>
        <v>-4.3814064975588787E-3</v>
      </c>
      <c r="K995" s="8">
        <f t="shared" si="59"/>
        <v>8.442412995736448E-2</v>
      </c>
    </row>
    <row r="996" spans="1:11" x14ac:dyDescent="0.25">
      <c r="A996" t="str">
        <f t="shared" si="60"/>
        <v>12021</v>
      </c>
      <c r="B996" s="1">
        <v>44204</v>
      </c>
      <c r="C996" s="7">
        <f ca="1">IFERROR(__xludf.DUMMYFUNCTION("""COMPUTED_VALUE"""),44204.6458333333)</f>
        <v>44204.645833333299</v>
      </c>
      <c r="D996">
        <v>13141</v>
      </c>
      <c r="E996">
        <v>13298.15</v>
      </c>
      <c r="F996">
        <v>13104.05</v>
      </c>
      <c r="G996">
        <v>13271.55</v>
      </c>
      <c r="H996">
        <v>0</v>
      </c>
      <c r="I996" s="8">
        <f t="shared" si="61"/>
        <v>1.6139961334532771E-2</v>
      </c>
      <c r="J996" s="8">
        <f t="shared" si="62"/>
        <v>1.6011096887664087E-2</v>
      </c>
      <c r="K996" s="8">
        <f t="shared" si="59"/>
        <v>9.1899741249161782E-2</v>
      </c>
    </row>
    <row r="997" spans="1:11" x14ac:dyDescent="0.25">
      <c r="A997" t="str">
        <f t="shared" si="60"/>
        <v>12021</v>
      </c>
      <c r="B997" s="1">
        <v>44207</v>
      </c>
      <c r="C997" s="7">
        <f ca="1">IFERROR(__xludf.DUMMYFUNCTION("""COMPUTED_VALUE"""),44207.6458333333)</f>
        <v>44207.645833333299</v>
      </c>
      <c r="D997">
        <v>13315.45</v>
      </c>
      <c r="E997">
        <v>13423.8</v>
      </c>
      <c r="F997">
        <v>13222.8</v>
      </c>
      <c r="G997">
        <v>13412.35</v>
      </c>
      <c r="H997">
        <v>0</v>
      </c>
      <c r="I997" s="8">
        <f t="shared" si="61"/>
        <v>1.0609160196058509E-2</v>
      </c>
      <c r="J997" s="8">
        <f t="shared" si="62"/>
        <v>1.0553277951016708E-2</v>
      </c>
      <c r="K997" s="8">
        <f t="shared" si="59"/>
        <v>0.12358529291033826</v>
      </c>
    </row>
    <row r="998" spans="1:11" x14ac:dyDescent="0.25">
      <c r="A998" t="str">
        <f t="shared" si="60"/>
        <v>12021</v>
      </c>
      <c r="B998" s="1">
        <v>44208</v>
      </c>
      <c r="C998" s="7">
        <f ca="1">IFERROR(__xludf.DUMMYFUNCTION("""COMPUTED_VALUE"""),44208.6458333333)</f>
        <v>44208.645833333299</v>
      </c>
      <c r="D998">
        <v>13445.65</v>
      </c>
      <c r="E998">
        <v>13476.8</v>
      </c>
      <c r="F998">
        <v>13220.05</v>
      </c>
      <c r="G998">
        <v>13244.7</v>
      </c>
      <c r="H998">
        <v>0</v>
      </c>
      <c r="I998" s="8">
        <f t="shared" si="61"/>
        <v>-1.2499673808094802E-2</v>
      </c>
      <c r="J998" s="8">
        <f t="shared" si="62"/>
        <v>-1.2578451885998019E-2</v>
      </c>
      <c r="K998" s="8">
        <f t="shared" si="59"/>
        <v>0.11701279807712583</v>
      </c>
    </row>
    <row r="999" spans="1:11" x14ac:dyDescent="0.25">
      <c r="A999" t="str">
        <f t="shared" si="60"/>
        <v>12021</v>
      </c>
      <c r="B999" s="1">
        <v>44209</v>
      </c>
      <c r="C999" s="7">
        <f ca="1">IFERROR(__xludf.DUMMYFUNCTION("""COMPUTED_VALUE"""),44209.6458333333)</f>
        <v>44209.645833333299</v>
      </c>
      <c r="D999">
        <v>13285.95</v>
      </c>
      <c r="E999">
        <v>13304.75</v>
      </c>
      <c r="F999">
        <v>12994.25</v>
      </c>
      <c r="G999">
        <v>13122.55</v>
      </c>
      <c r="H999">
        <v>0</v>
      </c>
      <c r="I999" s="8">
        <f t="shared" si="61"/>
        <v>-9.2225569473073366E-3</v>
      </c>
      <c r="J999" s="8">
        <f t="shared" si="62"/>
        <v>-9.2653480242614415E-3</v>
      </c>
      <c r="K999" s="8">
        <f t="shared" si="59"/>
        <v>0.12757026611330224</v>
      </c>
    </row>
    <row r="1000" spans="1:11" x14ac:dyDescent="0.25">
      <c r="A1000" t="str">
        <f t="shared" si="60"/>
        <v>12021</v>
      </c>
      <c r="B1000" s="1">
        <v>44210</v>
      </c>
      <c r="C1000" s="7">
        <f ca="1">IFERROR(__xludf.DUMMYFUNCTION("""COMPUTED_VALUE"""),44210.6458333333)</f>
        <v>44210.645833333299</v>
      </c>
      <c r="D1000">
        <v>13140.4</v>
      </c>
      <c r="E1000">
        <v>13278.6</v>
      </c>
      <c r="F1000">
        <v>13020.3</v>
      </c>
      <c r="G1000">
        <v>13232.55</v>
      </c>
      <c r="H1000">
        <v>0</v>
      </c>
      <c r="I1000" s="8">
        <f t="shared" si="61"/>
        <v>8.3825171174809476E-3</v>
      </c>
      <c r="J1000" s="8">
        <f t="shared" si="62"/>
        <v>8.3475789317136329E-3</v>
      </c>
      <c r="K1000" s="8">
        <f t="shared" si="59"/>
        <v>0.12006416062162995</v>
      </c>
    </row>
    <row r="1001" spans="1:11" x14ac:dyDescent="0.25">
      <c r="A1001" t="str">
        <f t="shared" si="60"/>
        <v>12021</v>
      </c>
      <c r="B1001" s="1">
        <v>44211</v>
      </c>
      <c r="C1001" s="7">
        <f ca="1">IFERROR(__xludf.DUMMYFUNCTION("""COMPUTED_VALUE"""),44211.6458333333)</f>
        <v>44211.645833333299</v>
      </c>
      <c r="D1001">
        <v>13262.05</v>
      </c>
      <c r="E1001">
        <v>13268.55</v>
      </c>
      <c r="F1001">
        <v>12946.8</v>
      </c>
      <c r="G1001">
        <v>13014.25</v>
      </c>
      <c r="H1001">
        <v>0</v>
      </c>
      <c r="I1001" s="8">
        <f t="shared" si="61"/>
        <v>-1.6497198196870566E-2</v>
      </c>
      <c r="J1001" s="8">
        <f t="shared" si="62"/>
        <v>-1.6634792348611965E-2</v>
      </c>
      <c r="K1001" s="8">
        <f t="shared" si="59"/>
        <v>0.1203100721808783</v>
      </c>
    </row>
    <row r="1002" spans="1:11" x14ac:dyDescent="0.25">
      <c r="A1002" t="str">
        <f t="shared" si="60"/>
        <v>12021</v>
      </c>
      <c r="B1002" s="1">
        <v>44214</v>
      </c>
      <c r="C1002" s="7">
        <f ca="1">IFERROR(__xludf.DUMMYFUNCTION("""COMPUTED_VALUE"""),44214.6458333333)</f>
        <v>44214.645833333299</v>
      </c>
      <c r="D1002">
        <v>13000.8</v>
      </c>
      <c r="E1002">
        <v>13013.45</v>
      </c>
      <c r="F1002">
        <v>12592.8</v>
      </c>
      <c r="G1002">
        <v>12653.5</v>
      </c>
      <c r="H1002">
        <v>0</v>
      </c>
      <c r="I1002" s="8">
        <f t="shared" si="61"/>
        <v>-2.7719615037362866E-2</v>
      </c>
      <c r="J1002" s="8">
        <f t="shared" si="62"/>
        <v>-2.8111054223114135E-2</v>
      </c>
      <c r="K1002" s="8">
        <f t="shared" si="59"/>
        <v>8.6659681907182984E-2</v>
      </c>
    </row>
    <row r="1003" spans="1:11" x14ac:dyDescent="0.25">
      <c r="A1003" t="str">
        <f t="shared" si="60"/>
        <v>12021</v>
      </c>
      <c r="B1003" s="1">
        <v>44215</v>
      </c>
      <c r="C1003" s="7">
        <f ca="1">IFERROR(__xludf.DUMMYFUNCTION("""COMPUTED_VALUE"""),44215.6458333333)</f>
        <v>44215.645833333299</v>
      </c>
      <c r="D1003">
        <v>12714.95</v>
      </c>
      <c r="E1003">
        <v>12914.5</v>
      </c>
      <c r="F1003">
        <v>12699.2</v>
      </c>
      <c r="G1003">
        <v>12866.05</v>
      </c>
      <c r="H1003">
        <v>0</v>
      </c>
      <c r="I1003" s="8">
        <f t="shared" si="61"/>
        <v>1.6797723949895316E-2</v>
      </c>
      <c r="J1003" s="8">
        <f t="shared" si="62"/>
        <v>1.6658202446360494E-2</v>
      </c>
      <c r="K1003" s="8">
        <f t="shared" si="59"/>
        <v>0.10478975072344276</v>
      </c>
    </row>
    <row r="1004" spans="1:11" x14ac:dyDescent="0.25">
      <c r="A1004" t="str">
        <f t="shared" si="60"/>
        <v>12021</v>
      </c>
      <c r="B1004" s="1">
        <v>44216</v>
      </c>
      <c r="C1004" s="7">
        <f ca="1">IFERROR(__xludf.DUMMYFUNCTION("""COMPUTED_VALUE"""),44216.6458333333)</f>
        <v>44216.645833333299</v>
      </c>
      <c r="D1004">
        <v>12919</v>
      </c>
      <c r="E1004">
        <v>12992.9</v>
      </c>
      <c r="F1004">
        <v>12862.4</v>
      </c>
      <c r="G1004">
        <v>12881.2</v>
      </c>
      <c r="H1004">
        <v>0</v>
      </c>
      <c r="I1004" s="8">
        <f t="shared" si="61"/>
        <v>1.1775175753243605E-3</v>
      </c>
      <c r="J1004" s="8">
        <f t="shared" si="62"/>
        <v>1.1768248452521573E-3</v>
      </c>
      <c r="K1004" s="8">
        <f t="shared" si="59"/>
        <v>0.11570942288203878</v>
      </c>
    </row>
    <row r="1005" spans="1:11" x14ac:dyDescent="0.25">
      <c r="A1005" t="str">
        <f t="shared" si="60"/>
        <v>12021</v>
      </c>
      <c r="B1005" s="1">
        <v>44217</v>
      </c>
      <c r="C1005" s="7">
        <f ca="1">IFERROR(__xludf.DUMMYFUNCTION("""COMPUTED_VALUE"""),44217.6458333333)</f>
        <v>44217.645833333299</v>
      </c>
      <c r="D1005">
        <v>12967.1</v>
      </c>
      <c r="E1005">
        <v>12967.1</v>
      </c>
      <c r="F1005">
        <v>12655.55</v>
      </c>
      <c r="G1005">
        <v>12697.15</v>
      </c>
      <c r="H1005">
        <v>0</v>
      </c>
      <c r="I1005" s="8">
        <f t="shared" si="61"/>
        <v>-1.4288265068471917E-2</v>
      </c>
      <c r="J1005" s="8">
        <f t="shared" si="62"/>
        <v>-1.4391325206071523E-2</v>
      </c>
      <c r="K1005" s="8">
        <f t="shared" si="59"/>
        <v>0.10380725112035516</v>
      </c>
    </row>
    <row r="1006" spans="1:11" x14ac:dyDescent="0.25">
      <c r="A1006" t="str">
        <f t="shared" si="60"/>
        <v>12021</v>
      </c>
      <c r="B1006" s="1">
        <v>44218</v>
      </c>
      <c r="C1006" s="7">
        <f ca="1">IFERROR(__xludf.DUMMYFUNCTION("""COMPUTED_VALUE"""),44218.6458333333)</f>
        <v>44218.645833333299</v>
      </c>
      <c r="D1006">
        <v>12670</v>
      </c>
      <c r="E1006">
        <v>12700.5</v>
      </c>
      <c r="F1006">
        <v>12468.75</v>
      </c>
      <c r="G1006">
        <v>12542.1</v>
      </c>
      <c r="H1006">
        <v>0</v>
      </c>
      <c r="I1006" s="8">
        <f t="shared" si="61"/>
        <v>-1.2211401771263564E-2</v>
      </c>
      <c r="J1006" s="8">
        <f t="shared" si="62"/>
        <v>-1.2286573533101008E-2</v>
      </c>
      <c r="K1006" s="8">
        <f t="shared" si="59"/>
        <v>0.10657126219759672</v>
      </c>
    </row>
    <row r="1007" spans="1:11" x14ac:dyDescent="0.25">
      <c r="A1007" t="str">
        <f t="shared" si="60"/>
        <v>12021</v>
      </c>
      <c r="B1007" s="1">
        <v>44221</v>
      </c>
      <c r="C1007" s="7">
        <f ca="1">IFERROR(__xludf.DUMMYFUNCTION("""COMPUTED_VALUE"""),44221.6458333333)</f>
        <v>44221.645833333299</v>
      </c>
      <c r="D1007">
        <v>12604.6</v>
      </c>
      <c r="E1007">
        <v>12867.85</v>
      </c>
      <c r="F1007">
        <v>12390.55</v>
      </c>
      <c r="G1007">
        <v>12756.75</v>
      </c>
      <c r="H1007">
        <v>0</v>
      </c>
      <c r="I1007" s="8">
        <f t="shared" si="61"/>
        <v>1.7114358839428689E-2</v>
      </c>
      <c r="J1007" s="8">
        <f t="shared" si="62"/>
        <v>1.6969557981116039E-2</v>
      </c>
      <c r="K1007" s="8">
        <f t="shared" si="59"/>
        <v>0.10817443426139084</v>
      </c>
    </row>
    <row r="1008" spans="1:11" x14ac:dyDescent="0.25">
      <c r="A1008" t="str">
        <f t="shared" si="60"/>
        <v>12021</v>
      </c>
      <c r="B1008" s="1">
        <v>44223</v>
      </c>
      <c r="C1008" s="7">
        <f ca="1">IFERROR(__xludf.DUMMYFUNCTION("""COMPUTED_VALUE"""),44223.6458333333)</f>
        <v>44223.645833333299</v>
      </c>
      <c r="D1008">
        <v>12764.5</v>
      </c>
      <c r="E1008">
        <v>12764.5</v>
      </c>
      <c r="F1008">
        <v>12403.8</v>
      </c>
      <c r="G1008">
        <v>12495.9</v>
      </c>
      <c r="H1008">
        <v>0</v>
      </c>
      <c r="I1008" s="8">
        <f t="shared" si="61"/>
        <v>-2.0447998118643063E-2</v>
      </c>
      <c r="J1008" s="8">
        <f t="shared" si="62"/>
        <v>-2.0659952775683679E-2</v>
      </c>
      <c r="K1008" s="8">
        <f t="shared" si="59"/>
        <v>0.10338098559836117</v>
      </c>
    </row>
    <row r="1009" spans="1:11" x14ac:dyDescent="0.25">
      <c r="A1009" t="str">
        <f t="shared" si="60"/>
        <v>12021</v>
      </c>
      <c r="B1009" s="1">
        <v>44224</v>
      </c>
      <c r="C1009" s="7">
        <f ca="1">IFERROR(__xludf.DUMMYFUNCTION("""COMPUTED_VALUE"""),44224.6458333333)</f>
        <v>44224.645833333299</v>
      </c>
      <c r="D1009">
        <v>12331.75</v>
      </c>
      <c r="E1009">
        <v>12513.4</v>
      </c>
      <c r="F1009">
        <v>12213.6</v>
      </c>
      <c r="G1009">
        <v>12395.95</v>
      </c>
      <c r="H1009">
        <v>0</v>
      </c>
      <c r="I1009" s="8">
        <f t="shared" si="61"/>
        <v>-7.9986235485238755E-3</v>
      </c>
      <c r="J1009" s="8">
        <f t="shared" si="62"/>
        <v>-8.0307841463356545E-3</v>
      </c>
      <c r="K1009" s="8">
        <f t="shared" si="59"/>
        <v>0.10421788704792445</v>
      </c>
    </row>
    <row r="1010" spans="1:11" x14ac:dyDescent="0.25">
      <c r="A1010" t="str">
        <f t="shared" si="60"/>
        <v>12021</v>
      </c>
      <c r="B1010" s="1">
        <v>44225</v>
      </c>
      <c r="C1010" s="7">
        <f ca="1">IFERROR(__xludf.DUMMYFUNCTION("""COMPUTED_VALUE"""),44225.6458333333)</f>
        <v>44225.645833333299</v>
      </c>
      <c r="D1010">
        <v>12467.85</v>
      </c>
      <c r="E1010">
        <v>12482.55</v>
      </c>
      <c r="F1010">
        <v>12101.45</v>
      </c>
      <c r="G1010">
        <v>12170.25</v>
      </c>
      <c r="H1010">
        <v>0</v>
      </c>
      <c r="I1010" s="8">
        <f t="shared" si="61"/>
        <v>-1.8207559727169031E-2</v>
      </c>
      <c r="J1010" s="8">
        <f t="shared" si="62"/>
        <v>-1.8375357252535737E-2</v>
      </c>
      <c r="K1010" s="8">
        <f t="shared" si="59"/>
        <v>8.2401334074485799E-2</v>
      </c>
    </row>
    <row r="1011" spans="1:11" x14ac:dyDescent="0.25">
      <c r="A1011" t="str">
        <f t="shared" si="60"/>
        <v>22021</v>
      </c>
      <c r="B1011" s="1">
        <v>44228</v>
      </c>
      <c r="C1011" s="7">
        <f ca="1">IFERROR(__xludf.DUMMYFUNCTION("""COMPUTED_VALUE"""),44228.6458333333)</f>
        <v>44228.645833333299</v>
      </c>
      <c r="D1011">
        <v>12212.2</v>
      </c>
      <c r="E1011">
        <v>12218.75</v>
      </c>
      <c r="F1011">
        <v>11934.25</v>
      </c>
      <c r="G1011">
        <v>12103.55</v>
      </c>
      <c r="H1011">
        <v>0</v>
      </c>
      <c r="I1011" s="8">
        <f t="shared" si="61"/>
        <v>-5.4805776380929538E-3</v>
      </c>
      <c r="J1011" s="8">
        <f t="shared" si="62"/>
        <v>-5.4956511031404994E-3</v>
      </c>
      <c r="K1011" s="8">
        <f t="shared" si="59"/>
        <v>8.3062647087774E-2</v>
      </c>
    </row>
    <row r="1012" spans="1:11" x14ac:dyDescent="0.25">
      <c r="A1012" t="str">
        <f t="shared" si="60"/>
        <v>22021</v>
      </c>
      <c r="B1012" s="1">
        <v>44229</v>
      </c>
      <c r="C1012" s="7">
        <f ca="1">IFERROR(__xludf.DUMMYFUNCTION("""COMPUTED_VALUE"""),44229.6458333333)</f>
        <v>44229.645833333299</v>
      </c>
      <c r="D1012">
        <v>12228.3</v>
      </c>
      <c r="E1012">
        <v>12416.3</v>
      </c>
      <c r="F1012">
        <v>12125.35</v>
      </c>
      <c r="G1012">
        <v>12361.55</v>
      </c>
      <c r="H1012">
        <v>0</v>
      </c>
      <c r="I1012" s="8">
        <f t="shared" si="61"/>
        <v>2.131606016416665E-2</v>
      </c>
      <c r="J1012" s="8">
        <f t="shared" si="62"/>
        <v>2.1092050695319907E-2</v>
      </c>
      <c r="K1012" s="8">
        <f t="shared" si="59"/>
        <v>8.8068831969016825E-2</v>
      </c>
    </row>
    <row r="1013" spans="1:11" x14ac:dyDescent="0.25">
      <c r="A1013" t="str">
        <f t="shared" si="60"/>
        <v>22021</v>
      </c>
      <c r="B1013" s="1">
        <v>44230</v>
      </c>
      <c r="C1013" s="7">
        <f ca="1">IFERROR(__xludf.DUMMYFUNCTION("""COMPUTED_VALUE"""),44230.6458333333)</f>
        <v>44230.645833333299</v>
      </c>
      <c r="D1013">
        <v>12468.05</v>
      </c>
      <c r="E1013">
        <v>12899.8</v>
      </c>
      <c r="F1013">
        <v>12445.6</v>
      </c>
      <c r="G1013">
        <v>12706.65</v>
      </c>
      <c r="H1013">
        <v>0</v>
      </c>
      <c r="I1013" s="8">
        <f t="shared" si="61"/>
        <v>2.7917211029361289E-2</v>
      </c>
      <c r="J1013" s="8">
        <f t="shared" si="62"/>
        <v>2.7534629771804167E-2</v>
      </c>
      <c r="K1013" s="8">
        <f t="shared" si="59"/>
        <v>9.4584641624995136E-2</v>
      </c>
    </row>
    <row r="1014" spans="1:11" x14ac:dyDescent="0.25">
      <c r="A1014" t="str">
        <f t="shared" si="60"/>
        <v>22021</v>
      </c>
      <c r="B1014" s="1">
        <v>44231</v>
      </c>
      <c r="C1014" s="7">
        <f ca="1">IFERROR(__xludf.DUMMYFUNCTION("""COMPUTED_VALUE"""),44231.6458333333)</f>
        <v>44231.645833333299</v>
      </c>
      <c r="D1014">
        <v>12772.25</v>
      </c>
      <c r="E1014">
        <v>12866.55</v>
      </c>
      <c r="F1014">
        <v>12661.9</v>
      </c>
      <c r="G1014">
        <v>12739.05</v>
      </c>
      <c r="H1014">
        <v>0</v>
      </c>
      <c r="I1014" s="8">
        <f t="shared" si="61"/>
        <v>2.5498459468074053E-3</v>
      </c>
      <c r="J1014" s="8">
        <f t="shared" si="62"/>
        <v>2.5466006052079493E-3</v>
      </c>
      <c r="K1014" s="8">
        <f t="shared" si="59"/>
        <v>8.8347237707123716E-2</v>
      </c>
    </row>
    <row r="1015" spans="1:11" x14ac:dyDescent="0.25">
      <c r="A1015" t="str">
        <f t="shared" si="60"/>
        <v>22021</v>
      </c>
      <c r="B1015" s="1">
        <v>44232</v>
      </c>
      <c r="C1015" s="7">
        <f ca="1">IFERROR(__xludf.DUMMYFUNCTION("""COMPUTED_VALUE"""),44232.6458333333)</f>
        <v>44232.645833333299</v>
      </c>
      <c r="D1015">
        <v>12812.75</v>
      </c>
      <c r="E1015">
        <v>13041</v>
      </c>
      <c r="F1015">
        <v>12669.6</v>
      </c>
      <c r="G1015">
        <v>12950.65</v>
      </c>
      <c r="H1015">
        <v>0</v>
      </c>
      <c r="I1015" s="8">
        <f t="shared" si="61"/>
        <v>1.6610343785447235E-2</v>
      </c>
      <c r="J1015" s="8">
        <f t="shared" si="62"/>
        <v>1.6473900861300721E-2</v>
      </c>
      <c r="K1015" s="8">
        <f t="shared" si="59"/>
        <v>0.11419255206115264</v>
      </c>
    </row>
    <row r="1016" spans="1:11" x14ac:dyDescent="0.25">
      <c r="A1016" t="str">
        <f t="shared" si="60"/>
        <v>22021</v>
      </c>
      <c r="B1016" s="1">
        <v>44235</v>
      </c>
      <c r="C1016" s="7">
        <f ca="1">IFERROR(__xludf.DUMMYFUNCTION("""COMPUTED_VALUE"""),44235.6458333333)</f>
        <v>44235.645833333299</v>
      </c>
      <c r="D1016">
        <v>13039.55</v>
      </c>
      <c r="E1016">
        <v>13118.7</v>
      </c>
      <c r="F1016">
        <v>12907.25</v>
      </c>
      <c r="G1016">
        <v>12971</v>
      </c>
      <c r="H1016">
        <v>0</v>
      </c>
      <c r="I1016" s="8">
        <f t="shared" si="61"/>
        <v>1.5713497005942489E-3</v>
      </c>
      <c r="J1016" s="8">
        <f t="shared" si="62"/>
        <v>1.5701164224252919E-3</v>
      </c>
      <c r="K1016" s="8">
        <f t="shared" si="59"/>
        <v>0.1110682821741682</v>
      </c>
    </row>
    <row r="1017" spans="1:11" x14ac:dyDescent="0.25">
      <c r="A1017" t="str">
        <f t="shared" si="60"/>
        <v>22021</v>
      </c>
      <c r="B1017" s="1">
        <v>44236</v>
      </c>
      <c r="C1017" s="7">
        <f ca="1">IFERROR(__xludf.DUMMYFUNCTION("""COMPUTED_VALUE"""),44236.6458333333)</f>
        <v>44236.645833333299</v>
      </c>
      <c r="D1017">
        <v>12954.85</v>
      </c>
      <c r="E1017">
        <v>13013.1</v>
      </c>
      <c r="F1017">
        <v>12771.05</v>
      </c>
      <c r="G1017">
        <v>12812.8</v>
      </c>
      <c r="H1017">
        <v>0</v>
      </c>
      <c r="I1017" s="8">
        <f t="shared" si="61"/>
        <v>-1.2196438208310956E-2</v>
      </c>
      <c r="J1017" s="8">
        <f t="shared" si="62"/>
        <v>-1.2271425099881128E-2</v>
      </c>
      <c r="K1017" s="8">
        <f t="shared" si="59"/>
        <v>0.14718548827547928</v>
      </c>
    </row>
    <row r="1018" spans="1:11" x14ac:dyDescent="0.25">
      <c r="A1018" t="str">
        <f t="shared" si="60"/>
        <v>22021</v>
      </c>
      <c r="B1018" s="1">
        <v>44237</v>
      </c>
      <c r="C1018" s="7">
        <f ca="1">IFERROR(__xludf.DUMMYFUNCTION("""COMPUTED_VALUE"""),44237.6458333333)</f>
        <v>44237.645833333299</v>
      </c>
      <c r="D1018">
        <v>12842.7</v>
      </c>
      <c r="E1018">
        <v>12945.8</v>
      </c>
      <c r="F1018">
        <v>12689.4</v>
      </c>
      <c r="G1018">
        <v>12905.55</v>
      </c>
      <c r="H1018">
        <v>0</v>
      </c>
      <c r="I1018" s="8">
        <f t="shared" si="61"/>
        <v>7.2388548951047849E-3</v>
      </c>
      <c r="J1018" s="8">
        <f t="shared" si="62"/>
        <v>7.2127801436205939E-3</v>
      </c>
      <c r="K1018" s="8">
        <f t="shared" si="59"/>
        <v>0.11539841059259226</v>
      </c>
    </row>
    <row r="1019" spans="1:11" x14ac:dyDescent="0.25">
      <c r="A1019" t="str">
        <f t="shared" si="60"/>
        <v>22021</v>
      </c>
      <c r="B1019" s="1">
        <v>44238</v>
      </c>
      <c r="C1019" s="7">
        <f ca="1">IFERROR(__xludf.DUMMYFUNCTION("""COMPUTED_VALUE"""),44238.6458333333)</f>
        <v>44238.645833333299</v>
      </c>
      <c r="D1019">
        <v>12833.65</v>
      </c>
      <c r="E1019">
        <v>12961.95</v>
      </c>
      <c r="F1019">
        <v>12807.6</v>
      </c>
      <c r="G1019">
        <v>12929.8</v>
      </c>
      <c r="H1019">
        <v>0</v>
      </c>
      <c r="I1019" s="8">
        <f t="shared" si="61"/>
        <v>1.8790365385434882E-3</v>
      </c>
      <c r="J1019" s="8">
        <f t="shared" si="62"/>
        <v>1.8772733577621294E-3</v>
      </c>
      <c r="K1019" s="8">
        <f t="shared" si="59"/>
        <v>0.11456106475415484</v>
      </c>
    </row>
    <row r="1020" spans="1:11" x14ac:dyDescent="0.25">
      <c r="A1020" t="str">
        <f t="shared" si="60"/>
        <v>22021</v>
      </c>
      <c r="B1020" s="1">
        <v>44239</v>
      </c>
      <c r="C1020" s="7">
        <f ca="1">IFERROR(__xludf.DUMMYFUNCTION("""COMPUTED_VALUE"""),44239.6458333333)</f>
        <v>44239.645833333299</v>
      </c>
      <c r="D1020">
        <v>13012.35</v>
      </c>
      <c r="E1020">
        <v>13013.75</v>
      </c>
      <c r="F1020">
        <v>12738.35</v>
      </c>
      <c r="G1020">
        <v>12785.75</v>
      </c>
      <c r="H1020">
        <v>0</v>
      </c>
      <c r="I1020" s="8">
        <f t="shared" si="61"/>
        <v>-1.1140930254141534E-2</v>
      </c>
      <c r="J1020" s="8">
        <f t="shared" si="62"/>
        <v>-1.120345524235327E-2</v>
      </c>
      <c r="K1020" s="8">
        <f t="shared" si="59"/>
        <v>9.0334244379159934E-2</v>
      </c>
    </row>
    <row r="1021" spans="1:11" x14ac:dyDescent="0.25">
      <c r="A1021" t="str">
        <f t="shared" si="60"/>
        <v>22021</v>
      </c>
      <c r="B1021" s="1">
        <v>44242</v>
      </c>
      <c r="C1021" s="7">
        <f ca="1">IFERROR(__xludf.DUMMYFUNCTION("""COMPUTED_VALUE"""),44242.6458333333)</f>
        <v>44242.645833333299</v>
      </c>
      <c r="D1021">
        <v>12817.95</v>
      </c>
      <c r="E1021">
        <v>12863.3</v>
      </c>
      <c r="F1021">
        <v>12723.4</v>
      </c>
      <c r="G1021">
        <v>12745.1</v>
      </c>
      <c r="H1021">
        <v>0</v>
      </c>
      <c r="I1021" s="8">
        <f t="shared" si="61"/>
        <v>-3.1793207281544111E-3</v>
      </c>
      <c r="J1021" s="8">
        <f t="shared" si="62"/>
        <v>-3.1843855061855085E-3</v>
      </c>
      <c r="K1021" s="8">
        <f t="shared" si="59"/>
        <v>9.0182023471447659E-2</v>
      </c>
    </row>
    <row r="1022" spans="1:11" x14ac:dyDescent="0.25">
      <c r="A1022" t="str">
        <f t="shared" si="60"/>
        <v>22021</v>
      </c>
      <c r="B1022" s="1">
        <v>44243</v>
      </c>
      <c r="C1022" s="7">
        <f ca="1">IFERROR(__xludf.DUMMYFUNCTION("""COMPUTED_VALUE"""),44243.6458333333)</f>
        <v>44243.645833333299</v>
      </c>
      <c r="D1022">
        <v>12789.05</v>
      </c>
      <c r="E1022">
        <v>12821</v>
      </c>
      <c r="F1022">
        <v>12695.15</v>
      </c>
      <c r="G1022">
        <v>12804.15</v>
      </c>
      <c r="H1022">
        <v>0</v>
      </c>
      <c r="I1022" s="8">
        <f t="shared" si="61"/>
        <v>4.6331531333609899E-3</v>
      </c>
      <c r="J1022" s="8">
        <f t="shared" si="62"/>
        <v>4.6224531165310802E-3</v>
      </c>
      <c r="K1022" s="8">
        <f t="shared" si="59"/>
        <v>0.10257514240567622</v>
      </c>
    </row>
    <row r="1023" spans="1:11" x14ac:dyDescent="0.25">
      <c r="A1023" t="str">
        <f t="shared" si="60"/>
        <v>22021</v>
      </c>
      <c r="B1023" s="1">
        <v>44244</v>
      </c>
      <c r="C1023" s="7">
        <f ca="1">IFERROR(__xludf.DUMMYFUNCTION("""COMPUTED_VALUE"""),44244.6458333333)</f>
        <v>44244.645833333299</v>
      </c>
      <c r="D1023">
        <v>12794.9</v>
      </c>
      <c r="E1023">
        <v>12837.1</v>
      </c>
      <c r="F1023">
        <v>12551.25</v>
      </c>
      <c r="G1023">
        <v>12584.35</v>
      </c>
      <c r="H1023">
        <v>0</v>
      </c>
      <c r="I1023" s="8">
        <f t="shared" si="61"/>
        <v>-1.71663093606369E-2</v>
      </c>
      <c r="J1023" s="8">
        <f t="shared" si="62"/>
        <v>-1.7315358662835467E-2</v>
      </c>
      <c r="K1023" s="8">
        <f t="shared" si="59"/>
        <v>8.7990420694067373E-2</v>
      </c>
    </row>
    <row r="1024" spans="1:11" x14ac:dyDescent="0.25">
      <c r="A1024" t="str">
        <f t="shared" si="60"/>
        <v>22021</v>
      </c>
      <c r="B1024" s="1">
        <v>44245</v>
      </c>
      <c r="C1024" s="7">
        <f ca="1">IFERROR(__xludf.DUMMYFUNCTION("""COMPUTED_VALUE"""),44245.6458333333)</f>
        <v>44245.645833333299</v>
      </c>
      <c r="D1024">
        <v>12593.5</v>
      </c>
      <c r="E1024">
        <v>12648.1</v>
      </c>
      <c r="F1024">
        <v>12491.05</v>
      </c>
      <c r="G1024">
        <v>12517.5</v>
      </c>
      <c r="H1024">
        <v>0</v>
      </c>
      <c r="I1024" s="8">
        <f t="shared" si="61"/>
        <v>-5.312153587590962E-3</v>
      </c>
      <c r="J1024" s="8">
        <f t="shared" si="62"/>
        <v>-5.3263132432318765E-3</v>
      </c>
      <c r="K1024" s="8">
        <f t="shared" ref="K1024:K1087" si="63">+G1024/G963-1</f>
        <v>8.5952241525148132E-2</v>
      </c>
    </row>
    <row r="1025" spans="1:11" x14ac:dyDescent="0.25">
      <c r="A1025" t="str">
        <f t="shared" si="60"/>
        <v>22021</v>
      </c>
      <c r="B1025" s="1">
        <v>44246</v>
      </c>
      <c r="C1025" s="7">
        <f ca="1">IFERROR(__xludf.DUMMYFUNCTION("""COMPUTED_VALUE"""),44246.6458333333)</f>
        <v>44246.645833333299</v>
      </c>
      <c r="D1025">
        <v>12499.9</v>
      </c>
      <c r="E1025">
        <v>12545.7</v>
      </c>
      <c r="F1025">
        <v>12236.15</v>
      </c>
      <c r="G1025">
        <v>12347.4</v>
      </c>
      <c r="H1025">
        <v>0</v>
      </c>
      <c r="I1025" s="8">
        <f t="shared" si="61"/>
        <v>-1.3588975434391859E-2</v>
      </c>
      <c r="J1025" s="8">
        <f t="shared" si="62"/>
        <v>-1.3682150627541639E-2</v>
      </c>
      <c r="K1025" s="8">
        <f t="shared" si="63"/>
        <v>5.1988549228095149E-2</v>
      </c>
    </row>
    <row r="1026" spans="1:11" x14ac:dyDescent="0.25">
      <c r="A1026" t="str">
        <f t="shared" si="60"/>
        <v>22021</v>
      </c>
      <c r="B1026" s="1">
        <v>44249</v>
      </c>
      <c r="C1026" s="7">
        <f ca="1">IFERROR(__xludf.DUMMYFUNCTION("""COMPUTED_VALUE"""),44249.6458333333)</f>
        <v>44249.645833333299</v>
      </c>
      <c r="D1026">
        <v>12365.8</v>
      </c>
      <c r="E1026">
        <v>12387.05</v>
      </c>
      <c r="F1026">
        <v>11950.45</v>
      </c>
      <c r="G1026">
        <v>12032.3</v>
      </c>
      <c r="H1026">
        <v>0</v>
      </c>
      <c r="I1026" s="8">
        <f t="shared" si="61"/>
        <v>-2.5519542575764942E-2</v>
      </c>
      <c r="J1026" s="8">
        <f t="shared" si="62"/>
        <v>-2.5850814187133656E-2</v>
      </c>
      <c r="K1026" s="8">
        <f t="shared" si="63"/>
        <v>1.275166655444071E-2</v>
      </c>
    </row>
    <row r="1027" spans="1:11" x14ac:dyDescent="0.25">
      <c r="A1027" t="str">
        <f t="shared" ref="A1027:A1090" si="64">+MONTH(B1027)&amp;YEAR(B1027)</f>
        <v>22021</v>
      </c>
      <c r="B1027" s="1">
        <v>44250</v>
      </c>
      <c r="C1027" s="7">
        <f ca="1">IFERROR(__xludf.DUMMYFUNCTION("""COMPUTED_VALUE"""),44250.6458333333)</f>
        <v>44250.645833333299</v>
      </c>
      <c r="D1027">
        <v>12059.35</v>
      </c>
      <c r="E1027">
        <v>12122.35</v>
      </c>
      <c r="F1027">
        <v>11935.25</v>
      </c>
      <c r="G1027">
        <v>12029.5</v>
      </c>
      <c r="H1027">
        <v>0</v>
      </c>
      <c r="I1027" s="8">
        <f t="shared" si="61"/>
        <v>-2.3270696375587985E-4</v>
      </c>
      <c r="J1027" s="8">
        <f t="shared" si="62"/>
        <v>-2.3273404422266038E-4</v>
      </c>
      <c r="K1027" s="8">
        <f t="shared" si="63"/>
        <v>3.3888545104510337E-2</v>
      </c>
    </row>
    <row r="1028" spans="1:11" x14ac:dyDescent="0.25">
      <c r="A1028" t="str">
        <f t="shared" si="64"/>
        <v>22021</v>
      </c>
      <c r="B1028" s="1">
        <v>44251</v>
      </c>
      <c r="C1028" s="7">
        <f ca="1">IFERROR(__xludf.DUMMYFUNCTION("""COMPUTED_VALUE"""),44251.6458333333)</f>
        <v>44251.645833333299</v>
      </c>
      <c r="D1028">
        <v>12101.3</v>
      </c>
      <c r="E1028">
        <v>12135.45</v>
      </c>
      <c r="F1028">
        <v>11916.8</v>
      </c>
      <c r="G1028">
        <v>12035.85</v>
      </c>
      <c r="H1028">
        <v>0</v>
      </c>
      <c r="I1028" s="8">
        <f t="shared" ref="I1028:I1079" si="65">+G1028/G1027-1</f>
        <v>5.2786898873602439E-4</v>
      </c>
      <c r="J1028" s="8">
        <f t="shared" ref="J1028:J1091" si="66">+LN(1+I1028)</f>
        <v>5.2772971491145632E-4</v>
      </c>
      <c r="K1028" s="8">
        <f t="shared" si="63"/>
        <v>1.9879250079440691E-2</v>
      </c>
    </row>
    <row r="1029" spans="1:11" x14ac:dyDescent="0.25">
      <c r="A1029" t="str">
        <f t="shared" si="64"/>
        <v>22021</v>
      </c>
      <c r="B1029" s="1">
        <v>44252</v>
      </c>
      <c r="C1029" s="7">
        <f ca="1">IFERROR(__xludf.DUMMYFUNCTION("""COMPUTED_VALUE"""),44252.6458333333)</f>
        <v>44252.645833333299</v>
      </c>
      <c r="D1029">
        <v>12097.35</v>
      </c>
      <c r="E1029">
        <v>12291.75</v>
      </c>
      <c r="F1029">
        <v>12058.2</v>
      </c>
      <c r="G1029">
        <v>12141.7</v>
      </c>
      <c r="H1029">
        <v>0</v>
      </c>
      <c r="I1029" s="8">
        <f t="shared" si="65"/>
        <v>8.7945595865683845E-3</v>
      </c>
      <c r="J1029" s="8">
        <f t="shared" si="66"/>
        <v>8.7561126986068286E-3</v>
      </c>
      <c r="K1029" s="8">
        <f t="shared" si="63"/>
        <v>2.5555044069886845E-2</v>
      </c>
    </row>
    <row r="1030" spans="1:11" x14ac:dyDescent="0.25">
      <c r="A1030" t="str">
        <f t="shared" si="64"/>
        <v>22021</v>
      </c>
      <c r="B1030" s="1">
        <v>44253</v>
      </c>
      <c r="C1030" s="7">
        <f ca="1">IFERROR(__xludf.DUMMYFUNCTION("""COMPUTED_VALUE"""),44253.6458333333)</f>
        <v>44253.645833333299</v>
      </c>
      <c r="D1030">
        <v>12043.6</v>
      </c>
      <c r="E1030">
        <v>12322.1</v>
      </c>
      <c r="F1030">
        <v>11860.7</v>
      </c>
      <c r="G1030">
        <v>11927.9</v>
      </c>
      <c r="H1030">
        <v>0</v>
      </c>
      <c r="I1030" s="8">
        <f t="shared" si="65"/>
        <v>-1.7608736832568805E-2</v>
      </c>
      <c r="J1030" s="8">
        <f t="shared" si="66"/>
        <v>-1.7765614984433013E-2</v>
      </c>
      <c r="K1030" s="8">
        <f t="shared" si="63"/>
        <v>-9.7342083743249264E-3</v>
      </c>
    </row>
    <row r="1031" spans="1:11" x14ac:dyDescent="0.25">
      <c r="A1031" t="str">
        <f t="shared" si="64"/>
        <v>32021</v>
      </c>
      <c r="B1031" s="1">
        <v>44256</v>
      </c>
      <c r="C1031" s="7">
        <f ca="1">IFERROR(__xludf.DUMMYFUNCTION("""COMPUTED_VALUE"""),44256.6458333333)</f>
        <v>44256.645833333299</v>
      </c>
      <c r="D1031">
        <v>12007.2</v>
      </c>
      <c r="E1031">
        <v>12126.4</v>
      </c>
      <c r="F1031">
        <v>11949.75</v>
      </c>
      <c r="G1031">
        <v>12092.7</v>
      </c>
      <c r="H1031">
        <v>0</v>
      </c>
      <c r="I1031" s="8">
        <f t="shared" si="65"/>
        <v>1.3816346548847669E-2</v>
      </c>
      <c r="J1031" s="8">
        <f t="shared" si="66"/>
        <v>1.3721770963256247E-2</v>
      </c>
      <c r="K1031" s="8">
        <f t="shared" si="63"/>
        <v>3.3916251675125686E-4</v>
      </c>
    </row>
    <row r="1032" spans="1:11" x14ac:dyDescent="0.25">
      <c r="A1032" t="str">
        <f t="shared" si="64"/>
        <v>32021</v>
      </c>
      <c r="B1032" s="1">
        <v>44257</v>
      </c>
      <c r="C1032" s="7">
        <f ca="1">IFERROR(__xludf.DUMMYFUNCTION("""COMPUTED_VALUE"""),44257.6458333333)</f>
        <v>44257.645833333299</v>
      </c>
      <c r="D1032">
        <v>12156.3</v>
      </c>
      <c r="E1032">
        <v>12273.95</v>
      </c>
      <c r="F1032">
        <v>12099.85</v>
      </c>
      <c r="G1032">
        <v>12257.3</v>
      </c>
      <c r="H1032">
        <v>0</v>
      </c>
      <c r="I1032" s="8">
        <f t="shared" si="65"/>
        <v>1.3611517692492026E-2</v>
      </c>
      <c r="J1032" s="8">
        <f t="shared" si="66"/>
        <v>1.3519713113835128E-2</v>
      </c>
      <c r="K1032" s="8">
        <f t="shared" si="63"/>
        <v>4.1246994539994031E-3</v>
      </c>
    </row>
    <row r="1033" spans="1:11" x14ac:dyDescent="0.25">
      <c r="A1033" t="str">
        <f t="shared" si="64"/>
        <v>32021</v>
      </c>
      <c r="B1033" s="1">
        <v>44258</v>
      </c>
      <c r="C1033" s="7">
        <f ca="1">IFERROR(__xludf.DUMMYFUNCTION("""COMPUTED_VALUE"""),44258.6458333333)</f>
        <v>44258.645833333299</v>
      </c>
      <c r="D1033">
        <v>12347.5</v>
      </c>
      <c r="E1033">
        <v>12399.15</v>
      </c>
      <c r="F1033">
        <v>12236.05</v>
      </c>
      <c r="G1033">
        <v>12379.6</v>
      </c>
      <c r="H1033">
        <v>0</v>
      </c>
      <c r="I1033" s="8">
        <f t="shared" si="65"/>
        <v>9.9777275582715319E-3</v>
      </c>
      <c r="J1033" s="8">
        <f t="shared" si="66"/>
        <v>9.9282786875174323E-3</v>
      </c>
      <c r="K1033" s="8">
        <f t="shared" si="63"/>
        <v>2.1046496567802553E-3</v>
      </c>
    </row>
    <row r="1034" spans="1:11" x14ac:dyDescent="0.25">
      <c r="A1034" t="str">
        <f t="shared" si="64"/>
        <v>32021</v>
      </c>
      <c r="B1034" s="1">
        <v>44259</v>
      </c>
      <c r="C1034" s="7">
        <f ca="1">IFERROR(__xludf.DUMMYFUNCTION("""COMPUTED_VALUE"""),44259.6458333333)</f>
        <v>44259.645833333299</v>
      </c>
      <c r="D1034">
        <v>12315.85</v>
      </c>
      <c r="E1034">
        <v>12447.3</v>
      </c>
      <c r="F1034">
        <v>12265.85</v>
      </c>
      <c r="G1034">
        <v>12351.75</v>
      </c>
      <c r="H1034">
        <v>0</v>
      </c>
      <c r="I1034" s="8">
        <f t="shared" si="65"/>
        <v>-2.2496688099777895E-3</v>
      </c>
      <c r="J1034" s="8">
        <f t="shared" si="66"/>
        <v>-2.2522031164686814E-3</v>
      </c>
      <c r="K1034" s="8">
        <f t="shared" si="63"/>
        <v>-1.6263205890434507E-2</v>
      </c>
    </row>
    <row r="1035" spans="1:11" x14ac:dyDescent="0.25">
      <c r="A1035" t="str">
        <f t="shared" si="64"/>
        <v>32021</v>
      </c>
      <c r="B1035" s="1">
        <v>44260</v>
      </c>
      <c r="C1035" s="7">
        <f ca="1">IFERROR(__xludf.DUMMYFUNCTION("""COMPUTED_VALUE"""),44260.6458333333)</f>
        <v>44260.645833333299</v>
      </c>
      <c r="D1035">
        <v>12320.8</v>
      </c>
      <c r="E1035">
        <v>12336</v>
      </c>
      <c r="F1035">
        <v>12150.45</v>
      </c>
      <c r="G1035">
        <v>12192.75</v>
      </c>
      <c r="H1035">
        <v>0</v>
      </c>
      <c r="I1035" s="8">
        <f t="shared" si="65"/>
        <v>-1.2872669864594122E-2</v>
      </c>
      <c r="J1035" s="8">
        <f t="shared" si="66"/>
        <v>-1.2956240639984551E-2</v>
      </c>
      <c r="K1035" s="8">
        <f t="shared" si="63"/>
        <v>-1.7292239246250118E-2</v>
      </c>
    </row>
    <row r="1036" spans="1:11" x14ac:dyDescent="0.25">
      <c r="A1036" t="str">
        <f t="shared" si="64"/>
        <v>32021</v>
      </c>
      <c r="B1036" s="1">
        <v>44263</v>
      </c>
      <c r="C1036" s="7">
        <f ca="1">IFERROR(__xludf.DUMMYFUNCTION("""COMPUTED_VALUE"""),44263.6458333333)</f>
        <v>44263.645833333299</v>
      </c>
      <c r="D1036">
        <v>12224.3</v>
      </c>
      <c r="E1036">
        <v>12347.85</v>
      </c>
      <c r="F1036">
        <v>12202.3</v>
      </c>
      <c r="G1036">
        <v>12239.85</v>
      </c>
      <c r="H1036">
        <v>0</v>
      </c>
      <c r="I1036" s="8">
        <f t="shared" si="65"/>
        <v>3.8629513440364693E-3</v>
      </c>
      <c r="J1036" s="8">
        <f t="shared" si="66"/>
        <v>3.8555093068214489E-3</v>
      </c>
      <c r="K1036" s="8">
        <f t="shared" si="63"/>
        <v>-1.6397592394667204E-2</v>
      </c>
    </row>
    <row r="1037" spans="1:11" x14ac:dyDescent="0.25">
      <c r="A1037" t="str">
        <f t="shared" si="64"/>
        <v>32021</v>
      </c>
      <c r="B1037" s="1">
        <v>44264</v>
      </c>
      <c r="C1037" s="7">
        <f ca="1">IFERROR(__xludf.DUMMYFUNCTION("""COMPUTED_VALUE"""),44264.6458333333)</f>
        <v>44264.645833333299</v>
      </c>
      <c r="D1037">
        <v>12316.8</v>
      </c>
      <c r="E1037">
        <v>12333.25</v>
      </c>
      <c r="F1037">
        <v>12053.1</v>
      </c>
      <c r="G1037">
        <v>12133.85</v>
      </c>
      <c r="H1037">
        <v>0</v>
      </c>
      <c r="I1037" s="8">
        <f t="shared" si="65"/>
        <v>-8.6602368493078341E-3</v>
      </c>
      <c r="J1037" s="8">
        <f t="shared" si="66"/>
        <v>-8.6979546215650589E-3</v>
      </c>
      <c r="K1037" s="8">
        <f t="shared" si="63"/>
        <v>-2.4657170876002721E-2</v>
      </c>
    </row>
    <row r="1038" spans="1:11" x14ac:dyDescent="0.25">
      <c r="A1038" t="str">
        <f t="shared" si="64"/>
        <v>32021</v>
      </c>
      <c r="B1038" s="1">
        <v>44265</v>
      </c>
      <c r="C1038" s="7">
        <f ca="1">IFERROR(__xludf.DUMMYFUNCTION("""COMPUTED_VALUE"""),44265.6458333333)</f>
        <v>44265.645833333299</v>
      </c>
      <c r="D1038">
        <v>12218.45</v>
      </c>
      <c r="E1038">
        <v>12335.9</v>
      </c>
      <c r="F1038">
        <v>12180.15</v>
      </c>
      <c r="G1038">
        <v>12313.25</v>
      </c>
      <c r="H1038">
        <v>0</v>
      </c>
      <c r="I1038" s="8">
        <f t="shared" si="65"/>
        <v>1.4785084701063544E-2</v>
      </c>
      <c r="J1038" s="8">
        <f t="shared" si="66"/>
        <v>1.4676850863064294E-2</v>
      </c>
      <c r="K1038" s="8">
        <f t="shared" si="63"/>
        <v>-4.2657286107067316E-3</v>
      </c>
    </row>
    <row r="1039" spans="1:11" x14ac:dyDescent="0.25">
      <c r="A1039" t="str">
        <f t="shared" si="64"/>
        <v>32021</v>
      </c>
      <c r="B1039" s="1">
        <v>44267</v>
      </c>
      <c r="C1039" s="7">
        <f ca="1">IFERROR(__xludf.DUMMYFUNCTION("""COMPUTED_VALUE"""),44267.6458333333)</f>
        <v>44267.645833333299</v>
      </c>
      <c r="D1039">
        <v>12365.8</v>
      </c>
      <c r="E1039">
        <v>12377.3</v>
      </c>
      <c r="F1039">
        <v>12148.55</v>
      </c>
      <c r="G1039">
        <v>12184.25</v>
      </c>
      <c r="H1039">
        <v>0</v>
      </c>
      <c r="I1039" s="8">
        <f t="shared" si="65"/>
        <v>-1.0476519196800149E-2</v>
      </c>
      <c r="J1039" s="8">
        <f t="shared" si="66"/>
        <v>-1.0531784253205461E-2</v>
      </c>
      <c r="K1039" s="8">
        <f t="shared" si="63"/>
        <v>-2.2122970489329763E-2</v>
      </c>
    </row>
    <row r="1040" spans="1:11" x14ac:dyDescent="0.25">
      <c r="A1040" t="str">
        <f t="shared" si="64"/>
        <v>32021</v>
      </c>
      <c r="B1040" s="1">
        <v>44270</v>
      </c>
      <c r="C1040" s="7">
        <f ca="1">IFERROR(__xludf.DUMMYFUNCTION("""COMPUTED_VALUE"""),44270.6458333333)</f>
        <v>44270.645833333299</v>
      </c>
      <c r="D1040">
        <v>12213.75</v>
      </c>
      <c r="E1040">
        <v>12215.15</v>
      </c>
      <c r="F1040">
        <v>11848.3</v>
      </c>
      <c r="G1040">
        <v>12024.5</v>
      </c>
      <c r="H1040">
        <v>0</v>
      </c>
      <c r="I1040" s="8">
        <f t="shared" si="65"/>
        <v>-1.3111188624658876E-2</v>
      </c>
      <c r="J1040" s="8">
        <f t="shared" si="66"/>
        <v>-1.3197899009650139E-2</v>
      </c>
      <c r="K1040" s="8">
        <f t="shared" si="63"/>
        <v>-3.2824992358798655E-2</v>
      </c>
    </row>
    <row r="1041" spans="1:11" x14ac:dyDescent="0.25">
      <c r="A1041" t="str">
        <f t="shared" si="64"/>
        <v>32021</v>
      </c>
      <c r="B1041" s="1">
        <v>44271</v>
      </c>
      <c r="C1041" s="7">
        <f ca="1">IFERROR(__xludf.DUMMYFUNCTION("""COMPUTED_VALUE"""),44271.6458333333)</f>
        <v>44271.645833333299</v>
      </c>
      <c r="D1041">
        <v>12059.2</v>
      </c>
      <c r="E1041">
        <v>12099.9</v>
      </c>
      <c r="F1041">
        <v>11953.25</v>
      </c>
      <c r="G1041">
        <v>12013</v>
      </c>
      <c r="H1041">
        <v>0</v>
      </c>
      <c r="I1041" s="8">
        <f t="shared" si="65"/>
        <v>-9.563807226912191E-4</v>
      </c>
      <c r="J1041" s="8">
        <f t="shared" si="66"/>
        <v>-9.5683834653293299E-4</v>
      </c>
      <c r="K1041" s="8">
        <f t="shared" si="63"/>
        <v>-4.2598127116955542E-2</v>
      </c>
    </row>
    <row r="1042" spans="1:11" x14ac:dyDescent="0.25">
      <c r="A1042" t="str">
        <f t="shared" si="64"/>
        <v>32021</v>
      </c>
      <c r="B1042" s="1">
        <v>44272</v>
      </c>
      <c r="C1042" s="7">
        <f ca="1">IFERROR(__xludf.DUMMYFUNCTION("""COMPUTED_VALUE"""),44272.6458333333)</f>
        <v>44272.645833333299</v>
      </c>
      <c r="D1042">
        <v>12028.7</v>
      </c>
      <c r="E1042">
        <v>12032.5</v>
      </c>
      <c r="F1042">
        <v>11747.6</v>
      </c>
      <c r="G1042">
        <v>11787.5</v>
      </c>
      <c r="H1042">
        <v>0</v>
      </c>
      <c r="I1042" s="8">
        <f t="shared" si="65"/>
        <v>-1.8771331058020424E-2</v>
      </c>
      <c r="J1042" s="8">
        <f t="shared" si="66"/>
        <v>-1.8949748779662122E-2</v>
      </c>
      <c r="K1042" s="8">
        <f t="shared" si="63"/>
        <v>-6.466228654859385E-2</v>
      </c>
    </row>
    <row r="1043" spans="1:11" x14ac:dyDescent="0.25">
      <c r="A1043" t="str">
        <f t="shared" si="64"/>
        <v>32021</v>
      </c>
      <c r="B1043" s="1">
        <v>44273</v>
      </c>
      <c r="C1043" s="7">
        <f ca="1">IFERROR(__xludf.DUMMYFUNCTION("""COMPUTED_VALUE"""),44273.6458333333)</f>
        <v>44273.645833333299</v>
      </c>
      <c r="D1043">
        <v>11830.95</v>
      </c>
      <c r="E1043">
        <v>11849.2</v>
      </c>
      <c r="F1043">
        <v>11466.95</v>
      </c>
      <c r="G1043">
        <v>11514.45</v>
      </c>
      <c r="H1043">
        <v>0</v>
      </c>
      <c r="I1043" s="8">
        <f t="shared" si="65"/>
        <v>-2.3164369034994636E-2</v>
      </c>
      <c r="J1043" s="8">
        <f t="shared" si="66"/>
        <v>-2.3436879614018878E-2</v>
      </c>
      <c r="K1043" s="8">
        <f t="shared" si="63"/>
        <v>-9.7779797607807306E-2</v>
      </c>
    </row>
    <row r="1044" spans="1:11" x14ac:dyDescent="0.25">
      <c r="A1044" t="str">
        <f t="shared" si="64"/>
        <v>32021</v>
      </c>
      <c r="B1044" s="1">
        <v>44274</v>
      </c>
      <c r="C1044" s="7">
        <f ca="1">IFERROR(__xludf.DUMMYFUNCTION("""COMPUTED_VALUE"""),44274.6458333333)</f>
        <v>44274.645833333299</v>
      </c>
      <c r="D1044">
        <v>11466.7</v>
      </c>
      <c r="E1044">
        <v>11705.95</v>
      </c>
      <c r="F1044">
        <v>11280.8</v>
      </c>
      <c r="G1044">
        <v>11667.1</v>
      </c>
      <c r="H1044">
        <v>0</v>
      </c>
      <c r="I1044" s="8">
        <f t="shared" si="65"/>
        <v>1.3257255014351488E-2</v>
      </c>
      <c r="J1044" s="8">
        <f t="shared" si="66"/>
        <v>1.3170146643111022E-2</v>
      </c>
      <c r="K1044" s="8">
        <f t="shared" si="63"/>
        <v>-4.97672694990694E-2</v>
      </c>
    </row>
    <row r="1045" spans="1:11" x14ac:dyDescent="0.25">
      <c r="A1045" t="str">
        <f t="shared" si="64"/>
        <v>32021</v>
      </c>
      <c r="B1045" s="1">
        <v>44277</v>
      </c>
      <c r="C1045" s="7">
        <f ca="1">IFERROR(__xludf.DUMMYFUNCTION("""COMPUTED_VALUE"""),44277.6458333333)</f>
        <v>44277.645833333299</v>
      </c>
      <c r="D1045">
        <v>11685.1</v>
      </c>
      <c r="E1045">
        <v>11884.75</v>
      </c>
      <c r="F1045">
        <v>11669.05</v>
      </c>
      <c r="G1045">
        <v>11850.75</v>
      </c>
      <c r="H1045">
        <v>0</v>
      </c>
      <c r="I1045" s="8">
        <f t="shared" si="65"/>
        <v>1.574084391151187E-2</v>
      </c>
      <c r="J1045" s="8">
        <f t="shared" si="66"/>
        <v>1.5618241728913056E-2</v>
      </c>
      <c r="K1045" s="8">
        <f t="shared" si="63"/>
        <v>-5.5788605643397604E-2</v>
      </c>
    </row>
    <row r="1046" spans="1:11" x14ac:dyDescent="0.25">
      <c r="A1046" t="str">
        <f t="shared" si="64"/>
        <v>32021</v>
      </c>
      <c r="B1046" s="1">
        <v>44278</v>
      </c>
      <c r="C1046" s="7">
        <f ca="1">IFERROR(__xludf.DUMMYFUNCTION("""COMPUTED_VALUE"""),44278.6458333333)</f>
        <v>44278.645833333299</v>
      </c>
      <c r="D1046">
        <v>11869.1</v>
      </c>
      <c r="E1046">
        <v>11943.35</v>
      </c>
      <c r="F1046">
        <v>11811.3</v>
      </c>
      <c r="G1046">
        <v>11907.2</v>
      </c>
      <c r="H1046">
        <v>0</v>
      </c>
      <c r="I1046" s="8">
        <f t="shared" si="65"/>
        <v>4.7634115984220848E-3</v>
      </c>
      <c r="J1046" s="8">
        <f t="shared" si="66"/>
        <v>4.7521024525853011E-3</v>
      </c>
      <c r="K1046" s="8">
        <f t="shared" si="63"/>
        <v>-6.6339952561111803E-2</v>
      </c>
    </row>
    <row r="1047" spans="1:11" x14ac:dyDescent="0.25">
      <c r="A1047" t="str">
        <f t="shared" si="64"/>
        <v>32021</v>
      </c>
      <c r="B1047" s="1">
        <v>44279</v>
      </c>
      <c r="C1047" s="7">
        <f ca="1">IFERROR(__xludf.DUMMYFUNCTION("""COMPUTED_VALUE"""),44279.6458333333)</f>
        <v>44279.645833333299</v>
      </c>
      <c r="D1047">
        <v>11874</v>
      </c>
      <c r="E1047">
        <v>12056.25</v>
      </c>
      <c r="F1047">
        <v>11850.9</v>
      </c>
      <c r="G1047">
        <v>11916.3</v>
      </c>
      <c r="H1047">
        <v>0</v>
      </c>
      <c r="I1047" s="8">
        <f t="shared" si="65"/>
        <v>7.6424348293446798E-4</v>
      </c>
      <c r="J1047" s="8">
        <f t="shared" si="66"/>
        <v>7.6395159758871226E-4</v>
      </c>
      <c r="K1047" s="8">
        <f t="shared" si="63"/>
        <v>-7.6896261895816553E-2</v>
      </c>
    </row>
    <row r="1048" spans="1:11" x14ac:dyDescent="0.25">
      <c r="A1048" t="str">
        <f t="shared" si="64"/>
        <v>32021</v>
      </c>
      <c r="B1048" s="1">
        <v>44280</v>
      </c>
      <c r="C1048" s="7">
        <f ca="1">IFERROR(__xludf.DUMMYFUNCTION("""COMPUTED_VALUE"""),44280.6458333333)</f>
        <v>44280.645833333299</v>
      </c>
      <c r="D1048">
        <v>11929.45</v>
      </c>
      <c r="E1048">
        <v>11986.35</v>
      </c>
      <c r="F1048">
        <v>11717.35</v>
      </c>
      <c r="G1048">
        <v>11816.8</v>
      </c>
      <c r="H1048">
        <v>0</v>
      </c>
      <c r="I1048" s="8">
        <f t="shared" si="65"/>
        <v>-8.3499072698740573E-3</v>
      </c>
      <c r="J1048" s="8">
        <f t="shared" si="66"/>
        <v>-8.3849630235022926E-3</v>
      </c>
      <c r="K1048" s="8">
        <f t="shared" si="63"/>
        <v>-8.2143952898592998E-2</v>
      </c>
    </row>
    <row r="1049" spans="1:11" x14ac:dyDescent="0.25">
      <c r="A1049" t="str">
        <f t="shared" si="64"/>
        <v>32021</v>
      </c>
      <c r="B1049" s="1">
        <v>44281</v>
      </c>
      <c r="C1049" s="7">
        <f ca="1">IFERROR(__xludf.DUMMYFUNCTION("""COMPUTED_VALUE"""),44281.6458333333)</f>
        <v>44281.645833333299</v>
      </c>
      <c r="D1049">
        <v>11887.9</v>
      </c>
      <c r="E1049">
        <v>11944.15</v>
      </c>
      <c r="F1049">
        <v>11765.7</v>
      </c>
      <c r="G1049">
        <v>11883.2</v>
      </c>
      <c r="H1049">
        <v>0</v>
      </c>
      <c r="I1049" s="8">
        <f t="shared" si="65"/>
        <v>5.6191185430913837E-3</v>
      </c>
      <c r="J1049" s="8">
        <f t="shared" si="66"/>
        <v>5.6033901886421572E-3</v>
      </c>
      <c r="K1049" s="8">
        <f t="shared" si="63"/>
        <v>-7.4798153208916252E-2</v>
      </c>
    </row>
    <row r="1050" spans="1:11" x14ac:dyDescent="0.25">
      <c r="A1050" t="str">
        <f t="shared" si="64"/>
        <v>32021</v>
      </c>
      <c r="B1050" s="1">
        <v>44285</v>
      </c>
      <c r="C1050" s="7">
        <f ca="1">IFERROR(__xludf.DUMMYFUNCTION("""COMPUTED_VALUE"""),44285.6458333333)</f>
        <v>44285.645833333299</v>
      </c>
      <c r="D1050">
        <v>11989.1</v>
      </c>
      <c r="E1050">
        <v>12219.6</v>
      </c>
      <c r="F1050">
        <v>11958</v>
      </c>
      <c r="G1050">
        <v>12206.6</v>
      </c>
      <c r="H1050">
        <v>0</v>
      </c>
      <c r="I1050" s="8">
        <f t="shared" si="65"/>
        <v>2.7214891611686998E-2</v>
      </c>
      <c r="J1050" s="8">
        <f t="shared" si="66"/>
        <v>2.6851151133995877E-2</v>
      </c>
      <c r="K1050" s="8">
        <f t="shared" si="63"/>
        <v>-4.813668228853929E-2</v>
      </c>
    </row>
    <row r="1051" spans="1:11" x14ac:dyDescent="0.25">
      <c r="A1051" t="str">
        <f t="shared" si="64"/>
        <v>32021</v>
      </c>
      <c r="B1051" s="1">
        <v>44286</v>
      </c>
      <c r="C1051" s="7">
        <f ca="1">IFERROR(__xludf.DUMMYFUNCTION("""COMPUTED_VALUE"""),44286.6458333333)</f>
        <v>44286.645833333299</v>
      </c>
      <c r="D1051">
        <v>12231.05</v>
      </c>
      <c r="E1051">
        <v>12327.4</v>
      </c>
      <c r="F1051">
        <v>12191.9</v>
      </c>
      <c r="G1051">
        <v>12272.6</v>
      </c>
      <c r="H1051">
        <v>0</v>
      </c>
      <c r="I1051" s="8">
        <f t="shared" si="65"/>
        <v>5.4069110153522892E-3</v>
      </c>
      <c r="J1051" s="8">
        <f t="shared" si="66"/>
        <v>5.3923461490249028E-3</v>
      </c>
      <c r="K1051" s="8">
        <f t="shared" si="63"/>
        <v>-4.9806827243939589E-2</v>
      </c>
    </row>
    <row r="1052" spans="1:11" x14ac:dyDescent="0.25">
      <c r="A1052" t="str">
        <f t="shared" si="64"/>
        <v>42021</v>
      </c>
      <c r="B1052" s="1">
        <v>44287</v>
      </c>
      <c r="C1052" s="7">
        <f ca="1">IFERROR(__xludf.DUMMYFUNCTION("""COMPUTED_VALUE"""),44287.6458333333)</f>
        <v>44287.645833333299</v>
      </c>
      <c r="D1052">
        <v>12319</v>
      </c>
      <c r="E1052">
        <v>12400.55</v>
      </c>
      <c r="F1052">
        <v>12273.6</v>
      </c>
      <c r="G1052">
        <v>12377.1</v>
      </c>
      <c r="H1052">
        <v>0</v>
      </c>
      <c r="I1052" s="8">
        <f t="shared" si="65"/>
        <v>8.5149031175137946E-3</v>
      </c>
      <c r="J1052" s="8">
        <f t="shared" si="66"/>
        <v>8.4788558116330355E-3</v>
      </c>
      <c r="K1052" s="8">
        <f t="shared" si="63"/>
        <v>-4.8058175889001298E-2</v>
      </c>
    </row>
    <row r="1053" spans="1:11" x14ac:dyDescent="0.25">
      <c r="A1053" t="str">
        <f t="shared" si="64"/>
        <v>42021</v>
      </c>
      <c r="B1053" s="1">
        <v>44291</v>
      </c>
      <c r="C1053" s="7">
        <f ca="1">IFERROR(__xludf.DUMMYFUNCTION("""COMPUTED_VALUE"""),44291.6458333333)</f>
        <v>44291.645833333299</v>
      </c>
      <c r="D1053">
        <v>12383.55</v>
      </c>
      <c r="E1053">
        <v>12383.55</v>
      </c>
      <c r="F1053">
        <v>12129.25</v>
      </c>
      <c r="G1053">
        <v>12331.5</v>
      </c>
      <c r="H1053">
        <v>0</v>
      </c>
      <c r="I1053" s="8">
        <f t="shared" si="65"/>
        <v>-3.6842232833216304E-3</v>
      </c>
      <c r="J1053" s="8">
        <f t="shared" si="66"/>
        <v>-3.6910267493881939E-3</v>
      </c>
      <c r="K1053" s="8">
        <f t="shared" si="63"/>
        <v>-6.2229083332065782E-2</v>
      </c>
    </row>
    <row r="1054" spans="1:11" x14ac:dyDescent="0.25">
      <c r="A1054" t="str">
        <f t="shared" si="64"/>
        <v>42021</v>
      </c>
      <c r="B1054" s="1">
        <v>44292</v>
      </c>
      <c r="C1054" s="7">
        <f ca="1">IFERROR(__xludf.DUMMYFUNCTION("""COMPUTED_VALUE"""),44292.6458333333)</f>
        <v>44292.645833333299</v>
      </c>
      <c r="D1054">
        <v>12345.1</v>
      </c>
      <c r="E1054">
        <v>12562.1</v>
      </c>
      <c r="F1054">
        <v>12321.7</v>
      </c>
      <c r="G1054">
        <v>12548.6</v>
      </c>
      <c r="H1054">
        <v>0</v>
      </c>
      <c r="I1054" s="8">
        <f t="shared" si="65"/>
        <v>1.7605319709686595E-2</v>
      </c>
      <c r="J1054" s="8">
        <f t="shared" si="66"/>
        <v>1.7452141292185381E-2</v>
      </c>
      <c r="K1054" s="8">
        <f t="shared" si="63"/>
        <v>-4.6918849947023999E-2</v>
      </c>
    </row>
    <row r="1055" spans="1:11" x14ac:dyDescent="0.25">
      <c r="A1055" t="str">
        <f t="shared" si="64"/>
        <v>42021</v>
      </c>
      <c r="B1055" s="1">
        <v>44293</v>
      </c>
      <c r="C1055" s="7">
        <f ca="1">IFERROR(__xludf.DUMMYFUNCTION("""COMPUTED_VALUE"""),44293.6458333333)</f>
        <v>44293.645833333299</v>
      </c>
      <c r="D1055">
        <v>12597</v>
      </c>
      <c r="E1055">
        <v>12695.1</v>
      </c>
      <c r="F1055">
        <v>12549.5</v>
      </c>
      <c r="G1055">
        <v>12616.35</v>
      </c>
      <c r="H1055">
        <v>0</v>
      </c>
      <c r="I1055" s="8">
        <f t="shared" si="65"/>
        <v>5.3990086543518334E-3</v>
      </c>
      <c r="J1055" s="8">
        <f t="shared" si="66"/>
        <v>5.3844862547176549E-3</v>
      </c>
      <c r="K1055" s="8">
        <f t="shared" si="63"/>
        <v>-3.824867930569209E-2</v>
      </c>
    </row>
    <row r="1056" spans="1:11" x14ac:dyDescent="0.25">
      <c r="A1056" t="str">
        <f t="shared" si="64"/>
        <v>42021</v>
      </c>
      <c r="B1056" s="1">
        <v>44294</v>
      </c>
      <c r="C1056" s="7">
        <f ca="1">IFERROR(__xludf.DUMMYFUNCTION("""COMPUTED_VALUE"""),44294.6458333333)</f>
        <v>44294.645833333299</v>
      </c>
      <c r="D1056">
        <v>12630.15</v>
      </c>
      <c r="E1056">
        <v>12739.05</v>
      </c>
      <c r="F1056">
        <v>12592.75</v>
      </c>
      <c r="G1056">
        <v>12611.7</v>
      </c>
      <c r="H1056">
        <v>0</v>
      </c>
      <c r="I1056" s="8">
        <f t="shared" si="65"/>
        <v>-3.6856935643037048E-4</v>
      </c>
      <c r="J1056" s="8">
        <f t="shared" si="66"/>
        <v>-3.6863729480946948E-4</v>
      </c>
      <c r="K1056" s="8">
        <f t="shared" si="63"/>
        <v>-3.4381639645502671E-2</v>
      </c>
    </row>
    <row r="1057" spans="1:11" x14ac:dyDescent="0.25">
      <c r="A1057" t="str">
        <f t="shared" si="64"/>
        <v>42021</v>
      </c>
      <c r="B1057" s="1">
        <v>44295</v>
      </c>
      <c r="C1057" s="7">
        <f ca="1">IFERROR(__xludf.DUMMYFUNCTION("""COMPUTED_VALUE"""),44295.6458333333)</f>
        <v>44295.645833333299</v>
      </c>
      <c r="D1057">
        <v>12603.6</v>
      </c>
      <c r="E1057">
        <v>13074</v>
      </c>
      <c r="F1057">
        <v>12582.6</v>
      </c>
      <c r="G1057">
        <v>12995.35</v>
      </c>
      <c r="H1057">
        <v>0</v>
      </c>
      <c r="I1057" s="8">
        <f t="shared" si="65"/>
        <v>3.0420165401968013E-2</v>
      </c>
      <c r="J1057" s="8">
        <f t="shared" si="66"/>
        <v>2.9966646636437649E-2</v>
      </c>
      <c r="K1057" s="8">
        <f t="shared" si="63"/>
        <v>-2.0811434986870325E-2</v>
      </c>
    </row>
    <row r="1058" spans="1:11" x14ac:dyDescent="0.25">
      <c r="A1058" t="str">
        <f t="shared" si="64"/>
        <v>42021</v>
      </c>
      <c r="B1058" s="1">
        <v>44298</v>
      </c>
      <c r="C1058" s="7">
        <f ca="1">IFERROR(__xludf.DUMMYFUNCTION("""COMPUTED_VALUE"""),44298.6458333333)</f>
        <v>44298.645833333299</v>
      </c>
      <c r="D1058">
        <v>13026.3</v>
      </c>
      <c r="E1058">
        <v>13301.6</v>
      </c>
      <c r="F1058">
        <v>12758.65</v>
      </c>
      <c r="G1058">
        <v>12961.85</v>
      </c>
      <c r="H1058">
        <v>0</v>
      </c>
      <c r="I1058" s="8">
        <f t="shared" si="65"/>
        <v>-2.5778451523045254E-3</v>
      </c>
      <c r="J1058" s="8">
        <f t="shared" si="66"/>
        <v>-2.5811735163543755E-3</v>
      </c>
      <c r="K1058" s="8">
        <f t="shared" si="63"/>
        <v>-3.358844646911241E-2</v>
      </c>
    </row>
    <row r="1059" spans="1:11" x14ac:dyDescent="0.25">
      <c r="A1059" t="str">
        <f t="shared" si="64"/>
        <v>42021</v>
      </c>
      <c r="B1059" s="1">
        <v>44299</v>
      </c>
      <c r="C1059" s="7">
        <f ca="1">IFERROR(__xludf.DUMMYFUNCTION("""COMPUTED_VALUE"""),44299.6458333333)</f>
        <v>44299.645833333299</v>
      </c>
      <c r="D1059">
        <v>13155</v>
      </c>
      <c r="E1059">
        <v>13205.5</v>
      </c>
      <c r="F1059">
        <v>12733</v>
      </c>
      <c r="G1059">
        <v>12807.5</v>
      </c>
      <c r="H1059">
        <v>0</v>
      </c>
      <c r="I1059" s="8">
        <f t="shared" si="65"/>
        <v>-1.1908022388779416E-2</v>
      </c>
      <c r="J1059" s="8">
        <f t="shared" si="66"/>
        <v>-1.1979490819117415E-2</v>
      </c>
      <c r="K1059" s="8">
        <f t="shared" si="63"/>
        <v>-3.3009430187169286E-2</v>
      </c>
    </row>
    <row r="1060" spans="1:11" x14ac:dyDescent="0.25">
      <c r="A1060" t="str">
        <f t="shared" si="64"/>
        <v>42021</v>
      </c>
      <c r="B1060" s="1">
        <v>44301</v>
      </c>
      <c r="C1060" s="7">
        <f ca="1">IFERROR(__xludf.DUMMYFUNCTION("""COMPUTED_VALUE"""),44301.6458333333)</f>
        <v>44301.645833333299</v>
      </c>
      <c r="D1060">
        <v>12914.65</v>
      </c>
      <c r="E1060">
        <v>13054.5</v>
      </c>
      <c r="F1060">
        <v>12798.6</v>
      </c>
      <c r="G1060">
        <v>12987.05</v>
      </c>
      <c r="H1060">
        <v>0</v>
      </c>
      <c r="I1060" s="8">
        <f t="shared" si="65"/>
        <v>1.4019129416357634E-2</v>
      </c>
      <c r="J1060" s="8">
        <f t="shared" si="66"/>
        <v>1.3921770293171692E-2</v>
      </c>
      <c r="K1060" s="8">
        <f t="shared" si="63"/>
        <v>-1.0325736994715173E-2</v>
      </c>
    </row>
    <row r="1061" spans="1:11" x14ac:dyDescent="0.25">
      <c r="A1061" t="str">
        <f t="shared" si="64"/>
        <v>42021</v>
      </c>
      <c r="B1061" s="1">
        <v>44302</v>
      </c>
      <c r="C1061" s="7">
        <f ca="1">IFERROR(__xludf.DUMMYFUNCTION("""COMPUTED_VALUE"""),44302.6458333333)</f>
        <v>44302.645833333299</v>
      </c>
      <c r="D1061">
        <v>13016.45</v>
      </c>
      <c r="E1061">
        <v>13309.7</v>
      </c>
      <c r="F1061">
        <v>12892</v>
      </c>
      <c r="G1061">
        <v>13234.25</v>
      </c>
      <c r="H1061">
        <v>0</v>
      </c>
      <c r="I1061" s="8">
        <f t="shared" si="65"/>
        <v>1.9034345752114712E-2</v>
      </c>
      <c r="J1061" s="8">
        <f t="shared" si="66"/>
        <v>1.8855459023031249E-2</v>
      </c>
      <c r="K1061" s="8">
        <f t="shared" si="63"/>
        <v>1.2847108078184455E-4</v>
      </c>
    </row>
    <row r="1062" spans="1:11" x14ac:dyDescent="0.25">
      <c r="A1062" t="str">
        <f t="shared" si="64"/>
        <v>42021</v>
      </c>
      <c r="B1062" s="1">
        <v>44305</v>
      </c>
      <c r="C1062" s="7">
        <f ca="1">IFERROR(__xludf.DUMMYFUNCTION("""COMPUTED_VALUE"""),44305.6458333333)</f>
        <v>44305.645833333299</v>
      </c>
      <c r="D1062">
        <v>13233.2</v>
      </c>
      <c r="E1062">
        <v>13342.25</v>
      </c>
      <c r="F1062">
        <v>12999.8</v>
      </c>
      <c r="G1062">
        <v>13256.25</v>
      </c>
      <c r="H1062">
        <v>0</v>
      </c>
      <c r="I1062" s="8">
        <f t="shared" si="65"/>
        <v>1.662353363431901E-3</v>
      </c>
      <c r="J1062" s="8">
        <f t="shared" si="66"/>
        <v>1.6609731834323184E-3</v>
      </c>
      <c r="K1062" s="8">
        <f t="shared" si="63"/>
        <v>1.859500163282557E-2</v>
      </c>
    </row>
    <row r="1063" spans="1:11" x14ac:dyDescent="0.25">
      <c r="A1063" t="str">
        <f t="shared" si="64"/>
        <v>42021</v>
      </c>
      <c r="B1063" s="1">
        <v>44306</v>
      </c>
      <c r="C1063" s="7">
        <f ca="1">IFERROR(__xludf.DUMMYFUNCTION("""COMPUTED_VALUE"""),44306.6458333333)</f>
        <v>44306.645833333299</v>
      </c>
      <c r="D1063">
        <v>13426.05</v>
      </c>
      <c r="E1063">
        <v>13583.05</v>
      </c>
      <c r="F1063">
        <v>13324.25</v>
      </c>
      <c r="G1063">
        <v>13426.9</v>
      </c>
      <c r="H1063">
        <v>0</v>
      </c>
      <c r="I1063" s="8">
        <f t="shared" si="65"/>
        <v>1.2873173031588747E-2</v>
      </c>
      <c r="J1063" s="8">
        <f t="shared" si="66"/>
        <v>1.2791018051933627E-2</v>
      </c>
      <c r="K1063" s="8">
        <f t="shared" si="63"/>
        <v>6.1121428853676774E-2</v>
      </c>
    </row>
    <row r="1064" spans="1:11" x14ac:dyDescent="0.25">
      <c r="A1064" t="str">
        <f t="shared" si="64"/>
        <v>42021</v>
      </c>
      <c r="B1064" s="1">
        <v>44308</v>
      </c>
      <c r="C1064" s="7">
        <f ca="1">IFERROR(__xludf.DUMMYFUNCTION("""COMPUTED_VALUE"""),44308.6458333333)</f>
        <v>44308.645833333299</v>
      </c>
      <c r="D1064">
        <v>13496.55</v>
      </c>
      <c r="E1064">
        <v>13633.4</v>
      </c>
      <c r="F1064">
        <v>13347.2</v>
      </c>
      <c r="G1064">
        <v>13378.95</v>
      </c>
      <c r="H1064">
        <v>0</v>
      </c>
      <c r="I1064" s="8">
        <f t="shared" si="65"/>
        <v>-3.5711891799297124E-3</v>
      </c>
      <c r="J1064" s="8">
        <f t="shared" si="66"/>
        <v>-3.5775810983799342E-3</v>
      </c>
      <c r="K1064" s="8">
        <f t="shared" si="63"/>
        <v>3.9864604909821022E-2</v>
      </c>
    </row>
    <row r="1065" spans="1:11" x14ac:dyDescent="0.25">
      <c r="A1065" t="str">
        <f t="shared" si="64"/>
        <v>42021</v>
      </c>
      <c r="B1065" s="1">
        <v>44309</v>
      </c>
      <c r="C1065" s="7">
        <f ca="1">IFERROR(__xludf.DUMMYFUNCTION("""COMPUTED_VALUE"""),44309.6458333333)</f>
        <v>44309.645833333299</v>
      </c>
      <c r="D1065">
        <v>13373.1</v>
      </c>
      <c r="E1065">
        <v>13476.55</v>
      </c>
      <c r="F1065">
        <v>13169</v>
      </c>
      <c r="G1065">
        <v>13319.75</v>
      </c>
      <c r="H1065">
        <v>0</v>
      </c>
      <c r="I1065" s="8">
        <f t="shared" si="65"/>
        <v>-4.4248614427888633E-3</v>
      </c>
      <c r="J1065" s="8">
        <f t="shared" si="66"/>
        <v>-4.434680117070453E-3</v>
      </c>
      <c r="K1065" s="8">
        <f t="shared" si="63"/>
        <v>3.4045741080023451E-2</v>
      </c>
    </row>
    <row r="1066" spans="1:11" x14ac:dyDescent="0.25">
      <c r="A1066" t="str">
        <f t="shared" si="64"/>
        <v>42021</v>
      </c>
      <c r="B1066" s="1">
        <v>44312</v>
      </c>
      <c r="C1066" s="7">
        <f ca="1">IFERROR(__xludf.DUMMYFUNCTION("""COMPUTED_VALUE"""),44312.6458333333)</f>
        <v>44312.645833333299</v>
      </c>
      <c r="D1066">
        <v>13418.6</v>
      </c>
      <c r="E1066">
        <v>13418.6</v>
      </c>
      <c r="F1066">
        <v>13186.25</v>
      </c>
      <c r="G1066">
        <v>13203.85</v>
      </c>
      <c r="H1066">
        <v>0</v>
      </c>
      <c r="I1066" s="8">
        <f t="shared" si="65"/>
        <v>-8.7013645150997299E-3</v>
      </c>
      <c r="J1066" s="8">
        <f t="shared" si="66"/>
        <v>-8.7394424348002896E-3</v>
      </c>
      <c r="K1066" s="8">
        <f t="shared" si="63"/>
        <v>3.9906593211862518E-2</v>
      </c>
    </row>
    <row r="1067" spans="1:11" x14ac:dyDescent="0.25">
      <c r="A1067" t="str">
        <f t="shared" si="64"/>
        <v>42021</v>
      </c>
      <c r="B1067" s="1">
        <v>44313</v>
      </c>
      <c r="C1067" s="7">
        <f ca="1">IFERROR(__xludf.DUMMYFUNCTION("""COMPUTED_VALUE"""),44313.6458333333)</f>
        <v>44313.645833333299</v>
      </c>
      <c r="D1067">
        <v>13247.55</v>
      </c>
      <c r="E1067">
        <v>13310.65</v>
      </c>
      <c r="F1067">
        <v>13145.05</v>
      </c>
      <c r="G1067">
        <v>13296.75</v>
      </c>
      <c r="H1067">
        <v>0</v>
      </c>
      <c r="I1067" s="8">
        <f t="shared" si="65"/>
        <v>7.0358266717660545E-3</v>
      </c>
      <c r="J1067" s="8">
        <f t="shared" si="66"/>
        <v>7.0111907319239143E-3</v>
      </c>
      <c r="K1067" s="8">
        <f t="shared" si="63"/>
        <v>6.0169349630444735E-2</v>
      </c>
    </row>
    <row r="1068" spans="1:11" x14ac:dyDescent="0.25">
      <c r="A1068" t="str">
        <f t="shared" si="64"/>
        <v>42021</v>
      </c>
      <c r="B1068" s="1">
        <v>44314</v>
      </c>
      <c r="C1068" s="7">
        <f ca="1">IFERROR(__xludf.DUMMYFUNCTION("""COMPUTED_VALUE"""),44314.6458333333)</f>
        <v>44314.645833333299</v>
      </c>
      <c r="D1068">
        <v>13347.65</v>
      </c>
      <c r="E1068">
        <v>13367.4</v>
      </c>
      <c r="F1068">
        <v>13227.2</v>
      </c>
      <c r="G1068">
        <v>13252.95</v>
      </c>
      <c r="H1068">
        <v>0</v>
      </c>
      <c r="I1068" s="8">
        <f t="shared" si="65"/>
        <v>-3.2940380168086092E-3</v>
      </c>
      <c r="J1068" s="8">
        <f t="shared" si="66"/>
        <v>-3.2994753037400601E-3</v>
      </c>
      <c r="K1068" s="8">
        <f t="shared" si="63"/>
        <v>3.8897054500558692E-2</v>
      </c>
    </row>
    <row r="1069" spans="1:11" x14ac:dyDescent="0.25">
      <c r="A1069" t="str">
        <f t="shared" si="64"/>
        <v>42021</v>
      </c>
      <c r="B1069" s="1">
        <v>44315</v>
      </c>
      <c r="C1069" s="7">
        <f ca="1">IFERROR(__xludf.DUMMYFUNCTION("""COMPUTED_VALUE"""),44315.6458333333)</f>
        <v>44315.645833333299</v>
      </c>
      <c r="D1069">
        <v>13301.85</v>
      </c>
      <c r="E1069">
        <v>13401.5</v>
      </c>
      <c r="F1069">
        <v>13222.6</v>
      </c>
      <c r="G1069">
        <v>13298.65</v>
      </c>
      <c r="H1069">
        <v>0</v>
      </c>
      <c r="I1069" s="8">
        <f t="shared" si="65"/>
        <v>3.4482888715341442E-3</v>
      </c>
      <c r="J1069" s="8">
        <f t="shared" si="66"/>
        <v>3.4423571557318311E-3</v>
      </c>
      <c r="K1069" s="8">
        <f t="shared" si="63"/>
        <v>6.4241071071311495E-2</v>
      </c>
    </row>
    <row r="1070" spans="1:11" x14ac:dyDescent="0.25">
      <c r="A1070" t="str">
        <f t="shared" si="64"/>
        <v>42021</v>
      </c>
      <c r="B1070" s="1">
        <v>44316</v>
      </c>
      <c r="C1070" s="7">
        <f ca="1">IFERROR(__xludf.DUMMYFUNCTION("""COMPUTED_VALUE"""),44316.6458333333)</f>
        <v>44316.645833333299</v>
      </c>
      <c r="D1070">
        <v>13271.35</v>
      </c>
      <c r="E1070">
        <v>13619.55</v>
      </c>
      <c r="F1070">
        <v>13263.35</v>
      </c>
      <c r="G1070">
        <v>13469.25</v>
      </c>
      <c r="H1070">
        <v>0</v>
      </c>
      <c r="I1070" s="8">
        <f t="shared" si="65"/>
        <v>1.2828369796934247E-2</v>
      </c>
      <c r="J1070" s="8">
        <f t="shared" si="66"/>
        <v>1.2746783268364033E-2</v>
      </c>
      <c r="K1070" s="8">
        <f t="shared" si="63"/>
        <v>8.6584731303369189E-2</v>
      </c>
    </row>
    <row r="1071" spans="1:11" x14ac:dyDescent="0.25">
      <c r="A1071" t="str">
        <f t="shared" si="64"/>
        <v>52021</v>
      </c>
      <c r="B1071" s="1">
        <v>44319</v>
      </c>
      <c r="C1071" s="7">
        <f ca="1">IFERROR(__xludf.DUMMYFUNCTION("""COMPUTED_VALUE"""),44319.6458333333)</f>
        <v>44319.645833333299</v>
      </c>
      <c r="D1071">
        <v>13502.65</v>
      </c>
      <c r="E1071">
        <v>13580.5</v>
      </c>
      <c r="F1071">
        <v>13408.2</v>
      </c>
      <c r="G1071">
        <v>13507.45</v>
      </c>
      <c r="H1071">
        <v>0</v>
      </c>
      <c r="I1071" s="8">
        <f t="shared" si="65"/>
        <v>2.8360896115224854E-3</v>
      </c>
      <c r="J1071" s="8">
        <f t="shared" si="66"/>
        <v>2.832075497181159E-3</v>
      </c>
      <c r="K1071" s="8">
        <f t="shared" si="63"/>
        <v>0.10987448902035712</v>
      </c>
    </row>
    <row r="1072" spans="1:11" x14ac:dyDescent="0.25">
      <c r="A1072" t="str">
        <f t="shared" si="64"/>
        <v>52021</v>
      </c>
      <c r="B1072" s="1">
        <v>44320</v>
      </c>
      <c r="C1072" s="7">
        <f ca="1">IFERROR(__xludf.DUMMYFUNCTION("""COMPUTED_VALUE"""),44320.6458333333)</f>
        <v>44320.645833333299</v>
      </c>
      <c r="D1072">
        <v>13573.85</v>
      </c>
      <c r="E1072">
        <v>13573.85</v>
      </c>
      <c r="F1072">
        <v>13200.7</v>
      </c>
      <c r="G1072">
        <v>13234.75</v>
      </c>
      <c r="H1072">
        <v>0</v>
      </c>
      <c r="I1072" s="8">
        <f t="shared" si="65"/>
        <v>-2.0188858740917137E-2</v>
      </c>
      <c r="J1072" s="8">
        <f t="shared" si="66"/>
        <v>-2.039543888999169E-2</v>
      </c>
      <c r="K1072" s="8">
        <f t="shared" si="63"/>
        <v>9.3460183169400857E-2</v>
      </c>
    </row>
    <row r="1073" spans="1:11" x14ac:dyDescent="0.25">
      <c r="A1073" t="str">
        <f t="shared" si="64"/>
        <v>52021</v>
      </c>
      <c r="B1073" s="1">
        <v>44321</v>
      </c>
      <c r="C1073" s="7">
        <f ca="1">IFERROR(__xludf.DUMMYFUNCTION("""COMPUTED_VALUE"""),44321.6458333333)</f>
        <v>44321.645833333299</v>
      </c>
      <c r="D1073">
        <v>13293</v>
      </c>
      <c r="E1073">
        <v>13809.15</v>
      </c>
      <c r="F1073">
        <v>13210.5</v>
      </c>
      <c r="G1073">
        <v>13779.7</v>
      </c>
      <c r="H1073">
        <v>0</v>
      </c>
      <c r="I1073" s="8">
        <f t="shared" si="65"/>
        <v>4.1175692778480988E-2</v>
      </c>
      <c r="J1073" s="8">
        <f t="shared" si="66"/>
        <v>4.0350548474371771E-2</v>
      </c>
      <c r="K1073" s="8">
        <f t="shared" si="63"/>
        <v>0.11472266827380073</v>
      </c>
    </row>
    <row r="1074" spans="1:11" x14ac:dyDescent="0.25">
      <c r="A1074" t="str">
        <f t="shared" si="64"/>
        <v>52021</v>
      </c>
      <c r="B1074" s="1">
        <v>44322</v>
      </c>
      <c r="C1074" s="7">
        <f ca="1">IFERROR(__xludf.DUMMYFUNCTION("""COMPUTED_VALUE"""),44322.6458333333)</f>
        <v>44322.645833333299</v>
      </c>
      <c r="D1074">
        <v>13897.55</v>
      </c>
      <c r="E1074">
        <v>13960.8</v>
      </c>
      <c r="F1074">
        <v>13651.2</v>
      </c>
      <c r="G1074">
        <v>13747.75</v>
      </c>
      <c r="H1074">
        <v>0</v>
      </c>
      <c r="I1074" s="8">
        <f t="shared" si="65"/>
        <v>-2.3186281268823272E-3</v>
      </c>
      <c r="J1074" s="8">
        <f t="shared" si="66"/>
        <v>-2.3213203073263115E-3</v>
      </c>
      <c r="K1074" s="8">
        <f t="shared" si="63"/>
        <v>8.1933475778430909E-2</v>
      </c>
    </row>
    <row r="1075" spans="1:11" x14ac:dyDescent="0.25">
      <c r="A1075" t="str">
        <f t="shared" si="64"/>
        <v>52021</v>
      </c>
      <c r="B1075" s="1">
        <v>44323</v>
      </c>
      <c r="C1075" s="7">
        <f ca="1">IFERROR(__xludf.DUMMYFUNCTION("""COMPUTED_VALUE"""),44323.6458333333)</f>
        <v>44323.645833333299</v>
      </c>
      <c r="D1075">
        <v>13799.25</v>
      </c>
      <c r="E1075">
        <v>13924.7</v>
      </c>
      <c r="F1075">
        <v>13718.65</v>
      </c>
      <c r="G1075">
        <v>13747.1</v>
      </c>
      <c r="H1075">
        <v>0</v>
      </c>
      <c r="I1075" s="8">
        <f t="shared" si="65"/>
        <v>-4.728046407587172E-5</v>
      </c>
      <c r="J1075" s="8">
        <f t="shared" si="66"/>
        <v>-4.72815818322455E-5</v>
      </c>
      <c r="K1075" s="8">
        <f t="shared" si="63"/>
        <v>7.9130704408884478E-2</v>
      </c>
    </row>
    <row r="1076" spans="1:11" x14ac:dyDescent="0.25">
      <c r="A1076" t="str">
        <f t="shared" si="64"/>
        <v>52021</v>
      </c>
      <c r="B1076" s="1">
        <v>44326</v>
      </c>
      <c r="C1076" s="7">
        <f ca="1">IFERROR(__xludf.DUMMYFUNCTION("""COMPUTED_VALUE"""),44326.6458333333)</f>
        <v>44326.645833333299</v>
      </c>
      <c r="D1076">
        <v>13965.5</v>
      </c>
      <c r="E1076">
        <v>14228.4</v>
      </c>
      <c r="F1076">
        <v>13861.45</v>
      </c>
      <c r="G1076">
        <v>14131.85</v>
      </c>
      <c r="H1076">
        <v>0</v>
      </c>
      <c r="I1076" s="8">
        <f t="shared" si="65"/>
        <v>2.7987721046620839E-2</v>
      </c>
      <c r="J1076" s="8">
        <f t="shared" si="66"/>
        <v>2.7603222454458998E-2</v>
      </c>
      <c r="K1076" s="8">
        <f t="shared" si="63"/>
        <v>9.1207777215815522E-2</v>
      </c>
    </row>
    <row r="1077" spans="1:11" x14ac:dyDescent="0.25">
      <c r="A1077" t="str">
        <f t="shared" si="64"/>
        <v>52021</v>
      </c>
      <c r="B1077" s="1">
        <v>44327</v>
      </c>
      <c r="C1077" s="7">
        <f ca="1">IFERROR(__xludf.DUMMYFUNCTION("""COMPUTED_VALUE"""),44327.6458333333)</f>
        <v>44327.645833333299</v>
      </c>
      <c r="D1077">
        <v>14112.65</v>
      </c>
      <c r="E1077">
        <v>14282.9</v>
      </c>
      <c r="F1077">
        <v>14013.25</v>
      </c>
      <c r="G1077">
        <v>14066.65</v>
      </c>
      <c r="H1077">
        <v>0</v>
      </c>
      <c r="I1077" s="8">
        <f t="shared" si="65"/>
        <v>-4.6136917671784072E-3</v>
      </c>
      <c r="J1077" s="8">
        <f t="shared" si="66"/>
        <v>-4.624367692648762E-3</v>
      </c>
      <c r="K1077" s="8">
        <f t="shared" si="63"/>
        <v>8.4469200524246446E-2</v>
      </c>
    </row>
    <row r="1078" spans="1:11" x14ac:dyDescent="0.25">
      <c r="A1078" t="str">
        <f t="shared" si="64"/>
        <v>52021</v>
      </c>
      <c r="B1078" s="1">
        <v>44328</v>
      </c>
      <c r="C1078" s="7">
        <f ca="1">IFERROR(__xludf.DUMMYFUNCTION("""COMPUTED_VALUE"""),44328.6458333333)</f>
        <v>44328.645833333299</v>
      </c>
      <c r="D1078">
        <v>14135.1</v>
      </c>
      <c r="E1078">
        <v>14224.5</v>
      </c>
      <c r="F1078">
        <v>14000.1</v>
      </c>
      <c r="G1078">
        <v>14065.05</v>
      </c>
      <c r="H1078">
        <v>0</v>
      </c>
      <c r="I1078" s="8">
        <f t="shared" si="65"/>
        <v>-1.1374421059739959E-4</v>
      </c>
      <c r="J1078" s="8">
        <f t="shared" si="66"/>
        <v>-1.1375067996069486E-4</v>
      </c>
      <c r="K1078" s="8">
        <f t="shared" si="63"/>
        <v>9.7734296953047028E-2</v>
      </c>
    </row>
    <row r="1079" spans="1:11" x14ac:dyDescent="0.25">
      <c r="A1079" t="str">
        <f t="shared" si="64"/>
        <v>52021</v>
      </c>
      <c r="B1079" s="1">
        <v>44330</v>
      </c>
      <c r="C1079" s="7">
        <f ca="1">IFERROR(__xludf.DUMMYFUNCTION("""COMPUTED_VALUE"""),44330.6458333333)</f>
        <v>44330.645833333299</v>
      </c>
      <c r="D1079">
        <v>14141.1</v>
      </c>
      <c r="E1079">
        <v>14252.35</v>
      </c>
      <c r="F1079">
        <v>13848.95</v>
      </c>
      <c r="G1079">
        <v>13885.5</v>
      </c>
      <c r="H1079">
        <v>0</v>
      </c>
      <c r="I1079" s="8">
        <f t="shared" si="65"/>
        <v>-1.2765685155758377E-2</v>
      </c>
      <c r="J1079" s="8">
        <f t="shared" si="66"/>
        <v>-1.284786666583195E-2</v>
      </c>
      <c r="K1079" s="8">
        <f t="shared" si="63"/>
        <v>7.5932447667863778E-2</v>
      </c>
    </row>
    <row r="1080" spans="1:11" x14ac:dyDescent="0.25">
      <c r="A1080" t="str">
        <f t="shared" si="64"/>
        <v>11900</v>
      </c>
      <c r="I1080" s="8">
        <f t="shared" ref="I1080:I1143" si="67">+G1080/G1079-1</f>
        <v>-1</v>
      </c>
      <c r="J1080" s="8" t="e">
        <f t="shared" si="66"/>
        <v>#NUM!</v>
      </c>
      <c r="K1080" s="8">
        <f t="shared" si="63"/>
        <v>-1</v>
      </c>
    </row>
    <row r="1081" spans="1:11" x14ac:dyDescent="0.25">
      <c r="A1081" t="str">
        <f t="shared" si="64"/>
        <v>11900</v>
      </c>
      <c r="I1081" s="8" t="e">
        <f t="shared" si="67"/>
        <v>#DIV/0!</v>
      </c>
      <c r="J1081" s="8" t="e">
        <f t="shared" si="66"/>
        <v>#DIV/0!</v>
      </c>
      <c r="K1081" s="8">
        <f t="shared" si="63"/>
        <v>-1</v>
      </c>
    </row>
    <row r="1082" spans="1:11" x14ac:dyDescent="0.25">
      <c r="A1082" t="str">
        <f t="shared" si="64"/>
        <v>11900</v>
      </c>
      <c r="I1082" s="8" t="e">
        <f t="shared" si="67"/>
        <v>#DIV/0!</v>
      </c>
      <c r="J1082" s="8" t="e">
        <f t="shared" si="66"/>
        <v>#DIV/0!</v>
      </c>
      <c r="K1082" s="8">
        <f t="shared" si="63"/>
        <v>-1</v>
      </c>
    </row>
    <row r="1083" spans="1:11" x14ac:dyDescent="0.25">
      <c r="A1083" t="str">
        <f t="shared" si="64"/>
        <v>11900</v>
      </c>
      <c r="I1083" s="8" t="e">
        <f t="shared" si="67"/>
        <v>#DIV/0!</v>
      </c>
      <c r="J1083" s="8" t="e">
        <f t="shared" si="66"/>
        <v>#DIV/0!</v>
      </c>
      <c r="K1083" s="8">
        <f t="shared" si="63"/>
        <v>-1</v>
      </c>
    </row>
    <row r="1084" spans="1:11" x14ac:dyDescent="0.25">
      <c r="A1084" t="str">
        <f t="shared" si="64"/>
        <v>11900</v>
      </c>
      <c r="I1084" s="8" t="e">
        <f t="shared" si="67"/>
        <v>#DIV/0!</v>
      </c>
      <c r="J1084" s="8" t="e">
        <f t="shared" si="66"/>
        <v>#DIV/0!</v>
      </c>
      <c r="K1084" s="8">
        <f t="shared" si="63"/>
        <v>-1</v>
      </c>
    </row>
    <row r="1085" spans="1:11" x14ac:dyDescent="0.25">
      <c r="A1085" t="str">
        <f t="shared" si="64"/>
        <v>11900</v>
      </c>
      <c r="I1085" s="8" t="e">
        <f t="shared" si="67"/>
        <v>#DIV/0!</v>
      </c>
      <c r="J1085" s="8" t="e">
        <f t="shared" si="66"/>
        <v>#DIV/0!</v>
      </c>
      <c r="K1085" s="8">
        <f t="shared" si="63"/>
        <v>-1</v>
      </c>
    </row>
    <row r="1086" spans="1:11" x14ac:dyDescent="0.25">
      <c r="A1086" t="str">
        <f t="shared" si="64"/>
        <v>11900</v>
      </c>
      <c r="I1086" s="8" t="e">
        <f t="shared" si="67"/>
        <v>#DIV/0!</v>
      </c>
      <c r="J1086" s="8" t="e">
        <f t="shared" si="66"/>
        <v>#DIV/0!</v>
      </c>
      <c r="K1086" s="8">
        <f t="shared" si="63"/>
        <v>-1</v>
      </c>
    </row>
    <row r="1087" spans="1:11" x14ac:dyDescent="0.25">
      <c r="A1087" t="str">
        <f t="shared" si="64"/>
        <v>11900</v>
      </c>
      <c r="I1087" s="8" t="e">
        <f t="shared" si="67"/>
        <v>#DIV/0!</v>
      </c>
      <c r="J1087" s="8" t="e">
        <f t="shared" si="66"/>
        <v>#DIV/0!</v>
      </c>
      <c r="K1087" s="8">
        <f t="shared" si="63"/>
        <v>-1</v>
      </c>
    </row>
    <row r="1088" spans="1:11" x14ac:dyDescent="0.25">
      <c r="A1088" t="str">
        <f t="shared" si="64"/>
        <v>11900</v>
      </c>
      <c r="I1088" s="8" t="e">
        <f t="shared" si="67"/>
        <v>#DIV/0!</v>
      </c>
      <c r="J1088" s="8" t="e">
        <f t="shared" si="66"/>
        <v>#DIV/0!</v>
      </c>
      <c r="K1088" s="8">
        <f t="shared" ref="K1088:K1151" si="68">+G1088/G1027-1</f>
        <v>-1</v>
      </c>
    </row>
    <row r="1089" spans="1:11" x14ac:dyDescent="0.25">
      <c r="A1089" t="str">
        <f t="shared" si="64"/>
        <v>11900</v>
      </c>
      <c r="I1089" s="8" t="e">
        <f t="shared" si="67"/>
        <v>#DIV/0!</v>
      </c>
      <c r="J1089" s="8" t="e">
        <f t="shared" si="66"/>
        <v>#DIV/0!</v>
      </c>
      <c r="K1089" s="8">
        <f t="shared" si="68"/>
        <v>-1</v>
      </c>
    </row>
    <row r="1090" spans="1:11" x14ac:dyDescent="0.25">
      <c r="A1090" t="str">
        <f t="shared" si="64"/>
        <v>11900</v>
      </c>
      <c r="I1090" s="8" t="e">
        <f t="shared" si="67"/>
        <v>#DIV/0!</v>
      </c>
      <c r="J1090" s="8" t="e">
        <f t="shared" si="66"/>
        <v>#DIV/0!</v>
      </c>
      <c r="K1090" s="8">
        <f t="shared" si="68"/>
        <v>-1</v>
      </c>
    </row>
    <row r="1091" spans="1:11" x14ac:dyDescent="0.25">
      <c r="A1091" t="str">
        <f t="shared" ref="A1091:A1154" si="69">+MONTH(B1091)&amp;YEAR(B1091)</f>
        <v>11900</v>
      </c>
      <c r="I1091" s="8" t="e">
        <f t="shared" si="67"/>
        <v>#DIV/0!</v>
      </c>
      <c r="J1091" s="8" t="e">
        <f t="shared" si="66"/>
        <v>#DIV/0!</v>
      </c>
      <c r="K1091" s="8">
        <f t="shared" si="68"/>
        <v>-1</v>
      </c>
    </row>
    <row r="1092" spans="1:11" x14ac:dyDescent="0.25">
      <c r="A1092" t="str">
        <f t="shared" si="69"/>
        <v>11900</v>
      </c>
      <c r="I1092" s="8" t="e">
        <f t="shared" si="67"/>
        <v>#DIV/0!</v>
      </c>
      <c r="J1092" s="8" t="e">
        <f t="shared" ref="J1092:J1155" si="70">+LN(1+I1092)</f>
        <v>#DIV/0!</v>
      </c>
      <c r="K1092" s="8">
        <f t="shared" si="68"/>
        <v>-1</v>
      </c>
    </row>
    <row r="1093" spans="1:11" x14ac:dyDescent="0.25">
      <c r="A1093" t="str">
        <f t="shared" si="69"/>
        <v>11900</v>
      </c>
      <c r="I1093" s="8" t="e">
        <f t="shared" si="67"/>
        <v>#DIV/0!</v>
      </c>
      <c r="J1093" s="8" t="e">
        <f t="shared" si="70"/>
        <v>#DIV/0!</v>
      </c>
      <c r="K1093" s="8">
        <f t="shared" si="68"/>
        <v>-1</v>
      </c>
    </row>
    <row r="1094" spans="1:11" x14ac:dyDescent="0.25">
      <c r="A1094" t="str">
        <f t="shared" si="69"/>
        <v>11900</v>
      </c>
      <c r="I1094" s="8" t="e">
        <f t="shared" si="67"/>
        <v>#DIV/0!</v>
      </c>
      <c r="J1094" s="8" t="e">
        <f t="shared" si="70"/>
        <v>#DIV/0!</v>
      </c>
      <c r="K1094" s="8">
        <f t="shared" si="68"/>
        <v>-1</v>
      </c>
    </row>
    <row r="1095" spans="1:11" x14ac:dyDescent="0.25">
      <c r="A1095" t="str">
        <f t="shared" si="69"/>
        <v>11900</v>
      </c>
      <c r="I1095" s="8" t="e">
        <f t="shared" si="67"/>
        <v>#DIV/0!</v>
      </c>
      <c r="J1095" s="8" t="e">
        <f t="shared" si="70"/>
        <v>#DIV/0!</v>
      </c>
      <c r="K1095" s="8">
        <f t="shared" si="68"/>
        <v>-1</v>
      </c>
    </row>
    <row r="1096" spans="1:11" x14ac:dyDescent="0.25">
      <c r="A1096" t="str">
        <f t="shared" si="69"/>
        <v>11900</v>
      </c>
      <c r="I1096" s="8" t="e">
        <f t="shared" si="67"/>
        <v>#DIV/0!</v>
      </c>
      <c r="J1096" s="8" t="e">
        <f t="shared" si="70"/>
        <v>#DIV/0!</v>
      </c>
      <c r="K1096" s="8">
        <f t="shared" si="68"/>
        <v>-1</v>
      </c>
    </row>
    <row r="1097" spans="1:11" x14ac:dyDescent="0.25">
      <c r="A1097" t="str">
        <f t="shared" si="69"/>
        <v>11900</v>
      </c>
      <c r="I1097" s="8" t="e">
        <f t="shared" si="67"/>
        <v>#DIV/0!</v>
      </c>
      <c r="J1097" s="8" t="e">
        <f t="shared" si="70"/>
        <v>#DIV/0!</v>
      </c>
      <c r="K1097" s="8">
        <f t="shared" si="68"/>
        <v>-1</v>
      </c>
    </row>
    <row r="1098" spans="1:11" x14ac:dyDescent="0.25">
      <c r="A1098" t="str">
        <f t="shared" si="69"/>
        <v>11900</v>
      </c>
      <c r="I1098" s="8" t="e">
        <f t="shared" si="67"/>
        <v>#DIV/0!</v>
      </c>
      <c r="J1098" s="8" t="e">
        <f t="shared" si="70"/>
        <v>#DIV/0!</v>
      </c>
      <c r="K1098" s="8">
        <f t="shared" si="68"/>
        <v>-1</v>
      </c>
    </row>
    <row r="1099" spans="1:11" x14ac:dyDescent="0.25">
      <c r="A1099" t="str">
        <f t="shared" si="69"/>
        <v>11900</v>
      </c>
      <c r="I1099" s="8" t="e">
        <f t="shared" si="67"/>
        <v>#DIV/0!</v>
      </c>
      <c r="J1099" s="8" t="e">
        <f t="shared" si="70"/>
        <v>#DIV/0!</v>
      </c>
      <c r="K1099" s="8">
        <f t="shared" si="68"/>
        <v>-1</v>
      </c>
    </row>
    <row r="1100" spans="1:11" x14ac:dyDescent="0.25">
      <c r="A1100" t="str">
        <f t="shared" si="69"/>
        <v>11900</v>
      </c>
      <c r="I1100" s="8" t="e">
        <f t="shared" si="67"/>
        <v>#DIV/0!</v>
      </c>
      <c r="J1100" s="8" t="e">
        <f t="shared" si="70"/>
        <v>#DIV/0!</v>
      </c>
      <c r="K1100" s="8">
        <f t="shared" si="68"/>
        <v>-1</v>
      </c>
    </row>
    <row r="1101" spans="1:11" x14ac:dyDescent="0.25">
      <c r="A1101" t="str">
        <f t="shared" si="69"/>
        <v>11900</v>
      </c>
      <c r="I1101" s="8" t="e">
        <f t="shared" si="67"/>
        <v>#DIV/0!</v>
      </c>
      <c r="J1101" s="8" t="e">
        <f t="shared" si="70"/>
        <v>#DIV/0!</v>
      </c>
      <c r="K1101" s="8">
        <f t="shared" si="68"/>
        <v>-1</v>
      </c>
    </row>
    <row r="1102" spans="1:11" x14ac:dyDescent="0.25">
      <c r="A1102" t="str">
        <f t="shared" si="69"/>
        <v>11900</v>
      </c>
      <c r="I1102" s="8" t="e">
        <f t="shared" si="67"/>
        <v>#DIV/0!</v>
      </c>
      <c r="J1102" s="8" t="e">
        <f t="shared" si="70"/>
        <v>#DIV/0!</v>
      </c>
      <c r="K1102" s="8">
        <f t="shared" si="68"/>
        <v>-1</v>
      </c>
    </row>
    <row r="1103" spans="1:11" x14ac:dyDescent="0.25">
      <c r="A1103" t="str">
        <f t="shared" si="69"/>
        <v>11900</v>
      </c>
      <c r="I1103" s="8" t="e">
        <f t="shared" si="67"/>
        <v>#DIV/0!</v>
      </c>
      <c r="J1103" s="8" t="e">
        <f t="shared" si="70"/>
        <v>#DIV/0!</v>
      </c>
      <c r="K1103" s="8">
        <f t="shared" si="68"/>
        <v>-1</v>
      </c>
    </row>
    <row r="1104" spans="1:11" x14ac:dyDescent="0.25">
      <c r="A1104" t="str">
        <f t="shared" si="69"/>
        <v>11900</v>
      </c>
      <c r="I1104" s="8" t="e">
        <f t="shared" si="67"/>
        <v>#DIV/0!</v>
      </c>
      <c r="J1104" s="8" t="e">
        <f t="shared" si="70"/>
        <v>#DIV/0!</v>
      </c>
      <c r="K1104" s="8">
        <f t="shared" si="68"/>
        <v>-1</v>
      </c>
    </row>
    <row r="1105" spans="1:11" x14ac:dyDescent="0.25">
      <c r="A1105" t="str">
        <f t="shared" si="69"/>
        <v>11900</v>
      </c>
      <c r="I1105" s="8" t="e">
        <f t="shared" si="67"/>
        <v>#DIV/0!</v>
      </c>
      <c r="J1105" s="8" t="e">
        <f t="shared" si="70"/>
        <v>#DIV/0!</v>
      </c>
      <c r="K1105" s="8">
        <f t="shared" si="68"/>
        <v>-1</v>
      </c>
    </row>
    <row r="1106" spans="1:11" x14ac:dyDescent="0.25">
      <c r="A1106" t="str">
        <f t="shared" si="69"/>
        <v>11900</v>
      </c>
      <c r="I1106" s="8" t="e">
        <f t="shared" si="67"/>
        <v>#DIV/0!</v>
      </c>
      <c r="J1106" s="8" t="e">
        <f t="shared" si="70"/>
        <v>#DIV/0!</v>
      </c>
      <c r="K1106" s="8">
        <f t="shared" si="68"/>
        <v>-1</v>
      </c>
    </row>
    <row r="1107" spans="1:11" x14ac:dyDescent="0.25">
      <c r="A1107" t="str">
        <f t="shared" si="69"/>
        <v>11900</v>
      </c>
      <c r="I1107" s="8" t="e">
        <f t="shared" si="67"/>
        <v>#DIV/0!</v>
      </c>
      <c r="J1107" s="8" t="e">
        <f t="shared" si="70"/>
        <v>#DIV/0!</v>
      </c>
      <c r="K1107" s="8">
        <f t="shared" si="68"/>
        <v>-1</v>
      </c>
    </row>
    <row r="1108" spans="1:11" x14ac:dyDescent="0.25">
      <c r="A1108" t="str">
        <f t="shared" si="69"/>
        <v>11900</v>
      </c>
      <c r="I1108" s="8" t="e">
        <f t="shared" si="67"/>
        <v>#DIV/0!</v>
      </c>
      <c r="J1108" s="8" t="e">
        <f t="shared" si="70"/>
        <v>#DIV/0!</v>
      </c>
      <c r="K1108" s="8">
        <f t="shared" si="68"/>
        <v>-1</v>
      </c>
    </row>
    <row r="1109" spans="1:11" x14ac:dyDescent="0.25">
      <c r="A1109" t="str">
        <f t="shared" si="69"/>
        <v>11900</v>
      </c>
      <c r="I1109" s="8" t="e">
        <f t="shared" si="67"/>
        <v>#DIV/0!</v>
      </c>
      <c r="J1109" s="8" t="e">
        <f t="shared" si="70"/>
        <v>#DIV/0!</v>
      </c>
      <c r="K1109" s="8">
        <f t="shared" si="68"/>
        <v>-1</v>
      </c>
    </row>
    <row r="1110" spans="1:11" x14ac:dyDescent="0.25">
      <c r="A1110" t="str">
        <f t="shared" si="69"/>
        <v>11900</v>
      </c>
      <c r="I1110" s="8" t="e">
        <f t="shared" si="67"/>
        <v>#DIV/0!</v>
      </c>
      <c r="J1110" s="8" t="e">
        <f t="shared" si="70"/>
        <v>#DIV/0!</v>
      </c>
      <c r="K1110" s="8">
        <f t="shared" si="68"/>
        <v>-1</v>
      </c>
    </row>
    <row r="1111" spans="1:11" x14ac:dyDescent="0.25">
      <c r="A1111" t="str">
        <f t="shared" si="69"/>
        <v>11900</v>
      </c>
      <c r="I1111" s="8" t="e">
        <f t="shared" si="67"/>
        <v>#DIV/0!</v>
      </c>
      <c r="J1111" s="8" t="e">
        <f t="shared" si="70"/>
        <v>#DIV/0!</v>
      </c>
      <c r="K1111" s="8">
        <f t="shared" si="68"/>
        <v>-1</v>
      </c>
    </row>
    <row r="1112" spans="1:11" x14ac:dyDescent="0.25">
      <c r="A1112" t="str">
        <f t="shared" si="69"/>
        <v>11900</v>
      </c>
      <c r="I1112" s="8" t="e">
        <f t="shared" si="67"/>
        <v>#DIV/0!</v>
      </c>
      <c r="J1112" s="8" t="e">
        <f t="shared" si="70"/>
        <v>#DIV/0!</v>
      </c>
      <c r="K1112" s="8">
        <f t="shared" si="68"/>
        <v>-1</v>
      </c>
    </row>
    <row r="1113" spans="1:11" x14ac:dyDescent="0.25">
      <c r="A1113" t="str">
        <f t="shared" si="69"/>
        <v>11900</v>
      </c>
      <c r="I1113" s="8" t="e">
        <f t="shared" si="67"/>
        <v>#DIV/0!</v>
      </c>
      <c r="J1113" s="8" t="e">
        <f t="shared" si="70"/>
        <v>#DIV/0!</v>
      </c>
      <c r="K1113" s="8">
        <f t="shared" si="68"/>
        <v>-1</v>
      </c>
    </row>
    <row r="1114" spans="1:11" x14ac:dyDescent="0.25">
      <c r="A1114" t="str">
        <f t="shared" si="69"/>
        <v>11900</v>
      </c>
      <c r="I1114" s="8" t="e">
        <f t="shared" si="67"/>
        <v>#DIV/0!</v>
      </c>
      <c r="J1114" s="8" t="e">
        <f t="shared" si="70"/>
        <v>#DIV/0!</v>
      </c>
      <c r="K1114" s="8">
        <f t="shared" si="68"/>
        <v>-1</v>
      </c>
    </row>
    <row r="1115" spans="1:11" x14ac:dyDescent="0.25">
      <c r="A1115" t="str">
        <f t="shared" si="69"/>
        <v>11900</v>
      </c>
      <c r="I1115" s="8" t="e">
        <f t="shared" si="67"/>
        <v>#DIV/0!</v>
      </c>
      <c r="J1115" s="8" t="e">
        <f t="shared" si="70"/>
        <v>#DIV/0!</v>
      </c>
      <c r="K1115" s="8">
        <f t="shared" si="68"/>
        <v>-1</v>
      </c>
    </row>
    <row r="1116" spans="1:11" x14ac:dyDescent="0.25">
      <c r="A1116" t="str">
        <f t="shared" si="69"/>
        <v>11900</v>
      </c>
      <c r="I1116" s="8" t="e">
        <f t="shared" si="67"/>
        <v>#DIV/0!</v>
      </c>
      <c r="J1116" s="8" t="e">
        <f t="shared" si="70"/>
        <v>#DIV/0!</v>
      </c>
      <c r="K1116" s="8">
        <f t="shared" si="68"/>
        <v>-1</v>
      </c>
    </row>
    <row r="1117" spans="1:11" x14ac:dyDescent="0.25">
      <c r="A1117" t="str">
        <f t="shared" si="69"/>
        <v>11900</v>
      </c>
      <c r="I1117" s="8" t="e">
        <f t="shared" si="67"/>
        <v>#DIV/0!</v>
      </c>
      <c r="J1117" s="8" t="e">
        <f t="shared" si="70"/>
        <v>#DIV/0!</v>
      </c>
      <c r="K1117" s="8">
        <f t="shared" si="68"/>
        <v>-1</v>
      </c>
    </row>
    <row r="1118" spans="1:11" x14ac:dyDescent="0.25">
      <c r="A1118" t="str">
        <f t="shared" si="69"/>
        <v>11900</v>
      </c>
      <c r="I1118" s="8" t="e">
        <f t="shared" si="67"/>
        <v>#DIV/0!</v>
      </c>
      <c r="J1118" s="8" t="e">
        <f t="shared" si="70"/>
        <v>#DIV/0!</v>
      </c>
      <c r="K1118" s="8">
        <f t="shared" si="68"/>
        <v>-1</v>
      </c>
    </row>
    <row r="1119" spans="1:11" x14ac:dyDescent="0.25">
      <c r="A1119" t="str">
        <f t="shared" si="69"/>
        <v>11900</v>
      </c>
      <c r="I1119" s="8" t="e">
        <f t="shared" si="67"/>
        <v>#DIV/0!</v>
      </c>
      <c r="J1119" s="8" t="e">
        <f t="shared" si="70"/>
        <v>#DIV/0!</v>
      </c>
      <c r="K1119" s="8">
        <f t="shared" si="68"/>
        <v>-1</v>
      </c>
    </row>
    <row r="1120" spans="1:11" x14ac:dyDescent="0.25">
      <c r="A1120" t="str">
        <f t="shared" si="69"/>
        <v>11900</v>
      </c>
      <c r="I1120" s="8" t="e">
        <f t="shared" si="67"/>
        <v>#DIV/0!</v>
      </c>
      <c r="J1120" s="8" t="e">
        <f t="shared" si="70"/>
        <v>#DIV/0!</v>
      </c>
      <c r="K1120" s="8">
        <f t="shared" si="68"/>
        <v>-1</v>
      </c>
    </row>
    <row r="1121" spans="1:11" x14ac:dyDescent="0.25">
      <c r="A1121" t="str">
        <f t="shared" si="69"/>
        <v>11900</v>
      </c>
      <c r="I1121" s="8" t="e">
        <f t="shared" si="67"/>
        <v>#DIV/0!</v>
      </c>
      <c r="J1121" s="8" t="e">
        <f t="shared" si="70"/>
        <v>#DIV/0!</v>
      </c>
      <c r="K1121" s="8">
        <f t="shared" si="68"/>
        <v>-1</v>
      </c>
    </row>
    <row r="1122" spans="1:11" x14ac:dyDescent="0.25">
      <c r="A1122" t="str">
        <f t="shared" si="69"/>
        <v>11900</v>
      </c>
      <c r="I1122" s="8" t="e">
        <f t="shared" si="67"/>
        <v>#DIV/0!</v>
      </c>
      <c r="J1122" s="8" t="e">
        <f t="shared" si="70"/>
        <v>#DIV/0!</v>
      </c>
      <c r="K1122" s="8">
        <f t="shared" si="68"/>
        <v>-1</v>
      </c>
    </row>
    <row r="1123" spans="1:11" x14ac:dyDescent="0.25">
      <c r="A1123" t="str">
        <f t="shared" si="69"/>
        <v>11900</v>
      </c>
      <c r="I1123" s="8" t="e">
        <f t="shared" si="67"/>
        <v>#DIV/0!</v>
      </c>
      <c r="J1123" s="8" t="e">
        <f t="shared" si="70"/>
        <v>#DIV/0!</v>
      </c>
      <c r="K1123" s="8">
        <f t="shared" si="68"/>
        <v>-1</v>
      </c>
    </row>
    <row r="1124" spans="1:11" x14ac:dyDescent="0.25">
      <c r="A1124" t="str">
        <f t="shared" si="69"/>
        <v>11900</v>
      </c>
      <c r="I1124" s="8" t="e">
        <f t="shared" si="67"/>
        <v>#DIV/0!</v>
      </c>
      <c r="J1124" s="8" t="e">
        <f t="shared" si="70"/>
        <v>#DIV/0!</v>
      </c>
      <c r="K1124" s="8">
        <f t="shared" si="68"/>
        <v>-1</v>
      </c>
    </row>
    <row r="1125" spans="1:11" x14ac:dyDescent="0.25">
      <c r="A1125" t="str">
        <f t="shared" si="69"/>
        <v>11900</v>
      </c>
      <c r="I1125" s="8" t="e">
        <f t="shared" si="67"/>
        <v>#DIV/0!</v>
      </c>
      <c r="J1125" s="8" t="e">
        <f t="shared" si="70"/>
        <v>#DIV/0!</v>
      </c>
      <c r="K1125" s="8">
        <f t="shared" si="68"/>
        <v>-1</v>
      </c>
    </row>
    <row r="1126" spans="1:11" x14ac:dyDescent="0.25">
      <c r="A1126" t="str">
        <f t="shared" si="69"/>
        <v>11900</v>
      </c>
      <c r="I1126" s="8" t="e">
        <f t="shared" si="67"/>
        <v>#DIV/0!</v>
      </c>
      <c r="J1126" s="8" t="e">
        <f t="shared" si="70"/>
        <v>#DIV/0!</v>
      </c>
      <c r="K1126" s="8">
        <f t="shared" si="68"/>
        <v>-1</v>
      </c>
    </row>
    <row r="1127" spans="1:11" x14ac:dyDescent="0.25">
      <c r="A1127" t="str">
        <f t="shared" si="69"/>
        <v>11900</v>
      </c>
      <c r="I1127" s="8" t="e">
        <f t="shared" si="67"/>
        <v>#DIV/0!</v>
      </c>
      <c r="J1127" s="8" t="e">
        <f t="shared" si="70"/>
        <v>#DIV/0!</v>
      </c>
      <c r="K1127" s="8">
        <f t="shared" si="68"/>
        <v>-1</v>
      </c>
    </row>
    <row r="1128" spans="1:11" x14ac:dyDescent="0.25">
      <c r="A1128" t="str">
        <f t="shared" si="69"/>
        <v>11900</v>
      </c>
      <c r="I1128" s="8" t="e">
        <f t="shared" si="67"/>
        <v>#DIV/0!</v>
      </c>
      <c r="J1128" s="8" t="e">
        <f t="shared" si="70"/>
        <v>#DIV/0!</v>
      </c>
      <c r="K1128" s="8">
        <f t="shared" si="68"/>
        <v>-1</v>
      </c>
    </row>
    <row r="1129" spans="1:11" x14ac:dyDescent="0.25">
      <c r="A1129" t="str">
        <f t="shared" si="69"/>
        <v>11900</v>
      </c>
      <c r="I1129" s="8" t="e">
        <f t="shared" si="67"/>
        <v>#DIV/0!</v>
      </c>
      <c r="J1129" s="8" t="e">
        <f t="shared" si="70"/>
        <v>#DIV/0!</v>
      </c>
      <c r="K1129" s="8">
        <f t="shared" si="68"/>
        <v>-1</v>
      </c>
    </row>
    <row r="1130" spans="1:11" x14ac:dyDescent="0.25">
      <c r="A1130" t="str">
        <f t="shared" si="69"/>
        <v>11900</v>
      </c>
      <c r="I1130" s="8" t="e">
        <f t="shared" si="67"/>
        <v>#DIV/0!</v>
      </c>
      <c r="J1130" s="8" t="e">
        <f t="shared" si="70"/>
        <v>#DIV/0!</v>
      </c>
      <c r="K1130" s="8">
        <f t="shared" si="68"/>
        <v>-1</v>
      </c>
    </row>
    <row r="1131" spans="1:11" x14ac:dyDescent="0.25">
      <c r="A1131" t="str">
        <f t="shared" si="69"/>
        <v>11900</v>
      </c>
      <c r="I1131" s="8" t="e">
        <f t="shared" si="67"/>
        <v>#DIV/0!</v>
      </c>
      <c r="J1131" s="8" t="e">
        <f t="shared" si="70"/>
        <v>#DIV/0!</v>
      </c>
      <c r="K1131" s="8">
        <f t="shared" si="68"/>
        <v>-1</v>
      </c>
    </row>
    <row r="1132" spans="1:11" x14ac:dyDescent="0.25">
      <c r="A1132" t="str">
        <f t="shared" si="69"/>
        <v>11900</v>
      </c>
      <c r="I1132" s="8" t="e">
        <f t="shared" si="67"/>
        <v>#DIV/0!</v>
      </c>
      <c r="J1132" s="8" t="e">
        <f t="shared" si="70"/>
        <v>#DIV/0!</v>
      </c>
      <c r="K1132" s="8">
        <f t="shared" si="68"/>
        <v>-1</v>
      </c>
    </row>
    <row r="1133" spans="1:11" x14ac:dyDescent="0.25">
      <c r="A1133" t="str">
        <f t="shared" si="69"/>
        <v>11900</v>
      </c>
      <c r="I1133" s="8" t="e">
        <f t="shared" si="67"/>
        <v>#DIV/0!</v>
      </c>
      <c r="J1133" s="8" t="e">
        <f t="shared" si="70"/>
        <v>#DIV/0!</v>
      </c>
      <c r="K1133" s="8">
        <f t="shared" si="68"/>
        <v>-1</v>
      </c>
    </row>
    <row r="1134" spans="1:11" x14ac:dyDescent="0.25">
      <c r="A1134" t="str">
        <f t="shared" si="69"/>
        <v>11900</v>
      </c>
      <c r="I1134" s="8" t="e">
        <f t="shared" si="67"/>
        <v>#DIV/0!</v>
      </c>
      <c r="J1134" s="8" t="e">
        <f t="shared" si="70"/>
        <v>#DIV/0!</v>
      </c>
      <c r="K1134" s="8">
        <f t="shared" si="68"/>
        <v>-1</v>
      </c>
    </row>
    <row r="1135" spans="1:11" x14ac:dyDescent="0.25">
      <c r="A1135" t="str">
        <f t="shared" si="69"/>
        <v>11900</v>
      </c>
      <c r="I1135" s="8" t="e">
        <f t="shared" si="67"/>
        <v>#DIV/0!</v>
      </c>
      <c r="J1135" s="8" t="e">
        <f t="shared" si="70"/>
        <v>#DIV/0!</v>
      </c>
      <c r="K1135" s="8">
        <f t="shared" si="68"/>
        <v>-1</v>
      </c>
    </row>
    <row r="1136" spans="1:11" x14ac:dyDescent="0.25">
      <c r="A1136" t="str">
        <f t="shared" si="69"/>
        <v>11900</v>
      </c>
      <c r="I1136" s="8" t="e">
        <f t="shared" si="67"/>
        <v>#DIV/0!</v>
      </c>
      <c r="J1136" s="8" t="e">
        <f t="shared" si="70"/>
        <v>#DIV/0!</v>
      </c>
      <c r="K1136" s="8">
        <f t="shared" si="68"/>
        <v>-1</v>
      </c>
    </row>
    <row r="1137" spans="1:11" x14ac:dyDescent="0.25">
      <c r="A1137" t="str">
        <f t="shared" si="69"/>
        <v>11900</v>
      </c>
      <c r="I1137" s="8" t="e">
        <f t="shared" si="67"/>
        <v>#DIV/0!</v>
      </c>
      <c r="J1137" s="8" t="e">
        <f t="shared" si="70"/>
        <v>#DIV/0!</v>
      </c>
      <c r="K1137" s="8">
        <f t="shared" si="68"/>
        <v>-1</v>
      </c>
    </row>
    <row r="1138" spans="1:11" x14ac:dyDescent="0.25">
      <c r="A1138" t="str">
        <f t="shared" si="69"/>
        <v>11900</v>
      </c>
      <c r="I1138" s="8" t="e">
        <f t="shared" si="67"/>
        <v>#DIV/0!</v>
      </c>
      <c r="J1138" s="8" t="e">
        <f t="shared" si="70"/>
        <v>#DIV/0!</v>
      </c>
      <c r="K1138" s="8">
        <f t="shared" si="68"/>
        <v>-1</v>
      </c>
    </row>
    <row r="1139" spans="1:11" x14ac:dyDescent="0.25">
      <c r="A1139" t="str">
        <f t="shared" si="69"/>
        <v>11900</v>
      </c>
      <c r="I1139" s="8" t="e">
        <f t="shared" si="67"/>
        <v>#DIV/0!</v>
      </c>
      <c r="J1139" s="8" t="e">
        <f t="shared" si="70"/>
        <v>#DIV/0!</v>
      </c>
      <c r="K1139" s="8">
        <f t="shared" si="68"/>
        <v>-1</v>
      </c>
    </row>
    <row r="1140" spans="1:11" x14ac:dyDescent="0.25">
      <c r="A1140" t="str">
        <f t="shared" si="69"/>
        <v>11900</v>
      </c>
      <c r="I1140" s="8" t="e">
        <f t="shared" si="67"/>
        <v>#DIV/0!</v>
      </c>
      <c r="J1140" s="8" t="e">
        <f t="shared" si="70"/>
        <v>#DIV/0!</v>
      </c>
      <c r="K1140" s="8">
        <f t="shared" si="68"/>
        <v>-1</v>
      </c>
    </row>
    <row r="1141" spans="1:11" x14ac:dyDescent="0.25">
      <c r="A1141" t="str">
        <f t="shared" si="69"/>
        <v>11900</v>
      </c>
      <c r="I1141" s="8" t="e">
        <f t="shared" si="67"/>
        <v>#DIV/0!</v>
      </c>
      <c r="J1141" s="8" t="e">
        <f t="shared" si="70"/>
        <v>#DIV/0!</v>
      </c>
      <c r="K1141" s="8" t="e">
        <f t="shared" si="68"/>
        <v>#DIV/0!</v>
      </c>
    </row>
    <row r="1142" spans="1:11" x14ac:dyDescent="0.25">
      <c r="A1142" t="str">
        <f t="shared" si="69"/>
        <v>11900</v>
      </c>
      <c r="I1142" s="8" t="e">
        <f t="shared" si="67"/>
        <v>#DIV/0!</v>
      </c>
      <c r="J1142" s="8" t="e">
        <f t="shared" si="70"/>
        <v>#DIV/0!</v>
      </c>
      <c r="K1142" s="8" t="e">
        <f t="shared" si="68"/>
        <v>#DIV/0!</v>
      </c>
    </row>
    <row r="1143" spans="1:11" x14ac:dyDescent="0.25">
      <c r="A1143" t="str">
        <f t="shared" si="69"/>
        <v>11900</v>
      </c>
      <c r="I1143" s="8" t="e">
        <f t="shared" si="67"/>
        <v>#DIV/0!</v>
      </c>
      <c r="J1143" s="8" t="e">
        <f t="shared" si="70"/>
        <v>#DIV/0!</v>
      </c>
      <c r="K1143" s="8" t="e">
        <f t="shared" si="68"/>
        <v>#DIV/0!</v>
      </c>
    </row>
    <row r="1144" spans="1:11" x14ac:dyDescent="0.25">
      <c r="A1144" t="str">
        <f t="shared" si="69"/>
        <v>11900</v>
      </c>
      <c r="I1144" s="8" t="e">
        <f t="shared" ref="I1144:I1207" si="71">+G1144/G1143-1</f>
        <v>#DIV/0!</v>
      </c>
      <c r="J1144" s="8" t="e">
        <f t="shared" si="70"/>
        <v>#DIV/0!</v>
      </c>
      <c r="K1144" s="8" t="e">
        <f t="shared" si="68"/>
        <v>#DIV/0!</v>
      </c>
    </row>
    <row r="1145" spans="1:11" x14ac:dyDescent="0.25">
      <c r="A1145" t="str">
        <f t="shared" si="69"/>
        <v>11900</v>
      </c>
      <c r="I1145" s="8" t="e">
        <f t="shared" si="71"/>
        <v>#DIV/0!</v>
      </c>
      <c r="J1145" s="8" t="e">
        <f t="shared" si="70"/>
        <v>#DIV/0!</v>
      </c>
      <c r="K1145" s="8" t="e">
        <f t="shared" si="68"/>
        <v>#DIV/0!</v>
      </c>
    </row>
    <row r="1146" spans="1:11" x14ac:dyDescent="0.25">
      <c r="A1146" t="str">
        <f t="shared" si="69"/>
        <v>11900</v>
      </c>
      <c r="I1146" s="8" t="e">
        <f t="shared" si="71"/>
        <v>#DIV/0!</v>
      </c>
      <c r="J1146" s="8" t="e">
        <f t="shared" si="70"/>
        <v>#DIV/0!</v>
      </c>
      <c r="K1146" s="8" t="e">
        <f t="shared" si="68"/>
        <v>#DIV/0!</v>
      </c>
    </row>
    <row r="1147" spans="1:11" x14ac:dyDescent="0.25">
      <c r="A1147" t="str">
        <f t="shared" si="69"/>
        <v>11900</v>
      </c>
      <c r="I1147" s="8" t="e">
        <f t="shared" si="71"/>
        <v>#DIV/0!</v>
      </c>
      <c r="J1147" s="8" t="e">
        <f t="shared" si="70"/>
        <v>#DIV/0!</v>
      </c>
      <c r="K1147" s="8" t="e">
        <f t="shared" si="68"/>
        <v>#DIV/0!</v>
      </c>
    </row>
    <row r="1148" spans="1:11" x14ac:dyDescent="0.25">
      <c r="A1148" t="str">
        <f t="shared" si="69"/>
        <v>11900</v>
      </c>
      <c r="I1148" s="8" t="e">
        <f t="shared" si="71"/>
        <v>#DIV/0!</v>
      </c>
      <c r="J1148" s="8" t="e">
        <f t="shared" si="70"/>
        <v>#DIV/0!</v>
      </c>
      <c r="K1148" s="8" t="e">
        <f t="shared" si="68"/>
        <v>#DIV/0!</v>
      </c>
    </row>
    <row r="1149" spans="1:11" x14ac:dyDescent="0.25">
      <c r="A1149" t="str">
        <f t="shared" si="69"/>
        <v>11900</v>
      </c>
      <c r="I1149" s="8" t="e">
        <f t="shared" si="71"/>
        <v>#DIV/0!</v>
      </c>
      <c r="J1149" s="8" t="e">
        <f t="shared" si="70"/>
        <v>#DIV/0!</v>
      </c>
      <c r="K1149" s="8" t="e">
        <f t="shared" si="68"/>
        <v>#DIV/0!</v>
      </c>
    </row>
    <row r="1150" spans="1:11" x14ac:dyDescent="0.25">
      <c r="A1150" t="str">
        <f t="shared" si="69"/>
        <v>11900</v>
      </c>
      <c r="I1150" s="8" t="e">
        <f t="shared" si="71"/>
        <v>#DIV/0!</v>
      </c>
      <c r="J1150" s="8" t="e">
        <f t="shared" si="70"/>
        <v>#DIV/0!</v>
      </c>
      <c r="K1150" s="8" t="e">
        <f t="shared" si="68"/>
        <v>#DIV/0!</v>
      </c>
    </row>
    <row r="1151" spans="1:11" x14ac:dyDescent="0.25">
      <c r="A1151" t="str">
        <f t="shared" si="69"/>
        <v>11900</v>
      </c>
      <c r="I1151" s="8" t="e">
        <f t="shared" si="71"/>
        <v>#DIV/0!</v>
      </c>
      <c r="J1151" s="8" t="e">
        <f t="shared" si="70"/>
        <v>#DIV/0!</v>
      </c>
      <c r="K1151" s="8" t="e">
        <f t="shared" si="68"/>
        <v>#DIV/0!</v>
      </c>
    </row>
    <row r="1152" spans="1:11" x14ac:dyDescent="0.25">
      <c r="A1152" t="str">
        <f t="shared" si="69"/>
        <v>11900</v>
      </c>
      <c r="I1152" s="8" t="e">
        <f t="shared" si="71"/>
        <v>#DIV/0!</v>
      </c>
      <c r="J1152" s="8" t="e">
        <f t="shared" si="70"/>
        <v>#DIV/0!</v>
      </c>
      <c r="K1152" s="8" t="e">
        <f t="shared" ref="K1152:K1215" si="72">+G1152/G1091-1</f>
        <v>#DIV/0!</v>
      </c>
    </row>
    <row r="1153" spans="1:11" x14ac:dyDescent="0.25">
      <c r="A1153" t="str">
        <f t="shared" si="69"/>
        <v>11900</v>
      </c>
      <c r="I1153" s="8" t="e">
        <f t="shared" si="71"/>
        <v>#DIV/0!</v>
      </c>
      <c r="J1153" s="8" t="e">
        <f t="shared" si="70"/>
        <v>#DIV/0!</v>
      </c>
      <c r="K1153" s="8" t="e">
        <f t="shared" si="72"/>
        <v>#DIV/0!</v>
      </c>
    </row>
    <row r="1154" spans="1:11" x14ac:dyDescent="0.25">
      <c r="A1154" t="str">
        <f t="shared" si="69"/>
        <v>11900</v>
      </c>
      <c r="I1154" s="8" t="e">
        <f t="shared" si="71"/>
        <v>#DIV/0!</v>
      </c>
      <c r="J1154" s="8" t="e">
        <f t="shared" si="70"/>
        <v>#DIV/0!</v>
      </c>
      <c r="K1154" s="8" t="e">
        <f t="shared" si="72"/>
        <v>#DIV/0!</v>
      </c>
    </row>
    <row r="1155" spans="1:11" x14ac:dyDescent="0.25">
      <c r="A1155" t="str">
        <f t="shared" ref="A1155:A1218" si="73">+MONTH(B1155)&amp;YEAR(B1155)</f>
        <v>11900</v>
      </c>
      <c r="I1155" s="8" t="e">
        <f t="shared" si="71"/>
        <v>#DIV/0!</v>
      </c>
      <c r="J1155" s="8" t="e">
        <f t="shared" si="70"/>
        <v>#DIV/0!</v>
      </c>
      <c r="K1155" s="8" t="e">
        <f t="shared" si="72"/>
        <v>#DIV/0!</v>
      </c>
    </row>
    <row r="1156" spans="1:11" x14ac:dyDescent="0.25">
      <c r="A1156" t="str">
        <f t="shared" si="73"/>
        <v>11900</v>
      </c>
      <c r="I1156" s="8" t="e">
        <f t="shared" si="71"/>
        <v>#DIV/0!</v>
      </c>
      <c r="J1156" s="8" t="e">
        <f t="shared" ref="J1156:J1219" si="74">+LN(1+I1156)</f>
        <v>#DIV/0!</v>
      </c>
      <c r="K1156" s="8" t="e">
        <f t="shared" si="72"/>
        <v>#DIV/0!</v>
      </c>
    </row>
    <row r="1157" spans="1:11" x14ac:dyDescent="0.25">
      <c r="A1157" t="str">
        <f t="shared" si="73"/>
        <v>11900</v>
      </c>
      <c r="I1157" s="8" t="e">
        <f t="shared" si="71"/>
        <v>#DIV/0!</v>
      </c>
      <c r="J1157" s="8" t="e">
        <f t="shared" si="74"/>
        <v>#DIV/0!</v>
      </c>
      <c r="K1157" s="8" t="e">
        <f t="shared" si="72"/>
        <v>#DIV/0!</v>
      </c>
    </row>
    <row r="1158" spans="1:11" x14ac:dyDescent="0.25">
      <c r="A1158" t="str">
        <f t="shared" si="73"/>
        <v>11900</v>
      </c>
      <c r="I1158" s="8" t="e">
        <f t="shared" si="71"/>
        <v>#DIV/0!</v>
      </c>
      <c r="J1158" s="8" t="e">
        <f t="shared" si="74"/>
        <v>#DIV/0!</v>
      </c>
      <c r="K1158" s="8" t="e">
        <f t="shared" si="72"/>
        <v>#DIV/0!</v>
      </c>
    </row>
    <row r="1159" spans="1:11" x14ac:dyDescent="0.25">
      <c r="A1159" t="str">
        <f t="shared" si="73"/>
        <v>11900</v>
      </c>
      <c r="I1159" s="8" t="e">
        <f t="shared" si="71"/>
        <v>#DIV/0!</v>
      </c>
      <c r="J1159" s="8" t="e">
        <f t="shared" si="74"/>
        <v>#DIV/0!</v>
      </c>
      <c r="K1159" s="8" t="e">
        <f t="shared" si="72"/>
        <v>#DIV/0!</v>
      </c>
    </row>
    <row r="1160" spans="1:11" x14ac:dyDescent="0.25">
      <c r="A1160" t="str">
        <f t="shared" si="73"/>
        <v>11900</v>
      </c>
      <c r="I1160" s="8" t="e">
        <f t="shared" si="71"/>
        <v>#DIV/0!</v>
      </c>
      <c r="J1160" s="8" t="e">
        <f t="shared" si="74"/>
        <v>#DIV/0!</v>
      </c>
      <c r="K1160" s="8" t="e">
        <f t="shared" si="72"/>
        <v>#DIV/0!</v>
      </c>
    </row>
    <row r="1161" spans="1:11" x14ac:dyDescent="0.25">
      <c r="A1161" t="str">
        <f t="shared" si="73"/>
        <v>11900</v>
      </c>
      <c r="I1161" s="8" t="e">
        <f t="shared" si="71"/>
        <v>#DIV/0!</v>
      </c>
      <c r="J1161" s="8" t="e">
        <f t="shared" si="74"/>
        <v>#DIV/0!</v>
      </c>
      <c r="K1161" s="8" t="e">
        <f t="shared" si="72"/>
        <v>#DIV/0!</v>
      </c>
    </row>
    <row r="1162" spans="1:11" x14ac:dyDescent="0.25">
      <c r="A1162" t="str">
        <f t="shared" si="73"/>
        <v>11900</v>
      </c>
      <c r="I1162" s="8" t="e">
        <f t="shared" si="71"/>
        <v>#DIV/0!</v>
      </c>
      <c r="J1162" s="8" t="e">
        <f t="shared" si="74"/>
        <v>#DIV/0!</v>
      </c>
      <c r="K1162" s="8" t="e">
        <f t="shared" si="72"/>
        <v>#DIV/0!</v>
      </c>
    </row>
    <row r="1163" spans="1:11" x14ac:dyDescent="0.25">
      <c r="A1163" t="str">
        <f t="shared" si="73"/>
        <v>11900</v>
      </c>
      <c r="I1163" s="8" t="e">
        <f t="shared" si="71"/>
        <v>#DIV/0!</v>
      </c>
      <c r="J1163" s="8" t="e">
        <f t="shared" si="74"/>
        <v>#DIV/0!</v>
      </c>
      <c r="K1163" s="8" t="e">
        <f t="shared" si="72"/>
        <v>#DIV/0!</v>
      </c>
    </row>
    <row r="1164" spans="1:11" x14ac:dyDescent="0.25">
      <c r="A1164" t="str">
        <f t="shared" si="73"/>
        <v>11900</v>
      </c>
      <c r="I1164" s="8" t="e">
        <f t="shared" si="71"/>
        <v>#DIV/0!</v>
      </c>
      <c r="J1164" s="8" t="e">
        <f t="shared" si="74"/>
        <v>#DIV/0!</v>
      </c>
      <c r="K1164" s="8" t="e">
        <f t="shared" si="72"/>
        <v>#DIV/0!</v>
      </c>
    </row>
    <row r="1165" spans="1:11" x14ac:dyDescent="0.25">
      <c r="A1165" t="str">
        <f t="shared" si="73"/>
        <v>11900</v>
      </c>
      <c r="I1165" s="8" t="e">
        <f t="shared" si="71"/>
        <v>#DIV/0!</v>
      </c>
      <c r="J1165" s="8" t="e">
        <f t="shared" si="74"/>
        <v>#DIV/0!</v>
      </c>
      <c r="K1165" s="8" t="e">
        <f t="shared" si="72"/>
        <v>#DIV/0!</v>
      </c>
    </row>
    <row r="1166" spans="1:11" x14ac:dyDescent="0.25">
      <c r="A1166" t="str">
        <f t="shared" si="73"/>
        <v>11900</v>
      </c>
      <c r="I1166" s="8" t="e">
        <f t="shared" si="71"/>
        <v>#DIV/0!</v>
      </c>
      <c r="J1166" s="8" t="e">
        <f t="shared" si="74"/>
        <v>#DIV/0!</v>
      </c>
      <c r="K1166" s="8" t="e">
        <f t="shared" si="72"/>
        <v>#DIV/0!</v>
      </c>
    </row>
    <row r="1167" spans="1:11" x14ac:dyDescent="0.25">
      <c r="A1167" t="str">
        <f t="shared" si="73"/>
        <v>11900</v>
      </c>
      <c r="I1167" s="8" t="e">
        <f t="shared" si="71"/>
        <v>#DIV/0!</v>
      </c>
      <c r="J1167" s="8" t="e">
        <f t="shared" si="74"/>
        <v>#DIV/0!</v>
      </c>
      <c r="K1167" s="8" t="e">
        <f t="shared" si="72"/>
        <v>#DIV/0!</v>
      </c>
    </row>
    <row r="1168" spans="1:11" x14ac:dyDescent="0.25">
      <c r="A1168" t="str">
        <f t="shared" si="73"/>
        <v>11900</v>
      </c>
      <c r="I1168" s="8" t="e">
        <f t="shared" si="71"/>
        <v>#DIV/0!</v>
      </c>
      <c r="J1168" s="8" t="e">
        <f t="shared" si="74"/>
        <v>#DIV/0!</v>
      </c>
      <c r="K1168" s="8" t="e">
        <f t="shared" si="72"/>
        <v>#DIV/0!</v>
      </c>
    </row>
    <row r="1169" spans="1:11" x14ac:dyDescent="0.25">
      <c r="A1169" t="str">
        <f t="shared" si="73"/>
        <v>11900</v>
      </c>
      <c r="I1169" s="8" t="e">
        <f t="shared" si="71"/>
        <v>#DIV/0!</v>
      </c>
      <c r="J1169" s="8" t="e">
        <f t="shared" si="74"/>
        <v>#DIV/0!</v>
      </c>
      <c r="K1169" s="8" t="e">
        <f t="shared" si="72"/>
        <v>#DIV/0!</v>
      </c>
    </row>
    <row r="1170" spans="1:11" x14ac:dyDescent="0.25">
      <c r="A1170" t="str">
        <f t="shared" si="73"/>
        <v>11900</v>
      </c>
      <c r="I1170" s="8" t="e">
        <f t="shared" si="71"/>
        <v>#DIV/0!</v>
      </c>
      <c r="J1170" s="8" t="e">
        <f t="shared" si="74"/>
        <v>#DIV/0!</v>
      </c>
      <c r="K1170" s="8" t="e">
        <f t="shared" si="72"/>
        <v>#DIV/0!</v>
      </c>
    </row>
    <row r="1171" spans="1:11" x14ac:dyDescent="0.25">
      <c r="A1171" t="str">
        <f t="shared" si="73"/>
        <v>11900</v>
      </c>
      <c r="I1171" s="8" t="e">
        <f t="shared" si="71"/>
        <v>#DIV/0!</v>
      </c>
      <c r="J1171" s="8" t="e">
        <f t="shared" si="74"/>
        <v>#DIV/0!</v>
      </c>
      <c r="K1171" s="8" t="e">
        <f t="shared" si="72"/>
        <v>#DIV/0!</v>
      </c>
    </row>
    <row r="1172" spans="1:11" x14ac:dyDescent="0.25">
      <c r="A1172" t="str">
        <f t="shared" si="73"/>
        <v>11900</v>
      </c>
      <c r="I1172" s="8" t="e">
        <f t="shared" si="71"/>
        <v>#DIV/0!</v>
      </c>
      <c r="J1172" s="8" t="e">
        <f t="shared" si="74"/>
        <v>#DIV/0!</v>
      </c>
      <c r="K1172" s="8" t="e">
        <f t="shared" si="72"/>
        <v>#DIV/0!</v>
      </c>
    </row>
    <row r="1173" spans="1:11" x14ac:dyDescent="0.25">
      <c r="A1173" t="str">
        <f t="shared" si="73"/>
        <v>11900</v>
      </c>
      <c r="I1173" s="8" t="e">
        <f t="shared" si="71"/>
        <v>#DIV/0!</v>
      </c>
      <c r="J1173" s="8" t="e">
        <f t="shared" si="74"/>
        <v>#DIV/0!</v>
      </c>
      <c r="K1173" s="8" t="e">
        <f t="shared" si="72"/>
        <v>#DIV/0!</v>
      </c>
    </row>
    <row r="1174" spans="1:11" x14ac:dyDescent="0.25">
      <c r="A1174" t="str">
        <f t="shared" si="73"/>
        <v>11900</v>
      </c>
      <c r="I1174" s="8" t="e">
        <f t="shared" si="71"/>
        <v>#DIV/0!</v>
      </c>
      <c r="J1174" s="8" t="e">
        <f t="shared" si="74"/>
        <v>#DIV/0!</v>
      </c>
      <c r="K1174" s="8" t="e">
        <f t="shared" si="72"/>
        <v>#DIV/0!</v>
      </c>
    </row>
    <row r="1175" spans="1:11" x14ac:dyDescent="0.25">
      <c r="A1175" t="str">
        <f t="shared" si="73"/>
        <v>11900</v>
      </c>
      <c r="I1175" s="8" t="e">
        <f t="shared" si="71"/>
        <v>#DIV/0!</v>
      </c>
      <c r="J1175" s="8" t="e">
        <f t="shared" si="74"/>
        <v>#DIV/0!</v>
      </c>
      <c r="K1175" s="8" t="e">
        <f t="shared" si="72"/>
        <v>#DIV/0!</v>
      </c>
    </row>
    <row r="1176" spans="1:11" x14ac:dyDescent="0.25">
      <c r="A1176" t="str">
        <f t="shared" si="73"/>
        <v>11900</v>
      </c>
      <c r="I1176" s="8" t="e">
        <f t="shared" si="71"/>
        <v>#DIV/0!</v>
      </c>
      <c r="J1176" s="8" t="e">
        <f t="shared" si="74"/>
        <v>#DIV/0!</v>
      </c>
      <c r="K1176" s="8" t="e">
        <f t="shared" si="72"/>
        <v>#DIV/0!</v>
      </c>
    </row>
    <row r="1177" spans="1:11" x14ac:dyDescent="0.25">
      <c r="A1177" t="str">
        <f t="shared" si="73"/>
        <v>11900</v>
      </c>
      <c r="I1177" s="8" t="e">
        <f t="shared" si="71"/>
        <v>#DIV/0!</v>
      </c>
      <c r="J1177" s="8" t="e">
        <f t="shared" si="74"/>
        <v>#DIV/0!</v>
      </c>
      <c r="K1177" s="8" t="e">
        <f t="shared" si="72"/>
        <v>#DIV/0!</v>
      </c>
    </row>
    <row r="1178" spans="1:11" x14ac:dyDescent="0.25">
      <c r="A1178" t="str">
        <f t="shared" si="73"/>
        <v>11900</v>
      </c>
      <c r="I1178" s="8" t="e">
        <f t="shared" si="71"/>
        <v>#DIV/0!</v>
      </c>
      <c r="J1178" s="8" t="e">
        <f t="shared" si="74"/>
        <v>#DIV/0!</v>
      </c>
      <c r="K1178" s="8" t="e">
        <f t="shared" si="72"/>
        <v>#DIV/0!</v>
      </c>
    </row>
    <row r="1179" spans="1:11" x14ac:dyDescent="0.25">
      <c r="A1179" t="str">
        <f t="shared" si="73"/>
        <v>11900</v>
      </c>
      <c r="I1179" s="8" t="e">
        <f t="shared" si="71"/>
        <v>#DIV/0!</v>
      </c>
      <c r="J1179" s="8" t="e">
        <f t="shared" si="74"/>
        <v>#DIV/0!</v>
      </c>
      <c r="K1179" s="8" t="e">
        <f t="shared" si="72"/>
        <v>#DIV/0!</v>
      </c>
    </row>
    <row r="1180" spans="1:11" x14ac:dyDescent="0.25">
      <c r="A1180" t="str">
        <f t="shared" si="73"/>
        <v>11900</v>
      </c>
      <c r="I1180" s="8" t="e">
        <f t="shared" si="71"/>
        <v>#DIV/0!</v>
      </c>
      <c r="J1180" s="8" t="e">
        <f t="shared" si="74"/>
        <v>#DIV/0!</v>
      </c>
      <c r="K1180" s="8" t="e">
        <f t="shared" si="72"/>
        <v>#DIV/0!</v>
      </c>
    </row>
    <row r="1181" spans="1:11" x14ac:dyDescent="0.25">
      <c r="A1181" t="str">
        <f t="shared" si="73"/>
        <v>11900</v>
      </c>
      <c r="I1181" s="8" t="e">
        <f t="shared" si="71"/>
        <v>#DIV/0!</v>
      </c>
      <c r="J1181" s="8" t="e">
        <f t="shared" si="74"/>
        <v>#DIV/0!</v>
      </c>
      <c r="K1181" s="8" t="e">
        <f t="shared" si="72"/>
        <v>#DIV/0!</v>
      </c>
    </row>
    <row r="1182" spans="1:11" x14ac:dyDescent="0.25">
      <c r="A1182" t="str">
        <f t="shared" si="73"/>
        <v>11900</v>
      </c>
      <c r="I1182" s="8" t="e">
        <f t="shared" si="71"/>
        <v>#DIV/0!</v>
      </c>
      <c r="J1182" s="8" t="e">
        <f t="shared" si="74"/>
        <v>#DIV/0!</v>
      </c>
      <c r="K1182" s="8" t="e">
        <f t="shared" si="72"/>
        <v>#DIV/0!</v>
      </c>
    </row>
    <row r="1183" spans="1:11" x14ac:dyDescent="0.25">
      <c r="A1183" t="str">
        <f t="shared" si="73"/>
        <v>11900</v>
      </c>
      <c r="I1183" s="8" t="e">
        <f t="shared" si="71"/>
        <v>#DIV/0!</v>
      </c>
      <c r="J1183" s="8" t="e">
        <f t="shared" si="74"/>
        <v>#DIV/0!</v>
      </c>
      <c r="K1183" s="8" t="e">
        <f t="shared" si="72"/>
        <v>#DIV/0!</v>
      </c>
    </row>
    <row r="1184" spans="1:11" x14ac:dyDescent="0.25">
      <c r="A1184" t="str">
        <f t="shared" si="73"/>
        <v>11900</v>
      </c>
      <c r="I1184" s="8" t="e">
        <f t="shared" si="71"/>
        <v>#DIV/0!</v>
      </c>
      <c r="J1184" s="8" t="e">
        <f t="shared" si="74"/>
        <v>#DIV/0!</v>
      </c>
      <c r="K1184" s="8" t="e">
        <f t="shared" si="72"/>
        <v>#DIV/0!</v>
      </c>
    </row>
    <row r="1185" spans="1:11" x14ac:dyDescent="0.25">
      <c r="A1185" t="str">
        <f t="shared" si="73"/>
        <v>11900</v>
      </c>
      <c r="I1185" s="8" t="e">
        <f t="shared" si="71"/>
        <v>#DIV/0!</v>
      </c>
      <c r="J1185" s="8" t="e">
        <f t="shared" si="74"/>
        <v>#DIV/0!</v>
      </c>
      <c r="K1185" s="8" t="e">
        <f t="shared" si="72"/>
        <v>#DIV/0!</v>
      </c>
    </row>
    <row r="1186" spans="1:11" x14ac:dyDescent="0.25">
      <c r="A1186" t="str">
        <f t="shared" si="73"/>
        <v>11900</v>
      </c>
      <c r="I1186" s="8" t="e">
        <f t="shared" si="71"/>
        <v>#DIV/0!</v>
      </c>
      <c r="J1186" s="8" t="e">
        <f t="shared" si="74"/>
        <v>#DIV/0!</v>
      </c>
      <c r="K1186" s="8" t="e">
        <f t="shared" si="72"/>
        <v>#DIV/0!</v>
      </c>
    </row>
    <row r="1187" spans="1:11" x14ac:dyDescent="0.25">
      <c r="A1187" t="str">
        <f t="shared" si="73"/>
        <v>11900</v>
      </c>
      <c r="I1187" s="8" t="e">
        <f t="shared" si="71"/>
        <v>#DIV/0!</v>
      </c>
      <c r="J1187" s="8" t="e">
        <f t="shared" si="74"/>
        <v>#DIV/0!</v>
      </c>
      <c r="K1187" s="8" t="e">
        <f t="shared" si="72"/>
        <v>#DIV/0!</v>
      </c>
    </row>
    <row r="1188" spans="1:11" x14ac:dyDescent="0.25">
      <c r="A1188" t="str">
        <f t="shared" si="73"/>
        <v>11900</v>
      </c>
      <c r="I1188" s="8" t="e">
        <f t="shared" si="71"/>
        <v>#DIV/0!</v>
      </c>
      <c r="J1188" s="8" t="e">
        <f t="shared" si="74"/>
        <v>#DIV/0!</v>
      </c>
      <c r="K1188" s="8" t="e">
        <f t="shared" si="72"/>
        <v>#DIV/0!</v>
      </c>
    </row>
    <row r="1189" spans="1:11" x14ac:dyDescent="0.25">
      <c r="A1189" t="str">
        <f t="shared" si="73"/>
        <v>11900</v>
      </c>
      <c r="I1189" s="8" t="e">
        <f t="shared" si="71"/>
        <v>#DIV/0!</v>
      </c>
      <c r="J1189" s="8" t="e">
        <f t="shared" si="74"/>
        <v>#DIV/0!</v>
      </c>
      <c r="K1189" s="8" t="e">
        <f t="shared" si="72"/>
        <v>#DIV/0!</v>
      </c>
    </row>
    <row r="1190" spans="1:11" x14ac:dyDescent="0.25">
      <c r="A1190" t="str">
        <f t="shared" si="73"/>
        <v>11900</v>
      </c>
      <c r="I1190" s="8" t="e">
        <f t="shared" si="71"/>
        <v>#DIV/0!</v>
      </c>
      <c r="J1190" s="8" t="e">
        <f t="shared" si="74"/>
        <v>#DIV/0!</v>
      </c>
      <c r="K1190" s="8" t="e">
        <f t="shared" si="72"/>
        <v>#DIV/0!</v>
      </c>
    </row>
    <row r="1191" spans="1:11" x14ac:dyDescent="0.25">
      <c r="A1191" t="str">
        <f t="shared" si="73"/>
        <v>11900</v>
      </c>
      <c r="I1191" s="8" t="e">
        <f t="shared" si="71"/>
        <v>#DIV/0!</v>
      </c>
      <c r="J1191" s="8" t="e">
        <f t="shared" si="74"/>
        <v>#DIV/0!</v>
      </c>
      <c r="K1191" s="8" t="e">
        <f t="shared" si="72"/>
        <v>#DIV/0!</v>
      </c>
    </row>
    <row r="1192" spans="1:11" x14ac:dyDescent="0.25">
      <c r="A1192" t="str">
        <f t="shared" si="73"/>
        <v>11900</v>
      </c>
      <c r="I1192" s="8" t="e">
        <f t="shared" si="71"/>
        <v>#DIV/0!</v>
      </c>
      <c r="J1192" s="8" t="e">
        <f t="shared" si="74"/>
        <v>#DIV/0!</v>
      </c>
      <c r="K1192" s="8" t="e">
        <f t="shared" si="72"/>
        <v>#DIV/0!</v>
      </c>
    </row>
    <row r="1193" spans="1:11" x14ac:dyDescent="0.25">
      <c r="A1193" t="str">
        <f t="shared" si="73"/>
        <v>11900</v>
      </c>
      <c r="I1193" s="8" t="e">
        <f t="shared" si="71"/>
        <v>#DIV/0!</v>
      </c>
      <c r="J1193" s="8" t="e">
        <f t="shared" si="74"/>
        <v>#DIV/0!</v>
      </c>
      <c r="K1193" s="8" t="e">
        <f t="shared" si="72"/>
        <v>#DIV/0!</v>
      </c>
    </row>
    <row r="1194" spans="1:11" x14ac:dyDescent="0.25">
      <c r="A1194" t="str">
        <f t="shared" si="73"/>
        <v>11900</v>
      </c>
      <c r="I1194" s="8" t="e">
        <f t="shared" si="71"/>
        <v>#DIV/0!</v>
      </c>
      <c r="J1194" s="8" t="e">
        <f t="shared" si="74"/>
        <v>#DIV/0!</v>
      </c>
      <c r="K1194" s="8" t="e">
        <f t="shared" si="72"/>
        <v>#DIV/0!</v>
      </c>
    </row>
    <row r="1195" spans="1:11" x14ac:dyDescent="0.25">
      <c r="A1195" t="str">
        <f t="shared" si="73"/>
        <v>11900</v>
      </c>
      <c r="I1195" s="8" t="e">
        <f t="shared" si="71"/>
        <v>#DIV/0!</v>
      </c>
      <c r="J1195" s="8" t="e">
        <f t="shared" si="74"/>
        <v>#DIV/0!</v>
      </c>
      <c r="K1195" s="8" t="e">
        <f t="shared" si="72"/>
        <v>#DIV/0!</v>
      </c>
    </row>
    <row r="1196" spans="1:11" x14ac:dyDescent="0.25">
      <c r="A1196" t="str">
        <f t="shared" si="73"/>
        <v>11900</v>
      </c>
      <c r="I1196" s="8" t="e">
        <f t="shared" si="71"/>
        <v>#DIV/0!</v>
      </c>
      <c r="J1196" s="8" t="e">
        <f t="shared" si="74"/>
        <v>#DIV/0!</v>
      </c>
      <c r="K1196" s="8" t="e">
        <f t="shared" si="72"/>
        <v>#DIV/0!</v>
      </c>
    </row>
    <row r="1197" spans="1:11" x14ac:dyDescent="0.25">
      <c r="A1197" t="str">
        <f t="shared" si="73"/>
        <v>11900</v>
      </c>
      <c r="I1197" s="8" t="e">
        <f t="shared" si="71"/>
        <v>#DIV/0!</v>
      </c>
      <c r="J1197" s="8" t="e">
        <f t="shared" si="74"/>
        <v>#DIV/0!</v>
      </c>
      <c r="K1197" s="8" t="e">
        <f t="shared" si="72"/>
        <v>#DIV/0!</v>
      </c>
    </row>
    <row r="1198" spans="1:11" x14ac:dyDescent="0.25">
      <c r="A1198" t="str">
        <f t="shared" si="73"/>
        <v>11900</v>
      </c>
      <c r="I1198" s="8" t="e">
        <f t="shared" si="71"/>
        <v>#DIV/0!</v>
      </c>
      <c r="J1198" s="8" t="e">
        <f t="shared" si="74"/>
        <v>#DIV/0!</v>
      </c>
      <c r="K1198" s="8" t="e">
        <f t="shared" si="72"/>
        <v>#DIV/0!</v>
      </c>
    </row>
    <row r="1199" spans="1:11" x14ac:dyDescent="0.25">
      <c r="A1199" t="str">
        <f t="shared" si="73"/>
        <v>11900</v>
      </c>
      <c r="I1199" s="8" t="e">
        <f t="shared" si="71"/>
        <v>#DIV/0!</v>
      </c>
      <c r="J1199" s="8" t="e">
        <f t="shared" si="74"/>
        <v>#DIV/0!</v>
      </c>
      <c r="K1199" s="8" t="e">
        <f t="shared" si="72"/>
        <v>#DIV/0!</v>
      </c>
    </row>
    <row r="1200" spans="1:11" x14ac:dyDescent="0.25">
      <c r="A1200" t="str">
        <f t="shared" si="73"/>
        <v>11900</v>
      </c>
      <c r="I1200" s="8" t="e">
        <f t="shared" si="71"/>
        <v>#DIV/0!</v>
      </c>
      <c r="J1200" s="8" t="e">
        <f t="shared" si="74"/>
        <v>#DIV/0!</v>
      </c>
      <c r="K1200" s="8" t="e">
        <f t="shared" si="72"/>
        <v>#DIV/0!</v>
      </c>
    </row>
    <row r="1201" spans="1:11" x14ac:dyDescent="0.25">
      <c r="A1201" t="str">
        <f t="shared" si="73"/>
        <v>11900</v>
      </c>
      <c r="I1201" s="8" t="e">
        <f t="shared" si="71"/>
        <v>#DIV/0!</v>
      </c>
      <c r="J1201" s="8" t="e">
        <f t="shared" si="74"/>
        <v>#DIV/0!</v>
      </c>
      <c r="K1201" s="8" t="e">
        <f t="shared" si="72"/>
        <v>#DIV/0!</v>
      </c>
    </row>
    <row r="1202" spans="1:11" x14ac:dyDescent="0.25">
      <c r="A1202" t="str">
        <f t="shared" si="73"/>
        <v>11900</v>
      </c>
      <c r="I1202" s="8" t="e">
        <f t="shared" si="71"/>
        <v>#DIV/0!</v>
      </c>
      <c r="J1202" s="8" t="e">
        <f t="shared" si="74"/>
        <v>#DIV/0!</v>
      </c>
      <c r="K1202" s="8" t="e">
        <f t="shared" si="72"/>
        <v>#DIV/0!</v>
      </c>
    </row>
    <row r="1203" spans="1:11" x14ac:dyDescent="0.25">
      <c r="A1203" t="str">
        <f t="shared" si="73"/>
        <v>11900</v>
      </c>
      <c r="I1203" s="8" t="e">
        <f t="shared" si="71"/>
        <v>#DIV/0!</v>
      </c>
      <c r="J1203" s="8" t="e">
        <f t="shared" si="74"/>
        <v>#DIV/0!</v>
      </c>
      <c r="K1203" s="8" t="e">
        <f t="shared" si="72"/>
        <v>#DIV/0!</v>
      </c>
    </row>
    <row r="1204" spans="1:11" x14ac:dyDescent="0.25">
      <c r="A1204" t="str">
        <f t="shared" si="73"/>
        <v>11900</v>
      </c>
      <c r="I1204" s="8" t="e">
        <f t="shared" si="71"/>
        <v>#DIV/0!</v>
      </c>
      <c r="J1204" s="8" t="e">
        <f t="shared" si="74"/>
        <v>#DIV/0!</v>
      </c>
      <c r="K1204" s="8" t="e">
        <f t="shared" si="72"/>
        <v>#DIV/0!</v>
      </c>
    </row>
    <row r="1205" spans="1:11" x14ac:dyDescent="0.25">
      <c r="A1205" t="str">
        <f t="shared" si="73"/>
        <v>11900</v>
      </c>
      <c r="I1205" s="8" t="e">
        <f t="shared" si="71"/>
        <v>#DIV/0!</v>
      </c>
      <c r="J1205" s="8" t="e">
        <f t="shared" si="74"/>
        <v>#DIV/0!</v>
      </c>
      <c r="K1205" s="8" t="e">
        <f t="shared" si="72"/>
        <v>#DIV/0!</v>
      </c>
    </row>
    <row r="1206" spans="1:11" x14ac:dyDescent="0.25">
      <c r="A1206" t="str">
        <f t="shared" si="73"/>
        <v>11900</v>
      </c>
      <c r="I1206" s="8" t="e">
        <f t="shared" si="71"/>
        <v>#DIV/0!</v>
      </c>
      <c r="J1206" s="8" t="e">
        <f t="shared" si="74"/>
        <v>#DIV/0!</v>
      </c>
      <c r="K1206" s="8" t="e">
        <f t="shared" si="72"/>
        <v>#DIV/0!</v>
      </c>
    </row>
    <row r="1207" spans="1:11" x14ac:dyDescent="0.25">
      <c r="A1207" t="str">
        <f t="shared" si="73"/>
        <v>11900</v>
      </c>
      <c r="I1207" s="8" t="e">
        <f t="shared" si="71"/>
        <v>#DIV/0!</v>
      </c>
      <c r="J1207" s="8" t="e">
        <f t="shared" si="74"/>
        <v>#DIV/0!</v>
      </c>
      <c r="K1207" s="8" t="e">
        <f t="shared" si="72"/>
        <v>#DIV/0!</v>
      </c>
    </row>
    <row r="1208" spans="1:11" x14ac:dyDescent="0.25">
      <c r="A1208" t="str">
        <f t="shared" si="73"/>
        <v>11900</v>
      </c>
      <c r="I1208" s="8" t="e">
        <f t="shared" ref="I1208:I1238" si="75">+G1208/G1207-1</f>
        <v>#DIV/0!</v>
      </c>
      <c r="J1208" s="8" t="e">
        <f t="shared" si="74"/>
        <v>#DIV/0!</v>
      </c>
      <c r="K1208" s="8" t="e">
        <f t="shared" si="72"/>
        <v>#DIV/0!</v>
      </c>
    </row>
    <row r="1209" spans="1:11" x14ac:dyDescent="0.25">
      <c r="A1209" t="str">
        <f t="shared" si="73"/>
        <v>11900</v>
      </c>
      <c r="I1209" s="8" t="e">
        <f t="shared" si="75"/>
        <v>#DIV/0!</v>
      </c>
      <c r="J1209" s="8" t="e">
        <f t="shared" si="74"/>
        <v>#DIV/0!</v>
      </c>
      <c r="K1209" s="8" t="e">
        <f t="shared" si="72"/>
        <v>#DIV/0!</v>
      </c>
    </row>
    <row r="1210" spans="1:11" x14ac:dyDescent="0.25">
      <c r="A1210" t="str">
        <f t="shared" si="73"/>
        <v>11900</v>
      </c>
      <c r="I1210" s="8" t="e">
        <f t="shared" si="75"/>
        <v>#DIV/0!</v>
      </c>
      <c r="J1210" s="8" t="e">
        <f t="shared" si="74"/>
        <v>#DIV/0!</v>
      </c>
      <c r="K1210" s="8" t="e">
        <f t="shared" si="72"/>
        <v>#DIV/0!</v>
      </c>
    </row>
    <row r="1211" spans="1:11" x14ac:dyDescent="0.25">
      <c r="A1211" t="str">
        <f t="shared" si="73"/>
        <v>11900</v>
      </c>
      <c r="I1211" s="8" t="e">
        <f t="shared" si="75"/>
        <v>#DIV/0!</v>
      </c>
      <c r="J1211" s="8" t="e">
        <f t="shared" si="74"/>
        <v>#DIV/0!</v>
      </c>
      <c r="K1211" s="8" t="e">
        <f t="shared" si="72"/>
        <v>#DIV/0!</v>
      </c>
    </row>
    <row r="1212" spans="1:11" x14ac:dyDescent="0.25">
      <c r="A1212" t="str">
        <f t="shared" si="73"/>
        <v>11900</v>
      </c>
      <c r="I1212" s="8" t="e">
        <f t="shared" si="75"/>
        <v>#DIV/0!</v>
      </c>
      <c r="J1212" s="8" t="e">
        <f t="shared" si="74"/>
        <v>#DIV/0!</v>
      </c>
      <c r="K1212" s="8" t="e">
        <f t="shared" si="72"/>
        <v>#DIV/0!</v>
      </c>
    </row>
    <row r="1213" spans="1:11" x14ac:dyDescent="0.25">
      <c r="A1213" t="str">
        <f t="shared" si="73"/>
        <v>11900</v>
      </c>
      <c r="I1213" s="8" t="e">
        <f t="shared" si="75"/>
        <v>#DIV/0!</v>
      </c>
      <c r="J1213" s="8" t="e">
        <f t="shared" si="74"/>
        <v>#DIV/0!</v>
      </c>
      <c r="K1213" s="8" t="e">
        <f t="shared" si="72"/>
        <v>#DIV/0!</v>
      </c>
    </row>
    <row r="1214" spans="1:11" x14ac:dyDescent="0.25">
      <c r="A1214" t="str">
        <f t="shared" si="73"/>
        <v>11900</v>
      </c>
      <c r="I1214" s="8" t="e">
        <f t="shared" si="75"/>
        <v>#DIV/0!</v>
      </c>
      <c r="J1214" s="8" t="e">
        <f t="shared" si="74"/>
        <v>#DIV/0!</v>
      </c>
      <c r="K1214" s="8" t="e">
        <f t="shared" si="72"/>
        <v>#DIV/0!</v>
      </c>
    </row>
    <row r="1215" spans="1:11" x14ac:dyDescent="0.25">
      <c r="A1215" t="str">
        <f t="shared" si="73"/>
        <v>11900</v>
      </c>
      <c r="I1215" s="8" t="e">
        <f t="shared" si="75"/>
        <v>#DIV/0!</v>
      </c>
      <c r="J1215" s="8" t="e">
        <f t="shared" si="74"/>
        <v>#DIV/0!</v>
      </c>
      <c r="K1215" s="8" t="e">
        <f t="shared" si="72"/>
        <v>#DIV/0!</v>
      </c>
    </row>
    <row r="1216" spans="1:11" x14ac:dyDescent="0.25">
      <c r="A1216" t="str">
        <f t="shared" si="73"/>
        <v>11900</v>
      </c>
      <c r="I1216" s="8" t="e">
        <f t="shared" si="75"/>
        <v>#DIV/0!</v>
      </c>
      <c r="J1216" s="8" t="e">
        <f t="shared" si="74"/>
        <v>#DIV/0!</v>
      </c>
      <c r="K1216" s="8" t="e">
        <f t="shared" ref="K1216:K1238" si="76">+G1216/G1155-1</f>
        <v>#DIV/0!</v>
      </c>
    </row>
    <row r="1217" spans="1:11" x14ac:dyDescent="0.25">
      <c r="A1217" t="str">
        <f t="shared" si="73"/>
        <v>11900</v>
      </c>
      <c r="I1217" s="8" t="e">
        <f t="shared" si="75"/>
        <v>#DIV/0!</v>
      </c>
      <c r="J1217" s="8" t="e">
        <f t="shared" si="74"/>
        <v>#DIV/0!</v>
      </c>
      <c r="K1217" s="8" t="e">
        <f t="shared" si="76"/>
        <v>#DIV/0!</v>
      </c>
    </row>
    <row r="1218" spans="1:11" x14ac:dyDescent="0.25">
      <c r="A1218" t="str">
        <f t="shared" si="73"/>
        <v>11900</v>
      </c>
      <c r="I1218" s="8" t="e">
        <f t="shared" si="75"/>
        <v>#DIV/0!</v>
      </c>
      <c r="J1218" s="8" t="e">
        <f t="shared" si="74"/>
        <v>#DIV/0!</v>
      </c>
      <c r="K1218" s="8" t="e">
        <f t="shared" si="76"/>
        <v>#DIV/0!</v>
      </c>
    </row>
    <row r="1219" spans="1:11" x14ac:dyDescent="0.25">
      <c r="A1219" t="str">
        <f t="shared" ref="A1219:A1238" si="77">+MONTH(B1219)&amp;YEAR(B1219)</f>
        <v>11900</v>
      </c>
      <c r="I1219" s="8" t="e">
        <f t="shared" si="75"/>
        <v>#DIV/0!</v>
      </c>
      <c r="J1219" s="8" t="e">
        <f t="shared" si="74"/>
        <v>#DIV/0!</v>
      </c>
      <c r="K1219" s="8" t="e">
        <f t="shared" si="76"/>
        <v>#DIV/0!</v>
      </c>
    </row>
    <row r="1220" spans="1:11" x14ac:dyDescent="0.25">
      <c r="A1220" t="str">
        <f t="shared" si="77"/>
        <v>11900</v>
      </c>
      <c r="I1220" s="8" t="e">
        <f t="shared" si="75"/>
        <v>#DIV/0!</v>
      </c>
      <c r="J1220" s="8" t="e">
        <f t="shared" ref="J1220:J1238" si="78">+LN(1+I1220)</f>
        <v>#DIV/0!</v>
      </c>
      <c r="K1220" s="8" t="e">
        <f t="shared" si="76"/>
        <v>#DIV/0!</v>
      </c>
    </row>
    <row r="1221" spans="1:11" x14ac:dyDescent="0.25">
      <c r="A1221" t="str">
        <f t="shared" si="77"/>
        <v>11900</v>
      </c>
      <c r="I1221" s="8" t="e">
        <f t="shared" si="75"/>
        <v>#DIV/0!</v>
      </c>
      <c r="J1221" s="8" t="e">
        <f t="shared" si="78"/>
        <v>#DIV/0!</v>
      </c>
      <c r="K1221" s="8" t="e">
        <f t="shared" si="76"/>
        <v>#DIV/0!</v>
      </c>
    </row>
    <row r="1222" spans="1:11" x14ac:dyDescent="0.25">
      <c r="A1222" t="str">
        <f t="shared" si="77"/>
        <v>11900</v>
      </c>
      <c r="I1222" s="8" t="e">
        <f t="shared" si="75"/>
        <v>#DIV/0!</v>
      </c>
      <c r="J1222" s="8" t="e">
        <f t="shared" si="78"/>
        <v>#DIV/0!</v>
      </c>
      <c r="K1222" s="8" t="e">
        <f t="shared" si="76"/>
        <v>#DIV/0!</v>
      </c>
    </row>
    <row r="1223" spans="1:11" x14ac:dyDescent="0.25">
      <c r="A1223" t="str">
        <f t="shared" si="77"/>
        <v>11900</v>
      </c>
      <c r="I1223" s="8" t="e">
        <f t="shared" si="75"/>
        <v>#DIV/0!</v>
      </c>
      <c r="J1223" s="8" t="e">
        <f t="shared" si="78"/>
        <v>#DIV/0!</v>
      </c>
      <c r="K1223" s="8" t="e">
        <f t="shared" si="76"/>
        <v>#DIV/0!</v>
      </c>
    </row>
    <row r="1224" spans="1:11" x14ac:dyDescent="0.25">
      <c r="A1224" t="str">
        <f t="shared" si="77"/>
        <v>11900</v>
      </c>
      <c r="I1224" s="8" t="e">
        <f t="shared" si="75"/>
        <v>#DIV/0!</v>
      </c>
      <c r="J1224" s="8" t="e">
        <f t="shared" si="78"/>
        <v>#DIV/0!</v>
      </c>
      <c r="K1224" s="8" t="e">
        <f t="shared" si="76"/>
        <v>#DIV/0!</v>
      </c>
    </row>
    <row r="1225" spans="1:11" x14ac:dyDescent="0.25">
      <c r="A1225" t="str">
        <f t="shared" si="77"/>
        <v>11900</v>
      </c>
      <c r="I1225" s="8" t="e">
        <f t="shared" si="75"/>
        <v>#DIV/0!</v>
      </c>
      <c r="J1225" s="8" t="e">
        <f t="shared" si="78"/>
        <v>#DIV/0!</v>
      </c>
      <c r="K1225" s="8" t="e">
        <f t="shared" si="76"/>
        <v>#DIV/0!</v>
      </c>
    </row>
    <row r="1226" spans="1:11" x14ac:dyDescent="0.25">
      <c r="A1226" t="str">
        <f t="shared" si="77"/>
        <v>11900</v>
      </c>
      <c r="I1226" s="8" t="e">
        <f t="shared" si="75"/>
        <v>#DIV/0!</v>
      </c>
      <c r="J1226" s="8" t="e">
        <f t="shared" si="78"/>
        <v>#DIV/0!</v>
      </c>
      <c r="K1226" s="8" t="e">
        <f t="shared" si="76"/>
        <v>#DIV/0!</v>
      </c>
    </row>
    <row r="1227" spans="1:11" x14ac:dyDescent="0.25">
      <c r="A1227" t="str">
        <f t="shared" si="77"/>
        <v>11900</v>
      </c>
      <c r="I1227" s="8" t="e">
        <f t="shared" si="75"/>
        <v>#DIV/0!</v>
      </c>
      <c r="J1227" s="8" t="e">
        <f t="shared" si="78"/>
        <v>#DIV/0!</v>
      </c>
      <c r="K1227" s="8" t="e">
        <f t="shared" si="76"/>
        <v>#DIV/0!</v>
      </c>
    </row>
    <row r="1228" spans="1:11" x14ac:dyDescent="0.25">
      <c r="A1228" t="str">
        <f t="shared" si="77"/>
        <v>11900</v>
      </c>
      <c r="I1228" s="8" t="e">
        <f t="shared" si="75"/>
        <v>#DIV/0!</v>
      </c>
      <c r="J1228" s="8" t="e">
        <f t="shared" si="78"/>
        <v>#DIV/0!</v>
      </c>
      <c r="K1228" s="8" t="e">
        <f t="shared" si="76"/>
        <v>#DIV/0!</v>
      </c>
    </row>
    <row r="1229" spans="1:11" x14ac:dyDescent="0.25">
      <c r="A1229" t="str">
        <f t="shared" si="77"/>
        <v>11900</v>
      </c>
      <c r="I1229" s="8" t="e">
        <f t="shared" si="75"/>
        <v>#DIV/0!</v>
      </c>
      <c r="J1229" s="8" t="e">
        <f t="shared" si="78"/>
        <v>#DIV/0!</v>
      </c>
      <c r="K1229" s="8" t="e">
        <f t="shared" si="76"/>
        <v>#DIV/0!</v>
      </c>
    </row>
    <row r="1230" spans="1:11" x14ac:dyDescent="0.25">
      <c r="A1230" t="str">
        <f t="shared" si="77"/>
        <v>11900</v>
      </c>
      <c r="I1230" s="8" t="e">
        <f t="shared" si="75"/>
        <v>#DIV/0!</v>
      </c>
      <c r="J1230" s="8" t="e">
        <f t="shared" si="78"/>
        <v>#DIV/0!</v>
      </c>
      <c r="K1230" s="8" t="e">
        <f t="shared" si="76"/>
        <v>#DIV/0!</v>
      </c>
    </row>
    <row r="1231" spans="1:11" x14ac:dyDescent="0.25">
      <c r="A1231" t="str">
        <f t="shared" si="77"/>
        <v>11900</v>
      </c>
      <c r="I1231" s="8" t="e">
        <f t="shared" si="75"/>
        <v>#DIV/0!</v>
      </c>
      <c r="J1231" s="8" t="e">
        <f t="shared" si="78"/>
        <v>#DIV/0!</v>
      </c>
      <c r="K1231" s="8" t="e">
        <f t="shared" si="76"/>
        <v>#DIV/0!</v>
      </c>
    </row>
    <row r="1232" spans="1:11" x14ac:dyDescent="0.25">
      <c r="A1232" t="str">
        <f t="shared" si="77"/>
        <v>11900</v>
      </c>
      <c r="I1232" s="8" t="e">
        <f t="shared" si="75"/>
        <v>#DIV/0!</v>
      </c>
      <c r="J1232" s="8" t="e">
        <f t="shared" si="78"/>
        <v>#DIV/0!</v>
      </c>
      <c r="K1232" s="8" t="e">
        <f t="shared" si="76"/>
        <v>#DIV/0!</v>
      </c>
    </row>
    <row r="1233" spans="1:11" x14ac:dyDescent="0.25">
      <c r="A1233" t="str">
        <f t="shared" si="77"/>
        <v>11900</v>
      </c>
      <c r="I1233" s="8" t="e">
        <f t="shared" si="75"/>
        <v>#DIV/0!</v>
      </c>
      <c r="J1233" s="8" t="e">
        <f t="shared" si="78"/>
        <v>#DIV/0!</v>
      </c>
      <c r="K1233" s="8" t="e">
        <f t="shared" si="76"/>
        <v>#DIV/0!</v>
      </c>
    </row>
    <row r="1234" spans="1:11" x14ac:dyDescent="0.25">
      <c r="A1234" t="str">
        <f t="shared" si="77"/>
        <v>11900</v>
      </c>
      <c r="I1234" s="8" t="e">
        <f t="shared" si="75"/>
        <v>#DIV/0!</v>
      </c>
      <c r="J1234" s="8" t="e">
        <f t="shared" si="78"/>
        <v>#DIV/0!</v>
      </c>
      <c r="K1234" s="8" t="e">
        <f t="shared" si="76"/>
        <v>#DIV/0!</v>
      </c>
    </row>
    <row r="1235" spans="1:11" x14ac:dyDescent="0.25">
      <c r="A1235" t="str">
        <f t="shared" si="77"/>
        <v>11900</v>
      </c>
      <c r="I1235" s="8" t="e">
        <f t="shared" si="75"/>
        <v>#DIV/0!</v>
      </c>
      <c r="J1235" s="8" t="e">
        <f t="shared" si="78"/>
        <v>#DIV/0!</v>
      </c>
      <c r="K1235" s="8" t="e">
        <f t="shared" si="76"/>
        <v>#DIV/0!</v>
      </c>
    </row>
    <row r="1236" spans="1:11" x14ac:dyDescent="0.25">
      <c r="A1236" t="str">
        <f t="shared" si="77"/>
        <v>11900</v>
      </c>
      <c r="I1236" s="8" t="e">
        <f t="shared" si="75"/>
        <v>#DIV/0!</v>
      </c>
      <c r="J1236" s="8" t="e">
        <f t="shared" si="78"/>
        <v>#DIV/0!</v>
      </c>
      <c r="K1236" s="8" t="e">
        <f t="shared" si="76"/>
        <v>#DIV/0!</v>
      </c>
    </row>
    <row r="1237" spans="1:11" x14ac:dyDescent="0.25">
      <c r="A1237" t="str">
        <f t="shared" si="77"/>
        <v>11900</v>
      </c>
      <c r="I1237" s="8" t="e">
        <f t="shared" si="75"/>
        <v>#DIV/0!</v>
      </c>
      <c r="J1237" s="8" t="e">
        <f t="shared" si="78"/>
        <v>#DIV/0!</v>
      </c>
      <c r="K1237" s="8" t="e">
        <f t="shared" si="76"/>
        <v>#DIV/0!</v>
      </c>
    </row>
    <row r="1238" spans="1:11" x14ac:dyDescent="0.25">
      <c r="A1238" t="str">
        <f t="shared" si="77"/>
        <v>11900</v>
      </c>
      <c r="I1238" s="8" t="e">
        <f t="shared" si="75"/>
        <v>#DIV/0!</v>
      </c>
      <c r="J1238" s="8" t="e">
        <f t="shared" si="78"/>
        <v>#DIV/0!</v>
      </c>
      <c r="K1238" s="8" t="e">
        <f t="shared" si="76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2A03C-93C3-4C22-8D16-850FA9D73E92}">
  <dimension ref="A1:K1238"/>
  <sheetViews>
    <sheetView topLeftCell="A1058" workbookViewId="0">
      <selection activeCell="K63" sqref="K63:K1238"/>
    </sheetView>
  </sheetViews>
  <sheetFormatPr defaultRowHeight="15" x14ac:dyDescent="0.25"/>
  <cols>
    <col min="2" max="2" width="10.7109375" bestFit="1" customWidth="1"/>
    <col min="3" max="3" width="18.5703125" customWidth="1"/>
  </cols>
  <sheetData>
    <row r="1" spans="1:11" x14ac:dyDescent="0.25">
      <c r="A1" t="s">
        <v>27</v>
      </c>
      <c r="B1" t="s">
        <v>7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26</v>
      </c>
      <c r="J1" t="s">
        <v>679</v>
      </c>
      <c r="K1" t="s">
        <v>688</v>
      </c>
    </row>
    <row r="2" spans="1:11" x14ac:dyDescent="0.25">
      <c r="A2" t="str">
        <f>+MONTH(B2)&amp;YEAR(B2)</f>
        <v>12017</v>
      </c>
      <c r="B2" s="1">
        <v>42737</v>
      </c>
      <c r="C2" s="10">
        <v>42767.645833333336</v>
      </c>
      <c r="D2">
        <v>20793.349999999999</v>
      </c>
      <c r="E2">
        <v>20793.349999999999</v>
      </c>
      <c r="F2">
        <v>20574.7</v>
      </c>
      <c r="G2">
        <v>20710.349999999999</v>
      </c>
      <c r="H2">
        <v>0</v>
      </c>
    </row>
    <row r="3" spans="1:11" x14ac:dyDescent="0.25">
      <c r="A3" t="str">
        <f t="shared" ref="A3:A66" si="0">+MONTH(B3)&amp;YEAR(B3)</f>
        <v>12017</v>
      </c>
      <c r="B3" s="1">
        <v>42738</v>
      </c>
      <c r="C3" s="10">
        <v>42795.645833333336</v>
      </c>
      <c r="D3">
        <v>20719.599999999999</v>
      </c>
      <c r="E3">
        <v>20962.55</v>
      </c>
      <c r="F3">
        <v>20620.05</v>
      </c>
      <c r="G3">
        <v>20864.150000000001</v>
      </c>
      <c r="H3">
        <v>0</v>
      </c>
      <c r="I3" s="8">
        <f>+G3/G2-1</f>
        <v>7.4262385715355705E-3</v>
      </c>
      <c r="J3" s="8">
        <f>+LN(1+I3)</f>
        <v>7.3987998226022703E-3</v>
      </c>
    </row>
    <row r="4" spans="1:11" x14ac:dyDescent="0.25">
      <c r="A4" t="str">
        <f t="shared" si="0"/>
        <v>12017</v>
      </c>
      <c r="B4" s="1">
        <v>42739</v>
      </c>
      <c r="C4" s="10">
        <v>42826.645833333336</v>
      </c>
      <c r="D4">
        <v>20862.150000000001</v>
      </c>
      <c r="E4">
        <v>21014.6</v>
      </c>
      <c r="F4">
        <v>20676.75</v>
      </c>
      <c r="G4">
        <v>20935.25</v>
      </c>
      <c r="H4">
        <v>0</v>
      </c>
      <c r="I4" s="8">
        <f t="shared" ref="I4:I67" si="1">+G4/G3-1</f>
        <v>3.4077592425283409E-3</v>
      </c>
      <c r="J4" s="8">
        <f t="shared" ref="J4:J67" si="2">+LN(1+I4)</f>
        <v>3.4019659886130923E-3</v>
      </c>
    </row>
    <row r="5" spans="1:11" x14ac:dyDescent="0.25">
      <c r="A5" t="str">
        <f t="shared" si="0"/>
        <v>12017</v>
      </c>
      <c r="B5" s="1">
        <v>42740</v>
      </c>
      <c r="C5" s="10">
        <v>42856.645833333336</v>
      </c>
      <c r="D5">
        <v>20927.55</v>
      </c>
      <c r="E5">
        <v>21108.75</v>
      </c>
      <c r="F5">
        <v>20912.599999999999</v>
      </c>
      <c r="G5">
        <v>21070.5</v>
      </c>
      <c r="H5">
        <v>0</v>
      </c>
      <c r="I5" s="8">
        <f t="shared" si="1"/>
        <v>6.460395744020353E-3</v>
      </c>
      <c r="J5" s="8">
        <f t="shared" si="2"/>
        <v>6.4396168327474357E-3</v>
      </c>
    </row>
    <row r="6" spans="1:11" x14ac:dyDescent="0.25">
      <c r="A6" t="str">
        <f t="shared" si="0"/>
        <v>12017</v>
      </c>
      <c r="B6" s="1">
        <v>42741</v>
      </c>
      <c r="C6" s="10">
        <v>42887.645833333336</v>
      </c>
      <c r="D6">
        <v>21085.65</v>
      </c>
      <c r="E6">
        <v>21230.45</v>
      </c>
      <c r="F6">
        <v>20839.8</v>
      </c>
      <c r="G6">
        <v>20867.099999999999</v>
      </c>
      <c r="H6">
        <v>0</v>
      </c>
      <c r="I6" s="8">
        <f t="shared" si="1"/>
        <v>-9.6533067558910446E-3</v>
      </c>
      <c r="J6" s="8">
        <f t="shared" si="2"/>
        <v>-9.7002019614576326E-3</v>
      </c>
    </row>
    <row r="7" spans="1:11" x14ac:dyDescent="0.25">
      <c r="A7" t="str">
        <f t="shared" si="0"/>
        <v>12017</v>
      </c>
      <c r="B7" s="1">
        <v>42744</v>
      </c>
      <c r="C7" s="10">
        <v>42979.645833333336</v>
      </c>
      <c r="D7">
        <v>20906.5</v>
      </c>
      <c r="E7">
        <v>21021.1</v>
      </c>
      <c r="F7">
        <v>20842.8</v>
      </c>
      <c r="G7">
        <v>20987.25</v>
      </c>
      <c r="H7">
        <v>0</v>
      </c>
      <c r="I7" s="8">
        <f t="shared" si="1"/>
        <v>5.7578676481160329E-3</v>
      </c>
      <c r="J7" s="8">
        <f t="shared" si="2"/>
        <v>5.7413544849399577E-3</v>
      </c>
    </row>
    <row r="8" spans="1:11" x14ac:dyDescent="0.25">
      <c r="A8" t="str">
        <f t="shared" si="0"/>
        <v>12017</v>
      </c>
      <c r="B8" s="1">
        <v>42745</v>
      </c>
      <c r="C8" s="10">
        <v>43009.645833333336</v>
      </c>
      <c r="D8">
        <v>21019.65</v>
      </c>
      <c r="E8">
        <v>21207.200000000001</v>
      </c>
      <c r="F8">
        <v>21010.35</v>
      </c>
      <c r="G8">
        <v>21157.75</v>
      </c>
      <c r="H8">
        <v>0</v>
      </c>
      <c r="I8" s="8">
        <f t="shared" si="1"/>
        <v>8.1239800354977465E-3</v>
      </c>
      <c r="J8" s="8">
        <f t="shared" si="2"/>
        <v>8.0911581527428524E-3</v>
      </c>
    </row>
    <row r="9" spans="1:11" x14ac:dyDescent="0.25">
      <c r="A9" t="str">
        <f t="shared" si="0"/>
        <v>12017</v>
      </c>
      <c r="B9" s="1">
        <v>42746</v>
      </c>
      <c r="C9" s="10">
        <v>43040.645833333336</v>
      </c>
      <c r="D9">
        <v>21210.65</v>
      </c>
      <c r="E9">
        <v>21290.25</v>
      </c>
      <c r="F9">
        <v>21119.200000000001</v>
      </c>
      <c r="G9">
        <v>21194.55</v>
      </c>
      <c r="H9">
        <v>0</v>
      </c>
      <c r="I9" s="8">
        <f t="shared" si="1"/>
        <v>1.739315380888673E-3</v>
      </c>
      <c r="J9" s="8">
        <f t="shared" si="2"/>
        <v>1.7378045235428307E-3</v>
      </c>
    </row>
    <row r="10" spans="1:11" x14ac:dyDescent="0.25">
      <c r="A10" t="str">
        <f t="shared" si="0"/>
        <v>12017</v>
      </c>
      <c r="B10" s="1">
        <v>42747</v>
      </c>
      <c r="C10" s="10">
        <v>43070.645833333336</v>
      </c>
      <c r="D10">
        <v>21227.200000000001</v>
      </c>
      <c r="E10">
        <v>21227.200000000001</v>
      </c>
      <c r="F10">
        <v>20953.55</v>
      </c>
      <c r="G10">
        <v>20988.05</v>
      </c>
      <c r="H10">
        <v>0</v>
      </c>
      <c r="I10" s="8">
        <f t="shared" si="1"/>
        <v>-9.7430707422426766E-3</v>
      </c>
      <c r="J10" s="8">
        <f t="shared" si="2"/>
        <v>-9.7908450213745907E-3</v>
      </c>
    </row>
    <row r="11" spans="1:11" x14ac:dyDescent="0.25">
      <c r="A11" t="str">
        <f t="shared" si="0"/>
        <v>12017</v>
      </c>
      <c r="B11" s="1">
        <v>42748</v>
      </c>
      <c r="C11" t="s">
        <v>28</v>
      </c>
      <c r="D11">
        <v>21081.8</v>
      </c>
      <c r="E11">
        <v>21297.4</v>
      </c>
      <c r="F11">
        <v>20910.349999999999</v>
      </c>
      <c r="G11">
        <v>21232.95</v>
      </c>
      <c r="H11">
        <v>0</v>
      </c>
      <c r="I11" s="8">
        <f t="shared" si="1"/>
        <v>1.16685447194953E-2</v>
      </c>
      <c r="J11" s="8">
        <f t="shared" si="2"/>
        <v>1.1600992236517064E-2</v>
      </c>
    </row>
    <row r="12" spans="1:11" x14ac:dyDescent="0.25">
      <c r="A12" t="str">
        <f t="shared" si="0"/>
        <v>12017</v>
      </c>
      <c r="B12" s="1">
        <v>42751</v>
      </c>
      <c r="C12" t="s">
        <v>29</v>
      </c>
      <c r="D12">
        <v>21214.7</v>
      </c>
      <c r="E12">
        <v>21280.6</v>
      </c>
      <c r="F12">
        <v>21098.55</v>
      </c>
      <c r="G12">
        <v>21197.7</v>
      </c>
      <c r="H12">
        <v>0</v>
      </c>
      <c r="I12" s="8">
        <f t="shared" si="1"/>
        <v>-1.6601555601082341E-3</v>
      </c>
      <c r="J12" s="8">
        <f t="shared" si="2"/>
        <v>-1.6615351454457184E-3</v>
      </c>
    </row>
    <row r="13" spans="1:11" x14ac:dyDescent="0.25">
      <c r="A13" t="str">
        <f t="shared" si="0"/>
        <v>12017</v>
      </c>
      <c r="B13" s="1">
        <v>42752</v>
      </c>
      <c r="C13" t="s">
        <v>30</v>
      </c>
      <c r="D13">
        <v>21203.45</v>
      </c>
      <c r="E13">
        <v>21466.05</v>
      </c>
      <c r="F13">
        <v>21199.75</v>
      </c>
      <c r="G13">
        <v>21442.95</v>
      </c>
      <c r="H13">
        <v>0</v>
      </c>
      <c r="I13" s="8">
        <f t="shared" si="1"/>
        <v>1.1569651424446992E-2</v>
      </c>
      <c r="J13" s="8">
        <f t="shared" si="2"/>
        <v>1.150323479469381E-2</v>
      </c>
    </row>
    <row r="14" spans="1:11" x14ac:dyDescent="0.25">
      <c r="A14" t="str">
        <f t="shared" si="0"/>
        <v>12017</v>
      </c>
      <c r="B14" s="1">
        <v>42753</v>
      </c>
      <c r="C14" t="s">
        <v>31</v>
      </c>
      <c r="D14">
        <v>21446.45</v>
      </c>
      <c r="E14">
        <v>21685</v>
      </c>
      <c r="F14">
        <v>21439.7</v>
      </c>
      <c r="G14">
        <v>21529.55</v>
      </c>
      <c r="H14">
        <v>0</v>
      </c>
      <c r="I14" s="8">
        <f t="shared" si="1"/>
        <v>4.0386234170204371E-3</v>
      </c>
      <c r="J14" s="8">
        <f t="shared" si="2"/>
        <v>4.0304900684686963E-3</v>
      </c>
    </row>
    <row r="15" spans="1:11" x14ac:dyDescent="0.25">
      <c r="A15" t="str">
        <f t="shared" si="0"/>
        <v>12017</v>
      </c>
      <c r="B15" s="1">
        <v>42754</v>
      </c>
      <c r="C15" t="s">
        <v>32</v>
      </c>
      <c r="D15">
        <v>21490.45</v>
      </c>
      <c r="E15">
        <v>21698.799999999999</v>
      </c>
      <c r="F15">
        <v>21471.3</v>
      </c>
      <c r="G15">
        <v>21634.15</v>
      </c>
      <c r="H15">
        <v>0</v>
      </c>
      <c r="I15" s="8">
        <f t="shared" si="1"/>
        <v>4.8584387504617688E-3</v>
      </c>
      <c r="J15" s="8">
        <f t="shared" si="2"/>
        <v>4.8466746250504971E-3</v>
      </c>
    </row>
    <row r="16" spans="1:11" x14ac:dyDescent="0.25">
      <c r="A16" t="str">
        <f t="shared" si="0"/>
        <v>12017</v>
      </c>
      <c r="B16" s="1">
        <v>42755</v>
      </c>
      <c r="C16" t="s">
        <v>33</v>
      </c>
      <c r="D16">
        <v>21623.9</v>
      </c>
      <c r="E16">
        <v>21723.35</v>
      </c>
      <c r="F16">
        <v>21596.6</v>
      </c>
      <c r="G16">
        <v>21641.05</v>
      </c>
      <c r="H16">
        <v>0</v>
      </c>
      <c r="I16" s="8">
        <f t="shared" si="1"/>
        <v>3.1894019409128838E-4</v>
      </c>
      <c r="J16" s="8">
        <f t="shared" si="2"/>
        <v>3.188893434795002E-4</v>
      </c>
    </row>
    <row r="17" spans="1:10" x14ac:dyDescent="0.25">
      <c r="A17" t="str">
        <f t="shared" si="0"/>
        <v>12017</v>
      </c>
      <c r="B17" s="1">
        <v>42758</v>
      </c>
      <c r="C17" t="s">
        <v>34</v>
      </c>
      <c r="D17">
        <v>21613.85</v>
      </c>
      <c r="E17">
        <v>21898.5</v>
      </c>
      <c r="F17">
        <v>21612.45</v>
      </c>
      <c r="G17">
        <v>21873.8</v>
      </c>
      <c r="H17">
        <v>0</v>
      </c>
      <c r="I17" s="8">
        <f t="shared" si="1"/>
        <v>1.0755023439250833E-2</v>
      </c>
      <c r="J17" s="8">
        <f t="shared" si="2"/>
        <v>1.0697599538018587E-2</v>
      </c>
    </row>
    <row r="18" spans="1:10" x14ac:dyDescent="0.25">
      <c r="A18" t="str">
        <f t="shared" si="0"/>
        <v>12017</v>
      </c>
      <c r="B18" s="1">
        <v>42759</v>
      </c>
      <c r="C18" t="s">
        <v>35</v>
      </c>
      <c r="D18">
        <v>21871.3</v>
      </c>
      <c r="E18">
        <v>21934.9</v>
      </c>
      <c r="F18">
        <v>21716.5</v>
      </c>
      <c r="G18">
        <v>21908.400000000001</v>
      </c>
      <c r="H18">
        <v>0</v>
      </c>
      <c r="I18" s="8">
        <f t="shared" si="1"/>
        <v>1.5818010588011244E-3</v>
      </c>
      <c r="J18" s="8">
        <f t="shared" si="2"/>
        <v>1.5805513292151279E-3</v>
      </c>
    </row>
    <row r="19" spans="1:10" x14ac:dyDescent="0.25">
      <c r="A19" t="str">
        <f t="shared" si="0"/>
        <v>12017</v>
      </c>
      <c r="B19" s="1">
        <v>42760</v>
      </c>
      <c r="C19" t="s">
        <v>36</v>
      </c>
      <c r="D19">
        <v>21903.4</v>
      </c>
      <c r="E19">
        <v>22260.799999999999</v>
      </c>
      <c r="F19">
        <v>21888.799999999999</v>
      </c>
      <c r="G19">
        <v>22206.25</v>
      </c>
      <c r="H19">
        <v>0</v>
      </c>
      <c r="I19" s="8">
        <f t="shared" si="1"/>
        <v>1.3595242007631736E-2</v>
      </c>
      <c r="J19" s="8">
        <f t="shared" si="2"/>
        <v>1.3503655861872287E-2</v>
      </c>
    </row>
    <row r="20" spans="1:10" x14ac:dyDescent="0.25">
      <c r="A20" t="str">
        <f t="shared" si="0"/>
        <v>12017</v>
      </c>
      <c r="B20" s="1">
        <v>42762</v>
      </c>
      <c r="C20" t="s">
        <v>37</v>
      </c>
      <c r="D20">
        <v>22135.35</v>
      </c>
      <c r="E20">
        <v>22312.2</v>
      </c>
      <c r="F20">
        <v>21744.7</v>
      </c>
      <c r="G20">
        <v>21798.2</v>
      </c>
      <c r="H20">
        <v>0</v>
      </c>
      <c r="I20" s="8">
        <f t="shared" si="1"/>
        <v>-1.8375457359977476E-2</v>
      </c>
      <c r="J20" s="8">
        <f t="shared" si="2"/>
        <v>-1.8546383208487904E-2</v>
      </c>
    </row>
    <row r="21" spans="1:10" x14ac:dyDescent="0.25">
      <c r="A21" t="str">
        <f t="shared" si="0"/>
        <v>12017</v>
      </c>
      <c r="B21" s="1">
        <v>42765</v>
      </c>
      <c r="C21" t="s">
        <v>38</v>
      </c>
      <c r="D21">
        <v>21851.200000000001</v>
      </c>
      <c r="E21">
        <v>21997.1</v>
      </c>
      <c r="F21">
        <v>21747.65</v>
      </c>
      <c r="G21">
        <v>21786.3</v>
      </c>
      <c r="H21">
        <v>0</v>
      </c>
      <c r="I21" s="8">
        <f t="shared" si="1"/>
        <v>-5.4591663531855517E-4</v>
      </c>
      <c r="J21" s="8">
        <f t="shared" si="2"/>
        <v>-5.4606570205939183E-4</v>
      </c>
    </row>
    <row r="22" spans="1:10" x14ac:dyDescent="0.25">
      <c r="A22" t="str">
        <f t="shared" si="0"/>
        <v>12017</v>
      </c>
      <c r="B22" s="1">
        <v>42766</v>
      </c>
      <c r="C22" t="s">
        <v>39</v>
      </c>
      <c r="D22">
        <v>21812.45</v>
      </c>
      <c r="E22">
        <v>21949.65</v>
      </c>
      <c r="F22">
        <v>21725.95</v>
      </c>
      <c r="G22">
        <v>21832.65</v>
      </c>
      <c r="H22">
        <v>0</v>
      </c>
      <c r="I22" s="8">
        <f t="shared" si="1"/>
        <v>2.1274837856819495E-3</v>
      </c>
      <c r="J22" s="8">
        <f t="shared" si="2"/>
        <v>2.125223896736556E-3</v>
      </c>
    </row>
    <row r="23" spans="1:10" x14ac:dyDescent="0.25">
      <c r="A23" t="str">
        <f t="shared" si="0"/>
        <v>22017</v>
      </c>
      <c r="B23" s="1">
        <v>42767</v>
      </c>
      <c r="C23" s="10">
        <v>42737.645833333336</v>
      </c>
      <c r="D23">
        <v>21930.65</v>
      </c>
      <c r="E23">
        <v>22519.25</v>
      </c>
      <c r="F23">
        <v>21845</v>
      </c>
      <c r="G23">
        <v>22496.7</v>
      </c>
      <c r="H23">
        <v>0</v>
      </c>
      <c r="I23" s="8">
        <f t="shared" si="1"/>
        <v>3.0415455750905096E-2</v>
      </c>
      <c r="J23" s="8">
        <f t="shared" si="2"/>
        <v>2.9962076013711036E-2</v>
      </c>
    </row>
    <row r="24" spans="1:10" x14ac:dyDescent="0.25">
      <c r="A24" t="str">
        <f t="shared" si="0"/>
        <v>22017</v>
      </c>
      <c r="B24" s="1">
        <v>42768</v>
      </c>
      <c r="C24" s="10">
        <v>42768.645833333336</v>
      </c>
      <c r="D24">
        <v>22582.799999999999</v>
      </c>
      <c r="E24">
        <v>22980.25</v>
      </c>
      <c r="F24">
        <v>22436.35</v>
      </c>
      <c r="G24">
        <v>22696.2</v>
      </c>
      <c r="H24">
        <v>0</v>
      </c>
      <c r="I24" s="8">
        <f t="shared" si="1"/>
        <v>8.8679673018710048E-3</v>
      </c>
      <c r="J24" s="8">
        <f t="shared" si="2"/>
        <v>8.8288778061079501E-3</v>
      </c>
    </row>
    <row r="25" spans="1:10" x14ac:dyDescent="0.25">
      <c r="A25" t="str">
        <f t="shared" si="0"/>
        <v>22017</v>
      </c>
      <c r="B25" s="1">
        <v>42769</v>
      </c>
      <c r="C25" s="10">
        <v>42796.645833333336</v>
      </c>
      <c r="D25">
        <v>22686.95</v>
      </c>
      <c r="E25">
        <v>22765.65</v>
      </c>
      <c r="F25">
        <v>22494.75</v>
      </c>
      <c r="G25">
        <v>22645.15</v>
      </c>
      <c r="H25">
        <v>0</v>
      </c>
      <c r="I25" s="8">
        <f t="shared" si="1"/>
        <v>-2.2492752090658152E-3</v>
      </c>
      <c r="J25" s="8">
        <f t="shared" si="2"/>
        <v>-2.2518086281663129E-3</v>
      </c>
    </row>
    <row r="26" spans="1:10" x14ac:dyDescent="0.25">
      <c r="A26" t="str">
        <f t="shared" si="0"/>
        <v>22017</v>
      </c>
      <c r="B26" s="1">
        <v>42772</v>
      </c>
      <c r="C26" s="10">
        <v>42888.645833333336</v>
      </c>
      <c r="D26">
        <v>22758.65</v>
      </c>
      <c r="E26">
        <v>22993.7</v>
      </c>
      <c r="F26">
        <v>22726.15</v>
      </c>
      <c r="G26">
        <v>22904.400000000001</v>
      </c>
      <c r="H26">
        <v>0</v>
      </c>
      <c r="I26" s="8">
        <f t="shared" si="1"/>
        <v>1.1448367531237347E-2</v>
      </c>
      <c r="J26" s="8">
        <f t="shared" si="2"/>
        <v>1.1383330876667848E-2</v>
      </c>
    </row>
    <row r="27" spans="1:10" x14ac:dyDescent="0.25">
      <c r="A27" t="str">
        <f t="shared" si="0"/>
        <v>22017</v>
      </c>
      <c r="B27" s="1">
        <v>42773</v>
      </c>
      <c r="C27" s="10">
        <v>42918.645833333336</v>
      </c>
      <c r="D27">
        <v>23015.5</v>
      </c>
      <c r="E27">
        <v>23602</v>
      </c>
      <c r="F27">
        <v>22817.4</v>
      </c>
      <c r="G27">
        <v>22877.75</v>
      </c>
      <c r="H27">
        <v>0</v>
      </c>
      <c r="I27" s="8">
        <f t="shared" si="1"/>
        <v>-1.1635318978013842E-3</v>
      </c>
      <c r="J27" s="8">
        <f t="shared" si="2"/>
        <v>-1.164209326564283E-3</v>
      </c>
    </row>
    <row r="28" spans="1:10" x14ac:dyDescent="0.25">
      <c r="A28" t="str">
        <f t="shared" si="0"/>
        <v>22017</v>
      </c>
      <c r="B28" s="1">
        <v>42774</v>
      </c>
      <c r="C28" s="10">
        <v>42949.645833333336</v>
      </c>
      <c r="D28">
        <v>22832.05</v>
      </c>
      <c r="E28">
        <v>22945.5</v>
      </c>
      <c r="F28">
        <v>22605.7</v>
      </c>
      <c r="G28">
        <v>22766.25</v>
      </c>
      <c r="H28">
        <v>0</v>
      </c>
      <c r="I28" s="8">
        <f t="shared" si="1"/>
        <v>-4.8737310268710532E-3</v>
      </c>
      <c r="J28" s="8">
        <f t="shared" si="2"/>
        <v>-4.8856463845292127E-3</v>
      </c>
    </row>
    <row r="29" spans="1:10" x14ac:dyDescent="0.25">
      <c r="A29" t="str">
        <f t="shared" si="0"/>
        <v>22017</v>
      </c>
      <c r="B29" s="1">
        <v>42775</v>
      </c>
      <c r="C29" s="10">
        <v>42980.645833333336</v>
      </c>
      <c r="D29">
        <v>22834</v>
      </c>
      <c r="E29">
        <v>22924.2</v>
      </c>
      <c r="F29">
        <v>22589.599999999999</v>
      </c>
      <c r="G29">
        <v>22874.95</v>
      </c>
      <c r="H29">
        <v>0</v>
      </c>
      <c r="I29" s="8">
        <f t="shared" si="1"/>
        <v>4.7746115412068413E-3</v>
      </c>
      <c r="J29" s="8">
        <f t="shared" si="2"/>
        <v>4.7632492362300058E-3</v>
      </c>
    </row>
    <row r="30" spans="1:10" x14ac:dyDescent="0.25">
      <c r="A30" t="str">
        <f t="shared" si="0"/>
        <v>22017</v>
      </c>
      <c r="B30" s="1">
        <v>42776</v>
      </c>
      <c r="C30" s="10">
        <v>43010.645833333336</v>
      </c>
      <c r="D30">
        <v>22921.5</v>
      </c>
      <c r="E30">
        <v>22961.05</v>
      </c>
      <c r="F30">
        <v>22608.2</v>
      </c>
      <c r="G30">
        <v>22709.3</v>
      </c>
      <c r="H30">
        <v>0</v>
      </c>
      <c r="I30" s="8">
        <f t="shared" si="1"/>
        <v>-7.2415458831605051E-3</v>
      </c>
      <c r="J30" s="8">
        <f t="shared" si="2"/>
        <v>-7.2678931502346052E-3</v>
      </c>
    </row>
    <row r="31" spans="1:10" x14ac:dyDescent="0.25">
      <c r="A31" t="str">
        <f t="shared" si="0"/>
        <v>22017</v>
      </c>
      <c r="B31" s="1">
        <v>42779</v>
      </c>
      <c r="C31" t="s">
        <v>40</v>
      </c>
      <c r="D31">
        <v>22839.7</v>
      </c>
      <c r="E31">
        <v>22880.65</v>
      </c>
      <c r="F31">
        <v>22479.9</v>
      </c>
      <c r="G31">
        <v>22649</v>
      </c>
      <c r="H31">
        <v>0</v>
      </c>
      <c r="I31" s="8">
        <f t="shared" si="1"/>
        <v>-2.6552998110905834E-3</v>
      </c>
      <c r="J31" s="8">
        <f t="shared" si="2"/>
        <v>-2.6588313725889705E-3</v>
      </c>
    </row>
    <row r="32" spans="1:10" x14ac:dyDescent="0.25">
      <c r="A32" t="str">
        <f t="shared" si="0"/>
        <v>22017</v>
      </c>
      <c r="B32" s="1">
        <v>42780</v>
      </c>
      <c r="C32" t="s">
        <v>41</v>
      </c>
      <c r="D32">
        <v>22633.1</v>
      </c>
      <c r="E32">
        <v>22776.400000000001</v>
      </c>
      <c r="F32">
        <v>22512.2</v>
      </c>
      <c r="G32">
        <v>22596.05</v>
      </c>
      <c r="H32">
        <v>0</v>
      </c>
      <c r="I32" s="8">
        <f t="shared" si="1"/>
        <v>-2.3378515607753725E-3</v>
      </c>
      <c r="J32" s="8">
        <f t="shared" si="2"/>
        <v>-2.3405886024323399E-3</v>
      </c>
    </row>
    <row r="33" spans="1:10" x14ac:dyDescent="0.25">
      <c r="A33" t="str">
        <f t="shared" si="0"/>
        <v>22017</v>
      </c>
      <c r="B33" s="1">
        <v>42781</v>
      </c>
      <c r="C33" t="s">
        <v>42</v>
      </c>
      <c r="D33">
        <v>22616.7</v>
      </c>
      <c r="E33">
        <v>22821.35</v>
      </c>
      <c r="F33">
        <v>22573.35</v>
      </c>
      <c r="G33">
        <v>22674.400000000001</v>
      </c>
      <c r="H33">
        <v>0</v>
      </c>
      <c r="I33" s="8">
        <f t="shared" si="1"/>
        <v>3.4674201906972346E-3</v>
      </c>
      <c r="J33" s="8">
        <f t="shared" si="2"/>
        <v>3.4614225495371437E-3</v>
      </c>
    </row>
    <row r="34" spans="1:10" x14ac:dyDescent="0.25">
      <c r="A34" t="str">
        <f t="shared" si="0"/>
        <v>22017</v>
      </c>
      <c r="B34" s="1">
        <v>42782</v>
      </c>
      <c r="C34" t="s">
        <v>43</v>
      </c>
      <c r="D34">
        <v>22547.75</v>
      </c>
      <c r="E34">
        <v>22602.35</v>
      </c>
      <c r="F34">
        <v>22334.75</v>
      </c>
      <c r="G34">
        <v>22379.7</v>
      </c>
      <c r="H34">
        <v>0</v>
      </c>
      <c r="I34" s="8">
        <f t="shared" si="1"/>
        <v>-1.2997036305260612E-2</v>
      </c>
      <c r="J34" s="8">
        <f t="shared" si="2"/>
        <v>-1.3082236822931245E-2</v>
      </c>
    </row>
    <row r="35" spans="1:10" x14ac:dyDescent="0.25">
      <c r="A35" t="str">
        <f t="shared" si="0"/>
        <v>22017</v>
      </c>
      <c r="B35" s="1">
        <v>42783</v>
      </c>
      <c r="C35" t="s">
        <v>44</v>
      </c>
      <c r="D35">
        <v>22434.5</v>
      </c>
      <c r="E35">
        <v>22482.85</v>
      </c>
      <c r="F35">
        <v>22236.2</v>
      </c>
      <c r="G35">
        <v>22445.8</v>
      </c>
      <c r="H35">
        <v>0</v>
      </c>
      <c r="I35" s="8">
        <f t="shared" si="1"/>
        <v>2.9535695295288544E-3</v>
      </c>
      <c r="J35" s="8">
        <f t="shared" si="2"/>
        <v>2.9492163126254027E-3</v>
      </c>
    </row>
    <row r="36" spans="1:10" x14ac:dyDescent="0.25">
      <c r="A36" t="str">
        <f t="shared" si="0"/>
        <v>22017</v>
      </c>
      <c r="B36" s="1">
        <v>42786</v>
      </c>
      <c r="C36" t="s">
        <v>45</v>
      </c>
      <c r="D36">
        <v>22388.45</v>
      </c>
      <c r="E36">
        <v>22477.5</v>
      </c>
      <c r="F36">
        <v>22386.05</v>
      </c>
      <c r="G36">
        <v>22439.65</v>
      </c>
      <c r="H36">
        <v>0</v>
      </c>
      <c r="I36" s="8">
        <f t="shared" si="1"/>
        <v>-2.7399335287658921E-4</v>
      </c>
      <c r="J36" s="8">
        <f t="shared" si="2"/>
        <v>-2.7403089591315104E-4</v>
      </c>
    </row>
    <row r="37" spans="1:10" x14ac:dyDescent="0.25">
      <c r="A37" t="str">
        <f t="shared" si="0"/>
        <v>22017</v>
      </c>
      <c r="B37" s="1">
        <v>42787</v>
      </c>
      <c r="C37" t="s">
        <v>46</v>
      </c>
      <c r="D37">
        <v>22443.05</v>
      </c>
      <c r="E37">
        <v>22487.5</v>
      </c>
      <c r="F37">
        <v>22232.6</v>
      </c>
      <c r="G37">
        <v>22450.55</v>
      </c>
      <c r="H37">
        <v>0</v>
      </c>
      <c r="I37" s="8">
        <f t="shared" si="1"/>
        <v>4.8574732671835541E-4</v>
      </c>
      <c r="J37" s="8">
        <f t="shared" si="2"/>
        <v>4.8562938967583826E-4</v>
      </c>
    </row>
    <row r="38" spans="1:10" x14ac:dyDescent="0.25">
      <c r="A38" t="str">
        <f t="shared" si="0"/>
        <v>22017</v>
      </c>
      <c r="B38" s="1">
        <v>42788</v>
      </c>
      <c r="C38" t="s">
        <v>47</v>
      </c>
      <c r="D38">
        <v>22537.85</v>
      </c>
      <c r="E38">
        <v>22593.75</v>
      </c>
      <c r="F38">
        <v>22338.55</v>
      </c>
      <c r="G38">
        <v>22426.400000000001</v>
      </c>
      <c r="H38">
        <v>0</v>
      </c>
      <c r="I38" s="8">
        <f t="shared" si="1"/>
        <v>-1.0756974773445949E-3</v>
      </c>
      <c r="J38" s="8">
        <f t="shared" si="2"/>
        <v>-1.0762764551165043E-3</v>
      </c>
    </row>
    <row r="39" spans="1:10" x14ac:dyDescent="0.25">
      <c r="A39" t="str">
        <f t="shared" si="0"/>
        <v>22017</v>
      </c>
      <c r="B39" s="1">
        <v>42789</v>
      </c>
      <c r="C39" t="s">
        <v>48</v>
      </c>
      <c r="D39">
        <v>22479.85</v>
      </c>
      <c r="E39">
        <v>22557.4</v>
      </c>
      <c r="F39">
        <v>22327.65</v>
      </c>
      <c r="G39">
        <v>22434.75</v>
      </c>
      <c r="H39">
        <v>0</v>
      </c>
      <c r="I39" s="8">
        <f t="shared" si="1"/>
        <v>3.7232904077333373E-4</v>
      </c>
      <c r="J39" s="8">
        <f t="shared" si="2"/>
        <v>3.7225974351641933E-4</v>
      </c>
    </row>
    <row r="40" spans="1:10" x14ac:dyDescent="0.25">
      <c r="A40" t="str">
        <f t="shared" si="0"/>
        <v>22017</v>
      </c>
      <c r="B40" s="1">
        <v>42793</v>
      </c>
      <c r="C40" t="s">
        <v>49</v>
      </c>
      <c r="D40">
        <v>22435.7</v>
      </c>
      <c r="E40">
        <v>22471.3</v>
      </c>
      <c r="F40">
        <v>22081.200000000001</v>
      </c>
      <c r="G40">
        <v>22419.599999999999</v>
      </c>
      <c r="H40">
        <v>0</v>
      </c>
      <c r="I40" s="8">
        <f t="shared" si="1"/>
        <v>-6.7529167920310496E-4</v>
      </c>
      <c r="J40" s="8">
        <f t="shared" si="2"/>
        <v>-6.7551979132970063E-4</v>
      </c>
    </row>
    <row r="41" spans="1:10" x14ac:dyDescent="0.25">
      <c r="A41" t="str">
        <f t="shared" si="0"/>
        <v>22017</v>
      </c>
      <c r="B41" s="1">
        <v>42794</v>
      </c>
      <c r="C41" t="s">
        <v>50</v>
      </c>
      <c r="D41">
        <v>22358.25</v>
      </c>
      <c r="E41">
        <v>22430.799999999999</v>
      </c>
      <c r="F41">
        <v>22278.25</v>
      </c>
      <c r="G41">
        <v>22338.2</v>
      </c>
      <c r="H41">
        <v>0</v>
      </c>
      <c r="I41" s="8">
        <f t="shared" si="1"/>
        <v>-3.6307516637227311E-3</v>
      </c>
      <c r="J41" s="8">
        <f t="shared" si="2"/>
        <v>-3.6373588400704002E-3</v>
      </c>
    </row>
    <row r="42" spans="1:10" x14ac:dyDescent="0.25">
      <c r="A42" t="str">
        <f t="shared" si="0"/>
        <v>32017</v>
      </c>
      <c r="B42" s="1">
        <v>42795</v>
      </c>
      <c r="C42" s="10">
        <v>42738.645833333336</v>
      </c>
      <c r="D42">
        <v>22378.35</v>
      </c>
      <c r="E42">
        <v>22716.55</v>
      </c>
      <c r="F42">
        <v>22366.7</v>
      </c>
      <c r="G42">
        <v>22650.85</v>
      </c>
      <c r="H42">
        <v>0</v>
      </c>
      <c r="I42" s="8">
        <f t="shared" si="1"/>
        <v>1.3996203812303598E-2</v>
      </c>
      <c r="J42" s="8">
        <f t="shared" si="2"/>
        <v>1.3899161387134956E-2</v>
      </c>
    </row>
    <row r="43" spans="1:10" x14ac:dyDescent="0.25">
      <c r="A43" t="str">
        <f t="shared" si="0"/>
        <v>32017</v>
      </c>
      <c r="B43" s="1">
        <v>42796</v>
      </c>
      <c r="C43" s="10">
        <v>42769.645833333336</v>
      </c>
      <c r="D43">
        <v>22688.55</v>
      </c>
      <c r="E43">
        <v>22777.4</v>
      </c>
      <c r="F43">
        <v>22350.5</v>
      </c>
      <c r="G43">
        <v>22417.3</v>
      </c>
      <c r="H43">
        <v>0</v>
      </c>
      <c r="I43" s="8">
        <f t="shared" si="1"/>
        <v>-1.0310871335954208E-2</v>
      </c>
      <c r="J43" s="8">
        <f t="shared" si="2"/>
        <v>-1.0364396615879021E-2</v>
      </c>
    </row>
    <row r="44" spans="1:10" x14ac:dyDescent="0.25">
      <c r="A44" t="str">
        <f t="shared" si="0"/>
        <v>32017</v>
      </c>
      <c r="B44" s="1">
        <v>42797</v>
      </c>
      <c r="C44" s="10">
        <v>42797.645833333336</v>
      </c>
      <c r="D44">
        <v>22294.15</v>
      </c>
      <c r="E44">
        <v>22361.75</v>
      </c>
      <c r="F44">
        <v>22097.95</v>
      </c>
      <c r="G44">
        <v>22280.7</v>
      </c>
      <c r="H44">
        <v>0</v>
      </c>
      <c r="I44" s="8">
        <f t="shared" si="1"/>
        <v>-6.093508138803494E-3</v>
      </c>
      <c r="J44" s="8">
        <f t="shared" si="2"/>
        <v>-6.1121493249141397E-3</v>
      </c>
    </row>
    <row r="45" spans="1:10" x14ac:dyDescent="0.25">
      <c r="A45" t="str">
        <f t="shared" si="0"/>
        <v>32017</v>
      </c>
      <c r="B45" s="1">
        <v>42800</v>
      </c>
      <c r="C45" s="10">
        <v>42889.645833333336</v>
      </c>
      <c r="D45">
        <v>22354.75</v>
      </c>
      <c r="E45">
        <v>22435.25</v>
      </c>
      <c r="F45">
        <v>22280.1</v>
      </c>
      <c r="G45">
        <v>22392.3</v>
      </c>
      <c r="H45">
        <v>0</v>
      </c>
      <c r="I45" s="8">
        <f t="shared" si="1"/>
        <v>5.0088192920330066E-3</v>
      </c>
      <c r="J45" s="8">
        <f t="shared" si="2"/>
        <v>4.9963168874935602E-3</v>
      </c>
    </row>
    <row r="46" spans="1:10" x14ac:dyDescent="0.25">
      <c r="A46" t="str">
        <f t="shared" si="0"/>
        <v>32017</v>
      </c>
      <c r="B46" s="1">
        <v>42801</v>
      </c>
      <c r="C46" s="10">
        <v>42919.645833333336</v>
      </c>
      <c r="D46">
        <v>22417.45</v>
      </c>
      <c r="E46">
        <v>22450.95</v>
      </c>
      <c r="F46">
        <v>22251.4</v>
      </c>
      <c r="G46">
        <v>22393.1</v>
      </c>
      <c r="H46">
        <v>0</v>
      </c>
      <c r="I46" s="8">
        <f t="shared" si="1"/>
        <v>3.5726566721461239E-5</v>
      </c>
      <c r="J46" s="8">
        <f t="shared" si="2"/>
        <v>3.5725928542876297E-5</v>
      </c>
    </row>
    <row r="47" spans="1:10" x14ac:dyDescent="0.25">
      <c r="A47" t="str">
        <f t="shared" si="0"/>
        <v>32017</v>
      </c>
      <c r="B47" s="1">
        <v>42802</v>
      </c>
      <c r="C47" s="10">
        <v>42950.645833333336</v>
      </c>
      <c r="D47">
        <v>22400.2</v>
      </c>
      <c r="E47">
        <v>22430.25</v>
      </c>
      <c r="F47">
        <v>22296.9</v>
      </c>
      <c r="G47">
        <v>22365.200000000001</v>
      </c>
      <c r="H47">
        <v>0</v>
      </c>
      <c r="I47" s="8">
        <f t="shared" si="1"/>
        <v>-1.2459195019893787E-3</v>
      </c>
      <c r="J47" s="8">
        <f t="shared" si="2"/>
        <v>-1.2466963049817983E-3</v>
      </c>
    </row>
    <row r="48" spans="1:10" x14ac:dyDescent="0.25">
      <c r="A48" t="str">
        <f t="shared" si="0"/>
        <v>32017</v>
      </c>
      <c r="B48" s="1">
        <v>42803</v>
      </c>
      <c r="C48" s="10">
        <v>42981.645833333336</v>
      </c>
      <c r="D48">
        <v>22440.7</v>
      </c>
      <c r="E48">
        <v>22449.8</v>
      </c>
      <c r="F48">
        <v>22259.3</v>
      </c>
      <c r="G48">
        <v>22392</v>
      </c>
      <c r="H48">
        <v>0</v>
      </c>
      <c r="I48" s="8">
        <f t="shared" si="1"/>
        <v>1.1982902008476071E-3</v>
      </c>
      <c r="J48" s="8">
        <f t="shared" si="2"/>
        <v>1.1975728241713209E-3</v>
      </c>
    </row>
    <row r="49" spans="1:11" x14ac:dyDescent="0.25">
      <c r="A49" t="str">
        <f t="shared" si="0"/>
        <v>32017</v>
      </c>
      <c r="B49" s="1">
        <v>42804</v>
      </c>
      <c r="C49" s="10">
        <v>43011.645833333336</v>
      </c>
      <c r="D49">
        <v>22405.05</v>
      </c>
      <c r="E49">
        <v>22441.45</v>
      </c>
      <c r="F49">
        <v>22287.95</v>
      </c>
      <c r="G49">
        <v>22341.75</v>
      </c>
      <c r="H49">
        <v>0</v>
      </c>
      <c r="I49" s="8">
        <f t="shared" si="1"/>
        <v>-2.2441050375133775E-3</v>
      </c>
      <c r="J49" s="8">
        <f t="shared" si="2"/>
        <v>-2.2466268146846937E-3</v>
      </c>
    </row>
    <row r="50" spans="1:11" x14ac:dyDescent="0.25">
      <c r="A50" t="str">
        <f t="shared" si="0"/>
        <v>32017</v>
      </c>
      <c r="B50" s="1">
        <v>42808</v>
      </c>
      <c r="C50" t="s">
        <v>51</v>
      </c>
      <c r="D50">
        <v>22567.35</v>
      </c>
      <c r="E50">
        <v>22825.200000000001</v>
      </c>
      <c r="F50">
        <v>22566.15</v>
      </c>
      <c r="G50">
        <v>22743.75</v>
      </c>
      <c r="H50">
        <v>0</v>
      </c>
      <c r="I50" s="8">
        <f t="shared" si="1"/>
        <v>1.7993218973446634E-2</v>
      </c>
      <c r="J50" s="8">
        <f t="shared" si="2"/>
        <v>1.7833256979865281E-2</v>
      </c>
    </row>
    <row r="51" spans="1:11" x14ac:dyDescent="0.25">
      <c r="A51" t="str">
        <f t="shared" si="0"/>
        <v>32017</v>
      </c>
      <c r="B51" s="1">
        <v>42809</v>
      </c>
      <c r="C51" t="s">
        <v>52</v>
      </c>
      <c r="D51">
        <v>22662.1</v>
      </c>
      <c r="E51">
        <v>22910.05</v>
      </c>
      <c r="F51">
        <v>22662.1</v>
      </c>
      <c r="G51">
        <v>22793.15</v>
      </c>
      <c r="H51">
        <v>0</v>
      </c>
      <c r="I51" s="8">
        <f t="shared" si="1"/>
        <v>2.1720252816708197E-3</v>
      </c>
      <c r="J51" s="8">
        <f t="shared" si="2"/>
        <v>2.1696698448542889E-3</v>
      </c>
    </row>
    <row r="52" spans="1:11" x14ac:dyDescent="0.25">
      <c r="A52" t="str">
        <f t="shared" si="0"/>
        <v>32017</v>
      </c>
      <c r="B52" s="1">
        <v>42810</v>
      </c>
      <c r="C52" t="s">
        <v>53</v>
      </c>
      <c r="D52">
        <v>22930.85</v>
      </c>
      <c r="E52">
        <v>22986.05</v>
      </c>
      <c r="F52">
        <v>22806.75</v>
      </c>
      <c r="G52">
        <v>22905.45</v>
      </c>
      <c r="H52">
        <v>0</v>
      </c>
      <c r="I52" s="8">
        <f t="shared" si="1"/>
        <v>4.9269188330705038E-3</v>
      </c>
      <c r="J52" s="8">
        <f t="shared" si="2"/>
        <v>4.9148212879534187E-3</v>
      </c>
    </row>
    <row r="53" spans="1:11" x14ac:dyDescent="0.25">
      <c r="A53" t="str">
        <f t="shared" si="0"/>
        <v>32017</v>
      </c>
      <c r="B53" s="1">
        <v>42811</v>
      </c>
      <c r="C53" t="s">
        <v>54</v>
      </c>
      <c r="D53">
        <v>23293.599999999999</v>
      </c>
      <c r="E53">
        <v>23843.9</v>
      </c>
      <c r="F53">
        <v>23293.599999999999</v>
      </c>
      <c r="G53">
        <v>23491.25</v>
      </c>
      <c r="H53">
        <v>0</v>
      </c>
      <c r="I53" s="8">
        <f t="shared" si="1"/>
        <v>2.5574699471086593E-2</v>
      </c>
      <c r="J53" s="8">
        <f t="shared" si="2"/>
        <v>2.5253137877533027E-2</v>
      </c>
    </row>
    <row r="54" spans="1:11" x14ac:dyDescent="0.25">
      <c r="A54" t="str">
        <f t="shared" si="0"/>
        <v>32017</v>
      </c>
      <c r="B54" s="1">
        <v>42814</v>
      </c>
      <c r="C54" t="s">
        <v>55</v>
      </c>
      <c r="D54">
        <v>23577.599999999999</v>
      </c>
      <c r="E54">
        <v>23605.65</v>
      </c>
      <c r="F54">
        <v>23336.7</v>
      </c>
      <c r="G54">
        <v>23500.25</v>
      </c>
      <c r="H54">
        <v>0</v>
      </c>
      <c r="I54" s="8">
        <f t="shared" si="1"/>
        <v>3.831213749800888E-4</v>
      </c>
      <c r="J54" s="8">
        <f t="shared" si="2"/>
        <v>3.830480027258266E-4</v>
      </c>
    </row>
    <row r="55" spans="1:11" x14ac:dyDescent="0.25">
      <c r="A55" t="str">
        <f t="shared" si="0"/>
        <v>32017</v>
      </c>
      <c r="B55" s="1">
        <v>42815</v>
      </c>
      <c r="C55" t="s">
        <v>56</v>
      </c>
      <c r="D55">
        <v>23567.200000000001</v>
      </c>
      <c r="E55">
        <v>23848.95</v>
      </c>
      <c r="F55">
        <v>23513.3</v>
      </c>
      <c r="G55">
        <v>23796.65</v>
      </c>
      <c r="H55">
        <v>0</v>
      </c>
      <c r="I55" s="8">
        <f t="shared" si="1"/>
        <v>1.2612631780513084E-2</v>
      </c>
      <c r="J55" s="8">
        <f t="shared" si="2"/>
        <v>1.2533755076410765E-2</v>
      </c>
    </row>
    <row r="56" spans="1:11" x14ac:dyDescent="0.25">
      <c r="A56" t="str">
        <f t="shared" si="0"/>
        <v>32017</v>
      </c>
      <c r="B56" s="1">
        <v>42816</v>
      </c>
      <c r="C56" t="s">
        <v>57</v>
      </c>
      <c r="D56">
        <v>23573.85</v>
      </c>
      <c r="E56">
        <v>23756</v>
      </c>
      <c r="F56">
        <v>23332.95</v>
      </c>
      <c r="G56">
        <v>23390.75</v>
      </c>
      <c r="H56">
        <v>0</v>
      </c>
      <c r="I56" s="8">
        <f t="shared" si="1"/>
        <v>-1.705702273219134E-2</v>
      </c>
      <c r="J56" s="8">
        <f t="shared" si="2"/>
        <v>-1.7204169400756676E-2</v>
      </c>
    </row>
    <row r="57" spans="1:11" x14ac:dyDescent="0.25">
      <c r="A57" t="str">
        <f t="shared" si="0"/>
        <v>32017</v>
      </c>
      <c r="B57" s="1">
        <v>42817</v>
      </c>
      <c r="C57" t="s">
        <v>58</v>
      </c>
      <c r="D57">
        <v>23288.3</v>
      </c>
      <c r="E57">
        <v>23554.7</v>
      </c>
      <c r="F57">
        <v>23212.3</v>
      </c>
      <c r="G57">
        <v>23335.3</v>
      </c>
      <c r="H57">
        <v>0</v>
      </c>
      <c r="I57" s="8">
        <f t="shared" si="1"/>
        <v>-2.3705952139200237E-3</v>
      </c>
      <c r="J57" s="8">
        <f t="shared" si="2"/>
        <v>-2.3734095233595718E-3</v>
      </c>
    </row>
    <row r="58" spans="1:11" x14ac:dyDescent="0.25">
      <c r="A58" t="str">
        <f t="shared" si="0"/>
        <v>32017</v>
      </c>
      <c r="B58" s="1">
        <v>42818</v>
      </c>
      <c r="C58" t="s">
        <v>59</v>
      </c>
      <c r="D58">
        <v>23393.7</v>
      </c>
      <c r="E58">
        <v>23552.5</v>
      </c>
      <c r="F58">
        <v>23390.799999999999</v>
      </c>
      <c r="G58">
        <v>23455.1</v>
      </c>
      <c r="H58">
        <v>0</v>
      </c>
      <c r="I58" s="8">
        <f t="shared" si="1"/>
        <v>5.1338530038183006E-3</v>
      </c>
      <c r="J58" s="8">
        <f t="shared" si="2"/>
        <v>5.1207197109048377E-3</v>
      </c>
    </row>
    <row r="59" spans="1:11" x14ac:dyDescent="0.25">
      <c r="A59" t="str">
        <f t="shared" si="0"/>
        <v>32017</v>
      </c>
      <c r="B59" s="1">
        <v>42821</v>
      </c>
      <c r="C59" t="s">
        <v>60</v>
      </c>
      <c r="D59">
        <v>23435.9</v>
      </c>
      <c r="E59">
        <v>23540.05</v>
      </c>
      <c r="F59">
        <v>23251.7</v>
      </c>
      <c r="G59">
        <v>23444.05</v>
      </c>
      <c r="H59">
        <v>0</v>
      </c>
      <c r="I59" s="8">
        <f t="shared" si="1"/>
        <v>-4.7111289229206932E-4</v>
      </c>
      <c r="J59" s="8">
        <f t="shared" si="2"/>
        <v>-4.7122390083711817E-4</v>
      </c>
    </row>
    <row r="60" spans="1:11" x14ac:dyDescent="0.25">
      <c r="A60" t="str">
        <f t="shared" si="0"/>
        <v>32017</v>
      </c>
      <c r="B60" s="1">
        <v>42822</v>
      </c>
      <c r="C60" t="s">
        <v>61</v>
      </c>
      <c r="D60">
        <v>23467</v>
      </c>
      <c r="E60">
        <v>23516.25</v>
      </c>
      <c r="F60">
        <v>23406.65</v>
      </c>
      <c r="G60">
        <v>23467.7</v>
      </c>
      <c r="H60">
        <v>0</v>
      </c>
      <c r="I60" s="8">
        <f t="shared" si="1"/>
        <v>1.0087847449566922E-3</v>
      </c>
      <c r="J60" s="8">
        <f t="shared" si="2"/>
        <v>1.0082762635626472E-3</v>
      </c>
    </row>
    <row r="61" spans="1:11" x14ac:dyDescent="0.25">
      <c r="A61" t="str">
        <f t="shared" si="0"/>
        <v>32017</v>
      </c>
      <c r="B61" s="1">
        <v>42823</v>
      </c>
      <c r="C61" t="s">
        <v>62</v>
      </c>
      <c r="D61">
        <v>23474.35</v>
      </c>
      <c r="E61">
        <v>23698.85</v>
      </c>
      <c r="F61">
        <v>23467.85</v>
      </c>
      <c r="G61">
        <v>23672.5</v>
      </c>
      <c r="H61">
        <v>0</v>
      </c>
      <c r="I61" s="8">
        <f t="shared" si="1"/>
        <v>8.7268884466735752E-3</v>
      </c>
      <c r="J61" s="8">
        <f t="shared" si="2"/>
        <v>8.6890292581941822E-3</v>
      </c>
    </row>
    <row r="62" spans="1:11" x14ac:dyDescent="0.25">
      <c r="A62" t="str">
        <f t="shared" si="0"/>
        <v>32017</v>
      </c>
      <c r="B62" s="1">
        <v>42824</v>
      </c>
      <c r="C62" t="s">
        <v>63</v>
      </c>
      <c r="D62">
        <v>23711.8</v>
      </c>
      <c r="E62">
        <v>23776.65</v>
      </c>
      <c r="F62">
        <v>23536.7</v>
      </c>
      <c r="G62">
        <v>23671</v>
      </c>
      <c r="H62">
        <v>0</v>
      </c>
      <c r="I62" s="8">
        <f t="shared" si="1"/>
        <v>-6.336466363920934E-5</v>
      </c>
      <c r="J62" s="8">
        <f t="shared" si="2"/>
        <v>-6.3366671264317165E-5</v>
      </c>
    </row>
    <row r="63" spans="1:11" x14ac:dyDescent="0.25">
      <c r="A63" t="str">
        <f t="shared" si="0"/>
        <v>32017</v>
      </c>
      <c r="B63" s="1">
        <v>42825</v>
      </c>
      <c r="C63" t="s">
        <v>64</v>
      </c>
      <c r="D63">
        <v>23596.400000000001</v>
      </c>
      <c r="E63">
        <v>23676</v>
      </c>
      <c r="F63">
        <v>23460.3</v>
      </c>
      <c r="G63">
        <v>23542.3</v>
      </c>
      <c r="H63">
        <v>0</v>
      </c>
      <c r="I63" s="8">
        <f t="shared" si="1"/>
        <v>-5.4370326559926019E-3</v>
      </c>
      <c r="J63" s="8">
        <f t="shared" si="2"/>
        <v>-5.4518671127611502E-3</v>
      </c>
      <c r="K63" s="8">
        <f>+G63/G2-1</f>
        <v>0.13674080833979141</v>
      </c>
    </row>
    <row r="64" spans="1:11" x14ac:dyDescent="0.25">
      <c r="A64" t="str">
        <f t="shared" si="0"/>
        <v>42017</v>
      </c>
      <c r="B64" s="1">
        <v>42828</v>
      </c>
      <c r="C64" s="10">
        <v>42798.645833333336</v>
      </c>
      <c r="D64">
        <v>23641.25</v>
      </c>
      <c r="E64">
        <v>23717.5</v>
      </c>
      <c r="F64">
        <v>23426.25</v>
      </c>
      <c r="G64">
        <v>23639.599999999999</v>
      </c>
      <c r="H64">
        <v>0</v>
      </c>
      <c r="I64" s="8">
        <f t="shared" si="1"/>
        <v>4.1329861568326631E-3</v>
      </c>
      <c r="J64" s="8">
        <f t="shared" si="2"/>
        <v>4.1244688294787696E-3</v>
      </c>
      <c r="K64" s="8">
        <f t="shared" ref="K64:K127" si="3">+G64/G3-1</f>
        <v>0.13302482967194917</v>
      </c>
    </row>
    <row r="65" spans="1:11" x14ac:dyDescent="0.25">
      <c r="A65" t="str">
        <f t="shared" si="0"/>
        <v>42017</v>
      </c>
      <c r="B65" s="1">
        <v>42830</v>
      </c>
      <c r="C65" s="10">
        <v>42859.645833333336</v>
      </c>
      <c r="D65">
        <v>23714.65</v>
      </c>
      <c r="E65">
        <v>23728.35</v>
      </c>
      <c r="F65">
        <v>23483.8</v>
      </c>
      <c r="G65">
        <v>23583.7</v>
      </c>
      <c r="H65">
        <v>0</v>
      </c>
      <c r="I65" s="8">
        <f t="shared" si="1"/>
        <v>-2.3646762212558015E-3</v>
      </c>
      <c r="J65" s="8">
        <f t="shared" si="2"/>
        <v>-2.3674764834180524E-3</v>
      </c>
      <c r="K65" s="8">
        <f t="shared" si="3"/>
        <v>0.1265067290813342</v>
      </c>
    </row>
    <row r="66" spans="1:11" x14ac:dyDescent="0.25">
      <c r="A66" t="str">
        <f t="shared" si="0"/>
        <v>42017</v>
      </c>
      <c r="B66" s="1">
        <v>42831</v>
      </c>
      <c r="C66" s="10">
        <v>42890.645833333336</v>
      </c>
      <c r="D66">
        <v>23530.35</v>
      </c>
      <c r="E66">
        <v>23561.45</v>
      </c>
      <c r="F66">
        <v>23278.95</v>
      </c>
      <c r="G66">
        <v>23349</v>
      </c>
      <c r="H66">
        <v>0</v>
      </c>
      <c r="I66" s="8">
        <f t="shared" si="1"/>
        <v>-9.9517887354402257E-3</v>
      </c>
      <c r="J66" s="8">
        <f t="shared" si="2"/>
        <v>-1.0001638792192503E-2</v>
      </c>
      <c r="K66" s="8">
        <f t="shared" si="3"/>
        <v>0.10813696874777534</v>
      </c>
    </row>
    <row r="67" spans="1:11" x14ac:dyDescent="0.25">
      <c r="A67" t="str">
        <f t="shared" ref="A67:A130" si="4">+MONTH(B67)&amp;YEAR(B67)</f>
        <v>42017</v>
      </c>
      <c r="B67" s="1">
        <v>42832</v>
      </c>
      <c r="C67" s="10">
        <v>42920.645833333336</v>
      </c>
      <c r="D67">
        <v>23257.25</v>
      </c>
      <c r="E67">
        <v>23333.35</v>
      </c>
      <c r="F67">
        <v>23171.25</v>
      </c>
      <c r="G67">
        <v>23235.55</v>
      </c>
      <c r="H67">
        <v>0</v>
      </c>
      <c r="I67" s="8">
        <f t="shared" si="1"/>
        <v>-4.8588804659728257E-3</v>
      </c>
      <c r="J67" s="8">
        <f t="shared" si="2"/>
        <v>-4.8707232028660273E-3</v>
      </c>
      <c r="K67" s="8">
        <f t="shared" si="3"/>
        <v>0.11350163654748391</v>
      </c>
    </row>
    <row r="68" spans="1:11" x14ac:dyDescent="0.25">
      <c r="A68" t="str">
        <f t="shared" si="4"/>
        <v>42017</v>
      </c>
      <c r="B68" s="1">
        <v>42835</v>
      </c>
      <c r="C68" s="10">
        <v>43012.645833333336</v>
      </c>
      <c r="D68">
        <v>23338</v>
      </c>
      <c r="E68">
        <v>23341.55</v>
      </c>
      <c r="F68">
        <v>23206.65</v>
      </c>
      <c r="G68">
        <v>23264.75</v>
      </c>
      <c r="H68">
        <v>0</v>
      </c>
      <c r="I68" s="8">
        <f t="shared" ref="I68:I131" si="5">+G68/G67-1</f>
        <v>1.2566950212067329E-3</v>
      </c>
      <c r="J68" s="8">
        <f t="shared" ref="J68:J131" si="6">+LN(1+I68)</f>
        <v>1.2559060409544295E-3</v>
      </c>
      <c r="K68" s="8">
        <f t="shared" si="3"/>
        <v>0.10851826704308576</v>
      </c>
    </row>
    <row r="69" spans="1:11" x14ac:dyDescent="0.25">
      <c r="A69" t="str">
        <f t="shared" si="4"/>
        <v>42017</v>
      </c>
      <c r="B69" s="1">
        <v>42836</v>
      </c>
      <c r="C69" s="10">
        <v>43043.645833333336</v>
      </c>
      <c r="D69">
        <v>23224</v>
      </c>
      <c r="E69">
        <v>23682.400000000001</v>
      </c>
      <c r="F69">
        <v>23154.9</v>
      </c>
      <c r="G69">
        <v>23651.75</v>
      </c>
      <c r="H69">
        <v>0</v>
      </c>
      <c r="I69" s="8">
        <f t="shared" si="5"/>
        <v>1.6634608151817609E-2</v>
      </c>
      <c r="J69" s="8">
        <f t="shared" si="6"/>
        <v>1.6497768488610856E-2</v>
      </c>
      <c r="K69" s="8">
        <f t="shared" si="3"/>
        <v>0.11787642825914846</v>
      </c>
    </row>
    <row r="70" spans="1:11" x14ac:dyDescent="0.25">
      <c r="A70" t="str">
        <f t="shared" si="4"/>
        <v>42017</v>
      </c>
      <c r="B70" s="1">
        <v>42837</v>
      </c>
      <c r="C70" s="10">
        <v>43073.645833333336</v>
      </c>
      <c r="D70">
        <v>23612.5</v>
      </c>
      <c r="E70">
        <v>23794.799999999999</v>
      </c>
      <c r="F70">
        <v>23478.65</v>
      </c>
      <c r="G70">
        <v>23670.2</v>
      </c>
      <c r="H70">
        <v>0</v>
      </c>
      <c r="I70" s="8">
        <f t="shared" si="5"/>
        <v>7.8006912807726536E-4</v>
      </c>
      <c r="J70" s="8">
        <f t="shared" si="6"/>
        <v>7.7976503228852426E-4</v>
      </c>
      <c r="K70" s="8">
        <f t="shared" si="3"/>
        <v>0.11680597134640758</v>
      </c>
    </row>
    <row r="71" spans="1:11" x14ac:dyDescent="0.25">
      <c r="A71" t="str">
        <f t="shared" si="4"/>
        <v>42017</v>
      </c>
      <c r="B71" s="1">
        <v>42838</v>
      </c>
      <c r="C71" t="s">
        <v>65</v>
      </c>
      <c r="D71">
        <v>23678</v>
      </c>
      <c r="E71">
        <v>23682.1</v>
      </c>
      <c r="F71">
        <v>23423.599999999999</v>
      </c>
      <c r="G71">
        <v>23507.9</v>
      </c>
      <c r="H71">
        <v>0</v>
      </c>
      <c r="I71" s="8">
        <f t="shared" si="5"/>
        <v>-6.8567227991314095E-3</v>
      </c>
      <c r="J71" s="8">
        <f t="shared" si="6"/>
        <v>-6.8803381340149256E-3</v>
      </c>
      <c r="K71" s="8">
        <f t="shared" si="3"/>
        <v>0.12006117767015057</v>
      </c>
    </row>
    <row r="72" spans="1:11" x14ac:dyDescent="0.25">
      <c r="A72" t="str">
        <f t="shared" si="4"/>
        <v>42017</v>
      </c>
      <c r="B72" s="1">
        <v>42842</v>
      </c>
      <c r="C72" t="s">
        <v>66</v>
      </c>
      <c r="D72">
        <v>23399.7</v>
      </c>
      <c r="E72">
        <v>23644.799999999999</v>
      </c>
      <c r="F72">
        <v>23345.95</v>
      </c>
      <c r="G72">
        <v>23459.9</v>
      </c>
      <c r="H72">
        <v>0</v>
      </c>
      <c r="I72" s="8">
        <f t="shared" si="5"/>
        <v>-2.041866776700596E-3</v>
      </c>
      <c r="J72" s="8">
        <f t="shared" si="6"/>
        <v>-2.0439542286840914E-3</v>
      </c>
      <c r="K72" s="8">
        <f t="shared" si="3"/>
        <v>0.1048817992789508</v>
      </c>
    </row>
    <row r="73" spans="1:11" x14ac:dyDescent="0.25">
      <c r="A73" t="str">
        <f t="shared" si="4"/>
        <v>42017</v>
      </c>
      <c r="B73" s="1">
        <v>42843</v>
      </c>
      <c r="C73" t="s">
        <v>67</v>
      </c>
      <c r="D73">
        <v>23521.200000000001</v>
      </c>
      <c r="E73">
        <v>23723.05</v>
      </c>
      <c r="F73">
        <v>23322.55</v>
      </c>
      <c r="G73">
        <v>23382.95</v>
      </c>
      <c r="H73">
        <v>0</v>
      </c>
      <c r="I73" s="8">
        <f t="shared" si="5"/>
        <v>-3.2800651324175201E-3</v>
      </c>
      <c r="J73" s="8">
        <f t="shared" si="6"/>
        <v>-3.2854563382862727E-3</v>
      </c>
      <c r="K73" s="8">
        <f t="shared" si="3"/>
        <v>0.10308901437420093</v>
      </c>
    </row>
    <row r="74" spans="1:11" x14ac:dyDescent="0.25">
      <c r="A74" t="str">
        <f t="shared" si="4"/>
        <v>42017</v>
      </c>
      <c r="B74" s="1">
        <v>42844</v>
      </c>
      <c r="C74" t="s">
        <v>68</v>
      </c>
      <c r="D74">
        <v>23486.6</v>
      </c>
      <c r="E74">
        <v>23509.85</v>
      </c>
      <c r="F74">
        <v>23354.7</v>
      </c>
      <c r="G74">
        <v>23387.15</v>
      </c>
      <c r="H74">
        <v>0</v>
      </c>
      <c r="I74" s="8">
        <f t="shared" si="5"/>
        <v>1.7961805503596828E-4</v>
      </c>
      <c r="J74" s="8">
        <f t="shared" si="6"/>
        <v>1.7960192564451188E-4</v>
      </c>
      <c r="K74" s="8">
        <f t="shared" si="3"/>
        <v>9.0668494773340491E-2</v>
      </c>
    </row>
    <row r="75" spans="1:11" x14ac:dyDescent="0.25">
      <c r="A75" t="str">
        <f t="shared" si="4"/>
        <v>42017</v>
      </c>
      <c r="B75" s="1">
        <v>42845</v>
      </c>
      <c r="C75" t="s">
        <v>69</v>
      </c>
      <c r="D75">
        <v>23457.25</v>
      </c>
      <c r="E75">
        <v>23552.75</v>
      </c>
      <c r="F75">
        <v>23389.25</v>
      </c>
      <c r="G75">
        <v>23495.15</v>
      </c>
      <c r="H75">
        <v>0</v>
      </c>
      <c r="I75" s="8">
        <f t="shared" si="5"/>
        <v>4.6179205247325328E-3</v>
      </c>
      <c r="J75" s="8">
        <f t="shared" si="6"/>
        <v>4.6072906424844537E-3</v>
      </c>
      <c r="K75" s="8">
        <f t="shared" si="3"/>
        <v>9.1297774454180525E-2</v>
      </c>
    </row>
    <row r="76" spans="1:11" x14ac:dyDescent="0.25">
      <c r="A76" t="str">
        <f t="shared" si="4"/>
        <v>42017</v>
      </c>
      <c r="B76" s="1">
        <v>42846</v>
      </c>
      <c r="C76" t="s">
        <v>70</v>
      </c>
      <c r="D76">
        <v>23637</v>
      </c>
      <c r="E76">
        <v>23637</v>
      </c>
      <c r="F76">
        <v>23145.599999999999</v>
      </c>
      <c r="G76">
        <v>23229.8</v>
      </c>
      <c r="H76">
        <v>0</v>
      </c>
      <c r="I76" s="8">
        <f t="shared" si="5"/>
        <v>-1.1293820213959194E-2</v>
      </c>
      <c r="J76" s="8">
        <f t="shared" si="6"/>
        <v>-1.1358079682844895E-2</v>
      </c>
      <c r="K76" s="8">
        <f t="shared" si="3"/>
        <v>7.3756075464023185E-2</v>
      </c>
    </row>
    <row r="77" spans="1:11" x14ac:dyDescent="0.25">
      <c r="A77" t="str">
        <f t="shared" si="4"/>
        <v>42017</v>
      </c>
      <c r="B77" s="1">
        <v>42849</v>
      </c>
      <c r="C77" t="s">
        <v>71</v>
      </c>
      <c r="D77">
        <v>23346.9</v>
      </c>
      <c r="E77">
        <v>23390.55</v>
      </c>
      <c r="F77">
        <v>23084.799999999999</v>
      </c>
      <c r="G77">
        <v>23344.65</v>
      </c>
      <c r="H77">
        <v>0</v>
      </c>
      <c r="I77" s="8">
        <f t="shared" si="5"/>
        <v>4.9440804483895651E-3</v>
      </c>
      <c r="J77" s="8">
        <f t="shared" si="6"/>
        <v>4.9318986181160146E-3</v>
      </c>
      <c r="K77" s="8">
        <f t="shared" si="3"/>
        <v>7.872076447307319E-2</v>
      </c>
    </row>
    <row r="78" spans="1:11" x14ac:dyDescent="0.25">
      <c r="A78" t="str">
        <f t="shared" si="4"/>
        <v>42017</v>
      </c>
      <c r="B78" s="1">
        <v>42850</v>
      </c>
      <c r="C78" t="s">
        <v>72</v>
      </c>
      <c r="D78">
        <v>23427.45</v>
      </c>
      <c r="E78">
        <v>23806.400000000001</v>
      </c>
      <c r="F78">
        <v>23242.95</v>
      </c>
      <c r="G78">
        <v>23764.85</v>
      </c>
      <c r="H78">
        <v>0</v>
      </c>
      <c r="I78" s="8">
        <f t="shared" si="5"/>
        <v>1.7999841505441205E-2</v>
      </c>
      <c r="J78" s="8">
        <f t="shared" si="6"/>
        <v>1.7839762436217904E-2</v>
      </c>
      <c r="K78" s="8">
        <f t="shared" si="3"/>
        <v>8.6452742550448436E-2</v>
      </c>
    </row>
    <row r="79" spans="1:11" x14ac:dyDescent="0.25">
      <c r="A79" t="str">
        <f t="shared" si="4"/>
        <v>42017</v>
      </c>
      <c r="B79" s="1">
        <v>42851</v>
      </c>
      <c r="C79" t="s">
        <v>73</v>
      </c>
      <c r="D79">
        <v>23882.65</v>
      </c>
      <c r="E79">
        <v>24388.6</v>
      </c>
      <c r="F79">
        <v>23824.05</v>
      </c>
      <c r="G79">
        <v>24304.3</v>
      </c>
      <c r="H79">
        <v>0</v>
      </c>
      <c r="I79" s="8">
        <f t="shared" si="5"/>
        <v>2.2699491055066634E-2</v>
      </c>
      <c r="J79" s="8">
        <f t="shared" si="6"/>
        <v>2.2445691181389643E-2</v>
      </c>
      <c r="K79" s="8">
        <f t="shared" si="3"/>
        <v>0.109359880228588</v>
      </c>
    </row>
    <row r="80" spans="1:11" x14ac:dyDescent="0.25">
      <c r="A80" t="str">
        <f t="shared" si="4"/>
        <v>42017</v>
      </c>
      <c r="B80" s="1">
        <v>42852</v>
      </c>
      <c r="C80" t="s">
        <v>74</v>
      </c>
      <c r="D80">
        <v>24329.7</v>
      </c>
      <c r="E80">
        <v>24366.85</v>
      </c>
      <c r="F80">
        <v>23996.400000000001</v>
      </c>
      <c r="G80">
        <v>24067</v>
      </c>
      <c r="H80">
        <v>0</v>
      </c>
      <c r="I80" s="8">
        <f t="shared" si="5"/>
        <v>-9.7637043650711242E-3</v>
      </c>
      <c r="J80" s="8">
        <f t="shared" si="6"/>
        <v>-9.8116818741038527E-3</v>
      </c>
      <c r="K80" s="8">
        <f t="shared" si="3"/>
        <v>8.379397692091195E-2</v>
      </c>
    </row>
    <row r="81" spans="1:11" x14ac:dyDescent="0.25">
      <c r="A81" t="str">
        <f t="shared" si="4"/>
        <v>42017</v>
      </c>
      <c r="B81" s="1">
        <v>42853</v>
      </c>
      <c r="C81" t="s">
        <v>75</v>
      </c>
      <c r="D81">
        <v>24056.3</v>
      </c>
      <c r="E81">
        <v>24094.05</v>
      </c>
      <c r="F81">
        <v>23622.85</v>
      </c>
      <c r="G81">
        <v>23675.4</v>
      </c>
      <c r="H81">
        <v>0</v>
      </c>
      <c r="I81" s="8">
        <f t="shared" si="5"/>
        <v>-1.6271242780570794E-2</v>
      </c>
      <c r="J81" s="8">
        <f t="shared" si="6"/>
        <v>-1.6405073161506509E-2</v>
      </c>
      <c r="K81" s="8">
        <f t="shared" si="3"/>
        <v>8.6117202337807841E-2</v>
      </c>
    </row>
    <row r="82" spans="1:11" x14ac:dyDescent="0.25">
      <c r="A82" t="str">
        <f t="shared" si="4"/>
        <v>52017</v>
      </c>
      <c r="B82" s="1">
        <v>42857</v>
      </c>
      <c r="C82" s="10">
        <v>42771.645833333336</v>
      </c>
      <c r="D82">
        <v>23764.25</v>
      </c>
      <c r="E82">
        <v>23807.599999999999</v>
      </c>
      <c r="F82">
        <v>23574.9</v>
      </c>
      <c r="G82">
        <v>23755.1</v>
      </c>
      <c r="H82">
        <v>0</v>
      </c>
      <c r="I82" s="8">
        <f t="shared" si="5"/>
        <v>3.3663633982952135E-3</v>
      </c>
      <c r="J82" s="8">
        <f t="shared" si="6"/>
        <v>3.360709881339271E-3</v>
      </c>
      <c r="K82" s="8">
        <f t="shared" si="3"/>
        <v>9.0368717955779498E-2</v>
      </c>
    </row>
    <row r="83" spans="1:11" x14ac:dyDescent="0.25">
      <c r="A83" t="str">
        <f t="shared" si="4"/>
        <v>52017</v>
      </c>
      <c r="B83" s="1">
        <v>42858</v>
      </c>
      <c r="C83" s="10">
        <v>42799.645833333336</v>
      </c>
      <c r="D83">
        <v>23825.85</v>
      </c>
      <c r="E83">
        <v>23826.15</v>
      </c>
      <c r="F83">
        <v>23566.65</v>
      </c>
      <c r="G83">
        <v>23683.8</v>
      </c>
      <c r="H83">
        <v>0</v>
      </c>
      <c r="I83" s="8">
        <f t="shared" si="5"/>
        <v>-3.0014607389571291E-3</v>
      </c>
      <c r="J83" s="8">
        <f t="shared" si="6"/>
        <v>-3.005974155732242E-3</v>
      </c>
      <c r="K83" s="8">
        <f t="shared" si="3"/>
        <v>8.4788149858125328E-2</v>
      </c>
    </row>
    <row r="84" spans="1:11" x14ac:dyDescent="0.25">
      <c r="A84" t="str">
        <f t="shared" si="4"/>
        <v>52017</v>
      </c>
      <c r="B84" s="1">
        <v>42859</v>
      </c>
      <c r="C84" s="10">
        <v>42830.645833333336</v>
      </c>
      <c r="D84">
        <v>23703.55</v>
      </c>
      <c r="E84">
        <v>23990.85</v>
      </c>
      <c r="F84">
        <v>23668.5</v>
      </c>
      <c r="G84">
        <v>23951.8</v>
      </c>
      <c r="H84">
        <v>0</v>
      </c>
      <c r="I84" s="8">
        <f t="shared" si="5"/>
        <v>1.1315751695251564E-2</v>
      </c>
      <c r="J84" s="8">
        <f t="shared" si="6"/>
        <v>1.1252207494642954E-2</v>
      </c>
      <c r="K84" s="8">
        <f t="shared" si="3"/>
        <v>6.4680597598758771E-2</v>
      </c>
    </row>
    <row r="85" spans="1:11" x14ac:dyDescent="0.25">
      <c r="A85" t="str">
        <f t="shared" si="4"/>
        <v>52017</v>
      </c>
      <c r="B85" s="1">
        <v>42860</v>
      </c>
      <c r="C85" s="10">
        <v>42860.645833333336</v>
      </c>
      <c r="D85">
        <v>23923.35</v>
      </c>
      <c r="E85">
        <v>23933.35</v>
      </c>
      <c r="F85">
        <v>23609.25</v>
      </c>
      <c r="G85">
        <v>23630.45</v>
      </c>
      <c r="H85">
        <v>0</v>
      </c>
      <c r="I85" s="8">
        <f t="shared" si="5"/>
        <v>-1.341652819412309E-2</v>
      </c>
      <c r="J85" s="8">
        <f t="shared" si="6"/>
        <v>-1.3507343002862455E-2</v>
      </c>
      <c r="K85" s="8">
        <f t="shared" si="3"/>
        <v>4.1163278434275252E-2</v>
      </c>
    </row>
    <row r="86" spans="1:11" x14ac:dyDescent="0.25">
      <c r="A86" t="str">
        <f t="shared" si="4"/>
        <v>52017</v>
      </c>
      <c r="B86" s="1">
        <v>42863</v>
      </c>
      <c r="C86" s="10">
        <v>42952.645833333336</v>
      </c>
      <c r="D86">
        <v>23685.25</v>
      </c>
      <c r="E86">
        <v>23728.95</v>
      </c>
      <c r="F86">
        <v>23422.65</v>
      </c>
      <c r="G86">
        <v>23442.2</v>
      </c>
      <c r="H86">
        <v>0</v>
      </c>
      <c r="I86" s="8">
        <f t="shared" si="5"/>
        <v>-7.9664162129794436E-3</v>
      </c>
      <c r="J86" s="8">
        <f t="shared" si="6"/>
        <v>-7.9983176463064506E-3</v>
      </c>
      <c r="K86" s="8">
        <f t="shared" si="3"/>
        <v>3.5197382220917062E-2</v>
      </c>
    </row>
    <row r="87" spans="1:11" x14ac:dyDescent="0.25">
      <c r="A87" t="str">
        <f t="shared" si="4"/>
        <v>52017</v>
      </c>
      <c r="B87" s="1">
        <v>42864</v>
      </c>
      <c r="C87" s="10">
        <v>42983.645833333336</v>
      </c>
      <c r="D87">
        <v>23495.45</v>
      </c>
      <c r="E87">
        <v>23625.7</v>
      </c>
      <c r="F87">
        <v>23386.5</v>
      </c>
      <c r="G87">
        <v>23527.85</v>
      </c>
      <c r="H87">
        <v>0</v>
      </c>
      <c r="I87" s="8">
        <f t="shared" si="5"/>
        <v>3.6536673179137225E-3</v>
      </c>
      <c r="J87" s="8">
        <f t="shared" si="6"/>
        <v>3.6470088890063149E-3</v>
      </c>
      <c r="K87" s="8">
        <f t="shared" si="3"/>
        <v>2.7219660851190097E-2</v>
      </c>
    </row>
    <row r="88" spans="1:11" x14ac:dyDescent="0.25">
      <c r="A88" t="str">
        <f t="shared" si="4"/>
        <v>52017</v>
      </c>
      <c r="B88" s="1">
        <v>42865</v>
      </c>
      <c r="C88" s="10">
        <v>43013.645833333336</v>
      </c>
      <c r="D88">
        <v>23585.25</v>
      </c>
      <c r="E88">
        <v>23995.15</v>
      </c>
      <c r="F88">
        <v>23572.65</v>
      </c>
      <c r="G88">
        <v>23954.35</v>
      </c>
      <c r="H88">
        <v>0</v>
      </c>
      <c r="I88" s="8">
        <f t="shared" si="5"/>
        <v>1.8127453209706879E-2</v>
      </c>
      <c r="J88" s="8">
        <f t="shared" si="6"/>
        <v>1.796510990812104E-2</v>
      </c>
      <c r="K88" s="8">
        <f t="shared" si="3"/>
        <v>4.7058823529411598E-2</v>
      </c>
    </row>
    <row r="89" spans="1:11" x14ac:dyDescent="0.25">
      <c r="A89" t="str">
        <f t="shared" si="4"/>
        <v>52017</v>
      </c>
      <c r="B89" s="1">
        <v>42866</v>
      </c>
      <c r="C89" s="10">
        <v>43044.645833333336</v>
      </c>
      <c r="D89">
        <v>24035.9</v>
      </c>
      <c r="E89">
        <v>24169.85</v>
      </c>
      <c r="F89">
        <v>23956.55</v>
      </c>
      <c r="G89">
        <v>24025.85</v>
      </c>
      <c r="H89">
        <v>0</v>
      </c>
      <c r="I89" s="8">
        <f t="shared" si="5"/>
        <v>2.9848440888606831E-3</v>
      </c>
      <c r="J89" s="8">
        <f t="shared" si="6"/>
        <v>2.9803982862314101E-3</v>
      </c>
      <c r="K89" s="8">
        <f t="shared" si="3"/>
        <v>5.5327513314665344E-2</v>
      </c>
    </row>
    <row r="90" spans="1:11" x14ac:dyDescent="0.25">
      <c r="A90" t="str">
        <f t="shared" si="4"/>
        <v>52017</v>
      </c>
      <c r="B90" s="1">
        <v>42867</v>
      </c>
      <c r="C90" s="10">
        <v>43074.645833333336</v>
      </c>
      <c r="D90">
        <v>24063.15</v>
      </c>
      <c r="E90">
        <v>24067.200000000001</v>
      </c>
      <c r="F90">
        <v>23864.45</v>
      </c>
      <c r="G90">
        <v>23966.95</v>
      </c>
      <c r="H90">
        <v>0</v>
      </c>
      <c r="I90" s="8">
        <f t="shared" si="5"/>
        <v>-2.4515261686890444E-3</v>
      </c>
      <c r="J90" s="8">
        <f t="shared" si="6"/>
        <v>-2.4545360792228425E-3</v>
      </c>
      <c r="K90" s="8">
        <f t="shared" si="3"/>
        <v>4.7737809262970998E-2</v>
      </c>
    </row>
    <row r="91" spans="1:11" x14ac:dyDescent="0.25">
      <c r="A91" t="str">
        <f t="shared" si="4"/>
        <v>52017</v>
      </c>
      <c r="B91" s="1">
        <v>42870</v>
      </c>
      <c r="C91" t="s">
        <v>76</v>
      </c>
      <c r="D91">
        <v>24028.45</v>
      </c>
      <c r="E91">
        <v>24189.45</v>
      </c>
      <c r="F91">
        <v>24015.3</v>
      </c>
      <c r="G91">
        <v>24119.45</v>
      </c>
      <c r="H91">
        <v>0</v>
      </c>
      <c r="I91" s="8">
        <f t="shared" si="5"/>
        <v>6.3629289500750641E-3</v>
      </c>
      <c r="J91" s="8">
        <f t="shared" si="6"/>
        <v>6.3427709816230885E-3</v>
      </c>
      <c r="K91" s="8">
        <f t="shared" si="3"/>
        <v>6.2095705283738534E-2</v>
      </c>
    </row>
    <row r="92" spans="1:11" x14ac:dyDescent="0.25">
      <c r="A92" t="str">
        <f t="shared" si="4"/>
        <v>52017</v>
      </c>
      <c r="B92" s="1">
        <v>42871</v>
      </c>
      <c r="C92" t="s">
        <v>77</v>
      </c>
      <c r="D92">
        <v>24137.55</v>
      </c>
      <c r="E92">
        <v>24412.9</v>
      </c>
      <c r="F92">
        <v>24065.35</v>
      </c>
      <c r="G92">
        <v>24370.55</v>
      </c>
      <c r="H92">
        <v>0</v>
      </c>
      <c r="I92" s="8">
        <f t="shared" si="5"/>
        <v>1.0410685152439259E-2</v>
      </c>
      <c r="J92" s="8">
        <f t="shared" si="6"/>
        <v>1.0356867168891927E-2</v>
      </c>
      <c r="K92" s="8">
        <f t="shared" si="3"/>
        <v>7.6009978365490616E-2</v>
      </c>
    </row>
    <row r="93" spans="1:11" x14ac:dyDescent="0.25">
      <c r="A93" t="str">
        <f t="shared" si="4"/>
        <v>52017</v>
      </c>
      <c r="B93" s="1">
        <v>42872</v>
      </c>
      <c r="C93" t="s">
        <v>78</v>
      </c>
      <c r="D93">
        <v>24399.3</v>
      </c>
      <c r="E93">
        <v>24410.2</v>
      </c>
      <c r="F93">
        <v>24132.65</v>
      </c>
      <c r="G93">
        <v>24266.75</v>
      </c>
      <c r="H93">
        <v>0</v>
      </c>
      <c r="I93" s="8">
        <f t="shared" si="5"/>
        <v>-4.2592391226294879E-3</v>
      </c>
      <c r="J93" s="8">
        <f t="shared" si="6"/>
        <v>-4.2683355199241062E-3</v>
      </c>
      <c r="K93" s="8">
        <f t="shared" si="3"/>
        <v>7.3937701500926156E-2</v>
      </c>
    </row>
    <row r="94" spans="1:11" x14ac:dyDescent="0.25">
      <c r="A94" t="str">
        <f t="shared" si="4"/>
        <v>52017</v>
      </c>
      <c r="B94" s="1">
        <v>42873</v>
      </c>
      <c r="C94" t="s">
        <v>79</v>
      </c>
      <c r="D94">
        <v>24082.15</v>
      </c>
      <c r="E94">
        <v>24204.2</v>
      </c>
      <c r="F94">
        <v>23812.15</v>
      </c>
      <c r="G94">
        <v>23864</v>
      </c>
      <c r="H94">
        <v>0</v>
      </c>
      <c r="I94" s="8">
        <f t="shared" si="5"/>
        <v>-1.6596783664891257E-2</v>
      </c>
      <c r="J94" s="8">
        <f t="shared" si="6"/>
        <v>-1.673605338212087E-2</v>
      </c>
      <c r="K94" s="8">
        <f t="shared" si="3"/>
        <v>5.2464453304166714E-2</v>
      </c>
    </row>
    <row r="95" spans="1:11" x14ac:dyDescent="0.25">
      <c r="A95" t="str">
        <f t="shared" si="4"/>
        <v>52017</v>
      </c>
      <c r="B95" s="1">
        <v>42874</v>
      </c>
      <c r="C95" t="s">
        <v>80</v>
      </c>
      <c r="D95">
        <v>24202.6</v>
      </c>
      <c r="E95">
        <v>24922.5</v>
      </c>
      <c r="F95">
        <v>24184.75</v>
      </c>
      <c r="G95">
        <v>24352.9</v>
      </c>
      <c r="H95">
        <v>0</v>
      </c>
      <c r="I95" s="8">
        <f t="shared" si="5"/>
        <v>2.0486925913509868E-2</v>
      </c>
      <c r="J95" s="8">
        <f t="shared" si="6"/>
        <v>2.0279891733965411E-2</v>
      </c>
      <c r="K95" s="8">
        <f t="shared" si="3"/>
        <v>8.8169189041855001E-2</v>
      </c>
    </row>
    <row r="96" spans="1:11" x14ac:dyDescent="0.25">
      <c r="A96" t="str">
        <f t="shared" si="4"/>
        <v>52017</v>
      </c>
      <c r="B96" s="1">
        <v>42877</v>
      </c>
      <c r="C96" t="s">
        <v>81</v>
      </c>
      <c r="D96">
        <v>24707.5</v>
      </c>
      <c r="E96">
        <v>25279.9</v>
      </c>
      <c r="F96">
        <v>24654.3</v>
      </c>
      <c r="G96">
        <v>25230</v>
      </c>
      <c r="H96">
        <v>0</v>
      </c>
      <c r="I96" s="8">
        <f t="shared" si="5"/>
        <v>3.6016244471910985E-2</v>
      </c>
      <c r="J96" s="8">
        <f t="shared" si="6"/>
        <v>3.5382823706553594E-2</v>
      </c>
      <c r="K96" s="8">
        <f t="shared" si="3"/>
        <v>0.1240410232649316</v>
      </c>
    </row>
    <row r="97" spans="1:11" x14ac:dyDescent="0.25">
      <c r="A97" t="str">
        <f t="shared" si="4"/>
        <v>52017</v>
      </c>
      <c r="B97" s="1">
        <v>42878</v>
      </c>
      <c r="C97" t="s">
        <v>82</v>
      </c>
      <c r="D97">
        <v>25188.35</v>
      </c>
      <c r="E97">
        <v>25232.75</v>
      </c>
      <c r="F97">
        <v>24961.200000000001</v>
      </c>
      <c r="G97">
        <v>25002.35</v>
      </c>
      <c r="H97">
        <v>0</v>
      </c>
      <c r="I97" s="8">
        <f t="shared" si="5"/>
        <v>-9.0229885057472314E-3</v>
      </c>
      <c r="J97" s="8">
        <f t="shared" si="6"/>
        <v>-9.0639422024888922E-3</v>
      </c>
      <c r="K97" s="8">
        <f t="shared" si="3"/>
        <v>0.114204098548774</v>
      </c>
    </row>
    <row r="98" spans="1:11" x14ac:dyDescent="0.25">
      <c r="A98" t="str">
        <f t="shared" si="4"/>
        <v>52017</v>
      </c>
      <c r="B98" s="1">
        <v>42879</v>
      </c>
      <c r="C98" t="s">
        <v>83</v>
      </c>
      <c r="D98">
        <v>25024.45</v>
      </c>
      <c r="E98">
        <v>25103.5</v>
      </c>
      <c r="F98">
        <v>24881.35</v>
      </c>
      <c r="G98">
        <v>24986.5</v>
      </c>
      <c r="H98">
        <v>0</v>
      </c>
      <c r="I98" s="8">
        <f t="shared" si="5"/>
        <v>-6.3394040960140785E-4</v>
      </c>
      <c r="J98" s="8">
        <f t="shared" si="6"/>
        <v>-6.34141434786019E-4</v>
      </c>
      <c r="K98" s="8">
        <f t="shared" si="3"/>
        <v>0.11295714358890985</v>
      </c>
    </row>
    <row r="99" spans="1:11" x14ac:dyDescent="0.25">
      <c r="A99" t="str">
        <f t="shared" si="4"/>
        <v>52017</v>
      </c>
      <c r="B99" s="1">
        <v>42880</v>
      </c>
      <c r="C99" t="s">
        <v>84</v>
      </c>
      <c r="D99">
        <v>25030.400000000001</v>
      </c>
      <c r="E99">
        <v>25223.85</v>
      </c>
      <c r="F99">
        <v>24818.400000000001</v>
      </c>
      <c r="G99">
        <v>25056.65</v>
      </c>
      <c r="H99">
        <v>0</v>
      </c>
      <c r="I99" s="8">
        <f t="shared" si="5"/>
        <v>2.8075160586717995E-3</v>
      </c>
      <c r="J99" s="8">
        <f t="shared" si="6"/>
        <v>2.8035823463822451E-3</v>
      </c>
      <c r="K99" s="8">
        <f t="shared" si="3"/>
        <v>0.11728364784361278</v>
      </c>
    </row>
    <row r="100" spans="1:11" x14ac:dyDescent="0.25">
      <c r="A100" t="str">
        <f t="shared" si="4"/>
        <v>52017</v>
      </c>
      <c r="B100" s="1">
        <v>42881</v>
      </c>
      <c r="C100" t="s">
        <v>85</v>
      </c>
      <c r="D100">
        <v>25150.9</v>
      </c>
      <c r="E100">
        <v>25711.15</v>
      </c>
      <c r="F100">
        <v>25071.45</v>
      </c>
      <c r="G100">
        <v>25507.55</v>
      </c>
      <c r="H100">
        <v>0</v>
      </c>
      <c r="I100" s="8">
        <f t="shared" si="5"/>
        <v>1.7995222825078372E-2</v>
      </c>
      <c r="J100" s="8">
        <f t="shared" si="6"/>
        <v>1.7835225411110368E-2</v>
      </c>
      <c r="K100" s="8">
        <f t="shared" si="3"/>
        <v>0.13696609055148823</v>
      </c>
    </row>
    <row r="101" spans="1:11" x14ac:dyDescent="0.25">
      <c r="A101" t="str">
        <f t="shared" si="4"/>
        <v>52017</v>
      </c>
      <c r="B101" s="1">
        <v>42884</v>
      </c>
      <c r="C101" t="s">
        <v>86</v>
      </c>
      <c r="D101">
        <v>25288.15</v>
      </c>
      <c r="E101">
        <v>26080.799999999999</v>
      </c>
      <c r="F101">
        <v>25264</v>
      </c>
      <c r="G101">
        <v>25948.05</v>
      </c>
      <c r="H101">
        <v>0</v>
      </c>
      <c r="I101" s="8">
        <f t="shared" si="5"/>
        <v>1.7269396708033513E-2</v>
      </c>
      <c r="J101" s="8">
        <f t="shared" si="6"/>
        <v>1.7121975506553113E-2</v>
      </c>
      <c r="K101" s="8">
        <f t="shared" si="3"/>
        <v>0.15738237970347368</v>
      </c>
    </row>
    <row r="102" spans="1:11" x14ac:dyDescent="0.25">
      <c r="A102" t="str">
        <f t="shared" si="4"/>
        <v>52017</v>
      </c>
      <c r="B102" s="1">
        <v>42885</v>
      </c>
      <c r="C102" t="s">
        <v>87</v>
      </c>
      <c r="D102">
        <v>25786.55</v>
      </c>
      <c r="E102">
        <v>25879.25</v>
      </c>
      <c r="F102">
        <v>25608.15</v>
      </c>
      <c r="G102">
        <v>25783.4</v>
      </c>
      <c r="H102">
        <v>0</v>
      </c>
      <c r="I102" s="8">
        <f t="shared" si="5"/>
        <v>-6.3453708467494652E-3</v>
      </c>
      <c r="J102" s="8">
        <f t="shared" si="6"/>
        <v>-6.3655882824698636E-3</v>
      </c>
      <c r="K102" s="8">
        <f t="shared" si="3"/>
        <v>0.15422907843962363</v>
      </c>
    </row>
    <row r="103" spans="1:11" x14ac:dyDescent="0.25">
      <c r="A103" t="str">
        <f t="shared" si="4"/>
        <v>52017</v>
      </c>
      <c r="B103" s="1">
        <v>42886</v>
      </c>
      <c r="C103" t="s">
        <v>88</v>
      </c>
      <c r="D103">
        <v>25801.65</v>
      </c>
      <c r="E103">
        <v>25945.65</v>
      </c>
      <c r="F103">
        <v>25602.75</v>
      </c>
      <c r="G103">
        <v>25841.8</v>
      </c>
      <c r="H103">
        <v>0</v>
      </c>
      <c r="I103" s="8">
        <f t="shared" si="5"/>
        <v>2.2650232320018393E-3</v>
      </c>
      <c r="J103" s="8">
        <f t="shared" si="6"/>
        <v>2.2624619337519754E-3</v>
      </c>
      <c r="K103" s="8">
        <f t="shared" si="3"/>
        <v>0.14087550798314408</v>
      </c>
    </row>
    <row r="104" spans="1:11" x14ac:dyDescent="0.25">
      <c r="A104" t="str">
        <f t="shared" si="4"/>
        <v>62017</v>
      </c>
      <c r="B104" s="1">
        <v>42887</v>
      </c>
      <c r="C104" s="10">
        <v>42741.645833333336</v>
      </c>
      <c r="D104">
        <v>25857.35</v>
      </c>
      <c r="E104">
        <v>26269.5</v>
      </c>
      <c r="F104">
        <v>25790.6</v>
      </c>
      <c r="G104">
        <v>26165.75</v>
      </c>
      <c r="H104">
        <v>0</v>
      </c>
      <c r="I104" s="8">
        <f t="shared" si="5"/>
        <v>1.253589146266898E-2</v>
      </c>
      <c r="J104" s="8">
        <f t="shared" si="6"/>
        <v>1.2457967728470536E-2</v>
      </c>
      <c r="K104" s="8">
        <f t="shared" si="3"/>
        <v>0.16721237615591544</v>
      </c>
    </row>
    <row r="105" spans="1:11" x14ac:dyDescent="0.25">
      <c r="A105" t="str">
        <f t="shared" si="4"/>
        <v>62017</v>
      </c>
      <c r="B105" s="1">
        <v>42888</v>
      </c>
      <c r="C105" s="10">
        <v>42772.645833333336</v>
      </c>
      <c r="D105">
        <v>26306.65</v>
      </c>
      <c r="E105">
        <v>26429.200000000001</v>
      </c>
      <c r="F105">
        <v>26105</v>
      </c>
      <c r="G105">
        <v>26401.7</v>
      </c>
      <c r="H105">
        <v>0</v>
      </c>
      <c r="I105" s="8">
        <f t="shared" si="5"/>
        <v>9.0175133523786588E-3</v>
      </c>
      <c r="J105" s="8">
        <f t="shared" si="6"/>
        <v>8.9770983589739645E-3</v>
      </c>
      <c r="K105" s="8">
        <f t="shared" si="3"/>
        <v>0.18495828228017963</v>
      </c>
    </row>
    <row r="106" spans="1:11" x14ac:dyDescent="0.25">
      <c r="A106" t="str">
        <f t="shared" si="4"/>
        <v>62017</v>
      </c>
      <c r="B106" s="1">
        <v>42891</v>
      </c>
      <c r="C106" s="10">
        <v>42861.645833333336</v>
      </c>
      <c r="D106">
        <v>26233.65</v>
      </c>
      <c r="E106">
        <v>26482.95</v>
      </c>
      <c r="F106">
        <v>26164</v>
      </c>
      <c r="G106">
        <v>26430.65</v>
      </c>
      <c r="H106">
        <v>0</v>
      </c>
      <c r="I106" s="8">
        <f t="shared" si="5"/>
        <v>1.0965202998292067E-3</v>
      </c>
      <c r="J106" s="8">
        <f t="shared" si="6"/>
        <v>1.0959195605536739E-3</v>
      </c>
      <c r="K106" s="8">
        <f t="shared" si="3"/>
        <v>0.18034547590019789</v>
      </c>
    </row>
    <row r="107" spans="1:11" x14ac:dyDescent="0.25">
      <c r="A107" t="str">
        <f t="shared" si="4"/>
        <v>62017</v>
      </c>
      <c r="B107" s="1">
        <v>42892</v>
      </c>
      <c r="C107" s="10">
        <v>42892.645833333336</v>
      </c>
      <c r="D107">
        <v>26436</v>
      </c>
      <c r="E107">
        <v>26514.55</v>
      </c>
      <c r="F107">
        <v>25968.5</v>
      </c>
      <c r="G107">
        <v>26058.9</v>
      </c>
      <c r="H107">
        <v>0</v>
      </c>
      <c r="I107" s="8">
        <f t="shared" si="5"/>
        <v>-1.4065110014320537E-2</v>
      </c>
      <c r="J107" s="8">
        <f t="shared" si="6"/>
        <v>-1.4164961057157529E-2</v>
      </c>
      <c r="K107" s="8">
        <f t="shared" si="3"/>
        <v>0.16370221184204081</v>
      </c>
    </row>
    <row r="108" spans="1:11" x14ac:dyDescent="0.25">
      <c r="A108" t="str">
        <f t="shared" si="4"/>
        <v>62017</v>
      </c>
      <c r="B108" s="1">
        <v>42893</v>
      </c>
      <c r="C108" s="10">
        <v>42922.645833333336</v>
      </c>
      <c r="D108">
        <v>26137.3</v>
      </c>
      <c r="E108">
        <v>26366.35</v>
      </c>
      <c r="F108">
        <v>26067.85</v>
      </c>
      <c r="G108">
        <v>26230.2</v>
      </c>
      <c r="H108">
        <v>0</v>
      </c>
      <c r="I108" s="8">
        <f t="shared" si="5"/>
        <v>6.5735698743998316E-3</v>
      </c>
      <c r="J108" s="8">
        <f t="shared" si="6"/>
        <v>6.5520581848872135E-3</v>
      </c>
      <c r="K108" s="8">
        <f t="shared" si="3"/>
        <v>0.17281312038345287</v>
      </c>
    </row>
    <row r="109" spans="1:11" x14ac:dyDescent="0.25">
      <c r="A109" t="str">
        <f t="shared" si="4"/>
        <v>62017</v>
      </c>
      <c r="B109" s="1">
        <v>42894</v>
      </c>
      <c r="C109" s="10">
        <v>42953.645833333336</v>
      </c>
      <c r="D109">
        <v>26285.15</v>
      </c>
      <c r="E109">
        <v>26317.7</v>
      </c>
      <c r="F109">
        <v>26128.2</v>
      </c>
      <c r="G109">
        <v>26183.35</v>
      </c>
      <c r="H109">
        <v>0</v>
      </c>
      <c r="I109" s="8">
        <f t="shared" si="5"/>
        <v>-1.7861091413714503E-3</v>
      </c>
      <c r="J109" s="8">
        <f t="shared" si="6"/>
        <v>-1.7877061361919033E-3</v>
      </c>
      <c r="K109" s="8">
        <f t="shared" si="3"/>
        <v>0.16931716684530174</v>
      </c>
    </row>
    <row r="110" spans="1:11" x14ac:dyDescent="0.25">
      <c r="A110" t="str">
        <f t="shared" si="4"/>
        <v>62017</v>
      </c>
      <c r="B110" s="1">
        <v>42895</v>
      </c>
      <c r="C110" s="10">
        <v>42984.645833333336</v>
      </c>
      <c r="D110">
        <v>26151.45</v>
      </c>
      <c r="E110">
        <v>26252.25</v>
      </c>
      <c r="F110">
        <v>25858.55</v>
      </c>
      <c r="G110">
        <v>25941.45</v>
      </c>
      <c r="H110">
        <v>0</v>
      </c>
      <c r="I110" s="8">
        <f t="shared" si="5"/>
        <v>-9.2386955832618467E-3</v>
      </c>
      <c r="J110" s="8">
        <f t="shared" si="6"/>
        <v>-9.2816370178281597E-3</v>
      </c>
      <c r="K110" s="8">
        <f t="shared" si="3"/>
        <v>0.16111987646446679</v>
      </c>
    </row>
    <row r="111" spans="1:11" x14ac:dyDescent="0.25">
      <c r="A111" t="str">
        <f t="shared" si="4"/>
        <v>62017</v>
      </c>
      <c r="B111" s="1">
        <v>42898</v>
      </c>
      <c r="C111" s="10">
        <v>43075.645833333336</v>
      </c>
      <c r="D111">
        <v>25986.45</v>
      </c>
      <c r="E111">
        <v>26009.9</v>
      </c>
      <c r="F111">
        <v>25725.65</v>
      </c>
      <c r="G111">
        <v>25864.85</v>
      </c>
      <c r="H111">
        <v>0</v>
      </c>
      <c r="I111" s="8">
        <f t="shared" si="5"/>
        <v>-2.9528033321191138E-3</v>
      </c>
      <c r="J111" s="8">
        <f t="shared" si="6"/>
        <v>-2.957171456806176E-3</v>
      </c>
      <c r="K111" s="8">
        <f t="shared" si="3"/>
        <v>0.13722890904094531</v>
      </c>
    </row>
    <row r="112" spans="1:11" x14ac:dyDescent="0.25">
      <c r="A112" t="str">
        <f t="shared" si="4"/>
        <v>62017</v>
      </c>
      <c r="B112" s="1">
        <v>42899</v>
      </c>
      <c r="C112" t="s">
        <v>89</v>
      </c>
      <c r="D112">
        <v>25907.25</v>
      </c>
      <c r="E112">
        <v>25978.1</v>
      </c>
      <c r="F112">
        <v>25791.65</v>
      </c>
      <c r="G112">
        <v>25942.25</v>
      </c>
      <c r="H112">
        <v>0</v>
      </c>
      <c r="I112" s="8">
        <f t="shared" si="5"/>
        <v>2.9924782088432966E-3</v>
      </c>
      <c r="J112" s="8">
        <f t="shared" si="6"/>
        <v>2.9880096584017656E-3</v>
      </c>
      <c r="K112" s="8">
        <f t="shared" si="3"/>
        <v>0.13815992962798029</v>
      </c>
    </row>
    <row r="113" spans="1:11" x14ac:dyDescent="0.25">
      <c r="A113" t="str">
        <f t="shared" si="4"/>
        <v>62017</v>
      </c>
      <c r="B113" s="1">
        <v>42900</v>
      </c>
      <c r="C113" t="s">
        <v>90</v>
      </c>
      <c r="D113">
        <v>25963.75</v>
      </c>
      <c r="E113">
        <v>26007</v>
      </c>
      <c r="F113">
        <v>25672.05</v>
      </c>
      <c r="G113">
        <v>25744.6</v>
      </c>
      <c r="H113">
        <v>0</v>
      </c>
      <c r="I113" s="8">
        <f t="shared" si="5"/>
        <v>-7.6188457053648628E-3</v>
      </c>
      <c r="J113" s="8">
        <f t="shared" si="6"/>
        <v>-7.6480173743937513E-3</v>
      </c>
      <c r="K113" s="8">
        <f t="shared" si="3"/>
        <v>0.12395085012518847</v>
      </c>
    </row>
    <row r="114" spans="1:11" x14ac:dyDescent="0.25">
      <c r="A114" t="str">
        <f t="shared" si="4"/>
        <v>62017</v>
      </c>
      <c r="B114" s="1">
        <v>42901</v>
      </c>
      <c r="C114" t="s">
        <v>91</v>
      </c>
      <c r="D114">
        <v>25902.65</v>
      </c>
      <c r="E114">
        <v>25903.8</v>
      </c>
      <c r="F114">
        <v>25675.35</v>
      </c>
      <c r="G114">
        <v>25753.35</v>
      </c>
      <c r="H114">
        <v>0</v>
      </c>
      <c r="I114" s="8">
        <f t="shared" si="5"/>
        <v>3.3987710044058872E-4</v>
      </c>
      <c r="J114" s="8">
        <f t="shared" si="6"/>
        <v>3.3981935530268294E-4</v>
      </c>
      <c r="K114" s="8">
        <f t="shared" si="3"/>
        <v>9.6295429149151124E-2</v>
      </c>
    </row>
    <row r="115" spans="1:11" x14ac:dyDescent="0.25">
      <c r="A115" t="str">
        <f t="shared" si="4"/>
        <v>62017</v>
      </c>
      <c r="B115" s="1">
        <v>42902</v>
      </c>
      <c r="C115" t="s">
        <v>92</v>
      </c>
      <c r="D115">
        <v>25789.3</v>
      </c>
      <c r="E115">
        <v>26040.75</v>
      </c>
      <c r="F115">
        <v>25779.15</v>
      </c>
      <c r="G115">
        <v>25914.3</v>
      </c>
      <c r="H115">
        <v>0</v>
      </c>
      <c r="I115" s="8">
        <f t="shared" si="5"/>
        <v>6.2496723727205605E-3</v>
      </c>
      <c r="J115" s="8">
        <f t="shared" si="6"/>
        <v>6.2302241582556754E-3</v>
      </c>
      <c r="K115" s="8">
        <f t="shared" si="3"/>
        <v>0.1027244391017117</v>
      </c>
    </row>
    <row r="116" spans="1:11" x14ac:dyDescent="0.25">
      <c r="A116" t="str">
        <f t="shared" si="4"/>
        <v>62017</v>
      </c>
      <c r="B116" s="1">
        <v>42905</v>
      </c>
      <c r="C116" t="s">
        <v>93</v>
      </c>
      <c r="D116">
        <v>26056.799999999999</v>
      </c>
      <c r="E116">
        <v>26196.25</v>
      </c>
      <c r="F116">
        <v>26018.05</v>
      </c>
      <c r="G116">
        <v>26126.15</v>
      </c>
      <c r="H116">
        <v>0</v>
      </c>
      <c r="I116" s="8">
        <f t="shared" si="5"/>
        <v>8.1750230567678717E-3</v>
      </c>
      <c r="J116" s="8">
        <f t="shared" si="6"/>
        <v>8.1417885614300037E-3</v>
      </c>
      <c r="K116" s="8">
        <f t="shared" si="3"/>
        <v>9.7891930166640995E-2</v>
      </c>
    </row>
    <row r="117" spans="1:11" x14ac:dyDescent="0.25">
      <c r="A117" t="str">
        <f t="shared" si="4"/>
        <v>62017</v>
      </c>
      <c r="B117" s="1">
        <v>42906</v>
      </c>
      <c r="C117" t="s">
        <v>94</v>
      </c>
      <c r="D117">
        <v>26207.05</v>
      </c>
      <c r="E117">
        <v>26220.05</v>
      </c>
      <c r="F117">
        <v>26018.400000000001</v>
      </c>
      <c r="G117">
        <v>26055.55</v>
      </c>
      <c r="H117">
        <v>0</v>
      </c>
      <c r="I117" s="8">
        <f t="shared" si="5"/>
        <v>-2.7022733927503095E-3</v>
      </c>
      <c r="J117" s="8">
        <f t="shared" si="6"/>
        <v>-2.7059311244415967E-3</v>
      </c>
      <c r="K117" s="8">
        <f t="shared" si="3"/>
        <v>0.11392537648429402</v>
      </c>
    </row>
    <row r="118" spans="1:11" x14ac:dyDescent="0.25">
      <c r="A118" t="str">
        <f t="shared" si="4"/>
        <v>62017</v>
      </c>
      <c r="B118" s="1">
        <v>42907</v>
      </c>
      <c r="C118" t="s">
        <v>95</v>
      </c>
      <c r="D118">
        <v>26097.15</v>
      </c>
      <c r="E118">
        <v>26318.35</v>
      </c>
      <c r="F118">
        <v>26005.35</v>
      </c>
      <c r="G118">
        <v>26256.75</v>
      </c>
      <c r="H118">
        <v>0</v>
      </c>
      <c r="I118" s="8">
        <f t="shared" si="5"/>
        <v>7.7219632669431881E-3</v>
      </c>
      <c r="J118" s="8">
        <f t="shared" si="6"/>
        <v>7.692301508741989E-3</v>
      </c>
      <c r="K118" s="8">
        <f t="shared" si="3"/>
        <v>0.12519444789653456</v>
      </c>
    </row>
    <row r="119" spans="1:11" x14ac:dyDescent="0.25">
      <c r="A119" t="str">
        <f t="shared" si="4"/>
        <v>62017</v>
      </c>
      <c r="B119" s="1">
        <v>42908</v>
      </c>
      <c r="C119" t="s">
        <v>96</v>
      </c>
      <c r="D119">
        <v>26236.400000000001</v>
      </c>
      <c r="E119">
        <v>26349.8</v>
      </c>
      <c r="F119">
        <v>26096.65</v>
      </c>
      <c r="G119">
        <v>26187.7</v>
      </c>
      <c r="H119">
        <v>0</v>
      </c>
      <c r="I119" s="8">
        <f t="shared" si="5"/>
        <v>-2.6297999562017171E-3</v>
      </c>
      <c r="J119" s="8">
        <f t="shared" si="6"/>
        <v>-2.6332639545210744E-3</v>
      </c>
      <c r="K119" s="8">
        <f t="shared" si="3"/>
        <v>0.11650344701152426</v>
      </c>
    </row>
    <row r="120" spans="1:11" x14ac:dyDescent="0.25">
      <c r="A120" t="str">
        <f t="shared" si="4"/>
        <v>62017</v>
      </c>
      <c r="B120" s="1">
        <v>42909</v>
      </c>
      <c r="C120" t="s">
        <v>97</v>
      </c>
      <c r="D120">
        <v>26136.05</v>
      </c>
      <c r="E120">
        <v>26276.05</v>
      </c>
      <c r="F120">
        <v>25975.7</v>
      </c>
      <c r="G120">
        <v>26163.85</v>
      </c>
      <c r="H120">
        <v>0</v>
      </c>
      <c r="I120" s="8">
        <f t="shared" si="5"/>
        <v>-9.1073290132404061E-4</v>
      </c>
      <c r="J120" s="8">
        <f t="shared" si="6"/>
        <v>-9.1114787050267131E-4</v>
      </c>
      <c r="K120" s="8">
        <f t="shared" si="3"/>
        <v>0.11601237840731438</v>
      </c>
    </row>
    <row r="121" spans="1:11" x14ac:dyDescent="0.25">
      <c r="A121" t="str">
        <f t="shared" si="4"/>
        <v>62017</v>
      </c>
      <c r="B121" s="1">
        <v>42913</v>
      </c>
      <c r="C121" t="s">
        <v>98</v>
      </c>
      <c r="D121">
        <v>26209.75</v>
      </c>
      <c r="E121">
        <v>26491.1</v>
      </c>
      <c r="F121">
        <v>26117.599999999999</v>
      </c>
      <c r="G121">
        <v>26188.3</v>
      </c>
      <c r="H121">
        <v>0</v>
      </c>
      <c r="I121" s="8">
        <f t="shared" si="5"/>
        <v>9.3449549664903486E-4</v>
      </c>
      <c r="J121" s="8">
        <f t="shared" si="6"/>
        <v>9.3405912756787347E-4</v>
      </c>
      <c r="K121" s="8">
        <f t="shared" si="3"/>
        <v>0.1159295542383787</v>
      </c>
    </row>
    <row r="122" spans="1:11" x14ac:dyDescent="0.25">
      <c r="A122" t="str">
        <f t="shared" si="4"/>
        <v>62017</v>
      </c>
      <c r="B122" s="1">
        <v>42914</v>
      </c>
      <c r="C122" t="s">
        <v>99</v>
      </c>
      <c r="D122">
        <v>26172.75</v>
      </c>
      <c r="E122">
        <v>26172.75</v>
      </c>
      <c r="F122">
        <v>25906.45</v>
      </c>
      <c r="G122">
        <v>25981.9</v>
      </c>
      <c r="H122">
        <v>0</v>
      </c>
      <c r="I122" s="8">
        <f t="shared" si="5"/>
        <v>-7.8813821439344123E-3</v>
      </c>
      <c r="J122" s="8">
        <f t="shared" si="6"/>
        <v>-7.9126043940401444E-3</v>
      </c>
      <c r="K122" s="8">
        <f t="shared" si="3"/>
        <v>9.7556236138979902E-2</v>
      </c>
    </row>
    <row r="123" spans="1:11" x14ac:dyDescent="0.25">
      <c r="A123" t="str">
        <f t="shared" si="4"/>
        <v>62017</v>
      </c>
      <c r="B123" s="1">
        <v>42915</v>
      </c>
      <c r="C123" t="s">
        <v>100</v>
      </c>
      <c r="D123">
        <v>26069.05</v>
      </c>
      <c r="E123">
        <v>26249.65</v>
      </c>
      <c r="F123">
        <v>26048.55</v>
      </c>
      <c r="G123">
        <v>26143.65</v>
      </c>
      <c r="H123">
        <v>0</v>
      </c>
      <c r="I123" s="8">
        <f t="shared" si="5"/>
        <v>6.2254877433904898E-3</v>
      </c>
      <c r="J123" s="8">
        <f t="shared" si="6"/>
        <v>6.2061894473578383E-3</v>
      </c>
      <c r="K123" s="8">
        <f t="shared" si="3"/>
        <v>0.10445904271048967</v>
      </c>
    </row>
    <row r="124" spans="1:11" x14ac:dyDescent="0.25">
      <c r="A124" t="str">
        <f t="shared" si="4"/>
        <v>62017</v>
      </c>
      <c r="B124" s="1">
        <v>42916</v>
      </c>
      <c r="C124" t="s">
        <v>101</v>
      </c>
      <c r="D124">
        <v>26070.7</v>
      </c>
      <c r="E124">
        <v>26818.45</v>
      </c>
      <c r="F124">
        <v>26056.400000000001</v>
      </c>
      <c r="G124">
        <v>26752.05</v>
      </c>
      <c r="H124">
        <v>0</v>
      </c>
      <c r="I124" s="8">
        <f t="shared" si="5"/>
        <v>2.3271425374804089E-2</v>
      </c>
      <c r="J124" s="8">
        <f t="shared" si="6"/>
        <v>2.3004774724603567E-2</v>
      </c>
      <c r="K124" s="8">
        <f t="shared" si="3"/>
        <v>0.13633969493210096</v>
      </c>
    </row>
    <row r="125" spans="1:11" x14ac:dyDescent="0.25">
      <c r="A125" t="str">
        <f t="shared" si="4"/>
        <v>72017</v>
      </c>
      <c r="B125" s="1">
        <v>42919</v>
      </c>
      <c r="C125" s="10">
        <v>42801.645833333336</v>
      </c>
      <c r="D125">
        <v>27835.35</v>
      </c>
      <c r="E125">
        <v>28267.5</v>
      </c>
      <c r="F125">
        <v>27574.3</v>
      </c>
      <c r="G125">
        <v>27787.200000000001</v>
      </c>
      <c r="H125">
        <v>0</v>
      </c>
      <c r="I125" s="8">
        <f t="shared" si="5"/>
        <v>3.8694230909406935E-2</v>
      </c>
      <c r="J125" s="8">
        <f t="shared" si="6"/>
        <v>3.7964377091029546E-2</v>
      </c>
      <c r="K125" s="8">
        <f t="shared" si="3"/>
        <v>0.17545136127514849</v>
      </c>
    </row>
    <row r="126" spans="1:11" x14ac:dyDescent="0.25">
      <c r="A126" t="str">
        <f t="shared" si="4"/>
        <v>72017</v>
      </c>
      <c r="B126" s="1">
        <v>42920</v>
      </c>
      <c r="C126" s="10">
        <v>42832.645833333336</v>
      </c>
      <c r="D126">
        <v>27859.95</v>
      </c>
      <c r="E126">
        <v>27896.95</v>
      </c>
      <c r="F126">
        <v>27505.9</v>
      </c>
      <c r="G126">
        <v>27547.5</v>
      </c>
      <c r="H126">
        <v>0</v>
      </c>
      <c r="I126" s="8">
        <f t="shared" si="5"/>
        <v>-8.6262739678700795E-3</v>
      </c>
      <c r="J126" s="8">
        <f t="shared" si="6"/>
        <v>-8.6636956309177789E-3</v>
      </c>
      <c r="K126" s="8">
        <f t="shared" si="3"/>
        <v>0.16807371192815368</v>
      </c>
    </row>
    <row r="127" spans="1:11" x14ac:dyDescent="0.25">
      <c r="A127" t="str">
        <f t="shared" si="4"/>
        <v>72017</v>
      </c>
      <c r="B127" s="1">
        <v>42921</v>
      </c>
      <c r="C127" s="10">
        <v>42862.645833333336</v>
      </c>
      <c r="D127">
        <v>27569.5</v>
      </c>
      <c r="E127">
        <v>27590.55</v>
      </c>
      <c r="F127">
        <v>27315.15</v>
      </c>
      <c r="G127">
        <v>27349.4</v>
      </c>
      <c r="H127">
        <v>0</v>
      </c>
      <c r="I127" s="8">
        <f t="shared" si="5"/>
        <v>-7.1912151737906216E-3</v>
      </c>
      <c r="J127" s="8">
        <f t="shared" si="6"/>
        <v>-7.2171965952214845E-3</v>
      </c>
      <c r="K127" s="8">
        <f t="shared" si="3"/>
        <v>0.17133067797336077</v>
      </c>
    </row>
    <row r="128" spans="1:11" x14ac:dyDescent="0.25">
      <c r="A128" t="str">
        <f t="shared" si="4"/>
        <v>72017</v>
      </c>
      <c r="B128" s="1">
        <v>42922</v>
      </c>
      <c r="C128" s="10">
        <v>42893.645833333336</v>
      </c>
      <c r="D128">
        <v>27510</v>
      </c>
      <c r="E128">
        <v>27669.4</v>
      </c>
      <c r="F128">
        <v>27309.200000000001</v>
      </c>
      <c r="G128">
        <v>27581.7</v>
      </c>
      <c r="H128">
        <v>0</v>
      </c>
      <c r="I128" s="8">
        <f t="shared" si="5"/>
        <v>8.4937877979041065E-3</v>
      </c>
      <c r="J128" s="8">
        <f t="shared" si="6"/>
        <v>8.4579185497307315E-3</v>
      </c>
      <c r="K128" s="8">
        <f t="shared" ref="K128:K191" si="7">+G128/G67-1</f>
        <v>0.18704743378142541</v>
      </c>
    </row>
    <row r="129" spans="1:11" x14ac:dyDescent="0.25">
      <c r="A129" t="str">
        <f t="shared" si="4"/>
        <v>72017</v>
      </c>
      <c r="B129" s="1">
        <v>42923</v>
      </c>
      <c r="C129" s="10">
        <v>42923.645833333336</v>
      </c>
      <c r="D129">
        <v>27614.799999999999</v>
      </c>
      <c r="E129">
        <v>27626.400000000001</v>
      </c>
      <c r="F129">
        <v>27370.85</v>
      </c>
      <c r="G129">
        <v>27465.85</v>
      </c>
      <c r="H129">
        <v>0</v>
      </c>
      <c r="I129" s="8">
        <f t="shared" si="5"/>
        <v>-4.2002487156339585E-3</v>
      </c>
      <c r="J129" s="8">
        <f t="shared" si="6"/>
        <v>-4.2090945387313616E-3</v>
      </c>
      <c r="K129" s="8">
        <f t="shared" si="7"/>
        <v>0.18057791293695402</v>
      </c>
    </row>
    <row r="130" spans="1:11" x14ac:dyDescent="0.25">
      <c r="A130" t="str">
        <f t="shared" si="4"/>
        <v>72017</v>
      </c>
      <c r="B130" s="1">
        <v>42926</v>
      </c>
      <c r="C130" s="10">
        <v>43015.645833333336</v>
      </c>
      <c r="D130">
        <v>27422.15</v>
      </c>
      <c r="E130">
        <v>29037.85</v>
      </c>
      <c r="F130">
        <v>27048.7</v>
      </c>
      <c r="G130">
        <v>27474.5</v>
      </c>
      <c r="H130">
        <v>0</v>
      </c>
      <c r="I130" s="8">
        <f t="shared" si="5"/>
        <v>3.1493654847758457E-4</v>
      </c>
      <c r="J130" s="8">
        <f t="shared" si="6"/>
        <v>3.1488696637267259E-4</v>
      </c>
      <c r="K130" s="8">
        <f t="shared" si="7"/>
        <v>0.16162651812233775</v>
      </c>
    </row>
    <row r="131" spans="1:11" x14ac:dyDescent="0.25">
      <c r="A131" t="str">
        <f t="shared" ref="A131:A194" si="8">+MONTH(B131)&amp;YEAR(B131)</f>
        <v>72017</v>
      </c>
      <c r="B131" s="1">
        <v>42927</v>
      </c>
      <c r="C131" s="10">
        <v>43046.645833333336</v>
      </c>
      <c r="D131">
        <v>27591.5</v>
      </c>
      <c r="E131">
        <v>27591.5</v>
      </c>
      <c r="F131">
        <v>27335.1</v>
      </c>
      <c r="G131">
        <v>27361.599999999999</v>
      </c>
      <c r="H131">
        <v>0</v>
      </c>
      <c r="I131" s="8">
        <f t="shared" si="5"/>
        <v>-4.1092649547762594E-3</v>
      </c>
      <c r="J131" s="8">
        <f t="shared" si="6"/>
        <v>-4.1177311852931891E-3</v>
      </c>
      <c r="K131" s="8">
        <f t="shared" si="7"/>
        <v>0.15595136500747775</v>
      </c>
    </row>
    <row r="132" spans="1:11" x14ac:dyDescent="0.25">
      <c r="A132" t="str">
        <f t="shared" si="8"/>
        <v>72017</v>
      </c>
      <c r="B132" s="1">
        <v>42928</v>
      </c>
      <c r="C132" s="10">
        <v>43076.645833333336</v>
      </c>
      <c r="D132">
        <v>27297.65</v>
      </c>
      <c r="E132">
        <v>27613.65</v>
      </c>
      <c r="F132">
        <v>27293.35</v>
      </c>
      <c r="G132">
        <v>27425.85</v>
      </c>
      <c r="H132">
        <v>0</v>
      </c>
      <c r="I132" s="8">
        <f t="shared" ref="I132:I195" si="9">+G132/G131-1</f>
        <v>2.3481813929009387E-3</v>
      </c>
      <c r="J132" s="8">
        <f t="shared" ref="J132:J195" si="10">+LN(1+I132)</f>
        <v>2.345428723310125E-3</v>
      </c>
      <c r="K132" s="8">
        <f t="shared" si="7"/>
        <v>0.16666524870362709</v>
      </c>
    </row>
    <row r="133" spans="1:11" x14ac:dyDescent="0.25">
      <c r="A133" t="str">
        <f t="shared" si="8"/>
        <v>72017</v>
      </c>
      <c r="B133" s="1">
        <v>42929</v>
      </c>
      <c r="C133" t="s">
        <v>102</v>
      </c>
      <c r="D133">
        <v>27614.400000000001</v>
      </c>
      <c r="E133">
        <v>27977.95</v>
      </c>
      <c r="F133">
        <v>27568.85</v>
      </c>
      <c r="G133">
        <v>27918.65</v>
      </c>
      <c r="H133">
        <v>0</v>
      </c>
      <c r="I133" s="8">
        <f t="shared" si="9"/>
        <v>1.7968449473763082E-2</v>
      </c>
      <c r="J133" s="8">
        <f t="shared" si="10"/>
        <v>1.7808924989662668E-2</v>
      </c>
      <c r="K133" s="8">
        <f t="shared" si="7"/>
        <v>0.19005835489494838</v>
      </c>
    </row>
    <row r="134" spans="1:11" x14ac:dyDescent="0.25">
      <c r="A134" t="str">
        <f t="shared" si="8"/>
        <v>72017</v>
      </c>
      <c r="B134" s="1">
        <v>42930</v>
      </c>
      <c r="C134" t="s">
        <v>103</v>
      </c>
      <c r="D134">
        <v>27995.9</v>
      </c>
      <c r="E134">
        <v>27996.3</v>
      </c>
      <c r="F134">
        <v>27734.35</v>
      </c>
      <c r="G134">
        <v>27864.45</v>
      </c>
      <c r="H134">
        <v>0</v>
      </c>
      <c r="I134" s="8">
        <f t="shared" si="9"/>
        <v>-1.9413546142095228E-3</v>
      </c>
      <c r="J134" s="8">
        <f t="shared" si="10"/>
        <v>-1.9432414855316286E-3</v>
      </c>
      <c r="K134" s="8">
        <f t="shared" si="7"/>
        <v>0.1916567413435859</v>
      </c>
    </row>
    <row r="135" spans="1:11" x14ac:dyDescent="0.25">
      <c r="A135" t="str">
        <f t="shared" si="8"/>
        <v>72017</v>
      </c>
      <c r="B135" s="1">
        <v>42933</v>
      </c>
      <c r="C135" t="s">
        <v>104</v>
      </c>
      <c r="D135">
        <v>27768.7</v>
      </c>
      <c r="E135">
        <v>27772.35</v>
      </c>
      <c r="F135">
        <v>27190.55</v>
      </c>
      <c r="G135">
        <v>27391.65</v>
      </c>
      <c r="H135">
        <v>0</v>
      </c>
      <c r="I135" s="8">
        <f t="shared" si="9"/>
        <v>-1.6967856892922684E-2</v>
      </c>
      <c r="J135" s="8">
        <f t="shared" si="10"/>
        <v>-1.7113460379665102E-2</v>
      </c>
      <c r="K135" s="8">
        <f t="shared" si="7"/>
        <v>0.17122650686381191</v>
      </c>
    </row>
    <row r="136" spans="1:11" x14ac:dyDescent="0.25">
      <c r="A136" t="str">
        <f t="shared" si="8"/>
        <v>72017</v>
      </c>
      <c r="B136" s="1">
        <v>42934</v>
      </c>
      <c r="C136" t="s">
        <v>105</v>
      </c>
      <c r="D136">
        <v>25885.7</v>
      </c>
      <c r="E136">
        <v>25885.7</v>
      </c>
      <c r="F136">
        <v>25161.15</v>
      </c>
      <c r="G136">
        <v>25547.599999999999</v>
      </c>
      <c r="H136">
        <v>0</v>
      </c>
      <c r="I136" s="8">
        <f t="shared" si="9"/>
        <v>-6.7321610782848151E-2</v>
      </c>
      <c r="J136" s="8">
        <f t="shared" si="10"/>
        <v>-6.9694843650535451E-2</v>
      </c>
      <c r="K136" s="8">
        <f t="shared" si="7"/>
        <v>8.7356326731261369E-2</v>
      </c>
    </row>
    <row r="137" spans="1:11" x14ac:dyDescent="0.25">
      <c r="A137" t="str">
        <f t="shared" si="8"/>
        <v>72017</v>
      </c>
      <c r="B137" s="1">
        <v>42935</v>
      </c>
      <c r="C137" t="s">
        <v>106</v>
      </c>
      <c r="D137">
        <v>25839.7</v>
      </c>
      <c r="E137">
        <v>25953.05</v>
      </c>
      <c r="F137">
        <v>25641.65</v>
      </c>
      <c r="G137">
        <v>25915.75</v>
      </c>
      <c r="H137">
        <v>0</v>
      </c>
      <c r="I137" s="8">
        <f t="shared" si="9"/>
        <v>1.4410355571560673E-2</v>
      </c>
      <c r="J137" s="8">
        <f t="shared" si="10"/>
        <v>1.4307513216896245E-2</v>
      </c>
      <c r="K137" s="8">
        <f t="shared" si="7"/>
        <v>0.11562518833567226</v>
      </c>
    </row>
    <row r="138" spans="1:11" x14ac:dyDescent="0.25">
      <c r="A138" t="str">
        <f t="shared" si="8"/>
        <v>72017</v>
      </c>
      <c r="B138" s="1">
        <v>42936</v>
      </c>
      <c r="C138" t="s">
        <v>107</v>
      </c>
      <c r="D138">
        <v>26048.6</v>
      </c>
      <c r="E138">
        <v>26093.9</v>
      </c>
      <c r="F138">
        <v>25666.1</v>
      </c>
      <c r="G138">
        <v>25762.95</v>
      </c>
      <c r="H138">
        <v>0</v>
      </c>
      <c r="I138" s="8">
        <f t="shared" si="9"/>
        <v>-5.8960284768914129E-3</v>
      </c>
      <c r="J138" s="8">
        <f t="shared" si="10"/>
        <v>-5.913478677853818E-3</v>
      </c>
      <c r="K138" s="8">
        <f t="shared" si="7"/>
        <v>0.10359118684580837</v>
      </c>
    </row>
    <row r="139" spans="1:11" x14ac:dyDescent="0.25">
      <c r="A139" t="str">
        <f t="shared" si="8"/>
        <v>72017</v>
      </c>
      <c r="B139" s="1">
        <v>42937</v>
      </c>
      <c r="C139" t="s">
        <v>108</v>
      </c>
      <c r="D139">
        <v>25898.65</v>
      </c>
      <c r="E139">
        <v>25899.5</v>
      </c>
      <c r="F139">
        <v>25638.400000000001</v>
      </c>
      <c r="G139">
        <v>25795.599999999999</v>
      </c>
      <c r="H139">
        <v>0</v>
      </c>
      <c r="I139" s="8">
        <f t="shared" si="9"/>
        <v>1.2673238119080832E-3</v>
      </c>
      <c r="J139" s="8">
        <f t="shared" si="10"/>
        <v>1.2665214349287235E-3</v>
      </c>
      <c r="K139" s="8">
        <f t="shared" si="7"/>
        <v>8.545183327477357E-2</v>
      </c>
    </row>
    <row r="140" spans="1:11" x14ac:dyDescent="0.25">
      <c r="A140" t="str">
        <f t="shared" si="8"/>
        <v>72017</v>
      </c>
      <c r="B140" s="1">
        <v>42940</v>
      </c>
      <c r="C140" t="s">
        <v>109</v>
      </c>
      <c r="D140">
        <v>25865.3</v>
      </c>
      <c r="E140">
        <v>26109.05</v>
      </c>
      <c r="F140">
        <v>25763.85</v>
      </c>
      <c r="G140">
        <v>26033.45</v>
      </c>
      <c r="H140">
        <v>0</v>
      </c>
      <c r="I140" s="8">
        <f t="shared" si="9"/>
        <v>9.2205647474763452E-3</v>
      </c>
      <c r="J140" s="8">
        <f t="shared" si="10"/>
        <v>9.1783148536839984E-3</v>
      </c>
      <c r="K140" s="8">
        <f t="shared" si="7"/>
        <v>7.114584661973411E-2</v>
      </c>
    </row>
    <row r="141" spans="1:11" x14ac:dyDescent="0.25">
      <c r="A141" t="str">
        <f t="shared" si="8"/>
        <v>72017</v>
      </c>
      <c r="B141" s="1">
        <v>42941</v>
      </c>
      <c r="C141" t="s">
        <v>110</v>
      </c>
      <c r="D141">
        <v>26117.85</v>
      </c>
      <c r="E141">
        <v>26128.799999999999</v>
      </c>
      <c r="F141">
        <v>25897.599999999999</v>
      </c>
      <c r="G141">
        <v>25925</v>
      </c>
      <c r="H141">
        <v>0</v>
      </c>
      <c r="I141" s="8">
        <f t="shared" si="9"/>
        <v>-4.1657943914463758E-3</v>
      </c>
      <c r="J141" s="8">
        <f t="shared" si="10"/>
        <v>-4.1744954859568532E-3</v>
      </c>
      <c r="K141" s="8">
        <f t="shared" si="7"/>
        <v>7.7201146798520748E-2</v>
      </c>
    </row>
    <row r="142" spans="1:11" x14ac:dyDescent="0.25">
      <c r="A142" t="str">
        <f t="shared" si="8"/>
        <v>72017</v>
      </c>
      <c r="B142" s="1">
        <v>42942</v>
      </c>
      <c r="C142" t="s">
        <v>111</v>
      </c>
      <c r="D142">
        <v>25983.7</v>
      </c>
      <c r="E142">
        <v>26121.85</v>
      </c>
      <c r="F142">
        <v>25912.9</v>
      </c>
      <c r="G142">
        <v>26099.5</v>
      </c>
      <c r="H142">
        <v>0</v>
      </c>
      <c r="I142" s="8">
        <f t="shared" si="9"/>
        <v>6.7309546769527273E-3</v>
      </c>
      <c r="J142" s="8">
        <f t="shared" si="10"/>
        <v>6.7084029414347171E-3</v>
      </c>
      <c r="K142" s="8">
        <f t="shared" si="7"/>
        <v>0.10238897758855181</v>
      </c>
    </row>
    <row r="143" spans="1:11" x14ac:dyDescent="0.25">
      <c r="A143" t="str">
        <f t="shared" si="8"/>
        <v>72017</v>
      </c>
      <c r="B143" s="1">
        <v>42943</v>
      </c>
      <c r="C143" t="s">
        <v>112</v>
      </c>
      <c r="D143">
        <v>26173.4</v>
      </c>
      <c r="E143">
        <v>26276.1</v>
      </c>
      <c r="F143">
        <v>25877.1</v>
      </c>
      <c r="G143">
        <v>25970.45</v>
      </c>
      <c r="H143">
        <v>0</v>
      </c>
      <c r="I143" s="8">
        <f t="shared" si="9"/>
        <v>-4.9445391674169947E-3</v>
      </c>
      <c r="J143" s="8">
        <f t="shared" si="10"/>
        <v>-4.9568038466999984E-3</v>
      </c>
      <c r="K143" s="8">
        <f t="shared" si="7"/>
        <v>9.3257868836586821E-2</v>
      </c>
    </row>
    <row r="144" spans="1:11" x14ac:dyDescent="0.25">
      <c r="A144" t="str">
        <f t="shared" si="8"/>
        <v>72017</v>
      </c>
      <c r="B144" s="1">
        <v>42944</v>
      </c>
      <c r="C144" t="s">
        <v>113</v>
      </c>
      <c r="D144">
        <v>26211.25</v>
      </c>
      <c r="E144">
        <v>26223.25</v>
      </c>
      <c r="F144">
        <v>25764.65</v>
      </c>
      <c r="G144">
        <v>26033.95</v>
      </c>
      <c r="H144">
        <v>0</v>
      </c>
      <c r="I144" s="8">
        <f t="shared" si="9"/>
        <v>2.4450866273013627E-3</v>
      </c>
      <c r="J144" s="8">
        <f t="shared" si="10"/>
        <v>2.442102266684093E-3</v>
      </c>
      <c r="K144" s="8">
        <f t="shared" si="7"/>
        <v>9.9230275546998481E-2</v>
      </c>
    </row>
    <row r="145" spans="1:11" x14ac:dyDescent="0.25">
      <c r="A145" t="str">
        <f t="shared" si="8"/>
        <v>72017</v>
      </c>
      <c r="B145" s="1">
        <v>42947</v>
      </c>
      <c r="C145" t="s">
        <v>114</v>
      </c>
      <c r="D145">
        <v>26009.05</v>
      </c>
      <c r="E145">
        <v>26022.799999999999</v>
      </c>
      <c r="F145">
        <v>25680.3</v>
      </c>
      <c r="G145">
        <v>25744.35</v>
      </c>
      <c r="H145">
        <v>0</v>
      </c>
      <c r="I145" s="8">
        <f t="shared" si="9"/>
        <v>-1.1123936244788135E-2</v>
      </c>
      <c r="J145" s="8">
        <f t="shared" si="10"/>
        <v>-1.1186269918529109E-2</v>
      </c>
      <c r="K145" s="8">
        <f t="shared" si="7"/>
        <v>7.4839886772601671E-2</v>
      </c>
    </row>
    <row r="146" spans="1:11" x14ac:dyDescent="0.25">
      <c r="A146" t="str">
        <f t="shared" si="8"/>
        <v>82017</v>
      </c>
      <c r="B146" s="1">
        <v>42948</v>
      </c>
      <c r="C146" s="10">
        <v>42743.645833333336</v>
      </c>
      <c r="D146">
        <v>25705.75</v>
      </c>
      <c r="E146">
        <v>25822.35</v>
      </c>
      <c r="F146">
        <v>25651.35</v>
      </c>
      <c r="G146">
        <v>25781.5</v>
      </c>
      <c r="H146">
        <v>0</v>
      </c>
      <c r="I146" s="8">
        <f t="shared" si="9"/>
        <v>1.4430350737153486E-3</v>
      </c>
      <c r="J146" s="8">
        <f t="shared" si="10"/>
        <v>1.4419948991553696E-3</v>
      </c>
      <c r="K146" s="8">
        <f t="shared" si="7"/>
        <v>9.1028736228044638E-2</v>
      </c>
    </row>
    <row r="147" spans="1:11" x14ac:dyDescent="0.25">
      <c r="A147" t="str">
        <f t="shared" si="8"/>
        <v>82017</v>
      </c>
      <c r="B147" s="1">
        <v>42949</v>
      </c>
      <c r="C147" s="10">
        <v>42774.645833333336</v>
      </c>
      <c r="D147">
        <v>25864.5</v>
      </c>
      <c r="E147">
        <v>25875.3</v>
      </c>
      <c r="F147">
        <v>25448.1</v>
      </c>
      <c r="G147">
        <v>25531.1</v>
      </c>
      <c r="H147">
        <v>0</v>
      </c>
      <c r="I147" s="8">
        <f t="shared" si="9"/>
        <v>-9.712390667726889E-3</v>
      </c>
      <c r="J147" s="8">
        <f t="shared" si="10"/>
        <v>-9.7598635676173495E-3</v>
      </c>
      <c r="K147" s="8">
        <f t="shared" si="7"/>
        <v>8.9108530769296257E-2</v>
      </c>
    </row>
    <row r="148" spans="1:11" x14ac:dyDescent="0.25">
      <c r="A148" t="str">
        <f t="shared" si="8"/>
        <v>82017</v>
      </c>
      <c r="B148" s="1">
        <v>42950</v>
      </c>
      <c r="C148" s="10">
        <v>42802.645833333336</v>
      </c>
      <c r="D148">
        <v>25485.75</v>
      </c>
      <c r="E148">
        <v>25618.35</v>
      </c>
      <c r="F148">
        <v>25336.1</v>
      </c>
      <c r="G148">
        <v>25483.55</v>
      </c>
      <c r="H148">
        <v>0</v>
      </c>
      <c r="I148" s="8">
        <f t="shared" si="9"/>
        <v>-1.86243444269929E-3</v>
      </c>
      <c r="J148" s="8">
        <f t="shared" si="10"/>
        <v>-1.8641709301235852E-3</v>
      </c>
      <c r="K148" s="8">
        <f t="shared" si="7"/>
        <v>8.3122767273677844E-2</v>
      </c>
    </row>
    <row r="149" spans="1:11" x14ac:dyDescent="0.25">
      <c r="A149" t="str">
        <f t="shared" si="8"/>
        <v>82017</v>
      </c>
      <c r="B149" s="1">
        <v>42951</v>
      </c>
      <c r="C149" s="10">
        <v>42833.645833333336</v>
      </c>
      <c r="D149">
        <v>25389.15</v>
      </c>
      <c r="E149">
        <v>25635.9</v>
      </c>
      <c r="F149">
        <v>25370.95</v>
      </c>
      <c r="G149">
        <v>25551.1</v>
      </c>
      <c r="H149">
        <v>0</v>
      </c>
      <c r="I149" s="8">
        <f t="shared" si="9"/>
        <v>2.6507295883029247E-3</v>
      </c>
      <c r="J149" s="8">
        <f t="shared" si="10"/>
        <v>2.6472226006447061E-3</v>
      </c>
      <c r="K149" s="8">
        <f t="shared" si="7"/>
        <v>6.6658039145290893E-2</v>
      </c>
    </row>
    <row r="150" spans="1:11" x14ac:dyDescent="0.25">
      <c r="A150" t="str">
        <f t="shared" si="8"/>
        <v>82017</v>
      </c>
      <c r="B150" s="1">
        <v>42954</v>
      </c>
      <c r="C150" s="10">
        <v>42924.645833333336</v>
      </c>
      <c r="D150">
        <v>25549.25</v>
      </c>
      <c r="E150">
        <v>25713.05</v>
      </c>
      <c r="F150">
        <v>25470</v>
      </c>
      <c r="G150">
        <v>25608.55</v>
      </c>
      <c r="H150">
        <v>0</v>
      </c>
      <c r="I150" s="8">
        <f t="shared" si="9"/>
        <v>2.2484354881002755E-3</v>
      </c>
      <c r="J150" s="8">
        <f t="shared" si="10"/>
        <v>2.245911539610413E-3</v>
      </c>
      <c r="K150" s="8">
        <f t="shared" si="7"/>
        <v>6.5874880597356578E-2</v>
      </c>
    </row>
    <row r="151" spans="1:11" x14ac:dyDescent="0.25">
      <c r="A151" t="str">
        <f t="shared" si="8"/>
        <v>82017</v>
      </c>
      <c r="B151" s="1">
        <v>42955</v>
      </c>
      <c r="C151" s="10">
        <v>42955.645833333336</v>
      </c>
      <c r="D151">
        <v>25619.3</v>
      </c>
      <c r="E151">
        <v>25710.5</v>
      </c>
      <c r="F151">
        <v>25220.400000000001</v>
      </c>
      <c r="G151">
        <v>25306.05</v>
      </c>
      <c r="H151">
        <v>0</v>
      </c>
      <c r="I151" s="8">
        <f t="shared" si="9"/>
        <v>-1.1812461072571501E-2</v>
      </c>
      <c r="J151" s="8">
        <f t="shared" si="10"/>
        <v>-1.1882782519018486E-2</v>
      </c>
      <c r="K151" s="8">
        <f t="shared" si="7"/>
        <v>5.5872774800297842E-2</v>
      </c>
    </row>
    <row r="152" spans="1:11" x14ac:dyDescent="0.25">
      <c r="A152" t="str">
        <f t="shared" si="8"/>
        <v>82017</v>
      </c>
      <c r="B152" s="1">
        <v>42956</v>
      </c>
      <c r="C152" s="10">
        <v>42986.645833333336</v>
      </c>
      <c r="D152">
        <v>25291</v>
      </c>
      <c r="E152">
        <v>25291.5</v>
      </c>
      <c r="F152">
        <v>25029.3</v>
      </c>
      <c r="G152">
        <v>25102.799999999999</v>
      </c>
      <c r="H152">
        <v>0</v>
      </c>
      <c r="I152" s="8">
        <f t="shared" si="9"/>
        <v>-8.0316762197182312E-3</v>
      </c>
      <c r="J152" s="8">
        <f t="shared" si="10"/>
        <v>-8.0641038801940422E-3</v>
      </c>
      <c r="K152" s="8">
        <f t="shared" si="7"/>
        <v>4.0770000974317266E-2</v>
      </c>
    </row>
    <row r="153" spans="1:11" x14ac:dyDescent="0.25">
      <c r="A153" t="str">
        <f t="shared" si="8"/>
        <v>82017</v>
      </c>
      <c r="B153" s="1">
        <v>42957</v>
      </c>
      <c r="C153" s="10">
        <v>43016.645833333336</v>
      </c>
      <c r="D153">
        <v>25015.4</v>
      </c>
      <c r="E153">
        <v>25117.45</v>
      </c>
      <c r="F153">
        <v>24875.75</v>
      </c>
      <c r="G153">
        <v>24969.25</v>
      </c>
      <c r="H153">
        <v>0</v>
      </c>
      <c r="I153" s="8">
        <f t="shared" si="9"/>
        <v>-5.3201236515447725E-3</v>
      </c>
      <c r="J153" s="8">
        <f t="shared" si="10"/>
        <v>-5.3343259035989526E-3</v>
      </c>
      <c r="K153" s="8">
        <f t="shared" si="7"/>
        <v>2.4566536249694737E-2</v>
      </c>
    </row>
    <row r="154" spans="1:11" x14ac:dyDescent="0.25">
      <c r="A154" t="str">
        <f t="shared" si="8"/>
        <v>82017</v>
      </c>
      <c r="B154" s="1">
        <v>42958</v>
      </c>
      <c r="C154" s="10">
        <v>43047.645833333336</v>
      </c>
      <c r="D154">
        <v>24739.95</v>
      </c>
      <c r="E154">
        <v>24959.599999999999</v>
      </c>
      <c r="F154">
        <v>24665.45</v>
      </c>
      <c r="G154">
        <v>24762.55</v>
      </c>
      <c r="H154">
        <v>0</v>
      </c>
      <c r="I154" s="8">
        <f t="shared" si="9"/>
        <v>-8.2781821640618425E-3</v>
      </c>
      <c r="J154" s="8">
        <f t="shared" si="10"/>
        <v>-8.3126365924770483E-3</v>
      </c>
      <c r="K154" s="8">
        <f t="shared" si="7"/>
        <v>2.0431248519064082E-2</v>
      </c>
    </row>
    <row r="155" spans="1:11" x14ac:dyDescent="0.25">
      <c r="A155" t="str">
        <f t="shared" si="8"/>
        <v>82017</v>
      </c>
      <c r="B155" s="1">
        <v>42961</v>
      </c>
      <c r="C155" t="s">
        <v>115</v>
      </c>
      <c r="D155">
        <v>24940.85</v>
      </c>
      <c r="E155">
        <v>24986.799999999999</v>
      </c>
      <c r="F155">
        <v>24810</v>
      </c>
      <c r="G155">
        <v>24908.400000000001</v>
      </c>
      <c r="H155">
        <v>0</v>
      </c>
      <c r="I155" s="8">
        <f t="shared" si="9"/>
        <v>5.8899426755323336E-3</v>
      </c>
      <c r="J155" s="8">
        <f t="shared" si="10"/>
        <v>5.8726647738764938E-3</v>
      </c>
      <c r="K155" s="8">
        <f t="shared" si="7"/>
        <v>4.3764666443178113E-2</v>
      </c>
    </row>
    <row r="156" spans="1:11" x14ac:dyDescent="0.25">
      <c r="A156" t="str">
        <f t="shared" si="8"/>
        <v>82017</v>
      </c>
      <c r="B156" s="1">
        <v>42963</v>
      </c>
      <c r="C156" t="s">
        <v>116</v>
      </c>
      <c r="D156">
        <v>24984.9</v>
      </c>
      <c r="E156">
        <v>25615.55</v>
      </c>
      <c r="F156">
        <v>24951.599999999999</v>
      </c>
      <c r="G156">
        <v>25534.799999999999</v>
      </c>
      <c r="H156">
        <v>0</v>
      </c>
      <c r="I156" s="8">
        <f t="shared" si="9"/>
        <v>2.5148142795201611E-2</v>
      </c>
      <c r="J156" s="8">
        <f t="shared" si="10"/>
        <v>2.4837131703275676E-2</v>
      </c>
      <c r="K156" s="8">
        <f t="shared" si="7"/>
        <v>4.8532207663152915E-2</v>
      </c>
    </row>
    <row r="157" spans="1:11" x14ac:dyDescent="0.25">
      <c r="A157" t="str">
        <f t="shared" si="8"/>
        <v>82017</v>
      </c>
      <c r="B157" s="1">
        <v>42964</v>
      </c>
      <c r="C157" t="s">
        <v>117</v>
      </c>
      <c r="D157">
        <v>25680.85</v>
      </c>
      <c r="E157">
        <v>25680.85</v>
      </c>
      <c r="F157">
        <v>25427.7</v>
      </c>
      <c r="G157">
        <v>25511.35</v>
      </c>
      <c r="H157">
        <v>0</v>
      </c>
      <c r="I157" s="8">
        <f t="shared" si="9"/>
        <v>-9.1835455926814191E-4</v>
      </c>
      <c r="J157" s="8">
        <f t="shared" si="10"/>
        <v>-9.1877650516681241E-4</v>
      </c>
      <c r="K157" s="8">
        <f t="shared" si="7"/>
        <v>1.1151407055093099E-2</v>
      </c>
    </row>
    <row r="158" spans="1:11" x14ac:dyDescent="0.25">
      <c r="A158" t="str">
        <f t="shared" si="8"/>
        <v>82017</v>
      </c>
      <c r="B158" s="1">
        <v>42965</v>
      </c>
      <c r="C158" t="s">
        <v>118</v>
      </c>
      <c r="D158">
        <v>25397.95</v>
      </c>
      <c r="E158">
        <v>25751.25</v>
      </c>
      <c r="F158">
        <v>25387.3</v>
      </c>
      <c r="G158">
        <v>25718.7</v>
      </c>
      <c r="H158">
        <v>0</v>
      </c>
      <c r="I158" s="8">
        <f t="shared" si="9"/>
        <v>8.1277549012499506E-3</v>
      </c>
      <c r="J158" s="8">
        <f t="shared" si="10"/>
        <v>8.0949025916805094E-3</v>
      </c>
      <c r="K158" s="8">
        <f t="shared" si="7"/>
        <v>2.8651306777162988E-2</v>
      </c>
    </row>
    <row r="159" spans="1:11" x14ac:dyDescent="0.25">
      <c r="A159" t="str">
        <f t="shared" si="8"/>
        <v>82017</v>
      </c>
      <c r="B159" s="1">
        <v>42968</v>
      </c>
      <c r="C159" t="s">
        <v>119</v>
      </c>
      <c r="D159">
        <v>25758.75</v>
      </c>
      <c r="E159">
        <v>25877.25</v>
      </c>
      <c r="F159">
        <v>25567.55</v>
      </c>
      <c r="G159">
        <v>25598.75</v>
      </c>
      <c r="H159">
        <v>0</v>
      </c>
      <c r="I159" s="8">
        <f t="shared" si="9"/>
        <v>-4.6639215823506275E-3</v>
      </c>
      <c r="J159" s="8">
        <f t="shared" si="10"/>
        <v>-4.6748316001425589E-3</v>
      </c>
      <c r="K159" s="8">
        <f t="shared" si="7"/>
        <v>2.4503231745142351E-2</v>
      </c>
    </row>
    <row r="160" spans="1:11" x14ac:dyDescent="0.25">
      <c r="A160" t="str">
        <f t="shared" si="8"/>
        <v>82017</v>
      </c>
      <c r="B160" s="1">
        <v>42969</v>
      </c>
      <c r="C160" t="s">
        <v>120</v>
      </c>
      <c r="D160">
        <v>25708.1</v>
      </c>
      <c r="E160">
        <v>25769.4</v>
      </c>
      <c r="F160">
        <v>25541.4</v>
      </c>
      <c r="G160">
        <v>25604.75</v>
      </c>
      <c r="H160">
        <v>0</v>
      </c>
      <c r="I160" s="8">
        <f t="shared" si="9"/>
        <v>2.3438644465056946E-4</v>
      </c>
      <c r="J160" s="8">
        <f t="shared" si="10"/>
        <v>2.3435898043926024E-4</v>
      </c>
      <c r="K160" s="8">
        <f t="shared" si="7"/>
        <v>2.1874432535873733E-2</v>
      </c>
    </row>
    <row r="161" spans="1:11" x14ac:dyDescent="0.25">
      <c r="A161" t="str">
        <f t="shared" si="8"/>
        <v>82017</v>
      </c>
      <c r="B161" s="1">
        <v>42970</v>
      </c>
      <c r="C161" t="s">
        <v>121</v>
      </c>
      <c r="D161">
        <v>25652.15</v>
      </c>
      <c r="E161">
        <v>25717.55</v>
      </c>
      <c r="F161">
        <v>25538.95</v>
      </c>
      <c r="G161">
        <v>25595.95</v>
      </c>
      <c r="H161">
        <v>0</v>
      </c>
      <c r="I161" s="8">
        <f t="shared" si="9"/>
        <v>-3.436862300939536E-4</v>
      </c>
      <c r="J161" s="8">
        <f t="shared" si="10"/>
        <v>-3.43745303741919E-4</v>
      </c>
      <c r="K161" s="8">
        <f t="shared" si="7"/>
        <v>3.4656405652444544E-3</v>
      </c>
    </row>
    <row r="162" spans="1:11" x14ac:dyDescent="0.25">
      <c r="A162" t="str">
        <f t="shared" si="8"/>
        <v>82017</v>
      </c>
      <c r="B162" s="1">
        <v>42971</v>
      </c>
      <c r="C162" t="s">
        <v>122</v>
      </c>
      <c r="D162">
        <v>25607.9</v>
      </c>
      <c r="E162">
        <v>25676.3</v>
      </c>
      <c r="F162">
        <v>25544.35</v>
      </c>
      <c r="G162">
        <v>25555</v>
      </c>
      <c r="H162">
        <v>0</v>
      </c>
      <c r="I162" s="8">
        <f t="shared" si="9"/>
        <v>-1.5998624782436188E-3</v>
      </c>
      <c r="J162" s="8">
        <f t="shared" si="10"/>
        <v>-1.6011436248395084E-3</v>
      </c>
      <c r="K162" s="8">
        <f t="shared" si="7"/>
        <v>-1.5147573709777817E-2</v>
      </c>
    </row>
    <row r="163" spans="1:11" x14ac:dyDescent="0.25">
      <c r="A163" t="str">
        <f t="shared" si="8"/>
        <v>82017</v>
      </c>
      <c r="B163" s="1">
        <v>42975</v>
      </c>
      <c r="C163" t="s">
        <v>123</v>
      </c>
      <c r="D163">
        <v>25614.2</v>
      </c>
      <c r="E163">
        <v>25789.599999999999</v>
      </c>
      <c r="F163">
        <v>25488.55</v>
      </c>
      <c r="G163">
        <v>25761.9</v>
      </c>
      <c r="H163">
        <v>0</v>
      </c>
      <c r="I163" s="8">
        <f t="shared" si="9"/>
        <v>8.0962629622383098E-3</v>
      </c>
      <c r="J163" s="8">
        <f t="shared" si="10"/>
        <v>8.0636640599150034E-3</v>
      </c>
      <c r="K163" s="8">
        <f t="shared" si="7"/>
        <v>-8.3386985424727111E-4</v>
      </c>
    </row>
    <row r="164" spans="1:11" x14ac:dyDescent="0.25">
      <c r="A164" t="str">
        <f t="shared" si="8"/>
        <v>82017</v>
      </c>
      <c r="B164" s="1">
        <v>42976</v>
      </c>
      <c r="C164" t="s">
        <v>124</v>
      </c>
      <c r="D164">
        <v>25728.85</v>
      </c>
      <c r="E164">
        <v>25728.85</v>
      </c>
      <c r="F164">
        <v>25445.55</v>
      </c>
      <c r="G164">
        <v>25529.5</v>
      </c>
      <c r="H164">
        <v>0</v>
      </c>
      <c r="I164" s="8">
        <f t="shared" si="9"/>
        <v>-9.0210737562059773E-3</v>
      </c>
      <c r="J164" s="8">
        <f t="shared" si="10"/>
        <v>-9.0620100207437822E-3</v>
      </c>
      <c r="K164" s="8">
        <f t="shared" si="7"/>
        <v>-1.2085071473349362E-2</v>
      </c>
    </row>
    <row r="165" spans="1:11" x14ac:dyDescent="0.25">
      <c r="A165" t="str">
        <f t="shared" si="8"/>
        <v>82017</v>
      </c>
      <c r="B165" s="1">
        <v>42977</v>
      </c>
      <c r="C165" t="s">
        <v>125</v>
      </c>
      <c r="D165">
        <v>25634.7</v>
      </c>
      <c r="E165">
        <v>25800.6</v>
      </c>
      <c r="F165">
        <v>25609.75</v>
      </c>
      <c r="G165">
        <v>25757.85</v>
      </c>
      <c r="H165">
        <v>0</v>
      </c>
      <c r="I165" s="8">
        <f t="shared" si="9"/>
        <v>8.9445543390977988E-3</v>
      </c>
      <c r="J165" s="8">
        <f t="shared" si="10"/>
        <v>8.9047887606115792E-3</v>
      </c>
      <c r="K165" s="8">
        <f t="shared" si="7"/>
        <v>-1.5589081146154871E-2</v>
      </c>
    </row>
    <row r="166" spans="1:11" x14ac:dyDescent="0.25">
      <c r="A166" t="str">
        <f t="shared" si="8"/>
        <v>82017</v>
      </c>
      <c r="B166" s="1">
        <v>42978</v>
      </c>
      <c r="C166" t="s">
        <v>126</v>
      </c>
      <c r="D166">
        <v>25818.5</v>
      </c>
      <c r="E166">
        <v>25884.45</v>
      </c>
      <c r="F166">
        <v>25619.95</v>
      </c>
      <c r="G166">
        <v>25834.9</v>
      </c>
      <c r="H166">
        <v>0</v>
      </c>
      <c r="I166" s="8">
        <f t="shared" si="9"/>
        <v>2.9913210924048528E-3</v>
      </c>
      <c r="J166" s="8">
        <f t="shared" si="10"/>
        <v>2.9868559936126011E-3</v>
      </c>
      <c r="K166" s="8">
        <f t="shared" si="7"/>
        <v>-2.1468314540351585E-2</v>
      </c>
    </row>
    <row r="167" spans="1:11" x14ac:dyDescent="0.25">
      <c r="A167" t="str">
        <f t="shared" si="8"/>
        <v>92017</v>
      </c>
      <c r="B167" s="1">
        <v>42979</v>
      </c>
      <c r="C167" s="10">
        <v>42744.645833333336</v>
      </c>
      <c r="D167">
        <v>25835.25</v>
      </c>
      <c r="E167">
        <v>25975.65</v>
      </c>
      <c r="F167">
        <v>25756.95</v>
      </c>
      <c r="G167">
        <v>25906.75</v>
      </c>
      <c r="H167">
        <v>0</v>
      </c>
      <c r="I167" s="8">
        <f t="shared" si="9"/>
        <v>2.7811216610089673E-3</v>
      </c>
      <c r="J167" s="8">
        <f t="shared" si="10"/>
        <v>2.7772614975621543E-3</v>
      </c>
      <c r="K167" s="8">
        <f t="shared" si="7"/>
        <v>-1.9821684294559549E-2</v>
      </c>
    </row>
    <row r="168" spans="1:11" x14ac:dyDescent="0.25">
      <c r="A168" t="str">
        <f t="shared" si="8"/>
        <v>92017</v>
      </c>
      <c r="B168" s="1">
        <v>42982</v>
      </c>
      <c r="C168" s="10">
        <v>42834.645833333336</v>
      </c>
      <c r="D168">
        <v>25888.799999999999</v>
      </c>
      <c r="E168">
        <v>25888.799999999999</v>
      </c>
      <c r="F168">
        <v>25692.1</v>
      </c>
      <c r="G168">
        <v>25761.4</v>
      </c>
      <c r="H168">
        <v>0</v>
      </c>
      <c r="I168" s="8">
        <f t="shared" si="9"/>
        <v>-5.6105069142211583E-3</v>
      </c>
      <c r="J168" s="8">
        <f t="shared" si="10"/>
        <v>-5.626304925750357E-3</v>
      </c>
      <c r="K168" s="8">
        <f t="shared" si="7"/>
        <v>-1.1416445053321511E-2</v>
      </c>
    </row>
    <row r="169" spans="1:11" x14ac:dyDescent="0.25">
      <c r="A169" t="str">
        <f t="shared" si="8"/>
        <v>92017</v>
      </c>
      <c r="B169" s="1">
        <v>42983</v>
      </c>
      <c r="C169" s="10">
        <v>42864.645833333336</v>
      </c>
      <c r="D169">
        <v>25763.35</v>
      </c>
      <c r="E169">
        <v>25890.65</v>
      </c>
      <c r="F169">
        <v>25719.9</v>
      </c>
      <c r="G169">
        <v>25818.9</v>
      </c>
      <c r="H169">
        <v>0</v>
      </c>
      <c r="I169" s="8">
        <f t="shared" si="9"/>
        <v>2.2320215516238306E-3</v>
      </c>
      <c r="J169" s="8">
        <f t="shared" si="10"/>
        <v>2.2295342919109742E-3</v>
      </c>
      <c r="K169" s="8">
        <f t="shared" si="7"/>
        <v>-1.5680398929478256E-2</v>
      </c>
    </row>
    <row r="170" spans="1:11" x14ac:dyDescent="0.25">
      <c r="A170" t="str">
        <f t="shared" si="8"/>
        <v>92017</v>
      </c>
      <c r="B170" s="1">
        <v>42984</v>
      </c>
      <c r="C170" s="10">
        <v>42895.645833333336</v>
      </c>
      <c r="D170">
        <v>25664.1</v>
      </c>
      <c r="E170">
        <v>25721</v>
      </c>
      <c r="F170">
        <v>25439.3</v>
      </c>
      <c r="G170">
        <v>25473.1</v>
      </c>
      <c r="H170">
        <v>0</v>
      </c>
      <c r="I170" s="8">
        <f t="shared" si="9"/>
        <v>-1.3393289412020004E-2</v>
      </c>
      <c r="J170" s="8">
        <f t="shared" si="10"/>
        <v>-1.3483788474453067E-2</v>
      </c>
      <c r="K170" s="8">
        <f t="shared" si="7"/>
        <v>-2.7126017106290812E-2</v>
      </c>
    </row>
    <row r="171" spans="1:11" x14ac:dyDescent="0.25">
      <c r="A171" t="str">
        <f t="shared" si="8"/>
        <v>92017</v>
      </c>
      <c r="B171" s="1">
        <v>42985</v>
      </c>
      <c r="C171" s="10">
        <v>42925.645833333336</v>
      </c>
      <c r="D171">
        <v>25567.3</v>
      </c>
      <c r="E171">
        <v>25639.7</v>
      </c>
      <c r="F171">
        <v>25276.55</v>
      </c>
      <c r="G171">
        <v>25309.25</v>
      </c>
      <c r="H171">
        <v>0</v>
      </c>
      <c r="I171" s="8">
        <f t="shared" si="9"/>
        <v>-6.4322756162382699E-3</v>
      </c>
      <c r="J171" s="8">
        <f t="shared" si="10"/>
        <v>-6.4530518412301867E-3</v>
      </c>
      <c r="K171" s="8">
        <f t="shared" si="7"/>
        <v>-2.4370264576575318E-2</v>
      </c>
    </row>
    <row r="172" spans="1:11" x14ac:dyDescent="0.25">
      <c r="A172" t="str">
        <f t="shared" si="8"/>
        <v>92017</v>
      </c>
      <c r="B172" s="1">
        <v>42986</v>
      </c>
      <c r="C172" s="10">
        <v>42956.645833333336</v>
      </c>
      <c r="D172">
        <v>25360.400000000001</v>
      </c>
      <c r="E172">
        <v>25495.15</v>
      </c>
      <c r="F172">
        <v>25303.8</v>
      </c>
      <c r="G172">
        <v>25408.85</v>
      </c>
      <c r="H172">
        <v>0</v>
      </c>
      <c r="I172" s="8">
        <f t="shared" si="9"/>
        <v>3.9353200904805874E-3</v>
      </c>
      <c r="J172" s="8">
        <f t="shared" si="10"/>
        <v>3.9275969737002057E-3</v>
      </c>
      <c r="K172" s="8">
        <f t="shared" si="7"/>
        <v>-1.7630104176130978E-2</v>
      </c>
    </row>
    <row r="173" spans="1:11" x14ac:dyDescent="0.25">
      <c r="A173" t="str">
        <f t="shared" si="8"/>
        <v>92017</v>
      </c>
      <c r="B173" s="1">
        <v>42989</v>
      </c>
      <c r="C173" s="10">
        <v>43048.645833333336</v>
      </c>
      <c r="D173">
        <v>25434.25</v>
      </c>
      <c r="E173">
        <v>25622.05</v>
      </c>
      <c r="F173">
        <v>25430.2</v>
      </c>
      <c r="G173">
        <v>25550.45</v>
      </c>
      <c r="H173">
        <v>0</v>
      </c>
      <c r="I173" s="8">
        <f t="shared" si="9"/>
        <v>5.5728614242676056E-3</v>
      </c>
      <c r="J173" s="8">
        <f t="shared" si="10"/>
        <v>5.5573904836983398E-3</v>
      </c>
      <c r="K173" s="8">
        <f t="shared" si="7"/>
        <v>-1.5102776359028236E-2</v>
      </c>
    </row>
    <row r="174" spans="1:11" x14ac:dyDescent="0.25">
      <c r="A174" t="str">
        <f t="shared" si="8"/>
        <v>92017</v>
      </c>
      <c r="B174" s="1">
        <v>42990</v>
      </c>
      <c r="C174" s="10">
        <v>43078.645833333336</v>
      </c>
      <c r="D174">
        <v>25692.35</v>
      </c>
      <c r="E174">
        <v>25934.85</v>
      </c>
      <c r="F174">
        <v>25662.9</v>
      </c>
      <c r="G174">
        <v>25913.200000000001</v>
      </c>
      <c r="H174">
        <v>0</v>
      </c>
      <c r="I174" s="8">
        <f t="shared" si="9"/>
        <v>1.4197401611321991E-2</v>
      </c>
      <c r="J174" s="8">
        <f t="shared" si="10"/>
        <v>1.409756236733758E-2</v>
      </c>
      <c r="K174" s="8">
        <f t="shared" si="7"/>
        <v>6.5489461867731524E-3</v>
      </c>
    </row>
    <row r="175" spans="1:11" x14ac:dyDescent="0.25">
      <c r="A175" t="str">
        <f t="shared" si="8"/>
        <v>92017</v>
      </c>
      <c r="B175" s="1">
        <v>42991</v>
      </c>
      <c r="C175" t="s">
        <v>127</v>
      </c>
      <c r="D175">
        <v>25904.9</v>
      </c>
      <c r="E175">
        <v>25918.2</v>
      </c>
      <c r="F175">
        <v>25595.35</v>
      </c>
      <c r="G175">
        <v>25632.35</v>
      </c>
      <c r="H175">
        <v>0</v>
      </c>
      <c r="I175" s="8">
        <f t="shared" si="9"/>
        <v>-1.0838105675871845E-2</v>
      </c>
      <c r="J175" s="8">
        <f t="shared" si="10"/>
        <v>-1.0897265787199607E-2</v>
      </c>
      <c r="K175" s="8">
        <f t="shared" si="7"/>
        <v>-4.6984178757326633E-3</v>
      </c>
    </row>
    <row r="176" spans="1:11" x14ac:dyDescent="0.25">
      <c r="A176" t="str">
        <f t="shared" si="8"/>
        <v>92017</v>
      </c>
      <c r="B176" s="1">
        <v>42992</v>
      </c>
      <c r="C176" t="s">
        <v>128</v>
      </c>
      <c r="D176">
        <v>25729.95</v>
      </c>
      <c r="E176">
        <v>25742.85</v>
      </c>
      <c r="F176">
        <v>25561.75</v>
      </c>
      <c r="G176">
        <v>25628.25</v>
      </c>
      <c r="H176">
        <v>0</v>
      </c>
      <c r="I176" s="8">
        <f t="shared" si="9"/>
        <v>-1.5995412047664637E-4</v>
      </c>
      <c r="J176" s="8">
        <f t="shared" si="10"/>
        <v>-1.5996691450129792E-4</v>
      </c>
      <c r="K176" s="8">
        <f t="shared" si="7"/>
        <v>-1.1038307035111883E-2</v>
      </c>
    </row>
    <row r="177" spans="1:11" x14ac:dyDescent="0.25">
      <c r="A177" t="str">
        <f t="shared" si="8"/>
        <v>92017</v>
      </c>
      <c r="B177" s="1">
        <v>42993</v>
      </c>
      <c r="C177" t="s">
        <v>129</v>
      </c>
      <c r="D177">
        <v>25590.15</v>
      </c>
      <c r="E177">
        <v>25647.3</v>
      </c>
      <c r="F177">
        <v>25453.05</v>
      </c>
      <c r="G177">
        <v>25505.95</v>
      </c>
      <c r="H177">
        <v>0</v>
      </c>
      <c r="I177" s="8">
        <f t="shared" si="9"/>
        <v>-4.7720776877078208E-3</v>
      </c>
      <c r="J177" s="8">
        <f t="shared" si="10"/>
        <v>-4.7835004049877842E-3</v>
      </c>
      <c r="K177" s="8">
        <f t="shared" si="7"/>
        <v>-2.3738667962941329E-2</v>
      </c>
    </row>
    <row r="178" spans="1:11" x14ac:dyDescent="0.25">
      <c r="A178" t="str">
        <f t="shared" si="8"/>
        <v>92017</v>
      </c>
      <c r="B178" s="1">
        <v>42996</v>
      </c>
      <c r="C178" t="s">
        <v>130</v>
      </c>
      <c r="D178">
        <v>25622.2</v>
      </c>
      <c r="E178">
        <v>25709</v>
      </c>
      <c r="F178">
        <v>25550.15</v>
      </c>
      <c r="G178">
        <v>25578.35</v>
      </c>
      <c r="H178">
        <v>0</v>
      </c>
      <c r="I178" s="8">
        <f t="shared" si="9"/>
        <v>2.8385533571577692E-3</v>
      </c>
      <c r="J178" s="8">
        <f t="shared" si="10"/>
        <v>2.8345322721560259E-3</v>
      </c>
      <c r="K178" s="8">
        <f t="shared" si="7"/>
        <v>-1.8314716058574931E-2</v>
      </c>
    </row>
    <row r="179" spans="1:11" x14ac:dyDescent="0.25">
      <c r="A179" t="str">
        <f t="shared" si="8"/>
        <v>92017</v>
      </c>
      <c r="B179" s="1">
        <v>42997</v>
      </c>
      <c r="C179" t="s">
        <v>131</v>
      </c>
      <c r="D179">
        <v>25648.9</v>
      </c>
      <c r="E179">
        <v>25783.45</v>
      </c>
      <c r="F179">
        <v>25485.4</v>
      </c>
      <c r="G179">
        <v>25648.400000000001</v>
      </c>
      <c r="H179">
        <v>0</v>
      </c>
      <c r="I179" s="8">
        <f t="shared" si="9"/>
        <v>2.7386442049626147E-3</v>
      </c>
      <c r="J179" s="8">
        <f t="shared" si="10"/>
        <v>2.7349009516571252E-3</v>
      </c>
      <c r="K179" s="8">
        <f t="shared" si="7"/>
        <v>-2.3169280280308846E-2</v>
      </c>
    </row>
    <row r="180" spans="1:11" x14ac:dyDescent="0.25">
      <c r="A180" t="str">
        <f t="shared" si="8"/>
        <v>92017</v>
      </c>
      <c r="B180" s="1">
        <v>42998</v>
      </c>
      <c r="C180" t="s">
        <v>132</v>
      </c>
      <c r="D180">
        <v>25744.65</v>
      </c>
      <c r="E180">
        <v>25751</v>
      </c>
      <c r="F180">
        <v>25615.35</v>
      </c>
      <c r="G180">
        <v>25698.55</v>
      </c>
      <c r="H180">
        <v>0</v>
      </c>
      <c r="I180" s="8">
        <f t="shared" si="9"/>
        <v>1.9552876592690005E-3</v>
      </c>
      <c r="J180" s="8">
        <f t="shared" si="10"/>
        <v>1.953378572491238E-3</v>
      </c>
      <c r="K180" s="8">
        <f t="shared" si="7"/>
        <v>-1.8678616296963879E-2</v>
      </c>
    </row>
    <row r="181" spans="1:11" x14ac:dyDescent="0.25">
      <c r="A181" t="str">
        <f t="shared" si="8"/>
        <v>92017</v>
      </c>
      <c r="B181" s="1">
        <v>42999</v>
      </c>
      <c r="C181" t="s">
        <v>133</v>
      </c>
      <c r="D181">
        <v>25725</v>
      </c>
      <c r="E181">
        <v>25743.4</v>
      </c>
      <c r="F181">
        <v>25369.1</v>
      </c>
      <c r="G181">
        <v>25489.7</v>
      </c>
      <c r="H181">
        <v>0</v>
      </c>
      <c r="I181" s="8">
        <f t="shared" si="9"/>
        <v>-8.1269176665609288E-3</v>
      </c>
      <c r="J181" s="8">
        <f t="shared" si="10"/>
        <v>-8.1601210785672163E-3</v>
      </c>
      <c r="K181" s="8">
        <f t="shared" si="7"/>
        <v>-2.5766467855456998E-2</v>
      </c>
    </row>
    <row r="182" spans="1:11" x14ac:dyDescent="0.25">
      <c r="A182" t="str">
        <f t="shared" si="8"/>
        <v>92017</v>
      </c>
      <c r="B182" s="1">
        <v>43000</v>
      </c>
      <c r="C182" t="s">
        <v>134</v>
      </c>
      <c r="D182">
        <v>25447.3</v>
      </c>
      <c r="E182">
        <v>25447.3</v>
      </c>
      <c r="F182">
        <v>25155.7</v>
      </c>
      <c r="G182">
        <v>25220.35</v>
      </c>
      <c r="H182">
        <v>0</v>
      </c>
      <c r="I182" s="8">
        <f t="shared" si="9"/>
        <v>-1.0567013342644316E-2</v>
      </c>
      <c r="J182" s="8">
        <f t="shared" si="10"/>
        <v>-1.0623240682283326E-2</v>
      </c>
      <c r="K182" s="8">
        <f t="shared" si="7"/>
        <v>-3.6961162045646367E-2</v>
      </c>
    </row>
    <row r="183" spans="1:11" x14ac:dyDescent="0.25">
      <c r="A183" t="str">
        <f t="shared" si="8"/>
        <v>92017</v>
      </c>
      <c r="B183" s="1">
        <v>43003</v>
      </c>
      <c r="C183" t="s">
        <v>135</v>
      </c>
      <c r="D183">
        <v>25255.5</v>
      </c>
      <c r="E183">
        <v>25289.45</v>
      </c>
      <c r="F183">
        <v>24867.95</v>
      </c>
      <c r="G183">
        <v>24980.7</v>
      </c>
      <c r="H183">
        <v>0</v>
      </c>
      <c r="I183" s="8">
        <f t="shared" si="9"/>
        <v>-9.5022471932386665E-3</v>
      </c>
      <c r="J183" s="8">
        <f t="shared" si="10"/>
        <v>-9.54768159243383E-3</v>
      </c>
      <c r="K183" s="8">
        <f t="shared" si="7"/>
        <v>-3.8534518260789241E-2</v>
      </c>
    </row>
    <row r="184" spans="1:11" x14ac:dyDescent="0.25">
      <c r="A184" t="str">
        <f t="shared" si="8"/>
        <v>92017</v>
      </c>
      <c r="B184" s="1">
        <v>43004</v>
      </c>
      <c r="C184" t="s">
        <v>136</v>
      </c>
      <c r="D184">
        <v>25093.4</v>
      </c>
      <c r="E184">
        <v>25095.25</v>
      </c>
      <c r="F184">
        <v>24707.3</v>
      </c>
      <c r="G184">
        <v>24872.1</v>
      </c>
      <c r="H184">
        <v>0</v>
      </c>
      <c r="I184" s="8">
        <f t="shared" si="9"/>
        <v>-4.3473561589547627E-3</v>
      </c>
      <c r="J184" s="8">
        <f t="shared" si="10"/>
        <v>-4.3568333889780061E-3</v>
      </c>
      <c r="K184" s="8">
        <f t="shared" si="7"/>
        <v>-4.8637049532104459E-2</v>
      </c>
    </row>
    <row r="185" spans="1:11" x14ac:dyDescent="0.25">
      <c r="A185" t="str">
        <f t="shared" si="8"/>
        <v>92017</v>
      </c>
      <c r="B185" s="1">
        <v>43005</v>
      </c>
      <c r="C185" t="s">
        <v>137</v>
      </c>
      <c r="D185">
        <v>25046.6</v>
      </c>
      <c r="E185">
        <v>25063.45</v>
      </c>
      <c r="F185">
        <v>24458.65</v>
      </c>
      <c r="G185">
        <v>24556.1</v>
      </c>
      <c r="H185">
        <v>0</v>
      </c>
      <c r="I185" s="8">
        <f t="shared" si="9"/>
        <v>-1.2704998773726439E-2</v>
      </c>
      <c r="J185" s="8">
        <f t="shared" si="10"/>
        <v>-1.278639745232661E-2</v>
      </c>
      <c r="K185" s="8">
        <f t="shared" si="7"/>
        <v>-8.2085298136030715E-2</v>
      </c>
    </row>
    <row r="186" spans="1:11" x14ac:dyDescent="0.25">
      <c r="A186" t="str">
        <f t="shared" si="8"/>
        <v>92017</v>
      </c>
      <c r="B186" s="1">
        <v>43006</v>
      </c>
      <c r="C186" t="s">
        <v>138</v>
      </c>
      <c r="D186">
        <v>24664</v>
      </c>
      <c r="E186">
        <v>24811.35</v>
      </c>
      <c r="F186">
        <v>24590.55</v>
      </c>
      <c r="G186">
        <v>24724.65</v>
      </c>
      <c r="H186">
        <v>0</v>
      </c>
      <c r="I186" s="8">
        <f t="shared" si="9"/>
        <v>6.8638749638583185E-3</v>
      </c>
      <c r="J186" s="8">
        <f t="shared" si="10"/>
        <v>6.8404258143007239E-3</v>
      </c>
      <c r="K186" s="8">
        <f t="shared" si="7"/>
        <v>-0.11021441527034026</v>
      </c>
    </row>
    <row r="187" spans="1:11" x14ac:dyDescent="0.25">
      <c r="A187" t="str">
        <f t="shared" si="8"/>
        <v>92017</v>
      </c>
      <c r="B187" s="1">
        <v>43007</v>
      </c>
      <c r="C187" t="s">
        <v>139</v>
      </c>
      <c r="D187">
        <v>24834.05</v>
      </c>
      <c r="E187">
        <v>24838.6</v>
      </c>
      <c r="F187">
        <v>24427.3</v>
      </c>
      <c r="G187">
        <v>24480.799999999999</v>
      </c>
      <c r="H187">
        <v>0</v>
      </c>
      <c r="I187" s="8">
        <f t="shared" si="9"/>
        <v>-9.862626973486055E-3</v>
      </c>
      <c r="J187" s="8">
        <f t="shared" si="10"/>
        <v>-9.9115848470251889E-3</v>
      </c>
      <c r="K187" s="8">
        <f t="shared" si="7"/>
        <v>-0.11132407659497234</v>
      </c>
    </row>
    <row r="188" spans="1:11" x14ac:dyDescent="0.25">
      <c r="A188" t="str">
        <f t="shared" si="8"/>
        <v>102017</v>
      </c>
      <c r="B188" s="1">
        <v>43011</v>
      </c>
      <c r="C188" s="10">
        <v>42804.645833333336</v>
      </c>
      <c r="D188">
        <v>24764.9</v>
      </c>
      <c r="E188">
        <v>24806.45</v>
      </c>
      <c r="F188">
        <v>24547.35</v>
      </c>
      <c r="G188">
        <v>24747.55</v>
      </c>
      <c r="H188">
        <v>0</v>
      </c>
      <c r="I188" s="8">
        <f t="shared" si="9"/>
        <v>1.089629423875027E-2</v>
      </c>
      <c r="J188" s="8">
        <f t="shared" si="10"/>
        <v>1.0837357367169502E-2</v>
      </c>
      <c r="K188" s="8">
        <f t="shared" si="7"/>
        <v>-9.5133714085135379E-2</v>
      </c>
    </row>
    <row r="189" spans="1:11" x14ac:dyDescent="0.25">
      <c r="A189" t="str">
        <f t="shared" si="8"/>
        <v>102017</v>
      </c>
      <c r="B189" s="1">
        <v>43012</v>
      </c>
      <c r="C189" s="10">
        <v>42835.645833333336</v>
      </c>
      <c r="D189">
        <v>24910.400000000001</v>
      </c>
      <c r="E189">
        <v>25184.3</v>
      </c>
      <c r="F189">
        <v>24840.45</v>
      </c>
      <c r="G189">
        <v>25105.45</v>
      </c>
      <c r="H189">
        <v>0</v>
      </c>
      <c r="I189" s="8">
        <f t="shared" si="9"/>
        <v>1.446203765625298E-2</v>
      </c>
      <c r="J189" s="8">
        <f t="shared" si="10"/>
        <v>1.4358459826329144E-2</v>
      </c>
      <c r="K189" s="8">
        <f t="shared" si="7"/>
        <v>-8.9778730100030124E-2</v>
      </c>
    </row>
    <row r="190" spans="1:11" x14ac:dyDescent="0.25">
      <c r="A190" t="str">
        <f t="shared" si="8"/>
        <v>102017</v>
      </c>
      <c r="B190" s="1">
        <v>43013</v>
      </c>
      <c r="C190" s="10">
        <v>42865.645833333336</v>
      </c>
      <c r="D190">
        <v>25156.25</v>
      </c>
      <c r="E190">
        <v>25247.1</v>
      </c>
      <c r="F190">
        <v>24965.4</v>
      </c>
      <c r="G190">
        <v>25010.400000000001</v>
      </c>
      <c r="H190">
        <v>0</v>
      </c>
      <c r="I190" s="8">
        <f t="shared" si="9"/>
        <v>-3.7860305232528813E-3</v>
      </c>
      <c r="J190" s="8">
        <f t="shared" si="10"/>
        <v>-3.7932156780246069E-3</v>
      </c>
      <c r="K190" s="8">
        <f t="shared" si="7"/>
        <v>-8.9400109590637045E-2</v>
      </c>
    </row>
    <row r="191" spans="1:11" x14ac:dyDescent="0.25">
      <c r="A191" t="str">
        <f t="shared" si="8"/>
        <v>102017</v>
      </c>
      <c r="B191" s="1">
        <v>43014</v>
      </c>
      <c r="C191" s="10">
        <v>42896.645833333336</v>
      </c>
      <c r="D191">
        <v>25066.55</v>
      </c>
      <c r="E191">
        <v>25160.799999999999</v>
      </c>
      <c r="F191">
        <v>25007</v>
      </c>
      <c r="G191">
        <v>25130.6</v>
      </c>
      <c r="H191">
        <v>0</v>
      </c>
      <c r="I191" s="8">
        <f t="shared" si="9"/>
        <v>4.8060007037071806E-3</v>
      </c>
      <c r="J191" s="8">
        <f t="shared" si="10"/>
        <v>4.7944887518897705E-3</v>
      </c>
      <c r="K191" s="8">
        <f t="shared" si="7"/>
        <v>-8.5311834610275028E-2</v>
      </c>
    </row>
    <row r="192" spans="1:11" x14ac:dyDescent="0.25">
      <c r="A192" t="str">
        <f t="shared" si="8"/>
        <v>102017</v>
      </c>
      <c r="B192" s="1">
        <v>43017</v>
      </c>
      <c r="C192" s="10">
        <v>42988.645833333336</v>
      </c>
      <c r="D192">
        <v>25271.4</v>
      </c>
      <c r="E192">
        <v>25315.25</v>
      </c>
      <c r="F192">
        <v>25151.45</v>
      </c>
      <c r="G192">
        <v>25286.35</v>
      </c>
      <c r="H192">
        <v>0</v>
      </c>
      <c r="I192" s="8">
        <f t="shared" si="9"/>
        <v>6.197623614239145E-3</v>
      </c>
      <c r="J192" s="8">
        <f t="shared" si="10"/>
        <v>6.1784973293376594E-3</v>
      </c>
      <c r="K192" s="8">
        <f t="shared" ref="K192:K255" si="11">+G192/G131-1</f>
        <v>-7.5845345301444378E-2</v>
      </c>
    </row>
    <row r="193" spans="1:11" x14ac:dyDescent="0.25">
      <c r="A193" t="str">
        <f t="shared" si="8"/>
        <v>102017</v>
      </c>
      <c r="B193" s="1">
        <v>43018</v>
      </c>
      <c r="C193" s="10">
        <v>43018.645833333336</v>
      </c>
      <c r="D193">
        <v>25294.5</v>
      </c>
      <c r="E193">
        <v>25339.15</v>
      </c>
      <c r="F193">
        <v>25141.1</v>
      </c>
      <c r="G193">
        <v>25204.85</v>
      </c>
      <c r="H193">
        <v>0</v>
      </c>
      <c r="I193" s="8">
        <f t="shared" si="9"/>
        <v>-3.2230828095000108E-3</v>
      </c>
      <c r="J193" s="8">
        <f t="shared" si="10"/>
        <v>-3.2282881286909578E-3</v>
      </c>
      <c r="K193" s="8">
        <f t="shared" si="11"/>
        <v>-8.0981993265477614E-2</v>
      </c>
    </row>
    <row r="194" spans="1:11" x14ac:dyDescent="0.25">
      <c r="A194" t="str">
        <f t="shared" si="8"/>
        <v>102017</v>
      </c>
      <c r="B194" s="1">
        <v>43019</v>
      </c>
      <c r="C194" s="10">
        <v>43049.645833333336</v>
      </c>
      <c r="D194">
        <v>25269.95</v>
      </c>
      <c r="E194">
        <v>25315.1</v>
      </c>
      <c r="F194">
        <v>25078.5</v>
      </c>
      <c r="G194">
        <v>25187.5</v>
      </c>
      <c r="H194">
        <v>0</v>
      </c>
      <c r="I194" s="8">
        <f t="shared" si="9"/>
        <v>-6.8835958158841581E-4</v>
      </c>
      <c r="J194" s="8">
        <f t="shared" si="10"/>
        <v>-6.8859660982521201E-4</v>
      </c>
      <c r="K194" s="8">
        <f t="shared" si="11"/>
        <v>-9.7825288830226453E-2</v>
      </c>
    </row>
    <row r="195" spans="1:11" x14ac:dyDescent="0.25">
      <c r="A195" t="str">
        <f t="shared" ref="A195:A258" si="12">+MONTH(B195)&amp;YEAR(B195)</f>
        <v>102017</v>
      </c>
      <c r="B195" s="1">
        <v>43020</v>
      </c>
      <c r="C195" s="10">
        <v>43079.645833333336</v>
      </c>
      <c r="D195">
        <v>25215.9</v>
      </c>
      <c r="E195">
        <v>25575.95</v>
      </c>
      <c r="F195">
        <v>25146.25</v>
      </c>
      <c r="G195">
        <v>25473.599999999999</v>
      </c>
      <c r="H195">
        <v>0</v>
      </c>
      <c r="I195" s="8">
        <f t="shared" si="9"/>
        <v>1.135880893300234E-2</v>
      </c>
      <c r="J195" s="8">
        <f t="shared" si="10"/>
        <v>1.1294782052701277E-2</v>
      </c>
      <c r="K195" s="8">
        <f t="shared" si="11"/>
        <v>-8.5802877860499782E-2</v>
      </c>
    </row>
    <row r="196" spans="1:11" x14ac:dyDescent="0.25">
      <c r="A196" t="str">
        <f t="shared" si="12"/>
        <v>102017</v>
      </c>
      <c r="B196" s="1">
        <v>43021</v>
      </c>
      <c r="C196" t="s">
        <v>140</v>
      </c>
      <c r="D196">
        <v>25443.8</v>
      </c>
      <c r="E196">
        <v>25483.95</v>
      </c>
      <c r="F196">
        <v>25331.05</v>
      </c>
      <c r="G196">
        <v>25434.85</v>
      </c>
      <c r="H196">
        <v>0</v>
      </c>
      <c r="I196" s="8">
        <f t="shared" ref="I196:I259" si="13">+G196/G195-1</f>
        <v>-1.5211827146536239E-3</v>
      </c>
      <c r="J196" s="8">
        <f t="shared" ref="J196:J259" si="14">+LN(1+I196)</f>
        <v>-1.5223408877569182E-3</v>
      </c>
      <c r="K196" s="8">
        <f t="shared" si="11"/>
        <v>-7.1437828681368276E-2</v>
      </c>
    </row>
    <row r="197" spans="1:11" x14ac:dyDescent="0.25">
      <c r="A197" t="str">
        <f t="shared" si="12"/>
        <v>102017</v>
      </c>
      <c r="B197" s="1">
        <v>43024</v>
      </c>
      <c r="C197" t="s">
        <v>141</v>
      </c>
      <c r="D197">
        <v>25481</v>
      </c>
      <c r="E197">
        <v>25734.95</v>
      </c>
      <c r="F197">
        <v>25458.2</v>
      </c>
      <c r="G197">
        <v>25607.599999999999</v>
      </c>
      <c r="H197">
        <v>0</v>
      </c>
      <c r="I197" s="8">
        <f t="shared" si="13"/>
        <v>6.7918623463476546E-3</v>
      </c>
      <c r="J197" s="8">
        <f t="shared" si="14"/>
        <v>6.7689015550074678E-3</v>
      </c>
      <c r="K197" s="8">
        <f t="shared" si="11"/>
        <v>2.3485572030248481E-3</v>
      </c>
    </row>
    <row r="198" spans="1:11" x14ac:dyDescent="0.25">
      <c r="A198" t="str">
        <f t="shared" si="12"/>
        <v>102017</v>
      </c>
      <c r="B198" s="1">
        <v>43025</v>
      </c>
      <c r="C198" t="s">
        <v>142</v>
      </c>
      <c r="D198">
        <v>25643.05</v>
      </c>
      <c r="E198">
        <v>25651.25</v>
      </c>
      <c r="F198">
        <v>25517.45</v>
      </c>
      <c r="G198">
        <v>25620.95</v>
      </c>
      <c r="H198">
        <v>0</v>
      </c>
      <c r="I198" s="8">
        <f t="shared" si="13"/>
        <v>5.213296052735128E-4</v>
      </c>
      <c r="J198" s="8">
        <f t="shared" si="14"/>
        <v>5.2119376020616514E-4</v>
      </c>
      <c r="K198" s="8">
        <f t="shared" si="11"/>
        <v>-1.1375321956725082E-2</v>
      </c>
    </row>
    <row r="199" spans="1:11" x14ac:dyDescent="0.25">
      <c r="A199" t="str">
        <f t="shared" si="12"/>
        <v>102017</v>
      </c>
      <c r="B199" s="1">
        <v>43026</v>
      </c>
      <c r="C199" t="s">
        <v>143</v>
      </c>
      <c r="D199">
        <v>25654.75</v>
      </c>
      <c r="E199">
        <v>25709.4</v>
      </c>
      <c r="F199">
        <v>25512.45</v>
      </c>
      <c r="G199">
        <v>25684.05</v>
      </c>
      <c r="H199">
        <v>0</v>
      </c>
      <c r="I199" s="8">
        <f t="shared" si="13"/>
        <v>2.4628282713949901E-3</v>
      </c>
      <c r="J199" s="8">
        <f t="shared" si="14"/>
        <v>2.4598004801154936E-3</v>
      </c>
      <c r="K199" s="8">
        <f t="shared" si="11"/>
        <v>-3.0625374811502626E-3</v>
      </c>
    </row>
    <row r="200" spans="1:11" x14ac:dyDescent="0.25">
      <c r="A200" t="str">
        <f t="shared" si="12"/>
        <v>102017</v>
      </c>
      <c r="B200" s="1">
        <v>43027</v>
      </c>
      <c r="C200" t="s">
        <v>144</v>
      </c>
      <c r="D200">
        <v>25745.3</v>
      </c>
      <c r="E200">
        <v>25747.65</v>
      </c>
      <c r="F200">
        <v>25515.45</v>
      </c>
      <c r="G200">
        <v>25580</v>
      </c>
      <c r="H200">
        <v>0</v>
      </c>
      <c r="I200" s="8">
        <f t="shared" si="13"/>
        <v>-4.051152368882649E-3</v>
      </c>
      <c r="J200" s="8">
        <f t="shared" si="14"/>
        <v>-4.0593805164787699E-3</v>
      </c>
      <c r="K200" s="8">
        <f t="shared" si="11"/>
        <v>-8.3580145451161991E-3</v>
      </c>
    </row>
    <row r="201" spans="1:11" x14ac:dyDescent="0.25">
      <c r="A201" t="str">
        <f t="shared" si="12"/>
        <v>102017</v>
      </c>
      <c r="B201" s="1">
        <v>43031</v>
      </c>
      <c r="C201" t="s">
        <v>145</v>
      </c>
      <c r="D201">
        <v>25636.85</v>
      </c>
      <c r="E201">
        <v>25810.6</v>
      </c>
      <c r="F201">
        <v>25331.1</v>
      </c>
      <c r="G201">
        <v>25419.200000000001</v>
      </c>
      <c r="H201">
        <v>0</v>
      </c>
      <c r="I201" s="8">
        <f t="shared" si="13"/>
        <v>-6.2861610633306864E-3</v>
      </c>
      <c r="J201" s="8">
        <f t="shared" si="14"/>
        <v>-6.3060021670745597E-3</v>
      </c>
      <c r="K201" s="8">
        <f t="shared" si="11"/>
        <v>-2.3594644582258573E-2</v>
      </c>
    </row>
    <row r="202" spans="1:11" x14ac:dyDescent="0.25">
      <c r="A202" t="str">
        <f t="shared" si="12"/>
        <v>102017</v>
      </c>
      <c r="B202" s="1">
        <v>43032</v>
      </c>
      <c r="C202" t="s">
        <v>146</v>
      </c>
      <c r="D202">
        <v>25542.05</v>
      </c>
      <c r="E202">
        <v>25567.3</v>
      </c>
      <c r="F202">
        <v>25418.05</v>
      </c>
      <c r="G202">
        <v>25503</v>
      </c>
      <c r="H202">
        <v>0</v>
      </c>
      <c r="I202" s="8">
        <f t="shared" si="13"/>
        <v>3.296720589160973E-3</v>
      </c>
      <c r="J202" s="8">
        <f t="shared" si="14"/>
        <v>3.2912983197094891E-3</v>
      </c>
      <c r="K202" s="8">
        <f t="shared" si="11"/>
        <v>-1.6277724204435851E-2</v>
      </c>
    </row>
    <row r="203" spans="1:11" x14ac:dyDescent="0.25">
      <c r="A203" t="str">
        <f t="shared" si="12"/>
        <v>102017</v>
      </c>
      <c r="B203" s="1">
        <v>43033</v>
      </c>
      <c r="C203" t="s">
        <v>147</v>
      </c>
      <c r="D203">
        <v>25632.25</v>
      </c>
      <c r="E203">
        <v>25711.55</v>
      </c>
      <c r="F203">
        <v>25570.75</v>
      </c>
      <c r="G203">
        <v>25638.2</v>
      </c>
      <c r="H203">
        <v>0</v>
      </c>
      <c r="I203" s="8">
        <f t="shared" si="13"/>
        <v>5.3013370975962815E-3</v>
      </c>
      <c r="J203" s="8">
        <f t="shared" si="14"/>
        <v>5.2873344766929207E-3</v>
      </c>
      <c r="K203" s="8">
        <f t="shared" si="11"/>
        <v>-1.7674668097089952E-2</v>
      </c>
    </row>
    <row r="204" spans="1:11" x14ac:dyDescent="0.25">
      <c r="A204" t="str">
        <f t="shared" si="12"/>
        <v>102017</v>
      </c>
      <c r="B204" s="1">
        <v>43034</v>
      </c>
      <c r="C204" t="s">
        <v>148</v>
      </c>
      <c r="D204">
        <v>25758</v>
      </c>
      <c r="E204">
        <v>25758</v>
      </c>
      <c r="F204">
        <v>25504</v>
      </c>
      <c r="G204">
        <v>25644.2</v>
      </c>
      <c r="H204">
        <v>0</v>
      </c>
      <c r="I204" s="8">
        <f t="shared" si="13"/>
        <v>2.3402578964204501E-4</v>
      </c>
      <c r="J204" s="8">
        <f t="shared" si="14"/>
        <v>2.3399840987856676E-4</v>
      </c>
      <c r="K204" s="8">
        <f t="shared" si="11"/>
        <v>-1.2562354522158814E-2</v>
      </c>
    </row>
    <row r="205" spans="1:11" x14ac:dyDescent="0.25">
      <c r="A205" t="str">
        <f t="shared" si="12"/>
        <v>102017</v>
      </c>
      <c r="B205" s="1">
        <v>43035</v>
      </c>
      <c r="C205" t="s">
        <v>149</v>
      </c>
      <c r="D205">
        <v>25817.35</v>
      </c>
      <c r="E205">
        <v>26128.2</v>
      </c>
      <c r="F205">
        <v>25721.200000000001</v>
      </c>
      <c r="G205">
        <v>25814.7</v>
      </c>
      <c r="H205">
        <v>0</v>
      </c>
      <c r="I205" s="8">
        <f t="shared" si="13"/>
        <v>6.6486768938005536E-3</v>
      </c>
      <c r="J205" s="8">
        <f t="shared" si="14"/>
        <v>6.6266719236894103E-3</v>
      </c>
      <c r="K205" s="8">
        <f t="shared" si="11"/>
        <v>-8.4216955168155971E-3</v>
      </c>
    </row>
    <row r="206" spans="1:11" x14ac:dyDescent="0.25">
      <c r="A206" t="str">
        <f t="shared" si="12"/>
        <v>102017</v>
      </c>
      <c r="B206" s="1">
        <v>43038</v>
      </c>
      <c r="C206" t="s">
        <v>150</v>
      </c>
      <c r="D206">
        <v>25837.15</v>
      </c>
      <c r="E206">
        <v>25947.599999999999</v>
      </c>
      <c r="F206">
        <v>25608.1</v>
      </c>
      <c r="G206">
        <v>25637.599999999999</v>
      </c>
      <c r="H206">
        <v>0</v>
      </c>
      <c r="I206" s="8">
        <f t="shared" si="13"/>
        <v>-6.8604322343471802E-3</v>
      </c>
      <c r="J206" s="8">
        <f t="shared" si="14"/>
        <v>-6.8840731863768533E-3</v>
      </c>
      <c r="K206" s="8">
        <f t="shared" si="11"/>
        <v>-4.1465408914965751E-3</v>
      </c>
    </row>
    <row r="207" spans="1:11" x14ac:dyDescent="0.25">
      <c r="A207" t="str">
        <f t="shared" si="12"/>
        <v>102017</v>
      </c>
      <c r="B207" s="1">
        <v>43039</v>
      </c>
      <c r="C207" t="s">
        <v>151</v>
      </c>
      <c r="D207">
        <v>25746.95</v>
      </c>
      <c r="E207">
        <v>25750.7</v>
      </c>
      <c r="F207">
        <v>25570.75</v>
      </c>
      <c r="G207">
        <v>25687.7</v>
      </c>
      <c r="H207">
        <v>0</v>
      </c>
      <c r="I207" s="8">
        <f t="shared" si="13"/>
        <v>1.9541610759197248E-3</v>
      </c>
      <c r="J207" s="8">
        <f t="shared" si="14"/>
        <v>1.9522541870056693E-3</v>
      </c>
      <c r="K207" s="8">
        <f t="shared" si="11"/>
        <v>-3.6382677501308747E-3</v>
      </c>
    </row>
    <row r="208" spans="1:11" x14ac:dyDescent="0.25">
      <c r="A208" t="str">
        <f t="shared" si="12"/>
        <v>112017</v>
      </c>
      <c r="B208" s="1">
        <v>43040</v>
      </c>
      <c r="C208" s="10">
        <v>42746.645833333336</v>
      </c>
      <c r="D208">
        <v>25784.5</v>
      </c>
      <c r="E208">
        <v>26152.5</v>
      </c>
      <c r="F208">
        <v>25771.55</v>
      </c>
      <c r="G208">
        <v>26083.75</v>
      </c>
      <c r="H208">
        <v>0</v>
      </c>
      <c r="I208" s="8">
        <f t="shared" si="13"/>
        <v>1.5417884824254324E-2</v>
      </c>
      <c r="J208" s="8">
        <f t="shared" si="14"/>
        <v>1.530023695123601E-2</v>
      </c>
      <c r="K208" s="8">
        <f t="shared" si="11"/>
        <v>2.1646149206262288E-2</v>
      </c>
    </row>
    <row r="209" spans="1:11" x14ac:dyDescent="0.25">
      <c r="A209" t="str">
        <f t="shared" si="12"/>
        <v>112017</v>
      </c>
      <c r="B209" s="1">
        <v>43041</v>
      </c>
      <c r="C209" s="10">
        <v>42777.645833333336</v>
      </c>
      <c r="D209">
        <v>26090.799999999999</v>
      </c>
      <c r="E209">
        <v>26112.400000000001</v>
      </c>
      <c r="F209">
        <v>25795.15</v>
      </c>
      <c r="G209">
        <v>25823.9</v>
      </c>
      <c r="H209">
        <v>0</v>
      </c>
      <c r="I209" s="8">
        <f t="shared" si="13"/>
        <v>-9.9621411798532788E-3</v>
      </c>
      <c r="J209" s="8">
        <f t="shared" si="14"/>
        <v>-1.0012095352207295E-2</v>
      </c>
      <c r="K209" s="8">
        <f t="shared" si="11"/>
        <v>1.3355674542989693E-2</v>
      </c>
    </row>
    <row r="210" spans="1:11" x14ac:dyDescent="0.25">
      <c r="A210" t="str">
        <f t="shared" si="12"/>
        <v>112017</v>
      </c>
      <c r="B210" s="1">
        <v>43042</v>
      </c>
      <c r="C210" s="10">
        <v>42805.645833333336</v>
      </c>
      <c r="D210">
        <v>25939</v>
      </c>
      <c r="E210">
        <v>25939.05</v>
      </c>
      <c r="F210">
        <v>25738.799999999999</v>
      </c>
      <c r="G210">
        <v>25790.5</v>
      </c>
      <c r="H210">
        <v>0</v>
      </c>
      <c r="I210" s="8">
        <f t="shared" si="13"/>
        <v>-1.2933755164790117E-3</v>
      </c>
      <c r="J210" s="8">
        <f t="shared" si="14"/>
        <v>-1.29421264848754E-3</v>
      </c>
      <c r="K210" s="8">
        <f t="shared" si="11"/>
        <v>9.3694596318749657E-3</v>
      </c>
    </row>
    <row r="211" spans="1:11" x14ac:dyDescent="0.25">
      <c r="A211" t="str">
        <f t="shared" si="12"/>
        <v>112017</v>
      </c>
      <c r="B211" s="1">
        <v>43045</v>
      </c>
      <c r="C211" s="10">
        <v>42897.645833333336</v>
      </c>
      <c r="D211">
        <v>25829</v>
      </c>
      <c r="E211">
        <v>25994.55</v>
      </c>
      <c r="F211">
        <v>25801.1</v>
      </c>
      <c r="G211">
        <v>25821.9</v>
      </c>
      <c r="H211">
        <v>0</v>
      </c>
      <c r="I211" s="8">
        <f t="shared" si="13"/>
        <v>1.2175025687752861E-3</v>
      </c>
      <c r="J211" s="8">
        <f t="shared" si="14"/>
        <v>1.216762013547115E-3</v>
      </c>
      <c r="K211" s="8">
        <f t="shared" si="11"/>
        <v>8.3312018837460311E-3</v>
      </c>
    </row>
    <row r="212" spans="1:11" x14ac:dyDescent="0.25">
      <c r="A212" t="str">
        <f t="shared" si="12"/>
        <v>112017</v>
      </c>
      <c r="B212" s="1">
        <v>43046</v>
      </c>
      <c r="C212" s="10">
        <v>42927.645833333336</v>
      </c>
      <c r="D212">
        <v>25872.2</v>
      </c>
      <c r="E212">
        <v>25946.45</v>
      </c>
      <c r="F212">
        <v>25687.8</v>
      </c>
      <c r="G212">
        <v>25760.95</v>
      </c>
      <c r="H212">
        <v>0</v>
      </c>
      <c r="I212" s="8">
        <f t="shared" si="13"/>
        <v>-2.3603995058458782E-3</v>
      </c>
      <c r="J212" s="8">
        <f t="shared" si="14"/>
        <v>-2.3631896401786544E-3</v>
      </c>
      <c r="K212" s="8">
        <f t="shared" si="11"/>
        <v>1.7975938560146787E-2</v>
      </c>
    </row>
    <row r="213" spans="1:11" x14ac:dyDescent="0.25">
      <c r="A213" t="str">
        <f t="shared" si="12"/>
        <v>112017</v>
      </c>
      <c r="B213" s="1">
        <v>43047</v>
      </c>
      <c r="C213" s="10">
        <v>42958.645833333336</v>
      </c>
      <c r="D213">
        <v>25793.9</v>
      </c>
      <c r="E213">
        <v>25863.15</v>
      </c>
      <c r="F213">
        <v>25694.7</v>
      </c>
      <c r="G213">
        <v>25741.35</v>
      </c>
      <c r="H213">
        <v>0</v>
      </c>
      <c r="I213" s="8">
        <f t="shared" si="13"/>
        <v>-7.6084150623334512E-4</v>
      </c>
      <c r="J213" s="8">
        <f t="shared" si="14"/>
        <v>-7.6113109302790099E-4</v>
      </c>
      <c r="K213" s="8">
        <f t="shared" si="11"/>
        <v>2.5437401405420834E-2</v>
      </c>
    </row>
    <row r="214" spans="1:11" x14ac:dyDescent="0.25">
      <c r="A214" t="str">
        <f t="shared" si="12"/>
        <v>112017</v>
      </c>
      <c r="B214" s="1">
        <v>43048</v>
      </c>
      <c r="C214" s="10">
        <v>42989.645833333336</v>
      </c>
      <c r="D214">
        <v>25905.1</v>
      </c>
      <c r="E214">
        <v>26030.400000000001</v>
      </c>
      <c r="F214">
        <v>25558</v>
      </c>
      <c r="G214">
        <v>25726.15</v>
      </c>
      <c r="H214">
        <v>0</v>
      </c>
      <c r="I214" s="8">
        <f t="shared" si="13"/>
        <v>-5.9048962078511735E-4</v>
      </c>
      <c r="J214" s="8">
        <f t="shared" si="14"/>
        <v>-5.9066402844189844E-4</v>
      </c>
      <c r="K214" s="8">
        <f t="shared" si="11"/>
        <v>3.0313285340969554E-2</v>
      </c>
    </row>
    <row r="215" spans="1:11" x14ac:dyDescent="0.25">
      <c r="A215" t="str">
        <f t="shared" si="12"/>
        <v>112017</v>
      </c>
      <c r="B215" s="1">
        <v>43049</v>
      </c>
      <c r="C215" s="10">
        <v>43019.645833333336</v>
      </c>
      <c r="D215">
        <v>25775.599999999999</v>
      </c>
      <c r="E215">
        <v>26010.2</v>
      </c>
      <c r="F215">
        <v>25706.35</v>
      </c>
      <c r="G215">
        <v>25920.55</v>
      </c>
      <c r="H215">
        <v>0</v>
      </c>
      <c r="I215" s="8">
        <f t="shared" si="13"/>
        <v>7.5565135086284041E-3</v>
      </c>
      <c r="J215" s="8">
        <f t="shared" si="14"/>
        <v>7.5281060780924098E-3</v>
      </c>
      <c r="K215" s="8">
        <f t="shared" si="11"/>
        <v>4.6764166049134692E-2</v>
      </c>
    </row>
    <row r="216" spans="1:11" x14ac:dyDescent="0.25">
      <c r="A216" t="str">
        <f t="shared" si="12"/>
        <v>112017</v>
      </c>
      <c r="B216" s="1">
        <v>43052</v>
      </c>
      <c r="C216" t="s">
        <v>152</v>
      </c>
      <c r="D216">
        <v>26015.65</v>
      </c>
      <c r="E216">
        <v>26069.5</v>
      </c>
      <c r="F216">
        <v>25611.25</v>
      </c>
      <c r="G216">
        <v>25664.400000000001</v>
      </c>
      <c r="H216">
        <v>0</v>
      </c>
      <c r="I216" s="8">
        <f t="shared" si="13"/>
        <v>-9.8821205568553339E-3</v>
      </c>
      <c r="J216" s="8">
        <f t="shared" si="14"/>
        <v>-9.9312727971978716E-3</v>
      </c>
      <c r="K216" s="8">
        <f t="shared" si="11"/>
        <v>3.035120682179504E-2</v>
      </c>
    </row>
    <row r="217" spans="1:11" x14ac:dyDescent="0.25">
      <c r="A217" t="str">
        <f t="shared" si="12"/>
        <v>112017</v>
      </c>
      <c r="B217" s="1">
        <v>43053</v>
      </c>
      <c r="C217" t="s">
        <v>153</v>
      </c>
      <c r="D217">
        <v>25721.15</v>
      </c>
      <c r="E217">
        <v>25798.45</v>
      </c>
      <c r="F217">
        <v>25536.75</v>
      </c>
      <c r="G217">
        <v>25579.5</v>
      </c>
      <c r="H217">
        <v>0</v>
      </c>
      <c r="I217" s="8">
        <f t="shared" si="13"/>
        <v>-3.3080843503062729E-3</v>
      </c>
      <c r="J217" s="8">
        <f t="shared" si="14"/>
        <v>-3.3135681586141468E-3</v>
      </c>
      <c r="K217" s="8">
        <f t="shared" si="11"/>
        <v>1.750552187602894E-3</v>
      </c>
    </row>
    <row r="218" spans="1:11" x14ac:dyDescent="0.25">
      <c r="A218" t="str">
        <f t="shared" si="12"/>
        <v>112017</v>
      </c>
      <c r="B218" s="1">
        <v>43054</v>
      </c>
      <c r="C218" t="s">
        <v>154</v>
      </c>
      <c r="D218">
        <v>25564.45</v>
      </c>
      <c r="E218">
        <v>25597.200000000001</v>
      </c>
      <c r="F218">
        <v>25166.2</v>
      </c>
      <c r="G218">
        <v>25273.75</v>
      </c>
      <c r="H218">
        <v>0</v>
      </c>
      <c r="I218" s="8">
        <f t="shared" si="13"/>
        <v>-1.1952931058073824E-2</v>
      </c>
      <c r="J218" s="8">
        <f t="shared" si="14"/>
        <v>-1.202494173956805E-2</v>
      </c>
      <c r="K218" s="8">
        <f t="shared" si="11"/>
        <v>-9.3135016375064383E-3</v>
      </c>
    </row>
    <row r="219" spans="1:11" x14ac:dyDescent="0.25">
      <c r="A219" t="str">
        <f t="shared" si="12"/>
        <v>112017</v>
      </c>
      <c r="B219" s="1">
        <v>43055</v>
      </c>
      <c r="C219" t="s">
        <v>155</v>
      </c>
      <c r="D219">
        <v>25377.9</v>
      </c>
      <c r="E219">
        <v>25585.55</v>
      </c>
      <c r="F219">
        <v>25200.7</v>
      </c>
      <c r="G219">
        <v>25544.3</v>
      </c>
      <c r="H219">
        <v>0</v>
      </c>
      <c r="I219" s="8">
        <f t="shared" si="13"/>
        <v>1.0704782630199361E-2</v>
      </c>
      <c r="J219" s="8">
        <f t="shared" si="14"/>
        <v>1.0647892085106619E-2</v>
      </c>
      <c r="K219" s="8">
        <f t="shared" si="11"/>
        <v>-6.781058140574836E-3</v>
      </c>
    </row>
    <row r="220" spans="1:11" x14ac:dyDescent="0.25">
      <c r="A220" t="str">
        <f t="shared" si="12"/>
        <v>112017</v>
      </c>
      <c r="B220" s="1">
        <v>43056</v>
      </c>
      <c r="C220" t="s">
        <v>156</v>
      </c>
      <c r="D220">
        <v>25682</v>
      </c>
      <c r="E220">
        <v>25845.85</v>
      </c>
      <c r="F220">
        <v>25682</v>
      </c>
      <c r="G220">
        <v>25749</v>
      </c>
      <c r="H220">
        <v>0</v>
      </c>
      <c r="I220" s="8">
        <f t="shared" si="13"/>
        <v>8.0135294370955457E-3</v>
      </c>
      <c r="J220" s="8">
        <f t="shared" si="14"/>
        <v>7.9815916197124841E-3</v>
      </c>
      <c r="K220" s="8">
        <f t="shared" si="11"/>
        <v>5.8694272181258889E-3</v>
      </c>
    </row>
    <row r="221" spans="1:11" x14ac:dyDescent="0.25">
      <c r="A221" t="str">
        <f t="shared" si="12"/>
        <v>112017</v>
      </c>
      <c r="B221" s="1">
        <v>43059</v>
      </c>
      <c r="C221" t="s">
        <v>157</v>
      </c>
      <c r="D221">
        <v>25791.45</v>
      </c>
      <c r="E221">
        <v>25914.25</v>
      </c>
      <c r="F221">
        <v>25658.65</v>
      </c>
      <c r="G221">
        <v>25855.35</v>
      </c>
      <c r="H221">
        <v>0</v>
      </c>
      <c r="I221" s="8">
        <f t="shared" si="13"/>
        <v>4.1302574857275953E-3</v>
      </c>
      <c r="J221" s="8">
        <f t="shared" si="14"/>
        <v>4.1217513858232049E-3</v>
      </c>
      <c r="K221" s="8">
        <f t="shared" si="11"/>
        <v>9.7872465069956949E-3</v>
      </c>
    </row>
    <row r="222" spans="1:11" x14ac:dyDescent="0.25">
      <c r="A222" t="str">
        <f t="shared" si="12"/>
        <v>112017</v>
      </c>
      <c r="B222" s="1">
        <v>43060</v>
      </c>
      <c r="C222" t="s">
        <v>158</v>
      </c>
      <c r="D222">
        <v>25894.95</v>
      </c>
      <c r="E222">
        <v>25955.7</v>
      </c>
      <c r="F222">
        <v>25657.200000000001</v>
      </c>
      <c r="G222">
        <v>25703</v>
      </c>
      <c r="H222">
        <v>0</v>
      </c>
      <c r="I222" s="8">
        <f t="shared" si="13"/>
        <v>-5.8923975115401372E-3</v>
      </c>
      <c r="J222" s="8">
        <f t="shared" si="14"/>
        <v>-5.9098261839253636E-3</v>
      </c>
      <c r="K222" s="8">
        <f t="shared" si="11"/>
        <v>4.1823022782900843E-3</v>
      </c>
    </row>
    <row r="223" spans="1:11" x14ac:dyDescent="0.25">
      <c r="A223" t="str">
        <f t="shared" si="12"/>
        <v>112017</v>
      </c>
      <c r="B223" s="1">
        <v>43061</v>
      </c>
      <c r="C223" t="s">
        <v>159</v>
      </c>
      <c r="D223">
        <v>25733.25</v>
      </c>
      <c r="E223">
        <v>25819.35</v>
      </c>
      <c r="F223">
        <v>25656.799999999999</v>
      </c>
      <c r="G223">
        <v>25796.65</v>
      </c>
      <c r="H223">
        <v>0</v>
      </c>
      <c r="I223" s="8">
        <f t="shared" si="13"/>
        <v>3.6435435552271134E-3</v>
      </c>
      <c r="J223" s="8">
        <f t="shared" si="14"/>
        <v>3.63692192965435E-3</v>
      </c>
      <c r="K223" s="8">
        <f t="shared" si="11"/>
        <v>9.4560751320682535E-3</v>
      </c>
    </row>
    <row r="224" spans="1:11" x14ac:dyDescent="0.25">
      <c r="A224" t="str">
        <f t="shared" si="12"/>
        <v>112017</v>
      </c>
      <c r="B224" s="1">
        <v>43062</v>
      </c>
      <c r="C224" t="s">
        <v>160</v>
      </c>
      <c r="D224">
        <v>25847.05</v>
      </c>
      <c r="E224">
        <v>25936.799999999999</v>
      </c>
      <c r="F224">
        <v>25705.65</v>
      </c>
      <c r="G224">
        <v>25785.65</v>
      </c>
      <c r="H224">
        <v>0</v>
      </c>
      <c r="I224" s="8">
        <f t="shared" si="13"/>
        <v>-4.2641195659121056E-4</v>
      </c>
      <c r="J224" s="8">
        <f t="shared" si="14"/>
        <v>-4.2650289602226516E-4</v>
      </c>
      <c r="K224" s="8">
        <f t="shared" si="11"/>
        <v>9.2190405210801352E-4</v>
      </c>
    </row>
    <row r="225" spans="1:11" x14ac:dyDescent="0.25">
      <c r="A225" t="str">
        <f t="shared" si="12"/>
        <v>112017</v>
      </c>
      <c r="B225" s="1">
        <v>43063</v>
      </c>
      <c r="C225" t="s">
        <v>161</v>
      </c>
      <c r="D225">
        <v>25835.35</v>
      </c>
      <c r="E225">
        <v>26002</v>
      </c>
      <c r="F225">
        <v>25760.1</v>
      </c>
      <c r="G225">
        <v>25971.200000000001</v>
      </c>
      <c r="H225">
        <v>0</v>
      </c>
      <c r="I225" s="8">
        <f t="shared" si="13"/>
        <v>7.195862815170484E-3</v>
      </c>
      <c r="J225" s="8">
        <f t="shared" si="14"/>
        <v>7.1700961295268579E-3</v>
      </c>
      <c r="K225" s="8">
        <f t="shared" si="11"/>
        <v>1.7301553105231182E-2</v>
      </c>
    </row>
    <row r="226" spans="1:11" x14ac:dyDescent="0.25">
      <c r="A226" t="str">
        <f t="shared" si="12"/>
        <v>112017</v>
      </c>
      <c r="B226" s="1">
        <v>43066</v>
      </c>
      <c r="C226" t="s">
        <v>162</v>
      </c>
      <c r="D226">
        <v>25923.1</v>
      </c>
      <c r="E226">
        <v>25952.3</v>
      </c>
      <c r="F226">
        <v>25744.9</v>
      </c>
      <c r="G226">
        <v>25906.799999999999</v>
      </c>
      <c r="H226">
        <v>0</v>
      </c>
      <c r="I226" s="8">
        <f t="shared" si="13"/>
        <v>-2.4796697880730134E-3</v>
      </c>
      <c r="J226" s="8">
        <f t="shared" si="14"/>
        <v>-2.4827492609725641E-3</v>
      </c>
      <c r="K226" s="8">
        <f t="shared" si="11"/>
        <v>5.78270313710183E-3</v>
      </c>
    </row>
    <row r="227" spans="1:11" x14ac:dyDescent="0.25">
      <c r="A227" t="str">
        <f t="shared" si="12"/>
        <v>112017</v>
      </c>
      <c r="B227" s="1">
        <v>43067</v>
      </c>
      <c r="C227" t="s">
        <v>163</v>
      </c>
      <c r="D227">
        <v>25914.1</v>
      </c>
      <c r="E227">
        <v>26015.4</v>
      </c>
      <c r="F227">
        <v>25775.4</v>
      </c>
      <c r="G227">
        <v>25936.45</v>
      </c>
      <c r="H227">
        <v>0</v>
      </c>
      <c r="I227" s="8">
        <f t="shared" si="13"/>
        <v>1.1444871616719254E-3</v>
      </c>
      <c r="J227" s="8">
        <f t="shared" si="14"/>
        <v>1.1438327355142734E-3</v>
      </c>
      <c r="K227" s="8">
        <f t="shared" si="11"/>
        <v>3.9307293622192763E-3</v>
      </c>
    </row>
    <row r="228" spans="1:11" x14ac:dyDescent="0.25">
      <c r="A228" t="str">
        <f t="shared" si="12"/>
        <v>112017</v>
      </c>
      <c r="B228" s="1">
        <v>43068</v>
      </c>
      <c r="C228" t="s">
        <v>164</v>
      </c>
      <c r="D228">
        <v>26019.35</v>
      </c>
      <c r="E228">
        <v>26048.6</v>
      </c>
      <c r="F228">
        <v>25912.85</v>
      </c>
      <c r="G228">
        <v>25972.85</v>
      </c>
      <c r="H228">
        <v>0</v>
      </c>
      <c r="I228" s="8">
        <f t="shared" si="13"/>
        <v>1.4034303075400878E-3</v>
      </c>
      <c r="J228" s="8">
        <f t="shared" si="14"/>
        <v>1.4024464196638238E-3</v>
      </c>
      <c r="K228" s="8">
        <f t="shared" si="11"/>
        <v>2.5514585966976977E-3</v>
      </c>
    </row>
    <row r="229" spans="1:11" x14ac:dyDescent="0.25">
      <c r="A229" t="str">
        <f t="shared" si="12"/>
        <v>112017</v>
      </c>
      <c r="B229" s="1">
        <v>43069</v>
      </c>
      <c r="C229" t="s">
        <v>165</v>
      </c>
      <c r="D229">
        <v>25944.15</v>
      </c>
      <c r="E229">
        <v>25983.5</v>
      </c>
      <c r="F229">
        <v>25747.200000000001</v>
      </c>
      <c r="G229">
        <v>25820.05</v>
      </c>
      <c r="H229">
        <v>0</v>
      </c>
      <c r="I229" s="8">
        <f t="shared" si="13"/>
        <v>-5.8830663558292473E-3</v>
      </c>
      <c r="J229" s="8">
        <f t="shared" si="14"/>
        <v>-5.9004397634870474E-3</v>
      </c>
      <c r="K229" s="8">
        <f t="shared" si="11"/>
        <v>2.2766619826561918E-3</v>
      </c>
    </row>
    <row r="230" spans="1:11" x14ac:dyDescent="0.25">
      <c r="A230" t="str">
        <f t="shared" si="12"/>
        <v>122017</v>
      </c>
      <c r="B230" s="1">
        <v>43070</v>
      </c>
      <c r="C230" s="10">
        <v>42747.645833333336</v>
      </c>
      <c r="D230">
        <v>25886.75</v>
      </c>
      <c r="E230">
        <v>26027.8</v>
      </c>
      <c r="F230">
        <v>25618.799999999999</v>
      </c>
      <c r="G230">
        <v>25666.799999999999</v>
      </c>
      <c r="H230">
        <v>0</v>
      </c>
      <c r="I230" s="8">
        <f t="shared" si="13"/>
        <v>-5.9353099626066053E-3</v>
      </c>
      <c r="J230" s="8">
        <f t="shared" si="14"/>
        <v>-5.9529939226917201E-3</v>
      </c>
      <c r="K230" s="8">
        <f t="shared" si="11"/>
        <v>-5.8910333128058268E-3</v>
      </c>
    </row>
    <row r="231" spans="1:11" x14ac:dyDescent="0.25">
      <c r="A231" t="str">
        <f t="shared" si="12"/>
        <v>122017</v>
      </c>
      <c r="B231" s="1">
        <v>43073</v>
      </c>
      <c r="C231" s="10">
        <v>42837.645833333336</v>
      </c>
      <c r="D231">
        <v>25750.95</v>
      </c>
      <c r="E231">
        <v>25794.1</v>
      </c>
      <c r="F231">
        <v>25526.55</v>
      </c>
      <c r="G231">
        <v>25758</v>
      </c>
      <c r="H231">
        <v>0</v>
      </c>
      <c r="I231" s="8">
        <f t="shared" si="13"/>
        <v>3.5532282949179983E-3</v>
      </c>
      <c r="J231" s="8">
        <f t="shared" si="14"/>
        <v>3.5469304932025888E-3</v>
      </c>
      <c r="K231" s="8">
        <f t="shared" si="11"/>
        <v>1.1184347409620488E-2</v>
      </c>
    </row>
    <row r="232" spans="1:11" x14ac:dyDescent="0.25">
      <c r="A232" t="str">
        <f t="shared" si="12"/>
        <v>122017</v>
      </c>
      <c r="B232" s="1">
        <v>43074</v>
      </c>
      <c r="C232" s="10">
        <v>42867.645833333336</v>
      </c>
      <c r="D232">
        <v>25788.2</v>
      </c>
      <c r="E232">
        <v>25789.1</v>
      </c>
      <c r="F232">
        <v>25580.25</v>
      </c>
      <c r="G232">
        <v>25695.65</v>
      </c>
      <c r="H232">
        <v>0</v>
      </c>
      <c r="I232" s="8">
        <f t="shared" si="13"/>
        <v>-2.4206071899991466E-3</v>
      </c>
      <c r="J232" s="8">
        <f t="shared" si="14"/>
        <v>-2.423541595902409E-3</v>
      </c>
      <c r="K232" s="8">
        <f t="shared" si="11"/>
        <v>1.5267145411262728E-2</v>
      </c>
    </row>
    <row r="233" spans="1:11" x14ac:dyDescent="0.25">
      <c r="A233" t="str">
        <f t="shared" si="12"/>
        <v>122017</v>
      </c>
      <c r="B233" s="1">
        <v>43075</v>
      </c>
      <c r="C233" s="10">
        <v>42898.645833333336</v>
      </c>
      <c r="D233">
        <v>25655.15</v>
      </c>
      <c r="E233">
        <v>25713.5</v>
      </c>
      <c r="F233">
        <v>25574.45</v>
      </c>
      <c r="G233">
        <v>25622.15</v>
      </c>
      <c r="H233">
        <v>0</v>
      </c>
      <c r="I233" s="8">
        <f t="shared" si="13"/>
        <v>-2.8604063333677043E-3</v>
      </c>
      <c r="J233" s="8">
        <f t="shared" si="14"/>
        <v>-2.8645051135474998E-3</v>
      </c>
      <c r="K233" s="8">
        <f t="shared" si="11"/>
        <v>8.3947128657928527E-3</v>
      </c>
    </row>
    <row r="234" spans="1:11" x14ac:dyDescent="0.25">
      <c r="A234" t="str">
        <f t="shared" si="12"/>
        <v>122017</v>
      </c>
      <c r="B234" s="1">
        <v>43076</v>
      </c>
      <c r="C234" s="10">
        <v>42928.645833333336</v>
      </c>
      <c r="D234">
        <v>25578.3</v>
      </c>
      <c r="E234">
        <v>25893.3</v>
      </c>
      <c r="F234">
        <v>25577.8</v>
      </c>
      <c r="G234">
        <v>25848.7</v>
      </c>
      <c r="H234">
        <v>0</v>
      </c>
      <c r="I234" s="8">
        <f t="shared" si="13"/>
        <v>8.8419590081239008E-3</v>
      </c>
      <c r="J234" s="8">
        <f t="shared" si="14"/>
        <v>8.8030977934218761E-3</v>
      </c>
      <c r="K234" s="8">
        <f t="shared" si="11"/>
        <v>1.1672984233154438E-2</v>
      </c>
    </row>
    <row r="235" spans="1:11" x14ac:dyDescent="0.25">
      <c r="A235" t="str">
        <f t="shared" si="12"/>
        <v>122017</v>
      </c>
      <c r="B235" s="1">
        <v>43077</v>
      </c>
      <c r="C235" s="10">
        <v>42959.645833333336</v>
      </c>
      <c r="D235">
        <v>25939.65</v>
      </c>
      <c r="E235">
        <v>26491.25</v>
      </c>
      <c r="F235">
        <v>25914.55</v>
      </c>
      <c r="G235">
        <v>26459.55</v>
      </c>
      <c r="H235">
        <v>0</v>
      </c>
      <c r="I235" s="8">
        <f t="shared" si="13"/>
        <v>2.363174937230883E-2</v>
      </c>
      <c r="J235" s="8">
        <f t="shared" si="14"/>
        <v>2.3356842185020838E-2</v>
      </c>
      <c r="K235" s="8">
        <f t="shared" si="11"/>
        <v>2.1083849157958134E-2</v>
      </c>
    </row>
    <row r="236" spans="1:11" x14ac:dyDescent="0.25">
      <c r="A236" t="str">
        <f t="shared" si="12"/>
        <v>122017</v>
      </c>
      <c r="B236" s="1">
        <v>43080</v>
      </c>
      <c r="C236" s="10">
        <v>43051.645833333336</v>
      </c>
      <c r="D236">
        <v>26623.45</v>
      </c>
      <c r="E236">
        <v>26750.1</v>
      </c>
      <c r="F236">
        <v>26489.15</v>
      </c>
      <c r="G236">
        <v>26709.65</v>
      </c>
      <c r="H236">
        <v>0</v>
      </c>
      <c r="I236" s="8">
        <f t="shared" si="13"/>
        <v>9.4521637745161868E-3</v>
      </c>
      <c r="J236" s="8">
        <f t="shared" si="14"/>
        <v>9.4077715900669767E-3</v>
      </c>
      <c r="K236" s="8">
        <f t="shared" si="11"/>
        <v>4.2028920485246202E-2</v>
      </c>
    </row>
    <row r="237" spans="1:11" x14ac:dyDescent="0.25">
      <c r="A237" t="str">
        <f t="shared" si="12"/>
        <v>122017</v>
      </c>
      <c r="B237" s="1">
        <v>43081</v>
      </c>
      <c r="C237" s="10">
        <v>43081.645833333336</v>
      </c>
      <c r="D237">
        <v>26616.1</v>
      </c>
      <c r="E237">
        <v>26649.9</v>
      </c>
      <c r="F237">
        <v>26308.6</v>
      </c>
      <c r="G237">
        <v>26353.75</v>
      </c>
      <c r="H237">
        <v>0</v>
      </c>
      <c r="I237" s="8">
        <f t="shared" si="13"/>
        <v>-1.3324772132918272E-2</v>
      </c>
      <c r="J237" s="8">
        <f t="shared" si="14"/>
        <v>-1.3414343477472137E-2</v>
      </c>
      <c r="K237" s="8">
        <f t="shared" si="11"/>
        <v>2.8308604762322886E-2</v>
      </c>
    </row>
    <row r="238" spans="1:11" x14ac:dyDescent="0.25">
      <c r="A238" t="str">
        <f t="shared" si="12"/>
        <v>122017</v>
      </c>
      <c r="B238" s="1">
        <v>43082</v>
      </c>
      <c r="C238" t="s">
        <v>166</v>
      </c>
      <c r="D238">
        <v>26286.55</v>
      </c>
      <c r="E238">
        <v>26485</v>
      </c>
      <c r="F238">
        <v>26059.8</v>
      </c>
      <c r="G238">
        <v>26159.7</v>
      </c>
      <c r="H238">
        <v>0</v>
      </c>
      <c r="I238" s="8">
        <f t="shared" si="13"/>
        <v>-7.3632784708058674E-3</v>
      </c>
      <c r="J238" s="8">
        <f t="shared" si="14"/>
        <v>-7.3905212187331589E-3</v>
      </c>
      <c r="K238" s="8">
        <f t="shared" si="11"/>
        <v>2.5631274271297411E-2</v>
      </c>
    </row>
    <row r="239" spans="1:11" x14ac:dyDescent="0.25">
      <c r="A239" t="str">
        <f t="shared" si="12"/>
        <v>122017</v>
      </c>
      <c r="B239" s="1">
        <v>43083</v>
      </c>
      <c r="C239" t="s">
        <v>167</v>
      </c>
      <c r="D239">
        <v>26290.65</v>
      </c>
      <c r="E239">
        <v>26500.85</v>
      </c>
      <c r="F239">
        <v>26027.25</v>
      </c>
      <c r="G239">
        <v>26383.3</v>
      </c>
      <c r="H239">
        <v>0</v>
      </c>
      <c r="I239" s="8">
        <f t="shared" si="13"/>
        <v>8.5474986333939906E-3</v>
      </c>
      <c r="J239" s="8">
        <f t="shared" si="14"/>
        <v>8.5111756009015656E-3</v>
      </c>
      <c r="K239" s="8">
        <f t="shared" si="11"/>
        <v>3.1469973630042558E-2</v>
      </c>
    </row>
    <row r="240" spans="1:11" x14ac:dyDescent="0.25">
      <c r="A240" t="str">
        <f t="shared" si="12"/>
        <v>122017</v>
      </c>
      <c r="B240" s="1">
        <v>43084</v>
      </c>
      <c r="C240" t="s">
        <v>168</v>
      </c>
      <c r="D240">
        <v>26539.5</v>
      </c>
      <c r="E240">
        <v>26617.8</v>
      </c>
      <c r="F240">
        <v>26357.599999999999</v>
      </c>
      <c r="G240">
        <v>26430.799999999999</v>
      </c>
      <c r="H240">
        <v>0</v>
      </c>
      <c r="I240" s="8">
        <f t="shared" si="13"/>
        <v>1.8003813018083736E-3</v>
      </c>
      <c r="J240" s="8">
        <f t="shared" si="14"/>
        <v>1.7987625580052557E-3</v>
      </c>
      <c r="K240" s="8">
        <f t="shared" si="11"/>
        <v>3.0504826811808883E-2</v>
      </c>
    </row>
    <row r="241" spans="1:11" x14ac:dyDescent="0.25">
      <c r="A241" t="str">
        <f t="shared" si="12"/>
        <v>122017</v>
      </c>
      <c r="B241" s="1">
        <v>43087</v>
      </c>
      <c r="C241" t="s">
        <v>169</v>
      </c>
      <c r="D241">
        <v>26426</v>
      </c>
      <c r="E241">
        <v>26619.15</v>
      </c>
      <c r="F241">
        <v>25871.200000000001</v>
      </c>
      <c r="G241">
        <v>26453.55</v>
      </c>
      <c r="H241">
        <v>0</v>
      </c>
      <c r="I241" s="8">
        <f t="shared" si="13"/>
        <v>8.60738229641278E-4</v>
      </c>
      <c r="J241" s="8">
        <f t="shared" si="14"/>
        <v>8.603680069192973E-4</v>
      </c>
      <c r="K241" s="8">
        <f t="shared" si="11"/>
        <v>2.9379089481702314E-2</v>
      </c>
    </row>
    <row r="242" spans="1:11" x14ac:dyDescent="0.25">
      <c r="A242" t="str">
        <f t="shared" si="12"/>
        <v>122017</v>
      </c>
      <c r="B242" s="1">
        <v>43088</v>
      </c>
      <c r="C242" t="s">
        <v>170</v>
      </c>
      <c r="D242">
        <v>26483.599999999999</v>
      </c>
      <c r="E242">
        <v>26712.15</v>
      </c>
      <c r="F242">
        <v>26479.25</v>
      </c>
      <c r="G242">
        <v>26694</v>
      </c>
      <c r="H242">
        <v>0</v>
      </c>
      <c r="I242" s="8">
        <f t="shared" si="13"/>
        <v>9.0895172859597473E-3</v>
      </c>
      <c r="J242" s="8">
        <f t="shared" si="14"/>
        <v>9.0484562528007038E-3</v>
      </c>
      <c r="K242" s="8">
        <f t="shared" si="11"/>
        <v>4.724653487487096E-2</v>
      </c>
    </row>
    <row r="243" spans="1:11" x14ac:dyDescent="0.25">
      <c r="A243" t="str">
        <f t="shared" si="12"/>
        <v>122017</v>
      </c>
      <c r="B243" s="1">
        <v>43089</v>
      </c>
      <c r="C243" t="s">
        <v>171</v>
      </c>
      <c r="D243">
        <v>26722.55</v>
      </c>
      <c r="E243">
        <v>26817.35</v>
      </c>
      <c r="F243">
        <v>26562.55</v>
      </c>
      <c r="G243">
        <v>26729.75</v>
      </c>
      <c r="H243">
        <v>0</v>
      </c>
      <c r="I243" s="8">
        <f t="shared" si="13"/>
        <v>1.339252266426838E-3</v>
      </c>
      <c r="J243" s="8">
        <f t="shared" si="14"/>
        <v>1.3383562679996721E-3</v>
      </c>
      <c r="K243" s="8">
        <f t="shared" si="11"/>
        <v>5.9848495361880527E-2</v>
      </c>
    </row>
    <row r="244" spans="1:11" x14ac:dyDescent="0.25">
      <c r="A244" t="str">
        <f t="shared" si="12"/>
        <v>122017</v>
      </c>
      <c r="B244" s="1">
        <v>43090</v>
      </c>
      <c r="C244" t="s">
        <v>172</v>
      </c>
      <c r="D244">
        <v>26878.75</v>
      </c>
      <c r="E244">
        <v>26878.75</v>
      </c>
      <c r="F244">
        <v>26604.25</v>
      </c>
      <c r="G244">
        <v>26667.9</v>
      </c>
      <c r="H244">
        <v>0</v>
      </c>
      <c r="I244" s="8">
        <f t="shared" si="13"/>
        <v>-2.3139011775268337E-3</v>
      </c>
      <c r="J244" s="8">
        <f t="shared" si="14"/>
        <v>-2.3165823836857557E-3</v>
      </c>
      <c r="K244" s="8">
        <f t="shared" si="11"/>
        <v>6.7540140988843422E-2</v>
      </c>
    </row>
    <row r="245" spans="1:11" x14ac:dyDescent="0.25">
      <c r="A245" t="str">
        <f t="shared" si="12"/>
        <v>122017</v>
      </c>
      <c r="B245" s="1">
        <v>43091</v>
      </c>
      <c r="C245" t="s">
        <v>173</v>
      </c>
      <c r="D245">
        <v>26695.5</v>
      </c>
      <c r="E245">
        <v>26773.55</v>
      </c>
      <c r="F245">
        <v>26645.75</v>
      </c>
      <c r="G245">
        <v>26710.3</v>
      </c>
      <c r="H245">
        <v>0</v>
      </c>
      <c r="I245" s="8">
        <f t="shared" si="13"/>
        <v>1.5899264659009482E-3</v>
      </c>
      <c r="J245" s="8">
        <f t="shared" si="14"/>
        <v>1.5886638709290716E-3</v>
      </c>
      <c r="K245" s="8">
        <f t="shared" si="11"/>
        <v>7.3906103626151465E-2</v>
      </c>
    </row>
    <row r="246" spans="1:11" x14ac:dyDescent="0.25">
      <c r="A246" t="str">
        <f t="shared" si="12"/>
        <v>122017</v>
      </c>
      <c r="B246" s="1">
        <v>43095</v>
      </c>
      <c r="C246" t="s">
        <v>174</v>
      </c>
      <c r="D246">
        <v>26724.85</v>
      </c>
      <c r="E246">
        <v>26794.2</v>
      </c>
      <c r="F246">
        <v>26662.1</v>
      </c>
      <c r="G246">
        <v>26725</v>
      </c>
      <c r="H246">
        <v>0</v>
      </c>
      <c r="I246" s="8">
        <f t="shared" si="13"/>
        <v>5.5034949064602934E-4</v>
      </c>
      <c r="J246" s="8">
        <f t="shared" si="14"/>
        <v>5.5019810390629894E-4</v>
      </c>
      <c r="K246" s="8">
        <f t="shared" si="11"/>
        <v>8.832428602261766E-2</v>
      </c>
    </row>
    <row r="247" spans="1:11" x14ac:dyDescent="0.25">
      <c r="A247" t="str">
        <f t="shared" si="12"/>
        <v>122017</v>
      </c>
      <c r="B247" s="1">
        <v>43096</v>
      </c>
      <c r="C247" t="s">
        <v>175</v>
      </c>
      <c r="D247">
        <v>26763.1</v>
      </c>
      <c r="E247">
        <v>26784.6</v>
      </c>
      <c r="F247">
        <v>26588.5</v>
      </c>
      <c r="G247">
        <v>26637</v>
      </c>
      <c r="H247">
        <v>0</v>
      </c>
      <c r="I247" s="8">
        <f t="shared" si="13"/>
        <v>-3.2927970065481649E-3</v>
      </c>
      <c r="J247" s="8">
        <f t="shared" si="14"/>
        <v>-3.2982301928094729E-3</v>
      </c>
      <c r="K247" s="8">
        <f t="shared" si="11"/>
        <v>7.7345887606093511E-2</v>
      </c>
    </row>
    <row r="248" spans="1:11" x14ac:dyDescent="0.25">
      <c r="A248" t="str">
        <f t="shared" si="12"/>
        <v>122017</v>
      </c>
      <c r="B248" s="1">
        <v>43097</v>
      </c>
      <c r="C248" t="s">
        <v>176</v>
      </c>
      <c r="D248">
        <v>26755.5</v>
      </c>
      <c r="E248">
        <v>26829.7</v>
      </c>
      <c r="F248">
        <v>26567.3</v>
      </c>
      <c r="G248">
        <v>26613.95</v>
      </c>
      <c r="H248">
        <v>0</v>
      </c>
      <c r="I248" s="8">
        <f t="shared" si="13"/>
        <v>-8.6533768817809165E-4</v>
      </c>
      <c r="J248" s="8">
        <f t="shared" si="14"/>
        <v>-8.6571230896663205E-4</v>
      </c>
      <c r="K248" s="8">
        <f t="shared" si="11"/>
        <v>8.7135632822456843E-2</v>
      </c>
    </row>
    <row r="249" spans="1:11" x14ac:dyDescent="0.25">
      <c r="A249" t="str">
        <f t="shared" si="12"/>
        <v>122017</v>
      </c>
      <c r="B249" s="1">
        <v>43098</v>
      </c>
      <c r="C249" t="s">
        <v>177</v>
      </c>
      <c r="D249">
        <v>26683.95</v>
      </c>
      <c r="E249">
        <v>26880.1</v>
      </c>
      <c r="F249">
        <v>26653.7</v>
      </c>
      <c r="G249">
        <v>26851.5</v>
      </c>
      <c r="H249">
        <v>0</v>
      </c>
      <c r="I249" s="8">
        <f t="shared" si="13"/>
        <v>8.9257701318292693E-3</v>
      </c>
      <c r="J249" s="8">
        <f t="shared" si="14"/>
        <v>8.8861709068860217E-3</v>
      </c>
      <c r="K249" s="8">
        <f t="shared" si="11"/>
        <v>8.5016496582489998E-2</v>
      </c>
    </row>
    <row r="250" spans="1:11" x14ac:dyDescent="0.25">
      <c r="A250" t="str">
        <f t="shared" si="12"/>
        <v>12018</v>
      </c>
      <c r="B250" s="1">
        <v>43101</v>
      </c>
      <c r="C250" s="10">
        <v>43101.645833333336</v>
      </c>
      <c r="D250">
        <v>26885.599999999999</v>
      </c>
      <c r="E250">
        <v>26960.5</v>
      </c>
      <c r="F250">
        <v>26636.400000000001</v>
      </c>
      <c r="G250">
        <v>26686.35</v>
      </c>
      <c r="H250">
        <v>0</v>
      </c>
      <c r="I250" s="8">
        <f t="shared" si="13"/>
        <v>-6.1504943857885186E-3</v>
      </c>
      <c r="J250" s="8">
        <f t="shared" si="14"/>
        <v>-6.1694865907284688E-3</v>
      </c>
      <c r="K250" s="8">
        <f t="shared" si="11"/>
        <v>6.2970390891220696E-2</v>
      </c>
    </row>
    <row r="251" spans="1:11" x14ac:dyDescent="0.25">
      <c r="A251" t="str">
        <f t="shared" si="12"/>
        <v>12018</v>
      </c>
      <c r="B251" s="1">
        <v>43102</v>
      </c>
      <c r="C251" s="10">
        <v>43132.645833333336</v>
      </c>
      <c r="D251">
        <v>26734.35</v>
      </c>
      <c r="E251">
        <v>26802.35</v>
      </c>
      <c r="F251">
        <v>26474.05</v>
      </c>
      <c r="G251">
        <v>26533.5</v>
      </c>
      <c r="H251">
        <v>0</v>
      </c>
      <c r="I251" s="8">
        <f t="shared" si="13"/>
        <v>-5.7276472803511336E-3</v>
      </c>
      <c r="J251" s="8">
        <f t="shared" si="14"/>
        <v>-5.7441131559555414E-3</v>
      </c>
      <c r="K251" s="8">
        <f t="shared" si="11"/>
        <v>6.0898666154879599E-2</v>
      </c>
    </row>
    <row r="252" spans="1:11" x14ac:dyDescent="0.25">
      <c r="A252" t="str">
        <f t="shared" si="12"/>
        <v>12018</v>
      </c>
      <c r="B252" s="1">
        <v>43103</v>
      </c>
      <c r="C252" s="10">
        <v>43160.645833333336</v>
      </c>
      <c r="D252">
        <v>26606.95</v>
      </c>
      <c r="E252">
        <v>26762.799999999999</v>
      </c>
      <c r="F252">
        <v>26572.35</v>
      </c>
      <c r="G252">
        <v>26648.400000000001</v>
      </c>
      <c r="H252">
        <v>0</v>
      </c>
      <c r="I252" s="8">
        <f t="shared" si="13"/>
        <v>4.3303748092036187E-3</v>
      </c>
      <c r="J252" s="8">
        <f t="shared" si="14"/>
        <v>4.3210257165424374E-3</v>
      </c>
      <c r="K252" s="8">
        <f t="shared" si="11"/>
        <v>6.0396488742807675E-2</v>
      </c>
    </row>
    <row r="253" spans="1:11" x14ac:dyDescent="0.25">
      <c r="A253" t="str">
        <f t="shared" si="12"/>
        <v>12018</v>
      </c>
      <c r="B253" s="1">
        <v>43104</v>
      </c>
      <c r="C253" s="10">
        <v>43191.645833333336</v>
      </c>
      <c r="D253">
        <v>26657.1</v>
      </c>
      <c r="E253">
        <v>26718.65</v>
      </c>
      <c r="F253">
        <v>26611.05</v>
      </c>
      <c r="G253">
        <v>26689.599999999999</v>
      </c>
      <c r="H253">
        <v>0</v>
      </c>
      <c r="I253" s="8">
        <f t="shared" si="13"/>
        <v>1.5460590504494665E-3</v>
      </c>
      <c r="J253" s="8">
        <f t="shared" si="14"/>
        <v>1.5448651315766988E-3</v>
      </c>
      <c r="K253" s="8">
        <f t="shared" si="11"/>
        <v>5.5494367514488996E-2</v>
      </c>
    </row>
    <row r="254" spans="1:11" x14ac:dyDescent="0.25">
      <c r="A254" t="str">
        <f t="shared" si="12"/>
        <v>12018</v>
      </c>
      <c r="B254" s="1">
        <v>43105</v>
      </c>
      <c r="C254" s="10">
        <v>43221.645833333336</v>
      </c>
      <c r="D254">
        <v>26730.400000000001</v>
      </c>
      <c r="E254">
        <v>26946.6</v>
      </c>
      <c r="F254">
        <v>26728.55</v>
      </c>
      <c r="G254">
        <v>26914.3</v>
      </c>
      <c r="H254">
        <v>0</v>
      </c>
      <c r="I254" s="8">
        <f t="shared" si="13"/>
        <v>8.419009651699616E-3</v>
      </c>
      <c r="J254" s="8">
        <f t="shared" si="14"/>
        <v>8.3837674547172919E-3</v>
      </c>
      <c r="K254" s="8">
        <f t="shared" si="11"/>
        <v>6.7822264365786866E-2</v>
      </c>
    </row>
    <row r="255" spans="1:11" x14ac:dyDescent="0.25">
      <c r="A255" t="str">
        <f t="shared" si="12"/>
        <v>12018</v>
      </c>
      <c r="B255" s="1">
        <v>43108</v>
      </c>
      <c r="C255" s="10">
        <v>43313.645833333336</v>
      </c>
      <c r="D255">
        <v>26980.65</v>
      </c>
      <c r="E255">
        <v>27147</v>
      </c>
      <c r="F255">
        <v>26954.400000000001</v>
      </c>
      <c r="G255">
        <v>27120.85</v>
      </c>
      <c r="H255">
        <v>0</v>
      </c>
      <c r="I255" s="8">
        <f t="shared" si="13"/>
        <v>7.6743589838859094E-3</v>
      </c>
      <c r="J255" s="8">
        <f t="shared" si="14"/>
        <v>7.645060891558599E-3</v>
      </c>
      <c r="K255" s="8">
        <f t="shared" si="11"/>
        <v>7.6758312655086813E-2</v>
      </c>
    </row>
    <row r="256" spans="1:11" x14ac:dyDescent="0.25">
      <c r="A256" t="str">
        <f t="shared" si="12"/>
        <v>12018</v>
      </c>
      <c r="B256" s="1">
        <v>43109</v>
      </c>
      <c r="C256" s="10">
        <v>43344.645833333336</v>
      </c>
      <c r="D256">
        <v>27150.75</v>
      </c>
      <c r="E256">
        <v>27367.1</v>
      </c>
      <c r="F256">
        <v>27056.75</v>
      </c>
      <c r="G256">
        <v>27249.200000000001</v>
      </c>
      <c r="H256">
        <v>0</v>
      </c>
      <c r="I256" s="8">
        <f t="shared" si="13"/>
        <v>4.7325212889715029E-3</v>
      </c>
      <c r="J256" s="8">
        <f t="shared" si="14"/>
        <v>4.7213581162097312E-3</v>
      </c>
      <c r="K256" s="8">
        <f t="shared" ref="K256:K319" si="15">+G256/G195-1</f>
        <v>6.9703536210037109E-2</v>
      </c>
    </row>
    <row r="257" spans="1:11" x14ac:dyDescent="0.25">
      <c r="A257" t="str">
        <f t="shared" si="12"/>
        <v>12018</v>
      </c>
      <c r="B257" s="1">
        <v>43110</v>
      </c>
      <c r="C257" s="10">
        <v>43374.645833333336</v>
      </c>
      <c r="D257">
        <v>27397.45</v>
      </c>
      <c r="E257">
        <v>27482.799999999999</v>
      </c>
      <c r="F257">
        <v>27164.7</v>
      </c>
      <c r="G257">
        <v>27210.6</v>
      </c>
      <c r="H257">
        <v>0</v>
      </c>
      <c r="I257" s="8">
        <f t="shared" si="13"/>
        <v>-1.4165553484140059E-3</v>
      </c>
      <c r="J257" s="8">
        <f t="shared" si="14"/>
        <v>-1.4175596114497217E-3</v>
      </c>
      <c r="K257" s="8">
        <f t="shared" si="15"/>
        <v>6.9815626984236268E-2</v>
      </c>
    </row>
    <row r="258" spans="1:11" x14ac:dyDescent="0.25">
      <c r="A258" t="str">
        <f t="shared" si="12"/>
        <v>12018</v>
      </c>
      <c r="B258" s="1">
        <v>43111</v>
      </c>
      <c r="C258" s="10">
        <v>43405.645833333336</v>
      </c>
      <c r="D258">
        <v>27186.799999999999</v>
      </c>
      <c r="E258">
        <v>27338.7</v>
      </c>
      <c r="F258">
        <v>27143.75</v>
      </c>
      <c r="G258">
        <v>27307.7</v>
      </c>
      <c r="H258">
        <v>0</v>
      </c>
      <c r="I258" s="8">
        <f t="shared" si="13"/>
        <v>3.5684622904310626E-3</v>
      </c>
      <c r="J258" s="8">
        <f t="shared" si="14"/>
        <v>3.5621104352906185E-3</v>
      </c>
      <c r="K258" s="8">
        <f t="shared" si="15"/>
        <v>6.6390446586169771E-2</v>
      </c>
    </row>
    <row r="259" spans="1:11" x14ac:dyDescent="0.25">
      <c r="A259" t="str">
        <f t="shared" ref="A259:A322" si="16">+MONTH(B259)&amp;YEAR(B259)</f>
        <v>12018</v>
      </c>
      <c r="B259" s="1">
        <v>43112</v>
      </c>
      <c r="C259" s="10">
        <v>43435.645833333336</v>
      </c>
      <c r="D259">
        <v>27370.3</v>
      </c>
      <c r="E259">
        <v>27424.05</v>
      </c>
      <c r="F259">
        <v>27035.7</v>
      </c>
      <c r="G259">
        <v>27196.65</v>
      </c>
      <c r="H259">
        <v>0</v>
      </c>
      <c r="I259" s="8">
        <f t="shared" si="13"/>
        <v>-4.0666185727834536E-3</v>
      </c>
      <c r="J259" s="8">
        <f t="shared" si="14"/>
        <v>-4.0749097517673713E-3</v>
      </c>
      <c r="K259" s="8">
        <f t="shared" si="15"/>
        <v>6.15004517787201E-2</v>
      </c>
    </row>
    <row r="260" spans="1:11" x14ac:dyDescent="0.25">
      <c r="A260" t="str">
        <f t="shared" si="16"/>
        <v>12018</v>
      </c>
      <c r="B260" s="1">
        <v>43115</v>
      </c>
      <c r="C260" t="s">
        <v>178</v>
      </c>
      <c r="D260">
        <v>27238.85</v>
      </c>
      <c r="E260">
        <v>27404.15</v>
      </c>
      <c r="F260">
        <v>27148.799999999999</v>
      </c>
      <c r="G260">
        <v>27171.4</v>
      </c>
      <c r="H260">
        <v>0</v>
      </c>
      <c r="I260" s="8">
        <f t="shared" ref="I260:I323" si="17">+G260/G259-1</f>
        <v>-9.2842316976537997E-4</v>
      </c>
      <c r="J260" s="8">
        <f t="shared" ref="J260:J323" si="18">+LN(1+I260)</f>
        <v>-9.288544214998551E-4</v>
      </c>
      <c r="K260" s="8">
        <f t="shared" si="15"/>
        <v>5.7909480786713985E-2</v>
      </c>
    </row>
    <row r="261" spans="1:11" x14ac:dyDescent="0.25">
      <c r="A261" t="str">
        <f t="shared" si="16"/>
        <v>12018</v>
      </c>
      <c r="B261" s="1">
        <v>43116</v>
      </c>
      <c r="C261" t="s">
        <v>179</v>
      </c>
      <c r="D261">
        <v>27229.599999999999</v>
      </c>
      <c r="E261">
        <v>27327.55</v>
      </c>
      <c r="F261">
        <v>26796.799999999999</v>
      </c>
      <c r="G261">
        <v>26874.55</v>
      </c>
      <c r="H261">
        <v>0</v>
      </c>
      <c r="I261" s="8">
        <f t="shared" si="17"/>
        <v>-1.0925090352355893E-2</v>
      </c>
      <c r="J261" s="8">
        <f t="shared" si="18"/>
        <v>-1.0985207409118141E-2</v>
      </c>
      <c r="K261" s="8">
        <f t="shared" si="15"/>
        <v>5.060789679437061E-2</v>
      </c>
    </row>
    <row r="262" spans="1:11" x14ac:dyDescent="0.25">
      <c r="A262" t="str">
        <f t="shared" si="16"/>
        <v>12018</v>
      </c>
      <c r="B262" s="1">
        <v>43117</v>
      </c>
      <c r="C262" t="s">
        <v>180</v>
      </c>
      <c r="D262">
        <v>26906.15</v>
      </c>
      <c r="E262">
        <v>27117.599999999999</v>
      </c>
      <c r="F262">
        <v>26631.95</v>
      </c>
      <c r="G262">
        <v>27044.75</v>
      </c>
      <c r="H262">
        <v>0</v>
      </c>
      <c r="I262" s="8">
        <f t="shared" si="17"/>
        <v>6.3331292989092791E-3</v>
      </c>
      <c r="J262" s="8">
        <f t="shared" si="18"/>
        <v>6.3131593062329284E-3</v>
      </c>
      <c r="K262" s="8">
        <f t="shared" si="15"/>
        <v>6.3949691571725253E-2</v>
      </c>
    </row>
    <row r="263" spans="1:11" x14ac:dyDescent="0.25">
      <c r="A263" t="str">
        <f t="shared" si="16"/>
        <v>12018</v>
      </c>
      <c r="B263" s="1">
        <v>43118</v>
      </c>
      <c r="C263" t="s">
        <v>181</v>
      </c>
      <c r="D263">
        <v>27304.3</v>
      </c>
      <c r="E263">
        <v>27567.1</v>
      </c>
      <c r="F263">
        <v>27140.35</v>
      </c>
      <c r="G263">
        <v>27347.85</v>
      </c>
      <c r="H263">
        <v>0</v>
      </c>
      <c r="I263" s="8">
        <f t="shared" si="17"/>
        <v>1.1207350779726122E-2</v>
      </c>
      <c r="J263" s="8">
        <f t="shared" si="18"/>
        <v>1.1145013746896301E-2</v>
      </c>
      <c r="K263" s="8">
        <f t="shared" si="15"/>
        <v>7.2338548406069902E-2</v>
      </c>
    </row>
    <row r="264" spans="1:11" x14ac:dyDescent="0.25">
      <c r="A264" t="str">
        <f t="shared" si="16"/>
        <v>12018</v>
      </c>
      <c r="B264" s="1">
        <v>43119</v>
      </c>
      <c r="C264" t="s">
        <v>182</v>
      </c>
      <c r="D264">
        <v>27539.3</v>
      </c>
      <c r="E264">
        <v>27573.65</v>
      </c>
      <c r="F264">
        <v>27238</v>
      </c>
      <c r="G264">
        <v>27517.1</v>
      </c>
      <c r="H264">
        <v>0</v>
      </c>
      <c r="I264" s="8">
        <f t="shared" si="17"/>
        <v>6.1887863214109551E-3</v>
      </c>
      <c r="J264" s="8">
        <f t="shared" si="18"/>
        <v>6.1697144308002667E-3</v>
      </c>
      <c r="K264" s="8">
        <f t="shared" si="15"/>
        <v>7.3285176026397947E-2</v>
      </c>
    </row>
    <row r="265" spans="1:11" x14ac:dyDescent="0.25">
      <c r="A265" t="str">
        <f t="shared" si="16"/>
        <v>12018</v>
      </c>
      <c r="B265" s="1">
        <v>43122</v>
      </c>
      <c r="C265" t="s">
        <v>183</v>
      </c>
      <c r="D265">
        <v>27555.8</v>
      </c>
      <c r="E265">
        <v>27680.1</v>
      </c>
      <c r="F265">
        <v>27452.25</v>
      </c>
      <c r="G265">
        <v>27607.75</v>
      </c>
      <c r="H265">
        <v>0</v>
      </c>
      <c r="I265" s="8">
        <f t="shared" si="17"/>
        <v>3.294315171293638E-3</v>
      </c>
      <c r="J265" s="8">
        <f t="shared" si="18"/>
        <v>3.2889008029016614E-3</v>
      </c>
      <c r="K265" s="8">
        <f t="shared" si="15"/>
        <v>7.6568970761419664E-2</v>
      </c>
    </row>
    <row r="266" spans="1:11" x14ac:dyDescent="0.25">
      <c r="A266" t="str">
        <f t="shared" si="16"/>
        <v>12018</v>
      </c>
      <c r="B266" s="1">
        <v>43123</v>
      </c>
      <c r="C266" t="s">
        <v>184</v>
      </c>
      <c r="D266">
        <v>27673.7</v>
      </c>
      <c r="E266">
        <v>27801.200000000001</v>
      </c>
      <c r="F266">
        <v>27589.1</v>
      </c>
      <c r="G266">
        <v>27761.45</v>
      </c>
      <c r="H266">
        <v>0</v>
      </c>
      <c r="I266" s="8">
        <f t="shared" si="17"/>
        <v>5.5672773043802248E-3</v>
      </c>
      <c r="J266" s="8">
        <f t="shared" si="18"/>
        <v>5.551837295454656E-3</v>
      </c>
      <c r="K266" s="8">
        <f t="shared" si="15"/>
        <v>7.5412458792858406E-2</v>
      </c>
    </row>
    <row r="267" spans="1:11" x14ac:dyDescent="0.25">
      <c r="A267" t="str">
        <f t="shared" si="16"/>
        <v>12018</v>
      </c>
      <c r="B267" s="1">
        <v>43124</v>
      </c>
      <c r="C267" t="s">
        <v>185</v>
      </c>
      <c r="D267">
        <v>27691.5</v>
      </c>
      <c r="E267">
        <v>27924.2</v>
      </c>
      <c r="F267">
        <v>27562.95</v>
      </c>
      <c r="G267">
        <v>27889.05</v>
      </c>
      <c r="H267">
        <v>0</v>
      </c>
      <c r="I267" s="8">
        <f t="shared" si="17"/>
        <v>4.5963017061427802E-3</v>
      </c>
      <c r="J267" s="8">
        <f t="shared" si="18"/>
        <v>4.5857709674280199E-3</v>
      </c>
      <c r="K267" s="8">
        <f t="shared" si="15"/>
        <v>8.7818282522545088E-2</v>
      </c>
    </row>
    <row r="268" spans="1:11" x14ac:dyDescent="0.25">
      <c r="A268" t="str">
        <f t="shared" si="16"/>
        <v>12018</v>
      </c>
      <c r="B268" s="1">
        <v>43125</v>
      </c>
      <c r="C268" t="s">
        <v>186</v>
      </c>
      <c r="D268">
        <v>27866.15</v>
      </c>
      <c r="E268">
        <v>27895.5</v>
      </c>
      <c r="F268">
        <v>27614.35</v>
      </c>
      <c r="G268">
        <v>27716.5</v>
      </c>
      <c r="H268">
        <v>0</v>
      </c>
      <c r="I268" s="8">
        <f t="shared" si="17"/>
        <v>-6.1870160511025007E-3</v>
      </c>
      <c r="J268" s="8">
        <f t="shared" si="18"/>
        <v>-6.206234947665183E-3</v>
      </c>
      <c r="K268" s="8">
        <f t="shared" si="15"/>
        <v>7.8979433736768856E-2</v>
      </c>
    </row>
    <row r="269" spans="1:11" x14ac:dyDescent="0.25">
      <c r="A269" t="str">
        <f t="shared" si="16"/>
        <v>12018</v>
      </c>
      <c r="B269" s="1">
        <v>43129</v>
      </c>
      <c r="C269" t="s">
        <v>187</v>
      </c>
      <c r="D269">
        <v>27735.45</v>
      </c>
      <c r="E269">
        <v>27858.75</v>
      </c>
      <c r="F269">
        <v>27464.6</v>
      </c>
      <c r="G269">
        <v>27557.35</v>
      </c>
      <c r="H269">
        <v>0</v>
      </c>
      <c r="I269" s="8">
        <f t="shared" si="17"/>
        <v>-5.7420669998016205E-3</v>
      </c>
      <c r="J269" s="8">
        <f t="shared" si="18"/>
        <v>-5.75861604741693E-3</v>
      </c>
      <c r="K269" s="8">
        <f t="shared" si="15"/>
        <v>5.649494417022094E-2</v>
      </c>
    </row>
    <row r="270" spans="1:11" x14ac:dyDescent="0.25">
      <c r="A270" t="str">
        <f t="shared" si="16"/>
        <v>12018</v>
      </c>
      <c r="B270" s="1">
        <v>43130</v>
      </c>
      <c r="C270" t="s">
        <v>188</v>
      </c>
      <c r="D270">
        <v>27503.4</v>
      </c>
      <c r="E270">
        <v>27579.4</v>
      </c>
      <c r="F270">
        <v>27313.9</v>
      </c>
      <c r="G270">
        <v>27512.1</v>
      </c>
      <c r="H270">
        <v>0</v>
      </c>
      <c r="I270" s="8">
        <f t="shared" si="17"/>
        <v>-1.6420301661806969E-3</v>
      </c>
      <c r="J270" s="8">
        <f t="shared" si="18"/>
        <v>-1.6433797753156337E-3</v>
      </c>
      <c r="K270" s="8">
        <f t="shared" si="15"/>
        <v>6.5373549308973322E-2</v>
      </c>
    </row>
    <row r="271" spans="1:11" x14ac:dyDescent="0.25">
      <c r="A271" t="str">
        <f t="shared" si="16"/>
        <v>12018</v>
      </c>
      <c r="B271" s="1">
        <v>43131</v>
      </c>
      <c r="C271" t="s">
        <v>189</v>
      </c>
      <c r="D271">
        <v>27457.15</v>
      </c>
      <c r="E271">
        <v>27479.8</v>
      </c>
      <c r="F271">
        <v>27012.9</v>
      </c>
      <c r="G271">
        <v>27127.3</v>
      </c>
      <c r="H271">
        <v>0</v>
      </c>
      <c r="I271" s="8">
        <f t="shared" si="17"/>
        <v>-1.3986573180527762E-2</v>
      </c>
      <c r="J271" s="8">
        <f t="shared" si="18"/>
        <v>-1.4085307008250669E-2</v>
      </c>
      <c r="K271" s="8">
        <f t="shared" si="15"/>
        <v>5.1833039297415784E-2</v>
      </c>
    </row>
    <row r="272" spans="1:11" x14ac:dyDescent="0.25">
      <c r="A272" t="str">
        <f t="shared" si="16"/>
        <v>22018</v>
      </c>
      <c r="B272" s="1">
        <v>43132</v>
      </c>
      <c r="C272" s="10">
        <v>43102.645833333336</v>
      </c>
      <c r="D272">
        <v>27190.45</v>
      </c>
      <c r="E272">
        <v>28099.599999999999</v>
      </c>
      <c r="F272">
        <v>26843.599999999999</v>
      </c>
      <c r="G272">
        <v>27351.9</v>
      </c>
      <c r="H272">
        <v>0</v>
      </c>
      <c r="I272" s="8">
        <f t="shared" si="17"/>
        <v>8.2794822927456657E-3</v>
      </c>
      <c r="J272" s="8">
        <f t="shared" si="18"/>
        <v>8.2453953978789424E-3</v>
      </c>
      <c r="K272" s="8">
        <f t="shared" si="15"/>
        <v>5.9252030253389654E-2</v>
      </c>
    </row>
    <row r="273" spans="1:11" x14ac:dyDescent="0.25">
      <c r="A273" t="str">
        <f t="shared" si="16"/>
        <v>22018</v>
      </c>
      <c r="B273" s="1">
        <v>43133</v>
      </c>
      <c r="C273" s="10">
        <v>43133.645833333336</v>
      </c>
      <c r="D273">
        <v>27164.95</v>
      </c>
      <c r="E273">
        <v>27735.85</v>
      </c>
      <c r="F273">
        <v>26871.1</v>
      </c>
      <c r="G273">
        <v>27180.1</v>
      </c>
      <c r="H273">
        <v>0</v>
      </c>
      <c r="I273" s="8">
        <f t="shared" si="17"/>
        <v>-6.2810993020595562E-3</v>
      </c>
      <c r="J273" s="8">
        <f t="shared" si="18"/>
        <v>-6.3009083984451146E-3</v>
      </c>
      <c r="K273" s="8">
        <f t="shared" si="15"/>
        <v>5.50891950801502E-2</v>
      </c>
    </row>
    <row r="274" spans="1:11" x14ac:dyDescent="0.25">
      <c r="A274" t="str">
        <f t="shared" si="16"/>
        <v>22018</v>
      </c>
      <c r="B274" s="1">
        <v>43136</v>
      </c>
      <c r="C274" s="10">
        <v>43222.645833333336</v>
      </c>
      <c r="D274">
        <v>26898.15</v>
      </c>
      <c r="E274">
        <v>27281.1</v>
      </c>
      <c r="F274">
        <v>26802.2</v>
      </c>
      <c r="G274">
        <v>27191.7</v>
      </c>
      <c r="H274">
        <v>0</v>
      </c>
      <c r="I274" s="8">
        <f t="shared" si="17"/>
        <v>4.2678283008523721E-4</v>
      </c>
      <c r="J274" s="8">
        <f t="shared" si="18"/>
        <v>4.266917841968363E-4</v>
      </c>
      <c r="K274" s="8">
        <f t="shared" si="15"/>
        <v>5.6343198783280757E-2</v>
      </c>
    </row>
    <row r="275" spans="1:11" x14ac:dyDescent="0.25">
      <c r="A275" t="str">
        <f t="shared" si="16"/>
        <v>22018</v>
      </c>
      <c r="B275" s="1">
        <v>43137</v>
      </c>
      <c r="C275" s="10">
        <v>43253.645833333336</v>
      </c>
      <c r="D275">
        <v>26257.15</v>
      </c>
      <c r="E275">
        <v>26899.8</v>
      </c>
      <c r="F275">
        <v>26193.15</v>
      </c>
      <c r="G275">
        <v>26672.6</v>
      </c>
      <c r="H275">
        <v>0</v>
      </c>
      <c r="I275" s="8">
        <f t="shared" si="17"/>
        <v>-1.909038419811937E-2</v>
      </c>
      <c r="J275" s="8">
        <f t="shared" si="18"/>
        <v>-1.9274958419973023E-2</v>
      </c>
      <c r="K275" s="8">
        <f t="shared" si="15"/>
        <v>3.6789414661735131E-2</v>
      </c>
    </row>
    <row r="276" spans="1:11" x14ac:dyDescent="0.25">
      <c r="A276" t="str">
        <f t="shared" si="16"/>
        <v>22018</v>
      </c>
      <c r="B276" s="1">
        <v>43138</v>
      </c>
      <c r="C276" s="10">
        <v>43283.645833333336</v>
      </c>
      <c r="D276">
        <v>26984.799999999999</v>
      </c>
      <c r="E276">
        <v>27023.1</v>
      </c>
      <c r="F276">
        <v>26691.65</v>
      </c>
      <c r="G276">
        <v>26733.55</v>
      </c>
      <c r="H276">
        <v>0</v>
      </c>
      <c r="I276" s="8">
        <f t="shared" si="17"/>
        <v>2.2851165615651592E-3</v>
      </c>
      <c r="J276" s="8">
        <f t="shared" si="18"/>
        <v>2.2825096533526058E-3</v>
      </c>
      <c r="K276" s="8">
        <f t="shared" si="15"/>
        <v>3.1365075200950665E-2</v>
      </c>
    </row>
    <row r="277" spans="1:11" x14ac:dyDescent="0.25">
      <c r="A277" t="str">
        <f t="shared" si="16"/>
        <v>22018</v>
      </c>
      <c r="B277" s="1">
        <v>43139</v>
      </c>
      <c r="C277" s="10">
        <v>43314.645833333336</v>
      </c>
      <c r="D277">
        <v>26856.85</v>
      </c>
      <c r="E277">
        <v>26944.85</v>
      </c>
      <c r="F277">
        <v>26678.95</v>
      </c>
      <c r="G277">
        <v>26786.6</v>
      </c>
      <c r="H277">
        <v>0</v>
      </c>
      <c r="I277" s="8">
        <f t="shared" si="17"/>
        <v>1.9843978820619501E-3</v>
      </c>
      <c r="J277" s="8">
        <f t="shared" si="18"/>
        <v>1.9824315654580734E-3</v>
      </c>
      <c r="K277" s="8">
        <f t="shared" si="15"/>
        <v>4.3725939433612249E-2</v>
      </c>
    </row>
    <row r="278" spans="1:11" x14ac:dyDescent="0.25">
      <c r="A278" t="str">
        <f t="shared" si="16"/>
        <v>22018</v>
      </c>
      <c r="B278" s="1">
        <v>43140</v>
      </c>
      <c r="C278" s="10">
        <v>43345.645833333336</v>
      </c>
      <c r="D278">
        <v>26460.15</v>
      </c>
      <c r="E278">
        <v>26724.6</v>
      </c>
      <c r="F278">
        <v>26342.55</v>
      </c>
      <c r="G278">
        <v>26664.3</v>
      </c>
      <c r="H278">
        <v>0</v>
      </c>
      <c r="I278" s="8">
        <f t="shared" si="17"/>
        <v>-4.5657156936677046E-3</v>
      </c>
      <c r="J278" s="8">
        <f t="shared" si="18"/>
        <v>-4.5761704078710313E-3</v>
      </c>
      <c r="K278" s="8">
        <f t="shared" si="15"/>
        <v>4.2408960300240439E-2</v>
      </c>
    </row>
    <row r="279" spans="1:11" x14ac:dyDescent="0.25">
      <c r="A279" t="str">
        <f t="shared" si="16"/>
        <v>22018</v>
      </c>
      <c r="B279" s="1">
        <v>43143</v>
      </c>
      <c r="C279" s="10">
        <v>43436.645833333336</v>
      </c>
      <c r="D279">
        <v>26849.4</v>
      </c>
      <c r="E279">
        <v>26945.1</v>
      </c>
      <c r="F279">
        <v>26707.85</v>
      </c>
      <c r="G279">
        <v>26782.2</v>
      </c>
      <c r="H279">
        <v>0</v>
      </c>
      <c r="I279" s="8">
        <f t="shared" si="17"/>
        <v>4.4216424207648153E-3</v>
      </c>
      <c r="J279" s="8">
        <f t="shared" si="18"/>
        <v>4.4118956804216573E-3</v>
      </c>
      <c r="K279" s="8">
        <f t="shared" si="15"/>
        <v>5.9684455215391452E-2</v>
      </c>
    </row>
    <row r="280" spans="1:11" x14ac:dyDescent="0.25">
      <c r="A280" t="str">
        <f t="shared" si="16"/>
        <v>22018</v>
      </c>
      <c r="B280" s="1">
        <v>43145</v>
      </c>
      <c r="C280" t="s">
        <v>190</v>
      </c>
      <c r="D280">
        <v>26900</v>
      </c>
      <c r="E280">
        <v>26926.95</v>
      </c>
      <c r="F280">
        <v>26557.200000000001</v>
      </c>
      <c r="G280">
        <v>26645.1</v>
      </c>
      <c r="H280">
        <v>0</v>
      </c>
      <c r="I280" s="8">
        <f t="shared" si="17"/>
        <v>-5.1190716221969357E-3</v>
      </c>
      <c r="J280" s="8">
        <f t="shared" si="18"/>
        <v>-5.1322189566239216E-3</v>
      </c>
      <c r="K280" s="8">
        <f t="shared" si="15"/>
        <v>4.3093762600658447E-2</v>
      </c>
    </row>
    <row r="281" spans="1:11" x14ac:dyDescent="0.25">
      <c r="A281" t="str">
        <f t="shared" si="16"/>
        <v>22018</v>
      </c>
      <c r="B281" s="1">
        <v>43146</v>
      </c>
      <c r="C281" t="s">
        <v>191</v>
      </c>
      <c r="D281">
        <v>26701.75</v>
      </c>
      <c r="E281">
        <v>26877.25</v>
      </c>
      <c r="F281">
        <v>26597.95</v>
      </c>
      <c r="G281">
        <v>26733.5</v>
      </c>
      <c r="H281">
        <v>0</v>
      </c>
      <c r="I281" s="8">
        <f t="shared" si="17"/>
        <v>3.3176831762689041E-3</v>
      </c>
      <c r="J281" s="8">
        <f t="shared" si="18"/>
        <v>3.3121918078349178E-3</v>
      </c>
      <c r="K281" s="8">
        <f t="shared" si="15"/>
        <v>3.8234494543477382E-2</v>
      </c>
    </row>
    <row r="282" spans="1:11" x14ac:dyDescent="0.25">
      <c r="A282" t="str">
        <f t="shared" si="16"/>
        <v>22018</v>
      </c>
      <c r="B282" s="1">
        <v>43147</v>
      </c>
      <c r="C282" t="s">
        <v>192</v>
      </c>
      <c r="D282">
        <v>26890.75</v>
      </c>
      <c r="E282">
        <v>26906</v>
      </c>
      <c r="F282">
        <v>26520.35</v>
      </c>
      <c r="G282">
        <v>26599.05</v>
      </c>
      <c r="H282">
        <v>0</v>
      </c>
      <c r="I282" s="8">
        <f t="shared" si="17"/>
        <v>-5.0292703910823633E-3</v>
      </c>
      <c r="J282" s="8">
        <f t="shared" si="18"/>
        <v>-5.0419597347215253E-3</v>
      </c>
      <c r="K282" s="8">
        <f t="shared" si="15"/>
        <v>2.8763872854167483E-2</v>
      </c>
    </row>
    <row r="283" spans="1:11" x14ac:dyDescent="0.25">
      <c r="A283" t="str">
        <f t="shared" si="16"/>
        <v>22018</v>
      </c>
      <c r="B283" s="1">
        <v>43150</v>
      </c>
      <c r="C283" t="s">
        <v>193</v>
      </c>
      <c r="D283">
        <v>26635.55</v>
      </c>
      <c r="E283">
        <v>26659.3</v>
      </c>
      <c r="F283">
        <v>26262.55</v>
      </c>
      <c r="G283">
        <v>26411.4</v>
      </c>
      <c r="H283">
        <v>0</v>
      </c>
      <c r="I283" s="8">
        <f t="shared" si="17"/>
        <v>-7.0547632340252076E-3</v>
      </c>
      <c r="J283" s="8">
        <f t="shared" si="18"/>
        <v>-7.0797657367199134E-3</v>
      </c>
      <c r="K283" s="8">
        <f t="shared" si="15"/>
        <v>2.7560985099015722E-2</v>
      </c>
    </row>
    <row r="284" spans="1:11" x14ac:dyDescent="0.25">
      <c r="A284" t="str">
        <f t="shared" si="16"/>
        <v>22018</v>
      </c>
      <c r="B284" s="1">
        <v>43151</v>
      </c>
      <c r="C284" t="s">
        <v>194</v>
      </c>
      <c r="D284">
        <v>26411.9</v>
      </c>
      <c r="E284">
        <v>26537.55</v>
      </c>
      <c r="F284">
        <v>26303.5</v>
      </c>
      <c r="G284">
        <v>26356.400000000001</v>
      </c>
      <c r="H284">
        <v>0</v>
      </c>
      <c r="I284" s="8">
        <f t="shared" si="17"/>
        <v>-2.0824341004263003E-3</v>
      </c>
      <c r="J284" s="8">
        <f t="shared" si="18"/>
        <v>-2.0846053812073862E-3</v>
      </c>
      <c r="K284" s="8">
        <f t="shared" si="15"/>
        <v>2.1698553881996263E-2</v>
      </c>
    </row>
    <row r="285" spans="1:11" x14ac:dyDescent="0.25">
      <c r="A285" t="str">
        <f t="shared" si="16"/>
        <v>22018</v>
      </c>
      <c r="B285" s="1">
        <v>43152</v>
      </c>
      <c r="C285" t="s">
        <v>195</v>
      </c>
      <c r="D285">
        <v>26468.400000000001</v>
      </c>
      <c r="E285">
        <v>26603.95</v>
      </c>
      <c r="F285">
        <v>26388.5</v>
      </c>
      <c r="G285">
        <v>26572</v>
      </c>
      <c r="H285">
        <v>0</v>
      </c>
      <c r="I285" s="8">
        <f t="shared" si="17"/>
        <v>8.1801763518538628E-3</v>
      </c>
      <c r="J285" s="8">
        <f t="shared" si="18"/>
        <v>8.146900056753361E-3</v>
      </c>
      <c r="K285" s="8">
        <f t="shared" si="15"/>
        <v>3.049564389495707E-2</v>
      </c>
    </row>
    <row r="286" spans="1:11" x14ac:dyDescent="0.25">
      <c r="A286" t="str">
        <f t="shared" si="16"/>
        <v>22018</v>
      </c>
      <c r="B286" s="1">
        <v>43153</v>
      </c>
      <c r="C286" t="s">
        <v>196</v>
      </c>
      <c r="D286">
        <v>26530.3</v>
      </c>
      <c r="E286">
        <v>26574.35</v>
      </c>
      <c r="F286">
        <v>26400.65</v>
      </c>
      <c r="G286">
        <v>26460.75</v>
      </c>
      <c r="H286">
        <v>0</v>
      </c>
      <c r="I286" s="8">
        <f t="shared" si="17"/>
        <v>-4.1867379196146581E-3</v>
      </c>
      <c r="J286" s="8">
        <f t="shared" si="18"/>
        <v>-4.1955268466859251E-3</v>
      </c>
      <c r="K286" s="8">
        <f t="shared" si="15"/>
        <v>1.8849725850172527E-2</v>
      </c>
    </row>
    <row r="287" spans="1:11" x14ac:dyDescent="0.25">
      <c r="A287" t="str">
        <f t="shared" si="16"/>
        <v>22018</v>
      </c>
      <c r="B287" s="1">
        <v>43154</v>
      </c>
      <c r="C287" t="s">
        <v>197</v>
      </c>
      <c r="D287">
        <v>26538.05</v>
      </c>
      <c r="E287">
        <v>26699.599999999999</v>
      </c>
      <c r="F287">
        <v>26448.3</v>
      </c>
      <c r="G287">
        <v>26669.9</v>
      </c>
      <c r="H287">
        <v>0</v>
      </c>
      <c r="I287" s="8">
        <f t="shared" si="17"/>
        <v>7.9041599349980451E-3</v>
      </c>
      <c r="J287" s="8">
        <f t="shared" si="18"/>
        <v>7.8730856992759498E-3</v>
      </c>
      <c r="K287" s="8">
        <f t="shared" si="15"/>
        <v>2.9455586950144497E-2</v>
      </c>
    </row>
    <row r="288" spans="1:11" x14ac:dyDescent="0.25">
      <c r="A288" t="str">
        <f t="shared" si="16"/>
        <v>22018</v>
      </c>
      <c r="B288" s="1">
        <v>43157</v>
      </c>
      <c r="C288" t="s">
        <v>198</v>
      </c>
      <c r="D288">
        <v>26677.85</v>
      </c>
      <c r="E288">
        <v>26779.75</v>
      </c>
      <c r="F288">
        <v>26610</v>
      </c>
      <c r="G288">
        <v>26645.85</v>
      </c>
      <c r="H288">
        <v>0</v>
      </c>
      <c r="I288" s="8">
        <f t="shared" si="17"/>
        <v>-9.0176566091371146E-4</v>
      </c>
      <c r="J288" s="8">
        <f t="shared" si="18"/>
        <v>-9.0217249616574133E-4</v>
      </c>
      <c r="K288" s="8">
        <f t="shared" si="15"/>
        <v>2.7351468685961278E-2</v>
      </c>
    </row>
    <row r="289" spans="1:11" x14ac:dyDescent="0.25">
      <c r="A289" t="str">
        <f t="shared" si="16"/>
        <v>22018</v>
      </c>
      <c r="B289" s="1">
        <v>43158</v>
      </c>
      <c r="C289" t="s">
        <v>199</v>
      </c>
      <c r="D289">
        <v>26767.55</v>
      </c>
      <c r="E289">
        <v>26807.200000000001</v>
      </c>
      <c r="F289">
        <v>26681.95</v>
      </c>
      <c r="G289">
        <v>26728.2</v>
      </c>
      <c r="H289">
        <v>0</v>
      </c>
      <c r="I289" s="8">
        <f t="shared" si="17"/>
        <v>3.0905375508756272E-3</v>
      </c>
      <c r="J289" s="8">
        <f t="shared" si="18"/>
        <v>3.0857716566242512E-3</v>
      </c>
      <c r="K289" s="8">
        <f t="shared" si="15"/>
        <v>2.9082291700756935E-2</v>
      </c>
    </row>
    <row r="290" spans="1:11" x14ac:dyDescent="0.25">
      <c r="A290" t="str">
        <f t="shared" si="16"/>
        <v>22018</v>
      </c>
      <c r="B290" s="1">
        <v>43159</v>
      </c>
      <c r="C290" t="s">
        <v>200</v>
      </c>
      <c r="D290">
        <v>26592.55</v>
      </c>
      <c r="E290">
        <v>26640.55</v>
      </c>
      <c r="F290">
        <v>26440.400000000001</v>
      </c>
      <c r="G290">
        <v>26513.7</v>
      </c>
      <c r="H290">
        <v>0</v>
      </c>
      <c r="I290" s="8">
        <f t="shared" si="17"/>
        <v>-8.0252317776730031E-3</v>
      </c>
      <c r="J290" s="8">
        <f t="shared" si="18"/>
        <v>-8.0576072804969742E-3</v>
      </c>
      <c r="K290" s="8">
        <f t="shared" si="15"/>
        <v>2.6864781439230434E-2</v>
      </c>
    </row>
    <row r="291" spans="1:11" x14ac:dyDescent="0.25">
      <c r="A291" t="str">
        <f t="shared" si="16"/>
        <v>32018</v>
      </c>
      <c r="B291" s="1">
        <v>43160</v>
      </c>
      <c r="C291" s="10">
        <v>43103.645833333336</v>
      </c>
      <c r="D291">
        <v>26489.599999999999</v>
      </c>
      <c r="E291">
        <v>26589.55</v>
      </c>
      <c r="F291">
        <v>26380.85</v>
      </c>
      <c r="G291">
        <v>26492.35</v>
      </c>
      <c r="H291">
        <v>0</v>
      </c>
      <c r="I291" s="8">
        <f t="shared" si="17"/>
        <v>-8.0524408136184444E-4</v>
      </c>
      <c r="J291" s="8">
        <f t="shared" si="18"/>
        <v>-8.0556846452723492E-4</v>
      </c>
      <c r="K291" s="8">
        <f t="shared" si="15"/>
        <v>3.2164118627955096E-2</v>
      </c>
    </row>
    <row r="292" spans="1:11" x14ac:dyDescent="0.25">
      <c r="A292" t="str">
        <f t="shared" si="16"/>
        <v>32018</v>
      </c>
      <c r="B292" s="1">
        <v>43164</v>
      </c>
      <c r="C292" s="10">
        <v>43223.645833333336</v>
      </c>
      <c r="D292">
        <v>26434.799999999999</v>
      </c>
      <c r="E292">
        <v>26434.85</v>
      </c>
      <c r="F292">
        <v>26093.35</v>
      </c>
      <c r="G292">
        <v>26164.75</v>
      </c>
      <c r="H292">
        <v>0</v>
      </c>
      <c r="I292" s="8">
        <f t="shared" si="17"/>
        <v>-1.2365833910543911E-2</v>
      </c>
      <c r="J292" s="8">
        <f t="shared" si="18"/>
        <v>-1.2442927041205141E-2</v>
      </c>
      <c r="K292" s="8">
        <f t="shared" si="15"/>
        <v>1.5791210497709374E-2</v>
      </c>
    </row>
    <row r="293" spans="1:11" x14ac:dyDescent="0.25">
      <c r="A293" t="str">
        <f t="shared" si="16"/>
        <v>32018</v>
      </c>
      <c r="B293" s="1">
        <v>43165</v>
      </c>
      <c r="C293" s="10">
        <v>43254.645833333336</v>
      </c>
      <c r="D293">
        <v>26232.65</v>
      </c>
      <c r="E293">
        <v>26353.05</v>
      </c>
      <c r="F293">
        <v>25793.7</v>
      </c>
      <c r="G293">
        <v>25891.8</v>
      </c>
      <c r="H293">
        <v>0</v>
      </c>
      <c r="I293" s="8">
        <f t="shared" si="17"/>
        <v>-1.0431974316590042E-2</v>
      </c>
      <c r="J293" s="8">
        <f t="shared" si="18"/>
        <v>-1.0486768770018726E-2</v>
      </c>
      <c r="K293" s="8">
        <f t="shared" si="15"/>
        <v>7.6335877862594437E-3</v>
      </c>
    </row>
    <row r="294" spans="1:11" x14ac:dyDescent="0.25">
      <c r="A294" t="str">
        <f t="shared" si="16"/>
        <v>32018</v>
      </c>
      <c r="B294" s="1">
        <v>43166</v>
      </c>
      <c r="C294" s="10">
        <v>43284.645833333336</v>
      </c>
      <c r="D294">
        <v>25887.1</v>
      </c>
      <c r="E294">
        <v>26139.3</v>
      </c>
      <c r="F294">
        <v>25730.799999999999</v>
      </c>
      <c r="G294">
        <v>26061.1</v>
      </c>
      <c r="H294">
        <v>0</v>
      </c>
      <c r="I294" s="8">
        <f t="shared" si="17"/>
        <v>6.5387497199884681E-3</v>
      </c>
      <c r="J294" s="8">
        <f t="shared" si="18"/>
        <v>6.5174648300347117E-3</v>
      </c>
      <c r="K294" s="8">
        <f t="shared" si="15"/>
        <v>1.7131661472592929E-2</v>
      </c>
    </row>
    <row r="295" spans="1:11" x14ac:dyDescent="0.25">
      <c r="A295" t="str">
        <f t="shared" si="16"/>
        <v>32018</v>
      </c>
      <c r="B295" s="1">
        <v>43167</v>
      </c>
      <c r="C295" s="10">
        <v>43315.645833333336</v>
      </c>
      <c r="D295">
        <v>26165</v>
      </c>
      <c r="E295">
        <v>26262.55</v>
      </c>
      <c r="F295">
        <v>25883.85</v>
      </c>
      <c r="G295">
        <v>25953.200000000001</v>
      </c>
      <c r="H295">
        <v>0</v>
      </c>
      <c r="I295" s="8">
        <f t="shared" si="17"/>
        <v>-4.1402703646430394E-3</v>
      </c>
      <c r="J295" s="8">
        <f t="shared" si="18"/>
        <v>-4.1488650149762735E-3</v>
      </c>
      <c r="K295" s="8">
        <f t="shared" si="15"/>
        <v>4.0427565022611578E-3</v>
      </c>
    </row>
    <row r="296" spans="1:11" x14ac:dyDescent="0.25">
      <c r="A296" t="str">
        <f t="shared" si="16"/>
        <v>32018</v>
      </c>
      <c r="B296" s="1">
        <v>43168</v>
      </c>
      <c r="C296" s="10">
        <v>43346.645833333336</v>
      </c>
      <c r="D296">
        <v>25993</v>
      </c>
      <c r="E296">
        <v>26140</v>
      </c>
      <c r="F296">
        <v>25951.4</v>
      </c>
      <c r="G296">
        <v>26020.05</v>
      </c>
      <c r="H296">
        <v>0</v>
      </c>
      <c r="I296" s="8">
        <f t="shared" si="17"/>
        <v>2.5757902686374123E-3</v>
      </c>
      <c r="J296" s="8">
        <f t="shared" si="18"/>
        <v>2.5724786064292827E-3</v>
      </c>
      <c r="K296" s="8">
        <f t="shared" si="15"/>
        <v>-1.6610259811674855E-2</v>
      </c>
    </row>
    <row r="297" spans="1:11" x14ac:dyDescent="0.25">
      <c r="A297" t="str">
        <f t="shared" si="16"/>
        <v>32018</v>
      </c>
      <c r="B297" s="1">
        <v>43171</v>
      </c>
      <c r="C297" s="10">
        <v>43437.645833333336</v>
      </c>
      <c r="D297">
        <v>26322.15</v>
      </c>
      <c r="E297">
        <v>26743.15</v>
      </c>
      <c r="F297">
        <v>26271.05</v>
      </c>
      <c r="G297">
        <v>26703</v>
      </c>
      <c r="H297">
        <v>0</v>
      </c>
      <c r="I297" s="8">
        <f t="shared" si="17"/>
        <v>2.6247067165512838E-2</v>
      </c>
      <c r="J297" s="8">
        <f t="shared" si="18"/>
        <v>2.5908523963621099E-2</v>
      </c>
      <c r="K297" s="8">
        <f t="shared" si="15"/>
        <v>-2.4897368554066546E-4</v>
      </c>
    </row>
    <row r="298" spans="1:11" x14ac:dyDescent="0.25">
      <c r="A298" t="str">
        <f t="shared" si="16"/>
        <v>32018</v>
      </c>
      <c r="B298" s="1">
        <v>43172</v>
      </c>
      <c r="C298" t="s">
        <v>201</v>
      </c>
      <c r="D298">
        <v>26694.95</v>
      </c>
      <c r="E298">
        <v>26817.45</v>
      </c>
      <c r="F298">
        <v>26482.25</v>
      </c>
      <c r="G298">
        <v>26644.799999999999</v>
      </c>
      <c r="H298">
        <v>0</v>
      </c>
      <c r="I298" s="8">
        <f t="shared" si="17"/>
        <v>-2.1795303898438645E-3</v>
      </c>
      <c r="J298" s="8">
        <f t="shared" si="18"/>
        <v>-2.1819090230346802E-3</v>
      </c>
      <c r="K298" s="8">
        <f t="shared" si="15"/>
        <v>1.1043969074609805E-2</v>
      </c>
    </row>
    <row r="299" spans="1:11" x14ac:dyDescent="0.25">
      <c r="A299" t="str">
        <f t="shared" si="16"/>
        <v>32018</v>
      </c>
      <c r="B299" s="1">
        <v>43173</v>
      </c>
      <c r="C299" t="s">
        <v>202</v>
      </c>
      <c r="D299">
        <v>26549.1</v>
      </c>
      <c r="E299">
        <v>26584.400000000001</v>
      </c>
      <c r="F299">
        <v>26371.85</v>
      </c>
      <c r="G299">
        <v>26532.15</v>
      </c>
      <c r="H299">
        <v>0</v>
      </c>
      <c r="I299" s="8">
        <f t="shared" si="17"/>
        <v>-4.2278418303007825E-3</v>
      </c>
      <c r="J299" s="8">
        <f t="shared" si="18"/>
        <v>-4.2368044241114511E-3</v>
      </c>
      <c r="K299" s="8">
        <f t="shared" si="15"/>
        <v>1.423754859574089E-2</v>
      </c>
    </row>
    <row r="300" spans="1:11" x14ac:dyDescent="0.25">
      <c r="A300" t="str">
        <f t="shared" si="16"/>
        <v>32018</v>
      </c>
      <c r="B300" s="1">
        <v>43174</v>
      </c>
      <c r="C300" t="s">
        <v>203</v>
      </c>
      <c r="D300">
        <v>26479</v>
      </c>
      <c r="E300">
        <v>26638.3</v>
      </c>
      <c r="F300">
        <v>26341.75</v>
      </c>
      <c r="G300">
        <v>26381.3</v>
      </c>
      <c r="H300">
        <v>0</v>
      </c>
      <c r="I300" s="8">
        <f t="shared" si="17"/>
        <v>-5.6855550718657444E-3</v>
      </c>
      <c r="J300" s="8">
        <f t="shared" si="18"/>
        <v>-5.7017793654049204E-3</v>
      </c>
      <c r="K300" s="8">
        <f t="shared" si="15"/>
        <v>-7.5805528497174812E-5</v>
      </c>
    </row>
    <row r="301" spans="1:11" x14ac:dyDescent="0.25">
      <c r="A301" t="str">
        <f t="shared" si="16"/>
        <v>32018</v>
      </c>
      <c r="B301" s="1">
        <v>43175</v>
      </c>
      <c r="C301" t="s">
        <v>204</v>
      </c>
      <c r="D301">
        <v>26438.5</v>
      </c>
      <c r="E301">
        <v>26438.5</v>
      </c>
      <c r="F301">
        <v>25911.05</v>
      </c>
      <c r="G301">
        <v>26052.15</v>
      </c>
      <c r="H301">
        <v>0</v>
      </c>
      <c r="I301" s="8">
        <f t="shared" si="17"/>
        <v>-1.2476640650763926E-2</v>
      </c>
      <c r="J301" s="8">
        <f t="shared" si="18"/>
        <v>-1.2555127449435011E-2</v>
      </c>
      <c r="K301" s="8">
        <f t="shared" si="15"/>
        <v>-1.4326089259500185E-2</v>
      </c>
    </row>
    <row r="302" spans="1:11" x14ac:dyDescent="0.25">
      <c r="A302" t="str">
        <f t="shared" si="16"/>
        <v>32018</v>
      </c>
      <c r="B302" s="1">
        <v>43178</v>
      </c>
      <c r="C302" t="s">
        <v>205</v>
      </c>
      <c r="D302">
        <v>26127.85</v>
      </c>
      <c r="E302">
        <v>26152.55</v>
      </c>
      <c r="F302">
        <v>25885.95</v>
      </c>
      <c r="G302">
        <v>25935.8</v>
      </c>
      <c r="H302">
        <v>0</v>
      </c>
      <c r="I302" s="8">
        <f t="shared" si="17"/>
        <v>-4.4660421500721803E-3</v>
      </c>
      <c r="J302" s="8">
        <f t="shared" si="18"/>
        <v>-4.4760447086576215E-3</v>
      </c>
      <c r="K302" s="8">
        <f t="shared" si="15"/>
        <v>-1.9572042315681659E-2</v>
      </c>
    </row>
    <row r="303" spans="1:11" x14ac:dyDescent="0.25">
      <c r="A303" t="str">
        <f t="shared" si="16"/>
        <v>32018</v>
      </c>
      <c r="B303" s="1">
        <v>43179</v>
      </c>
      <c r="C303" t="s">
        <v>206</v>
      </c>
      <c r="D303">
        <v>25864.400000000001</v>
      </c>
      <c r="E303">
        <v>26084.799999999999</v>
      </c>
      <c r="F303">
        <v>25860.9</v>
      </c>
      <c r="G303">
        <v>26044</v>
      </c>
      <c r="H303">
        <v>0</v>
      </c>
      <c r="I303" s="8">
        <f t="shared" si="17"/>
        <v>4.1718396964813831E-3</v>
      </c>
      <c r="J303" s="8">
        <f t="shared" si="18"/>
        <v>4.1631617003551396E-3</v>
      </c>
      <c r="K303" s="8">
        <f t="shared" si="15"/>
        <v>-2.4350041207762074E-2</v>
      </c>
    </row>
    <row r="304" spans="1:11" x14ac:dyDescent="0.25">
      <c r="A304" t="str">
        <f t="shared" si="16"/>
        <v>32018</v>
      </c>
      <c r="B304" s="1">
        <v>43180</v>
      </c>
      <c r="C304" t="s">
        <v>207</v>
      </c>
      <c r="D304">
        <v>26117.8</v>
      </c>
      <c r="E304">
        <v>26245.75</v>
      </c>
      <c r="F304">
        <v>26059.8</v>
      </c>
      <c r="G304">
        <v>26093</v>
      </c>
      <c r="H304">
        <v>0</v>
      </c>
      <c r="I304" s="8">
        <f t="shared" si="17"/>
        <v>1.8814314237445284E-3</v>
      </c>
      <c r="J304" s="8">
        <f t="shared" si="18"/>
        <v>1.8796637484693351E-3</v>
      </c>
      <c r="K304" s="8">
        <f t="shared" si="15"/>
        <v>-2.3821771621507892E-2</v>
      </c>
    </row>
    <row r="305" spans="1:11" x14ac:dyDescent="0.25">
      <c r="A305" t="str">
        <f t="shared" si="16"/>
        <v>32018</v>
      </c>
      <c r="B305" s="1">
        <v>43181</v>
      </c>
      <c r="C305" t="s">
        <v>208</v>
      </c>
      <c r="D305">
        <v>26126.55</v>
      </c>
      <c r="E305">
        <v>26228.45</v>
      </c>
      <c r="F305">
        <v>26009</v>
      </c>
      <c r="G305">
        <v>26036.15</v>
      </c>
      <c r="H305">
        <v>0</v>
      </c>
      <c r="I305" s="8">
        <f t="shared" si="17"/>
        <v>-2.1787452573486243E-3</v>
      </c>
      <c r="J305" s="8">
        <f t="shared" si="18"/>
        <v>-2.181122175891068E-3</v>
      </c>
      <c r="K305" s="8">
        <f t="shared" si="15"/>
        <v>-2.3689529359267159E-2</v>
      </c>
    </row>
    <row r="306" spans="1:11" x14ac:dyDescent="0.25">
      <c r="A306" t="str">
        <f t="shared" si="16"/>
        <v>32018</v>
      </c>
      <c r="B306" s="1">
        <v>43182</v>
      </c>
      <c r="C306" t="s">
        <v>209</v>
      </c>
      <c r="D306">
        <v>25749.200000000001</v>
      </c>
      <c r="E306">
        <v>26025.599999999999</v>
      </c>
      <c r="F306">
        <v>25695.95</v>
      </c>
      <c r="G306">
        <v>25910.05</v>
      </c>
      <c r="H306">
        <v>0</v>
      </c>
      <c r="I306" s="8">
        <f t="shared" si="17"/>
        <v>-4.8432659974689818E-3</v>
      </c>
      <c r="J306" s="8">
        <f t="shared" si="18"/>
        <v>-4.8550326181865345E-3</v>
      </c>
      <c r="K306" s="8">
        <f t="shared" si="15"/>
        <v>-2.9960352373428978E-2</v>
      </c>
    </row>
    <row r="307" spans="1:11" x14ac:dyDescent="0.25">
      <c r="A307" t="str">
        <f t="shared" si="16"/>
        <v>32018</v>
      </c>
      <c r="B307" s="1">
        <v>43185</v>
      </c>
      <c r="C307" t="s">
        <v>210</v>
      </c>
      <c r="D307">
        <v>25795.05</v>
      </c>
      <c r="E307">
        <v>26218.400000000001</v>
      </c>
      <c r="F307">
        <v>25777.95</v>
      </c>
      <c r="G307">
        <v>26168.95</v>
      </c>
      <c r="H307">
        <v>0</v>
      </c>
      <c r="I307" s="8">
        <f t="shared" si="17"/>
        <v>9.9922616899621453E-3</v>
      </c>
      <c r="J307" s="8">
        <f t="shared" si="18"/>
        <v>9.942669130710376E-3</v>
      </c>
      <c r="K307" s="8">
        <f t="shared" si="15"/>
        <v>-2.0806361085126235E-2</v>
      </c>
    </row>
    <row r="308" spans="1:11" x14ac:dyDescent="0.25">
      <c r="A308" t="str">
        <f t="shared" si="16"/>
        <v>32018</v>
      </c>
      <c r="B308" s="1">
        <v>43186</v>
      </c>
      <c r="C308" t="s">
        <v>211</v>
      </c>
      <c r="D308">
        <v>26300.45</v>
      </c>
      <c r="E308">
        <v>26362.6</v>
      </c>
      <c r="F308">
        <v>26132.85</v>
      </c>
      <c r="G308">
        <v>26300.15</v>
      </c>
      <c r="H308">
        <v>0</v>
      </c>
      <c r="I308" s="8">
        <f t="shared" si="17"/>
        <v>5.0135752485291896E-3</v>
      </c>
      <c r="J308" s="8">
        <f t="shared" si="18"/>
        <v>5.0010491297900741E-3</v>
      </c>
      <c r="K308" s="8">
        <f t="shared" si="15"/>
        <v>-1.2645943612268562E-2</v>
      </c>
    </row>
    <row r="309" spans="1:11" x14ac:dyDescent="0.25">
      <c r="A309" t="str">
        <f t="shared" si="16"/>
        <v>32018</v>
      </c>
      <c r="B309" s="1">
        <v>43187</v>
      </c>
      <c r="C309" t="s">
        <v>212</v>
      </c>
      <c r="D309">
        <v>26210.2</v>
      </c>
      <c r="E309">
        <v>26316.5</v>
      </c>
      <c r="F309">
        <v>26055</v>
      </c>
      <c r="G309">
        <v>26127.4</v>
      </c>
      <c r="H309">
        <v>0</v>
      </c>
      <c r="I309" s="8">
        <f t="shared" si="17"/>
        <v>-6.5684036022608527E-3</v>
      </c>
      <c r="J309" s="8">
        <f t="shared" si="18"/>
        <v>-6.590070495249672E-3</v>
      </c>
      <c r="K309" s="8">
        <f t="shared" si="15"/>
        <v>-1.8281765765698066E-2</v>
      </c>
    </row>
    <row r="310" spans="1:11" x14ac:dyDescent="0.25">
      <c r="A310" t="str">
        <f t="shared" si="16"/>
        <v>42018</v>
      </c>
      <c r="B310" s="1">
        <v>43192</v>
      </c>
      <c r="C310" s="10">
        <v>43135.645833333336</v>
      </c>
      <c r="D310">
        <v>26169.35</v>
      </c>
      <c r="E310">
        <v>26573.45</v>
      </c>
      <c r="F310">
        <v>26151</v>
      </c>
      <c r="G310">
        <v>26501.45</v>
      </c>
      <c r="H310">
        <v>0</v>
      </c>
      <c r="I310" s="8">
        <f t="shared" si="17"/>
        <v>1.4316388159556714E-2</v>
      </c>
      <c r="J310" s="8">
        <f t="shared" si="18"/>
        <v>1.4214876382131265E-2</v>
      </c>
      <c r="K310" s="8">
        <f t="shared" si="15"/>
        <v>-1.3036515650894698E-2</v>
      </c>
    </row>
    <row r="311" spans="1:11" x14ac:dyDescent="0.25">
      <c r="A311" t="str">
        <f t="shared" si="16"/>
        <v>42018</v>
      </c>
      <c r="B311" s="1">
        <v>43193</v>
      </c>
      <c r="C311" s="10">
        <v>43163.645833333336</v>
      </c>
      <c r="D311">
        <v>26462.95</v>
      </c>
      <c r="E311">
        <v>26588.65</v>
      </c>
      <c r="F311">
        <v>26357.05</v>
      </c>
      <c r="G311">
        <v>26506.45</v>
      </c>
      <c r="H311">
        <v>0</v>
      </c>
      <c r="I311" s="8">
        <f t="shared" si="17"/>
        <v>1.8866892188929008E-4</v>
      </c>
      <c r="J311" s="8">
        <f t="shared" si="18"/>
        <v>1.8865112614654719E-4</v>
      </c>
      <c r="K311" s="8">
        <f t="shared" si="15"/>
        <v>-6.7412740970570484E-3</v>
      </c>
    </row>
    <row r="312" spans="1:11" x14ac:dyDescent="0.25">
      <c r="A312" t="str">
        <f t="shared" si="16"/>
        <v>42018</v>
      </c>
      <c r="B312" s="1">
        <v>43194</v>
      </c>
      <c r="C312" s="10">
        <v>43194.645833333336</v>
      </c>
      <c r="D312">
        <v>26551.35</v>
      </c>
      <c r="E312">
        <v>26586.25</v>
      </c>
      <c r="F312">
        <v>26375.599999999999</v>
      </c>
      <c r="G312">
        <v>26448.05</v>
      </c>
      <c r="H312">
        <v>0</v>
      </c>
      <c r="I312" s="8">
        <f t="shared" si="17"/>
        <v>-2.2032373252548476E-3</v>
      </c>
      <c r="J312" s="8">
        <f t="shared" si="18"/>
        <v>-2.2056680235369506E-3</v>
      </c>
      <c r="K312" s="8">
        <f t="shared" si="15"/>
        <v>-3.2204571579323993E-3</v>
      </c>
    </row>
    <row r="313" spans="1:11" x14ac:dyDescent="0.25">
      <c r="A313" t="str">
        <f t="shared" si="16"/>
        <v>42018</v>
      </c>
      <c r="B313" s="1">
        <v>43195</v>
      </c>
      <c r="C313" s="10">
        <v>43224.645833333336</v>
      </c>
      <c r="D313">
        <v>26467.45</v>
      </c>
      <c r="E313">
        <v>26698.7</v>
      </c>
      <c r="F313">
        <v>26447.599999999999</v>
      </c>
      <c r="G313">
        <v>26676.45</v>
      </c>
      <c r="H313">
        <v>0</v>
      </c>
      <c r="I313" s="8">
        <f t="shared" si="17"/>
        <v>8.6357973461181903E-3</v>
      </c>
      <c r="J313" s="8">
        <f t="shared" si="18"/>
        <v>8.5987221445960205E-3</v>
      </c>
      <c r="K313" s="8">
        <f t="shared" si="15"/>
        <v>1.0525960282794511E-3</v>
      </c>
    </row>
    <row r="314" spans="1:11" x14ac:dyDescent="0.25">
      <c r="A314" t="str">
        <f t="shared" si="16"/>
        <v>42018</v>
      </c>
      <c r="B314" s="1">
        <v>43196</v>
      </c>
      <c r="C314" s="10">
        <v>43255.645833333336</v>
      </c>
      <c r="D314">
        <v>26747.05</v>
      </c>
      <c r="E314">
        <v>26835</v>
      </c>
      <c r="F314">
        <v>26667.9</v>
      </c>
      <c r="G314">
        <v>26805.9</v>
      </c>
      <c r="H314">
        <v>0</v>
      </c>
      <c r="I314" s="8">
        <f t="shared" si="17"/>
        <v>4.8525947043178697E-3</v>
      </c>
      <c r="J314" s="8">
        <f t="shared" si="18"/>
        <v>4.8408588176566654E-3</v>
      </c>
      <c r="K314" s="8">
        <f t="shared" si="15"/>
        <v>4.357502547809089E-3</v>
      </c>
    </row>
    <row r="315" spans="1:11" x14ac:dyDescent="0.25">
      <c r="A315" t="str">
        <f t="shared" si="16"/>
        <v>42018</v>
      </c>
      <c r="B315" s="1">
        <v>43199</v>
      </c>
      <c r="C315" s="10">
        <v>43347.645833333336</v>
      </c>
      <c r="D315">
        <v>26811.85</v>
      </c>
      <c r="E315">
        <v>27140.05</v>
      </c>
      <c r="F315">
        <v>26803.599999999999</v>
      </c>
      <c r="G315">
        <v>27107.7</v>
      </c>
      <c r="H315">
        <v>0</v>
      </c>
      <c r="I315" s="8">
        <f t="shared" si="17"/>
        <v>1.1258715432050481E-2</v>
      </c>
      <c r="J315" s="8">
        <f t="shared" si="18"/>
        <v>1.1195807827641114E-2</v>
      </c>
      <c r="K315" s="8">
        <f t="shared" si="15"/>
        <v>7.1857711328178198E-3</v>
      </c>
    </row>
    <row r="316" spans="1:11" x14ac:dyDescent="0.25">
      <c r="A316" t="str">
        <f t="shared" si="16"/>
        <v>42018</v>
      </c>
      <c r="B316" s="1">
        <v>43200</v>
      </c>
      <c r="C316" s="10">
        <v>43377.645833333336</v>
      </c>
      <c r="D316">
        <v>27188.55</v>
      </c>
      <c r="E316">
        <v>27208.55</v>
      </c>
      <c r="F316">
        <v>27049.4</v>
      </c>
      <c r="G316">
        <v>27103.45</v>
      </c>
      <c r="H316">
        <v>0</v>
      </c>
      <c r="I316" s="8">
        <f t="shared" si="17"/>
        <v>-1.567820213445037E-4</v>
      </c>
      <c r="J316" s="8">
        <f t="shared" si="18"/>
        <v>-1.5679431293036205E-4</v>
      </c>
      <c r="K316" s="8">
        <f t="shared" si="15"/>
        <v>-6.4157281206145278E-4</v>
      </c>
    </row>
    <row r="317" spans="1:11" x14ac:dyDescent="0.25">
      <c r="A317" t="str">
        <f t="shared" si="16"/>
        <v>42018</v>
      </c>
      <c r="B317" s="1">
        <v>43201</v>
      </c>
      <c r="C317" s="10">
        <v>43408.645833333336</v>
      </c>
      <c r="D317">
        <v>27140.400000000001</v>
      </c>
      <c r="E317">
        <v>27223</v>
      </c>
      <c r="F317">
        <v>26950.75</v>
      </c>
      <c r="G317">
        <v>27159.4</v>
      </c>
      <c r="H317">
        <v>0</v>
      </c>
      <c r="I317" s="8">
        <f t="shared" si="17"/>
        <v>2.0643128457815685E-3</v>
      </c>
      <c r="J317" s="8">
        <f t="shared" si="18"/>
        <v>2.0621850797655707E-3</v>
      </c>
      <c r="K317" s="8">
        <f t="shared" si="15"/>
        <v>-3.2955095929421141E-3</v>
      </c>
    </row>
    <row r="318" spans="1:11" x14ac:dyDescent="0.25">
      <c r="A318" t="str">
        <f t="shared" si="16"/>
        <v>42018</v>
      </c>
      <c r="B318" s="1">
        <v>43202</v>
      </c>
      <c r="C318" s="10">
        <v>43438.645833333336</v>
      </c>
      <c r="D318">
        <v>27168.5</v>
      </c>
      <c r="E318">
        <v>27174</v>
      </c>
      <c r="F318">
        <v>26971.25</v>
      </c>
      <c r="G318">
        <v>27041.45</v>
      </c>
      <c r="H318">
        <v>0</v>
      </c>
      <c r="I318" s="8">
        <f t="shared" si="17"/>
        <v>-4.3428794450540709E-3</v>
      </c>
      <c r="J318" s="8">
        <f t="shared" si="18"/>
        <v>-4.3523371383386109E-3</v>
      </c>
      <c r="K318" s="8">
        <f t="shared" si="15"/>
        <v>-6.2163274606218399E-3</v>
      </c>
    </row>
    <row r="319" spans="1:11" x14ac:dyDescent="0.25">
      <c r="A319" t="str">
        <f t="shared" si="16"/>
        <v>42018</v>
      </c>
      <c r="B319" s="1">
        <v>43203</v>
      </c>
      <c r="C319" t="s">
        <v>213</v>
      </c>
      <c r="D319">
        <v>27133.8</v>
      </c>
      <c r="E319">
        <v>27156.55</v>
      </c>
      <c r="F319">
        <v>26898.25</v>
      </c>
      <c r="G319">
        <v>26982.9</v>
      </c>
      <c r="H319">
        <v>0</v>
      </c>
      <c r="I319" s="8">
        <f t="shared" si="17"/>
        <v>-2.1651945439316034E-3</v>
      </c>
      <c r="J319" s="8">
        <f t="shared" si="18"/>
        <v>-2.1675419666681624E-3</v>
      </c>
      <c r="K319" s="8">
        <f t="shared" si="15"/>
        <v>-1.1894081156596847E-2</v>
      </c>
    </row>
    <row r="320" spans="1:11" x14ac:dyDescent="0.25">
      <c r="A320" t="str">
        <f t="shared" si="16"/>
        <v>42018</v>
      </c>
      <c r="B320" s="1">
        <v>43206</v>
      </c>
      <c r="C320" t="s">
        <v>214</v>
      </c>
      <c r="D320">
        <v>26932.400000000001</v>
      </c>
      <c r="E320">
        <v>27295.65</v>
      </c>
      <c r="F320">
        <v>26924.2</v>
      </c>
      <c r="G320">
        <v>27267.200000000001</v>
      </c>
      <c r="H320">
        <v>0</v>
      </c>
      <c r="I320" s="8">
        <f t="shared" si="17"/>
        <v>1.0536302621289684E-2</v>
      </c>
      <c r="J320" s="8">
        <f t="shared" si="18"/>
        <v>1.0481182620778752E-2</v>
      </c>
      <c r="K320" s="8">
        <f t="shared" ref="K320:K383" si="19">+G320/G259-1</f>
        <v>2.594069490176043E-3</v>
      </c>
    </row>
    <row r="321" spans="1:11" x14ac:dyDescent="0.25">
      <c r="A321" t="str">
        <f t="shared" si="16"/>
        <v>42018</v>
      </c>
      <c r="B321" s="1">
        <v>43207</v>
      </c>
      <c r="C321" t="s">
        <v>215</v>
      </c>
      <c r="D321">
        <v>27354.6</v>
      </c>
      <c r="E321">
        <v>27571.05</v>
      </c>
      <c r="F321">
        <v>27228</v>
      </c>
      <c r="G321">
        <v>27536.7</v>
      </c>
      <c r="H321">
        <v>0</v>
      </c>
      <c r="I321" s="8">
        <f t="shared" si="17"/>
        <v>9.8836697570707788E-3</v>
      </c>
      <c r="J321" s="8">
        <f t="shared" si="18"/>
        <v>9.8351457612743196E-3</v>
      </c>
      <c r="K321" s="8">
        <f t="shared" si="19"/>
        <v>1.344428332732206E-2</v>
      </c>
    </row>
    <row r="322" spans="1:11" x14ac:dyDescent="0.25">
      <c r="A322" t="str">
        <f t="shared" si="16"/>
        <v>42018</v>
      </c>
      <c r="B322" s="1">
        <v>43208</v>
      </c>
      <c r="C322" t="s">
        <v>216</v>
      </c>
      <c r="D322">
        <v>27650.45</v>
      </c>
      <c r="E322">
        <v>28184.25</v>
      </c>
      <c r="F322">
        <v>27589.65</v>
      </c>
      <c r="G322">
        <v>28016.85</v>
      </c>
      <c r="H322">
        <v>0</v>
      </c>
      <c r="I322" s="8">
        <f t="shared" si="17"/>
        <v>1.7436729891381342E-2</v>
      </c>
      <c r="J322" s="8">
        <f t="shared" si="18"/>
        <v>1.7286454476304617E-2</v>
      </c>
      <c r="K322" s="8">
        <f t="shared" si="19"/>
        <v>4.2504897756427518E-2</v>
      </c>
    </row>
    <row r="323" spans="1:11" x14ac:dyDescent="0.25">
      <c r="A323" t="str">
        <f t="shared" ref="A323:A386" si="20">+MONTH(B323)&amp;YEAR(B323)</f>
        <v>42018</v>
      </c>
      <c r="B323" s="1">
        <v>43209</v>
      </c>
      <c r="C323" t="s">
        <v>217</v>
      </c>
      <c r="D323">
        <v>28158.75</v>
      </c>
      <c r="E323">
        <v>28290.7</v>
      </c>
      <c r="F323">
        <v>28036.5</v>
      </c>
      <c r="G323">
        <v>28173.200000000001</v>
      </c>
      <c r="H323">
        <v>0</v>
      </c>
      <c r="I323" s="8">
        <f t="shared" si="17"/>
        <v>5.5805702639661892E-3</v>
      </c>
      <c r="J323" s="8">
        <f t="shared" si="18"/>
        <v>5.5650565718019717E-3</v>
      </c>
      <c r="K323" s="8">
        <f t="shared" si="19"/>
        <v>4.1725288641973002E-2</v>
      </c>
    </row>
    <row r="324" spans="1:11" x14ac:dyDescent="0.25">
      <c r="A324" t="str">
        <f t="shared" si="20"/>
        <v>42018</v>
      </c>
      <c r="B324" s="1">
        <v>43210</v>
      </c>
      <c r="C324" t="s">
        <v>218</v>
      </c>
      <c r="D324">
        <v>28055.1</v>
      </c>
      <c r="E324">
        <v>28246.95</v>
      </c>
      <c r="F324">
        <v>27926.799999999999</v>
      </c>
      <c r="G324">
        <v>28110.95</v>
      </c>
      <c r="H324">
        <v>0</v>
      </c>
      <c r="I324" s="8">
        <f t="shared" ref="I324:I387" si="21">+G324/G323-1</f>
        <v>-2.2095466613660797E-3</v>
      </c>
      <c r="J324" s="8">
        <f t="shared" ref="J324:J387" si="22">+LN(1+I324)</f>
        <v>-2.2119913112996952E-3</v>
      </c>
      <c r="K324" s="8">
        <f t="shared" si="19"/>
        <v>2.7903473216358998E-2</v>
      </c>
    </row>
    <row r="325" spans="1:11" x14ac:dyDescent="0.25">
      <c r="A325" t="str">
        <f t="shared" si="20"/>
        <v>42018</v>
      </c>
      <c r="B325" s="1">
        <v>43213</v>
      </c>
      <c r="C325" t="s">
        <v>219</v>
      </c>
      <c r="D325">
        <v>28136.6</v>
      </c>
      <c r="E325">
        <v>28180.65</v>
      </c>
      <c r="F325">
        <v>28003.9</v>
      </c>
      <c r="G325">
        <v>28022.05</v>
      </c>
      <c r="H325">
        <v>0</v>
      </c>
      <c r="I325" s="8">
        <f t="shared" si="21"/>
        <v>-3.1624687177060906E-3</v>
      </c>
      <c r="J325" s="8">
        <f t="shared" si="22"/>
        <v>-3.1674798898070245E-3</v>
      </c>
      <c r="K325" s="8">
        <f t="shared" si="19"/>
        <v>1.8350407564750704E-2</v>
      </c>
    </row>
    <row r="326" spans="1:11" x14ac:dyDescent="0.25">
      <c r="A326" t="str">
        <f t="shared" si="20"/>
        <v>42018</v>
      </c>
      <c r="B326" s="1">
        <v>43214</v>
      </c>
      <c r="C326" t="s">
        <v>220</v>
      </c>
      <c r="D326">
        <v>28130</v>
      </c>
      <c r="E326">
        <v>28282.3</v>
      </c>
      <c r="F326">
        <v>28009.75</v>
      </c>
      <c r="G326">
        <v>28078.7</v>
      </c>
      <c r="H326">
        <v>0</v>
      </c>
      <c r="I326" s="8">
        <f t="shared" si="21"/>
        <v>2.0216222581859178E-3</v>
      </c>
      <c r="J326" s="8">
        <f t="shared" si="22"/>
        <v>2.0195815298335732E-3</v>
      </c>
      <c r="K326" s="8">
        <f t="shared" si="19"/>
        <v>1.7058615787233666E-2</v>
      </c>
    </row>
    <row r="327" spans="1:11" x14ac:dyDescent="0.25">
      <c r="A327" t="str">
        <f t="shared" si="20"/>
        <v>42018</v>
      </c>
      <c r="B327" s="1">
        <v>43215</v>
      </c>
      <c r="C327" t="s">
        <v>221</v>
      </c>
      <c r="D327">
        <v>28070.75</v>
      </c>
      <c r="E327">
        <v>28138.25</v>
      </c>
      <c r="F327">
        <v>27873.75</v>
      </c>
      <c r="G327">
        <v>28013.1</v>
      </c>
      <c r="H327">
        <v>0</v>
      </c>
      <c r="I327" s="8">
        <f t="shared" si="21"/>
        <v>-2.3362904977795029E-3</v>
      </c>
      <c r="J327" s="8">
        <f t="shared" si="22"/>
        <v>-2.3390238825750226E-3</v>
      </c>
      <c r="K327" s="8">
        <f t="shared" si="19"/>
        <v>9.0647282472635649E-3</v>
      </c>
    </row>
    <row r="328" spans="1:11" x14ac:dyDescent="0.25">
      <c r="A328" t="str">
        <f t="shared" si="20"/>
        <v>42018</v>
      </c>
      <c r="B328" s="1">
        <v>43216</v>
      </c>
      <c r="C328" t="s">
        <v>222</v>
      </c>
      <c r="D328">
        <v>28102.65</v>
      </c>
      <c r="E328">
        <v>28399.45</v>
      </c>
      <c r="F328">
        <v>28010</v>
      </c>
      <c r="G328">
        <v>28342.35</v>
      </c>
      <c r="H328">
        <v>0</v>
      </c>
      <c r="I328" s="8">
        <f t="shared" si="21"/>
        <v>1.1753429645415814E-2</v>
      </c>
      <c r="J328" s="8">
        <f t="shared" si="22"/>
        <v>1.1684894583181015E-2</v>
      </c>
      <c r="K328" s="8">
        <f t="shared" si="19"/>
        <v>1.6253690964733503E-2</v>
      </c>
    </row>
    <row r="329" spans="1:11" x14ac:dyDescent="0.25">
      <c r="A329" t="str">
        <f t="shared" si="20"/>
        <v>42018</v>
      </c>
      <c r="B329" s="1">
        <v>43217</v>
      </c>
      <c r="C329" t="s">
        <v>223</v>
      </c>
      <c r="D329">
        <v>28445.5</v>
      </c>
      <c r="E329">
        <v>28557.95</v>
      </c>
      <c r="F329">
        <v>28371.5</v>
      </c>
      <c r="G329">
        <v>28433.5</v>
      </c>
      <c r="H329">
        <v>0</v>
      </c>
      <c r="I329" s="8">
        <f t="shared" si="21"/>
        <v>3.2160353675683151E-3</v>
      </c>
      <c r="J329" s="8">
        <f t="shared" si="22"/>
        <v>3.2108749868434341E-3</v>
      </c>
      <c r="K329" s="8">
        <f t="shared" si="19"/>
        <v>2.5869067162159753E-2</v>
      </c>
    </row>
    <row r="330" spans="1:11" x14ac:dyDescent="0.25">
      <c r="A330" t="str">
        <f t="shared" si="20"/>
        <v>42018</v>
      </c>
      <c r="B330" s="1">
        <v>43220</v>
      </c>
      <c r="C330" t="s">
        <v>224</v>
      </c>
      <c r="D330">
        <v>28483.15</v>
      </c>
      <c r="E330">
        <v>28832</v>
      </c>
      <c r="F330">
        <v>28479.55</v>
      </c>
      <c r="G330">
        <v>28772.75</v>
      </c>
      <c r="H330">
        <v>0</v>
      </c>
      <c r="I330" s="8">
        <f t="shared" si="21"/>
        <v>1.1931348585295432E-2</v>
      </c>
      <c r="J330" s="8">
        <f t="shared" si="22"/>
        <v>1.1860731197906741E-2</v>
      </c>
      <c r="K330" s="8">
        <f t="shared" si="19"/>
        <v>4.4104385944221836E-2</v>
      </c>
    </row>
    <row r="331" spans="1:11" x14ac:dyDescent="0.25">
      <c r="A331" t="str">
        <f t="shared" si="20"/>
        <v>52018</v>
      </c>
      <c r="B331" s="1">
        <v>43222</v>
      </c>
      <c r="C331" s="10">
        <v>43136.645833333336</v>
      </c>
      <c r="D331">
        <v>28870.7</v>
      </c>
      <c r="E331">
        <v>29133.8</v>
      </c>
      <c r="F331">
        <v>28697.7</v>
      </c>
      <c r="G331">
        <v>28818.2</v>
      </c>
      <c r="H331">
        <v>0</v>
      </c>
      <c r="I331" s="8">
        <f t="shared" si="21"/>
        <v>1.5796196053556866E-3</v>
      </c>
      <c r="J331" s="8">
        <f t="shared" si="22"/>
        <v>1.5783733185736136E-3</v>
      </c>
      <c r="K331" s="8">
        <f t="shared" si="19"/>
        <v>4.7473657045445483E-2</v>
      </c>
    </row>
    <row r="332" spans="1:11" x14ac:dyDescent="0.25">
      <c r="A332" t="str">
        <f t="shared" si="20"/>
        <v>52018</v>
      </c>
      <c r="B332" s="1">
        <v>43223</v>
      </c>
      <c r="C332" s="10">
        <v>43164.645833333336</v>
      </c>
      <c r="D332">
        <v>28797.15</v>
      </c>
      <c r="E332">
        <v>28865.9</v>
      </c>
      <c r="F332">
        <v>28392.6</v>
      </c>
      <c r="G332">
        <v>28486.3</v>
      </c>
      <c r="H332">
        <v>0</v>
      </c>
      <c r="I332" s="8">
        <f t="shared" si="21"/>
        <v>-1.1517027434052141E-2</v>
      </c>
      <c r="J332" s="8">
        <f t="shared" si="22"/>
        <v>-1.1583862047446323E-2</v>
      </c>
      <c r="K332" s="8">
        <f t="shared" si="19"/>
        <v>5.0097134620843198E-2</v>
      </c>
    </row>
    <row r="333" spans="1:11" x14ac:dyDescent="0.25">
      <c r="A333" t="str">
        <f t="shared" si="20"/>
        <v>52018</v>
      </c>
      <c r="B333" s="1">
        <v>43224</v>
      </c>
      <c r="C333" s="10">
        <v>43195.645833333336</v>
      </c>
      <c r="D333">
        <v>28615.5</v>
      </c>
      <c r="E333">
        <v>28657.1</v>
      </c>
      <c r="F333">
        <v>28104.85</v>
      </c>
      <c r="G333">
        <v>28177.95</v>
      </c>
      <c r="H333">
        <v>0</v>
      </c>
      <c r="I333" s="8">
        <f t="shared" si="21"/>
        <v>-1.0824501602524683E-2</v>
      </c>
      <c r="J333" s="8">
        <f t="shared" si="22"/>
        <v>-1.0883512750536168E-2</v>
      </c>
      <c r="K333" s="8">
        <f t="shared" si="19"/>
        <v>3.0200826999221331E-2</v>
      </c>
    </row>
    <row r="334" spans="1:11" x14ac:dyDescent="0.25">
      <c r="A334" t="str">
        <f t="shared" si="20"/>
        <v>52018</v>
      </c>
      <c r="B334" s="1">
        <v>43227</v>
      </c>
      <c r="C334" s="10">
        <v>43286.645833333336</v>
      </c>
      <c r="D334">
        <v>28286.35</v>
      </c>
      <c r="E334">
        <v>28635.25</v>
      </c>
      <c r="F334">
        <v>28195</v>
      </c>
      <c r="G334">
        <v>28586.5</v>
      </c>
      <c r="H334">
        <v>0</v>
      </c>
      <c r="I334" s="8">
        <f t="shared" si="21"/>
        <v>1.4498925578333433E-2</v>
      </c>
      <c r="J334" s="8">
        <f t="shared" si="22"/>
        <v>1.4394821217950706E-2</v>
      </c>
      <c r="K334" s="8">
        <f t="shared" si="19"/>
        <v>5.174373898550777E-2</v>
      </c>
    </row>
    <row r="335" spans="1:11" x14ac:dyDescent="0.25">
      <c r="A335" t="str">
        <f t="shared" si="20"/>
        <v>52018</v>
      </c>
      <c r="B335" s="1">
        <v>43228</v>
      </c>
      <c r="C335" s="10">
        <v>43317.645833333336</v>
      </c>
      <c r="D335">
        <v>28642.400000000001</v>
      </c>
      <c r="E335">
        <v>28692.9</v>
      </c>
      <c r="F335">
        <v>28523.200000000001</v>
      </c>
      <c r="G335">
        <v>28555.15</v>
      </c>
      <c r="H335">
        <v>0</v>
      </c>
      <c r="I335" s="8">
        <f t="shared" si="21"/>
        <v>-1.0966715057806331E-3</v>
      </c>
      <c r="J335" s="8">
        <f t="shared" si="22"/>
        <v>-1.0972732899897242E-3</v>
      </c>
      <c r="K335" s="8">
        <f t="shared" si="19"/>
        <v>5.014213896152131E-2</v>
      </c>
    </row>
    <row r="336" spans="1:11" x14ac:dyDescent="0.25">
      <c r="A336" t="str">
        <f t="shared" si="20"/>
        <v>52018</v>
      </c>
      <c r="B336" s="1">
        <v>43229</v>
      </c>
      <c r="C336" s="10">
        <v>43348.645833333336</v>
      </c>
      <c r="D336">
        <v>28481.5</v>
      </c>
      <c r="E336">
        <v>28593.55</v>
      </c>
      <c r="F336">
        <v>28399.05</v>
      </c>
      <c r="G336">
        <v>28435.9</v>
      </c>
      <c r="H336">
        <v>0</v>
      </c>
      <c r="I336" s="8">
        <f t="shared" si="21"/>
        <v>-4.176129349697022E-3</v>
      </c>
      <c r="J336" s="8">
        <f t="shared" si="22"/>
        <v>-4.1848737314739278E-3</v>
      </c>
      <c r="K336" s="8">
        <f t="shared" si="19"/>
        <v>6.6109040738435709E-2</v>
      </c>
    </row>
    <row r="337" spans="1:11" x14ac:dyDescent="0.25">
      <c r="A337" t="str">
        <f t="shared" si="20"/>
        <v>52018</v>
      </c>
      <c r="B337" s="1">
        <v>43230</v>
      </c>
      <c r="C337" s="10">
        <v>43378.645833333336</v>
      </c>
      <c r="D337">
        <v>28460.75</v>
      </c>
      <c r="E337">
        <v>28580.75</v>
      </c>
      <c r="F337">
        <v>28135.3</v>
      </c>
      <c r="G337">
        <v>28231.35</v>
      </c>
      <c r="H337">
        <v>0</v>
      </c>
      <c r="I337" s="8">
        <f t="shared" si="21"/>
        <v>-7.1933717589386381E-3</v>
      </c>
      <c r="J337" s="8">
        <f t="shared" si="22"/>
        <v>-7.2193688035291203E-3</v>
      </c>
      <c r="K337" s="8">
        <f t="shared" si="19"/>
        <v>5.6026977337465533E-2</v>
      </c>
    </row>
    <row r="338" spans="1:11" x14ac:dyDescent="0.25">
      <c r="A338" t="str">
        <f t="shared" si="20"/>
        <v>52018</v>
      </c>
      <c r="B338" s="1">
        <v>43231</v>
      </c>
      <c r="C338" s="10">
        <v>43409.645833333336</v>
      </c>
      <c r="D338">
        <v>28342.15</v>
      </c>
      <c r="E338">
        <v>28496.75</v>
      </c>
      <c r="F338">
        <v>28213.5</v>
      </c>
      <c r="G338">
        <v>28476</v>
      </c>
      <c r="H338">
        <v>0</v>
      </c>
      <c r="I338" s="8">
        <f t="shared" si="21"/>
        <v>8.6658980176292921E-3</v>
      </c>
      <c r="J338" s="8">
        <f t="shared" si="22"/>
        <v>8.6285646531137246E-3</v>
      </c>
      <c r="K338" s="8">
        <f t="shared" si="19"/>
        <v>6.3068847856764254E-2</v>
      </c>
    </row>
    <row r="339" spans="1:11" x14ac:dyDescent="0.25">
      <c r="A339" t="str">
        <f t="shared" si="20"/>
        <v>52018</v>
      </c>
      <c r="B339" s="1">
        <v>43234</v>
      </c>
      <c r="C339" t="s">
        <v>225</v>
      </c>
      <c r="D339">
        <v>28519.9</v>
      </c>
      <c r="E339">
        <v>28620.400000000001</v>
      </c>
      <c r="F339">
        <v>28338.7</v>
      </c>
      <c r="G339">
        <v>28437.1</v>
      </c>
      <c r="H339">
        <v>0</v>
      </c>
      <c r="I339" s="8">
        <f t="shared" si="21"/>
        <v>-1.366062649248545E-3</v>
      </c>
      <c r="J339" s="8">
        <f t="shared" si="22"/>
        <v>-1.3669965634498127E-3</v>
      </c>
      <c r="K339" s="8">
        <f t="shared" si="19"/>
        <v>6.6485900623680427E-2</v>
      </c>
    </row>
    <row r="340" spans="1:11" x14ac:dyDescent="0.25">
      <c r="A340" t="str">
        <f t="shared" si="20"/>
        <v>52018</v>
      </c>
      <c r="B340" s="1">
        <v>43235</v>
      </c>
      <c r="C340" t="s">
        <v>226</v>
      </c>
      <c r="D340">
        <v>28546.3</v>
      </c>
      <c r="E340">
        <v>28669.1</v>
      </c>
      <c r="F340">
        <v>28292.25</v>
      </c>
      <c r="G340">
        <v>28352.65</v>
      </c>
      <c r="H340">
        <v>0</v>
      </c>
      <c r="I340" s="8">
        <f t="shared" si="21"/>
        <v>-2.9697121014448102E-3</v>
      </c>
      <c r="J340" s="8">
        <f t="shared" si="22"/>
        <v>-2.9741304460701042E-3</v>
      </c>
      <c r="K340" s="8">
        <f t="shared" si="19"/>
        <v>5.8637826616185329E-2</v>
      </c>
    </row>
    <row r="341" spans="1:11" x14ac:dyDescent="0.25">
      <c r="A341" t="str">
        <f t="shared" si="20"/>
        <v>52018</v>
      </c>
      <c r="B341" s="1">
        <v>43236</v>
      </c>
      <c r="C341" t="s">
        <v>227</v>
      </c>
      <c r="D341">
        <v>28219.599999999999</v>
      </c>
      <c r="E341">
        <v>28987.5</v>
      </c>
      <c r="F341">
        <v>28200.65</v>
      </c>
      <c r="G341">
        <v>28866</v>
      </c>
      <c r="H341">
        <v>0</v>
      </c>
      <c r="I341" s="8">
        <f t="shared" si="21"/>
        <v>1.8105891336435809E-2</v>
      </c>
      <c r="J341" s="8">
        <f t="shared" si="22"/>
        <v>1.7943931713264711E-2</v>
      </c>
      <c r="K341" s="8">
        <f t="shared" si="19"/>
        <v>8.3351160250852985E-2</v>
      </c>
    </row>
    <row r="342" spans="1:11" x14ac:dyDescent="0.25">
      <c r="A342" t="str">
        <f t="shared" si="20"/>
        <v>52018</v>
      </c>
      <c r="B342" s="1">
        <v>43237</v>
      </c>
      <c r="C342" t="s">
        <v>228</v>
      </c>
      <c r="D342">
        <v>29002.25</v>
      </c>
      <c r="E342">
        <v>29037.1</v>
      </c>
      <c r="F342">
        <v>28441.599999999999</v>
      </c>
      <c r="G342">
        <v>28496</v>
      </c>
      <c r="H342">
        <v>0</v>
      </c>
      <c r="I342" s="8">
        <f t="shared" si="21"/>
        <v>-1.2817847987251385E-2</v>
      </c>
      <c r="J342" s="8">
        <f t="shared" si="22"/>
        <v>-1.2900705398065763E-2</v>
      </c>
      <c r="K342" s="8">
        <f t="shared" si="19"/>
        <v>6.5928516655133107E-2</v>
      </c>
    </row>
    <row r="343" spans="1:11" x14ac:dyDescent="0.25">
      <c r="A343" t="str">
        <f t="shared" si="20"/>
        <v>52018</v>
      </c>
      <c r="B343" s="1">
        <v>43238</v>
      </c>
      <c r="C343" t="s">
        <v>229</v>
      </c>
      <c r="D343">
        <v>28469</v>
      </c>
      <c r="E343">
        <v>28985.599999999999</v>
      </c>
      <c r="F343">
        <v>28320.35</v>
      </c>
      <c r="G343">
        <v>28852.7</v>
      </c>
      <c r="H343">
        <v>0</v>
      </c>
      <c r="I343" s="8">
        <f t="shared" si="21"/>
        <v>1.2517546322290851E-2</v>
      </c>
      <c r="J343" s="8">
        <f t="shared" si="22"/>
        <v>1.2439849549427621E-2</v>
      </c>
      <c r="K343" s="8">
        <f t="shared" si="19"/>
        <v>8.4726710164460872E-2</v>
      </c>
    </row>
    <row r="344" spans="1:11" x14ac:dyDescent="0.25">
      <c r="A344" t="str">
        <f t="shared" si="20"/>
        <v>52018</v>
      </c>
      <c r="B344" s="1">
        <v>43241</v>
      </c>
      <c r="C344" t="s">
        <v>230</v>
      </c>
      <c r="D344">
        <v>28911.599999999999</v>
      </c>
      <c r="E344">
        <v>28961.599999999999</v>
      </c>
      <c r="F344">
        <v>28602.25</v>
      </c>
      <c r="G344">
        <v>28673.7</v>
      </c>
      <c r="H344">
        <v>0</v>
      </c>
      <c r="I344" s="8">
        <f t="shared" si="21"/>
        <v>-6.2039254558499124E-3</v>
      </c>
      <c r="J344" s="8">
        <f t="shared" si="22"/>
        <v>-6.2232497672299924E-3</v>
      </c>
      <c r="K344" s="8">
        <f t="shared" si="19"/>
        <v>8.5656193916263446E-2</v>
      </c>
    </row>
    <row r="345" spans="1:11" x14ac:dyDescent="0.25">
      <c r="A345" t="str">
        <f t="shared" si="20"/>
        <v>52018</v>
      </c>
      <c r="B345" s="1">
        <v>43242</v>
      </c>
      <c r="C345" t="s">
        <v>231</v>
      </c>
      <c r="D345">
        <v>28623</v>
      </c>
      <c r="E345">
        <v>28757.9</v>
      </c>
      <c r="F345">
        <v>28528.2</v>
      </c>
      <c r="G345">
        <v>28593.35</v>
      </c>
      <c r="H345">
        <v>0</v>
      </c>
      <c r="I345" s="8">
        <f t="shared" si="21"/>
        <v>-2.8022194554592206E-3</v>
      </c>
      <c r="J345" s="8">
        <f t="shared" si="22"/>
        <v>-2.8061530225949758E-3</v>
      </c>
      <c r="K345" s="8">
        <f t="shared" si="19"/>
        <v>8.4873123795358829E-2</v>
      </c>
    </row>
    <row r="346" spans="1:11" x14ac:dyDescent="0.25">
      <c r="A346" t="str">
        <f t="shared" si="20"/>
        <v>52018</v>
      </c>
      <c r="B346" s="1">
        <v>43243</v>
      </c>
      <c r="C346" t="s">
        <v>232</v>
      </c>
      <c r="D346">
        <v>28589.15</v>
      </c>
      <c r="E346">
        <v>28669.3</v>
      </c>
      <c r="F346">
        <v>28381.200000000001</v>
      </c>
      <c r="G346">
        <v>28415.4</v>
      </c>
      <c r="H346">
        <v>0</v>
      </c>
      <c r="I346" s="8">
        <f t="shared" si="21"/>
        <v>-6.2234750387764048E-3</v>
      </c>
      <c r="J346" s="8">
        <f t="shared" si="22"/>
        <v>-6.2429215849356583E-3</v>
      </c>
      <c r="K346" s="8">
        <f t="shared" si="19"/>
        <v>6.9373776908023599E-2</v>
      </c>
    </row>
    <row r="347" spans="1:11" x14ac:dyDescent="0.25">
      <c r="A347" t="str">
        <f t="shared" si="20"/>
        <v>52018</v>
      </c>
      <c r="B347" s="1">
        <v>43244</v>
      </c>
      <c r="C347" t="s">
        <v>233</v>
      </c>
      <c r="D347">
        <v>28486.6</v>
      </c>
      <c r="E347">
        <v>28628.15</v>
      </c>
      <c r="F347">
        <v>28327.45</v>
      </c>
      <c r="G347">
        <v>28500.25</v>
      </c>
      <c r="H347">
        <v>0</v>
      </c>
      <c r="I347" s="8">
        <f t="shared" si="21"/>
        <v>2.9860568564932244E-3</v>
      </c>
      <c r="J347" s="8">
        <f t="shared" si="22"/>
        <v>2.9816074439833694E-3</v>
      </c>
      <c r="K347" s="8">
        <f t="shared" si="19"/>
        <v>7.7076424515555964E-2</v>
      </c>
    </row>
    <row r="348" spans="1:11" x14ac:dyDescent="0.25">
      <c r="A348" t="str">
        <f t="shared" si="20"/>
        <v>52018</v>
      </c>
      <c r="B348" s="1">
        <v>43245</v>
      </c>
      <c r="C348" t="s">
        <v>234</v>
      </c>
      <c r="D348">
        <v>28453.35</v>
      </c>
      <c r="E348">
        <v>28728.05</v>
      </c>
      <c r="F348">
        <v>28303.1</v>
      </c>
      <c r="G348">
        <v>28595.8</v>
      </c>
      <c r="H348">
        <v>0</v>
      </c>
      <c r="I348" s="8">
        <f t="shared" si="21"/>
        <v>3.3526021701564268E-3</v>
      </c>
      <c r="J348" s="8">
        <f t="shared" si="22"/>
        <v>3.3469947290183737E-3</v>
      </c>
      <c r="K348" s="8">
        <f t="shared" si="19"/>
        <v>7.2212494235073921E-2</v>
      </c>
    </row>
    <row r="349" spans="1:11" x14ac:dyDescent="0.25">
      <c r="A349" t="str">
        <f t="shared" si="20"/>
        <v>52018</v>
      </c>
      <c r="B349" s="1">
        <v>43248</v>
      </c>
      <c r="C349" t="s">
        <v>235</v>
      </c>
      <c r="D349">
        <v>28746.6</v>
      </c>
      <c r="E349">
        <v>28889.25</v>
      </c>
      <c r="F349">
        <v>28640.400000000001</v>
      </c>
      <c r="G349">
        <v>28791.85</v>
      </c>
      <c r="H349">
        <v>0</v>
      </c>
      <c r="I349" s="8">
        <f t="shared" si="21"/>
        <v>6.8559019156659851E-3</v>
      </c>
      <c r="J349" s="8">
        <f t="shared" si="22"/>
        <v>6.8325070876894866E-3</v>
      </c>
      <c r="K349" s="8">
        <f t="shared" si="19"/>
        <v>8.053786987467082E-2</v>
      </c>
    </row>
    <row r="350" spans="1:11" x14ac:dyDescent="0.25">
      <c r="A350" t="str">
        <f t="shared" si="20"/>
        <v>52018</v>
      </c>
      <c r="B350" s="1">
        <v>43249</v>
      </c>
      <c r="C350" t="s">
        <v>236</v>
      </c>
      <c r="D350">
        <v>28726.55</v>
      </c>
      <c r="E350">
        <v>28952.55</v>
      </c>
      <c r="F350">
        <v>28621.7</v>
      </c>
      <c r="G350">
        <v>28706.1</v>
      </c>
      <c r="H350">
        <v>0</v>
      </c>
      <c r="I350" s="8">
        <f t="shared" si="21"/>
        <v>-2.9782733655531191E-3</v>
      </c>
      <c r="J350" s="8">
        <f t="shared" si="22"/>
        <v>-2.9827172472628167E-3</v>
      </c>
      <c r="K350" s="8">
        <f t="shared" si="19"/>
        <v>7.4000493860417071E-2</v>
      </c>
    </row>
    <row r="351" spans="1:11" x14ac:dyDescent="0.25">
      <c r="A351" t="str">
        <f t="shared" si="20"/>
        <v>52018</v>
      </c>
      <c r="B351" s="1">
        <v>43250</v>
      </c>
      <c r="C351" t="s">
        <v>237</v>
      </c>
      <c r="D351">
        <v>28591.85</v>
      </c>
      <c r="E351">
        <v>28705.9</v>
      </c>
      <c r="F351">
        <v>28506</v>
      </c>
      <c r="G351">
        <v>28658.05</v>
      </c>
      <c r="H351">
        <v>0</v>
      </c>
      <c r="I351" s="8">
        <f t="shared" si="21"/>
        <v>-1.6738602596660934E-3</v>
      </c>
      <c r="J351" s="8">
        <f t="shared" si="22"/>
        <v>-1.6752627289941518E-3</v>
      </c>
      <c r="K351" s="8">
        <f t="shared" si="19"/>
        <v>8.0877056012552018E-2</v>
      </c>
    </row>
    <row r="352" spans="1:11" x14ac:dyDescent="0.25">
      <c r="A352" t="str">
        <f t="shared" si="20"/>
        <v>52018</v>
      </c>
      <c r="B352" s="1">
        <v>43251</v>
      </c>
      <c r="C352" t="s">
        <v>238</v>
      </c>
      <c r="D352">
        <v>28756.65</v>
      </c>
      <c r="E352">
        <v>28861.7</v>
      </c>
      <c r="F352">
        <v>28577.599999999999</v>
      </c>
      <c r="G352">
        <v>28814.3</v>
      </c>
      <c r="H352">
        <v>0</v>
      </c>
      <c r="I352" s="8">
        <f t="shared" si="21"/>
        <v>5.4522202313136425E-3</v>
      </c>
      <c r="J352" s="8">
        <f t="shared" si="22"/>
        <v>5.4374106841432145E-3</v>
      </c>
      <c r="K352" s="8">
        <f t="shared" si="19"/>
        <v>8.7646056314369947E-2</v>
      </c>
    </row>
    <row r="353" spans="1:11" x14ac:dyDescent="0.25">
      <c r="A353" t="str">
        <f t="shared" si="20"/>
        <v>62018</v>
      </c>
      <c r="B353" s="1">
        <v>43252</v>
      </c>
      <c r="C353" s="10">
        <v>43106.645833333336</v>
      </c>
      <c r="D353">
        <v>28839</v>
      </c>
      <c r="E353">
        <v>28907.4</v>
      </c>
      <c r="F353">
        <v>28579.65</v>
      </c>
      <c r="G353">
        <v>28611.4</v>
      </c>
      <c r="H353">
        <v>0</v>
      </c>
      <c r="I353" s="8">
        <f t="shared" si="21"/>
        <v>-7.0416425177775022E-3</v>
      </c>
      <c r="J353" s="8">
        <f t="shared" si="22"/>
        <v>-7.0665518865754267E-3</v>
      </c>
      <c r="K353" s="8">
        <f t="shared" si="19"/>
        <v>9.3509397185144172E-2</v>
      </c>
    </row>
    <row r="354" spans="1:11" x14ac:dyDescent="0.25">
      <c r="A354" t="str">
        <f t="shared" si="20"/>
        <v>62018</v>
      </c>
      <c r="B354" s="1">
        <v>43255</v>
      </c>
      <c r="C354" s="10">
        <v>43196.645833333336</v>
      </c>
      <c r="D354">
        <v>28669.95</v>
      </c>
      <c r="E354">
        <v>28678.05</v>
      </c>
      <c r="F354">
        <v>28325.7</v>
      </c>
      <c r="G354">
        <v>28394.799999999999</v>
      </c>
      <c r="H354">
        <v>0</v>
      </c>
      <c r="I354" s="8">
        <f t="shared" si="21"/>
        <v>-7.5704089978121392E-3</v>
      </c>
      <c r="J354" s="8">
        <f t="shared" si="22"/>
        <v>-7.599209992957396E-3</v>
      </c>
      <c r="K354" s="8">
        <f t="shared" si="19"/>
        <v>9.667153307224674E-2</v>
      </c>
    </row>
    <row r="355" spans="1:11" x14ac:dyDescent="0.25">
      <c r="A355" t="str">
        <f t="shared" si="20"/>
        <v>62018</v>
      </c>
      <c r="B355" s="1">
        <v>43256</v>
      </c>
      <c r="C355" s="10">
        <v>43226.645833333336</v>
      </c>
      <c r="D355">
        <v>28417.200000000001</v>
      </c>
      <c r="E355">
        <v>28482.85</v>
      </c>
      <c r="F355">
        <v>28287.35</v>
      </c>
      <c r="G355">
        <v>28346.45</v>
      </c>
      <c r="H355">
        <v>0</v>
      </c>
      <c r="I355" s="8">
        <f t="shared" si="21"/>
        <v>-1.702776564723063E-3</v>
      </c>
      <c r="J355" s="8">
        <f t="shared" si="22"/>
        <v>-1.7042279365463665E-3</v>
      </c>
      <c r="K355" s="8">
        <f t="shared" si="19"/>
        <v>8.7692000721381724E-2</v>
      </c>
    </row>
    <row r="356" spans="1:11" x14ac:dyDescent="0.25">
      <c r="A356" t="str">
        <f t="shared" si="20"/>
        <v>62018</v>
      </c>
      <c r="B356" s="1">
        <v>43257</v>
      </c>
      <c r="C356" s="10">
        <v>43257.645833333336</v>
      </c>
      <c r="D356">
        <v>28378.1</v>
      </c>
      <c r="E356">
        <v>28645.85</v>
      </c>
      <c r="F356">
        <v>28368.5</v>
      </c>
      <c r="G356">
        <v>28602</v>
      </c>
      <c r="H356">
        <v>0</v>
      </c>
      <c r="I356" s="8">
        <f t="shared" si="21"/>
        <v>9.0152382397090669E-3</v>
      </c>
      <c r="J356" s="8">
        <f t="shared" si="22"/>
        <v>8.9748435762725468E-3</v>
      </c>
      <c r="K356" s="8">
        <f t="shared" si="19"/>
        <v>0.1020606322149098</v>
      </c>
    </row>
    <row r="357" spans="1:11" x14ac:dyDescent="0.25">
      <c r="A357" t="str">
        <f t="shared" si="20"/>
        <v>62018</v>
      </c>
      <c r="B357" s="1">
        <v>43258</v>
      </c>
      <c r="C357" s="10">
        <v>43287.645833333336</v>
      </c>
      <c r="D357">
        <v>28659.85</v>
      </c>
      <c r="E357">
        <v>28897.8</v>
      </c>
      <c r="F357">
        <v>28657.05</v>
      </c>
      <c r="G357">
        <v>28864.2</v>
      </c>
      <c r="H357">
        <v>0</v>
      </c>
      <c r="I357" s="8">
        <f t="shared" si="21"/>
        <v>9.167191105517114E-3</v>
      </c>
      <c r="J357" s="8">
        <f t="shared" si="22"/>
        <v>9.1254274520270098E-3</v>
      </c>
      <c r="K357" s="8">
        <f t="shared" si="19"/>
        <v>0.10930609280151282</v>
      </c>
    </row>
    <row r="358" spans="1:11" x14ac:dyDescent="0.25">
      <c r="A358" t="str">
        <f t="shared" si="20"/>
        <v>62018</v>
      </c>
      <c r="B358" s="1">
        <v>43259</v>
      </c>
      <c r="C358" s="10">
        <v>43318.645833333336</v>
      </c>
      <c r="D358">
        <v>28843.05</v>
      </c>
      <c r="E358">
        <v>28866.45</v>
      </c>
      <c r="F358">
        <v>28619.55</v>
      </c>
      <c r="G358">
        <v>28713.5</v>
      </c>
      <c r="H358">
        <v>0</v>
      </c>
      <c r="I358" s="8">
        <f t="shared" si="21"/>
        <v>-5.2210004088109052E-3</v>
      </c>
      <c r="J358" s="8">
        <f t="shared" si="22"/>
        <v>-5.2346774574665109E-3</v>
      </c>
      <c r="K358" s="8">
        <f t="shared" si="19"/>
        <v>7.5291165786615766E-2</v>
      </c>
    </row>
    <row r="359" spans="1:11" x14ac:dyDescent="0.25">
      <c r="A359" t="str">
        <f t="shared" si="20"/>
        <v>62018</v>
      </c>
      <c r="B359" s="1">
        <v>43262</v>
      </c>
      <c r="C359" s="10">
        <v>43410.645833333336</v>
      </c>
      <c r="D359">
        <v>28779.3</v>
      </c>
      <c r="E359">
        <v>29007.05</v>
      </c>
      <c r="F359">
        <v>28722.2</v>
      </c>
      <c r="G359">
        <v>28806.3</v>
      </c>
      <c r="H359">
        <v>0</v>
      </c>
      <c r="I359" s="8">
        <f t="shared" si="21"/>
        <v>3.2319292318943038E-3</v>
      </c>
      <c r="J359" s="8">
        <f t="shared" si="22"/>
        <v>3.2267177743034062E-3</v>
      </c>
      <c r="K359" s="8">
        <f t="shared" si="19"/>
        <v>8.1122770671951061E-2</v>
      </c>
    </row>
    <row r="360" spans="1:11" x14ac:dyDescent="0.25">
      <c r="A360" t="str">
        <f t="shared" si="20"/>
        <v>62018</v>
      </c>
      <c r="B360" s="1">
        <v>43263</v>
      </c>
      <c r="C360" s="10">
        <v>43440.645833333336</v>
      </c>
      <c r="D360">
        <v>28844.9</v>
      </c>
      <c r="E360">
        <v>29122.65</v>
      </c>
      <c r="F360">
        <v>28794.65</v>
      </c>
      <c r="G360">
        <v>29060.65</v>
      </c>
      <c r="H360">
        <v>0</v>
      </c>
      <c r="I360" s="8">
        <f t="shared" si="21"/>
        <v>8.8296657328432726E-3</v>
      </c>
      <c r="J360" s="8">
        <f t="shared" si="22"/>
        <v>8.7909121878654121E-3</v>
      </c>
      <c r="K360" s="8">
        <f t="shared" si="19"/>
        <v>9.5299476295739316E-2</v>
      </c>
    </row>
    <row r="361" spans="1:11" x14ac:dyDescent="0.25">
      <c r="A361" t="str">
        <f t="shared" si="20"/>
        <v>62018</v>
      </c>
      <c r="B361" s="1">
        <v>43264</v>
      </c>
      <c r="C361" t="s">
        <v>239</v>
      </c>
      <c r="D361">
        <v>29151.7</v>
      </c>
      <c r="E361">
        <v>29161.05</v>
      </c>
      <c r="F361">
        <v>28874.55</v>
      </c>
      <c r="G361">
        <v>28915.65</v>
      </c>
      <c r="H361">
        <v>0</v>
      </c>
      <c r="I361" s="8">
        <f t="shared" si="21"/>
        <v>-4.9895649271437525E-3</v>
      </c>
      <c r="J361" s="8">
        <f t="shared" si="22"/>
        <v>-5.0020543681295456E-3</v>
      </c>
      <c r="K361" s="8">
        <f t="shared" si="19"/>
        <v>9.6066152918923731E-2</v>
      </c>
    </row>
    <row r="362" spans="1:11" x14ac:dyDescent="0.25">
      <c r="A362" t="str">
        <f t="shared" si="20"/>
        <v>62018</v>
      </c>
      <c r="B362" s="1">
        <v>43265</v>
      </c>
      <c r="C362" t="s">
        <v>240</v>
      </c>
      <c r="D362">
        <v>28863.5</v>
      </c>
      <c r="E362">
        <v>29016.1</v>
      </c>
      <c r="F362">
        <v>28773.5</v>
      </c>
      <c r="G362">
        <v>28885.05</v>
      </c>
      <c r="H362">
        <v>0</v>
      </c>
      <c r="I362" s="8">
        <f t="shared" si="21"/>
        <v>-1.0582504629846889E-3</v>
      </c>
      <c r="J362" s="8">
        <f t="shared" si="22"/>
        <v>-1.0588108053624953E-3</v>
      </c>
      <c r="K362" s="8">
        <f t="shared" si="19"/>
        <v>0.10873958579234344</v>
      </c>
    </row>
    <row r="363" spans="1:11" x14ac:dyDescent="0.25">
      <c r="A363" t="str">
        <f t="shared" si="20"/>
        <v>62018</v>
      </c>
      <c r="B363" s="1">
        <v>43266</v>
      </c>
      <c r="C363" t="s">
        <v>241</v>
      </c>
      <c r="D363">
        <v>28842.65</v>
      </c>
      <c r="E363">
        <v>28891.55</v>
      </c>
      <c r="F363">
        <v>28618.9</v>
      </c>
      <c r="G363">
        <v>28774.55</v>
      </c>
      <c r="H363">
        <v>0</v>
      </c>
      <c r="I363" s="8">
        <f t="shared" si="21"/>
        <v>-3.8255083512058752E-3</v>
      </c>
      <c r="J363" s="8">
        <f t="shared" si="22"/>
        <v>-3.8328443234704438E-3</v>
      </c>
      <c r="K363" s="8">
        <f t="shared" si="19"/>
        <v>0.10945295691669421</v>
      </c>
    </row>
    <row r="364" spans="1:11" x14ac:dyDescent="0.25">
      <c r="A364" t="str">
        <f t="shared" si="20"/>
        <v>62018</v>
      </c>
      <c r="B364" s="1">
        <v>43269</v>
      </c>
      <c r="C364" t="s">
        <v>242</v>
      </c>
      <c r="D364">
        <v>28807.45</v>
      </c>
      <c r="E364">
        <v>28904.799999999999</v>
      </c>
      <c r="F364">
        <v>28673.1</v>
      </c>
      <c r="G364">
        <v>28711.8</v>
      </c>
      <c r="H364">
        <v>0</v>
      </c>
      <c r="I364" s="8">
        <f t="shared" si="21"/>
        <v>-2.180746527747579E-3</v>
      </c>
      <c r="J364" s="8">
        <f t="shared" si="22"/>
        <v>-2.1831278180803474E-3</v>
      </c>
      <c r="K364" s="8">
        <f t="shared" si="19"/>
        <v>0.10243434188296718</v>
      </c>
    </row>
    <row r="365" spans="1:11" x14ac:dyDescent="0.25">
      <c r="A365" t="str">
        <f t="shared" si="20"/>
        <v>62018</v>
      </c>
      <c r="B365" s="1">
        <v>43270</v>
      </c>
      <c r="C365" t="s">
        <v>243</v>
      </c>
      <c r="D365">
        <v>28688.35</v>
      </c>
      <c r="E365">
        <v>28722.05</v>
      </c>
      <c r="F365">
        <v>28497.75</v>
      </c>
      <c r="G365">
        <v>28651.599999999999</v>
      </c>
      <c r="H365">
        <v>0</v>
      </c>
      <c r="I365" s="8">
        <f t="shared" si="21"/>
        <v>-2.0966989182148454E-3</v>
      </c>
      <c r="J365" s="8">
        <f t="shared" si="22"/>
        <v>-2.0989000686964126E-3</v>
      </c>
      <c r="K365" s="8">
        <f t="shared" si="19"/>
        <v>9.8056950139884247E-2</v>
      </c>
    </row>
    <row r="366" spans="1:11" x14ac:dyDescent="0.25">
      <c r="A366" t="str">
        <f t="shared" si="20"/>
        <v>62018</v>
      </c>
      <c r="B366" s="1">
        <v>43271</v>
      </c>
      <c r="C366" t="s">
        <v>244</v>
      </c>
      <c r="D366">
        <v>28684.2</v>
      </c>
      <c r="E366">
        <v>28721.95</v>
      </c>
      <c r="F366">
        <v>28456.35</v>
      </c>
      <c r="G366">
        <v>28519.599999999999</v>
      </c>
      <c r="H366">
        <v>0</v>
      </c>
      <c r="I366" s="8">
        <f t="shared" si="21"/>
        <v>-4.6070725544122837E-3</v>
      </c>
      <c r="J366" s="8">
        <f t="shared" si="22"/>
        <v>-4.6177178214349985E-3</v>
      </c>
      <c r="K366" s="8">
        <f t="shared" si="19"/>
        <v>9.5384686291944076E-2</v>
      </c>
    </row>
    <row r="367" spans="1:11" x14ac:dyDescent="0.25">
      <c r="A367" t="str">
        <f t="shared" si="20"/>
        <v>62018</v>
      </c>
      <c r="B367" s="1">
        <v>43272</v>
      </c>
      <c r="C367" t="s">
        <v>245</v>
      </c>
      <c r="D367">
        <v>28519.35</v>
      </c>
      <c r="E367">
        <v>28580.400000000001</v>
      </c>
      <c r="F367">
        <v>28298</v>
      </c>
      <c r="G367">
        <v>28330.5</v>
      </c>
      <c r="H367">
        <v>0</v>
      </c>
      <c r="I367" s="8">
        <f t="shared" si="21"/>
        <v>-6.630527777388151E-3</v>
      </c>
      <c r="J367" s="8">
        <f t="shared" si="22"/>
        <v>-6.6526073804252812E-3</v>
      </c>
      <c r="K367" s="8">
        <f t="shared" si="19"/>
        <v>9.3417419109573352E-2</v>
      </c>
    </row>
    <row r="368" spans="1:11" x14ac:dyDescent="0.25">
      <c r="A368" t="str">
        <f t="shared" si="20"/>
        <v>62018</v>
      </c>
      <c r="B368" s="1">
        <v>43273</v>
      </c>
      <c r="C368" t="s">
        <v>246</v>
      </c>
      <c r="D368">
        <v>28295.05</v>
      </c>
      <c r="E368">
        <v>28687.85</v>
      </c>
      <c r="F368">
        <v>28200.2</v>
      </c>
      <c r="G368">
        <v>28630.75</v>
      </c>
      <c r="H368">
        <v>0</v>
      </c>
      <c r="I368" s="8">
        <f t="shared" si="21"/>
        <v>1.059811863539295E-2</v>
      </c>
      <c r="J368" s="8">
        <f t="shared" si="22"/>
        <v>1.0542352242623206E-2</v>
      </c>
      <c r="K368" s="8">
        <f t="shared" si="19"/>
        <v>9.4073319716687198E-2</v>
      </c>
    </row>
    <row r="369" spans="1:11" x14ac:dyDescent="0.25">
      <c r="A369" t="str">
        <f t="shared" si="20"/>
        <v>62018</v>
      </c>
      <c r="B369" s="1">
        <v>43276</v>
      </c>
      <c r="C369" t="s">
        <v>247</v>
      </c>
      <c r="D369">
        <v>28670.2</v>
      </c>
      <c r="E369">
        <v>28680.05</v>
      </c>
      <c r="F369">
        <v>28429.5</v>
      </c>
      <c r="G369">
        <v>28495.65</v>
      </c>
      <c r="H369">
        <v>0</v>
      </c>
      <c r="I369" s="8">
        <f t="shared" si="21"/>
        <v>-4.7187027933253134E-3</v>
      </c>
      <c r="J369" s="8">
        <f t="shared" si="22"/>
        <v>-4.7298710182239303E-3</v>
      </c>
      <c r="K369" s="8">
        <f t="shared" si="19"/>
        <v>8.34786113387187E-2</v>
      </c>
    </row>
    <row r="370" spans="1:11" x14ac:dyDescent="0.25">
      <c r="A370" t="str">
        <f t="shared" si="20"/>
        <v>62018</v>
      </c>
      <c r="B370" s="1">
        <v>43277</v>
      </c>
      <c r="C370" t="s">
        <v>248</v>
      </c>
      <c r="D370">
        <v>28494.05</v>
      </c>
      <c r="E370">
        <v>28868.25</v>
      </c>
      <c r="F370">
        <v>28471.7</v>
      </c>
      <c r="G370">
        <v>28792.15</v>
      </c>
      <c r="H370">
        <v>0</v>
      </c>
      <c r="I370" s="8">
        <f t="shared" si="21"/>
        <v>1.0405096918301604E-2</v>
      </c>
      <c r="J370" s="8">
        <f t="shared" si="22"/>
        <v>1.03513364973807E-2</v>
      </c>
      <c r="K370" s="8">
        <f t="shared" si="19"/>
        <v>0.10199063052580826</v>
      </c>
    </row>
    <row r="371" spans="1:11" x14ac:dyDescent="0.25">
      <c r="A371" t="str">
        <f t="shared" si="20"/>
        <v>62018</v>
      </c>
      <c r="B371" s="1">
        <v>43278</v>
      </c>
      <c r="C371" t="s">
        <v>249</v>
      </c>
      <c r="D371">
        <v>28859.200000000001</v>
      </c>
      <c r="E371">
        <v>28874.1</v>
      </c>
      <c r="F371">
        <v>28556.3</v>
      </c>
      <c r="G371">
        <v>28625.15</v>
      </c>
      <c r="H371">
        <v>0</v>
      </c>
      <c r="I371" s="8">
        <f t="shared" si="21"/>
        <v>-5.8001920662402728E-3</v>
      </c>
      <c r="J371" s="8">
        <f t="shared" si="22"/>
        <v>-5.8170785083067516E-3</v>
      </c>
      <c r="K371" s="8">
        <f t="shared" si="19"/>
        <v>8.0135237883210086E-2</v>
      </c>
    </row>
    <row r="372" spans="1:11" x14ac:dyDescent="0.25">
      <c r="A372" t="str">
        <f t="shared" si="20"/>
        <v>62018</v>
      </c>
      <c r="B372" s="1">
        <v>43279</v>
      </c>
      <c r="C372" t="s">
        <v>250</v>
      </c>
      <c r="D372">
        <v>28590.9</v>
      </c>
      <c r="E372">
        <v>28676.95</v>
      </c>
      <c r="F372">
        <v>28318.2</v>
      </c>
      <c r="G372">
        <v>28411.85</v>
      </c>
      <c r="H372">
        <v>0</v>
      </c>
      <c r="I372" s="8">
        <f t="shared" si="21"/>
        <v>-7.4514893371738777E-3</v>
      </c>
      <c r="J372" s="8">
        <f t="shared" si="22"/>
        <v>-7.4793903731028635E-3</v>
      </c>
      <c r="K372" s="8">
        <f t="shared" si="19"/>
        <v>7.1884390403090581E-2</v>
      </c>
    </row>
    <row r="373" spans="1:11" x14ac:dyDescent="0.25">
      <c r="A373" t="str">
        <f t="shared" si="20"/>
        <v>62018</v>
      </c>
      <c r="B373" s="1">
        <v>43280</v>
      </c>
      <c r="C373" t="s">
        <v>251</v>
      </c>
      <c r="D373">
        <v>28517.45</v>
      </c>
      <c r="E373">
        <v>29016.9</v>
      </c>
      <c r="F373">
        <v>28473.599999999999</v>
      </c>
      <c r="G373">
        <v>28966</v>
      </c>
      <c r="H373">
        <v>0</v>
      </c>
      <c r="I373" s="8">
        <f t="shared" si="21"/>
        <v>1.9504185753479675E-2</v>
      </c>
      <c r="J373" s="8">
        <f t="shared" si="22"/>
        <v>1.9316416716420867E-2</v>
      </c>
      <c r="K373" s="8">
        <f t="shared" si="19"/>
        <v>9.520361614561379E-2</v>
      </c>
    </row>
    <row r="374" spans="1:11" x14ac:dyDescent="0.25">
      <c r="A374" t="str">
        <f t="shared" si="20"/>
        <v>72018</v>
      </c>
      <c r="B374" s="1">
        <v>43283</v>
      </c>
      <c r="C374" s="10">
        <v>43138.645833333336</v>
      </c>
      <c r="D374">
        <v>29025.3</v>
      </c>
      <c r="E374">
        <v>29029.7</v>
      </c>
      <c r="F374">
        <v>28601.200000000001</v>
      </c>
      <c r="G374">
        <v>28777.5</v>
      </c>
      <c r="H374">
        <v>0</v>
      </c>
      <c r="I374" s="8">
        <f t="shared" si="21"/>
        <v>-6.5076296347441609E-3</v>
      </c>
      <c r="J374" s="8">
        <f t="shared" si="22"/>
        <v>-6.5288965715844848E-3</v>
      </c>
      <c r="K374" s="8">
        <f t="shared" si="19"/>
        <v>7.8760479748992029E-2</v>
      </c>
    </row>
    <row r="375" spans="1:11" x14ac:dyDescent="0.25">
      <c r="A375" t="str">
        <f t="shared" si="20"/>
        <v>72018</v>
      </c>
      <c r="B375" s="1">
        <v>43284</v>
      </c>
      <c r="C375" s="10">
        <v>43166.645833333336</v>
      </c>
      <c r="D375">
        <v>28826.55</v>
      </c>
      <c r="E375">
        <v>29040.1</v>
      </c>
      <c r="F375">
        <v>28691.75</v>
      </c>
      <c r="G375">
        <v>28973.599999999999</v>
      </c>
      <c r="H375">
        <v>0</v>
      </c>
      <c r="I375" s="8">
        <f t="shared" si="21"/>
        <v>6.8143514898793001E-3</v>
      </c>
      <c r="J375" s="8">
        <f t="shared" si="22"/>
        <v>6.7912387363074159E-3</v>
      </c>
      <c r="K375" s="8">
        <f t="shared" si="19"/>
        <v>8.0866525652934396E-2</v>
      </c>
    </row>
    <row r="376" spans="1:11" x14ac:dyDescent="0.25">
      <c r="A376" t="str">
        <f t="shared" si="20"/>
        <v>72018</v>
      </c>
      <c r="B376" s="1">
        <v>43285</v>
      </c>
      <c r="C376" s="10">
        <v>43197.645833333336</v>
      </c>
      <c r="D376">
        <v>29014.3</v>
      </c>
      <c r="E376">
        <v>29138.1</v>
      </c>
      <c r="F376">
        <v>28822.05</v>
      </c>
      <c r="G376">
        <v>29108.15</v>
      </c>
      <c r="H376">
        <v>0</v>
      </c>
      <c r="I376" s="8">
        <f t="shared" si="21"/>
        <v>4.6438827070161004E-3</v>
      </c>
      <c r="J376" s="8">
        <f t="shared" si="22"/>
        <v>4.6331331506566133E-3</v>
      </c>
      <c r="K376" s="8">
        <f t="shared" si="19"/>
        <v>7.3796375199666642E-2</v>
      </c>
    </row>
    <row r="377" spans="1:11" x14ac:dyDescent="0.25">
      <c r="A377" t="str">
        <f t="shared" si="20"/>
        <v>72018</v>
      </c>
      <c r="B377" s="1">
        <v>43286</v>
      </c>
      <c r="C377" s="10">
        <v>43227.645833333336</v>
      </c>
      <c r="D377">
        <v>29146.400000000001</v>
      </c>
      <c r="E377">
        <v>29519.9</v>
      </c>
      <c r="F377">
        <v>29063.9</v>
      </c>
      <c r="G377">
        <v>29399.15</v>
      </c>
      <c r="H377">
        <v>0</v>
      </c>
      <c r="I377" s="8">
        <f t="shared" si="21"/>
        <v>9.9972000968799879E-3</v>
      </c>
      <c r="J377" s="8">
        <f t="shared" si="22"/>
        <v>9.9475586680186391E-3</v>
      </c>
      <c r="K377" s="8">
        <f t="shared" si="19"/>
        <v>8.4701394102964844E-2</v>
      </c>
    </row>
    <row r="378" spans="1:11" x14ac:dyDescent="0.25">
      <c r="A378" t="str">
        <f t="shared" si="20"/>
        <v>72018</v>
      </c>
      <c r="B378" s="1">
        <v>43287</v>
      </c>
      <c r="C378" s="10">
        <v>43258.645833333336</v>
      </c>
      <c r="D378">
        <v>29385.7</v>
      </c>
      <c r="E378">
        <v>29555.15</v>
      </c>
      <c r="F378">
        <v>29262.2</v>
      </c>
      <c r="G378">
        <v>29344.65</v>
      </c>
      <c r="H378">
        <v>0</v>
      </c>
      <c r="I378" s="8">
        <f t="shared" si="21"/>
        <v>-1.8537950927152158E-3</v>
      </c>
      <c r="J378" s="8">
        <f t="shared" si="22"/>
        <v>-1.8555154973520032E-3</v>
      </c>
      <c r="K378" s="8">
        <f t="shared" si="19"/>
        <v>8.0460172168751898E-2</v>
      </c>
    </row>
    <row r="379" spans="1:11" x14ac:dyDescent="0.25">
      <c r="A379" t="str">
        <f t="shared" si="20"/>
        <v>72018</v>
      </c>
      <c r="B379" s="1">
        <v>43290</v>
      </c>
      <c r="C379" s="10">
        <v>43350.645833333336</v>
      </c>
      <c r="D379">
        <v>29504.65</v>
      </c>
      <c r="E379">
        <v>29663.65</v>
      </c>
      <c r="F379">
        <v>29352.1</v>
      </c>
      <c r="G379">
        <v>29587.55</v>
      </c>
      <c r="H379">
        <v>0</v>
      </c>
      <c r="I379" s="8">
        <f t="shared" si="21"/>
        <v>8.2774884007816851E-3</v>
      </c>
      <c r="J379" s="8">
        <f t="shared" si="22"/>
        <v>8.2434178767942824E-3</v>
      </c>
      <c r="K379" s="8">
        <f t="shared" si="19"/>
        <v>9.4155453942003753E-2</v>
      </c>
    </row>
    <row r="380" spans="1:11" x14ac:dyDescent="0.25">
      <c r="A380" t="str">
        <f t="shared" si="20"/>
        <v>72018</v>
      </c>
      <c r="B380" s="1">
        <v>43291</v>
      </c>
      <c r="C380" s="10">
        <v>43380.645833333336</v>
      </c>
      <c r="D380">
        <v>29674.1</v>
      </c>
      <c r="E380">
        <v>29746.75</v>
      </c>
      <c r="F380">
        <v>29549.5</v>
      </c>
      <c r="G380">
        <v>29715.4</v>
      </c>
      <c r="H380">
        <v>0</v>
      </c>
      <c r="I380" s="8">
        <f t="shared" si="21"/>
        <v>4.321074235616118E-3</v>
      </c>
      <c r="J380" s="8">
        <f t="shared" si="22"/>
        <v>4.311765201392345E-3</v>
      </c>
      <c r="K380" s="8">
        <f t="shared" si="19"/>
        <v>0.10126784000237188</v>
      </c>
    </row>
    <row r="381" spans="1:11" x14ac:dyDescent="0.25">
      <c r="A381" t="str">
        <f t="shared" si="20"/>
        <v>72018</v>
      </c>
      <c r="B381" s="1">
        <v>43292</v>
      </c>
      <c r="C381" s="10">
        <v>43411.645833333336</v>
      </c>
      <c r="D381">
        <v>29710.9</v>
      </c>
      <c r="E381">
        <v>29958.1</v>
      </c>
      <c r="F381">
        <v>29543.05</v>
      </c>
      <c r="G381">
        <v>29802.6</v>
      </c>
      <c r="H381">
        <v>0</v>
      </c>
      <c r="I381" s="8">
        <f t="shared" si="21"/>
        <v>2.9345053406650834E-3</v>
      </c>
      <c r="J381" s="8">
        <f t="shared" si="22"/>
        <v>2.9302080846956577E-3</v>
      </c>
      <c r="K381" s="8">
        <f t="shared" si="19"/>
        <v>9.2983511324961743E-2</v>
      </c>
    </row>
    <row r="382" spans="1:11" x14ac:dyDescent="0.25">
      <c r="A382" t="str">
        <f t="shared" si="20"/>
        <v>72018</v>
      </c>
      <c r="B382" s="1">
        <v>43293</v>
      </c>
      <c r="C382" s="10">
        <v>43441.645833333336</v>
      </c>
      <c r="D382">
        <v>29862.75</v>
      </c>
      <c r="E382">
        <v>30008.3</v>
      </c>
      <c r="F382">
        <v>29772.799999999999</v>
      </c>
      <c r="G382">
        <v>29932.65</v>
      </c>
      <c r="H382">
        <v>0</v>
      </c>
      <c r="I382" s="8">
        <f t="shared" si="21"/>
        <v>4.3637132330738293E-3</v>
      </c>
      <c r="J382" s="8">
        <f t="shared" si="22"/>
        <v>4.3542198440820511E-3</v>
      </c>
      <c r="K382" s="8">
        <f t="shared" si="19"/>
        <v>8.7009336630750944E-2</v>
      </c>
    </row>
    <row r="383" spans="1:11" x14ac:dyDescent="0.25">
      <c r="A383" t="str">
        <f t="shared" si="20"/>
        <v>72018</v>
      </c>
      <c r="B383" s="1">
        <v>43294</v>
      </c>
      <c r="C383" t="s">
        <v>252</v>
      </c>
      <c r="D383">
        <v>29976.25</v>
      </c>
      <c r="E383">
        <v>30036.3</v>
      </c>
      <c r="F383">
        <v>29546.400000000001</v>
      </c>
      <c r="G383">
        <v>29629.55</v>
      </c>
      <c r="H383">
        <v>0</v>
      </c>
      <c r="I383" s="8">
        <f t="shared" si="21"/>
        <v>-1.0126066352294294E-2</v>
      </c>
      <c r="J383" s="8">
        <f t="shared" si="22"/>
        <v>-1.017768371168795E-2</v>
      </c>
      <c r="K383" s="8">
        <f t="shared" si="19"/>
        <v>5.7561788709294515E-2</v>
      </c>
    </row>
    <row r="384" spans="1:11" x14ac:dyDescent="0.25">
      <c r="A384" t="str">
        <f t="shared" si="20"/>
        <v>72018</v>
      </c>
      <c r="B384" s="1">
        <v>43297</v>
      </c>
      <c r="C384" t="s">
        <v>253</v>
      </c>
      <c r="D384">
        <v>29655.3</v>
      </c>
      <c r="E384">
        <v>29824.65</v>
      </c>
      <c r="F384">
        <v>29522.7</v>
      </c>
      <c r="G384">
        <v>29571.35</v>
      </c>
      <c r="H384">
        <v>0</v>
      </c>
      <c r="I384" s="8">
        <f t="shared" si="21"/>
        <v>-1.9642552789360668E-3</v>
      </c>
      <c r="J384" s="8">
        <f t="shared" si="22"/>
        <v>-1.9661869582918851E-3</v>
      </c>
      <c r="K384" s="8">
        <f t="shared" ref="K384:K447" si="23">+G384/G323-1</f>
        <v>4.9626950435165185E-2</v>
      </c>
    </row>
    <row r="385" spans="1:11" x14ac:dyDescent="0.25">
      <c r="A385" t="str">
        <f t="shared" si="20"/>
        <v>72018</v>
      </c>
      <c r="B385" s="1">
        <v>43298</v>
      </c>
      <c r="C385" t="s">
        <v>254</v>
      </c>
      <c r="D385">
        <v>29636.35</v>
      </c>
      <c r="E385">
        <v>29740.25</v>
      </c>
      <c r="F385">
        <v>29231.3</v>
      </c>
      <c r="G385">
        <v>29273.05</v>
      </c>
      <c r="H385">
        <v>0</v>
      </c>
      <c r="I385" s="8">
        <f t="shared" si="21"/>
        <v>-1.0087466415973578E-2</v>
      </c>
      <c r="J385" s="8">
        <f t="shared" si="22"/>
        <v>-1.0138689671709913E-2</v>
      </c>
      <c r="K385" s="8">
        <f t="shared" si="23"/>
        <v>4.1339762619192921E-2</v>
      </c>
    </row>
    <row r="386" spans="1:11" x14ac:dyDescent="0.25">
      <c r="A386" t="str">
        <f t="shared" si="20"/>
        <v>72018</v>
      </c>
      <c r="B386" s="1">
        <v>43299</v>
      </c>
      <c r="C386" t="s">
        <v>255</v>
      </c>
      <c r="D386">
        <v>29400.799999999999</v>
      </c>
      <c r="E386">
        <v>29427.45</v>
      </c>
      <c r="F386">
        <v>28897.65</v>
      </c>
      <c r="G386">
        <v>28993.15</v>
      </c>
      <c r="H386">
        <v>0</v>
      </c>
      <c r="I386" s="8">
        <f t="shared" si="21"/>
        <v>-9.5616958260241747E-3</v>
      </c>
      <c r="J386" s="8">
        <f t="shared" si="22"/>
        <v>-9.6077023413054172E-3</v>
      </c>
      <c r="K386" s="8">
        <f t="shared" si="23"/>
        <v>3.4654852161066119E-2</v>
      </c>
    </row>
    <row r="387" spans="1:11" x14ac:dyDescent="0.25">
      <c r="A387" t="str">
        <f t="shared" ref="A387:A450" si="24">+MONTH(B387)&amp;YEAR(B387)</f>
        <v>72018</v>
      </c>
      <c r="B387" s="1">
        <v>43300</v>
      </c>
      <c r="C387" t="s">
        <v>256</v>
      </c>
      <c r="D387">
        <v>29035.4</v>
      </c>
      <c r="E387">
        <v>29254.2</v>
      </c>
      <c r="F387">
        <v>28838.2</v>
      </c>
      <c r="G387">
        <v>29212.5</v>
      </c>
      <c r="H387">
        <v>0</v>
      </c>
      <c r="I387" s="8">
        <f t="shared" si="21"/>
        <v>7.5655801456551153E-3</v>
      </c>
      <c r="J387" s="8">
        <f t="shared" si="22"/>
        <v>7.5371046762967801E-3</v>
      </c>
      <c r="K387" s="8">
        <f t="shared" si="23"/>
        <v>4.037936229241379E-2</v>
      </c>
    </row>
    <row r="388" spans="1:11" x14ac:dyDescent="0.25">
      <c r="A388" t="str">
        <f t="shared" si="24"/>
        <v>72018</v>
      </c>
      <c r="B388" s="1">
        <v>43301</v>
      </c>
      <c r="C388" t="s">
        <v>257</v>
      </c>
      <c r="D388">
        <v>29236.25</v>
      </c>
      <c r="E388">
        <v>29374.85</v>
      </c>
      <c r="F388">
        <v>29080.1</v>
      </c>
      <c r="G388">
        <v>29281</v>
      </c>
      <c r="H388">
        <v>0</v>
      </c>
      <c r="I388" s="8">
        <f t="shared" ref="I388:I451" si="25">+G388/G387-1</f>
        <v>2.3448866067607987E-3</v>
      </c>
      <c r="J388" s="8">
        <f t="shared" ref="J388:J451" si="26">+LN(1+I388)</f>
        <v>2.3421416503983297E-3</v>
      </c>
      <c r="K388" s="8">
        <f t="shared" si="23"/>
        <v>4.5260967190350332E-2</v>
      </c>
    </row>
    <row r="389" spans="1:11" x14ac:dyDescent="0.25">
      <c r="A389" t="str">
        <f t="shared" si="24"/>
        <v>72018</v>
      </c>
      <c r="B389" s="1">
        <v>43304</v>
      </c>
      <c r="C389" t="s">
        <v>258</v>
      </c>
      <c r="D389">
        <v>29643.55</v>
      </c>
      <c r="E389">
        <v>30031.7</v>
      </c>
      <c r="F389">
        <v>29529.95</v>
      </c>
      <c r="G389">
        <v>30000.9</v>
      </c>
      <c r="H389">
        <v>0</v>
      </c>
      <c r="I389" s="8">
        <f t="shared" si="25"/>
        <v>2.4585908951197055E-2</v>
      </c>
      <c r="J389" s="8">
        <f t="shared" si="26"/>
        <v>2.4288539696789728E-2</v>
      </c>
      <c r="K389" s="8">
        <f t="shared" si="23"/>
        <v>5.8518436191776768E-2</v>
      </c>
    </row>
    <row r="390" spans="1:11" x14ac:dyDescent="0.25">
      <c r="A390" t="str">
        <f t="shared" si="24"/>
        <v>72018</v>
      </c>
      <c r="B390" s="1">
        <v>43305</v>
      </c>
      <c r="C390" t="s">
        <v>259</v>
      </c>
      <c r="D390">
        <v>30041.15</v>
      </c>
      <c r="E390">
        <v>30162.6</v>
      </c>
      <c r="F390">
        <v>29858.1</v>
      </c>
      <c r="G390">
        <v>30026.15</v>
      </c>
      <c r="H390">
        <v>0</v>
      </c>
      <c r="I390" s="8">
        <f t="shared" si="25"/>
        <v>8.4164141742415488E-4</v>
      </c>
      <c r="J390" s="8">
        <f t="shared" si="26"/>
        <v>8.4128743588948263E-4</v>
      </c>
      <c r="K390" s="8">
        <f t="shared" si="23"/>
        <v>5.6013153498514212E-2</v>
      </c>
    </row>
    <row r="391" spans="1:11" x14ac:dyDescent="0.25">
      <c r="A391" t="str">
        <f t="shared" si="24"/>
        <v>72018</v>
      </c>
      <c r="B391" s="1">
        <v>43306</v>
      </c>
      <c r="C391" t="s">
        <v>260</v>
      </c>
      <c r="D391">
        <v>30000.25</v>
      </c>
      <c r="E391">
        <v>30098.1</v>
      </c>
      <c r="F391">
        <v>29918.6</v>
      </c>
      <c r="G391">
        <v>29965.25</v>
      </c>
      <c r="H391">
        <v>0</v>
      </c>
      <c r="I391" s="8">
        <f t="shared" si="25"/>
        <v>-2.0282320577230672E-3</v>
      </c>
      <c r="J391" s="8">
        <f t="shared" si="26"/>
        <v>-2.0302917057971118E-3</v>
      </c>
      <c r="K391" s="8">
        <f t="shared" si="23"/>
        <v>4.1445464892997608E-2</v>
      </c>
    </row>
    <row r="392" spans="1:11" x14ac:dyDescent="0.25">
      <c r="A392" t="str">
        <f t="shared" si="24"/>
        <v>72018</v>
      </c>
      <c r="B392" s="1">
        <v>43307</v>
      </c>
      <c r="C392" t="s">
        <v>261</v>
      </c>
      <c r="D392">
        <v>30050.35</v>
      </c>
      <c r="E392">
        <v>30242.95</v>
      </c>
      <c r="F392">
        <v>29834.75</v>
      </c>
      <c r="G392">
        <v>30036.25</v>
      </c>
      <c r="H392">
        <v>0</v>
      </c>
      <c r="I392" s="8">
        <f t="shared" si="25"/>
        <v>2.3694112346801521E-3</v>
      </c>
      <c r="J392" s="8">
        <f t="shared" si="26"/>
        <v>2.3666086060607733E-3</v>
      </c>
      <c r="K392" s="8">
        <f t="shared" si="23"/>
        <v>4.2266692576219178E-2</v>
      </c>
    </row>
    <row r="393" spans="1:11" x14ac:dyDescent="0.25">
      <c r="A393" t="str">
        <f t="shared" si="24"/>
        <v>72018</v>
      </c>
      <c r="B393" s="1">
        <v>43308</v>
      </c>
      <c r="C393" t="s">
        <v>262</v>
      </c>
      <c r="D393">
        <v>30641.599999999999</v>
      </c>
      <c r="E393">
        <v>31014.799999999999</v>
      </c>
      <c r="F393">
        <v>30410.9</v>
      </c>
      <c r="G393">
        <v>30749.35</v>
      </c>
      <c r="H393">
        <v>0</v>
      </c>
      <c r="I393" s="8">
        <f t="shared" si="25"/>
        <v>2.3741312580631613E-2</v>
      </c>
      <c r="J393" s="8">
        <f t="shared" si="26"/>
        <v>2.3463870269411925E-2</v>
      </c>
      <c r="K393" s="8">
        <f t="shared" si="23"/>
        <v>7.944345176453238E-2</v>
      </c>
    </row>
    <row r="394" spans="1:11" x14ac:dyDescent="0.25">
      <c r="A394" t="str">
        <f t="shared" si="24"/>
        <v>72018</v>
      </c>
      <c r="B394" s="1">
        <v>43311</v>
      </c>
      <c r="C394" t="s">
        <v>263</v>
      </c>
      <c r="D394">
        <v>30787.75</v>
      </c>
      <c r="E394">
        <v>30928.35</v>
      </c>
      <c r="F394">
        <v>30658.7</v>
      </c>
      <c r="G394">
        <v>30836.6</v>
      </c>
      <c r="H394">
        <v>0</v>
      </c>
      <c r="I394" s="8">
        <f t="shared" si="25"/>
        <v>2.8374583527781549E-3</v>
      </c>
      <c r="J394" s="8">
        <f t="shared" si="26"/>
        <v>2.8334403666107418E-3</v>
      </c>
      <c r="K394" s="8">
        <f t="shared" si="23"/>
        <v>9.4352144141074845E-2</v>
      </c>
    </row>
    <row r="395" spans="1:11" x14ac:dyDescent="0.25">
      <c r="A395" t="str">
        <f t="shared" si="24"/>
        <v>72018</v>
      </c>
      <c r="B395" s="1">
        <v>43312</v>
      </c>
      <c r="C395" t="s">
        <v>264</v>
      </c>
      <c r="D395">
        <v>30863.25</v>
      </c>
      <c r="E395">
        <v>31038.25</v>
      </c>
      <c r="F395">
        <v>30638.55</v>
      </c>
      <c r="G395">
        <v>31007.25</v>
      </c>
      <c r="H395">
        <v>0</v>
      </c>
      <c r="I395" s="8">
        <f t="shared" si="25"/>
        <v>5.534008288851533E-3</v>
      </c>
      <c r="J395" s="8">
        <f t="shared" si="26"/>
        <v>5.5187519249961375E-3</v>
      </c>
      <c r="K395" s="8">
        <f t="shared" si="23"/>
        <v>8.4681580466303918E-2</v>
      </c>
    </row>
    <row r="396" spans="1:11" x14ac:dyDescent="0.25">
      <c r="A396" t="str">
        <f t="shared" si="24"/>
        <v>82018</v>
      </c>
      <c r="B396" s="1">
        <v>43313</v>
      </c>
      <c r="C396" s="10">
        <v>43108.645833333336</v>
      </c>
      <c r="D396">
        <v>31085.85</v>
      </c>
      <c r="E396">
        <v>31244.75</v>
      </c>
      <c r="F396">
        <v>30886.45</v>
      </c>
      <c r="G396">
        <v>31175.1</v>
      </c>
      <c r="H396">
        <v>0</v>
      </c>
      <c r="I396" s="8">
        <f t="shared" si="25"/>
        <v>5.4132501269863464E-3</v>
      </c>
      <c r="J396" s="8">
        <f t="shared" si="26"/>
        <v>5.3986511500951897E-3</v>
      </c>
      <c r="K396" s="8">
        <f t="shared" si="23"/>
        <v>9.1750524861539784E-2</v>
      </c>
    </row>
    <row r="397" spans="1:11" x14ac:dyDescent="0.25">
      <c r="A397" t="str">
        <f t="shared" si="24"/>
        <v>82018</v>
      </c>
      <c r="B397" s="1">
        <v>43314</v>
      </c>
      <c r="C397" s="10">
        <v>43139.645833333336</v>
      </c>
      <c r="D397">
        <v>31137.85</v>
      </c>
      <c r="E397">
        <v>31364.45</v>
      </c>
      <c r="F397">
        <v>31003.5</v>
      </c>
      <c r="G397">
        <v>31075.25</v>
      </c>
      <c r="H397">
        <v>0</v>
      </c>
      <c r="I397" s="8">
        <f t="shared" si="25"/>
        <v>-3.2028766547661514E-3</v>
      </c>
      <c r="J397" s="8">
        <f t="shared" si="26"/>
        <v>-3.2080168427254551E-3</v>
      </c>
      <c r="K397" s="8">
        <f t="shared" si="23"/>
        <v>9.2817529953333588E-2</v>
      </c>
    </row>
    <row r="398" spans="1:11" x14ac:dyDescent="0.25">
      <c r="A398" t="str">
        <f t="shared" si="24"/>
        <v>82018</v>
      </c>
      <c r="B398" s="1">
        <v>43315</v>
      </c>
      <c r="C398" s="10">
        <v>43167.645833333336</v>
      </c>
      <c r="D398">
        <v>31162.3</v>
      </c>
      <c r="E398">
        <v>31490.7</v>
      </c>
      <c r="F398">
        <v>31044.799999999999</v>
      </c>
      <c r="G398">
        <v>31424.95</v>
      </c>
      <c r="H398">
        <v>0</v>
      </c>
      <c r="I398" s="8">
        <f t="shared" si="25"/>
        <v>1.1253328613607394E-2</v>
      </c>
      <c r="J398" s="8">
        <f t="shared" si="26"/>
        <v>1.1190480968442466E-2</v>
      </c>
      <c r="K398" s="8">
        <f t="shared" si="23"/>
        <v>0.11312246846148</v>
      </c>
    </row>
    <row r="399" spans="1:11" x14ac:dyDescent="0.25">
      <c r="A399" t="str">
        <f t="shared" si="24"/>
        <v>82018</v>
      </c>
      <c r="B399" s="1">
        <v>43318</v>
      </c>
      <c r="C399" s="10">
        <v>43259.645833333336</v>
      </c>
      <c r="D399">
        <v>31505.95</v>
      </c>
      <c r="E399">
        <v>31551.35</v>
      </c>
      <c r="F399">
        <v>31134.95</v>
      </c>
      <c r="G399">
        <v>31222</v>
      </c>
      <c r="H399">
        <v>0</v>
      </c>
      <c r="I399" s="8">
        <f t="shared" si="25"/>
        <v>-6.4582441658618261E-3</v>
      </c>
      <c r="J399" s="8">
        <f t="shared" si="26"/>
        <v>-6.4791888506738598E-3</v>
      </c>
      <c r="K399" s="8">
        <f t="shared" si="23"/>
        <v>9.6432083157746984E-2</v>
      </c>
    </row>
    <row r="400" spans="1:11" x14ac:dyDescent="0.25">
      <c r="A400" t="str">
        <f t="shared" si="24"/>
        <v>82018</v>
      </c>
      <c r="B400" s="1">
        <v>43319</v>
      </c>
      <c r="C400" s="10">
        <v>43289.645833333336</v>
      </c>
      <c r="D400">
        <v>31304.2</v>
      </c>
      <c r="E400">
        <v>31328.95</v>
      </c>
      <c r="F400">
        <v>31083.7</v>
      </c>
      <c r="G400">
        <v>31140.35</v>
      </c>
      <c r="H400">
        <v>0</v>
      </c>
      <c r="I400" s="8">
        <f t="shared" si="25"/>
        <v>-2.6151431682788218E-3</v>
      </c>
      <c r="J400" s="8">
        <f t="shared" si="26"/>
        <v>-2.6185686285233887E-3</v>
      </c>
      <c r="K400" s="8">
        <f t="shared" si="23"/>
        <v>9.5060677776566571E-2</v>
      </c>
    </row>
    <row r="401" spans="1:11" x14ac:dyDescent="0.25">
      <c r="A401" t="str">
        <f t="shared" si="24"/>
        <v>82018</v>
      </c>
      <c r="B401" s="1">
        <v>43320</v>
      </c>
      <c r="C401" s="10">
        <v>43320.645833333336</v>
      </c>
      <c r="D401">
        <v>31141.3</v>
      </c>
      <c r="E401">
        <v>31335.8</v>
      </c>
      <c r="F401">
        <v>31117.599999999999</v>
      </c>
      <c r="G401">
        <v>31302.5</v>
      </c>
      <c r="H401">
        <v>0</v>
      </c>
      <c r="I401" s="8">
        <f t="shared" si="25"/>
        <v>5.2070705692133235E-3</v>
      </c>
      <c r="J401" s="8">
        <f t="shared" si="26"/>
        <v>5.1935606550142224E-3</v>
      </c>
      <c r="K401" s="8">
        <f t="shared" si="23"/>
        <v>0.10404142117227133</v>
      </c>
    </row>
    <row r="402" spans="1:11" x14ac:dyDescent="0.25">
      <c r="A402" t="str">
        <f t="shared" si="24"/>
        <v>82018</v>
      </c>
      <c r="B402" s="1">
        <v>43321</v>
      </c>
      <c r="C402" s="10">
        <v>43351.645833333336</v>
      </c>
      <c r="D402">
        <v>31376</v>
      </c>
      <c r="E402">
        <v>31505.9</v>
      </c>
      <c r="F402">
        <v>31221.85</v>
      </c>
      <c r="G402">
        <v>31378.55</v>
      </c>
      <c r="H402">
        <v>0</v>
      </c>
      <c r="I402" s="8">
        <f t="shared" si="25"/>
        <v>2.429518409072795E-3</v>
      </c>
      <c r="J402" s="8">
        <f t="shared" si="26"/>
        <v>2.4265719006554424E-3</v>
      </c>
      <c r="K402" s="8">
        <f t="shared" si="23"/>
        <v>8.7041848541536737E-2</v>
      </c>
    </row>
    <row r="403" spans="1:11" x14ac:dyDescent="0.25">
      <c r="A403" t="str">
        <f t="shared" si="24"/>
        <v>82018</v>
      </c>
      <c r="B403" s="1">
        <v>43322</v>
      </c>
      <c r="C403" s="10">
        <v>43381.645833333336</v>
      </c>
      <c r="D403">
        <v>31345.95</v>
      </c>
      <c r="E403">
        <v>31551.5</v>
      </c>
      <c r="F403">
        <v>31269.05</v>
      </c>
      <c r="G403">
        <v>31474.9</v>
      </c>
      <c r="H403">
        <v>0</v>
      </c>
      <c r="I403" s="8">
        <f t="shared" si="25"/>
        <v>3.0705689077412668E-3</v>
      </c>
      <c r="J403" s="8">
        <f t="shared" si="26"/>
        <v>3.0658643390407002E-3</v>
      </c>
      <c r="K403" s="8">
        <f t="shared" si="23"/>
        <v>0.10453747894441334</v>
      </c>
    </row>
    <row r="404" spans="1:11" x14ac:dyDescent="0.25">
      <c r="A404" t="str">
        <f t="shared" si="24"/>
        <v>82018</v>
      </c>
      <c r="B404" s="1">
        <v>43325</v>
      </c>
      <c r="C404" t="s">
        <v>265</v>
      </c>
      <c r="D404">
        <v>31354.7</v>
      </c>
      <c r="E404">
        <v>31652</v>
      </c>
      <c r="F404">
        <v>31317.599999999999</v>
      </c>
      <c r="G404">
        <v>31479.75</v>
      </c>
      <c r="H404">
        <v>0</v>
      </c>
      <c r="I404" s="8">
        <f t="shared" si="25"/>
        <v>1.5409103762031862E-4</v>
      </c>
      <c r="J404" s="8">
        <f t="shared" si="26"/>
        <v>1.540791668158219E-4</v>
      </c>
      <c r="K404" s="8">
        <f t="shared" si="23"/>
        <v>9.105040429491873E-2</v>
      </c>
    </row>
    <row r="405" spans="1:11" x14ac:dyDescent="0.25">
      <c r="A405" t="str">
        <f t="shared" si="24"/>
        <v>82018</v>
      </c>
      <c r="B405" s="1">
        <v>43326</v>
      </c>
      <c r="C405" t="s">
        <v>266</v>
      </c>
      <c r="D405">
        <v>31545.7</v>
      </c>
      <c r="E405">
        <v>31821.599999999999</v>
      </c>
      <c r="F405">
        <v>31526.15</v>
      </c>
      <c r="G405">
        <v>31725.25</v>
      </c>
      <c r="H405">
        <v>0</v>
      </c>
      <c r="I405" s="8">
        <f t="shared" si="25"/>
        <v>7.7986642206497869E-3</v>
      </c>
      <c r="J405" s="8">
        <f t="shared" si="26"/>
        <v>7.7684118225711607E-3</v>
      </c>
      <c r="K405" s="8">
        <f t="shared" si="23"/>
        <v>0.10642330776983777</v>
      </c>
    </row>
    <row r="406" spans="1:11" x14ac:dyDescent="0.25">
      <c r="A406" t="str">
        <f t="shared" si="24"/>
        <v>82018</v>
      </c>
      <c r="B406" s="1">
        <v>43328</v>
      </c>
      <c r="C406" t="s">
        <v>267</v>
      </c>
      <c r="D406">
        <v>31701.65</v>
      </c>
      <c r="E406">
        <v>31848.5</v>
      </c>
      <c r="F406">
        <v>31532.05</v>
      </c>
      <c r="G406">
        <v>31731.25</v>
      </c>
      <c r="H406">
        <v>0</v>
      </c>
      <c r="I406" s="8">
        <f t="shared" si="25"/>
        <v>1.8912380517099869E-4</v>
      </c>
      <c r="J406" s="8">
        <f t="shared" si="26"/>
        <v>1.8910592351868607E-4</v>
      </c>
      <c r="K406" s="8">
        <f t="shared" si="23"/>
        <v>0.10974230022015607</v>
      </c>
    </row>
    <row r="407" spans="1:11" x14ac:dyDescent="0.25">
      <c r="A407" t="str">
        <f t="shared" si="24"/>
        <v>82018</v>
      </c>
      <c r="B407" s="1">
        <v>43329</v>
      </c>
      <c r="C407" t="s">
        <v>268</v>
      </c>
      <c r="D407">
        <v>31799.200000000001</v>
      </c>
      <c r="E407">
        <v>32383.200000000001</v>
      </c>
      <c r="F407">
        <v>31785.95</v>
      </c>
      <c r="G407">
        <v>32340.05</v>
      </c>
      <c r="H407">
        <v>0</v>
      </c>
      <c r="I407" s="8">
        <f t="shared" si="25"/>
        <v>1.9186133543431128E-2</v>
      </c>
      <c r="J407" s="8">
        <f t="shared" si="26"/>
        <v>1.9004400507172822E-2</v>
      </c>
      <c r="K407" s="8">
        <f t="shared" si="23"/>
        <v>0.13811700697509099</v>
      </c>
    </row>
    <row r="408" spans="1:11" x14ac:dyDescent="0.25">
      <c r="A408" t="str">
        <f t="shared" si="24"/>
        <v>82018</v>
      </c>
      <c r="B408" s="1">
        <v>43332</v>
      </c>
      <c r="C408" t="s">
        <v>269</v>
      </c>
      <c r="D408">
        <v>32422</v>
      </c>
      <c r="E408">
        <v>32466.95</v>
      </c>
      <c r="F408">
        <v>32291.55</v>
      </c>
      <c r="G408">
        <v>32379.4</v>
      </c>
      <c r="H408">
        <v>0</v>
      </c>
      <c r="I408" s="8">
        <f t="shared" si="25"/>
        <v>1.2167575498491789E-3</v>
      </c>
      <c r="J408" s="8">
        <f t="shared" si="26"/>
        <v>1.216017900303604E-3</v>
      </c>
      <c r="K408" s="8">
        <f t="shared" si="23"/>
        <v>0.13610933237427747</v>
      </c>
    </row>
    <row r="409" spans="1:11" x14ac:dyDescent="0.25">
      <c r="A409" t="str">
        <f t="shared" si="24"/>
        <v>82018</v>
      </c>
      <c r="B409" s="1">
        <v>43333</v>
      </c>
      <c r="C409" t="s">
        <v>270</v>
      </c>
      <c r="D409">
        <v>32455.3</v>
      </c>
      <c r="E409">
        <v>32534.9</v>
      </c>
      <c r="F409">
        <v>32240.1</v>
      </c>
      <c r="G409">
        <v>32306.400000000001</v>
      </c>
      <c r="H409">
        <v>0</v>
      </c>
      <c r="I409" s="8">
        <f t="shared" si="25"/>
        <v>-2.2545198490397933E-3</v>
      </c>
      <c r="J409" s="8">
        <f t="shared" si="26"/>
        <v>-2.2570651051879195E-3</v>
      </c>
      <c r="K409" s="8">
        <f t="shared" si="23"/>
        <v>0.12976031445177272</v>
      </c>
    </row>
    <row r="410" spans="1:11" x14ac:dyDescent="0.25">
      <c r="A410" t="str">
        <f t="shared" si="24"/>
        <v>82018</v>
      </c>
      <c r="B410" s="1">
        <v>43335</v>
      </c>
      <c r="C410" t="s">
        <v>271</v>
      </c>
      <c r="D410">
        <v>32457.599999999999</v>
      </c>
      <c r="E410">
        <v>32660.6</v>
      </c>
      <c r="F410">
        <v>32251.95</v>
      </c>
      <c r="G410">
        <v>32600.25</v>
      </c>
      <c r="H410">
        <v>0</v>
      </c>
      <c r="I410" s="8">
        <f t="shared" si="25"/>
        <v>9.0957209716959753E-3</v>
      </c>
      <c r="J410" s="8">
        <f t="shared" si="26"/>
        <v>9.0546040390580267E-3</v>
      </c>
      <c r="K410" s="8">
        <f t="shared" si="23"/>
        <v>0.13227354268655889</v>
      </c>
    </row>
    <row r="411" spans="1:11" x14ac:dyDescent="0.25">
      <c r="A411" t="str">
        <f t="shared" si="24"/>
        <v>82018</v>
      </c>
      <c r="B411" s="1">
        <v>43336</v>
      </c>
      <c r="C411" t="s">
        <v>272</v>
      </c>
      <c r="D411">
        <v>32550.15</v>
      </c>
      <c r="E411">
        <v>32583.5</v>
      </c>
      <c r="F411">
        <v>32217.4</v>
      </c>
      <c r="G411">
        <v>32385.55</v>
      </c>
      <c r="H411">
        <v>0</v>
      </c>
      <c r="I411" s="8">
        <f t="shared" si="25"/>
        <v>-6.5858390656513555E-3</v>
      </c>
      <c r="J411" s="8">
        <f t="shared" si="26"/>
        <v>-6.607621393024809E-3</v>
      </c>
      <c r="K411" s="8">
        <f t="shared" si="23"/>
        <v>0.12817658964470979</v>
      </c>
    </row>
    <row r="412" spans="1:11" x14ac:dyDescent="0.25">
      <c r="A412" t="str">
        <f t="shared" si="24"/>
        <v>82018</v>
      </c>
      <c r="B412" s="1">
        <v>43339</v>
      </c>
      <c r="C412" t="s">
        <v>273</v>
      </c>
      <c r="D412">
        <v>32508.05</v>
      </c>
      <c r="E412">
        <v>32730.95</v>
      </c>
      <c r="F412">
        <v>32449.5</v>
      </c>
      <c r="G412">
        <v>32604.1</v>
      </c>
      <c r="H412">
        <v>0</v>
      </c>
      <c r="I412" s="8">
        <f t="shared" si="25"/>
        <v>6.7483800645657954E-3</v>
      </c>
      <c r="J412" s="8">
        <f t="shared" si="26"/>
        <v>6.7257116739484687E-3</v>
      </c>
      <c r="K412" s="8">
        <f t="shared" si="23"/>
        <v>0.13769429532016297</v>
      </c>
    </row>
    <row r="413" spans="1:11" x14ac:dyDescent="0.25">
      <c r="A413" t="str">
        <f t="shared" si="24"/>
        <v>82018</v>
      </c>
      <c r="B413" s="1">
        <v>43340</v>
      </c>
      <c r="C413" t="s">
        <v>274</v>
      </c>
      <c r="D413">
        <v>32650.75</v>
      </c>
      <c r="E413">
        <v>32752</v>
      </c>
      <c r="F413">
        <v>32455.599999999999</v>
      </c>
      <c r="G413">
        <v>32494.35</v>
      </c>
      <c r="H413">
        <v>0</v>
      </c>
      <c r="I413" s="8">
        <f t="shared" si="25"/>
        <v>-3.3661410681479209E-3</v>
      </c>
      <c r="J413" s="8">
        <f t="shared" si="26"/>
        <v>-3.3718192669862862E-3</v>
      </c>
      <c r="K413" s="8">
        <f t="shared" si="23"/>
        <v>0.12771609929791805</v>
      </c>
    </row>
    <row r="414" spans="1:11" x14ac:dyDescent="0.25">
      <c r="A414" t="str">
        <f t="shared" si="24"/>
        <v>82018</v>
      </c>
      <c r="B414" s="1">
        <v>43341</v>
      </c>
      <c r="C414" t="s">
        <v>275</v>
      </c>
      <c r="D414">
        <v>32519.200000000001</v>
      </c>
      <c r="E414">
        <v>32577.200000000001</v>
      </c>
      <c r="F414">
        <v>32354.75</v>
      </c>
      <c r="G414">
        <v>32429.599999999999</v>
      </c>
      <c r="H414">
        <v>0</v>
      </c>
      <c r="I414" s="8">
        <f t="shared" si="25"/>
        <v>-1.9926541075602211E-3</v>
      </c>
      <c r="J414" s="8">
        <f t="shared" si="26"/>
        <v>-1.994642084095148E-3</v>
      </c>
      <c r="K414" s="8">
        <f t="shared" si="23"/>
        <v>0.13345030302606653</v>
      </c>
    </row>
    <row r="415" spans="1:11" x14ac:dyDescent="0.25">
      <c r="A415" t="str">
        <f t="shared" si="24"/>
        <v>82018</v>
      </c>
      <c r="B415" s="1">
        <v>43342</v>
      </c>
      <c r="C415" t="s">
        <v>276</v>
      </c>
      <c r="D415">
        <v>32458.65</v>
      </c>
      <c r="E415">
        <v>32898.35</v>
      </c>
      <c r="F415">
        <v>32445.15</v>
      </c>
      <c r="G415">
        <v>32844</v>
      </c>
      <c r="H415">
        <v>0</v>
      </c>
      <c r="I415" s="8">
        <f t="shared" si="25"/>
        <v>1.2778449317907059E-2</v>
      </c>
      <c r="J415" s="8">
        <f t="shared" si="26"/>
        <v>1.2697493861785999E-2</v>
      </c>
      <c r="K415" s="8">
        <f t="shared" si="23"/>
        <v>0.15669066167044665</v>
      </c>
    </row>
    <row r="416" spans="1:11" x14ac:dyDescent="0.25">
      <c r="A416" t="str">
        <f t="shared" si="24"/>
        <v>82018</v>
      </c>
      <c r="B416" s="1">
        <v>43343</v>
      </c>
      <c r="C416" t="s">
        <v>277</v>
      </c>
      <c r="D416">
        <v>32984.35</v>
      </c>
      <c r="E416">
        <v>33067.15</v>
      </c>
      <c r="F416">
        <v>32773.800000000003</v>
      </c>
      <c r="G416">
        <v>32911.550000000003</v>
      </c>
      <c r="H416">
        <v>0</v>
      </c>
      <c r="I416" s="8">
        <f t="shared" si="25"/>
        <v>2.0566922421143552E-3</v>
      </c>
      <c r="J416" s="8">
        <f t="shared" si="26"/>
        <v>2.0545801460835193E-3</v>
      </c>
      <c r="K416" s="8">
        <f t="shared" si="23"/>
        <v>0.16104662135823022</v>
      </c>
    </row>
    <row r="417" spans="1:11" x14ac:dyDescent="0.25">
      <c r="A417" t="str">
        <f t="shared" si="24"/>
        <v>92018</v>
      </c>
      <c r="B417" s="1">
        <v>43346</v>
      </c>
      <c r="C417" s="10">
        <v>43168.645833333336</v>
      </c>
      <c r="D417">
        <v>33167.9</v>
      </c>
      <c r="E417">
        <v>33167.9</v>
      </c>
      <c r="F417">
        <v>31978.35</v>
      </c>
      <c r="G417">
        <v>32109.55</v>
      </c>
      <c r="H417">
        <v>0</v>
      </c>
      <c r="I417" s="8">
        <f t="shared" si="25"/>
        <v>-2.4368344851579571E-2</v>
      </c>
      <c r="J417" s="8">
        <f t="shared" si="26"/>
        <v>-2.4670166315160082E-2</v>
      </c>
      <c r="K417" s="8">
        <f t="shared" si="23"/>
        <v>0.12263303265505909</v>
      </c>
    </row>
    <row r="418" spans="1:11" x14ac:dyDescent="0.25">
      <c r="A418" t="str">
        <f t="shared" si="24"/>
        <v>92018</v>
      </c>
      <c r="B418" s="1">
        <v>43347</v>
      </c>
      <c r="C418" s="10">
        <v>43199.645833333336</v>
      </c>
      <c r="D418">
        <v>32033.85</v>
      </c>
      <c r="E418">
        <v>32042.35</v>
      </c>
      <c r="F418">
        <v>31223.55</v>
      </c>
      <c r="G418">
        <v>31442.65</v>
      </c>
      <c r="H418">
        <v>0</v>
      </c>
      <c r="I418" s="8">
        <f t="shared" si="25"/>
        <v>-2.0769521840075522E-2</v>
      </c>
      <c r="J418" s="8">
        <f t="shared" si="26"/>
        <v>-2.0988242136647677E-2</v>
      </c>
      <c r="K418" s="8">
        <f t="shared" si="23"/>
        <v>8.9330381579950213E-2</v>
      </c>
    </row>
    <row r="419" spans="1:11" x14ac:dyDescent="0.25">
      <c r="A419" t="str">
        <f t="shared" si="24"/>
        <v>92018</v>
      </c>
      <c r="B419" s="1">
        <v>43348</v>
      </c>
      <c r="C419" s="10">
        <v>43229.645833333336</v>
      </c>
      <c r="D419">
        <v>31395.15</v>
      </c>
      <c r="E419">
        <v>31456.65</v>
      </c>
      <c r="F419">
        <v>30931.8</v>
      </c>
      <c r="G419">
        <v>31168.85</v>
      </c>
      <c r="H419">
        <v>0</v>
      </c>
      <c r="I419" s="8">
        <f t="shared" si="25"/>
        <v>-8.7079174306238238E-3</v>
      </c>
      <c r="J419" s="8">
        <f t="shared" si="26"/>
        <v>-8.7460528919808319E-3</v>
      </c>
      <c r="K419" s="8">
        <f t="shared" si="23"/>
        <v>8.551204137426649E-2</v>
      </c>
    </row>
    <row r="420" spans="1:11" x14ac:dyDescent="0.25">
      <c r="A420" t="str">
        <f t="shared" si="24"/>
        <v>92018</v>
      </c>
      <c r="B420" s="1">
        <v>43349</v>
      </c>
      <c r="C420" s="10">
        <v>43260.645833333336</v>
      </c>
      <c r="D420">
        <v>31299.3</v>
      </c>
      <c r="E420">
        <v>31377.65</v>
      </c>
      <c r="F420">
        <v>30952.7</v>
      </c>
      <c r="G420">
        <v>31157.25</v>
      </c>
      <c r="H420">
        <v>0</v>
      </c>
      <c r="I420" s="8">
        <f t="shared" si="25"/>
        <v>-3.7216644181603531E-4</v>
      </c>
      <c r="J420" s="8">
        <f t="shared" si="26"/>
        <v>-3.7223571293369906E-4</v>
      </c>
      <c r="K420" s="8">
        <f t="shared" si="23"/>
        <v>8.1612355630539257E-2</v>
      </c>
    </row>
    <row r="421" spans="1:11" x14ac:dyDescent="0.25">
      <c r="A421" t="str">
        <f t="shared" si="24"/>
        <v>92018</v>
      </c>
      <c r="B421" s="1">
        <v>43350</v>
      </c>
      <c r="C421" s="10">
        <v>43290.645833333336</v>
      </c>
      <c r="D421">
        <v>31241.55</v>
      </c>
      <c r="E421">
        <v>31438.35</v>
      </c>
      <c r="F421">
        <v>31009.3</v>
      </c>
      <c r="G421">
        <v>31354.3</v>
      </c>
      <c r="H421">
        <v>0</v>
      </c>
      <c r="I421" s="8">
        <f t="shared" si="25"/>
        <v>6.3243707323334952E-3</v>
      </c>
      <c r="J421" s="8">
        <f t="shared" si="26"/>
        <v>6.3044558218341143E-3</v>
      </c>
      <c r="K421" s="8">
        <f t="shared" si="23"/>
        <v>7.892631444926379E-2</v>
      </c>
    </row>
    <row r="422" spans="1:11" x14ac:dyDescent="0.25">
      <c r="A422" t="str">
        <f t="shared" si="24"/>
        <v>92018</v>
      </c>
      <c r="B422" s="1">
        <v>43353</v>
      </c>
      <c r="C422" s="10">
        <v>43382.645833333336</v>
      </c>
      <c r="D422">
        <v>31305.5</v>
      </c>
      <c r="E422">
        <v>31348.15</v>
      </c>
      <c r="F422">
        <v>30769.8</v>
      </c>
      <c r="G422">
        <v>30811.599999999999</v>
      </c>
      <c r="H422">
        <v>0</v>
      </c>
      <c r="I422" s="8">
        <f t="shared" si="25"/>
        <v>-1.7308630714128581E-2</v>
      </c>
      <c r="J422" s="8">
        <f t="shared" si="26"/>
        <v>-1.7460176306367141E-2</v>
      </c>
      <c r="K422" s="8">
        <f t="shared" si="23"/>
        <v>6.556829951946419E-2</v>
      </c>
    </row>
    <row r="423" spans="1:11" x14ac:dyDescent="0.25">
      <c r="A423" t="str">
        <f t="shared" si="24"/>
        <v>92018</v>
      </c>
      <c r="B423" s="1">
        <v>43354</v>
      </c>
      <c r="C423" s="10">
        <v>43413.645833333336</v>
      </c>
      <c r="D423">
        <v>30845.200000000001</v>
      </c>
      <c r="E423">
        <v>30874.25</v>
      </c>
      <c r="F423">
        <v>29988.85</v>
      </c>
      <c r="G423">
        <v>30067.55</v>
      </c>
      <c r="H423">
        <v>0</v>
      </c>
      <c r="I423" s="8">
        <f t="shared" si="25"/>
        <v>-2.414837269080472E-2</v>
      </c>
      <c r="J423" s="8">
        <f t="shared" si="26"/>
        <v>-2.4444725325033355E-2</v>
      </c>
      <c r="K423" s="8">
        <f t="shared" si="23"/>
        <v>4.0938132355665013E-2</v>
      </c>
    </row>
    <row r="424" spans="1:11" x14ac:dyDescent="0.25">
      <c r="A424" t="str">
        <f t="shared" si="24"/>
        <v>92018</v>
      </c>
      <c r="B424" s="1">
        <v>43355</v>
      </c>
      <c r="C424" s="10">
        <v>43443.645833333336</v>
      </c>
      <c r="D424">
        <v>30147.5</v>
      </c>
      <c r="E424">
        <v>30873.55</v>
      </c>
      <c r="F424">
        <v>30029.75</v>
      </c>
      <c r="G424">
        <v>30828.2</v>
      </c>
      <c r="H424">
        <v>0</v>
      </c>
      <c r="I424" s="8">
        <f t="shared" si="25"/>
        <v>2.5298037252785788E-2</v>
      </c>
      <c r="J424" s="8">
        <f t="shared" si="26"/>
        <v>2.498333837703259E-2</v>
      </c>
      <c r="K424" s="8">
        <f t="shared" si="23"/>
        <v>7.1370360266276966E-2</v>
      </c>
    </row>
    <row r="425" spans="1:11" x14ac:dyDescent="0.25">
      <c r="A425" t="str">
        <f t="shared" si="24"/>
        <v>92018</v>
      </c>
      <c r="B425" s="1">
        <v>43357</v>
      </c>
      <c r="C425" t="s">
        <v>278</v>
      </c>
      <c r="D425">
        <v>30957.200000000001</v>
      </c>
      <c r="E425">
        <v>31095.5</v>
      </c>
      <c r="F425">
        <v>30834.5</v>
      </c>
      <c r="G425">
        <v>30987.599999999999</v>
      </c>
      <c r="H425">
        <v>0</v>
      </c>
      <c r="I425" s="8">
        <f t="shared" si="25"/>
        <v>5.1705905631855842E-3</v>
      </c>
      <c r="J425" s="8">
        <f t="shared" si="26"/>
        <v>5.1572689604366022E-3</v>
      </c>
      <c r="K425" s="8">
        <f t="shared" si="23"/>
        <v>7.9263578041084193E-2</v>
      </c>
    </row>
    <row r="426" spans="1:11" x14ac:dyDescent="0.25">
      <c r="A426" t="str">
        <f t="shared" si="24"/>
        <v>92018</v>
      </c>
      <c r="B426" s="1">
        <v>43360</v>
      </c>
      <c r="C426" t="s">
        <v>279</v>
      </c>
      <c r="D426">
        <v>30824.799999999999</v>
      </c>
      <c r="E426">
        <v>30832.65</v>
      </c>
      <c r="F426">
        <v>30483.5</v>
      </c>
      <c r="G426">
        <v>30559.75</v>
      </c>
      <c r="H426">
        <v>0</v>
      </c>
      <c r="I426" s="8">
        <f t="shared" si="25"/>
        <v>-1.3807135757528788E-2</v>
      </c>
      <c r="J426" s="8">
        <f t="shared" si="26"/>
        <v>-1.3903340827220511E-2</v>
      </c>
      <c r="K426" s="8">
        <f t="shared" si="23"/>
        <v>6.659837495986265E-2</v>
      </c>
    </row>
    <row r="427" spans="1:11" x14ac:dyDescent="0.25">
      <c r="A427" t="str">
        <f t="shared" si="24"/>
        <v>92018</v>
      </c>
      <c r="B427" s="1">
        <v>43361</v>
      </c>
      <c r="C427" t="s">
        <v>280</v>
      </c>
      <c r="D427">
        <v>30647.200000000001</v>
      </c>
      <c r="E427">
        <v>31049.85</v>
      </c>
      <c r="F427">
        <v>30568.05</v>
      </c>
      <c r="G427">
        <v>30893.25</v>
      </c>
      <c r="H427">
        <v>0</v>
      </c>
      <c r="I427" s="8">
        <f t="shared" si="25"/>
        <v>1.0913047390767261E-2</v>
      </c>
      <c r="J427" s="8">
        <f t="shared" si="26"/>
        <v>1.0853929802237858E-2</v>
      </c>
      <c r="K427" s="8">
        <f t="shared" si="23"/>
        <v>8.3228726910616002E-2</v>
      </c>
    </row>
    <row r="428" spans="1:11" x14ac:dyDescent="0.25">
      <c r="A428" t="str">
        <f t="shared" si="24"/>
        <v>92018</v>
      </c>
      <c r="B428" s="1">
        <v>43362</v>
      </c>
      <c r="C428" t="s">
        <v>281</v>
      </c>
      <c r="D428">
        <v>31027.75</v>
      </c>
      <c r="E428">
        <v>31084.7</v>
      </c>
      <c r="F428">
        <v>30385.15</v>
      </c>
      <c r="G428">
        <v>30487.7</v>
      </c>
      <c r="H428">
        <v>0</v>
      </c>
      <c r="I428" s="8">
        <f t="shared" si="25"/>
        <v>-1.3127463118966065E-2</v>
      </c>
      <c r="J428" s="8">
        <f t="shared" si="26"/>
        <v>-1.321438985270159E-2</v>
      </c>
      <c r="K428" s="8">
        <f t="shared" si="23"/>
        <v>7.6144084996734973E-2</v>
      </c>
    </row>
    <row r="429" spans="1:11" x14ac:dyDescent="0.25">
      <c r="A429" t="str">
        <f t="shared" si="24"/>
        <v>92018</v>
      </c>
      <c r="B429" s="1">
        <v>43364</v>
      </c>
      <c r="C429" t="s">
        <v>282</v>
      </c>
      <c r="D429">
        <v>30555.85</v>
      </c>
      <c r="E429">
        <v>30787.05</v>
      </c>
      <c r="F429">
        <v>29728.65</v>
      </c>
      <c r="G429">
        <v>30406.9</v>
      </c>
      <c r="H429">
        <v>0</v>
      </c>
      <c r="I429" s="8">
        <f t="shared" si="25"/>
        <v>-2.650249116856962E-3</v>
      </c>
      <c r="J429" s="8">
        <f t="shared" si="26"/>
        <v>-2.6537672443653041E-3</v>
      </c>
      <c r="K429" s="8">
        <f t="shared" si="23"/>
        <v>6.2036446827274938E-2</v>
      </c>
    </row>
    <row r="430" spans="1:11" x14ac:dyDescent="0.25">
      <c r="A430" t="str">
        <f t="shared" si="24"/>
        <v>92018</v>
      </c>
      <c r="B430" s="1">
        <v>43367</v>
      </c>
      <c r="C430" t="s">
        <v>283</v>
      </c>
      <c r="D430">
        <v>30510.35</v>
      </c>
      <c r="E430">
        <v>30572.45</v>
      </c>
      <c r="F430">
        <v>29415.3</v>
      </c>
      <c r="G430">
        <v>29749.200000000001</v>
      </c>
      <c r="H430">
        <v>0</v>
      </c>
      <c r="I430" s="8">
        <f t="shared" si="25"/>
        <v>-2.1629958989571429E-2</v>
      </c>
      <c r="J430" s="8">
        <f t="shared" si="26"/>
        <v>-2.1867315467983494E-2</v>
      </c>
      <c r="K430" s="8">
        <f t="shared" si="23"/>
        <v>4.3990924930647379E-2</v>
      </c>
    </row>
    <row r="431" spans="1:11" x14ac:dyDescent="0.25">
      <c r="A431" t="str">
        <f t="shared" si="24"/>
        <v>92018</v>
      </c>
      <c r="B431" s="1">
        <v>43368</v>
      </c>
      <c r="C431" t="s">
        <v>284</v>
      </c>
      <c r="D431">
        <v>29763.1</v>
      </c>
      <c r="E431">
        <v>30209.75</v>
      </c>
      <c r="F431">
        <v>29384.35</v>
      </c>
      <c r="G431">
        <v>30124.35</v>
      </c>
      <c r="H431">
        <v>0</v>
      </c>
      <c r="I431" s="8">
        <f t="shared" si="25"/>
        <v>1.2610423137428883E-2</v>
      </c>
      <c r="J431" s="8">
        <f t="shared" si="26"/>
        <v>1.2531573940778482E-2</v>
      </c>
      <c r="K431" s="8">
        <f t="shared" si="23"/>
        <v>4.6269556111648402E-2</v>
      </c>
    </row>
    <row r="432" spans="1:11" x14ac:dyDescent="0.25">
      <c r="A432" t="str">
        <f t="shared" si="24"/>
        <v>92018</v>
      </c>
      <c r="B432" s="1">
        <v>43369</v>
      </c>
      <c r="C432" t="s">
        <v>285</v>
      </c>
      <c r="D432">
        <v>30352.85</v>
      </c>
      <c r="E432">
        <v>30352.85</v>
      </c>
      <c r="F432">
        <v>29507.8</v>
      </c>
      <c r="G432">
        <v>29682.65</v>
      </c>
      <c r="H432">
        <v>0</v>
      </c>
      <c r="I432" s="8">
        <f t="shared" si="25"/>
        <v>-1.4662557034425538E-2</v>
      </c>
      <c r="J432" s="8">
        <f t="shared" si="26"/>
        <v>-1.4771114786818508E-2</v>
      </c>
      <c r="K432" s="8">
        <f t="shared" si="23"/>
        <v>3.6943037853076843E-2</v>
      </c>
    </row>
    <row r="433" spans="1:11" x14ac:dyDescent="0.25">
      <c r="A433" t="str">
        <f t="shared" si="24"/>
        <v>92018</v>
      </c>
      <c r="B433" s="1">
        <v>43370</v>
      </c>
      <c r="C433" t="s">
        <v>286</v>
      </c>
      <c r="D433">
        <v>29726.3</v>
      </c>
      <c r="E433">
        <v>29753.75</v>
      </c>
      <c r="F433">
        <v>29431</v>
      </c>
      <c r="G433">
        <v>29660.25</v>
      </c>
      <c r="H433">
        <v>0</v>
      </c>
      <c r="I433" s="8">
        <f t="shared" si="25"/>
        <v>-7.5464960170334994E-4</v>
      </c>
      <c r="J433" s="8">
        <f t="shared" si="26"/>
        <v>-7.5493449305180443E-4</v>
      </c>
      <c r="K433" s="8">
        <f t="shared" si="23"/>
        <v>4.3939412604247829E-2</v>
      </c>
    </row>
    <row r="434" spans="1:11" x14ac:dyDescent="0.25">
      <c r="A434" t="str">
        <f t="shared" si="24"/>
        <v>92018</v>
      </c>
      <c r="B434" s="1">
        <v>43371</v>
      </c>
      <c r="C434" t="s">
        <v>287</v>
      </c>
      <c r="D434">
        <v>29808.1</v>
      </c>
      <c r="E434">
        <v>29902.25</v>
      </c>
      <c r="F434">
        <v>29372.7</v>
      </c>
      <c r="G434">
        <v>29757.7</v>
      </c>
      <c r="H434">
        <v>0</v>
      </c>
      <c r="I434" s="8">
        <f t="shared" si="25"/>
        <v>3.2855420975885785E-3</v>
      </c>
      <c r="J434" s="8">
        <f t="shared" si="26"/>
        <v>3.2801564973378087E-3</v>
      </c>
      <c r="K434" s="8">
        <f t="shared" si="23"/>
        <v>2.733204446592552E-2</v>
      </c>
    </row>
    <row r="435" spans="1:11" x14ac:dyDescent="0.25">
      <c r="A435" t="str">
        <f t="shared" si="24"/>
        <v>102018</v>
      </c>
      <c r="B435" s="1">
        <v>43374</v>
      </c>
      <c r="C435" s="10">
        <v>43110.645833333336</v>
      </c>
      <c r="D435">
        <v>29908.9</v>
      </c>
      <c r="E435">
        <v>30029.4</v>
      </c>
      <c r="F435">
        <v>29488.85</v>
      </c>
      <c r="G435">
        <v>29923.65</v>
      </c>
      <c r="H435">
        <v>0</v>
      </c>
      <c r="I435" s="8">
        <f t="shared" si="25"/>
        <v>5.5767078772890333E-3</v>
      </c>
      <c r="J435" s="8">
        <f t="shared" si="26"/>
        <v>5.5612156124507164E-3</v>
      </c>
      <c r="K435" s="8">
        <f t="shared" si="23"/>
        <v>3.9827990617670173E-2</v>
      </c>
    </row>
    <row r="436" spans="1:11" x14ac:dyDescent="0.25">
      <c r="A436" t="str">
        <f t="shared" si="24"/>
        <v>102018</v>
      </c>
      <c r="B436" s="1">
        <v>43376</v>
      </c>
      <c r="C436" s="10">
        <v>43169.645833333336</v>
      </c>
      <c r="D436">
        <v>29916.35</v>
      </c>
      <c r="E436">
        <v>29945.75</v>
      </c>
      <c r="F436">
        <v>29444.15</v>
      </c>
      <c r="G436">
        <v>29498.05</v>
      </c>
      <c r="H436">
        <v>0</v>
      </c>
      <c r="I436" s="8">
        <f t="shared" si="25"/>
        <v>-1.4222863855178125E-2</v>
      </c>
      <c r="J436" s="8">
        <f t="shared" si="26"/>
        <v>-1.4324978178424264E-2</v>
      </c>
      <c r="K436" s="8">
        <f t="shared" si="23"/>
        <v>1.8100960874727345E-2</v>
      </c>
    </row>
    <row r="437" spans="1:11" x14ac:dyDescent="0.25">
      <c r="A437" t="str">
        <f t="shared" si="24"/>
        <v>102018</v>
      </c>
      <c r="B437" s="1">
        <v>43377</v>
      </c>
      <c r="C437" s="10">
        <v>43200.645833333336</v>
      </c>
      <c r="D437">
        <v>29274.2</v>
      </c>
      <c r="E437">
        <v>29335.200000000001</v>
      </c>
      <c r="F437">
        <v>28506.9</v>
      </c>
      <c r="G437">
        <v>28630.1</v>
      </c>
      <c r="H437">
        <v>0</v>
      </c>
      <c r="I437" s="8">
        <f t="shared" si="25"/>
        <v>-2.9423978873179824E-2</v>
      </c>
      <c r="J437" s="8">
        <f t="shared" si="26"/>
        <v>-2.9865547522443255E-2</v>
      </c>
      <c r="K437" s="8">
        <f t="shared" si="23"/>
        <v>-1.6423235416885062E-2</v>
      </c>
    </row>
    <row r="438" spans="1:11" x14ac:dyDescent="0.25">
      <c r="A438" t="str">
        <f t="shared" si="24"/>
        <v>102018</v>
      </c>
      <c r="B438" s="1">
        <v>43378</v>
      </c>
      <c r="C438" s="10">
        <v>43230.645833333336</v>
      </c>
      <c r="D438">
        <v>28457.3</v>
      </c>
      <c r="E438">
        <v>28488.6</v>
      </c>
      <c r="F438">
        <v>27782.400000000001</v>
      </c>
      <c r="G438">
        <v>27873.8</v>
      </c>
      <c r="H438">
        <v>0</v>
      </c>
      <c r="I438" s="8">
        <f t="shared" si="25"/>
        <v>-2.6416254221955149E-2</v>
      </c>
      <c r="J438" s="8">
        <f t="shared" si="26"/>
        <v>-2.677143241732264E-2</v>
      </c>
      <c r="K438" s="8">
        <f t="shared" si="23"/>
        <v>-5.1884153113270326E-2</v>
      </c>
    </row>
    <row r="439" spans="1:11" x14ac:dyDescent="0.25">
      <c r="A439" t="str">
        <f t="shared" si="24"/>
        <v>102018</v>
      </c>
      <c r="B439" s="1">
        <v>43381</v>
      </c>
      <c r="C439" s="10">
        <v>43322.645833333336</v>
      </c>
      <c r="D439">
        <v>27957.65</v>
      </c>
      <c r="E439">
        <v>28087.4</v>
      </c>
      <c r="F439">
        <v>27421.25</v>
      </c>
      <c r="G439">
        <v>27705.8</v>
      </c>
      <c r="H439">
        <v>0</v>
      </c>
      <c r="I439" s="8">
        <f t="shared" si="25"/>
        <v>-6.0271652950082411E-3</v>
      </c>
      <c r="J439" s="8">
        <f t="shared" si="26"/>
        <v>-6.0454019696463699E-3</v>
      </c>
      <c r="K439" s="8">
        <f t="shared" si="23"/>
        <v>-5.5848340327794066E-2</v>
      </c>
    </row>
    <row r="440" spans="1:11" x14ac:dyDescent="0.25">
      <c r="A440" t="str">
        <f t="shared" si="24"/>
        <v>102018</v>
      </c>
      <c r="B440" s="1">
        <v>43382</v>
      </c>
      <c r="C440" s="10">
        <v>43353.645833333336</v>
      </c>
      <c r="D440">
        <v>27882.95</v>
      </c>
      <c r="E440">
        <v>27893.75</v>
      </c>
      <c r="F440">
        <v>27013.9</v>
      </c>
      <c r="G440">
        <v>27149.65</v>
      </c>
      <c r="H440">
        <v>0</v>
      </c>
      <c r="I440" s="8">
        <f t="shared" si="25"/>
        <v>-2.0073414230955211E-2</v>
      </c>
      <c r="J440" s="8">
        <f t="shared" si="26"/>
        <v>-2.0277622604166004E-2</v>
      </c>
      <c r="K440" s="8">
        <f t="shared" si="23"/>
        <v>-8.2396142972297359E-2</v>
      </c>
    </row>
    <row r="441" spans="1:11" x14ac:dyDescent="0.25">
      <c r="A441" t="str">
        <f t="shared" si="24"/>
        <v>102018</v>
      </c>
      <c r="B441" s="1">
        <v>43383</v>
      </c>
      <c r="C441" s="10">
        <v>43383.645833333336</v>
      </c>
      <c r="D441">
        <v>27210.45</v>
      </c>
      <c r="E441">
        <v>27663.25</v>
      </c>
      <c r="F441">
        <v>27096.9</v>
      </c>
      <c r="G441">
        <v>27596.5</v>
      </c>
      <c r="H441">
        <v>0</v>
      </c>
      <c r="I441" s="8">
        <f t="shared" si="25"/>
        <v>1.6458775711657436E-2</v>
      </c>
      <c r="J441" s="8">
        <f t="shared" si="26"/>
        <v>1.63247981351641E-2</v>
      </c>
      <c r="K441" s="8">
        <f t="shared" si="23"/>
        <v>-7.1306460623111301E-2</v>
      </c>
    </row>
    <row r="442" spans="1:11" x14ac:dyDescent="0.25">
      <c r="A442" t="str">
        <f t="shared" si="24"/>
        <v>102018</v>
      </c>
      <c r="B442" s="1">
        <v>43384</v>
      </c>
      <c r="C442" s="10">
        <v>43414.645833333336</v>
      </c>
      <c r="D442">
        <v>26954.7</v>
      </c>
      <c r="E442">
        <v>27519.3</v>
      </c>
      <c r="F442">
        <v>26889.65</v>
      </c>
      <c r="G442">
        <v>27375</v>
      </c>
      <c r="H442">
        <v>0</v>
      </c>
      <c r="I442" s="8">
        <f t="shared" si="25"/>
        <v>-8.0263801569039339E-3</v>
      </c>
      <c r="J442" s="8">
        <f t="shared" si="26"/>
        <v>-8.0587649509664683E-3</v>
      </c>
      <c r="K442" s="8">
        <f t="shared" si="23"/>
        <v>-8.1455980350707557E-2</v>
      </c>
    </row>
    <row r="443" spans="1:11" x14ac:dyDescent="0.25">
      <c r="A443" t="str">
        <f t="shared" si="24"/>
        <v>102018</v>
      </c>
      <c r="B443" s="1">
        <v>43385</v>
      </c>
      <c r="C443" s="10">
        <v>43444.645833333336</v>
      </c>
      <c r="D443">
        <v>27655.55</v>
      </c>
      <c r="E443">
        <v>28291</v>
      </c>
      <c r="F443">
        <v>27617.1</v>
      </c>
      <c r="G443">
        <v>28153.55</v>
      </c>
      <c r="H443">
        <v>0</v>
      </c>
      <c r="I443" s="8">
        <f t="shared" si="25"/>
        <v>2.8440182648401757E-2</v>
      </c>
      <c r="J443" s="8">
        <f t="shared" si="26"/>
        <v>2.8043268622155105E-2</v>
      </c>
      <c r="K443" s="8">
        <f t="shared" si="23"/>
        <v>-5.9436768879467805E-2</v>
      </c>
    </row>
    <row r="444" spans="1:11" x14ac:dyDescent="0.25">
      <c r="A444" t="str">
        <f t="shared" si="24"/>
        <v>102018</v>
      </c>
      <c r="B444" s="1">
        <v>43388</v>
      </c>
      <c r="C444" t="s">
        <v>288</v>
      </c>
      <c r="D444">
        <v>28329.3</v>
      </c>
      <c r="E444">
        <v>28385.55</v>
      </c>
      <c r="F444">
        <v>27931.7</v>
      </c>
      <c r="G444">
        <v>28330.7</v>
      </c>
      <c r="H444">
        <v>0</v>
      </c>
      <c r="I444" s="8">
        <f t="shared" si="25"/>
        <v>6.2922793040309788E-3</v>
      </c>
      <c r="J444" s="8">
        <f t="shared" si="26"/>
        <v>6.2725655676173896E-3</v>
      </c>
      <c r="K444" s="8">
        <f t="shared" si="23"/>
        <v>-4.3836305310070434E-2</v>
      </c>
    </row>
    <row r="445" spans="1:11" x14ac:dyDescent="0.25">
      <c r="A445" t="str">
        <f t="shared" si="24"/>
        <v>102018</v>
      </c>
      <c r="B445" s="1">
        <v>43389</v>
      </c>
      <c r="C445" t="s">
        <v>289</v>
      </c>
      <c r="D445">
        <v>28425.3</v>
      </c>
      <c r="E445">
        <v>28577.75</v>
      </c>
      <c r="F445">
        <v>28124.75</v>
      </c>
      <c r="G445">
        <v>28498.25</v>
      </c>
      <c r="H445">
        <v>0</v>
      </c>
      <c r="I445" s="8">
        <f t="shared" si="25"/>
        <v>5.914079073231493E-3</v>
      </c>
      <c r="J445" s="8">
        <f t="shared" si="26"/>
        <v>5.8966595541228685E-3</v>
      </c>
      <c r="K445" s="8">
        <f t="shared" si="23"/>
        <v>-3.6288502215827134E-2</v>
      </c>
    </row>
    <row r="446" spans="1:11" x14ac:dyDescent="0.25">
      <c r="A446" t="str">
        <f t="shared" si="24"/>
        <v>102018</v>
      </c>
      <c r="B446" s="1">
        <v>43390</v>
      </c>
      <c r="C446" t="s">
        <v>290</v>
      </c>
      <c r="D446">
        <v>28680.45</v>
      </c>
      <c r="E446">
        <v>29059.4</v>
      </c>
      <c r="F446">
        <v>28412.35</v>
      </c>
      <c r="G446">
        <v>28623.35</v>
      </c>
      <c r="H446">
        <v>0</v>
      </c>
      <c r="I446" s="8">
        <f t="shared" si="25"/>
        <v>4.3897432298474204E-3</v>
      </c>
      <c r="J446" s="8">
        <f t="shared" si="26"/>
        <v>4.380136411086628E-3</v>
      </c>
      <c r="K446" s="8">
        <f t="shared" si="23"/>
        <v>-2.2194475806245006E-2</v>
      </c>
    </row>
    <row r="447" spans="1:11" x14ac:dyDescent="0.25">
      <c r="A447" t="str">
        <f t="shared" si="24"/>
        <v>102018</v>
      </c>
      <c r="B447" s="1">
        <v>43392</v>
      </c>
      <c r="C447" t="s">
        <v>291</v>
      </c>
      <c r="D447">
        <v>28515.65</v>
      </c>
      <c r="E447">
        <v>28956.75</v>
      </c>
      <c r="F447">
        <v>28476.1</v>
      </c>
      <c r="G447">
        <v>28845.25</v>
      </c>
      <c r="H447">
        <v>0</v>
      </c>
      <c r="I447" s="8">
        <f t="shared" si="25"/>
        <v>7.7524119294212213E-3</v>
      </c>
      <c r="J447" s="8">
        <f t="shared" si="26"/>
        <v>7.7225163929946191E-3</v>
      </c>
      <c r="K447" s="8">
        <f t="shared" si="23"/>
        <v>-5.1012049397876069E-3</v>
      </c>
    </row>
    <row r="448" spans="1:11" x14ac:dyDescent="0.25">
      <c r="A448" t="str">
        <f t="shared" si="24"/>
        <v>102018</v>
      </c>
      <c r="B448" s="1">
        <v>43395</v>
      </c>
      <c r="C448" t="s">
        <v>292</v>
      </c>
      <c r="D448">
        <v>29062.3</v>
      </c>
      <c r="E448">
        <v>29116.7</v>
      </c>
      <c r="F448">
        <v>28729.200000000001</v>
      </c>
      <c r="G448">
        <v>28797.55</v>
      </c>
      <c r="H448">
        <v>0</v>
      </c>
      <c r="I448" s="8">
        <f t="shared" si="25"/>
        <v>-1.6536518144235623E-3</v>
      </c>
      <c r="J448" s="8">
        <f t="shared" si="26"/>
        <v>-1.6550206057962577E-3</v>
      </c>
      <c r="K448" s="8">
        <f t="shared" ref="K448:K511" si="27">+G448/G387-1</f>
        <v>-1.4204535729567813E-2</v>
      </c>
    </row>
    <row r="449" spans="1:11" x14ac:dyDescent="0.25">
      <c r="A449" t="str">
        <f t="shared" si="24"/>
        <v>102018</v>
      </c>
      <c r="B449" s="1">
        <v>43396</v>
      </c>
      <c r="C449" t="s">
        <v>293</v>
      </c>
      <c r="D449">
        <v>28596.25</v>
      </c>
      <c r="E449">
        <v>28797.7</v>
      </c>
      <c r="F449">
        <v>28403.45</v>
      </c>
      <c r="G449">
        <v>28480.6</v>
      </c>
      <c r="H449">
        <v>0</v>
      </c>
      <c r="I449" s="8">
        <f t="shared" si="25"/>
        <v>-1.1006144619941649E-2</v>
      </c>
      <c r="J449" s="8">
        <f t="shared" si="26"/>
        <v>-1.1067160341254942E-2</v>
      </c>
      <c r="K449" s="8">
        <f t="shared" si="27"/>
        <v>-2.7335131996858109E-2</v>
      </c>
    </row>
    <row r="450" spans="1:11" x14ac:dyDescent="0.25">
      <c r="A450" t="str">
        <f t="shared" si="24"/>
        <v>102018</v>
      </c>
      <c r="B450" s="1">
        <v>43397</v>
      </c>
      <c r="C450" t="s">
        <v>294</v>
      </c>
      <c r="D450">
        <v>28680.75</v>
      </c>
      <c r="E450">
        <v>28784.3</v>
      </c>
      <c r="F450">
        <v>28449.15</v>
      </c>
      <c r="G450">
        <v>28631</v>
      </c>
      <c r="H450">
        <v>0</v>
      </c>
      <c r="I450" s="8">
        <f t="shared" si="25"/>
        <v>5.280787623856309E-3</v>
      </c>
      <c r="J450" s="8">
        <f t="shared" si="26"/>
        <v>5.2668931592376239E-3</v>
      </c>
      <c r="K450" s="8">
        <f t="shared" si="27"/>
        <v>-4.566196347442919E-2</v>
      </c>
    </row>
    <row r="451" spans="1:11" x14ac:dyDescent="0.25">
      <c r="A451" t="str">
        <f t="shared" ref="A451:A514" si="28">+MONTH(B451)&amp;YEAR(B451)</f>
        <v>102018</v>
      </c>
      <c r="B451" s="1">
        <v>43398</v>
      </c>
      <c r="C451" t="s">
        <v>295</v>
      </c>
      <c r="D451">
        <v>28400.95</v>
      </c>
      <c r="E451">
        <v>28524.7</v>
      </c>
      <c r="F451">
        <v>28284.400000000001</v>
      </c>
      <c r="G451">
        <v>28413.599999999999</v>
      </c>
      <c r="H451">
        <v>0</v>
      </c>
      <c r="I451" s="8">
        <f t="shared" si="25"/>
        <v>-7.5931682442108572E-3</v>
      </c>
      <c r="J451" s="8">
        <f t="shared" si="26"/>
        <v>-7.6221431134289473E-3</v>
      </c>
      <c r="K451" s="8">
        <f t="shared" si="27"/>
        <v>-5.370485393565283E-2</v>
      </c>
    </row>
    <row r="452" spans="1:11" x14ac:dyDescent="0.25">
      <c r="A452" t="str">
        <f t="shared" si="28"/>
        <v>102018</v>
      </c>
      <c r="B452" s="1">
        <v>43399</v>
      </c>
      <c r="C452" t="s">
        <v>296</v>
      </c>
      <c r="D452">
        <v>28485.7</v>
      </c>
      <c r="E452">
        <v>28502.799999999999</v>
      </c>
      <c r="F452">
        <v>27832.9</v>
      </c>
      <c r="G452">
        <v>28013.55</v>
      </c>
      <c r="H452">
        <v>0</v>
      </c>
      <c r="I452" s="8">
        <f t="shared" ref="I452:I515" si="29">+G452/G451-1</f>
        <v>-1.4079525297744699E-2</v>
      </c>
      <c r="J452" s="8">
        <f t="shared" ref="J452:J515" si="30">+LN(1+I452)</f>
        <v>-1.4179582092434832E-2</v>
      </c>
      <c r="K452" s="8">
        <f t="shared" si="27"/>
        <v>-6.5132111362328104E-2</v>
      </c>
    </row>
    <row r="453" spans="1:11" x14ac:dyDescent="0.25">
      <c r="A453" t="str">
        <f t="shared" si="28"/>
        <v>102018</v>
      </c>
      <c r="B453" s="1">
        <v>43402</v>
      </c>
      <c r="C453" t="s">
        <v>297</v>
      </c>
      <c r="D453">
        <v>28070.9</v>
      </c>
      <c r="E453">
        <v>28336.5</v>
      </c>
      <c r="F453">
        <v>27886.9</v>
      </c>
      <c r="G453">
        <v>28257.5</v>
      </c>
      <c r="H453">
        <v>0</v>
      </c>
      <c r="I453" s="8">
        <f t="shared" si="29"/>
        <v>8.7082858116875883E-3</v>
      </c>
      <c r="J453" s="8">
        <f t="shared" si="30"/>
        <v>8.6705873917849157E-3</v>
      </c>
      <c r="K453" s="8">
        <f t="shared" si="27"/>
        <v>-5.9220109034916146E-2</v>
      </c>
    </row>
    <row r="454" spans="1:11" x14ac:dyDescent="0.25">
      <c r="A454" t="str">
        <f t="shared" si="28"/>
        <v>102018</v>
      </c>
      <c r="B454" s="1">
        <v>43403</v>
      </c>
      <c r="C454" t="s">
        <v>298</v>
      </c>
      <c r="D454">
        <v>28247.4</v>
      </c>
      <c r="E454">
        <v>28359.3</v>
      </c>
      <c r="F454">
        <v>28112</v>
      </c>
      <c r="G454">
        <v>28271.3</v>
      </c>
      <c r="H454">
        <v>0</v>
      </c>
      <c r="I454" s="8">
        <f t="shared" si="29"/>
        <v>4.8836592055212513E-4</v>
      </c>
      <c r="J454" s="8">
        <f t="shared" si="30"/>
        <v>4.8824670872702944E-4</v>
      </c>
      <c r="K454" s="8">
        <f t="shared" si="27"/>
        <v>-8.0588695370796382E-2</v>
      </c>
    </row>
    <row r="455" spans="1:11" x14ac:dyDescent="0.25">
      <c r="A455" t="str">
        <f t="shared" si="28"/>
        <v>102018</v>
      </c>
      <c r="B455" s="1">
        <v>43404</v>
      </c>
      <c r="C455" t="s">
        <v>299</v>
      </c>
      <c r="D455">
        <v>28305.5</v>
      </c>
      <c r="E455">
        <v>28599.15</v>
      </c>
      <c r="F455">
        <v>27795.95</v>
      </c>
      <c r="G455">
        <v>28547.1</v>
      </c>
      <c r="H455">
        <v>0</v>
      </c>
      <c r="I455" s="8">
        <f t="shared" si="29"/>
        <v>9.75547640186325E-3</v>
      </c>
      <c r="J455" s="8">
        <f t="shared" si="30"/>
        <v>9.7081989691966426E-3</v>
      </c>
      <c r="K455" s="8">
        <f t="shared" si="27"/>
        <v>-7.4246187971436561E-2</v>
      </c>
    </row>
    <row r="456" spans="1:11" x14ac:dyDescent="0.25">
      <c r="A456" t="str">
        <f t="shared" si="28"/>
        <v>112018</v>
      </c>
      <c r="B456" s="1">
        <v>43405</v>
      </c>
      <c r="C456" s="10">
        <v>43111.645833333336</v>
      </c>
      <c r="D456">
        <v>28628.25</v>
      </c>
      <c r="E456">
        <v>28718.25</v>
      </c>
      <c r="F456">
        <v>28161.7</v>
      </c>
      <c r="G456">
        <v>28355.1</v>
      </c>
      <c r="H456">
        <v>0</v>
      </c>
      <c r="I456" s="8">
        <f t="shared" si="29"/>
        <v>-6.7257269565034195E-3</v>
      </c>
      <c r="J456" s="8">
        <f t="shared" si="30"/>
        <v>-6.7484465860352281E-3</v>
      </c>
      <c r="K456" s="8">
        <f t="shared" si="27"/>
        <v>-8.5533222069032244E-2</v>
      </c>
    </row>
    <row r="457" spans="1:11" x14ac:dyDescent="0.25">
      <c r="A457" t="str">
        <f t="shared" si="28"/>
        <v>112018</v>
      </c>
      <c r="B457" s="1">
        <v>43406</v>
      </c>
      <c r="C457" s="10">
        <v>43142.645833333336</v>
      </c>
      <c r="D457">
        <v>28489.75</v>
      </c>
      <c r="E457">
        <v>29091.05</v>
      </c>
      <c r="F457">
        <v>28489.1</v>
      </c>
      <c r="G457">
        <v>28836.799999999999</v>
      </c>
      <c r="H457">
        <v>0</v>
      </c>
      <c r="I457" s="8">
        <f t="shared" si="29"/>
        <v>1.698812559292695E-2</v>
      </c>
      <c r="J457" s="8">
        <f t="shared" si="30"/>
        <v>1.6845441081766183E-2</v>
      </c>
      <c r="K457" s="8">
        <f t="shared" si="27"/>
        <v>-7.500537287771325E-2</v>
      </c>
    </row>
    <row r="458" spans="1:11" x14ac:dyDescent="0.25">
      <c r="A458" t="str">
        <f t="shared" si="28"/>
        <v>112018</v>
      </c>
      <c r="B458" s="1">
        <v>43409</v>
      </c>
      <c r="C458" s="10">
        <v>43231.791666666664</v>
      </c>
      <c r="D458">
        <v>28929.3</v>
      </c>
      <c r="E458">
        <v>28929.3</v>
      </c>
      <c r="F458">
        <v>28517</v>
      </c>
      <c r="G458">
        <v>28725.1</v>
      </c>
      <c r="H458">
        <v>0</v>
      </c>
      <c r="I458" s="8">
        <f t="shared" si="29"/>
        <v>-3.8735227209676371E-3</v>
      </c>
      <c r="J458" s="8">
        <f t="shared" si="30"/>
        <v>-3.8810442395673544E-3</v>
      </c>
      <c r="K458" s="8">
        <f t="shared" si="27"/>
        <v>-7.5627710155187877E-2</v>
      </c>
    </row>
    <row r="459" spans="1:11" x14ac:dyDescent="0.25">
      <c r="A459" t="str">
        <f t="shared" si="28"/>
        <v>112018</v>
      </c>
      <c r="B459" s="1">
        <v>43410</v>
      </c>
      <c r="C459" s="10">
        <v>43262.645833333336</v>
      </c>
      <c r="D459">
        <v>28874.25</v>
      </c>
      <c r="E459">
        <v>28875.25</v>
      </c>
      <c r="F459">
        <v>28396.5</v>
      </c>
      <c r="G459">
        <v>28497.1</v>
      </c>
      <c r="H459">
        <v>0</v>
      </c>
      <c r="I459" s="8">
        <f t="shared" si="29"/>
        <v>-7.937309182561636E-3</v>
      </c>
      <c r="J459" s="8">
        <f t="shared" si="30"/>
        <v>-7.9689773055251576E-3</v>
      </c>
      <c r="K459" s="8">
        <f t="shared" si="27"/>
        <v>-9.3169599315193863E-2</v>
      </c>
    </row>
    <row r="460" spans="1:11" x14ac:dyDescent="0.25">
      <c r="A460" t="str">
        <f t="shared" si="28"/>
        <v>112018</v>
      </c>
      <c r="B460" s="1">
        <v>43413</v>
      </c>
      <c r="C460" s="10">
        <v>43354.645833333336</v>
      </c>
      <c r="D460">
        <v>28769.4</v>
      </c>
      <c r="E460">
        <v>28866.55</v>
      </c>
      <c r="F460">
        <v>28586</v>
      </c>
      <c r="G460">
        <v>28731.05</v>
      </c>
      <c r="H460">
        <v>0</v>
      </c>
      <c r="I460" s="8">
        <f t="shared" si="29"/>
        <v>8.2096072933737219E-3</v>
      </c>
      <c r="J460" s="8">
        <f t="shared" si="30"/>
        <v>8.1760917752997063E-3</v>
      </c>
      <c r="K460" s="8">
        <f t="shared" si="27"/>
        <v>-7.9781884568573491E-2</v>
      </c>
    </row>
    <row r="461" spans="1:11" x14ac:dyDescent="0.25">
      <c r="A461" t="str">
        <f t="shared" si="28"/>
        <v>112018</v>
      </c>
      <c r="B461" s="1">
        <v>43416</v>
      </c>
      <c r="C461" s="10">
        <v>43445.645833333336</v>
      </c>
      <c r="D461">
        <v>28783</v>
      </c>
      <c r="E461">
        <v>28839.599999999999</v>
      </c>
      <c r="F461">
        <v>28479.65</v>
      </c>
      <c r="G461">
        <v>28536.35</v>
      </c>
      <c r="H461">
        <v>0</v>
      </c>
      <c r="I461" s="8">
        <f t="shared" si="29"/>
        <v>-6.7766406031105619E-3</v>
      </c>
      <c r="J461" s="8">
        <f t="shared" si="30"/>
        <v>-6.7997062963785467E-3</v>
      </c>
      <c r="K461" s="8">
        <f t="shared" si="27"/>
        <v>-8.3621410806236973E-2</v>
      </c>
    </row>
    <row r="462" spans="1:11" x14ac:dyDescent="0.25">
      <c r="A462" t="str">
        <f t="shared" si="28"/>
        <v>112018</v>
      </c>
      <c r="B462" s="1">
        <v>43417</v>
      </c>
      <c r="C462" t="s">
        <v>300</v>
      </c>
      <c r="D462">
        <v>28499.05</v>
      </c>
      <c r="E462">
        <v>28850.35</v>
      </c>
      <c r="F462">
        <v>28405</v>
      </c>
      <c r="G462">
        <v>28783.35</v>
      </c>
      <c r="H462">
        <v>0</v>
      </c>
      <c r="I462" s="8">
        <f t="shared" si="29"/>
        <v>8.655626945982986E-3</v>
      </c>
      <c r="J462" s="8">
        <f t="shared" si="30"/>
        <v>8.6183817729736031E-3</v>
      </c>
      <c r="K462" s="8">
        <f t="shared" si="27"/>
        <v>-8.0477597635971621E-2</v>
      </c>
    </row>
    <row r="463" spans="1:11" x14ac:dyDescent="0.25">
      <c r="A463" t="str">
        <f t="shared" si="28"/>
        <v>112018</v>
      </c>
      <c r="B463" s="1">
        <v>43418</v>
      </c>
      <c r="C463" t="s">
        <v>301</v>
      </c>
      <c r="D463">
        <v>28892.6</v>
      </c>
      <c r="E463">
        <v>29196.15</v>
      </c>
      <c r="F463">
        <v>28803.599999999999</v>
      </c>
      <c r="G463">
        <v>29047.9</v>
      </c>
      <c r="H463">
        <v>0</v>
      </c>
      <c r="I463" s="8">
        <f t="shared" si="29"/>
        <v>9.1910774805574746E-3</v>
      </c>
      <c r="J463" s="8">
        <f t="shared" si="30"/>
        <v>9.1490965651009823E-3</v>
      </c>
      <c r="K463" s="8">
        <f t="shared" si="27"/>
        <v>-7.4275261285177252E-2</v>
      </c>
    </row>
    <row r="464" spans="1:11" x14ac:dyDescent="0.25">
      <c r="A464" t="str">
        <f t="shared" si="28"/>
        <v>112018</v>
      </c>
      <c r="B464" s="1">
        <v>43419</v>
      </c>
      <c r="C464" t="s">
        <v>302</v>
      </c>
      <c r="D464">
        <v>29134.3</v>
      </c>
      <c r="E464">
        <v>29277.15</v>
      </c>
      <c r="F464">
        <v>28900.35</v>
      </c>
      <c r="G464">
        <v>29020.5</v>
      </c>
      <c r="H464">
        <v>0</v>
      </c>
      <c r="I464" s="8">
        <f t="shared" si="29"/>
        <v>-9.432695650977152E-4</v>
      </c>
      <c r="J464" s="8">
        <f t="shared" si="30"/>
        <v>-9.4371472379238292E-4</v>
      </c>
      <c r="K464" s="8">
        <f t="shared" si="27"/>
        <v>-7.797959644033825E-2</v>
      </c>
    </row>
    <row r="465" spans="1:11" x14ac:dyDescent="0.25">
      <c r="A465" t="str">
        <f t="shared" si="28"/>
        <v>112018</v>
      </c>
      <c r="B465" s="1">
        <v>43420</v>
      </c>
      <c r="C465" t="s">
        <v>303</v>
      </c>
      <c r="D465">
        <v>29099.95</v>
      </c>
      <c r="E465">
        <v>29266.400000000001</v>
      </c>
      <c r="F465">
        <v>29041.55</v>
      </c>
      <c r="G465">
        <v>29153.35</v>
      </c>
      <c r="H465">
        <v>0</v>
      </c>
      <c r="I465" s="8">
        <f t="shared" si="29"/>
        <v>4.577798452817694E-3</v>
      </c>
      <c r="J465" s="8">
        <f t="shared" si="30"/>
        <v>4.567352201902279E-3</v>
      </c>
      <c r="K465" s="8">
        <f t="shared" si="27"/>
        <v>-7.3901476345904937E-2</v>
      </c>
    </row>
    <row r="466" spans="1:11" x14ac:dyDescent="0.25">
      <c r="A466" t="str">
        <f t="shared" si="28"/>
        <v>112018</v>
      </c>
      <c r="B466" s="1">
        <v>43423</v>
      </c>
      <c r="C466" t="s">
        <v>304</v>
      </c>
      <c r="D466">
        <v>29248.3</v>
      </c>
      <c r="E466">
        <v>29702.35</v>
      </c>
      <c r="F466">
        <v>29141.599999999999</v>
      </c>
      <c r="G466">
        <v>29651.599999999999</v>
      </c>
      <c r="H466">
        <v>0</v>
      </c>
      <c r="I466" s="8">
        <f t="shared" si="29"/>
        <v>1.7090660250022705E-2</v>
      </c>
      <c r="J466" s="8">
        <f t="shared" si="30"/>
        <v>1.6946257881878583E-2</v>
      </c>
      <c r="K466" s="8">
        <f t="shared" si="27"/>
        <v>-6.536276309879363E-2</v>
      </c>
    </row>
    <row r="467" spans="1:11" x14ac:dyDescent="0.25">
      <c r="A467" t="str">
        <f t="shared" si="28"/>
        <v>112018</v>
      </c>
      <c r="B467" s="1">
        <v>43424</v>
      </c>
      <c r="C467" t="s">
        <v>305</v>
      </c>
      <c r="D467">
        <v>29660.2</v>
      </c>
      <c r="E467">
        <v>29721.1</v>
      </c>
      <c r="F467">
        <v>29307.95</v>
      </c>
      <c r="G467">
        <v>29407.65</v>
      </c>
      <c r="H467">
        <v>0</v>
      </c>
      <c r="I467" s="8">
        <f t="shared" si="29"/>
        <v>-8.2272120222853795E-3</v>
      </c>
      <c r="J467" s="8">
        <f t="shared" si="30"/>
        <v>-8.2612423092374692E-3</v>
      </c>
      <c r="K467" s="8">
        <f t="shared" si="27"/>
        <v>-7.3227496553082472E-2</v>
      </c>
    </row>
    <row r="468" spans="1:11" x14ac:dyDescent="0.25">
      <c r="A468" t="str">
        <f t="shared" si="28"/>
        <v>112018</v>
      </c>
      <c r="B468" s="1">
        <v>43425</v>
      </c>
      <c r="C468" t="s">
        <v>306</v>
      </c>
      <c r="D468">
        <v>29425.75</v>
      </c>
      <c r="E468">
        <v>29516.45</v>
      </c>
      <c r="F468">
        <v>29228.799999999999</v>
      </c>
      <c r="G468">
        <v>29390.85</v>
      </c>
      <c r="H468">
        <v>0</v>
      </c>
      <c r="I468" s="8">
        <f t="shared" si="29"/>
        <v>-5.7127992206118527E-4</v>
      </c>
      <c r="J468" s="8">
        <f t="shared" si="30"/>
        <v>-5.7144316461028161E-4</v>
      </c>
      <c r="K468" s="8">
        <f t="shared" si="27"/>
        <v>-9.1193427344732014E-2</v>
      </c>
    </row>
    <row r="469" spans="1:11" x14ac:dyDescent="0.25">
      <c r="A469" t="str">
        <f t="shared" si="28"/>
        <v>112018</v>
      </c>
      <c r="B469" s="1">
        <v>43426</v>
      </c>
      <c r="C469" t="s">
        <v>307</v>
      </c>
      <c r="D469">
        <v>29385.65</v>
      </c>
      <c r="E469">
        <v>29581.05</v>
      </c>
      <c r="F469">
        <v>29179.75</v>
      </c>
      <c r="G469">
        <v>29244.1</v>
      </c>
      <c r="H469">
        <v>0</v>
      </c>
      <c r="I469" s="8">
        <f t="shared" si="29"/>
        <v>-4.9930505582519435E-3</v>
      </c>
      <c r="J469" s="8">
        <f t="shared" si="30"/>
        <v>-5.0055574843689502E-3</v>
      </c>
      <c r="K469" s="8">
        <f t="shared" si="27"/>
        <v>-9.6830083324582983E-2</v>
      </c>
    </row>
    <row r="470" spans="1:11" x14ac:dyDescent="0.25">
      <c r="A470" t="str">
        <f t="shared" si="28"/>
        <v>112018</v>
      </c>
      <c r="B470" s="1">
        <v>43430</v>
      </c>
      <c r="C470" t="s">
        <v>308</v>
      </c>
      <c r="D470">
        <v>29336.3</v>
      </c>
      <c r="E470">
        <v>29984.95</v>
      </c>
      <c r="F470">
        <v>29312.75</v>
      </c>
      <c r="G470">
        <v>29935.5</v>
      </c>
      <c r="H470">
        <v>0</v>
      </c>
      <c r="I470" s="8">
        <f t="shared" si="29"/>
        <v>2.3642375727069842E-2</v>
      </c>
      <c r="J470" s="8">
        <f t="shared" si="30"/>
        <v>2.3367223163934046E-2</v>
      </c>
      <c r="K470" s="8">
        <f t="shared" si="27"/>
        <v>-7.3387935517420733E-2</v>
      </c>
    </row>
    <row r="471" spans="1:11" x14ac:dyDescent="0.25">
      <c r="A471" t="str">
        <f t="shared" si="28"/>
        <v>112018</v>
      </c>
      <c r="B471" s="1">
        <v>43431</v>
      </c>
      <c r="C471" t="s">
        <v>309</v>
      </c>
      <c r="D471">
        <v>29938.15</v>
      </c>
      <c r="E471">
        <v>29951.8</v>
      </c>
      <c r="F471">
        <v>29711.95</v>
      </c>
      <c r="G471">
        <v>29913.45</v>
      </c>
      <c r="H471">
        <v>0</v>
      </c>
      <c r="I471" s="8">
        <f t="shared" si="29"/>
        <v>-7.3658365485795851E-4</v>
      </c>
      <c r="J471" s="8">
        <f t="shared" si="30"/>
        <v>-7.3685506588439507E-4</v>
      </c>
      <c r="K471" s="8">
        <f t="shared" si="27"/>
        <v>-8.2416545885384274E-2</v>
      </c>
    </row>
    <row r="472" spans="1:11" x14ac:dyDescent="0.25">
      <c r="A472" t="str">
        <f t="shared" si="28"/>
        <v>112018</v>
      </c>
      <c r="B472" s="1">
        <v>43432</v>
      </c>
      <c r="C472" t="s">
        <v>310</v>
      </c>
      <c r="D472">
        <v>29952.95</v>
      </c>
      <c r="E472">
        <v>30151.9</v>
      </c>
      <c r="F472">
        <v>29578.1</v>
      </c>
      <c r="G472">
        <v>29682.6</v>
      </c>
      <c r="H472">
        <v>0</v>
      </c>
      <c r="I472" s="8">
        <f t="shared" si="29"/>
        <v>-7.7172643075272829E-3</v>
      </c>
      <c r="J472" s="8">
        <f t="shared" si="30"/>
        <v>-7.747196487531879E-3</v>
      </c>
      <c r="K472" s="8">
        <f t="shared" si="27"/>
        <v>-8.346160556173976E-2</v>
      </c>
    </row>
    <row r="473" spans="1:11" x14ac:dyDescent="0.25">
      <c r="A473" t="str">
        <f t="shared" si="28"/>
        <v>112018</v>
      </c>
      <c r="B473" s="1">
        <v>43433</v>
      </c>
      <c r="C473" t="s">
        <v>311</v>
      </c>
      <c r="D473">
        <v>29863.05</v>
      </c>
      <c r="E473">
        <v>30176.3</v>
      </c>
      <c r="F473">
        <v>29798.5</v>
      </c>
      <c r="G473">
        <v>30097.95</v>
      </c>
      <c r="H473">
        <v>0</v>
      </c>
      <c r="I473" s="8">
        <f t="shared" si="29"/>
        <v>1.3993046431242551E-2</v>
      </c>
      <c r="J473" s="8">
        <f t="shared" si="30"/>
        <v>1.3896047582601059E-2</v>
      </c>
      <c r="K473" s="8">
        <f t="shared" si="27"/>
        <v>-7.6866099662312393E-2</v>
      </c>
    </row>
    <row r="474" spans="1:11" x14ac:dyDescent="0.25">
      <c r="A474" t="str">
        <f t="shared" si="28"/>
        <v>112018</v>
      </c>
      <c r="B474" s="1">
        <v>43434</v>
      </c>
      <c r="C474" t="s">
        <v>312</v>
      </c>
      <c r="D474">
        <v>30226.15</v>
      </c>
      <c r="E474">
        <v>30438.55</v>
      </c>
      <c r="F474">
        <v>29924.7</v>
      </c>
      <c r="G474">
        <v>30126.25</v>
      </c>
      <c r="H474">
        <v>0</v>
      </c>
      <c r="I474" s="8">
        <f t="shared" si="29"/>
        <v>9.4026337341901467E-4</v>
      </c>
      <c r="J474" s="8">
        <f t="shared" si="30"/>
        <v>9.3982160271217409E-4</v>
      </c>
      <c r="K474" s="8">
        <f t="shared" si="27"/>
        <v>-7.2877284820284105E-2</v>
      </c>
    </row>
    <row r="475" spans="1:11" x14ac:dyDescent="0.25">
      <c r="A475" t="str">
        <f t="shared" si="28"/>
        <v>122018</v>
      </c>
      <c r="B475" s="1">
        <v>43437</v>
      </c>
      <c r="C475" s="10">
        <v>43171.645833333336</v>
      </c>
      <c r="D475">
        <v>30312</v>
      </c>
      <c r="E475">
        <v>30526.25</v>
      </c>
      <c r="F475">
        <v>30077.85</v>
      </c>
      <c r="G475">
        <v>30348.35</v>
      </c>
      <c r="H475">
        <v>0</v>
      </c>
      <c r="I475" s="8">
        <f t="shared" si="29"/>
        <v>7.3723082029790721E-3</v>
      </c>
      <c r="J475" s="8">
        <f t="shared" si="30"/>
        <v>7.3452655686137361E-3</v>
      </c>
      <c r="K475" s="8">
        <f t="shared" si="27"/>
        <v>-6.4177479833238738E-2</v>
      </c>
    </row>
    <row r="476" spans="1:11" x14ac:dyDescent="0.25">
      <c r="A476" t="str">
        <f t="shared" si="28"/>
        <v>122018</v>
      </c>
      <c r="B476" s="1">
        <v>43438</v>
      </c>
      <c r="C476" s="10">
        <v>43202.645833333336</v>
      </c>
      <c r="D476">
        <v>30306.05</v>
      </c>
      <c r="E476">
        <v>30476.45</v>
      </c>
      <c r="F476">
        <v>30111.1</v>
      </c>
      <c r="G476">
        <v>30150.7</v>
      </c>
      <c r="H476">
        <v>0</v>
      </c>
      <c r="I476" s="8">
        <f t="shared" si="29"/>
        <v>-6.5127099166840674E-3</v>
      </c>
      <c r="J476" s="8">
        <f t="shared" si="30"/>
        <v>-6.5340101437473428E-3</v>
      </c>
      <c r="K476" s="8">
        <f t="shared" si="27"/>
        <v>-8.200280112044811E-2</v>
      </c>
    </row>
    <row r="477" spans="1:11" x14ac:dyDescent="0.25">
      <c r="A477" t="str">
        <f t="shared" si="28"/>
        <v>122018</v>
      </c>
      <c r="B477" s="1">
        <v>43439</v>
      </c>
      <c r="C477" s="10">
        <v>43232.645833333336</v>
      </c>
      <c r="D477">
        <v>30056.95</v>
      </c>
      <c r="E477">
        <v>30101.8</v>
      </c>
      <c r="F477">
        <v>29745</v>
      </c>
      <c r="G477">
        <v>29936.2</v>
      </c>
      <c r="H477">
        <v>0</v>
      </c>
      <c r="I477" s="8">
        <f t="shared" si="29"/>
        <v>-7.1142626871018022E-3</v>
      </c>
      <c r="J477" s="8">
        <f t="shared" si="30"/>
        <v>-7.1396897220651397E-3</v>
      </c>
      <c r="K477" s="8">
        <f t="shared" si="27"/>
        <v>-9.0404432486467567E-2</v>
      </c>
    </row>
    <row r="478" spans="1:11" x14ac:dyDescent="0.25">
      <c r="A478" t="str">
        <f t="shared" si="28"/>
        <v>122018</v>
      </c>
      <c r="B478" s="1">
        <v>43440</v>
      </c>
      <c r="C478" s="10">
        <v>43263.645833333336</v>
      </c>
      <c r="D478">
        <v>29803.85</v>
      </c>
      <c r="E478">
        <v>29803.85</v>
      </c>
      <c r="F478">
        <v>29440.5</v>
      </c>
      <c r="G478">
        <v>29489.3</v>
      </c>
      <c r="H478">
        <v>0</v>
      </c>
      <c r="I478" s="8">
        <f t="shared" si="29"/>
        <v>-1.4928414428016956E-2</v>
      </c>
      <c r="J478" s="8">
        <f t="shared" si="30"/>
        <v>-1.5040964743202464E-2</v>
      </c>
      <c r="K478" s="8">
        <f t="shared" si="27"/>
        <v>-8.160344819531884E-2</v>
      </c>
    </row>
    <row r="479" spans="1:11" x14ac:dyDescent="0.25">
      <c r="A479" t="str">
        <f t="shared" si="28"/>
        <v>122018</v>
      </c>
      <c r="B479" s="1">
        <v>43441</v>
      </c>
      <c r="C479" s="10">
        <v>43293.645833333336</v>
      </c>
      <c r="D479">
        <v>29606.15</v>
      </c>
      <c r="E479">
        <v>29745.65</v>
      </c>
      <c r="F479">
        <v>29530.95</v>
      </c>
      <c r="G479">
        <v>29673.65</v>
      </c>
      <c r="H479">
        <v>0</v>
      </c>
      <c r="I479" s="8">
        <f t="shared" si="29"/>
        <v>6.2514200065786341E-3</v>
      </c>
      <c r="J479" s="8">
        <f t="shared" si="30"/>
        <v>6.2319609363023481E-3</v>
      </c>
      <c r="K479" s="8">
        <f t="shared" si="27"/>
        <v>-5.6261161193474463E-2</v>
      </c>
    </row>
    <row r="480" spans="1:11" x14ac:dyDescent="0.25">
      <c r="A480" t="str">
        <f t="shared" si="28"/>
        <v>122018</v>
      </c>
      <c r="B480" s="1">
        <v>43444</v>
      </c>
      <c r="C480" s="10">
        <v>43385.645833333336</v>
      </c>
      <c r="D480">
        <v>29315.9</v>
      </c>
      <c r="E480">
        <v>29382.55</v>
      </c>
      <c r="F480">
        <v>29161.8</v>
      </c>
      <c r="G480">
        <v>29211.5</v>
      </c>
      <c r="H480">
        <v>0</v>
      </c>
      <c r="I480" s="8">
        <f t="shared" si="29"/>
        <v>-1.5574423773280333E-2</v>
      </c>
      <c r="J480" s="8">
        <f t="shared" si="30"/>
        <v>-1.5696979264026825E-2</v>
      </c>
      <c r="K480" s="8">
        <f t="shared" si="27"/>
        <v>-6.27982745593757E-2</v>
      </c>
    </row>
    <row r="481" spans="1:11" x14ac:dyDescent="0.25">
      <c r="A481" t="str">
        <f t="shared" si="28"/>
        <v>122018</v>
      </c>
      <c r="B481" s="1">
        <v>43445</v>
      </c>
      <c r="C481" s="10">
        <v>43416.645833333336</v>
      </c>
      <c r="D481">
        <v>28974.65</v>
      </c>
      <c r="E481">
        <v>29700.9</v>
      </c>
      <c r="F481">
        <v>28960.65</v>
      </c>
      <c r="G481">
        <v>29562.95</v>
      </c>
      <c r="H481">
        <v>0</v>
      </c>
      <c r="I481" s="8">
        <f t="shared" si="29"/>
        <v>1.2031220580935642E-2</v>
      </c>
      <c r="J481" s="8">
        <f t="shared" si="30"/>
        <v>1.1959420765829345E-2</v>
      </c>
      <c r="K481" s="8">
        <f t="shared" si="27"/>
        <v>-5.1169470989897992E-2</v>
      </c>
    </row>
    <row r="482" spans="1:11" x14ac:dyDescent="0.25">
      <c r="A482" t="str">
        <f t="shared" si="28"/>
        <v>122018</v>
      </c>
      <c r="B482" s="1">
        <v>43446</v>
      </c>
      <c r="C482" s="10">
        <v>43446.645833333336</v>
      </c>
      <c r="D482">
        <v>29656.35</v>
      </c>
      <c r="E482">
        <v>30169.4</v>
      </c>
      <c r="F482">
        <v>29573.65</v>
      </c>
      <c r="G482">
        <v>30085.4</v>
      </c>
      <c r="H482">
        <v>0</v>
      </c>
      <c r="I482" s="8">
        <f t="shared" si="29"/>
        <v>1.7672458262791846E-2</v>
      </c>
      <c r="J482" s="8">
        <f t="shared" si="30"/>
        <v>1.7518116122605322E-2</v>
      </c>
      <c r="K482" s="8">
        <f t="shared" si="27"/>
        <v>-4.046972823504269E-2</v>
      </c>
    </row>
    <row r="483" spans="1:11" x14ac:dyDescent="0.25">
      <c r="A483" t="str">
        <f t="shared" si="28"/>
        <v>122018</v>
      </c>
      <c r="B483" s="1">
        <v>43447</v>
      </c>
      <c r="C483" t="s">
        <v>313</v>
      </c>
      <c r="D483">
        <v>30286.95</v>
      </c>
      <c r="E483">
        <v>30489.05</v>
      </c>
      <c r="F483">
        <v>30179.05</v>
      </c>
      <c r="G483">
        <v>30291.25</v>
      </c>
      <c r="H483">
        <v>0</v>
      </c>
      <c r="I483" s="8">
        <f t="shared" si="29"/>
        <v>6.8421892346453017E-3</v>
      </c>
      <c r="J483" s="8">
        <f t="shared" si="30"/>
        <v>6.8188876865675815E-3</v>
      </c>
      <c r="K483" s="8">
        <f t="shared" si="27"/>
        <v>-1.6888120058679124E-2</v>
      </c>
    </row>
    <row r="484" spans="1:11" x14ac:dyDescent="0.25">
      <c r="A484" t="str">
        <f t="shared" si="28"/>
        <v>122018</v>
      </c>
      <c r="B484" s="1">
        <v>43448</v>
      </c>
      <c r="C484" t="s">
        <v>314</v>
      </c>
      <c r="D484">
        <v>30166.9</v>
      </c>
      <c r="E484">
        <v>30406.75</v>
      </c>
      <c r="F484">
        <v>30119.55</v>
      </c>
      <c r="G484">
        <v>30371.5</v>
      </c>
      <c r="H484">
        <v>0</v>
      </c>
      <c r="I484" s="8">
        <f t="shared" si="29"/>
        <v>2.6492799075641393E-3</v>
      </c>
      <c r="J484" s="8">
        <f t="shared" si="30"/>
        <v>2.6457767514132488E-3</v>
      </c>
      <c r="K484" s="8">
        <f t="shared" si="27"/>
        <v>1.0108904782730965E-2</v>
      </c>
    </row>
    <row r="485" spans="1:11" x14ac:dyDescent="0.25">
      <c r="A485" t="str">
        <f t="shared" si="28"/>
        <v>122018</v>
      </c>
      <c r="B485" s="1">
        <v>43451</v>
      </c>
      <c r="C485" t="s">
        <v>315</v>
      </c>
      <c r="D485">
        <v>30477.599999999999</v>
      </c>
      <c r="E485">
        <v>30719.7</v>
      </c>
      <c r="F485">
        <v>30393.5</v>
      </c>
      <c r="G485">
        <v>30624.2</v>
      </c>
      <c r="H485">
        <v>0</v>
      </c>
      <c r="I485" s="8">
        <f t="shared" si="29"/>
        <v>8.3203002815139815E-3</v>
      </c>
      <c r="J485" s="8">
        <f t="shared" si="30"/>
        <v>8.2858773905148675E-3</v>
      </c>
      <c r="K485" s="8">
        <f t="shared" si="27"/>
        <v>-6.6173179102250179E-3</v>
      </c>
    </row>
    <row r="486" spans="1:11" x14ac:dyDescent="0.25">
      <c r="A486" t="str">
        <f t="shared" si="28"/>
        <v>122018</v>
      </c>
      <c r="B486" s="1">
        <v>43452</v>
      </c>
      <c r="C486" t="s">
        <v>316</v>
      </c>
      <c r="D486">
        <v>30566.65</v>
      </c>
      <c r="E486">
        <v>30652.65</v>
      </c>
      <c r="F486">
        <v>30426.1</v>
      </c>
      <c r="G486">
        <v>30589.4</v>
      </c>
      <c r="H486">
        <v>0</v>
      </c>
      <c r="I486" s="8">
        <f t="shared" si="29"/>
        <v>-1.1363562150195072E-3</v>
      </c>
      <c r="J486" s="8">
        <f t="shared" si="30"/>
        <v>-1.1370023572881175E-3</v>
      </c>
      <c r="K486" s="8">
        <f t="shared" si="27"/>
        <v>-1.2850301410886833E-2</v>
      </c>
    </row>
    <row r="487" spans="1:11" x14ac:dyDescent="0.25">
      <c r="A487" t="str">
        <f t="shared" si="28"/>
        <v>122018</v>
      </c>
      <c r="B487" s="1">
        <v>43453</v>
      </c>
      <c r="C487" t="s">
        <v>317</v>
      </c>
      <c r="D487">
        <v>30720.3</v>
      </c>
      <c r="E487">
        <v>31058.65</v>
      </c>
      <c r="F487">
        <v>30692.5</v>
      </c>
      <c r="G487">
        <v>30977.25</v>
      </c>
      <c r="H487">
        <v>0</v>
      </c>
      <c r="I487" s="8">
        <f t="shared" si="29"/>
        <v>1.2679228752443539E-2</v>
      </c>
      <c r="J487" s="8">
        <f t="shared" si="30"/>
        <v>1.2599520384860613E-2</v>
      </c>
      <c r="K487" s="8">
        <f t="shared" si="27"/>
        <v>1.3661760976447779E-2</v>
      </c>
    </row>
    <row r="488" spans="1:11" x14ac:dyDescent="0.25">
      <c r="A488" t="str">
        <f t="shared" si="28"/>
        <v>122018</v>
      </c>
      <c r="B488" s="1">
        <v>43454</v>
      </c>
      <c r="C488" t="s">
        <v>318</v>
      </c>
      <c r="D488">
        <v>30791.65</v>
      </c>
      <c r="E488">
        <v>31064.35</v>
      </c>
      <c r="F488">
        <v>30642.15</v>
      </c>
      <c r="G488">
        <v>30759.95</v>
      </c>
      <c r="H488">
        <v>0</v>
      </c>
      <c r="I488" s="8">
        <f t="shared" si="29"/>
        <v>-7.0148253960568008E-3</v>
      </c>
      <c r="J488" s="8">
        <f t="shared" si="30"/>
        <v>-7.0395449538111698E-3</v>
      </c>
      <c r="K488" s="8">
        <f t="shared" si="27"/>
        <v>-4.3148584237656662E-3</v>
      </c>
    </row>
    <row r="489" spans="1:11" x14ac:dyDescent="0.25">
      <c r="A489" t="str">
        <f t="shared" si="28"/>
        <v>122018</v>
      </c>
      <c r="B489" s="1">
        <v>43455</v>
      </c>
      <c r="C489" t="s">
        <v>319</v>
      </c>
      <c r="D489">
        <v>30798</v>
      </c>
      <c r="E489">
        <v>30886.6</v>
      </c>
      <c r="F489">
        <v>30157.35</v>
      </c>
      <c r="G489">
        <v>30199.8</v>
      </c>
      <c r="H489">
        <v>0</v>
      </c>
      <c r="I489" s="8">
        <f t="shared" si="29"/>
        <v>-1.8210367702158226E-2</v>
      </c>
      <c r="J489" s="8">
        <f t="shared" si="30"/>
        <v>-1.8378217306137184E-2</v>
      </c>
      <c r="K489" s="8">
        <f t="shared" si="27"/>
        <v>-9.4431524844446058E-3</v>
      </c>
    </row>
    <row r="490" spans="1:11" x14ac:dyDescent="0.25">
      <c r="A490" t="str">
        <f t="shared" si="28"/>
        <v>122018</v>
      </c>
      <c r="B490" s="1">
        <v>43458</v>
      </c>
      <c r="C490" t="s">
        <v>320</v>
      </c>
      <c r="D490">
        <v>30371.7</v>
      </c>
      <c r="E490">
        <v>30420.05</v>
      </c>
      <c r="F490">
        <v>29876.400000000001</v>
      </c>
      <c r="G490">
        <v>29950.95</v>
      </c>
      <c r="H490">
        <v>0</v>
      </c>
      <c r="I490" s="8">
        <f t="shared" si="29"/>
        <v>-8.2401207955019595E-3</v>
      </c>
      <c r="J490" s="8">
        <f t="shared" si="30"/>
        <v>-8.274258251379828E-3</v>
      </c>
      <c r="K490" s="8">
        <f t="shared" si="27"/>
        <v>-1.4994951803702472E-2</v>
      </c>
    </row>
    <row r="491" spans="1:11" x14ac:dyDescent="0.25">
      <c r="A491" t="str">
        <f t="shared" si="28"/>
        <v>122018</v>
      </c>
      <c r="B491" s="1">
        <v>43460</v>
      </c>
      <c r="C491" t="s">
        <v>321</v>
      </c>
      <c r="D491">
        <v>29841.200000000001</v>
      </c>
      <c r="E491">
        <v>30109.1</v>
      </c>
      <c r="F491">
        <v>29569.8</v>
      </c>
      <c r="G491">
        <v>29996.25</v>
      </c>
      <c r="H491">
        <v>0</v>
      </c>
      <c r="I491" s="8">
        <f t="shared" si="29"/>
        <v>1.5124728931803499E-3</v>
      </c>
      <c r="J491" s="8">
        <f t="shared" si="30"/>
        <v>1.5113302580453953E-3</v>
      </c>
      <c r="K491" s="8">
        <f t="shared" si="27"/>
        <v>8.3044249929409286E-3</v>
      </c>
    </row>
    <row r="492" spans="1:11" x14ac:dyDescent="0.25">
      <c r="A492" t="str">
        <f t="shared" si="28"/>
        <v>122018</v>
      </c>
      <c r="B492" s="1">
        <v>43461</v>
      </c>
      <c r="C492" t="s">
        <v>322</v>
      </c>
      <c r="D492">
        <v>30218.25</v>
      </c>
      <c r="E492">
        <v>30431.35</v>
      </c>
      <c r="F492">
        <v>30148.95</v>
      </c>
      <c r="G492">
        <v>30377.5</v>
      </c>
      <c r="H492">
        <v>0</v>
      </c>
      <c r="I492" s="8">
        <f t="shared" si="29"/>
        <v>1.270992207359245E-2</v>
      </c>
      <c r="J492" s="8">
        <f t="shared" si="30"/>
        <v>1.2629828951625417E-2</v>
      </c>
      <c r="K492" s="8">
        <f t="shared" si="27"/>
        <v>8.403500822424359E-3</v>
      </c>
    </row>
    <row r="493" spans="1:11" x14ac:dyDescent="0.25">
      <c r="A493" t="str">
        <f t="shared" si="28"/>
        <v>122018</v>
      </c>
      <c r="B493" s="1">
        <v>43462</v>
      </c>
      <c r="C493" t="s">
        <v>323</v>
      </c>
      <c r="D493">
        <v>30354.75</v>
      </c>
      <c r="E493">
        <v>30666.6</v>
      </c>
      <c r="F493">
        <v>30336.45</v>
      </c>
      <c r="G493">
        <v>30544</v>
      </c>
      <c r="H493">
        <v>0</v>
      </c>
      <c r="I493" s="8">
        <f t="shared" si="29"/>
        <v>5.4810303678709538E-3</v>
      </c>
      <c r="J493" s="8">
        <f t="shared" si="30"/>
        <v>5.4660641827620256E-3</v>
      </c>
      <c r="K493" s="8">
        <f t="shared" si="27"/>
        <v>2.9018635465499099E-2</v>
      </c>
    </row>
    <row r="494" spans="1:11" x14ac:dyDescent="0.25">
      <c r="A494" t="str">
        <f t="shared" si="28"/>
        <v>122018</v>
      </c>
      <c r="B494" s="1">
        <v>43465</v>
      </c>
      <c r="C494" t="s">
        <v>324</v>
      </c>
      <c r="D494">
        <v>30633.85</v>
      </c>
      <c r="E494">
        <v>30729.05</v>
      </c>
      <c r="F494">
        <v>30486.5</v>
      </c>
      <c r="G494">
        <v>30516.65</v>
      </c>
      <c r="H494">
        <v>0</v>
      </c>
      <c r="I494" s="8">
        <f t="shared" si="29"/>
        <v>-8.9542954426391486E-4</v>
      </c>
      <c r="J494" s="8">
        <f t="shared" si="30"/>
        <v>-8.9583068077581801E-4</v>
      </c>
      <c r="K494" s="8">
        <f t="shared" si="27"/>
        <v>2.8873660876088447E-2</v>
      </c>
    </row>
    <row r="495" spans="1:11" x14ac:dyDescent="0.25">
      <c r="A495" t="str">
        <f t="shared" si="28"/>
        <v>12019</v>
      </c>
      <c r="B495" s="1">
        <v>43466</v>
      </c>
      <c r="C495" s="10">
        <v>43466.645833333336</v>
      </c>
      <c r="D495">
        <v>30579.1</v>
      </c>
      <c r="E495">
        <v>30613.200000000001</v>
      </c>
      <c r="F495">
        <v>30259.65</v>
      </c>
      <c r="G495">
        <v>30398.45</v>
      </c>
      <c r="H495">
        <v>0</v>
      </c>
      <c r="I495" s="8">
        <f t="shared" si="29"/>
        <v>-3.8732953977582696E-3</v>
      </c>
      <c r="J495" s="8">
        <f t="shared" si="30"/>
        <v>-3.8808160324183484E-3</v>
      </c>
      <c r="K495" s="8">
        <f t="shared" si="27"/>
        <v>2.1532242075160468E-2</v>
      </c>
    </row>
    <row r="496" spans="1:11" x14ac:dyDescent="0.25">
      <c r="A496" t="str">
        <f t="shared" si="28"/>
        <v>12019</v>
      </c>
      <c r="B496" s="1">
        <v>43467</v>
      </c>
      <c r="C496" s="10">
        <v>43497.645833333336</v>
      </c>
      <c r="D496">
        <v>30347.599999999999</v>
      </c>
      <c r="E496">
        <v>30455.1</v>
      </c>
      <c r="F496">
        <v>29985.8</v>
      </c>
      <c r="G496">
        <v>30195.200000000001</v>
      </c>
      <c r="H496">
        <v>0</v>
      </c>
      <c r="I496" s="8">
        <f t="shared" si="29"/>
        <v>-6.686196171186376E-3</v>
      </c>
      <c r="J496" s="8">
        <f t="shared" si="30"/>
        <v>-6.7086489190880888E-3</v>
      </c>
      <c r="K496" s="8">
        <f t="shared" si="27"/>
        <v>9.0747619357931519E-3</v>
      </c>
    </row>
    <row r="497" spans="1:11" x14ac:dyDescent="0.25">
      <c r="A497" t="str">
        <f t="shared" si="28"/>
        <v>12019</v>
      </c>
      <c r="B497" s="1">
        <v>43468</v>
      </c>
      <c r="C497" s="10">
        <v>43525.645833333336</v>
      </c>
      <c r="D497">
        <v>30187.8</v>
      </c>
      <c r="E497">
        <v>30479.3</v>
      </c>
      <c r="F497">
        <v>30122.1</v>
      </c>
      <c r="G497">
        <v>30189.200000000001</v>
      </c>
      <c r="H497">
        <v>0</v>
      </c>
      <c r="I497" s="8">
        <f t="shared" si="29"/>
        <v>-1.9870707927083231E-4</v>
      </c>
      <c r="J497" s="8">
        <f t="shared" si="30"/>
        <v>-1.9872682413818175E-4</v>
      </c>
      <c r="K497" s="8">
        <f t="shared" si="27"/>
        <v>2.3430362345985722E-2</v>
      </c>
    </row>
    <row r="498" spans="1:11" x14ac:dyDescent="0.25">
      <c r="A498" t="str">
        <f t="shared" si="28"/>
        <v>12019</v>
      </c>
      <c r="B498" s="1">
        <v>43469</v>
      </c>
      <c r="C498" s="10">
        <v>43556.645833333336</v>
      </c>
      <c r="D498">
        <v>30256.1</v>
      </c>
      <c r="E498">
        <v>30350.3</v>
      </c>
      <c r="F498">
        <v>30085.5</v>
      </c>
      <c r="G498">
        <v>30190.2</v>
      </c>
      <c r="H498">
        <v>0</v>
      </c>
      <c r="I498" s="8">
        <f t="shared" si="29"/>
        <v>3.3124428603592548E-5</v>
      </c>
      <c r="J498" s="8">
        <f t="shared" si="30"/>
        <v>3.3123880001822105E-5</v>
      </c>
      <c r="K498" s="8">
        <f t="shared" si="27"/>
        <v>5.449160149632748E-2</v>
      </c>
    </row>
    <row r="499" spans="1:11" x14ac:dyDescent="0.25">
      <c r="A499" t="str">
        <f t="shared" si="28"/>
        <v>12019</v>
      </c>
      <c r="B499" s="1">
        <v>43472</v>
      </c>
      <c r="C499" s="10">
        <v>43647.645833333336</v>
      </c>
      <c r="D499">
        <v>30440.9</v>
      </c>
      <c r="E499">
        <v>30491.200000000001</v>
      </c>
      <c r="F499">
        <v>30241.9</v>
      </c>
      <c r="G499">
        <v>30282.6</v>
      </c>
      <c r="H499">
        <v>0</v>
      </c>
      <c r="I499" s="8">
        <f t="shared" si="29"/>
        <v>3.0605958224854124E-3</v>
      </c>
      <c r="J499" s="8">
        <f t="shared" si="30"/>
        <v>3.0559217336604805E-3</v>
      </c>
      <c r="K499" s="8">
        <f t="shared" si="27"/>
        <v>8.6418070015570114E-2</v>
      </c>
    </row>
    <row r="500" spans="1:11" x14ac:dyDescent="0.25">
      <c r="A500" t="str">
        <f t="shared" si="28"/>
        <v>12019</v>
      </c>
      <c r="B500" s="1">
        <v>43473</v>
      </c>
      <c r="C500" s="10">
        <v>43678.645833333336</v>
      </c>
      <c r="D500">
        <v>30341.85</v>
      </c>
      <c r="E500">
        <v>30385.1</v>
      </c>
      <c r="F500">
        <v>30159.7</v>
      </c>
      <c r="G500">
        <v>30272</v>
      </c>
      <c r="H500">
        <v>0</v>
      </c>
      <c r="I500" s="8">
        <f t="shared" si="29"/>
        <v>-3.5003599426730592E-4</v>
      </c>
      <c r="J500" s="8">
        <f t="shared" si="30"/>
        <v>-3.5009727116577783E-4</v>
      </c>
      <c r="K500" s="8">
        <f t="shared" si="27"/>
        <v>9.2623205249442453E-2</v>
      </c>
    </row>
    <row r="501" spans="1:11" x14ac:dyDescent="0.25">
      <c r="A501" t="str">
        <f t="shared" si="28"/>
        <v>12019</v>
      </c>
      <c r="B501" s="1">
        <v>43474</v>
      </c>
      <c r="C501" s="10">
        <v>43709.645833333336</v>
      </c>
      <c r="D501">
        <v>30404.7</v>
      </c>
      <c r="E501">
        <v>30640.7</v>
      </c>
      <c r="F501">
        <v>30331.05</v>
      </c>
      <c r="G501">
        <v>30577.35</v>
      </c>
      <c r="H501">
        <v>0</v>
      </c>
      <c r="I501" s="8">
        <f t="shared" si="29"/>
        <v>1.0086878964059132E-2</v>
      </c>
      <c r="J501" s="8">
        <f t="shared" si="30"/>
        <v>1.0036345930061459E-2</v>
      </c>
      <c r="K501" s="8">
        <f t="shared" si="27"/>
        <v>0.12625208796430143</v>
      </c>
    </row>
    <row r="502" spans="1:11" x14ac:dyDescent="0.25">
      <c r="A502" t="str">
        <f t="shared" si="28"/>
        <v>12019</v>
      </c>
      <c r="B502" s="1">
        <v>43475</v>
      </c>
      <c r="C502" s="10">
        <v>43739.645833333336</v>
      </c>
      <c r="D502">
        <v>30614.55</v>
      </c>
      <c r="E502">
        <v>30774.3</v>
      </c>
      <c r="F502">
        <v>30519.25</v>
      </c>
      <c r="G502">
        <v>30571.65</v>
      </c>
      <c r="H502">
        <v>0</v>
      </c>
      <c r="I502" s="8">
        <f t="shared" si="29"/>
        <v>-1.8641249159911943E-4</v>
      </c>
      <c r="J502" s="8">
        <f t="shared" si="30"/>
        <v>-1.8642986856718768E-4</v>
      </c>
      <c r="K502" s="8">
        <f t="shared" si="27"/>
        <v>0.107808961281322</v>
      </c>
    </row>
    <row r="503" spans="1:11" x14ac:dyDescent="0.25">
      <c r="A503" t="str">
        <f t="shared" si="28"/>
        <v>12019</v>
      </c>
      <c r="B503" s="1">
        <v>43476</v>
      </c>
      <c r="C503" s="10">
        <v>43770.645833333336</v>
      </c>
      <c r="D503">
        <v>30704.45</v>
      </c>
      <c r="E503">
        <v>30849.25</v>
      </c>
      <c r="F503">
        <v>30611.95</v>
      </c>
      <c r="G503">
        <v>30759.05</v>
      </c>
      <c r="H503">
        <v>0</v>
      </c>
      <c r="I503" s="8">
        <f t="shared" si="29"/>
        <v>6.129862143521736E-3</v>
      </c>
      <c r="J503" s="8">
        <f t="shared" si="30"/>
        <v>6.1111509642727269E-3</v>
      </c>
      <c r="K503" s="8">
        <f t="shared" si="27"/>
        <v>0.12361826484018268</v>
      </c>
    </row>
    <row r="504" spans="1:11" x14ac:dyDescent="0.25">
      <c r="A504" t="str">
        <f t="shared" si="28"/>
        <v>12019</v>
      </c>
      <c r="B504" s="1">
        <v>43479</v>
      </c>
      <c r="C504" t="s">
        <v>325</v>
      </c>
      <c r="D504">
        <v>30735.1</v>
      </c>
      <c r="E504">
        <v>30753</v>
      </c>
      <c r="F504">
        <v>30456.799999999999</v>
      </c>
      <c r="G504">
        <v>30716.400000000001</v>
      </c>
      <c r="H504">
        <v>0</v>
      </c>
      <c r="I504" s="8">
        <f t="shared" si="29"/>
        <v>-1.386583785910056E-3</v>
      </c>
      <c r="J504" s="8">
        <f t="shared" si="30"/>
        <v>-1.3875459827549432E-3</v>
      </c>
      <c r="K504" s="8">
        <f t="shared" si="27"/>
        <v>9.1031148824926245E-2</v>
      </c>
    </row>
    <row r="505" spans="1:11" x14ac:dyDescent="0.25">
      <c r="A505" t="str">
        <f t="shared" si="28"/>
        <v>12019</v>
      </c>
      <c r="B505" s="1">
        <v>43480</v>
      </c>
      <c r="C505" t="s">
        <v>326</v>
      </c>
      <c r="D505">
        <v>30797.200000000001</v>
      </c>
      <c r="E505">
        <v>31045.9</v>
      </c>
      <c r="F505">
        <v>30759.9</v>
      </c>
      <c r="G505">
        <v>31011.05</v>
      </c>
      <c r="H505">
        <v>0</v>
      </c>
      <c r="I505" s="8">
        <f t="shared" si="29"/>
        <v>9.592595486450195E-3</v>
      </c>
      <c r="J505" s="8">
        <f t="shared" si="30"/>
        <v>9.5468786717860226E-3</v>
      </c>
      <c r="K505" s="8">
        <f t="shared" si="27"/>
        <v>9.4609381342501297E-2</v>
      </c>
    </row>
    <row r="506" spans="1:11" x14ac:dyDescent="0.25">
      <c r="A506" t="str">
        <f t="shared" si="28"/>
        <v>12019</v>
      </c>
      <c r="B506" s="1">
        <v>43481</v>
      </c>
      <c r="C506" t="s">
        <v>327</v>
      </c>
      <c r="D506">
        <v>30995.25</v>
      </c>
      <c r="E506">
        <v>31040.85</v>
      </c>
      <c r="F506">
        <v>30691</v>
      </c>
      <c r="G506">
        <v>30783.85</v>
      </c>
      <c r="H506">
        <v>0</v>
      </c>
      <c r="I506" s="8">
        <f t="shared" si="29"/>
        <v>-7.3264207435737028E-3</v>
      </c>
      <c r="J506" s="8">
        <f t="shared" si="30"/>
        <v>-7.3533907739640825E-3</v>
      </c>
      <c r="K506" s="8">
        <f t="shared" si="27"/>
        <v>8.0201415876413495E-2</v>
      </c>
    </row>
    <row r="507" spans="1:11" x14ac:dyDescent="0.25">
      <c r="A507" t="str">
        <f t="shared" si="28"/>
        <v>12019</v>
      </c>
      <c r="B507" s="1">
        <v>43482</v>
      </c>
      <c r="C507" t="s">
        <v>328</v>
      </c>
      <c r="D507">
        <v>30822.3</v>
      </c>
      <c r="E507">
        <v>30912.799999999999</v>
      </c>
      <c r="F507">
        <v>30514.95</v>
      </c>
      <c r="G507">
        <v>30737.25</v>
      </c>
      <c r="H507">
        <v>0</v>
      </c>
      <c r="I507" s="8">
        <f t="shared" si="29"/>
        <v>-1.5137807649140411E-3</v>
      </c>
      <c r="J507" s="8">
        <f t="shared" si="30"/>
        <v>-1.5149276886229823E-3</v>
      </c>
      <c r="K507" s="8">
        <f t="shared" si="27"/>
        <v>7.3852291922503976E-2</v>
      </c>
    </row>
    <row r="508" spans="1:11" x14ac:dyDescent="0.25">
      <c r="A508" t="str">
        <f t="shared" si="28"/>
        <v>12019</v>
      </c>
      <c r="B508" s="1">
        <v>43483</v>
      </c>
      <c r="C508" t="s">
        <v>329</v>
      </c>
      <c r="D508">
        <v>30727.8</v>
      </c>
      <c r="E508">
        <v>30855.95</v>
      </c>
      <c r="F508">
        <v>30461.3</v>
      </c>
      <c r="G508">
        <v>30540.35</v>
      </c>
      <c r="H508">
        <v>0</v>
      </c>
      <c r="I508" s="8">
        <f t="shared" si="29"/>
        <v>-6.4059081407739082E-3</v>
      </c>
      <c r="J508" s="8">
        <f t="shared" si="30"/>
        <v>-6.4265140170324964E-3</v>
      </c>
      <c r="K508" s="8">
        <f t="shared" si="27"/>
        <v>5.8765307979649961E-2</v>
      </c>
    </row>
    <row r="509" spans="1:11" x14ac:dyDescent="0.25">
      <c r="A509" t="str">
        <f t="shared" si="28"/>
        <v>12019</v>
      </c>
      <c r="B509" s="1">
        <v>43486</v>
      </c>
      <c r="C509" t="s">
        <v>330</v>
      </c>
      <c r="D509">
        <v>30626.7</v>
      </c>
      <c r="E509">
        <v>30727.4</v>
      </c>
      <c r="F509">
        <v>30403</v>
      </c>
      <c r="G509">
        <v>30485</v>
      </c>
      <c r="H509">
        <v>0</v>
      </c>
      <c r="I509" s="8">
        <f t="shared" si="29"/>
        <v>-1.8123564399228353E-3</v>
      </c>
      <c r="J509" s="8">
        <f t="shared" si="30"/>
        <v>-1.8140007448669462E-3</v>
      </c>
      <c r="K509" s="8">
        <f t="shared" si="27"/>
        <v>5.8596998703014602E-2</v>
      </c>
    </row>
    <row r="510" spans="1:11" x14ac:dyDescent="0.25">
      <c r="A510" t="str">
        <f t="shared" si="28"/>
        <v>12019</v>
      </c>
      <c r="B510" s="1">
        <v>43487</v>
      </c>
      <c r="C510" t="s">
        <v>331</v>
      </c>
      <c r="D510">
        <v>30486.3</v>
      </c>
      <c r="E510">
        <v>30592.400000000001</v>
      </c>
      <c r="F510">
        <v>30205.35</v>
      </c>
      <c r="G510">
        <v>30507.599999999999</v>
      </c>
      <c r="H510">
        <v>0</v>
      </c>
      <c r="I510" s="8">
        <f t="shared" si="29"/>
        <v>7.413482040348196E-4</v>
      </c>
      <c r="J510" s="8">
        <f t="shared" si="30"/>
        <v>7.4107354119382638E-4</v>
      </c>
      <c r="K510" s="8">
        <f t="shared" si="27"/>
        <v>7.1171253414604951E-2</v>
      </c>
    </row>
    <row r="511" spans="1:11" x14ac:dyDescent="0.25">
      <c r="A511" t="str">
        <f t="shared" si="28"/>
        <v>12019</v>
      </c>
      <c r="B511" s="1">
        <v>43488</v>
      </c>
      <c r="C511" t="s">
        <v>332</v>
      </c>
      <c r="D511">
        <v>30620</v>
      </c>
      <c r="E511">
        <v>30854.55</v>
      </c>
      <c r="F511">
        <v>29869.75</v>
      </c>
      <c r="G511">
        <v>29991.4</v>
      </c>
      <c r="H511">
        <v>0</v>
      </c>
      <c r="I511" s="8">
        <f t="shared" si="29"/>
        <v>-1.6920373939608435E-2</v>
      </c>
      <c r="J511" s="8">
        <f t="shared" si="30"/>
        <v>-1.7065159002227558E-2</v>
      </c>
      <c r="K511" s="8">
        <f t="shared" si="27"/>
        <v>4.751493136809759E-2</v>
      </c>
    </row>
    <row r="512" spans="1:11" x14ac:dyDescent="0.25">
      <c r="A512" t="str">
        <f t="shared" si="28"/>
        <v>12019</v>
      </c>
      <c r="B512" s="1">
        <v>43489</v>
      </c>
      <c r="C512" t="s">
        <v>333</v>
      </c>
      <c r="D512">
        <v>30118.75</v>
      </c>
      <c r="E512">
        <v>30264.55</v>
      </c>
      <c r="F512">
        <v>29983.4</v>
      </c>
      <c r="G512">
        <v>30036.75</v>
      </c>
      <c r="H512">
        <v>0</v>
      </c>
      <c r="I512" s="8">
        <f t="shared" si="29"/>
        <v>1.5121001353721741E-3</v>
      </c>
      <c r="J512" s="8">
        <f t="shared" si="30"/>
        <v>1.5109580631026121E-3</v>
      </c>
      <c r="K512" s="8">
        <f t="shared" ref="K512:K575" si="31">+G512/G451-1</f>
        <v>5.7125812990962199E-2</v>
      </c>
    </row>
    <row r="513" spans="1:11" x14ac:dyDescent="0.25">
      <c r="A513" t="str">
        <f t="shared" si="28"/>
        <v>12019</v>
      </c>
      <c r="B513" s="1">
        <v>43490</v>
      </c>
      <c r="C513" t="s">
        <v>334</v>
      </c>
      <c r="D513">
        <v>30125.8</v>
      </c>
      <c r="E513">
        <v>30331.1</v>
      </c>
      <c r="F513">
        <v>29856.25</v>
      </c>
      <c r="G513">
        <v>29938.05</v>
      </c>
      <c r="H513">
        <v>0</v>
      </c>
      <c r="I513" s="8">
        <f t="shared" si="29"/>
        <v>-3.2859746810157686E-3</v>
      </c>
      <c r="J513" s="8">
        <f t="shared" si="30"/>
        <v>-3.2913853519544382E-3</v>
      </c>
      <c r="K513" s="8">
        <f t="shared" si="31"/>
        <v>6.869889749781799E-2</v>
      </c>
    </row>
    <row r="514" spans="1:11" x14ac:dyDescent="0.25">
      <c r="A514" t="str">
        <f t="shared" si="28"/>
        <v>12019</v>
      </c>
      <c r="B514" s="1">
        <v>43493</v>
      </c>
      <c r="C514" t="s">
        <v>335</v>
      </c>
      <c r="D514">
        <v>29951.8</v>
      </c>
      <c r="E514">
        <v>29991.3</v>
      </c>
      <c r="F514">
        <v>29533.5</v>
      </c>
      <c r="G514">
        <v>29565.55</v>
      </c>
      <c r="H514">
        <v>0</v>
      </c>
      <c r="I514" s="8">
        <f t="shared" si="29"/>
        <v>-1.244236014035649E-2</v>
      </c>
      <c r="J514" s="8">
        <f t="shared" si="30"/>
        <v>-1.2520414432171811E-2</v>
      </c>
      <c r="K514" s="8">
        <f t="shared" si="31"/>
        <v>4.6290365389719534E-2</v>
      </c>
    </row>
    <row r="515" spans="1:11" x14ac:dyDescent="0.25">
      <c r="A515" t="str">
        <f t="shared" ref="A515:A578" si="32">+MONTH(B515)&amp;YEAR(B515)</f>
        <v>12019</v>
      </c>
      <c r="B515" s="1">
        <v>43494</v>
      </c>
      <c r="C515" t="s">
        <v>336</v>
      </c>
      <c r="D515">
        <v>29561.55</v>
      </c>
      <c r="E515">
        <v>29842.1</v>
      </c>
      <c r="F515">
        <v>29488.7</v>
      </c>
      <c r="G515">
        <v>29758.9</v>
      </c>
      <c r="H515">
        <v>0</v>
      </c>
      <c r="I515" s="8">
        <f t="shared" si="29"/>
        <v>6.5397058400740171E-3</v>
      </c>
      <c r="J515" s="8">
        <f t="shared" si="30"/>
        <v>6.5184147384527453E-3</v>
      </c>
      <c r="K515" s="8">
        <f t="shared" si="31"/>
        <v>5.2618733485902736E-2</v>
      </c>
    </row>
    <row r="516" spans="1:11" x14ac:dyDescent="0.25">
      <c r="A516" t="str">
        <f t="shared" si="32"/>
        <v>12019</v>
      </c>
      <c r="B516" s="1">
        <v>43495</v>
      </c>
      <c r="C516" t="s">
        <v>337</v>
      </c>
      <c r="D516">
        <v>29853.9</v>
      </c>
      <c r="E516">
        <v>29857.55</v>
      </c>
      <c r="F516">
        <v>29337.35</v>
      </c>
      <c r="G516">
        <v>29463.85</v>
      </c>
      <c r="H516">
        <v>0</v>
      </c>
      <c r="I516" s="8">
        <f t="shared" ref="I516:I579" si="33">+G516/G515-1</f>
        <v>-9.9146809861924146E-3</v>
      </c>
      <c r="J516" s="8">
        <f t="shared" ref="J516:J579" si="34">+LN(1+I516)</f>
        <v>-9.9641587448272752E-3</v>
      </c>
      <c r="K516" s="8">
        <f t="shared" si="31"/>
        <v>3.2113594725909023E-2</v>
      </c>
    </row>
    <row r="517" spans="1:11" x14ac:dyDescent="0.25">
      <c r="A517" t="str">
        <f t="shared" si="32"/>
        <v>12019</v>
      </c>
      <c r="B517" s="1">
        <v>43496</v>
      </c>
      <c r="C517" t="s">
        <v>338</v>
      </c>
      <c r="D517">
        <v>29571.8</v>
      </c>
      <c r="E517">
        <v>29872.75</v>
      </c>
      <c r="F517">
        <v>29450.6</v>
      </c>
      <c r="G517">
        <v>29800.55</v>
      </c>
      <c r="H517">
        <v>0</v>
      </c>
      <c r="I517" s="8">
        <f t="shared" si="33"/>
        <v>1.142756292880942E-2</v>
      </c>
      <c r="J517" s="8">
        <f t="shared" si="34"/>
        <v>1.1362761545533508E-2</v>
      </c>
      <c r="K517" s="8">
        <f t="shared" si="31"/>
        <v>5.0976720237276618E-2</v>
      </c>
    </row>
    <row r="518" spans="1:11" x14ac:dyDescent="0.25">
      <c r="A518" t="str">
        <f t="shared" si="32"/>
        <v>22019</v>
      </c>
      <c r="B518" s="1">
        <v>43497</v>
      </c>
      <c r="C518" s="10">
        <v>43467.645833333336</v>
      </c>
      <c r="D518">
        <v>29936.1</v>
      </c>
      <c r="E518">
        <v>30536.6</v>
      </c>
      <c r="F518">
        <v>29872.2</v>
      </c>
      <c r="G518">
        <v>30199.9</v>
      </c>
      <c r="H518">
        <v>0</v>
      </c>
      <c r="I518" s="8">
        <f t="shared" si="33"/>
        <v>1.3400759381957839E-2</v>
      </c>
      <c r="J518" s="8">
        <f t="shared" si="34"/>
        <v>1.3311763400182818E-2</v>
      </c>
      <c r="K518" s="8">
        <f t="shared" si="31"/>
        <v>4.7269461243966138E-2</v>
      </c>
    </row>
    <row r="519" spans="1:11" x14ac:dyDescent="0.25">
      <c r="A519" t="str">
        <f t="shared" si="32"/>
        <v>22019</v>
      </c>
      <c r="B519" s="1">
        <v>43500</v>
      </c>
      <c r="C519" s="10">
        <v>43557.645833333336</v>
      </c>
      <c r="D519">
        <v>30233</v>
      </c>
      <c r="E519">
        <v>30299.35</v>
      </c>
      <c r="F519">
        <v>29889.200000000001</v>
      </c>
      <c r="G519">
        <v>30008.9</v>
      </c>
      <c r="H519">
        <v>0</v>
      </c>
      <c r="I519" s="8">
        <f t="shared" si="33"/>
        <v>-6.3245242533915835E-3</v>
      </c>
      <c r="J519" s="8">
        <f t="shared" si="34"/>
        <v>-6.3446087850957253E-3</v>
      </c>
      <c r="K519" s="8">
        <f t="shared" si="31"/>
        <v>4.4692620739353428E-2</v>
      </c>
    </row>
    <row r="520" spans="1:11" x14ac:dyDescent="0.25">
      <c r="A520" t="str">
        <f t="shared" si="32"/>
        <v>22019</v>
      </c>
      <c r="B520" s="1">
        <v>43501</v>
      </c>
      <c r="C520" s="10">
        <v>43587.645833333336</v>
      </c>
      <c r="D520">
        <v>30023.95</v>
      </c>
      <c r="E520">
        <v>30053.65</v>
      </c>
      <c r="F520">
        <v>29695.35</v>
      </c>
      <c r="G520">
        <v>29759.85</v>
      </c>
      <c r="H520">
        <v>0</v>
      </c>
      <c r="I520" s="8">
        <f t="shared" si="33"/>
        <v>-8.2992045693112138E-3</v>
      </c>
      <c r="J520" s="8">
        <f t="shared" si="34"/>
        <v>-8.3338347023599792E-3</v>
      </c>
      <c r="K520" s="8">
        <f t="shared" si="31"/>
        <v>4.4311526436023208E-2</v>
      </c>
    </row>
    <row r="521" spans="1:11" x14ac:dyDescent="0.25">
      <c r="A521" t="str">
        <f t="shared" si="32"/>
        <v>22019</v>
      </c>
      <c r="B521" s="1">
        <v>43502</v>
      </c>
      <c r="C521" s="10">
        <v>43618.645833333336</v>
      </c>
      <c r="D521">
        <v>29883.35</v>
      </c>
      <c r="E521">
        <v>30074.65</v>
      </c>
      <c r="F521">
        <v>29805.599999999999</v>
      </c>
      <c r="G521">
        <v>30029</v>
      </c>
      <c r="H521">
        <v>0</v>
      </c>
      <c r="I521" s="8">
        <f t="shared" si="33"/>
        <v>9.0440644022062866E-3</v>
      </c>
      <c r="J521" s="8">
        <f t="shared" si="34"/>
        <v>9.0034117778724134E-3</v>
      </c>
      <c r="K521" s="8">
        <f t="shared" si="31"/>
        <v>4.5175863743232458E-2</v>
      </c>
    </row>
    <row r="522" spans="1:11" x14ac:dyDescent="0.25">
      <c r="A522" t="str">
        <f t="shared" si="32"/>
        <v>22019</v>
      </c>
      <c r="B522" s="1">
        <v>43503</v>
      </c>
      <c r="C522" s="10">
        <v>43648.645833333336</v>
      </c>
      <c r="D522">
        <v>30091.65</v>
      </c>
      <c r="E522">
        <v>30319.5</v>
      </c>
      <c r="F522">
        <v>30034.45</v>
      </c>
      <c r="G522">
        <v>30266.3</v>
      </c>
      <c r="H522">
        <v>0</v>
      </c>
      <c r="I522" s="8">
        <f t="shared" si="33"/>
        <v>7.9023610509840747E-3</v>
      </c>
      <c r="J522" s="8">
        <f t="shared" si="34"/>
        <v>7.8713009208309509E-3</v>
      </c>
      <c r="K522" s="8">
        <f t="shared" si="31"/>
        <v>6.0622679494749754E-2</v>
      </c>
    </row>
    <row r="523" spans="1:11" x14ac:dyDescent="0.25">
      <c r="A523" t="str">
        <f t="shared" si="32"/>
        <v>22019</v>
      </c>
      <c r="B523" s="1">
        <v>43504</v>
      </c>
      <c r="C523" s="10">
        <v>43679.645833333336</v>
      </c>
      <c r="D523">
        <v>30163.200000000001</v>
      </c>
      <c r="E523">
        <v>30315.45</v>
      </c>
      <c r="F523">
        <v>29699.9</v>
      </c>
      <c r="G523">
        <v>29769.05</v>
      </c>
      <c r="H523">
        <v>0</v>
      </c>
      <c r="I523" s="8">
        <f t="shared" si="33"/>
        <v>-1.6429163789429158E-2</v>
      </c>
      <c r="J523" s="8">
        <f t="shared" si="34"/>
        <v>-1.6565619129924294E-2</v>
      </c>
      <c r="K523" s="8">
        <f t="shared" si="31"/>
        <v>3.4245492619865425E-2</v>
      </c>
    </row>
    <row r="524" spans="1:11" x14ac:dyDescent="0.25">
      <c r="A524" t="str">
        <f t="shared" si="32"/>
        <v>22019</v>
      </c>
      <c r="B524" s="1">
        <v>43507</v>
      </c>
      <c r="C524" s="10">
        <v>43771.645833333336</v>
      </c>
      <c r="D524">
        <v>29744.5</v>
      </c>
      <c r="E524">
        <v>29842.95</v>
      </c>
      <c r="F524">
        <v>29320.85</v>
      </c>
      <c r="G524">
        <v>29728.5</v>
      </c>
      <c r="H524">
        <v>0</v>
      </c>
      <c r="I524" s="8">
        <f t="shared" si="33"/>
        <v>-1.3621529743138572E-3</v>
      </c>
      <c r="J524" s="8">
        <f t="shared" si="34"/>
        <v>-1.3630815480119777E-3</v>
      </c>
      <c r="K524" s="8">
        <f t="shared" si="31"/>
        <v>2.3430265182680987E-2</v>
      </c>
    </row>
    <row r="525" spans="1:11" x14ac:dyDescent="0.25">
      <c r="A525" t="str">
        <f t="shared" si="32"/>
        <v>22019</v>
      </c>
      <c r="B525" s="1">
        <v>43508</v>
      </c>
      <c r="C525" s="10">
        <v>43801.645833333336</v>
      </c>
      <c r="D525">
        <v>29767.599999999999</v>
      </c>
      <c r="E525">
        <v>29817.9</v>
      </c>
      <c r="F525">
        <v>29483.5</v>
      </c>
      <c r="G525">
        <v>29524</v>
      </c>
      <c r="H525">
        <v>0</v>
      </c>
      <c r="I525" s="8">
        <f t="shared" si="33"/>
        <v>-6.8789209008190966E-3</v>
      </c>
      <c r="J525" s="8">
        <f t="shared" si="34"/>
        <v>-6.9026897425691477E-3</v>
      </c>
      <c r="K525" s="8">
        <f t="shared" si="31"/>
        <v>1.7349804448579365E-2</v>
      </c>
    </row>
    <row r="526" spans="1:11" x14ac:dyDescent="0.25">
      <c r="A526" t="str">
        <f t="shared" si="32"/>
        <v>22019</v>
      </c>
      <c r="B526" s="1">
        <v>43509</v>
      </c>
      <c r="C526" t="s">
        <v>339</v>
      </c>
      <c r="D526">
        <v>29779.25</v>
      </c>
      <c r="E526">
        <v>29970.1</v>
      </c>
      <c r="F526">
        <v>29365.65</v>
      </c>
      <c r="G526">
        <v>29438.5</v>
      </c>
      <c r="H526">
        <v>0</v>
      </c>
      <c r="I526" s="8">
        <f t="shared" si="33"/>
        <v>-2.8959490583931879E-3</v>
      </c>
      <c r="J526" s="8">
        <f t="shared" si="34"/>
        <v>-2.9001504321376757E-3</v>
      </c>
      <c r="K526" s="8">
        <f t="shared" si="31"/>
        <v>9.7810371706854582E-3</v>
      </c>
    </row>
    <row r="527" spans="1:11" x14ac:dyDescent="0.25">
      <c r="A527" t="str">
        <f t="shared" si="32"/>
        <v>22019</v>
      </c>
      <c r="B527" s="1">
        <v>43510</v>
      </c>
      <c r="C527" t="s">
        <v>340</v>
      </c>
      <c r="D527">
        <v>29423.8</v>
      </c>
      <c r="E527">
        <v>29597.3</v>
      </c>
      <c r="F527">
        <v>29399.95</v>
      </c>
      <c r="G527">
        <v>29451.45</v>
      </c>
      <c r="H527">
        <v>0</v>
      </c>
      <c r="I527" s="8">
        <f t="shared" si="33"/>
        <v>4.3990013078110124E-4</v>
      </c>
      <c r="J527" s="8">
        <f t="shared" si="34"/>
        <v>4.3980340308454854E-4</v>
      </c>
      <c r="K527" s="8">
        <f t="shared" si="31"/>
        <v>-6.7500573324879021E-3</v>
      </c>
    </row>
    <row r="528" spans="1:11" x14ac:dyDescent="0.25">
      <c r="A528" t="str">
        <f t="shared" si="32"/>
        <v>22019</v>
      </c>
      <c r="B528" s="1">
        <v>43511</v>
      </c>
      <c r="C528" t="s">
        <v>341</v>
      </c>
      <c r="D528">
        <v>29542.75</v>
      </c>
      <c r="E528">
        <v>29568.3</v>
      </c>
      <c r="F528">
        <v>29003.25</v>
      </c>
      <c r="G528">
        <v>29309.1</v>
      </c>
      <c r="H528">
        <v>0</v>
      </c>
      <c r="I528" s="8">
        <f t="shared" si="33"/>
        <v>-4.8333783226293114E-3</v>
      </c>
      <c r="J528" s="8">
        <f t="shared" si="34"/>
        <v>-4.845096871000998E-3</v>
      </c>
      <c r="K528" s="8">
        <f t="shared" si="31"/>
        <v>-3.3511688285191576E-3</v>
      </c>
    </row>
    <row r="529" spans="1:11" x14ac:dyDescent="0.25">
      <c r="A529" t="str">
        <f t="shared" si="32"/>
        <v>22019</v>
      </c>
      <c r="B529" s="1">
        <v>43514</v>
      </c>
      <c r="C529" t="s">
        <v>342</v>
      </c>
      <c r="D529">
        <v>29238.35</v>
      </c>
      <c r="E529">
        <v>29348.65</v>
      </c>
      <c r="F529">
        <v>28887.7</v>
      </c>
      <c r="G529">
        <v>28965.15</v>
      </c>
      <c r="H529">
        <v>0</v>
      </c>
      <c r="I529" s="8">
        <f t="shared" si="33"/>
        <v>-1.1735263109409644E-2</v>
      </c>
      <c r="J529" s="8">
        <f t="shared" si="34"/>
        <v>-1.1804664808668852E-2</v>
      </c>
      <c r="K529" s="8">
        <f t="shared" si="31"/>
        <v>-1.4484099643256254E-2</v>
      </c>
    </row>
    <row r="530" spans="1:11" x14ac:dyDescent="0.25">
      <c r="A530" t="str">
        <f t="shared" si="32"/>
        <v>22019</v>
      </c>
      <c r="B530" s="1">
        <v>43515</v>
      </c>
      <c r="C530" t="s">
        <v>343</v>
      </c>
      <c r="D530">
        <v>28913.200000000001</v>
      </c>
      <c r="E530">
        <v>29267.7</v>
      </c>
      <c r="F530">
        <v>28913.200000000001</v>
      </c>
      <c r="G530">
        <v>29009.7</v>
      </c>
      <c r="H530">
        <v>0</v>
      </c>
      <c r="I530" s="8">
        <f t="shared" si="33"/>
        <v>1.5380552146286863E-3</v>
      </c>
      <c r="J530" s="8">
        <f t="shared" si="34"/>
        <v>1.5368736191246526E-3</v>
      </c>
      <c r="K530" s="8">
        <f t="shared" si="31"/>
        <v>-8.015291973423655E-3</v>
      </c>
    </row>
    <row r="531" spans="1:11" x14ac:dyDescent="0.25">
      <c r="A531" t="str">
        <f t="shared" si="32"/>
        <v>22019</v>
      </c>
      <c r="B531" s="1">
        <v>43516</v>
      </c>
      <c r="C531" t="s">
        <v>344</v>
      </c>
      <c r="D531">
        <v>29124.35</v>
      </c>
      <c r="E531">
        <v>29175.7</v>
      </c>
      <c r="F531">
        <v>28907.599999999999</v>
      </c>
      <c r="G531">
        <v>29053.4</v>
      </c>
      <c r="H531">
        <v>0</v>
      </c>
      <c r="I531" s="8">
        <f t="shared" si="33"/>
        <v>1.5063926893419399E-3</v>
      </c>
      <c r="J531" s="8">
        <f t="shared" si="34"/>
        <v>1.5052592180338372E-3</v>
      </c>
      <c r="K531" s="8">
        <f t="shared" si="31"/>
        <v>-2.9466686709759271E-2</v>
      </c>
    </row>
    <row r="532" spans="1:11" x14ac:dyDescent="0.25">
      <c r="A532" t="str">
        <f t="shared" si="32"/>
        <v>22019</v>
      </c>
      <c r="B532" s="1">
        <v>43517</v>
      </c>
      <c r="C532" t="s">
        <v>345</v>
      </c>
      <c r="D532">
        <v>29092.55</v>
      </c>
      <c r="E532">
        <v>29229.3</v>
      </c>
      <c r="F532">
        <v>29024.75</v>
      </c>
      <c r="G532">
        <v>29166.35</v>
      </c>
      <c r="H532">
        <v>0</v>
      </c>
      <c r="I532" s="8">
        <f t="shared" si="33"/>
        <v>3.8876689131046582E-3</v>
      </c>
      <c r="J532" s="8">
        <f t="shared" si="34"/>
        <v>3.8801314574212799E-3</v>
      </c>
      <c r="K532" s="8">
        <f t="shared" si="31"/>
        <v>-2.4975387325768206E-2</v>
      </c>
    </row>
    <row r="533" spans="1:11" x14ac:dyDescent="0.25">
      <c r="A533" t="str">
        <f t="shared" si="32"/>
        <v>22019</v>
      </c>
      <c r="B533" s="1">
        <v>43518</v>
      </c>
      <c r="C533" t="s">
        <v>346</v>
      </c>
      <c r="D533">
        <v>29214.6</v>
      </c>
      <c r="E533">
        <v>29282</v>
      </c>
      <c r="F533">
        <v>29121</v>
      </c>
      <c r="G533">
        <v>29241.200000000001</v>
      </c>
      <c r="H533">
        <v>0</v>
      </c>
      <c r="I533" s="8">
        <f t="shared" si="33"/>
        <v>2.566313577119006E-3</v>
      </c>
      <c r="J533" s="8">
        <f t="shared" si="34"/>
        <v>2.5630262174935548E-3</v>
      </c>
      <c r="K533" s="8">
        <f t="shared" si="31"/>
        <v>-1.4870664968702152E-2</v>
      </c>
    </row>
    <row r="534" spans="1:11" x14ac:dyDescent="0.25">
      <c r="A534" t="str">
        <f t="shared" si="32"/>
        <v>22019</v>
      </c>
      <c r="B534" s="1">
        <v>43521</v>
      </c>
      <c r="C534" t="s">
        <v>347</v>
      </c>
      <c r="D534">
        <v>29294.45</v>
      </c>
      <c r="E534">
        <v>29362.7</v>
      </c>
      <c r="F534">
        <v>29165.599999999999</v>
      </c>
      <c r="G534">
        <v>29327.05</v>
      </c>
      <c r="H534">
        <v>0</v>
      </c>
      <c r="I534" s="8">
        <f t="shared" si="33"/>
        <v>2.9359260221877292E-3</v>
      </c>
      <c r="J534" s="8">
        <f t="shared" si="34"/>
        <v>2.9316246084156675E-3</v>
      </c>
      <c r="K534" s="8">
        <f t="shared" si="31"/>
        <v>-2.5613040090770367E-2</v>
      </c>
    </row>
    <row r="535" spans="1:11" x14ac:dyDescent="0.25">
      <c r="A535" t="str">
        <f t="shared" si="32"/>
        <v>22019</v>
      </c>
      <c r="B535" s="1">
        <v>43522</v>
      </c>
      <c r="C535" t="s">
        <v>348</v>
      </c>
      <c r="D535">
        <v>29171</v>
      </c>
      <c r="E535">
        <v>29391.3</v>
      </c>
      <c r="F535">
        <v>29095.05</v>
      </c>
      <c r="G535">
        <v>29253.65</v>
      </c>
      <c r="H535">
        <v>0</v>
      </c>
      <c r="I535" s="8">
        <f t="shared" si="33"/>
        <v>-2.5028088403026283E-3</v>
      </c>
      <c r="J535" s="8">
        <f t="shared" si="34"/>
        <v>-2.5059461020857628E-3</v>
      </c>
      <c r="K535" s="8">
        <f t="shared" si="31"/>
        <v>-2.8964773245923392E-2</v>
      </c>
    </row>
    <row r="536" spans="1:11" x14ac:dyDescent="0.25">
      <c r="A536" t="str">
        <f t="shared" si="32"/>
        <v>22019</v>
      </c>
      <c r="B536" s="1">
        <v>43523</v>
      </c>
      <c r="C536" t="s">
        <v>349</v>
      </c>
      <c r="D536">
        <v>29340.85</v>
      </c>
      <c r="E536">
        <v>29547.85</v>
      </c>
      <c r="F536">
        <v>29055.599999999999</v>
      </c>
      <c r="G536">
        <v>29171.95</v>
      </c>
      <c r="H536">
        <v>0</v>
      </c>
      <c r="I536" s="8">
        <f t="shared" si="33"/>
        <v>-2.7928138881815334E-3</v>
      </c>
      <c r="J536" s="8">
        <f t="shared" si="34"/>
        <v>-2.7967210692705462E-3</v>
      </c>
      <c r="K536" s="8">
        <f t="shared" si="31"/>
        <v>-3.8763227654880716E-2</v>
      </c>
    </row>
    <row r="537" spans="1:11" x14ac:dyDescent="0.25">
      <c r="A537" t="str">
        <f t="shared" si="32"/>
        <v>22019</v>
      </c>
      <c r="B537" s="1">
        <v>43524</v>
      </c>
      <c r="C537" t="s">
        <v>350</v>
      </c>
      <c r="D537">
        <v>29375.15</v>
      </c>
      <c r="E537">
        <v>29375.15</v>
      </c>
      <c r="F537">
        <v>29180.95</v>
      </c>
      <c r="G537">
        <v>29262.85</v>
      </c>
      <c r="H537">
        <v>0</v>
      </c>
      <c r="I537" s="8">
        <f t="shared" si="33"/>
        <v>3.1160069861631001E-3</v>
      </c>
      <c r="J537" s="8">
        <f t="shared" si="34"/>
        <v>3.1111622978403264E-3</v>
      </c>
      <c r="K537" s="8">
        <f t="shared" si="31"/>
        <v>-2.9447077513954922E-2</v>
      </c>
    </row>
    <row r="538" spans="1:11" x14ac:dyDescent="0.25">
      <c r="A538" t="str">
        <f t="shared" si="32"/>
        <v>32019</v>
      </c>
      <c r="B538" s="1">
        <v>43525</v>
      </c>
      <c r="C538" s="10">
        <v>43468.645833333336</v>
      </c>
      <c r="D538">
        <v>29335.200000000001</v>
      </c>
      <c r="E538">
        <v>29494.75</v>
      </c>
      <c r="F538">
        <v>29334.45</v>
      </c>
      <c r="G538">
        <v>29464.9</v>
      </c>
      <c r="H538">
        <v>0</v>
      </c>
      <c r="I538" s="8">
        <f t="shared" si="33"/>
        <v>6.9046589788761548E-3</v>
      </c>
      <c r="J538" s="8">
        <f t="shared" si="34"/>
        <v>6.8809309809432489E-3</v>
      </c>
      <c r="K538" s="8">
        <f t="shared" si="31"/>
        <v>-1.574348113655033E-2</v>
      </c>
    </row>
    <row r="539" spans="1:11" x14ac:dyDescent="0.25">
      <c r="A539" t="str">
        <f t="shared" si="32"/>
        <v>32019</v>
      </c>
      <c r="B539" s="1">
        <v>43529</v>
      </c>
      <c r="C539" s="10">
        <v>43588.645833333336</v>
      </c>
      <c r="D539">
        <v>29559.35</v>
      </c>
      <c r="E539">
        <v>29726.1</v>
      </c>
      <c r="F539">
        <v>29371.8</v>
      </c>
      <c r="G539">
        <v>29649.200000000001</v>
      </c>
      <c r="H539">
        <v>0</v>
      </c>
      <c r="I539" s="8">
        <f t="shared" si="33"/>
        <v>6.2548998978444459E-3</v>
      </c>
      <c r="J539" s="8">
        <f t="shared" si="34"/>
        <v>6.2354192024766178E-3</v>
      </c>
      <c r="K539" s="8">
        <f t="shared" si="31"/>
        <v>5.4223057176672196E-3</v>
      </c>
    </row>
    <row r="540" spans="1:11" x14ac:dyDescent="0.25">
      <c r="A540" t="str">
        <f t="shared" si="32"/>
        <v>32019</v>
      </c>
      <c r="B540" s="1">
        <v>43530</v>
      </c>
      <c r="C540" s="10">
        <v>43619.645833333336</v>
      </c>
      <c r="D540">
        <v>29822.65</v>
      </c>
      <c r="E540">
        <v>29997.7</v>
      </c>
      <c r="F540">
        <v>29651.3</v>
      </c>
      <c r="G540">
        <v>29710.3</v>
      </c>
      <c r="H540">
        <v>0</v>
      </c>
      <c r="I540" s="8">
        <f t="shared" si="33"/>
        <v>2.0607638654668303E-3</v>
      </c>
      <c r="J540" s="8">
        <f t="shared" si="34"/>
        <v>2.0586434042923355E-3</v>
      </c>
      <c r="K540" s="8">
        <f t="shared" si="31"/>
        <v>1.235102523619469E-3</v>
      </c>
    </row>
    <row r="541" spans="1:11" x14ac:dyDescent="0.25">
      <c r="A541" t="str">
        <f t="shared" si="32"/>
        <v>32019</v>
      </c>
      <c r="B541" s="1">
        <v>43531</v>
      </c>
      <c r="C541" s="10">
        <v>43649.645833333336</v>
      </c>
      <c r="D541">
        <v>29812</v>
      </c>
      <c r="E541">
        <v>30012.9</v>
      </c>
      <c r="F541">
        <v>29754.2</v>
      </c>
      <c r="G541">
        <v>29904.05</v>
      </c>
      <c r="H541">
        <v>0</v>
      </c>
      <c r="I541" s="8">
        <f t="shared" si="33"/>
        <v>6.5213074253709369E-3</v>
      </c>
      <c r="J541" s="8">
        <f t="shared" si="34"/>
        <v>6.5001356951625991E-3</v>
      </c>
      <c r="K541" s="8">
        <f t="shared" si="31"/>
        <v>2.37081286479639E-2</v>
      </c>
    </row>
    <row r="542" spans="1:11" x14ac:dyDescent="0.25">
      <c r="A542" t="str">
        <f t="shared" si="32"/>
        <v>32019</v>
      </c>
      <c r="B542" s="1">
        <v>43532</v>
      </c>
      <c r="C542" s="10">
        <v>43680.645833333336</v>
      </c>
      <c r="D542">
        <v>29920.2</v>
      </c>
      <c r="E542">
        <v>30071.05</v>
      </c>
      <c r="F542">
        <v>29777.5</v>
      </c>
      <c r="G542">
        <v>29945.75</v>
      </c>
      <c r="H542">
        <v>0</v>
      </c>
      <c r="I542" s="8">
        <f t="shared" si="33"/>
        <v>1.3944599477329067E-3</v>
      </c>
      <c r="J542" s="8">
        <f t="shared" si="34"/>
        <v>1.3934885913668329E-3</v>
      </c>
      <c r="K542" s="8">
        <f t="shared" si="31"/>
        <v>1.2948640105266973E-2</v>
      </c>
    </row>
    <row r="543" spans="1:11" x14ac:dyDescent="0.25">
      <c r="A543" t="str">
        <f t="shared" si="32"/>
        <v>32019</v>
      </c>
      <c r="B543" s="1">
        <v>43535</v>
      </c>
      <c r="C543" s="10">
        <v>43772.645833333336</v>
      </c>
      <c r="D543">
        <v>30069.200000000001</v>
      </c>
      <c r="E543">
        <v>30290.799999999999</v>
      </c>
      <c r="F543">
        <v>29977.35</v>
      </c>
      <c r="G543">
        <v>30256.400000000001</v>
      </c>
      <c r="H543">
        <v>0</v>
      </c>
      <c r="I543" s="8">
        <f t="shared" si="33"/>
        <v>1.0373759214579836E-2</v>
      </c>
      <c r="J543" s="8">
        <f t="shared" si="34"/>
        <v>1.0320321026658436E-2</v>
      </c>
      <c r="K543" s="8">
        <f t="shared" si="31"/>
        <v>5.6838200588988919E-3</v>
      </c>
    </row>
    <row r="544" spans="1:11" x14ac:dyDescent="0.25">
      <c r="A544" t="str">
        <f t="shared" si="32"/>
        <v>32019</v>
      </c>
      <c r="B544" s="1">
        <v>43536</v>
      </c>
      <c r="C544" s="10">
        <v>43802.645833333336</v>
      </c>
      <c r="D544">
        <v>30411.35</v>
      </c>
      <c r="E544">
        <v>30563.75</v>
      </c>
      <c r="F544">
        <v>30387.35</v>
      </c>
      <c r="G544">
        <v>30480.799999999999</v>
      </c>
      <c r="H544">
        <v>0</v>
      </c>
      <c r="I544" s="8">
        <f t="shared" si="33"/>
        <v>7.416612683597501E-3</v>
      </c>
      <c r="J544" s="8">
        <f t="shared" si="34"/>
        <v>7.3892448462107903E-3</v>
      </c>
      <c r="K544" s="8">
        <f t="shared" si="31"/>
        <v>6.2575826352493369E-3</v>
      </c>
    </row>
    <row r="545" spans="1:11" x14ac:dyDescent="0.25">
      <c r="A545" t="str">
        <f t="shared" si="32"/>
        <v>32019</v>
      </c>
      <c r="B545" s="1">
        <v>43537</v>
      </c>
      <c r="C545" t="s">
        <v>351</v>
      </c>
      <c r="D545">
        <v>30578.85</v>
      </c>
      <c r="E545">
        <v>30628.95</v>
      </c>
      <c r="F545">
        <v>30391.4</v>
      </c>
      <c r="G545">
        <v>30451.599999999999</v>
      </c>
      <c r="H545">
        <v>0</v>
      </c>
      <c r="I545" s="8">
        <f t="shared" si="33"/>
        <v>-9.5798010550907087E-4</v>
      </c>
      <c r="J545" s="8">
        <f t="shared" si="34"/>
        <v>-9.5843926171544245E-4</v>
      </c>
      <c r="K545" s="8">
        <f t="shared" si="31"/>
        <v>2.6373409281728044E-3</v>
      </c>
    </row>
    <row r="546" spans="1:11" x14ac:dyDescent="0.25">
      <c r="A546" t="str">
        <f t="shared" si="32"/>
        <v>32019</v>
      </c>
      <c r="B546" s="1">
        <v>43538</v>
      </c>
      <c r="C546" t="s">
        <v>352</v>
      </c>
      <c r="D546">
        <v>30500.25</v>
      </c>
      <c r="E546">
        <v>30516.3</v>
      </c>
      <c r="F546">
        <v>30166.35</v>
      </c>
      <c r="G546">
        <v>30467.3</v>
      </c>
      <c r="H546">
        <v>0</v>
      </c>
      <c r="I546" s="8">
        <f t="shared" si="33"/>
        <v>5.1557225236109616E-4</v>
      </c>
      <c r="J546" s="8">
        <f t="shared" si="34"/>
        <v>5.1543939065197271E-4</v>
      </c>
      <c r="K546" s="8">
        <f t="shared" si="31"/>
        <v>-5.1233991418552227E-3</v>
      </c>
    </row>
    <row r="547" spans="1:11" x14ac:dyDescent="0.25">
      <c r="A547" t="str">
        <f t="shared" si="32"/>
        <v>32019</v>
      </c>
      <c r="B547" s="1">
        <v>43539</v>
      </c>
      <c r="C547" t="s">
        <v>353</v>
      </c>
      <c r="D547">
        <v>30538.2</v>
      </c>
      <c r="E547">
        <v>30553.35</v>
      </c>
      <c r="F547">
        <v>29854.7</v>
      </c>
      <c r="G547">
        <v>29953.4</v>
      </c>
      <c r="H547">
        <v>0</v>
      </c>
      <c r="I547" s="8">
        <f t="shared" si="33"/>
        <v>-1.6867264247242053E-2</v>
      </c>
      <c r="J547" s="8">
        <f t="shared" si="34"/>
        <v>-1.7011136666277717E-2</v>
      </c>
      <c r="K547" s="8">
        <f t="shared" si="31"/>
        <v>-2.0791516015351674E-2</v>
      </c>
    </row>
    <row r="548" spans="1:11" x14ac:dyDescent="0.25">
      <c r="A548" t="str">
        <f t="shared" si="32"/>
        <v>32019</v>
      </c>
      <c r="B548" s="1">
        <v>43542</v>
      </c>
      <c r="C548" t="s">
        <v>354</v>
      </c>
      <c r="D548">
        <v>30105.5</v>
      </c>
      <c r="E548">
        <v>30192.7</v>
      </c>
      <c r="F548">
        <v>29971.75</v>
      </c>
      <c r="G548">
        <v>30172.3</v>
      </c>
      <c r="H548">
        <v>0</v>
      </c>
      <c r="I548" s="8">
        <f t="shared" si="33"/>
        <v>7.3080184553337979E-3</v>
      </c>
      <c r="J548" s="8">
        <f t="shared" si="34"/>
        <v>7.2814442796316457E-3</v>
      </c>
      <c r="K548" s="8">
        <f t="shared" si="31"/>
        <v>-2.5985198815259625E-2</v>
      </c>
    </row>
    <row r="549" spans="1:11" x14ac:dyDescent="0.25">
      <c r="A549" t="str">
        <f t="shared" si="32"/>
        <v>32019</v>
      </c>
      <c r="B549" s="1">
        <v>43543</v>
      </c>
      <c r="C549" t="s">
        <v>355</v>
      </c>
      <c r="D549">
        <v>30244.6</v>
      </c>
      <c r="E549">
        <v>30468.85</v>
      </c>
      <c r="F549">
        <v>30119.85</v>
      </c>
      <c r="G549">
        <v>30433.15</v>
      </c>
      <c r="H549">
        <v>0</v>
      </c>
      <c r="I549" s="8">
        <f t="shared" si="33"/>
        <v>8.6453468910225872E-3</v>
      </c>
      <c r="J549" s="8">
        <f t="shared" si="34"/>
        <v>8.6081898828255163E-3</v>
      </c>
      <c r="K549" s="8">
        <f t="shared" si="31"/>
        <v>-1.0624204525690017E-2</v>
      </c>
    </row>
    <row r="550" spans="1:11" x14ac:dyDescent="0.25">
      <c r="A550" t="str">
        <f t="shared" si="32"/>
        <v>32019</v>
      </c>
      <c r="B550" s="1">
        <v>43544</v>
      </c>
      <c r="C550" t="s">
        <v>356</v>
      </c>
      <c r="D550">
        <v>30491.75</v>
      </c>
      <c r="E550">
        <v>30584.05</v>
      </c>
      <c r="F550">
        <v>30250.400000000001</v>
      </c>
      <c r="G550">
        <v>30297.35</v>
      </c>
      <c r="H550">
        <v>0</v>
      </c>
      <c r="I550" s="8">
        <f t="shared" si="33"/>
        <v>-4.462239367268972E-3</v>
      </c>
      <c r="J550" s="8">
        <f t="shared" si="34"/>
        <v>-4.4722248735729157E-3</v>
      </c>
      <c r="K550" s="8">
        <f t="shared" si="31"/>
        <v>3.2301538420784759E-3</v>
      </c>
    </row>
    <row r="551" spans="1:11" x14ac:dyDescent="0.25">
      <c r="A551" t="str">
        <f t="shared" si="32"/>
        <v>32019</v>
      </c>
      <c r="B551" s="1">
        <v>43546</v>
      </c>
      <c r="C551" t="s">
        <v>357</v>
      </c>
      <c r="D551">
        <v>30363.599999999999</v>
      </c>
      <c r="E551">
        <v>30424.7</v>
      </c>
      <c r="F551">
        <v>30095.7</v>
      </c>
      <c r="G551">
        <v>30198.85</v>
      </c>
      <c r="H551">
        <v>0</v>
      </c>
      <c r="I551" s="8">
        <f t="shared" si="33"/>
        <v>-3.2511094204609181E-3</v>
      </c>
      <c r="J551" s="8">
        <f t="shared" si="34"/>
        <v>-3.2564057591259552E-3</v>
      </c>
      <c r="K551" s="8">
        <f t="shared" si="31"/>
        <v>8.2768660092584767E-3</v>
      </c>
    </row>
    <row r="552" spans="1:11" x14ac:dyDescent="0.25">
      <c r="A552" t="str">
        <f t="shared" si="32"/>
        <v>32019</v>
      </c>
      <c r="B552" s="1">
        <v>43549</v>
      </c>
      <c r="C552" t="s">
        <v>358</v>
      </c>
      <c r="D552">
        <v>30065.8</v>
      </c>
      <c r="E552">
        <v>30065.8</v>
      </c>
      <c r="F552">
        <v>29792.25</v>
      </c>
      <c r="G552">
        <v>29921.45</v>
      </c>
      <c r="H552">
        <v>0</v>
      </c>
      <c r="I552" s="8">
        <f t="shared" si="33"/>
        <v>-9.1857802532214761E-3</v>
      </c>
      <c r="J552" s="8">
        <f t="shared" si="34"/>
        <v>-9.228229686734599E-3</v>
      </c>
      <c r="K552" s="8">
        <f t="shared" si="31"/>
        <v>-2.4936450389632103E-3</v>
      </c>
    </row>
    <row r="553" spans="1:11" x14ac:dyDescent="0.25">
      <c r="A553" t="str">
        <f t="shared" si="32"/>
        <v>32019</v>
      </c>
      <c r="B553" s="1">
        <v>43550</v>
      </c>
      <c r="C553" t="s">
        <v>359</v>
      </c>
      <c r="D553">
        <v>29959.599999999999</v>
      </c>
      <c r="E553">
        <v>30013.9</v>
      </c>
      <c r="F553">
        <v>29787.95</v>
      </c>
      <c r="G553">
        <v>29957.8</v>
      </c>
      <c r="H553">
        <v>0</v>
      </c>
      <c r="I553" s="8">
        <f t="shared" si="33"/>
        <v>1.2148475424820226E-3</v>
      </c>
      <c r="J553" s="8">
        <f t="shared" si="34"/>
        <v>1.214110212308369E-3</v>
      </c>
      <c r="K553" s="8">
        <f t="shared" si="31"/>
        <v>-1.3816146819191855E-2</v>
      </c>
    </row>
    <row r="554" spans="1:11" x14ac:dyDescent="0.25">
      <c r="A554" t="str">
        <f t="shared" si="32"/>
        <v>32019</v>
      </c>
      <c r="B554" s="1">
        <v>43551</v>
      </c>
      <c r="C554" t="s">
        <v>360</v>
      </c>
      <c r="D554">
        <v>30012.95</v>
      </c>
      <c r="E554">
        <v>30202.2</v>
      </c>
      <c r="F554">
        <v>29821.4</v>
      </c>
      <c r="G554">
        <v>29891.35</v>
      </c>
      <c r="H554">
        <v>0</v>
      </c>
      <c r="I554" s="8">
        <f t="shared" si="33"/>
        <v>-2.2181201556856767E-3</v>
      </c>
      <c r="J554" s="8">
        <f t="shared" si="34"/>
        <v>-2.2205838280199234E-3</v>
      </c>
      <c r="K554" s="8">
        <f t="shared" si="31"/>
        <v>-2.1367535358826628E-2</v>
      </c>
    </row>
    <row r="555" spans="1:11" x14ac:dyDescent="0.25">
      <c r="A555" t="str">
        <f t="shared" si="32"/>
        <v>32019</v>
      </c>
      <c r="B555" s="1">
        <v>43552</v>
      </c>
      <c r="C555" t="s">
        <v>361</v>
      </c>
      <c r="D555">
        <v>29952.6</v>
      </c>
      <c r="E555">
        <v>30316.1</v>
      </c>
      <c r="F555">
        <v>29882.25</v>
      </c>
      <c r="G555">
        <v>30243.25</v>
      </c>
      <c r="H555">
        <v>0</v>
      </c>
      <c r="I555" s="8">
        <f t="shared" si="33"/>
        <v>1.1772636565427819E-2</v>
      </c>
      <c r="J555" s="8">
        <f t="shared" si="34"/>
        <v>1.1703878198300486E-2</v>
      </c>
      <c r="K555" s="8">
        <f t="shared" si="31"/>
        <v>-8.9590436696033171E-3</v>
      </c>
    </row>
    <row r="556" spans="1:11" x14ac:dyDescent="0.25">
      <c r="A556" t="str">
        <f t="shared" si="32"/>
        <v>32019</v>
      </c>
      <c r="B556" s="1">
        <v>43553</v>
      </c>
      <c r="C556" t="s">
        <v>362</v>
      </c>
      <c r="D556">
        <v>30430.45</v>
      </c>
      <c r="E556">
        <v>30443.75</v>
      </c>
      <c r="F556">
        <v>30245.25</v>
      </c>
      <c r="G556">
        <v>30321.4</v>
      </c>
      <c r="H556">
        <v>0</v>
      </c>
      <c r="I556" s="8">
        <f t="shared" si="33"/>
        <v>2.5840476800609302E-3</v>
      </c>
      <c r="J556" s="8">
        <f t="shared" si="34"/>
        <v>2.5807147692201871E-3</v>
      </c>
      <c r="K556" s="8">
        <f t="shared" si="31"/>
        <v>-2.5346687084374375E-3</v>
      </c>
    </row>
    <row r="557" spans="1:11" x14ac:dyDescent="0.25">
      <c r="A557" t="str">
        <f t="shared" si="32"/>
        <v>42019</v>
      </c>
      <c r="B557" s="1">
        <v>43556</v>
      </c>
      <c r="C557" s="10">
        <v>43469.645833333336</v>
      </c>
      <c r="D557">
        <v>30402.6</v>
      </c>
      <c r="E557">
        <v>30539.4</v>
      </c>
      <c r="F557">
        <v>30162.15</v>
      </c>
      <c r="G557">
        <v>30193.15</v>
      </c>
      <c r="H557">
        <v>0</v>
      </c>
      <c r="I557" s="8">
        <f t="shared" si="33"/>
        <v>-4.229685964368346E-3</v>
      </c>
      <c r="J557" s="8">
        <f t="shared" si="34"/>
        <v>-4.2386563897042536E-3</v>
      </c>
      <c r="K557" s="8">
        <f t="shared" si="31"/>
        <v>-6.7891585417534372E-5</v>
      </c>
    </row>
    <row r="558" spans="1:11" x14ac:dyDescent="0.25">
      <c r="A558" t="str">
        <f t="shared" si="32"/>
        <v>42019</v>
      </c>
      <c r="B558" s="1">
        <v>43557</v>
      </c>
      <c r="C558" s="10">
        <v>43500.645833333336</v>
      </c>
      <c r="D558">
        <v>30237.15</v>
      </c>
      <c r="E558">
        <v>30295</v>
      </c>
      <c r="F558">
        <v>30024.7</v>
      </c>
      <c r="G558">
        <v>30073.15</v>
      </c>
      <c r="H558">
        <v>0</v>
      </c>
      <c r="I558" s="8">
        <f t="shared" si="33"/>
        <v>-3.9744114145096043E-3</v>
      </c>
      <c r="J558" s="8">
        <f t="shared" si="34"/>
        <v>-3.98233037666195E-3</v>
      </c>
      <c r="K558" s="8">
        <f t="shared" si="31"/>
        <v>-3.844089939448514E-3</v>
      </c>
    </row>
    <row r="559" spans="1:11" x14ac:dyDescent="0.25">
      <c r="A559" t="str">
        <f t="shared" si="32"/>
        <v>42019</v>
      </c>
      <c r="B559" s="1">
        <v>43558</v>
      </c>
      <c r="C559" s="10">
        <v>43528.645833333336</v>
      </c>
      <c r="D559">
        <v>30140</v>
      </c>
      <c r="E559">
        <v>30177.95</v>
      </c>
      <c r="F559">
        <v>29929.599999999999</v>
      </c>
      <c r="G559">
        <v>29969</v>
      </c>
      <c r="H559">
        <v>0</v>
      </c>
      <c r="I559" s="8">
        <f t="shared" si="33"/>
        <v>-3.463222176592784E-3</v>
      </c>
      <c r="J559" s="8">
        <f t="shared" si="34"/>
        <v>-3.4692330124342671E-3</v>
      </c>
      <c r="K559" s="8">
        <f t="shared" si="31"/>
        <v>-7.3268809083743003E-3</v>
      </c>
    </row>
    <row r="560" spans="1:11" x14ac:dyDescent="0.25">
      <c r="A560" t="str">
        <f t="shared" si="32"/>
        <v>42019</v>
      </c>
      <c r="B560" s="1">
        <v>43559</v>
      </c>
      <c r="C560" s="10">
        <v>43559.645833333336</v>
      </c>
      <c r="D560">
        <v>29980.6</v>
      </c>
      <c r="E560">
        <v>30078.35</v>
      </c>
      <c r="F560">
        <v>29907.35</v>
      </c>
      <c r="G560">
        <v>29998.7</v>
      </c>
      <c r="H560">
        <v>0</v>
      </c>
      <c r="I560" s="8">
        <f t="shared" si="33"/>
        <v>9.9102405819340156E-4</v>
      </c>
      <c r="J560" s="8">
        <f t="shared" si="34"/>
        <v>9.9053331804820738E-4</v>
      </c>
      <c r="K560" s="8">
        <f t="shared" si="31"/>
        <v>-9.3750206389147106E-3</v>
      </c>
    </row>
    <row r="561" spans="1:11" x14ac:dyDescent="0.25">
      <c r="A561" t="str">
        <f t="shared" si="32"/>
        <v>42019</v>
      </c>
      <c r="B561" s="1">
        <v>43560</v>
      </c>
      <c r="C561" s="10">
        <v>43589.645833333336</v>
      </c>
      <c r="D561">
        <v>30057.599999999999</v>
      </c>
      <c r="E561">
        <v>30100</v>
      </c>
      <c r="F561">
        <v>29801.1</v>
      </c>
      <c r="G561">
        <v>29869.15</v>
      </c>
      <c r="H561">
        <v>0</v>
      </c>
      <c r="I561" s="8">
        <f t="shared" si="33"/>
        <v>-4.3185204692203216E-3</v>
      </c>
      <c r="J561" s="8">
        <f t="shared" si="34"/>
        <v>-4.3278722122492806E-3</v>
      </c>
      <c r="K561" s="8">
        <f t="shared" si="31"/>
        <v>-1.3307677061310752E-2</v>
      </c>
    </row>
    <row r="562" spans="1:11" x14ac:dyDescent="0.25">
      <c r="A562" t="str">
        <f t="shared" si="32"/>
        <v>42019</v>
      </c>
      <c r="B562" s="1">
        <v>43563</v>
      </c>
      <c r="C562" s="10">
        <v>43681.645833333336</v>
      </c>
      <c r="D562">
        <v>29934.65</v>
      </c>
      <c r="E562">
        <v>29986.15</v>
      </c>
      <c r="F562">
        <v>29731.25</v>
      </c>
      <c r="G562">
        <v>29804.45</v>
      </c>
      <c r="H562">
        <v>0</v>
      </c>
      <c r="I562" s="8">
        <f t="shared" si="33"/>
        <v>-2.1661145362356082E-3</v>
      </c>
      <c r="J562" s="8">
        <f t="shared" si="34"/>
        <v>-2.1684639556818607E-3</v>
      </c>
      <c r="K562" s="8">
        <f t="shared" si="31"/>
        <v>-2.5276879781930051E-2</v>
      </c>
    </row>
    <row r="563" spans="1:11" x14ac:dyDescent="0.25">
      <c r="A563" t="str">
        <f t="shared" si="32"/>
        <v>42019</v>
      </c>
      <c r="B563" s="1">
        <v>43564</v>
      </c>
      <c r="C563" s="10">
        <v>43712.645833333336</v>
      </c>
      <c r="D563">
        <v>29834</v>
      </c>
      <c r="E563">
        <v>30038.400000000001</v>
      </c>
      <c r="F563">
        <v>29787.3</v>
      </c>
      <c r="G563">
        <v>30019.25</v>
      </c>
      <c r="H563">
        <v>0</v>
      </c>
      <c r="I563" s="8">
        <f t="shared" si="33"/>
        <v>7.206977481550636E-3</v>
      </c>
      <c r="J563" s="8">
        <f t="shared" si="34"/>
        <v>7.1811313268150302E-3</v>
      </c>
      <c r="K563" s="8">
        <f t="shared" si="31"/>
        <v>-1.806902800470378E-2</v>
      </c>
    </row>
    <row r="564" spans="1:11" x14ac:dyDescent="0.25">
      <c r="A564" t="str">
        <f t="shared" si="32"/>
        <v>42019</v>
      </c>
      <c r="B564" s="1">
        <v>43565</v>
      </c>
      <c r="C564" s="10">
        <v>43742.645833333336</v>
      </c>
      <c r="D564">
        <v>30052.3</v>
      </c>
      <c r="E564">
        <v>30133.65</v>
      </c>
      <c r="F564">
        <v>29948.85</v>
      </c>
      <c r="G564">
        <v>29994.95</v>
      </c>
      <c r="H564">
        <v>0</v>
      </c>
      <c r="I564" s="8">
        <f t="shared" si="33"/>
        <v>-8.0948058329233241E-4</v>
      </c>
      <c r="J564" s="8">
        <f t="shared" si="34"/>
        <v>-8.0980838961353585E-4</v>
      </c>
      <c r="K564" s="8">
        <f t="shared" si="31"/>
        <v>-2.4841469421194695E-2</v>
      </c>
    </row>
    <row r="565" spans="1:11" x14ac:dyDescent="0.25">
      <c r="A565" t="str">
        <f t="shared" si="32"/>
        <v>42019</v>
      </c>
      <c r="B565" s="1">
        <v>43566</v>
      </c>
      <c r="C565" s="10">
        <v>43773.645833333336</v>
      </c>
      <c r="D565">
        <v>30034</v>
      </c>
      <c r="E565">
        <v>30203.5</v>
      </c>
      <c r="F565">
        <v>29998.3</v>
      </c>
      <c r="G565">
        <v>30151.15</v>
      </c>
      <c r="H565">
        <v>0</v>
      </c>
      <c r="I565" s="8">
        <f t="shared" si="33"/>
        <v>5.2075432697837876E-3</v>
      </c>
      <c r="J565" s="8">
        <f t="shared" si="34"/>
        <v>5.1940309068391043E-3</v>
      </c>
      <c r="K565" s="8">
        <f t="shared" si="31"/>
        <v>-1.8402221614512104E-2</v>
      </c>
    </row>
    <row r="566" spans="1:11" x14ac:dyDescent="0.25">
      <c r="A566" t="str">
        <f t="shared" si="32"/>
        <v>42019</v>
      </c>
      <c r="B566" s="1">
        <v>43567</v>
      </c>
      <c r="C566" s="10">
        <v>43803.645833333336</v>
      </c>
      <c r="D566">
        <v>30205.4</v>
      </c>
      <c r="E566">
        <v>30582.25</v>
      </c>
      <c r="F566">
        <v>30193.5</v>
      </c>
      <c r="G566">
        <v>30533.7</v>
      </c>
      <c r="H566">
        <v>0</v>
      </c>
      <c r="I566" s="8">
        <f t="shared" si="33"/>
        <v>1.2687741595262425E-2</v>
      </c>
      <c r="J566" s="8">
        <f t="shared" si="34"/>
        <v>1.2607926607479593E-2</v>
      </c>
      <c r="K566" s="8">
        <f t="shared" si="31"/>
        <v>-1.5392900272644727E-2</v>
      </c>
    </row>
    <row r="567" spans="1:11" x14ac:dyDescent="0.25">
      <c r="A567" t="str">
        <f t="shared" si="32"/>
        <v>42019</v>
      </c>
      <c r="B567" s="1">
        <v>43570</v>
      </c>
      <c r="C567" t="s">
        <v>363</v>
      </c>
      <c r="D567">
        <v>30670.35</v>
      </c>
      <c r="E567">
        <v>30751.7</v>
      </c>
      <c r="F567">
        <v>30455</v>
      </c>
      <c r="G567">
        <v>30547.4</v>
      </c>
      <c r="H567">
        <v>0</v>
      </c>
      <c r="I567" s="8">
        <f t="shared" si="33"/>
        <v>4.4868456819835423E-4</v>
      </c>
      <c r="J567" s="8">
        <f t="shared" si="34"/>
        <v>4.4858393937675895E-4</v>
      </c>
      <c r="K567" s="8">
        <f t="shared" si="31"/>
        <v>-7.6809755764791765E-3</v>
      </c>
    </row>
    <row r="568" spans="1:11" x14ac:dyDescent="0.25">
      <c r="A568" t="str">
        <f t="shared" si="32"/>
        <v>42019</v>
      </c>
      <c r="B568" s="1">
        <v>43571</v>
      </c>
      <c r="C568" t="s">
        <v>364</v>
      </c>
      <c r="D568">
        <v>30643.200000000001</v>
      </c>
      <c r="E568">
        <v>30828.1</v>
      </c>
      <c r="F568">
        <v>30578.75</v>
      </c>
      <c r="G568">
        <v>30742.6</v>
      </c>
      <c r="H568">
        <v>0</v>
      </c>
      <c r="I568" s="8">
        <f t="shared" si="33"/>
        <v>6.3900692039255969E-3</v>
      </c>
      <c r="J568" s="8">
        <f t="shared" si="34"/>
        <v>6.3697392721953246E-3</v>
      </c>
      <c r="K568" s="8">
        <f t="shared" si="31"/>
        <v>1.7405590936081516E-4</v>
      </c>
    </row>
    <row r="569" spans="1:11" x14ac:dyDescent="0.25">
      <c r="A569" t="str">
        <f t="shared" si="32"/>
        <v>42019</v>
      </c>
      <c r="B569" s="1">
        <v>43573</v>
      </c>
      <c r="C569" t="s">
        <v>365</v>
      </c>
      <c r="D569">
        <v>30785.65</v>
      </c>
      <c r="E569">
        <v>30811.35</v>
      </c>
      <c r="F569">
        <v>30532.45</v>
      </c>
      <c r="G569">
        <v>30558.95</v>
      </c>
      <c r="H569">
        <v>0</v>
      </c>
      <c r="I569" s="8">
        <f t="shared" si="33"/>
        <v>-5.9737953198492066E-3</v>
      </c>
      <c r="J569" s="8">
        <f t="shared" si="34"/>
        <v>-5.9917098157624702E-3</v>
      </c>
      <c r="K569" s="8">
        <f t="shared" si="31"/>
        <v>6.0903034837522796E-4</v>
      </c>
    </row>
    <row r="570" spans="1:11" x14ac:dyDescent="0.25">
      <c r="A570" t="str">
        <f t="shared" si="32"/>
        <v>42019</v>
      </c>
      <c r="B570" s="1">
        <v>43577</v>
      </c>
      <c r="C570" t="s">
        <v>366</v>
      </c>
      <c r="D570">
        <v>30539.65</v>
      </c>
      <c r="E570">
        <v>30562.799999999999</v>
      </c>
      <c r="F570">
        <v>30365.1</v>
      </c>
      <c r="G570">
        <v>30418.1</v>
      </c>
      <c r="H570">
        <v>0</v>
      </c>
      <c r="I570" s="8">
        <f t="shared" si="33"/>
        <v>-4.6091243318242547E-3</v>
      </c>
      <c r="J570" s="8">
        <f t="shared" si="34"/>
        <v>-4.6197790974095796E-3</v>
      </c>
      <c r="K570" s="8">
        <f t="shared" si="31"/>
        <v>-2.1945218960144341E-3</v>
      </c>
    </row>
    <row r="571" spans="1:11" x14ac:dyDescent="0.25">
      <c r="A571" t="str">
        <f t="shared" si="32"/>
        <v>42019</v>
      </c>
      <c r="B571" s="1">
        <v>43578</v>
      </c>
      <c r="C571" t="s">
        <v>367</v>
      </c>
      <c r="D571">
        <v>30459.8</v>
      </c>
      <c r="E571">
        <v>30565.15</v>
      </c>
      <c r="F571">
        <v>30407.599999999999</v>
      </c>
      <c r="G571">
        <v>30495.05</v>
      </c>
      <c r="H571">
        <v>0</v>
      </c>
      <c r="I571" s="8">
        <f t="shared" si="33"/>
        <v>2.5297438038536235E-3</v>
      </c>
      <c r="J571" s="8">
        <f t="shared" si="34"/>
        <v>2.5265493882316147E-3</v>
      </c>
      <c r="K571" s="8">
        <f t="shared" si="31"/>
        <v>-4.1137290380099945E-4</v>
      </c>
    </row>
    <row r="572" spans="1:11" x14ac:dyDescent="0.25">
      <c r="A572" t="str">
        <f t="shared" si="32"/>
        <v>42019</v>
      </c>
      <c r="B572" s="1">
        <v>43579</v>
      </c>
      <c r="C572" t="s">
        <v>368</v>
      </c>
      <c r="D572">
        <v>30493.45</v>
      </c>
      <c r="E572">
        <v>30678.75</v>
      </c>
      <c r="F572">
        <v>30247.75</v>
      </c>
      <c r="G572">
        <v>30631.25</v>
      </c>
      <c r="H572">
        <v>0</v>
      </c>
      <c r="I572" s="8">
        <f t="shared" si="33"/>
        <v>4.4662986287937745E-3</v>
      </c>
      <c r="J572" s="8">
        <f t="shared" si="34"/>
        <v>4.4563543155936962E-3</v>
      </c>
      <c r="K572" s="8">
        <f t="shared" si="31"/>
        <v>2.1334449208773032E-2</v>
      </c>
    </row>
    <row r="573" spans="1:11" x14ac:dyDescent="0.25">
      <c r="A573" t="str">
        <f t="shared" si="32"/>
        <v>42019</v>
      </c>
      <c r="B573" s="1">
        <v>43580</v>
      </c>
      <c r="C573" t="s">
        <v>369</v>
      </c>
      <c r="D573">
        <v>30686.95</v>
      </c>
      <c r="E573">
        <v>30786.15</v>
      </c>
      <c r="F573">
        <v>30312.2</v>
      </c>
      <c r="G573">
        <v>30371.3</v>
      </c>
      <c r="H573">
        <v>0</v>
      </c>
      <c r="I573" s="8">
        <f t="shared" si="33"/>
        <v>-8.4864313405427216E-3</v>
      </c>
      <c r="J573" s="8">
        <f t="shared" si="34"/>
        <v>-8.5226461341222932E-3</v>
      </c>
      <c r="K573" s="8">
        <f t="shared" si="31"/>
        <v>1.1138022588995211E-2</v>
      </c>
    </row>
    <row r="574" spans="1:11" x14ac:dyDescent="0.25">
      <c r="A574" t="str">
        <f t="shared" si="32"/>
        <v>42019</v>
      </c>
      <c r="B574" s="1">
        <v>43581</v>
      </c>
      <c r="C574" t="s">
        <v>370</v>
      </c>
      <c r="D574">
        <v>30446.1</v>
      </c>
      <c r="E574">
        <v>30511.35</v>
      </c>
      <c r="F574">
        <v>30298.35</v>
      </c>
      <c r="G574">
        <v>30440.75</v>
      </c>
      <c r="H574">
        <v>0</v>
      </c>
      <c r="I574" s="8">
        <f t="shared" si="33"/>
        <v>2.2866982974059091E-3</v>
      </c>
      <c r="J574" s="8">
        <f t="shared" si="34"/>
        <v>2.2840877817379554E-3</v>
      </c>
      <c r="K574" s="8">
        <f t="shared" si="31"/>
        <v>1.6791340785388575E-2</v>
      </c>
    </row>
    <row r="575" spans="1:11" x14ac:dyDescent="0.25">
      <c r="A575" t="str">
        <f t="shared" si="32"/>
        <v>42019</v>
      </c>
      <c r="B575" s="1">
        <v>43585</v>
      </c>
      <c r="C575" t="s">
        <v>371</v>
      </c>
      <c r="D575">
        <v>30442.45</v>
      </c>
      <c r="E575">
        <v>30628.75</v>
      </c>
      <c r="F575">
        <v>30255.1</v>
      </c>
      <c r="G575">
        <v>30336.9</v>
      </c>
      <c r="H575">
        <v>0</v>
      </c>
      <c r="I575" s="8">
        <f t="shared" si="33"/>
        <v>-3.4115453791381256E-3</v>
      </c>
      <c r="J575" s="8">
        <f t="shared" si="34"/>
        <v>-3.4173779692839037E-3</v>
      </c>
      <c r="K575" s="8">
        <f t="shared" si="31"/>
        <v>2.6089485905048448E-2</v>
      </c>
    </row>
    <row r="576" spans="1:11" x14ac:dyDescent="0.25">
      <c r="A576" t="str">
        <f t="shared" si="32"/>
        <v>52019</v>
      </c>
      <c r="B576" s="1">
        <v>43587</v>
      </c>
      <c r="C576" s="10">
        <v>43501.645833333336</v>
      </c>
      <c r="D576">
        <v>30349.5</v>
      </c>
      <c r="E576">
        <v>30442.6</v>
      </c>
      <c r="F576">
        <v>30030.25</v>
      </c>
      <c r="G576">
        <v>30091.25</v>
      </c>
      <c r="H576">
        <v>0</v>
      </c>
      <c r="I576" s="8">
        <f t="shared" si="33"/>
        <v>-8.0973995365380969E-3</v>
      </c>
      <c r="J576" s="8">
        <f t="shared" si="34"/>
        <v>-8.1303615344000112E-3</v>
      </c>
      <c r="K576" s="8">
        <f t="shared" ref="K576:K639" si="35">+G576/G515-1</f>
        <v>1.1168087530116999E-2</v>
      </c>
    </row>
    <row r="577" spans="1:11" x14ac:dyDescent="0.25">
      <c r="A577" t="str">
        <f t="shared" si="32"/>
        <v>52019</v>
      </c>
      <c r="B577" s="1">
        <v>43588</v>
      </c>
      <c r="C577" s="10">
        <v>43529.645833333336</v>
      </c>
      <c r="D577">
        <v>30026</v>
      </c>
      <c r="E577">
        <v>30063.4</v>
      </c>
      <c r="F577">
        <v>29688.15</v>
      </c>
      <c r="G577">
        <v>29750.55</v>
      </c>
      <c r="H577">
        <v>0</v>
      </c>
      <c r="I577" s="8">
        <f t="shared" si="33"/>
        <v>-1.1322228222489961E-2</v>
      </c>
      <c r="J577" s="8">
        <f t="shared" si="34"/>
        <v>-1.1386812603945281E-2</v>
      </c>
      <c r="K577" s="8">
        <f t="shared" si="35"/>
        <v>9.7305681368864416E-3</v>
      </c>
    </row>
    <row r="578" spans="1:11" x14ac:dyDescent="0.25">
      <c r="A578" t="str">
        <f t="shared" si="32"/>
        <v>52019</v>
      </c>
      <c r="B578" s="1">
        <v>43591</v>
      </c>
      <c r="C578" s="10">
        <v>43621.645833333336</v>
      </c>
      <c r="D578">
        <v>29677.05</v>
      </c>
      <c r="E578">
        <v>29677.05</v>
      </c>
      <c r="F578">
        <v>29371.1</v>
      </c>
      <c r="G578">
        <v>29575.85</v>
      </c>
      <c r="H578">
        <v>0</v>
      </c>
      <c r="I578" s="8">
        <f t="shared" si="33"/>
        <v>-5.8721603466154182E-3</v>
      </c>
      <c r="J578" s="8">
        <f t="shared" si="34"/>
        <v>-5.8894692739774983E-3</v>
      </c>
      <c r="K578" s="8">
        <f t="shared" si="35"/>
        <v>-7.5401292929158092E-3</v>
      </c>
    </row>
    <row r="579" spans="1:11" x14ac:dyDescent="0.25">
      <c r="A579" t="str">
        <f t="shared" ref="A579:A642" si="36">+MONTH(B579)&amp;YEAR(B579)</f>
        <v>52019</v>
      </c>
      <c r="B579" s="1">
        <v>43592</v>
      </c>
      <c r="C579" s="10">
        <v>43651.791666666664</v>
      </c>
      <c r="D579">
        <v>29742.45</v>
      </c>
      <c r="E579">
        <v>29910.75</v>
      </c>
      <c r="F579">
        <v>29521</v>
      </c>
      <c r="G579">
        <v>29557.05</v>
      </c>
      <c r="H579">
        <v>0</v>
      </c>
      <c r="I579" s="8">
        <f t="shared" si="33"/>
        <v>-6.3565375128693535E-4</v>
      </c>
      <c r="J579" s="8">
        <f t="shared" si="34"/>
        <v>-6.3585586478670595E-4</v>
      </c>
      <c r="K579" s="8">
        <f t="shared" si="35"/>
        <v>-2.1286494326140271E-2</v>
      </c>
    </row>
    <row r="580" spans="1:11" x14ac:dyDescent="0.25">
      <c r="A580" t="str">
        <f t="shared" si="36"/>
        <v>52019</v>
      </c>
      <c r="B580" s="1">
        <v>43593</v>
      </c>
      <c r="C580" s="10">
        <v>43682.645833333336</v>
      </c>
      <c r="D580">
        <v>29480.7</v>
      </c>
      <c r="E580">
        <v>29587.45</v>
      </c>
      <c r="F580">
        <v>29310.400000000001</v>
      </c>
      <c r="G580">
        <v>29395.7</v>
      </c>
      <c r="H580">
        <v>0</v>
      </c>
      <c r="I580" s="8">
        <f t="shared" ref="I580:I643" si="37">+G580/G579-1</f>
        <v>-5.4589345012441282E-3</v>
      </c>
      <c r="J580" s="8">
        <f t="shared" ref="J580:J643" si="38">+LN(1+I580)</f>
        <v>-5.4738889325260118E-3</v>
      </c>
      <c r="K580" s="8">
        <f t="shared" si="35"/>
        <v>-2.043393793174697E-2</v>
      </c>
    </row>
    <row r="581" spans="1:11" x14ac:dyDescent="0.25">
      <c r="A581" t="str">
        <f t="shared" si="36"/>
        <v>52019</v>
      </c>
      <c r="B581" s="1">
        <v>43594</v>
      </c>
      <c r="C581" s="10">
        <v>43713.645833333336</v>
      </c>
      <c r="D581">
        <v>29296.05</v>
      </c>
      <c r="E581">
        <v>29550.6</v>
      </c>
      <c r="F581">
        <v>29217.05</v>
      </c>
      <c r="G581">
        <v>29474.799999999999</v>
      </c>
      <c r="H581">
        <v>0</v>
      </c>
      <c r="I581" s="8">
        <f t="shared" si="37"/>
        <v>2.6908697530589887E-3</v>
      </c>
      <c r="J581" s="8">
        <f t="shared" si="38"/>
        <v>2.6872558446312754E-3</v>
      </c>
      <c r="K581" s="8">
        <f t="shared" si="35"/>
        <v>-9.5783412886825126E-3</v>
      </c>
    </row>
    <row r="582" spans="1:11" x14ac:dyDescent="0.25">
      <c r="A582" t="str">
        <f t="shared" si="36"/>
        <v>52019</v>
      </c>
      <c r="B582" s="1">
        <v>43595</v>
      </c>
      <c r="C582" s="10">
        <v>43743.645833333336</v>
      </c>
      <c r="D582">
        <v>29505.3</v>
      </c>
      <c r="E582">
        <v>29533.3</v>
      </c>
      <c r="F582">
        <v>29257.200000000001</v>
      </c>
      <c r="G582">
        <v>29359.05</v>
      </c>
      <c r="H582">
        <v>0</v>
      </c>
      <c r="I582" s="8">
        <f t="shared" si="37"/>
        <v>-3.9270834746970573E-3</v>
      </c>
      <c r="J582" s="8">
        <f t="shared" si="38"/>
        <v>-3.9348147144594734E-3</v>
      </c>
      <c r="K582" s="8">
        <f t="shared" si="35"/>
        <v>-2.2310100236438091E-2</v>
      </c>
    </row>
    <row r="583" spans="1:11" x14ac:dyDescent="0.25">
      <c r="A583" t="str">
        <f t="shared" si="36"/>
        <v>52019</v>
      </c>
      <c r="B583" s="1">
        <v>43598</v>
      </c>
      <c r="C583" t="s">
        <v>372</v>
      </c>
      <c r="D583">
        <v>29295.95</v>
      </c>
      <c r="E583">
        <v>29658.55</v>
      </c>
      <c r="F583">
        <v>28988.55</v>
      </c>
      <c r="G583">
        <v>29061</v>
      </c>
      <c r="H583">
        <v>0</v>
      </c>
      <c r="I583" s="8">
        <f t="shared" si="37"/>
        <v>-1.0151895241841902E-2</v>
      </c>
      <c r="J583" s="8">
        <f t="shared" si="38"/>
        <v>-1.0203777162231009E-2</v>
      </c>
      <c r="K583" s="8">
        <f t="shared" si="35"/>
        <v>-3.9823169663949609E-2</v>
      </c>
    </row>
    <row r="584" spans="1:11" x14ac:dyDescent="0.25">
      <c r="A584" t="str">
        <f t="shared" si="36"/>
        <v>52019</v>
      </c>
      <c r="B584" s="1">
        <v>43599</v>
      </c>
      <c r="C584" t="s">
        <v>373</v>
      </c>
      <c r="D584">
        <v>29105.3</v>
      </c>
      <c r="E584">
        <v>29406.65</v>
      </c>
      <c r="F584">
        <v>28996.2</v>
      </c>
      <c r="G584">
        <v>29235.1</v>
      </c>
      <c r="H584">
        <v>0</v>
      </c>
      <c r="I584" s="8">
        <f t="shared" si="37"/>
        <v>5.9908468394067604E-3</v>
      </c>
      <c r="J584" s="8">
        <f t="shared" si="38"/>
        <v>5.9729730669770614E-3</v>
      </c>
      <c r="K584" s="8">
        <f t="shared" si="35"/>
        <v>-1.7936413825768716E-2</v>
      </c>
    </row>
    <row r="585" spans="1:11" x14ac:dyDescent="0.25">
      <c r="A585" t="str">
        <f t="shared" si="36"/>
        <v>52019</v>
      </c>
      <c r="B585" s="1">
        <v>43600</v>
      </c>
      <c r="C585" t="s">
        <v>374</v>
      </c>
      <c r="D585">
        <v>29361</v>
      </c>
      <c r="E585">
        <v>29368.75</v>
      </c>
      <c r="F585">
        <v>29118.55</v>
      </c>
      <c r="G585">
        <v>29185.1</v>
      </c>
      <c r="H585">
        <v>0</v>
      </c>
      <c r="I585" s="8">
        <f t="shared" si="37"/>
        <v>-1.7102729253534177E-3</v>
      </c>
      <c r="J585" s="8">
        <f t="shared" si="38"/>
        <v>-1.7117371117700904E-3</v>
      </c>
      <c r="K585" s="8">
        <f t="shared" si="35"/>
        <v>-1.8278756075819524E-2</v>
      </c>
    </row>
    <row r="586" spans="1:11" x14ac:dyDescent="0.25">
      <c r="A586" t="str">
        <f t="shared" si="36"/>
        <v>52019</v>
      </c>
      <c r="B586" s="1">
        <v>43601</v>
      </c>
      <c r="C586" t="s">
        <v>375</v>
      </c>
      <c r="D586">
        <v>29258.799999999999</v>
      </c>
      <c r="E586">
        <v>29344.2</v>
      </c>
      <c r="F586">
        <v>29032.1</v>
      </c>
      <c r="G586">
        <v>29228.7</v>
      </c>
      <c r="H586">
        <v>0</v>
      </c>
      <c r="I586" s="8">
        <f t="shared" si="37"/>
        <v>1.4939129898476899E-3</v>
      </c>
      <c r="J586" s="8">
        <f t="shared" si="38"/>
        <v>1.4927982119530819E-3</v>
      </c>
      <c r="K586" s="8">
        <f t="shared" si="35"/>
        <v>-1.0002032244953218E-2</v>
      </c>
    </row>
    <row r="587" spans="1:11" x14ac:dyDescent="0.25">
      <c r="A587" t="str">
        <f t="shared" si="36"/>
        <v>52019</v>
      </c>
      <c r="B587" s="1">
        <v>43602</v>
      </c>
      <c r="C587" t="s">
        <v>376</v>
      </c>
      <c r="D587">
        <v>29251.7</v>
      </c>
      <c r="E587">
        <v>30002.45</v>
      </c>
      <c r="F587">
        <v>29250.9</v>
      </c>
      <c r="G587">
        <v>29962.15</v>
      </c>
      <c r="H587">
        <v>0</v>
      </c>
      <c r="I587" s="8">
        <f t="shared" si="37"/>
        <v>2.5093486881045068E-2</v>
      </c>
      <c r="J587" s="8">
        <f t="shared" si="38"/>
        <v>2.4783815144506824E-2</v>
      </c>
      <c r="K587" s="8">
        <f t="shared" si="35"/>
        <v>1.7787930770929217E-2</v>
      </c>
    </row>
    <row r="588" spans="1:11" x14ac:dyDescent="0.25">
      <c r="A588" t="str">
        <f t="shared" si="36"/>
        <v>52019</v>
      </c>
      <c r="B588" s="1">
        <v>43605</v>
      </c>
      <c r="C588" t="s">
        <v>377</v>
      </c>
      <c r="D588">
        <v>30447.05</v>
      </c>
      <c r="E588">
        <v>30592.85</v>
      </c>
      <c r="F588">
        <v>30055.5</v>
      </c>
      <c r="G588">
        <v>30547.65</v>
      </c>
      <c r="H588">
        <v>0</v>
      </c>
      <c r="I588" s="8">
        <f t="shared" si="37"/>
        <v>1.9541321300373893E-2</v>
      </c>
      <c r="J588" s="8">
        <f t="shared" si="38"/>
        <v>1.9352841157925342E-2</v>
      </c>
      <c r="K588" s="8">
        <f t="shared" si="35"/>
        <v>3.7220578273735372E-2</v>
      </c>
    </row>
    <row r="589" spans="1:11" x14ac:dyDescent="0.25">
      <c r="A589" t="str">
        <f t="shared" si="36"/>
        <v>52019</v>
      </c>
      <c r="B589" s="1">
        <v>43606</v>
      </c>
      <c r="C589" t="s">
        <v>378</v>
      </c>
      <c r="D589">
        <v>30557.65</v>
      </c>
      <c r="E589">
        <v>30824.95</v>
      </c>
      <c r="F589">
        <v>30491.3</v>
      </c>
      <c r="G589">
        <v>30537.9</v>
      </c>
      <c r="H589">
        <v>0</v>
      </c>
      <c r="I589" s="8">
        <f t="shared" si="37"/>
        <v>-3.1917348797694256E-4</v>
      </c>
      <c r="J589" s="8">
        <f t="shared" si="38"/>
        <v>-3.192244346755016E-4</v>
      </c>
      <c r="K589" s="8">
        <f t="shared" si="35"/>
        <v>4.1925545308453716E-2</v>
      </c>
    </row>
    <row r="590" spans="1:11" x14ac:dyDescent="0.25">
      <c r="A590" t="str">
        <f t="shared" si="36"/>
        <v>52019</v>
      </c>
      <c r="B590" s="1">
        <v>43607</v>
      </c>
      <c r="C590" t="s">
        <v>379</v>
      </c>
      <c r="D590">
        <v>30459.65</v>
      </c>
      <c r="E590">
        <v>30459.65</v>
      </c>
      <c r="F590">
        <v>30064.25</v>
      </c>
      <c r="G590">
        <v>30247.65</v>
      </c>
      <c r="H590">
        <v>0</v>
      </c>
      <c r="I590" s="8">
        <f t="shared" si="37"/>
        <v>-9.5045828298605528E-3</v>
      </c>
      <c r="J590" s="8">
        <f t="shared" si="38"/>
        <v>-9.5500396385465435E-3</v>
      </c>
      <c r="K590" s="8">
        <f t="shared" si="35"/>
        <v>4.4277347087793517E-2</v>
      </c>
    </row>
    <row r="591" spans="1:11" x14ac:dyDescent="0.25">
      <c r="A591" t="str">
        <f t="shared" si="36"/>
        <v>52019</v>
      </c>
      <c r="B591" s="1">
        <v>43608</v>
      </c>
      <c r="C591" t="s">
        <v>380</v>
      </c>
      <c r="D591">
        <v>30609.65</v>
      </c>
      <c r="E591">
        <v>30664</v>
      </c>
      <c r="F591">
        <v>29630.799999999999</v>
      </c>
      <c r="G591">
        <v>29723.8</v>
      </c>
      <c r="H591">
        <v>0</v>
      </c>
      <c r="I591" s="8">
        <f t="shared" si="37"/>
        <v>-1.731870079163178E-2</v>
      </c>
      <c r="J591" s="8">
        <f t="shared" si="38"/>
        <v>-1.7470423805647776E-2</v>
      </c>
      <c r="K591" s="8">
        <f t="shared" si="35"/>
        <v>2.4615904335446359E-2</v>
      </c>
    </row>
    <row r="592" spans="1:11" x14ac:dyDescent="0.25">
      <c r="A592" t="str">
        <f t="shared" si="36"/>
        <v>52019</v>
      </c>
      <c r="B592" s="1">
        <v>43609</v>
      </c>
      <c r="C592" t="s">
        <v>381</v>
      </c>
      <c r="D592">
        <v>29889.8</v>
      </c>
      <c r="E592">
        <v>30038.3</v>
      </c>
      <c r="F592">
        <v>29606.85</v>
      </c>
      <c r="G592">
        <v>29965.4</v>
      </c>
      <c r="H592">
        <v>0</v>
      </c>
      <c r="I592" s="8">
        <f t="shared" si="37"/>
        <v>8.128166654330915E-3</v>
      </c>
      <c r="J592" s="8">
        <f t="shared" si="38"/>
        <v>8.0953110250312193E-3</v>
      </c>
      <c r="K592" s="8">
        <f t="shared" si="35"/>
        <v>3.1390474092533038E-2</v>
      </c>
    </row>
    <row r="593" spans="1:11" x14ac:dyDescent="0.25">
      <c r="A593" t="str">
        <f t="shared" si="36"/>
        <v>52019</v>
      </c>
      <c r="B593" s="1">
        <v>43612</v>
      </c>
      <c r="C593" t="s">
        <v>382</v>
      </c>
      <c r="D593">
        <v>29994.05</v>
      </c>
      <c r="E593">
        <v>30129.3</v>
      </c>
      <c r="F593">
        <v>29948.9</v>
      </c>
      <c r="G593">
        <v>30105.4</v>
      </c>
      <c r="H593">
        <v>0</v>
      </c>
      <c r="I593" s="8">
        <f t="shared" si="37"/>
        <v>4.6720551035528413E-3</v>
      </c>
      <c r="J593" s="8">
        <f t="shared" si="38"/>
        <v>4.661174929461478E-3</v>
      </c>
      <c r="K593" s="8">
        <f t="shared" si="35"/>
        <v>3.2196349560366766E-2</v>
      </c>
    </row>
    <row r="594" spans="1:11" x14ac:dyDescent="0.25">
      <c r="A594" t="str">
        <f t="shared" si="36"/>
        <v>52019</v>
      </c>
      <c r="B594" s="1">
        <v>43613</v>
      </c>
      <c r="C594" t="s">
        <v>383</v>
      </c>
      <c r="D594">
        <v>30194.45</v>
      </c>
      <c r="E594">
        <v>30223.55</v>
      </c>
      <c r="F594">
        <v>29997.1</v>
      </c>
      <c r="G594">
        <v>30068.95</v>
      </c>
      <c r="H594">
        <v>0</v>
      </c>
      <c r="I594" s="8">
        <f t="shared" si="37"/>
        <v>-1.2107462448597284E-3</v>
      </c>
      <c r="J594" s="8">
        <f t="shared" si="38"/>
        <v>-1.211479790245775E-3</v>
      </c>
      <c r="K594" s="8">
        <f t="shared" si="35"/>
        <v>2.8307661792265737E-2</v>
      </c>
    </row>
    <row r="595" spans="1:11" x14ac:dyDescent="0.25">
      <c r="A595" t="str">
        <f t="shared" si="36"/>
        <v>52019</v>
      </c>
      <c r="B595" s="1">
        <v>43614</v>
      </c>
      <c r="C595" t="s">
        <v>384</v>
      </c>
      <c r="D595">
        <v>30073.599999999999</v>
      </c>
      <c r="E595">
        <v>30207.75</v>
      </c>
      <c r="F595">
        <v>29960.799999999999</v>
      </c>
      <c r="G595">
        <v>30014.2</v>
      </c>
      <c r="H595">
        <v>0</v>
      </c>
      <c r="I595" s="8">
        <f t="shared" si="37"/>
        <v>-1.8208151598243516E-3</v>
      </c>
      <c r="J595" s="8">
        <f t="shared" si="38"/>
        <v>-1.8224748587234111E-3</v>
      </c>
      <c r="K595" s="8">
        <f t="shared" si="35"/>
        <v>2.3430587120081947E-2</v>
      </c>
    </row>
    <row r="596" spans="1:11" x14ac:dyDescent="0.25">
      <c r="A596" t="str">
        <f t="shared" si="36"/>
        <v>52019</v>
      </c>
      <c r="B596" s="1">
        <v>43615</v>
      </c>
      <c r="C596" t="s">
        <v>385</v>
      </c>
      <c r="D596">
        <v>30055.7</v>
      </c>
      <c r="E596">
        <v>30124.799999999999</v>
      </c>
      <c r="F596">
        <v>29974.9</v>
      </c>
      <c r="G596">
        <v>30002.400000000001</v>
      </c>
      <c r="H596">
        <v>0</v>
      </c>
      <c r="I596" s="8">
        <f t="shared" si="37"/>
        <v>-3.9314724363803677E-4</v>
      </c>
      <c r="J596" s="8">
        <f t="shared" si="38"/>
        <v>-3.9322454627717049E-4</v>
      </c>
      <c r="K596" s="8">
        <f t="shared" si="35"/>
        <v>2.5595096680243401E-2</v>
      </c>
    </row>
    <row r="597" spans="1:11" x14ac:dyDescent="0.25">
      <c r="A597" t="str">
        <f t="shared" si="36"/>
        <v>52019</v>
      </c>
      <c r="B597" s="1">
        <v>43616</v>
      </c>
      <c r="C597" t="s">
        <v>386</v>
      </c>
      <c r="D597">
        <v>30060.95</v>
      </c>
      <c r="E597">
        <v>30316.75</v>
      </c>
      <c r="F597">
        <v>29756.400000000001</v>
      </c>
      <c r="G597">
        <v>29850.400000000001</v>
      </c>
      <c r="H597">
        <v>0</v>
      </c>
      <c r="I597" s="8">
        <f t="shared" si="37"/>
        <v>-5.0662613657573852E-3</v>
      </c>
      <c r="J597" s="8">
        <f t="shared" si="38"/>
        <v>-5.0791383784902291E-3</v>
      </c>
      <c r="K597" s="8">
        <f t="shared" si="35"/>
        <v>2.3256930030388867E-2</v>
      </c>
    </row>
    <row r="598" spans="1:11" x14ac:dyDescent="0.25">
      <c r="A598" t="str">
        <f t="shared" si="36"/>
        <v>62019</v>
      </c>
      <c r="B598" s="1">
        <v>43619</v>
      </c>
      <c r="C598" s="10">
        <v>43530.645833333336</v>
      </c>
      <c r="D598">
        <v>30019.95</v>
      </c>
      <c r="E598">
        <v>30313.35</v>
      </c>
      <c r="F598">
        <v>29956.3</v>
      </c>
      <c r="G598">
        <v>30278.75</v>
      </c>
      <c r="H598">
        <v>0</v>
      </c>
      <c r="I598" s="8">
        <f t="shared" si="37"/>
        <v>1.4349891458740771E-2</v>
      </c>
      <c r="J598" s="8">
        <f t="shared" si="38"/>
        <v>1.4247906259468613E-2</v>
      </c>
      <c r="K598" s="8">
        <f t="shared" si="35"/>
        <v>3.4716372465429801E-2</v>
      </c>
    </row>
    <row r="599" spans="1:11" x14ac:dyDescent="0.25">
      <c r="A599" t="str">
        <f t="shared" si="36"/>
        <v>62019</v>
      </c>
      <c r="B599" s="1">
        <v>43620</v>
      </c>
      <c r="C599" s="10">
        <v>43561.645833333336</v>
      </c>
      <c r="D599">
        <v>30254.1</v>
      </c>
      <c r="E599">
        <v>30339.95</v>
      </c>
      <c r="F599">
        <v>30150.75</v>
      </c>
      <c r="G599">
        <v>30197.95</v>
      </c>
      <c r="H599">
        <v>0</v>
      </c>
      <c r="I599" s="8">
        <f t="shared" si="37"/>
        <v>-2.6685381662056029E-3</v>
      </c>
      <c r="J599" s="8">
        <f t="shared" si="38"/>
        <v>-2.6721050611879151E-3</v>
      </c>
      <c r="K599" s="8">
        <f t="shared" si="35"/>
        <v>2.4878754042946039E-2</v>
      </c>
    </row>
    <row r="600" spans="1:11" x14ac:dyDescent="0.25">
      <c r="A600" t="str">
        <f t="shared" si="36"/>
        <v>62019</v>
      </c>
      <c r="B600" s="1">
        <v>43622</v>
      </c>
      <c r="C600" s="10">
        <v>43622.645833333336</v>
      </c>
      <c r="D600">
        <v>30313.1</v>
      </c>
      <c r="E600">
        <v>30375</v>
      </c>
      <c r="F600">
        <v>30010.1</v>
      </c>
      <c r="G600">
        <v>30057.4</v>
      </c>
      <c r="H600">
        <v>0</v>
      </c>
      <c r="I600" s="8">
        <f t="shared" si="37"/>
        <v>-4.6542894468001306E-3</v>
      </c>
      <c r="J600" s="8">
        <f t="shared" si="38"/>
        <v>-4.6651543773900944E-3</v>
      </c>
      <c r="K600" s="8">
        <f t="shared" si="35"/>
        <v>1.3767656462906341E-2</v>
      </c>
    </row>
    <row r="601" spans="1:11" x14ac:dyDescent="0.25">
      <c r="A601" t="str">
        <f t="shared" si="36"/>
        <v>62019</v>
      </c>
      <c r="B601" s="1">
        <v>43623</v>
      </c>
      <c r="C601" s="10">
        <v>43652.645833333336</v>
      </c>
      <c r="D601">
        <v>30098.1</v>
      </c>
      <c r="E601">
        <v>30110.9</v>
      </c>
      <c r="F601">
        <v>29793.599999999999</v>
      </c>
      <c r="G601">
        <v>29971.45</v>
      </c>
      <c r="H601">
        <v>0</v>
      </c>
      <c r="I601" s="8">
        <f t="shared" si="37"/>
        <v>-2.8595287682899873E-3</v>
      </c>
      <c r="J601" s="8">
        <f t="shared" si="38"/>
        <v>-2.8636250314635807E-3</v>
      </c>
      <c r="K601" s="8">
        <f t="shared" si="35"/>
        <v>8.7898809503774711E-3</v>
      </c>
    </row>
    <row r="602" spans="1:11" x14ac:dyDescent="0.25">
      <c r="A602" t="str">
        <f t="shared" si="36"/>
        <v>62019</v>
      </c>
      <c r="B602" s="1">
        <v>43626</v>
      </c>
      <c r="C602" s="10">
        <v>43744.645833333336</v>
      </c>
      <c r="D602">
        <v>30161.4</v>
      </c>
      <c r="E602">
        <v>30437.25</v>
      </c>
      <c r="F602">
        <v>30117.599999999999</v>
      </c>
      <c r="G602">
        <v>30360.9</v>
      </c>
      <c r="H602">
        <v>0</v>
      </c>
      <c r="I602" s="8">
        <f t="shared" si="37"/>
        <v>1.2994032654409571E-2</v>
      </c>
      <c r="J602" s="8">
        <f t="shared" si="38"/>
        <v>1.2910334483558553E-2</v>
      </c>
      <c r="K602" s="8">
        <f t="shared" si="35"/>
        <v>1.5277194895005897E-2</v>
      </c>
    </row>
    <row r="603" spans="1:11" x14ac:dyDescent="0.25">
      <c r="A603" t="str">
        <f t="shared" si="36"/>
        <v>62019</v>
      </c>
      <c r="B603" s="1">
        <v>43627</v>
      </c>
      <c r="C603" s="10">
        <v>43775.645833333336</v>
      </c>
      <c r="D603">
        <v>30459.55</v>
      </c>
      <c r="E603">
        <v>30466.9</v>
      </c>
      <c r="F603">
        <v>30267.3</v>
      </c>
      <c r="G603">
        <v>30311.3</v>
      </c>
      <c r="H603">
        <v>0</v>
      </c>
      <c r="I603" s="8">
        <f t="shared" si="37"/>
        <v>-1.6336801609966312E-3</v>
      </c>
      <c r="J603" s="8">
        <f t="shared" si="38"/>
        <v>-1.6350160715961958E-3</v>
      </c>
      <c r="K603" s="8">
        <f t="shared" si="35"/>
        <v>1.220707445964786E-2</v>
      </c>
    </row>
    <row r="604" spans="1:11" x14ac:dyDescent="0.25">
      <c r="A604" t="str">
        <f t="shared" si="36"/>
        <v>62019</v>
      </c>
      <c r="B604" s="1">
        <v>43628</v>
      </c>
      <c r="C604" s="10">
        <v>43805.645833333336</v>
      </c>
      <c r="D604">
        <v>30351</v>
      </c>
      <c r="E604">
        <v>30433</v>
      </c>
      <c r="F604">
        <v>30156.9</v>
      </c>
      <c r="G604">
        <v>30379.25</v>
      </c>
      <c r="H604">
        <v>0</v>
      </c>
      <c r="I604" s="8">
        <f t="shared" si="37"/>
        <v>2.2417382296371358E-3</v>
      </c>
      <c r="J604" s="8">
        <f t="shared" si="38"/>
        <v>2.2392292833928696E-3</v>
      </c>
      <c r="K604" s="8">
        <f t="shared" si="35"/>
        <v>4.0602979865416167E-3</v>
      </c>
    </row>
    <row r="605" spans="1:11" x14ac:dyDescent="0.25">
      <c r="A605" t="str">
        <f t="shared" si="36"/>
        <v>62019</v>
      </c>
      <c r="B605" s="1">
        <v>43629</v>
      </c>
      <c r="C605" t="s">
        <v>387</v>
      </c>
      <c r="D605">
        <v>30351.5</v>
      </c>
      <c r="E605">
        <v>30389.7</v>
      </c>
      <c r="F605">
        <v>30162.6</v>
      </c>
      <c r="G605">
        <v>30354.55</v>
      </c>
      <c r="H605">
        <v>0</v>
      </c>
      <c r="I605" s="8">
        <f t="shared" si="37"/>
        <v>-8.1305496350303486E-4</v>
      </c>
      <c r="J605" s="8">
        <f t="shared" si="38"/>
        <v>-8.1338567195812458E-4</v>
      </c>
      <c r="K605" s="8">
        <f t="shared" si="35"/>
        <v>-4.141951654812237E-3</v>
      </c>
    </row>
    <row r="606" spans="1:11" x14ac:dyDescent="0.25">
      <c r="A606" t="str">
        <f t="shared" si="36"/>
        <v>62019</v>
      </c>
      <c r="B606" s="1">
        <v>43630</v>
      </c>
      <c r="C606" t="s">
        <v>388</v>
      </c>
      <c r="D606">
        <v>30313.95</v>
      </c>
      <c r="E606">
        <v>30356</v>
      </c>
      <c r="F606">
        <v>29897.5</v>
      </c>
      <c r="G606">
        <v>29966.1</v>
      </c>
      <c r="H606">
        <v>0</v>
      </c>
      <c r="I606" s="8">
        <f t="shared" si="37"/>
        <v>-1.2797093022298145E-2</v>
      </c>
      <c r="J606" s="8">
        <f t="shared" si="38"/>
        <v>-1.2879681165878129E-2</v>
      </c>
      <c r="K606" s="8">
        <f t="shared" si="35"/>
        <v>-1.5943333026836037E-2</v>
      </c>
    </row>
    <row r="607" spans="1:11" x14ac:dyDescent="0.25">
      <c r="A607" t="str">
        <f t="shared" si="36"/>
        <v>62019</v>
      </c>
      <c r="B607" s="1">
        <v>43633</v>
      </c>
      <c r="C607" t="s">
        <v>389</v>
      </c>
      <c r="D607">
        <v>30019.4</v>
      </c>
      <c r="E607">
        <v>30020.55</v>
      </c>
      <c r="F607">
        <v>29657.25</v>
      </c>
      <c r="G607">
        <v>29703.9</v>
      </c>
      <c r="H607">
        <v>0</v>
      </c>
      <c r="I607" s="8">
        <f t="shared" si="37"/>
        <v>-8.74988737273108E-3</v>
      </c>
      <c r="J607" s="8">
        <f t="shared" si="38"/>
        <v>-8.7883924116291014E-3</v>
      </c>
      <c r="K607" s="8">
        <f t="shared" si="35"/>
        <v>-2.505637191349408E-2</v>
      </c>
    </row>
    <row r="608" spans="1:11" x14ac:dyDescent="0.25">
      <c r="A608" t="str">
        <f t="shared" si="36"/>
        <v>62019</v>
      </c>
      <c r="B608" s="1">
        <v>43634</v>
      </c>
      <c r="C608" t="s">
        <v>390</v>
      </c>
      <c r="D608">
        <v>29706.3</v>
      </c>
      <c r="E608">
        <v>29733.55</v>
      </c>
      <c r="F608">
        <v>29409.85</v>
      </c>
      <c r="G608">
        <v>29580.75</v>
      </c>
      <c r="H608">
        <v>0</v>
      </c>
      <c r="I608" s="8">
        <f t="shared" si="37"/>
        <v>-4.1459202326967759E-3</v>
      </c>
      <c r="J608" s="8">
        <f t="shared" si="38"/>
        <v>-4.154538388356604E-3</v>
      </c>
      <c r="K608" s="8">
        <f t="shared" si="35"/>
        <v>-1.2440991673733248E-2</v>
      </c>
    </row>
    <row r="609" spans="1:11" x14ac:dyDescent="0.25">
      <c r="A609" t="str">
        <f t="shared" si="36"/>
        <v>62019</v>
      </c>
      <c r="B609" s="1">
        <v>43635</v>
      </c>
      <c r="C609" t="s">
        <v>391</v>
      </c>
      <c r="D609">
        <v>29657.5</v>
      </c>
      <c r="E609">
        <v>29789.8</v>
      </c>
      <c r="F609">
        <v>29473.35</v>
      </c>
      <c r="G609">
        <v>29585.4</v>
      </c>
      <c r="H609">
        <v>0</v>
      </c>
      <c r="I609" s="8">
        <f t="shared" si="37"/>
        <v>1.5719682563841708E-4</v>
      </c>
      <c r="J609" s="8">
        <f t="shared" si="38"/>
        <v>1.5718447151209103E-4</v>
      </c>
      <c r="K609" s="8">
        <f t="shared" si="35"/>
        <v>-1.9451616217524004E-2</v>
      </c>
    </row>
    <row r="610" spans="1:11" x14ac:dyDescent="0.25">
      <c r="A610" t="str">
        <f t="shared" si="36"/>
        <v>62019</v>
      </c>
      <c r="B610" s="1">
        <v>43636</v>
      </c>
      <c r="C610" t="s">
        <v>392</v>
      </c>
      <c r="D610">
        <v>29467.15</v>
      </c>
      <c r="E610">
        <v>29702.85</v>
      </c>
      <c r="F610">
        <v>29357.1</v>
      </c>
      <c r="G610">
        <v>29651.45</v>
      </c>
      <c r="H610">
        <v>0</v>
      </c>
      <c r="I610" s="8">
        <f t="shared" si="37"/>
        <v>2.2325200943709156E-3</v>
      </c>
      <c r="J610" s="8">
        <f t="shared" si="38"/>
        <v>2.2300317242543526E-3</v>
      </c>
      <c r="K610" s="8">
        <f t="shared" si="35"/>
        <v>-2.5685806431473557E-2</v>
      </c>
    </row>
    <row r="611" spans="1:11" x14ac:dyDescent="0.25">
      <c r="A611" t="str">
        <f t="shared" si="36"/>
        <v>62019</v>
      </c>
      <c r="B611" s="1">
        <v>43637</v>
      </c>
      <c r="C611" t="s">
        <v>393</v>
      </c>
      <c r="D611">
        <v>29642.799999999999</v>
      </c>
      <c r="E611">
        <v>29665.7</v>
      </c>
      <c r="F611">
        <v>29388.5</v>
      </c>
      <c r="G611">
        <v>29423.85</v>
      </c>
      <c r="H611">
        <v>0</v>
      </c>
      <c r="I611" s="8">
        <f t="shared" si="37"/>
        <v>-7.6758472182643089E-3</v>
      </c>
      <c r="J611" s="8">
        <f t="shared" si="38"/>
        <v>-7.7054581568735308E-3</v>
      </c>
      <c r="K611" s="8">
        <f t="shared" si="35"/>
        <v>-2.8830904353020936E-2</v>
      </c>
    </row>
    <row r="612" spans="1:11" x14ac:dyDescent="0.25">
      <c r="A612" t="str">
        <f t="shared" si="36"/>
        <v>62019</v>
      </c>
      <c r="B612" s="1">
        <v>43640</v>
      </c>
      <c r="C612" t="s">
        <v>394</v>
      </c>
      <c r="D612">
        <v>29440.7</v>
      </c>
      <c r="E612">
        <v>29625.5</v>
      </c>
      <c r="F612">
        <v>29406.85</v>
      </c>
      <c r="G612">
        <v>29464.2</v>
      </c>
      <c r="H612">
        <v>0</v>
      </c>
      <c r="I612" s="8">
        <f t="shared" si="37"/>
        <v>1.3713365178249504E-3</v>
      </c>
      <c r="J612" s="8">
        <f t="shared" si="38"/>
        <v>1.370397094647854E-3</v>
      </c>
      <c r="K612" s="8">
        <f t="shared" si="35"/>
        <v>-2.4327085302917051E-2</v>
      </c>
    </row>
    <row r="613" spans="1:11" x14ac:dyDescent="0.25">
      <c r="A613" t="str">
        <f t="shared" si="36"/>
        <v>62019</v>
      </c>
      <c r="B613" s="1">
        <v>43641</v>
      </c>
      <c r="C613" t="s">
        <v>395</v>
      </c>
      <c r="D613">
        <v>29424.85</v>
      </c>
      <c r="E613">
        <v>29618.6</v>
      </c>
      <c r="F613">
        <v>29285.65</v>
      </c>
      <c r="G613">
        <v>29552.6</v>
      </c>
      <c r="H613">
        <v>0</v>
      </c>
      <c r="I613" s="8">
        <f t="shared" si="37"/>
        <v>3.0002511522457809E-3</v>
      </c>
      <c r="J613" s="8">
        <f t="shared" si="38"/>
        <v>2.9957593808097815E-3</v>
      </c>
      <c r="K613" s="8">
        <f t="shared" si="35"/>
        <v>-1.2327276920069075E-2</v>
      </c>
    </row>
    <row r="614" spans="1:11" x14ac:dyDescent="0.25">
      <c r="A614" t="str">
        <f t="shared" si="36"/>
        <v>62019</v>
      </c>
      <c r="B614" s="1">
        <v>43642</v>
      </c>
      <c r="C614" t="s">
        <v>396</v>
      </c>
      <c r="D614">
        <v>29508.05</v>
      </c>
      <c r="E614">
        <v>29634.5</v>
      </c>
      <c r="F614">
        <v>29440.85</v>
      </c>
      <c r="G614">
        <v>29524.1</v>
      </c>
      <c r="H614">
        <v>0</v>
      </c>
      <c r="I614" s="8">
        <f t="shared" si="37"/>
        <v>-9.6438215250094217E-4</v>
      </c>
      <c r="J614" s="8">
        <f t="shared" si="38"/>
        <v>-9.6484746815443559E-4</v>
      </c>
      <c r="K614" s="8">
        <f t="shared" si="35"/>
        <v>-1.4477031023639952E-2</v>
      </c>
    </row>
    <row r="615" spans="1:11" x14ac:dyDescent="0.25">
      <c r="A615" t="str">
        <f t="shared" si="36"/>
        <v>62019</v>
      </c>
      <c r="B615" s="1">
        <v>43643</v>
      </c>
      <c r="C615" t="s">
        <v>397</v>
      </c>
      <c r="D615">
        <v>29591.25</v>
      </c>
      <c r="E615">
        <v>29668.799999999999</v>
      </c>
      <c r="F615">
        <v>29429.95</v>
      </c>
      <c r="G615">
        <v>29486.799999999999</v>
      </c>
      <c r="H615">
        <v>0</v>
      </c>
      <c r="I615" s="8">
        <f t="shared" si="37"/>
        <v>-1.2633746667976009E-3</v>
      </c>
      <c r="J615" s="8">
        <f t="shared" si="38"/>
        <v>-1.2641733973734776E-3</v>
      </c>
      <c r="K615" s="8">
        <f t="shared" si="35"/>
        <v>-1.3534015693503321E-2</v>
      </c>
    </row>
    <row r="616" spans="1:11" x14ac:dyDescent="0.25">
      <c r="A616" t="str">
        <f t="shared" si="36"/>
        <v>62019</v>
      </c>
      <c r="B616" s="1">
        <v>43644</v>
      </c>
      <c r="C616" t="s">
        <v>398</v>
      </c>
      <c r="D616">
        <v>29544.2</v>
      </c>
      <c r="E616">
        <v>29575.25</v>
      </c>
      <c r="F616">
        <v>29446.65</v>
      </c>
      <c r="G616">
        <v>29546.05</v>
      </c>
      <c r="H616">
        <v>0</v>
      </c>
      <c r="I616" s="8">
        <f t="shared" si="37"/>
        <v>2.0093736858526334E-3</v>
      </c>
      <c r="J616" s="8">
        <f t="shared" si="38"/>
        <v>2.0073575948163737E-3</v>
      </c>
      <c r="K616" s="8">
        <f t="shared" si="35"/>
        <v>-2.3053077959544699E-2</v>
      </c>
    </row>
    <row r="617" spans="1:11" x14ac:dyDescent="0.25">
      <c r="A617" t="str">
        <f t="shared" si="36"/>
        <v>72019</v>
      </c>
      <c r="B617" s="1">
        <v>43647</v>
      </c>
      <c r="C617" s="10">
        <v>43472.645833333336</v>
      </c>
      <c r="D617">
        <v>29630.1</v>
      </c>
      <c r="E617">
        <v>29728.799999999999</v>
      </c>
      <c r="F617">
        <v>29579.4</v>
      </c>
      <c r="G617">
        <v>29600.400000000001</v>
      </c>
      <c r="H617">
        <v>0</v>
      </c>
      <c r="I617" s="8">
        <f t="shared" si="37"/>
        <v>1.8395013885106337E-3</v>
      </c>
      <c r="J617" s="8">
        <f t="shared" si="38"/>
        <v>1.8378115777868981E-3</v>
      </c>
      <c r="K617" s="8">
        <f t="shared" si="35"/>
        <v>-2.3778585421517451E-2</v>
      </c>
    </row>
    <row r="618" spans="1:11" x14ac:dyDescent="0.25">
      <c r="A618" t="str">
        <f t="shared" si="36"/>
        <v>72019</v>
      </c>
      <c r="B618" s="1">
        <v>43648</v>
      </c>
      <c r="C618" s="10">
        <v>43503.645833333336</v>
      </c>
      <c r="D618">
        <v>29663.35</v>
      </c>
      <c r="E618">
        <v>29750.9</v>
      </c>
      <c r="F618">
        <v>29568.75</v>
      </c>
      <c r="G618">
        <v>29710.95</v>
      </c>
      <c r="H618">
        <v>0</v>
      </c>
      <c r="I618" s="8">
        <f t="shared" si="37"/>
        <v>3.7347468277455498E-3</v>
      </c>
      <c r="J618" s="8">
        <f t="shared" si="38"/>
        <v>3.727789976816295E-3</v>
      </c>
      <c r="K618" s="8">
        <f t="shared" si="35"/>
        <v>-1.5970509867304417E-2</v>
      </c>
    </row>
    <row r="619" spans="1:11" x14ac:dyDescent="0.25">
      <c r="A619" t="str">
        <f t="shared" si="36"/>
        <v>72019</v>
      </c>
      <c r="B619" s="1">
        <v>43649</v>
      </c>
      <c r="C619" s="10">
        <v>43531.645833333336</v>
      </c>
      <c r="D619">
        <v>29776.35</v>
      </c>
      <c r="E619">
        <v>29850.35</v>
      </c>
      <c r="F619">
        <v>29609.35</v>
      </c>
      <c r="G619">
        <v>29812.65</v>
      </c>
      <c r="H619">
        <v>0</v>
      </c>
      <c r="I619" s="8">
        <f t="shared" si="37"/>
        <v>3.4229804163112831E-3</v>
      </c>
      <c r="J619" s="8">
        <f t="shared" si="38"/>
        <v>3.4171353534054828E-3</v>
      </c>
      <c r="K619" s="8">
        <f t="shared" si="35"/>
        <v>-8.662211973138878E-3</v>
      </c>
    </row>
    <row r="620" spans="1:11" x14ac:dyDescent="0.25">
      <c r="A620" t="str">
        <f t="shared" si="36"/>
        <v>72019</v>
      </c>
      <c r="B620" s="1">
        <v>43650</v>
      </c>
      <c r="C620" s="10">
        <v>43562.645833333336</v>
      </c>
      <c r="D620">
        <v>29830.45</v>
      </c>
      <c r="E620">
        <v>29924.75</v>
      </c>
      <c r="F620">
        <v>29754.15</v>
      </c>
      <c r="G620">
        <v>29889.45</v>
      </c>
      <c r="H620">
        <v>0</v>
      </c>
      <c r="I620" s="8">
        <f t="shared" si="37"/>
        <v>2.5760876674834066E-3</v>
      </c>
      <c r="J620" s="8">
        <f t="shared" si="38"/>
        <v>2.5727752411623087E-3</v>
      </c>
      <c r="K620" s="8">
        <f t="shared" si="35"/>
        <v>-2.6544095565417258E-3</v>
      </c>
    </row>
    <row r="621" spans="1:11" x14ac:dyDescent="0.25">
      <c r="A621" t="str">
        <f t="shared" si="36"/>
        <v>72019</v>
      </c>
      <c r="B621" s="1">
        <v>43651</v>
      </c>
      <c r="C621" s="10">
        <v>43592.645833333336</v>
      </c>
      <c r="D621">
        <v>29940.2</v>
      </c>
      <c r="E621">
        <v>30151.3</v>
      </c>
      <c r="F621">
        <v>29570.25</v>
      </c>
      <c r="G621">
        <v>29973.25</v>
      </c>
      <c r="H621">
        <v>0</v>
      </c>
      <c r="I621" s="8">
        <f t="shared" si="37"/>
        <v>2.8036648382623319E-3</v>
      </c>
      <c r="J621" s="8">
        <f t="shared" si="38"/>
        <v>2.7997419006905236E-3</v>
      </c>
      <c r="K621" s="8">
        <f t="shared" si="35"/>
        <v>-8.4837009603755398E-4</v>
      </c>
    </row>
    <row r="622" spans="1:11" x14ac:dyDescent="0.25">
      <c r="A622" t="str">
        <f t="shared" si="36"/>
        <v>72019</v>
      </c>
      <c r="B622" s="1">
        <v>43654</v>
      </c>
      <c r="C622" s="10">
        <v>43684.645833333336</v>
      </c>
      <c r="D622">
        <v>29931.8</v>
      </c>
      <c r="E622">
        <v>29999.95</v>
      </c>
      <c r="F622">
        <v>29541.8</v>
      </c>
      <c r="G622">
        <v>29594.65</v>
      </c>
      <c r="H622">
        <v>0</v>
      </c>
      <c r="I622" s="8">
        <f t="shared" si="37"/>
        <v>-1.263126287606442E-2</v>
      </c>
      <c r="J622" s="8">
        <f t="shared" si="38"/>
        <v>-1.2711715473552952E-2</v>
      </c>
      <c r="K622" s="8">
        <f t="shared" si="35"/>
        <v>-9.190084083410488E-3</v>
      </c>
    </row>
    <row r="623" spans="1:11" x14ac:dyDescent="0.25">
      <c r="A623" t="str">
        <f t="shared" si="36"/>
        <v>72019</v>
      </c>
      <c r="B623" s="1">
        <v>43655</v>
      </c>
      <c r="C623" s="10">
        <v>43715.645833333336</v>
      </c>
      <c r="D623">
        <v>29539.9</v>
      </c>
      <c r="E623">
        <v>29550.55</v>
      </c>
      <c r="F623">
        <v>29259.4</v>
      </c>
      <c r="G623">
        <v>29321.3</v>
      </c>
      <c r="H623">
        <v>0</v>
      </c>
      <c r="I623" s="8">
        <f t="shared" si="37"/>
        <v>-9.2364667262495592E-3</v>
      </c>
      <c r="J623" s="8">
        <f t="shared" si="38"/>
        <v>-9.2793873796001725E-3</v>
      </c>
      <c r="K623" s="8">
        <f t="shared" si="35"/>
        <v>-1.6210666527984974E-2</v>
      </c>
    </row>
    <row r="624" spans="1:11" x14ac:dyDescent="0.25">
      <c r="A624" t="str">
        <f t="shared" si="36"/>
        <v>72019</v>
      </c>
      <c r="B624" s="1">
        <v>43656</v>
      </c>
      <c r="C624" s="10">
        <v>43745.645833333336</v>
      </c>
      <c r="D624">
        <v>29322.25</v>
      </c>
      <c r="E624">
        <v>29495.8</v>
      </c>
      <c r="F624">
        <v>29056.55</v>
      </c>
      <c r="G624">
        <v>29154.05</v>
      </c>
      <c r="H624">
        <v>0</v>
      </c>
      <c r="I624" s="8">
        <f t="shared" si="37"/>
        <v>-5.7040445000733353E-3</v>
      </c>
      <c r="J624" s="8">
        <f t="shared" si="38"/>
        <v>-5.7203746902650772E-3</v>
      </c>
      <c r="K624" s="8">
        <f t="shared" si="35"/>
        <v>-2.8821506200188196E-2</v>
      </c>
    </row>
    <row r="625" spans="1:11" x14ac:dyDescent="0.25">
      <c r="A625" t="str">
        <f t="shared" si="36"/>
        <v>72019</v>
      </c>
      <c r="B625" s="1">
        <v>43657</v>
      </c>
      <c r="C625" s="10">
        <v>43776.645833333336</v>
      </c>
      <c r="D625">
        <v>29201.200000000001</v>
      </c>
      <c r="E625">
        <v>29370.55</v>
      </c>
      <c r="F625">
        <v>29166.2</v>
      </c>
      <c r="G625">
        <v>29293.65</v>
      </c>
      <c r="H625">
        <v>0</v>
      </c>
      <c r="I625" s="8">
        <f t="shared" si="37"/>
        <v>4.7883570207227777E-3</v>
      </c>
      <c r="J625" s="8">
        <f t="shared" si="38"/>
        <v>4.7769293047137387E-3</v>
      </c>
      <c r="K625" s="8">
        <f t="shared" si="35"/>
        <v>-2.338060240140416E-2</v>
      </c>
    </row>
    <row r="626" spans="1:11" x14ac:dyDescent="0.25">
      <c r="A626" t="str">
        <f t="shared" si="36"/>
        <v>72019</v>
      </c>
      <c r="B626" s="1">
        <v>43658</v>
      </c>
      <c r="C626" s="10">
        <v>43806.645833333336</v>
      </c>
      <c r="D626">
        <v>29269.05</v>
      </c>
      <c r="E626">
        <v>29406.7</v>
      </c>
      <c r="F626">
        <v>29157</v>
      </c>
      <c r="G626">
        <v>29252</v>
      </c>
      <c r="H626">
        <v>0</v>
      </c>
      <c r="I626" s="8">
        <f t="shared" si="37"/>
        <v>-1.4218098461612483E-3</v>
      </c>
      <c r="J626" s="8">
        <f t="shared" si="38"/>
        <v>-1.422821576886752E-3</v>
      </c>
      <c r="K626" s="8">
        <f t="shared" si="35"/>
        <v>-2.9821416430219072E-2</v>
      </c>
    </row>
    <row r="627" spans="1:11" x14ac:dyDescent="0.25">
      <c r="A627" t="str">
        <f t="shared" si="36"/>
        <v>72019</v>
      </c>
      <c r="B627" s="1">
        <v>43661</v>
      </c>
      <c r="C627" t="s">
        <v>399</v>
      </c>
      <c r="D627">
        <v>29288.95</v>
      </c>
      <c r="E627">
        <v>29329</v>
      </c>
      <c r="F627">
        <v>29023.85</v>
      </c>
      <c r="G627">
        <v>29079.9</v>
      </c>
      <c r="H627">
        <v>0</v>
      </c>
      <c r="I627" s="8">
        <f t="shared" si="37"/>
        <v>-5.8833584028441521E-3</v>
      </c>
      <c r="J627" s="8">
        <f t="shared" si="38"/>
        <v>-5.9007335388447735E-3</v>
      </c>
      <c r="K627" s="8">
        <f t="shared" si="35"/>
        <v>-4.7612965346485958E-2</v>
      </c>
    </row>
    <row r="628" spans="1:11" x14ac:dyDescent="0.25">
      <c r="A628" t="str">
        <f t="shared" si="36"/>
        <v>72019</v>
      </c>
      <c r="B628" s="1">
        <v>43662</v>
      </c>
      <c r="C628" t="s">
        <v>400</v>
      </c>
      <c r="D628">
        <v>29101</v>
      </c>
      <c r="E628">
        <v>29420.5</v>
      </c>
      <c r="F628">
        <v>29078.1</v>
      </c>
      <c r="G628">
        <v>29366.6</v>
      </c>
      <c r="H628">
        <v>0</v>
      </c>
      <c r="I628" s="8">
        <f t="shared" si="37"/>
        <v>9.85904353178646E-3</v>
      </c>
      <c r="J628" s="8">
        <f t="shared" si="38"/>
        <v>9.8107602540277658E-3</v>
      </c>
      <c r="K628" s="8">
        <f t="shared" si="35"/>
        <v>-3.8654680922107998E-2</v>
      </c>
    </row>
    <row r="629" spans="1:11" x14ac:dyDescent="0.25">
      <c r="A629" t="str">
        <f t="shared" si="36"/>
        <v>72019</v>
      </c>
      <c r="B629" s="1">
        <v>43663</v>
      </c>
      <c r="C629" t="s">
        <v>401</v>
      </c>
      <c r="D629">
        <v>29367.95</v>
      </c>
      <c r="E629">
        <v>29631.7</v>
      </c>
      <c r="F629">
        <v>29285.7</v>
      </c>
      <c r="G629">
        <v>29614.25</v>
      </c>
      <c r="H629">
        <v>0</v>
      </c>
      <c r="I629" s="8">
        <f t="shared" si="37"/>
        <v>8.4330497912594726E-3</v>
      </c>
      <c r="J629" s="8">
        <f t="shared" si="38"/>
        <v>8.3976902801365851E-3</v>
      </c>
      <c r="K629" s="8">
        <f t="shared" si="35"/>
        <v>-3.6703141569027986E-2</v>
      </c>
    </row>
    <row r="630" spans="1:11" x14ac:dyDescent="0.25">
      <c r="A630" t="str">
        <f t="shared" si="36"/>
        <v>72019</v>
      </c>
      <c r="B630" s="1">
        <v>43664</v>
      </c>
      <c r="C630" t="s">
        <v>402</v>
      </c>
      <c r="D630">
        <v>29620.5</v>
      </c>
      <c r="E630">
        <v>29674.25</v>
      </c>
      <c r="F630">
        <v>29506.75</v>
      </c>
      <c r="G630">
        <v>29553.9</v>
      </c>
      <c r="H630">
        <v>0</v>
      </c>
      <c r="I630" s="8">
        <f t="shared" si="37"/>
        <v>-2.0378702820432748E-3</v>
      </c>
      <c r="J630" s="8">
        <f t="shared" si="38"/>
        <v>-2.0399495650394255E-3</v>
      </c>
      <c r="K630" s="8">
        <f t="shared" si="35"/>
        <v>-3.2888891797656639E-2</v>
      </c>
    </row>
    <row r="631" spans="1:11" x14ac:dyDescent="0.25">
      <c r="A631" t="str">
        <f t="shared" si="36"/>
        <v>72019</v>
      </c>
      <c r="B631" s="1">
        <v>43665</v>
      </c>
      <c r="C631" t="s">
        <v>403</v>
      </c>
      <c r="D631">
        <v>29665.25</v>
      </c>
      <c r="E631">
        <v>29685.95</v>
      </c>
      <c r="F631">
        <v>28936.9</v>
      </c>
      <c r="G631">
        <v>29027.55</v>
      </c>
      <c r="H631">
        <v>0</v>
      </c>
      <c r="I631" s="8">
        <f t="shared" si="37"/>
        <v>-1.7809832204886744E-2</v>
      </c>
      <c r="J631" s="8">
        <f t="shared" si="38"/>
        <v>-1.7970335816922759E-2</v>
      </c>
      <c r="K631" s="8">
        <f t="shared" si="35"/>
        <v>-4.5714558108494563E-2</v>
      </c>
    </row>
    <row r="632" spans="1:11" x14ac:dyDescent="0.25">
      <c r="A632" t="str">
        <f t="shared" si="36"/>
        <v>72019</v>
      </c>
      <c r="B632" s="1">
        <v>43668</v>
      </c>
      <c r="C632" t="s">
        <v>404</v>
      </c>
      <c r="D632">
        <v>29039.05</v>
      </c>
      <c r="E632">
        <v>29054.75</v>
      </c>
      <c r="F632">
        <v>28580.6</v>
      </c>
      <c r="G632">
        <v>28714.95</v>
      </c>
      <c r="H632">
        <v>0</v>
      </c>
      <c r="I632" s="8">
        <f t="shared" si="37"/>
        <v>-1.0769079719094354E-2</v>
      </c>
      <c r="J632" s="8">
        <f t="shared" si="38"/>
        <v>-1.0827485957535922E-2</v>
      </c>
      <c r="K632" s="8">
        <f t="shared" si="35"/>
        <v>-5.837340814328873E-2</v>
      </c>
    </row>
    <row r="633" spans="1:11" x14ac:dyDescent="0.25">
      <c r="A633" t="str">
        <f t="shared" si="36"/>
        <v>72019</v>
      </c>
      <c r="B633" s="1">
        <v>43669</v>
      </c>
      <c r="C633" t="s">
        <v>405</v>
      </c>
      <c r="D633">
        <v>28783</v>
      </c>
      <c r="E633">
        <v>29043</v>
      </c>
      <c r="F633">
        <v>28625.1</v>
      </c>
      <c r="G633">
        <v>28990.9</v>
      </c>
      <c r="H633">
        <v>0</v>
      </c>
      <c r="I633" s="8">
        <f t="shared" si="37"/>
        <v>9.6099766846189372E-3</v>
      </c>
      <c r="J633" s="8">
        <f t="shared" si="38"/>
        <v>9.5640945751418547E-3</v>
      </c>
      <c r="K633" s="8">
        <f t="shared" si="35"/>
        <v>-5.3551520097939176E-2</v>
      </c>
    </row>
    <row r="634" spans="1:11" x14ac:dyDescent="0.25">
      <c r="A634" t="str">
        <f t="shared" si="36"/>
        <v>72019</v>
      </c>
      <c r="B634" s="1">
        <v>43670</v>
      </c>
      <c r="C634" t="s">
        <v>406</v>
      </c>
      <c r="D634">
        <v>28970.6</v>
      </c>
      <c r="E634">
        <v>29105.05</v>
      </c>
      <c r="F634">
        <v>28719.65</v>
      </c>
      <c r="G634">
        <v>28992.5</v>
      </c>
      <c r="H634">
        <v>0</v>
      </c>
      <c r="I634" s="8">
        <f t="shared" si="37"/>
        <v>5.51897319502892E-5</v>
      </c>
      <c r="J634" s="8">
        <f t="shared" si="38"/>
        <v>5.5188209053064763E-5</v>
      </c>
      <c r="K634" s="8">
        <f t="shared" si="35"/>
        <v>-4.5398122569662802E-2</v>
      </c>
    </row>
    <row r="635" spans="1:11" x14ac:dyDescent="0.25">
      <c r="A635" t="str">
        <f t="shared" si="36"/>
        <v>72019</v>
      </c>
      <c r="B635" s="1">
        <v>43671</v>
      </c>
      <c r="C635" t="s">
        <v>407</v>
      </c>
      <c r="D635">
        <v>29012.400000000001</v>
      </c>
      <c r="E635">
        <v>29225.25</v>
      </c>
      <c r="F635">
        <v>28931.15</v>
      </c>
      <c r="G635">
        <v>28983.55</v>
      </c>
      <c r="H635">
        <v>0</v>
      </c>
      <c r="I635" s="8">
        <f t="shared" si="37"/>
        <v>-3.0870052599807352E-4</v>
      </c>
      <c r="J635" s="8">
        <f t="shared" si="38"/>
        <v>-3.0874818381369676E-4</v>
      </c>
      <c r="K635" s="8">
        <f t="shared" si="35"/>
        <v>-4.787004262378558E-2</v>
      </c>
    </row>
    <row r="636" spans="1:11" x14ac:dyDescent="0.25">
      <c r="A636" t="str">
        <f t="shared" si="36"/>
        <v>72019</v>
      </c>
      <c r="B636" s="1">
        <v>43672</v>
      </c>
      <c r="C636" t="s">
        <v>408</v>
      </c>
      <c r="D636">
        <v>28970.55</v>
      </c>
      <c r="E636">
        <v>29172.05</v>
      </c>
      <c r="F636">
        <v>28875.45</v>
      </c>
      <c r="G636">
        <v>29142.3</v>
      </c>
      <c r="H636">
        <v>0</v>
      </c>
      <c r="I636" s="8">
        <f t="shared" si="37"/>
        <v>5.4772448509585736E-3</v>
      </c>
      <c r="J636" s="8">
        <f t="shared" si="38"/>
        <v>5.4622992941921987E-3</v>
      </c>
      <c r="K636" s="8">
        <f t="shared" si="35"/>
        <v>-3.9377787446970625E-2</v>
      </c>
    </row>
    <row r="637" spans="1:11" x14ac:dyDescent="0.25">
      <c r="A637" t="str">
        <f t="shared" si="36"/>
        <v>72019</v>
      </c>
      <c r="B637" s="1">
        <v>43675</v>
      </c>
      <c r="C637" t="s">
        <v>409</v>
      </c>
      <c r="D637">
        <v>29126.6</v>
      </c>
      <c r="E637">
        <v>29248.7</v>
      </c>
      <c r="F637">
        <v>28881.4</v>
      </c>
      <c r="G637">
        <v>28974.95</v>
      </c>
      <c r="H637">
        <v>0</v>
      </c>
      <c r="I637" s="8">
        <f t="shared" si="37"/>
        <v>-5.7425117440970119E-3</v>
      </c>
      <c r="J637" s="8">
        <f t="shared" si="38"/>
        <v>-5.7590633603124067E-3</v>
      </c>
      <c r="K637" s="8">
        <f t="shared" si="35"/>
        <v>-3.7097162796493999E-2</v>
      </c>
    </row>
    <row r="638" spans="1:11" x14ac:dyDescent="0.25">
      <c r="A638" t="str">
        <f t="shared" si="36"/>
        <v>72019</v>
      </c>
      <c r="B638" s="1">
        <v>43676</v>
      </c>
      <c r="C638" t="s">
        <v>410</v>
      </c>
      <c r="D638">
        <v>28981.200000000001</v>
      </c>
      <c r="E638">
        <v>29051.55</v>
      </c>
      <c r="F638">
        <v>28817.85</v>
      </c>
      <c r="G638">
        <v>28864.6</v>
      </c>
      <c r="H638">
        <v>0</v>
      </c>
      <c r="I638" s="8">
        <f t="shared" si="37"/>
        <v>-3.8084621371219374E-3</v>
      </c>
      <c r="J638" s="8">
        <f t="shared" si="38"/>
        <v>-3.815732794934162E-3</v>
      </c>
      <c r="K638" s="8">
        <f t="shared" si="35"/>
        <v>-2.9779281391436485E-2</v>
      </c>
    </row>
    <row r="639" spans="1:11" x14ac:dyDescent="0.25">
      <c r="A639" t="str">
        <f t="shared" si="36"/>
        <v>72019</v>
      </c>
      <c r="B639" s="1">
        <v>43677</v>
      </c>
      <c r="C639" t="s">
        <v>411</v>
      </c>
      <c r="D639">
        <v>28828.3</v>
      </c>
      <c r="E639">
        <v>29157.25</v>
      </c>
      <c r="F639">
        <v>28514.3</v>
      </c>
      <c r="G639">
        <v>29065.95</v>
      </c>
      <c r="H639">
        <v>0</v>
      </c>
      <c r="I639" s="8">
        <f t="shared" si="37"/>
        <v>6.9756726232133026E-3</v>
      </c>
      <c r="J639" s="8">
        <f t="shared" si="38"/>
        <v>6.9514551757051974E-3</v>
      </c>
      <c r="K639" s="8">
        <f t="shared" si="35"/>
        <v>-1.7240417435170907E-2</v>
      </c>
    </row>
    <row r="640" spans="1:11" x14ac:dyDescent="0.25">
      <c r="A640" t="str">
        <f t="shared" si="36"/>
        <v>82019</v>
      </c>
      <c r="B640" s="1">
        <v>43678</v>
      </c>
      <c r="C640" s="10">
        <v>43473.645833333336</v>
      </c>
      <c r="D640">
        <v>29011.65</v>
      </c>
      <c r="E640">
        <v>29120.1</v>
      </c>
      <c r="F640">
        <v>28767.75</v>
      </c>
      <c r="G640">
        <v>28925.35</v>
      </c>
      <c r="H640">
        <v>0</v>
      </c>
      <c r="I640" s="8">
        <f t="shared" si="37"/>
        <v>-4.8372752309834288E-3</v>
      </c>
      <c r="J640" s="8">
        <f t="shared" si="38"/>
        <v>-4.8490127137343431E-3</v>
      </c>
      <c r="K640" s="8">
        <f t="shared" ref="K640:K703" si="39">+G640/G579-1</f>
        <v>-2.1372227607288297E-2</v>
      </c>
    </row>
    <row r="641" spans="1:11" x14ac:dyDescent="0.25">
      <c r="A641" t="str">
        <f t="shared" si="36"/>
        <v>82019</v>
      </c>
      <c r="B641" s="1">
        <v>43679</v>
      </c>
      <c r="C641" s="10">
        <v>43504.645833333336</v>
      </c>
      <c r="D641">
        <v>28846.799999999999</v>
      </c>
      <c r="E641">
        <v>29066.7</v>
      </c>
      <c r="F641">
        <v>28623.85</v>
      </c>
      <c r="G641">
        <v>28930.75</v>
      </c>
      <c r="H641">
        <v>0</v>
      </c>
      <c r="I641" s="8">
        <f t="shared" si="37"/>
        <v>1.8668745581296164E-4</v>
      </c>
      <c r="J641" s="8">
        <f t="shared" si="38"/>
        <v>1.8667003187840229E-4</v>
      </c>
      <c r="K641" s="8">
        <f t="shared" si="39"/>
        <v>-1.5816939212197734E-2</v>
      </c>
    </row>
    <row r="642" spans="1:11" x14ac:dyDescent="0.25">
      <c r="A642" t="str">
        <f t="shared" si="36"/>
        <v>82019</v>
      </c>
      <c r="B642" s="1">
        <v>43682</v>
      </c>
      <c r="C642" s="10">
        <v>43593.645833333336</v>
      </c>
      <c r="D642">
        <v>28832.05</v>
      </c>
      <c r="E642">
        <v>28882.6</v>
      </c>
      <c r="F642">
        <v>28489.15</v>
      </c>
      <c r="G642">
        <v>28777.55</v>
      </c>
      <c r="H642">
        <v>0</v>
      </c>
      <c r="I642" s="8">
        <f t="shared" si="37"/>
        <v>-5.2954036794760073E-3</v>
      </c>
      <c r="J642" s="8">
        <f t="shared" si="38"/>
        <v>-5.3094740236233609E-3</v>
      </c>
      <c r="K642" s="8">
        <f t="shared" si="39"/>
        <v>-2.3655800887537826E-2</v>
      </c>
    </row>
    <row r="643" spans="1:11" x14ac:dyDescent="0.25">
      <c r="A643" t="str">
        <f t="shared" ref="A643:A706" si="40">+MONTH(B643)&amp;YEAR(B643)</f>
        <v>82019</v>
      </c>
      <c r="B643" s="1">
        <v>43683</v>
      </c>
      <c r="C643" s="10">
        <v>43624.645833333336</v>
      </c>
      <c r="D643">
        <v>28687.7</v>
      </c>
      <c r="E643">
        <v>29045.1</v>
      </c>
      <c r="F643">
        <v>28671.75</v>
      </c>
      <c r="G643">
        <v>28847.35</v>
      </c>
      <c r="H643">
        <v>0</v>
      </c>
      <c r="I643" s="8">
        <f t="shared" si="37"/>
        <v>2.425501823470011E-3</v>
      </c>
      <c r="J643" s="8">
        <f t="shared" si="38"/>
        <v>2.4225650417431972E-3</v>
      </c>
      <c r="K643" s="8">
        <f t="shared" si="39"/>
        <v>-1.7429038064923796E-2</v>
      </c>
    </row>
    <row r="644" spans="1:11" x14ac:dyDescent="0.25">
      <c r="A644" t="str">
        <f t="shared" si="40"/>
        <v>82019</v>
      </c>
      <c r="B644" s="1">
        <v>43684</v>
      </c>
      <c r="C644" s="10">
        <v>43654.645833333336</v>
      </c>
      <c r="D644">
        <v>28861.35</v>
      </c>
      <c r="E644">
        <v>29055.8</v>
      </c>
      <c r="F644">
        <v>28771.4</v>
      </c>
      <c r="G644">
        <v>28814.55</v>
      </c>
      <c r="H644">
        <v>0</v>
      </c>
      <c r="I644" s="8">
        <f t="shared" ref="I644:I707" si="41">+G644/G643-1</f>
        <v>-1.1370195182572873E-3</v>
      </c>
      <c r="J644" s="8">
        <f t="shared" ref="J644:J707" si="42">+LN(1+I644)</f>
        <v>-1.1376664153526423E-3</v>
      </c>
      <c r="K644" s="8">
        <f t="shared" si="39"/>
        <v>-8.4804377000103903E-3</v>
      </c>
    </row>
    <row r="645" spans="1:11" x14ac:dyDescent="0.25">
      <c r="A645" t="str">
        <f t="shared" si="40"/>
        <v>82019</v>
      </c>
      <c r="B645" s="1">
        <v>43685</v>
      </c>
      <c r="C645" s="10">
        <v>43685.645833333336</v>
      </c>
      <c r="D645">
        <v>28914.9</v>
      </c>
      <c r="E645">
        <v>29165.9</v>
      </c>
      <c r="F645">
        <v>28834.9</v>
      </c>
      <c r="G645">
        <v>29131.8</v>
      </c>
      <c r="H645">
        <v>0</v>
      </c>
      <c r="I645" s="8">
        <f t="shared" si="41"/>
        <v>1.1010062624611461E-2</v>
      </c>
      <c r="J645" s="8">
        <f t="shared" si="42"/>
        <v>1.0949893128872876E-2</v>
      </c>
      <c r="K645" s="8">
        <f t="shared" si="39"/>
        <v>-3.533423863780194E-3</v>
      </c>
    </row>
    <row r="646" spans="1:11" x14ac:dyDescent="0.25">
      <c r="A646" t="str">
        <f t="shared" si="40"/>
        <v>82019</v>
      </c>
      <c r="B646" s="1">
        <v>43686</v>
      </c>
      <c r="C646" s="10">
        <v>43716.645833333336</v>
      </c>
      <c r="D646">
        <v>29219.85</v>
      </c>
      <c r="E646">
        <v>29365.1</v>
      </c>
      <c r="F646">
        <v>29123.65</v>
      </c>
      <c r="G646">
        <v>29302.2</v>
      </c>
      <c r="H646">
        <v>0</v>
      </c>
      <c r="I646" s="8">
        <f t="shared" si="41"/>
        <v>5.8492781084589218E-3</v>
      </c>
      <c r="J646" s="8">
        <f t="shared" si="42"/>
        <v>5.832237499149402E-3</v>
      </c>
      <c r="K646" s="8">
        <f t="shared" si="39"/>
        <v>4.012321355760351E-3</v>
      </c>
    </row>
    <row r="647" spans="1:11" x14ac:dyDescent="0.25">
      <c r="A647" t="str">
        <f t="shared" si="40"/>
        <v>82019</v>
      </c>
      <c r="B647" s="1">
        <v>43690</v>
      </c>
      <c r="C647" t="s">
        <v>412</v>
      </c>
      <c r="D647">
        <v>29285.55</v>
      </c>
      <c r="E647">
        <v>29292.3</v>
      </c>
      <c r="F647">
        <v>28643.8</v>
      </c>
      <c r="G647">
        <v>28728.5</v>
      </c>
      <c r="H647">
        <v>0</v>
      </c>
      <c r="I647" s="8">
        <f t="shared" si="41"/>
        <v>-1.9578734702513811E-2</v>
      </c>
      <c r="J647" s="8">
        <f t="shared" si="42"/>
        <v>-1.9772937133501044E-2</v>
      </c>
      <c r="K647" s="8">
        <f t="shared" si="39"/>
        <v>-1.7113316705840487E-2</v>
      </c>
    </row>
    <row r="648" spans="1:11" x14ac:dyDescent="0.25">
      <c r="A648" t="str">
        <f t="shared" si="40"/>
        <v>82019</v>
      </c>
      <c r="B648" s="1">
        <v>43691</v>
      </c>
      <c r="C648" t="s">
        <v>413</v>
      </c>
      <c r="D648">
        <v>28771.65</v>
      </c>
      <c r="E648">
        <v>29021.75</v>
      </c>
      <c r="F648">
        <v>28620.75</v>
      </c>
      <c r="G648">
        <v>28839.599999999999</v>
      </c>
      <c r="H648">
        <v>0</v>
      </c>
      <c r="I648" s="8">
        <f t="shared" si="41"/>
        <v>3.8672398489305593E-3</v>
      </c>
      <c r="J648" s="8">
        <f t="shared" si="42"/>
        <v>3.8597813000533165E-3</v>
      </c>
      <c r="K648" s="8">
        <f t="shared" si="39"/>
        <v>-3.7465602435072354E-2</v>
      </c>
    </row>
    <row r="649" spans="1:11" x14ac:dyDescent="0.25">
      <c r="A649" t="str">
        <f t="shared" si="40"/>
        <v>82019</v>
      </c>
      <c r="B649" s="1">
        <v>43693</v>
      </c>
      <c r="C649" t="s">
        <v>414</v>
      </c>
      <c r="D649">
        <v>28822.5</v>
      </c>
      <c r="E649">
        <v>28965.95</v>
      </c>
      <c r="F649">
        <v>28567.35</v>
      </c>
      <c r="G649">
        <v>28889.95</v>
      </c>
      <c r="H649">
        <v>0</v>
      </c>
      <c r="I649" s="8">
        <f t="shared" si="41"/>
        <v>1.7458633268145896E-3</v>
      </c>
      <c r="J649" s="8">
        <f t="shared" si="42"/>
        <v>1.7443410789369299E-3</v>
      </c>
      <c r="K649" s="8">
        <f t="shared" si="39"/>
        <v>-5.4266040104557933E-2</v>
      </c>
    </row>
    <row r="650" spans="1:11" x14ac:dyDescent="0.25">
      <c r="A650" t="str">
        <f t="shared" si="40"/>
        <v>82019</v>
      </c>
      <c r="B650" s="1">
        <v>43696</v>
      </c>
      <c r="C650" t="s">
        <v>415</v>
      </c>
      <c r="D650">
        <v>28950.1</v>
      </c>
      <c r="E650">
        <v>29204.1</v>
      </c>
      <c r="F650">
        <v>28795.85</v>
      </c>
      <c r="G650">
        <v>28837.5</v>
      </c>
      <c r="H650">
        <v>0</v>
      </c>
      <c r="I650" s="8">
        <f t="shared" si="41"/>
        <v>-1.8155102379893151E-3</v>
      </c>
      <c r="J650" s="8">
        <f t="shared" si="42"/>
        <v>-1.8171602741088558E-3</v>
      </c>
      <c r="K650" s="8">
        <f t="shared" si="39"/>
        <v>-5.5681628402738936E-2</v>
      </c>
    </row>
    <row r="651" spans="1:11" x14ac:dyDescent="0.25">
      <c r="A651" t="str">
        <f t="shared" si="40"/>
        <v>82019</v>
      </c>
      <c r="B651" s="1">
        <v>43697</v>
      </c>
      <c r="C651" t="s">
        <v>416</v>
      </c>
      <c r="D651">
        <v>28861.05</v>
      </c>
      <c r="E651">
        <v>28872.85</v>
      </c>
      <c r="F651">
        <v>28592.55</v>
      </c>
      <c r="G651">
        <v>28669.85</v>
      </c>
      <c r="H651">
        <v>0</v>
      </c>
      <c r="I651" s="8">
        <f t="shared" si="41"/>
        <v>-5.8136107498917289E-3</v>
      </c>
      <c r="J651" s="8">
        <f t="shared" si="42"/>
        <v>-5.8305755680536607E-3</v>
      </c>
      <c r="K651" s="8">
        <f t="shared" si="39"/>
        <v>-5.2162729997206503E-2</v>
      </c>
    </row>
    <row r="652" spans="1:11" x14ac:dyDescent="0.25">
      <c r="A652" t="str">
        <f t="shared" si="40"/>
        <v>82019</v>
      </c>
      <c r="B652" s="1">
        <v>43698</v>
      </c>
      <c r="C652" t="s">
        <v>417</v>
      </c>
      <c r="D652">
        <v>28704.3</v>
      </c>
      <c r="E652">
        <v>28720.7</v>
      </c>
      <c r="F652">
        <v>28337.55</v>
      </c>
      <c r="G652">
        <v>28399.1</v>
      </c>
      <c r="H652">
        <v>0</v>
      </c>
      <c r="I652" s="8">
        <f t="shared" si="41"/>
        <v>-9.443718749836516E-3</v>
      </c>
      <c r="J652" s="8">
        <f t="shared" si="42"/>
        <v>-9.4885934076463403E-3</v>
      </c>
      <c r="K652" s="8">
        <f t="shared" si="39"/>
        <v>-4.456697999582826E-2</v>
      </c>
    </row>
    <row r="653" spans="1:11" x14ac:dyDescent="0.25">
      <c r="A653" t="str">
        <f t="shared" si="40"/>
        <v>82019</v>
      </c>
      <c r="B653" s="1">
        <v>43699</v>
      </c>
      <c r="C653" t="s">
        <v>418</v>
      </c>
      <c r="D653">
        <v>28422.799999999999</v>
      </c>
      <c r="E653">
        <v>28746.400000000001</v>
      </c>
      <c r="F653">
        <v>28342.5</v>
      </c>
      <c r="G653">
        <v>28396.15</v>
      </c>
      <c r="H653">
        <v>0</v>
      </c>
      <c r="I653" s="8">
        <f t="shared" si="41"/>
        <v>-1.0387653129839691E-4</v>
      </c>
      <c r="J653" s="8">
        <f t="shared" si="42"/>
        <v>-1.0388192683892413E-4</v>
      </c>
      <c r="K653" s="8">
        <f t="shared" si="39"/>
        <v>-5.2368731937501245E-2</v>
      </c>
    </row>
    <row r="654" spans="1:11" x14ac:dyDescent="0.25">
      <c r="A654" t="str">
        <f t="shared" si="40"/>
        <v>82019</v>
      </c>
      <c r="B654" s="1">
        <v>43700</v>
      </c>
      <c r="C654" t="s">
        <v>419</v>
      </c>
      <c r="D654">
        <v>28349.5</v>
      </c>
      <c r="E654">
        <v>28422</v>
      </c>
      <c r="F654">
        <v>28099.15</v>
      </c>
      <c r="G654">
        <v>28257.1</v>
      </c>
      <c r="H654">
        <v>0</v>
      </c>
      <c r="I654" s="8">
        <f t="shared" si="41"/>
        <v>-4.8967905860478611E-3</v>
      </c>
      <c r="J654" s="8">
        <f t="shared" si="42"/>
        <v>-4.908819148703651E-3</v>
      </c>
      <c r="K654" s="8">
        <f t="shared" si="39"/>
        <v>-6.1394301354574354E-2</v>
      </c>
    </row>
    <row r="655" spans="1:11" x14ac:dyDescent="0.25">
      <c r="A655" t="str">
        <f t="shared" si="40"/>
        <v>82019</v>
      </c>
      <c r="B655" s="1">
        <v>43703</v>
      </c>
      <c r="C655" t="s">
        <v>420</v>
      </c>
      <c r="D655">
        <v>28526.95</v>
      </c>
      <c r="E655">
        <v>28779</v>
      </c>
      <c r="F655">
        <v>28115.05</v>
      </c>
      <c r="G655">
        <v>28707.8</v>
      </c>
      <c r="H655">
        <v>0</v>
      </c>
      <c r="I655" s="8">
        <f t="shared" si="41"/>
        <v>1.5949973634944881E-2</v>
      </c>
      <c r="J655" s="8">
        <f t="shared" si="42"/>
        <v>1.5824109395750439E-2</v>
      </c>
      <c r="K655" s="8">
        <f t="shared" si="39"/>
        <v>-4.5267626571596331E-2</v>
      </c>
    </row>
    <row r="656" spans="1:11" x14ac:dyDescent="0.25">
      <c r="A656" t="str">
        <f t="shared" si="40"/>
        <v>82019</v>
      </c>
      <c r="B656" s="1">
        <v>43704</v>
      </c>
      <c r="C656" t="s">
        <v>421</v>
      </c>
      <c r="D656">
        <v>28813.05</v>
      </c>
      <c r="E656">
        <v>29079.7</v>
      </c>
      <c r="F656">
        <v>28735.200000000001</v>
      </c>
      <c r="G656">
        <v>28927.25</v>
      </c>
      <c r="H656">
        <v>0</v>
      </c>
      <c r="I656" s="8">
        <f t="shared" si="41"/>
        <v>7.644263928270334E-3</v>
      </c>
      <c r="J656" s="8">
        <f t="shared" si="42"/>
        <v>7.6151945912369904E-3</v>
      </c>
      <c r="K656" s="8">
        <f t="shared" si="39"/>
        <v>-3.6214525124774299E-2</v>
      </c>
    </row>
    <row r="657" spans="1:11" x14ac:dyDescent="0.25">
      <c r="A657" t="str">
        <f t="shared" si="40"/>
        <v>82019</v>
      </c>
      <c r="B657" s="1">
        <v>43705</v>
      </c>
      <c r="C657" t="s">
        <v>422</v>
      </c>
      <c r="D657">
        <v>28873.4</v>
      </c>
      <c r="E657">
        <v>28978.45</v>
      </c>
      <c r="F657">
        <v>28598.75</v>
      </c>
      <c r="G657">
        <v>28815</v>
      </c>
      <c r="H657">
        <v>0</v>
      </c>
      <c r="I657" s="8">
        <f t="shared" si="41"/>
        <v>-3.880424167523655E-3</v>
      </c>
      <c r="J657" s="8">
        <f t="shared" si="42"/>
        <v>-3.8879725469872805E-3</v>
      </c>
      <c r="K657" s="8">
        <f t="shared" si="39"/>
        <v>-3.9576833853291804E-2</v>
      </c>
    </row>
    <row r="658" spans="1:11" x14ac:dyDescent="0.25">
      <c r="A658" t="str">
        <f t="shared" si="40"/>
        <v>82019</v>
      </c>
      <c r="B658" s="1">
        <v>43706</v>
      </c>
      <c r="C658" t="s">
        <v>423</v>
      </c>
      <c r="D658">
        <v>28707.85</v>
      </c>
      <c r="E658">
        <v>28930.35</v>
      </c>
      <c r="F658">
        <v>28626.799999999999</v>
      </c>
      <c r="G658">
        <v>28751.8</v>
      </c>
      <c r="H658">
        <v>0</v>
      </c>
      <c r="I658" s="8">
        <f t="shared" si="41"/>
        <v>-2.1933020996008912E-3</v>
      </c>
      <c r="J658" s="8">
        <f t="shared" si="42"/>
        <v>-2.1957109094606149E-3</v>
      </c>
      <c r="K658" s="8">
        <f t="shared" si="39"/>
        <v>-3.6803526920912377E-2</v>
      </c>
    </row>
    <row r="659" spans="1:11" x14ac:dyDescent="0.25">
      <c r="A659" t="str">
        <f t="shared" si="40"/>
        <v>82019</v>
      </c>
      <c r="B659" s="1">
        <v>43707</v>
      </c>
      <c r="C659" t="s">
        <v>424</v>
      </c>
      <c r="D659">
        <v>28869.95</v>
      </c>
      <c r="E659">
        <v>29318.2</v>
      </c>
      <c r="F659">
        <v>28676</v>
      </c>
      <c r="G659">
        <v>29257.35</v>
      </c>
      <c r="H659">
        <v>0</v>
      </c>
      <c r="I659" s="8">
        <f t="shared" si="41"/>
        <v>1.7583246961929255E-2</v>
      </c>
      <c r="J659" s="8">
        <f t="shared" si="42"/>
        <v>1.7430450183931658E-2</v>
      </c>
      <c r="K659" s="8">
        <f t="shared" si="39"/>
        <v>-3.373322874953566E-2</v>
      </c>
    </row>
    <row r="660" spans="1:11" x14ac:dyDescent="0.25">
      <c r="A660" t="str">
        <f t="shared" si="40"/>
        <v>92019</v>
      </c>
      <c r="B660" s="1">
        <v>43711</v>
      </c>
      <c r="C660" s="10">
        <v>43533.645833333336</v>
      </c>
      <c r="D660">
        <v>29116.45</v>
      </c>
      <c r="E660">
        <v>29142.3</v>
      </c>
      <c r="F660">
        <v>28712.7</v>
      </c>
      <c r="G660">
        <v>28766.9</v>
      </c>
      <c r="H660">
        <v>0</v>
      </c>
      <c r="I660" s="8">
        <f t="shared" si="41"/>
        <v>-1.6763309048837161E-2</v>
      </c>
      <c r="J660" s="8">
        <f t="shared" si="42"/>
        <v>-1.6905403534863046E-2</v>
      </c>
      <c r="K660" s="8">
        <f t="shared" si="39"/>
        <v>-4.7388978390917269E-2</v>
      </c>
    </row>
    <row r="661" spans="1:11" x14ac:dyDescent="0.25">
      <c r="A661" t="str">
        <f t="shared" si="40"/>
        <v>92019</v>
      </c>
      <c r="B661" s="1">
        <v>43712</v>
      </c>
      <c r="C661" s="10">
        <v>43564.645833333336</v>
      </c>
      <c r="D661">
        <v>28812.9</v>
      </c>
      <c r="E661">
        <v>28989.599999999999</v>
      </c>
      <c r="F661">
        <v>28503</v>
      </c>
      <c r="G661">
        <v>28725.65</v>
      </c>
      <c r="H661">
        <v>0</v>
      </c>
      <c r="I661" s="8">
        <f t="shared" si="41"/>
        <v>-1.4339397015319388E-3</v>
      </c>
      <c r="J661" s="8">
        <f t="shared" si="42"/>
        <v>-1.4349687769381178E-3</v>
      </c>
      <c r="K661" s="8">
        <f t="shared" si="39"/>
        <v>-4.4306892811753484E-2</v>
      </c>
    </row>
    <row r="662" spans="1:11" x14ac:dyDescent="0.25">
      <c r="A662" t="str">
        <f t="shared" si="40"/>
        <v>92019</v>
      </c>
      <c r="B662" s="1">
        <v>43713</v>
      </c>
      <c r="C662" s="10">
        <v>43594.645833333336</v>
      </c>
      <c r="D662">
        <v>28693.45</v>
      </c>
      <c r="E662">
        <v>28879.25</v>
      </c>
      <c r="F662">
        <v>28612.75</v>
      </c>
      <c r="G662">
        <v>28710</v>
      </c>
      <c r="H662">
        <v>0</v>
      </c>
      <c r="I662" s="8">
        <f t="shared" si="41"/>
        <v>-5.4480925583932915E-4</v>
      </c>
      <c r="J662" s="8">
        <f t="shared" si="42"/>
        <v>-5.4495771832689362E-4</v>
      </c>
      <c r="K662" s="8">
        <f t="shared" si="39"/>
        <v>-4.2088387448722009E-2</v>
      </c>
    </row>
    <row r="663" spans="1:11" x14ac:dyDescent="0.25">
      <c r="A663" t="str">
        <f t="shared" si="40"/>
        <v>92019</v>
      </c>
      <c r="B663" s="1">
        <v>43714</v>
      </c>
      <c r="C663" s="10">
        <v>43625.645833333336</v>
      </c>
      <c r="D663">
        <v>28751.3</v>
      </c>
      <c r="E663">
        <v>28851.7</v>
      </c>
      <c r="F663">
        <v>28609.3</v>
      </c>
      <c r="G663">
        <v>28649.75</v>
      </c>
      <c r="H663">
        <v>0</v>
      </c>
      <c r="I663" s="8">
        <f t="shared" si="41"/>
        <v>-2.0985719261581437E-3</v>
      </c>
      <c r="J663" s="8">
        <f t="shared" si="42"/>
        <v>-2.1007770137862172E-3</v>
      </c>
      <c r="K663" s="8">
        <f t="shared" si="39"/>
        <v>-5.6360318699379852E-2</v>
      </c>
    </row>
    <row r="664" spans="1:11" x14ac:dyDescent="0.25">
      <c r="A664" t="str">
        <f t="shared" si="40"/>
        <v>92019</v>
      </c>
      <c r="B664" s="1">
        <v>43717</v>
      </c>
      <c r="C664" s="10">
        <v>43717.645833333336</v>
      </c>
      <c r="D664">
        <v>28679.75</v>
      </c>
      <c r="E664">
        <v>28971</v>
      </c>
      <c r="F664">
        <v>28616.95</v>
      </c>
      <c r="G664">
        <v>28845.65</v>
      </c>
      <c r="H664">
        <v>0</v>
      </c>
      <c r="I664" s="8">
        <f t="shared" si="41"/>
        <v>6.8377560013612726E-3</v>
      </c>
      <c r="J664" s="8">
        <f t="shared" si="42"/>
        <v>6.8144845704770389E-3</v>
      </c>
      <c r="K664" s="8">
        <f t="shared" si="39"/>
        <v>-4.8353254396874989E-2</v>
      </c>
    </row>
    <row r="665" spans="1:11" x14ac:dyDescent="0.25">
      <c r="A665" t="str">
        <f t="shared" si="40"/>
        <v>92019</v>
      </c>
      <c r="B665" s="1">
        <v>43719</v>
      </c>
      <c r="C665" s="10">
        <v>43778.645833333336</v>
      </c>
      <c r="D665">
        <v>28830.9</v>
      </c>
      <c r="E665">
        <v>28909.65</v>
      </c>
      <c r="F665">
        <v>28708.75</v>
      </c>
      <c r="G665">
        <v>28759.35</v>
      </c>
      <c r="H665">
        <v>0</v>
      </c>
      <c r="I665" s="8">
        <f t="shared" si="41"/>
        <v>-2.9917855898550227E-3</v>
      </c>
      <c r="J665" s="8">
        <f t="shared" si="42"/>
        <v>-2.9962699267125866E-3</v>
      </c>
      <c r="K665" s="8">
        <f t="shared" si="39"/>
        <v>-5.3322580379700057E-2</v>
      </c>
    </row>
    <row r="666" spans="1:11" x14ac:dyDescent="0.25">
      <c r="A666" t="str">
        <f t="shared" si="40"/>
        <v>92019</v>
      </c>
      <c r="B666" s="1">
        <v>43720</v>
      </c>
      <c r="C666" s="10">
        <v>43808.645833333336</v>
      </c>
      <c r="D666">
        <v>28824.400000000001</v>
      </c>
      <c r="E666">
        <v>28881.9</v>
      </c>
      <c r="F666">
        <v>28534.1</v>
      </c>
      <c r="G666">
        <v>28575.200000000001</v>
      </c>
      <c r="H666">
        <v>0</v>
      </c>
      <c r="I666" s="8">
        <f t="shared" si="41"/>
        <v>-6.4031349804497539E-3</v>
      </c>
      <c r="J666" s="8">
        <f t="shared" si="42"/>
        <v>-6.4237229814608455E-3</v>
      </c>
      <c r="K666" s="8">
        <f t="shared" si="39"/>
        <v>-5.8618889095703897E-2</v>
      </c>
    </row>
    <row r="667" spans="1:11" x14ac:dyDescent="0.25">
      <c r="A667" t="str">
        <f t="shared" si="40"/>
        <v>92019</v>
      </c>
      <c r="B667" s="1">
        <v>43721</v>
      </c>
      <c r="C667" t="s">
        <v>425</v>
      </c>
      <c r="D667">
        <v>28614.65</v>
      </c>
      <c r="E667">
        <v>28678</v>
      </c>
      <c r="F667">
        <v>28503.45</v>
      </c>
      <c r="G667">
        <v>28592.05</v>
      </c>
      <c r="H667">
        <v>0</v>
      </c>
      <c r="I667" s="8">
        <f t="shared" si="41"/>
        <v>5.8967216327432403E-4</v>
      </c>
      <c r="J667" s="8">
        <f t="shared" si="42"/>
        <v>5.8949837495965191E-4</v>
      </c>
      <c r="K667" s="8">
        <f t="shared" si="39"/>
        <v>-4.5853481100309956E-2</v>
      </c>
    </row>
    <row r="668" spans="1:11" x14ac:dyDescent="0.25">
      <c r="A668" t="str">
        <f t="shared" si="40"/>
        <v>92019</v>
      </c>
      <c r="B668" s="1">
        <v>43724</v>
      </c>
      <c r="C668" t="s">
        <v>426</v>
      </c>
      <c r="D668">
        <v>28496.45</v>
      </c>
      <c r="E668">
        <v>28796.45</v>
      </c>
      <c r="F668">
        <v>28449.35</v>
      </c>
      <c r="G668">
        <v>28751.75</v>
      </c>
      <c r="H668">
        <v>0</v>
      </c>
      <c r="I668" s="8">
        <f t="shared" si="41"/>
        <v>5.585468687974382E-3</v>
      </c>
      <c r="J668" s="8">
        <f t="shared" si="42"/>
        <v>5.5699277996502251E-3</v>
      </c>
      <c r="K668" s="8">
        <f t="shared" si="39"/>
        <v>-3.2054713354138675E-2</v>
      </c>
    </row>
    <row r="669" spans="1:11" x14ac:dyDescent="0.25">
      <c r="A669" t="str">
        <f t="shared" si="40"/>
        <v>92019</v>
      </c>
      <c r="B669" s="1">
        <v>43725</v>
      </c>
      <c r="C669" t="s">
        <v>427</v>
      </c>
      <c r="D669">
        <v>28768.5</v>
      </c>
      <c r="E669">
        <v>28903</v>
      </c>
      <c r="F669">
        <v>28641.599999999999</v>
      </c>
      <c r="G669">
        <v>28675.3</v>
      </c>
      <c r="H669">
        <v>0</v>
      </c>
      <c r="I669" s="8">
        <f t="shared" si="41"/>
        <v>-2.658968584520971E-3</v>
      </c>
      <c r="J669" s="8">
        <f t="shared" si="42"/>
        <v>-2.6625099204145878E-3</v>
      </c>
      <c r="K669" s="8">
        <f t="shared" si="39"/>
        <v>-3.060943349982681E-2</v>
      </c>
    </row>
    <row r="670" spans="1:11" x14ac:dyDescent="0.25">
      <c r="A670" t="str">
        <f t="shared" si="40"/>
        <v>92019</v>
      </c>
      <c r="B670" s="1">
        <v>43726</v>
      </c>
      <c r="C670" t="s">
        <v>428</v>
      </c>
      <c r="D670">
        <v>28764.9</v>
      </c>
      <c r="E670">
        <v>28821.200000000001</v>
      </c>
      <c r="F670">
        <v>28514.45</v>
      </c>
      <c r="G670">
        <v>28752.15</v>
      </c>
      <c r="H670">
        <v>0</v>
      </c>
      <c r="I670" s="8">
        <f t="shared" si="41"/>
        <v>2.6800068351509054E-3</v>
      </c>
      <c r="J670" s="8">
        <f t="shared" si="42"/>
        <v>2.6764220202898444E-3</v>
      </c>
      <c r="K670" s="8">
        <f t="shared" si="39"/>
        <v>-2.8164229653815709E-2</v>
      </c>
    </row>
    <row r="671" spans="1:11" x14ac:dyDescent="0.25">
      <c r="A671" t="str">
        <f t="shared" si="40"/>
        <v>92019</v>
      </c>
      <c r="B671" s="1">
        <v>43727</v>
      </c>
      <c r="C671" t="s">
        <v>429</v>
      </c>
      <c r="D671">
        <v>28794.799999999999</v>
      </c>
      <c r="E671">
        <v>28814.7</v>
      </c>
      <c r="F671">
        <v>28529.05</v>
      </c>
      <c r="G671">
        <v>28575.599999999999</v>
      </c>
      <c r="H671">
        <v>0</v>
      </c>
      <c r="I671" s="8">
        <f t="shared" si="41"/>
        <v>-6.1404103693115664E-3</v>
      </c>
      <c r="J671" s="8">
        <f t="shared" si="42"/>
        <v>-6.1593402202146322E-3</v>
      </c>
      <c r="K671" s="8">
        <f t="shared" si="39"/>
        <v>-3.6283217178249338E-2</v>
      </c>
    </row>
    <row r="672" spans="1:11" x14ac:dyDescent="0.25">
      <c r="A672" t="str">
        <f t="shared" si="40"/>
        <v>92019</v>
      </c>
      <c r="B672" s="1">
        <v>43728</v>
      </c>
      <c r="C672" t="s">
        <v>430</v>
      </c>
      <c r="D672">
        <v>28660.35</v>
      </c>
      <c r="E672">
        <v>30003.599999999999</v>
      </c>
      <c r="F672">
        <v>28500.799999999999</v>
      </c>
      <c r="G672">
        <v>29835.35</v>
      </c>
      <c r="H672">
        <v>0</v>
      </c>
      <c r="I672" s="8">
        <f t="shared" si="41"/>
        <v>4.4084813617211838E-2</v>
      </c>
      <c r="J672" s="8">
        <f t="shared" si="42"/>
        <v>4.3140725257676454E-2</v>
      </c>
      <c r="K672" s="8">
        <f t="shared" si="39"/>
        <v>1.3985253459353642E-2</v>
      </c>
    </row>
    <row r="673" spans="1:11" x14ac:dyDescent="0.25">
      <c r="A673" t="str">
        <f t="shared" si="40"/>
        <v>92019</v>
      </c>
      <c r="B673" s="1">
        <v>43731</v>
      </c>
      <c r="C673" t="s">
        <v>431</v>
      </c>
      <c r="D673">
        <v>30449.3</v>
      </c>
      <c r="E673">
        <v>31813.8</v>
      </c>
      <c r="F673">
        <v>30449.3</v>
      </c>
      <c r="G673">
        <v>31120.1</v>
      </c>
      <c r="H673">
        <v>0</v>
      </c>
      <c r="I673" s="8">
        <f t="shared" si="41"/>
        <v>4.3061334960039055E-2</v>
      </c>
      <c r="J673" s="8">
        <f t="shared" si="42"/>
        <v>4.2159980579200153E-2</v>
      </c>
      <c r="K673" s="8">
        <f t="shared" si="39"/>
        <v>5.6200405916332352E-2</v>
      </c>
    </row>
    <row r="674" spans="1:11" x14ac:dyDescent="0.25">
      <c r="A674" t="str">
        <f t="shared" si="40"/>
        <v>92019</v>
      </c>
      <c r="B674" s="1">
        <v>43732</v>
      </c>
      <c r="C674" t="s">
        <v>432</v>
      </c>
      <c r="D674">
        <v>31197.65</v>
      </c>
      <c r="E674">
        <v>31401.05</v>
      </c>
      <c r="F674">
        <v>30939.65</v>
      </c>
      <c r="G674">
        <v>31312.400000000001</v>
      </c>
      <c r="H674">
        <v>0</v>
      </c>
      <c r="I674" s="8">
        <f t="shared" si="41"/>
        <v>6.179286056278821E-3</v>
      </c>
      <c r="J674" s="8">
        <f t="shared" si="42"/>
        <v>6.160272554572346E-3</v>
      </c>
      <c r="K674" s="8">
        <f t="shared" si="39"/>
        <v>5.954806006916491E-2</v>
      </c>
    </row>
    <row r="675" spans="1:11" x14ac:dyDescent="0.25">
      <c r="A675" t="str">
        <f t="shared" si="40"/>
        <v>92019</v>
      </c>
      <c r="B675" s="1">
        <v>43733</v>
      </c>
      <c r="C675" t="s">
        <v>433</v>
      </c>
      <c r="D675">
        <v>31249.15</v>
      </c>
      <c r="E675">
        <v>31281.75</v>
      </c>
      <c r="F675">
        <v>30810.95</v>
      </c>
      <c r="G675">
        <v>30925.95</v>
      </c>
      <c r="H675">
        <v>0</v>
      </c>
      <c r="I675" s="8">
        <f t="shared" si="41"/>
        <v>-1.2341755981655878E-2</v>
      </c>
      <c r="J675" s="8">
        <f t="shared" si="42"/>
        <v>-1.2418547937872372E-2</v>
      </c>
      <c r="K675" s="8">
        <f t="shared" si="39"/>
        <v>4.7481548971856968E-2</v>
      </c>
    </row>
    <row r="676" spans="1:11" x14ac:dyDescent="0.25">
      <c r="A676" t="str">
        <f t="shared" si="40"/>
        <v>92019</v>
      </c>
      <c r="B676" s="1">
        <v>43734</v>
      </c>
      <c r="C676" t="s">
        <v>434</v>
      </c>
      <c r="D676">
        <v>30914.75</v>
      </c>
      <c r="E676">
        <v>31185.5</v>
      </c>
      <c r="F676">
        <v>30760.85</v>
      </c>
      <c r="G676">
        <v>31027.7</v>
      </c>
      <c r="H676">
        <v>0</v>
      </c>
      <c r="I676" s="8">
        <f t="shared" si="41"/>
        <v>3.2901171993100498E-3</v>
      </c>
      <c r="J676" s="8">
        <f t="shared" si="42"/>
        <v>3.2847166061981767E-3</v>
      </c>
      <c r="K676" s="8">
        <f t="shared" si="39"/>
        <v>5.2257281224141083E-2</v>
      </c>
    </row>
    <row r="677" spans="1:11" x14ac:dyDescent="0.25">
      <c r="A677" t="str">
        <f t="shared" si="40"/>
        <v>92019</v>
      </c>
      <c r="B677" s="1">
        <v>43735</v>
      </c>
      <c r="C677" t="s">
        <v>435</v>
      </c>
      <c r="D677">
        <v>30977</v>
      </c>
      <c r="E677">
        <v>31343</v>
      </c>
      <c r="F677">
        <v>30952.85</v>
      </c>
      <c r="G677">
        <v>31026</v>
      </c>
      <c r="H677">
        <v>0</v>
      </c>
      <c r="I677" s="8">
        <f t="shared" si="41"/>
        <v>-5.4789752382600199E-5</v>
      </c>
      <c r="J677" s="8">
        <f t="shared" si="42"/>
        <v>-5.4791253395910291E-5</v>
      </c>
      <c r="K677" s="8">
        <f t="shared" si="39"/>
        <v>5.0089605886404431E-2</v>
      </c>
    </row>
    <row r="678" spans="1:11" x14ac:dyDescent="0.25">
      <c r="A678" t="str">
        <f t="shared" si="40"/>
        <v>92019</v>
      </c>
      <c r="B678" s="1">
        <v>43738</v>
      </c>
      <c r="C678" t="s">
        <v>436</v>
      </c>
      <c r="D678">
        <v>31089.200000000001</v>
      </c>
      <c r="E678">
        <v>31193.35</v>
      </c>
      <c r="F678">
        <v>30745.85</v>
      </c>
      <c r="G678">
        <v>31134.5</v>
      </c>
      <c r="H678">
        <v>0</v>
      </c>
      <c r="I678" s="8">
        <f t="shared" si="41"/>
        <v>3.4970669760845396E-3</v>
      </c>
      <c r="J678" s="8">
        <f t="shared" si="42"/>
        <v>3.4909664558484244E-3</v>
      </c>
      <c r="K678" s="8">
        <f t="shared" si="39"/>
        <v>5.1827002337806238E-2</v>
      </c>
    </row>
    <row r="679" spans="1:11" x14ac:dyDescent="0.25">
      <c r="A679" t="str">
        <f t="shared" si="40"/>
        <v>102019</v>
      </c>
      <c r="B679" s="1">
        <v>43739</v>
      </c>
      <c r="C679" s="10">
        <v>43475.645833333336</v>
      </c>
      <c r="D679">
        <v>31130.25</v>
      </c>
      <c r="E679">
        <v>31341.75</v>
      </c>
      <c r="F679">
        <v>30717.35</v>
      </c>
      <c r="G679">
        <v>30801.35</v>
      </c>
      <c r="H679">
        <v>0</v>
      </c>
      <c r="I679" s="8">
        <f t="shared" si="41"/>
        <v>-1.0700348488011713E-2</v>
      </c>
      <c r="J679" s="8">
        <f t="shared" si="42"/>
        <v>-1.0758008910185567E-2</v>
      </c>
      <c r="K679" s="8">
        <f t="shared" si="39"/>
        <v>3.6700273804775696E-2</v>
      </c>
    </row>
    <row r="680" spans="1:11" x14ac:dyDescent="0.25">
      <c r="A680" t="str">
        <f t="shared" si="40"/>
        <v>102019</v>
      </c>
      <c r="B680" s="1">
        <v>43741</v>
      </c>
      <c r="C680" s="10">
        <v>43534.645833333336</v>
      </c>
      <c r="D680">
        <v>30819.599999999999</v>
      </c>
      <c r="E680">
        <v>30831.200000000001</v>
      </c>
      <c r="F680">
        <v>30567.95</v>
      </c>
      <c r="G680">
        <v>30791</v>
      </c>
      <c r="H680">
        <v>0</v>
      </c>
      <c r="I680" s="8">
        <f t="shared" si="41"/>
        <v>-3.3602423270406856E-4</v>
      </c>
      <c r="J680" s="8">
        <f t="shared" si="42"/>
        <v>-3.3608070149682688E-4</v>
      </c>
      <c r="K680" s="8">
        <f t="shared" si="39"/>
        <v>3.2816606373468948E-2</v>
      </c>
    </row>
    <row r="681" spans="1:11" x14ac:dyDescent="0.25">
      <c r="A681" t="str">
        <f t="shared" si="40"/>
        <v>102019</v>
      </c>
      <c r="B681" s="1">
        <v>43742</v>
      </c>
      <c r="C681" s="10">
        <v>43565.645833333336</v>
      </c>
      <c r="D681">
        <v>30921.45</v>
      </c>
      <c r="E681">
        <v>30991.75</v>
      </c>
      <c r="F681">
        <v>30300</v>
      </c>
      <c r="G681">
        <v>30327.15</v>
      </c>
      <c r="H681">
        <v>0</v>
      </c>
      <c r="I681" s="8">
        <f t="shared" si="41"/>
        <v>-1.5064466889675554E-2</v>
      </c>
      <c r="J681" s="8">
        <f t="shared" si="42"/>
        <v>-1.5179088570862441E-2</v>
      </c>
      <c r="K681" s="8">
        <f t="shared" si="39"/>
        <v>1.4643963003668548E-2</v>
      </c>
    </row>
    <row r="682" spans="1:11" x14ac:dyDescent="0.25">
      <c r="A682" t="str">
        <f t="shared" si="40"/>
        <v>102019</v>
      </c>
      <c r="B682" s="1">
        <v>43745</v>
      </c>
      <c r="C682" s="10">
        <v>43656.645833333336</v>
      </c>
      <c r="D682">
        <v>30347.15</v>
      </c>
      <c r="E682">
        <v>30527.45</v>
      </c>
      <c r="F682">
        <v>30151.8</v>
      </c>
      <c r="G682">
        <v>30218.1</v>
      </c>
      <c r="H682">
        <v>0</v>
      </c>
      <c r="I682" s="8">
        <f t="shared" si="41"/>
        <v>-3.5957879325951847E-3</v>
      </c>
      <c r="J682" s="8">
        <f t="shared" si="42"/>
        <v>-3.6022683174135486E-3</v>
      </c>
      <c r="K682" s="8">
        <f t="shared" si="39"/>
        <v>8.1689506476607665E-3</v>
      </c>
    </row>
    <row r="683" spans="1:11" x14ac:dyDescent="0.25">
      <c r="A683" t="str">
        <f t="shared" si="40"/>
        <v>102019</v>
      </c>
      <c r="B683" s="1">
        <v>43747</v>
      </c>
      <c r="C683" s="10">
        <v>43718.645833333336</v>
      </c>
      <c r="D683">
        <v>30249.55</v>
      </c>
      <c r="E683">
        <v>30370.95</v>
      </c>
      <c r="F683">
        <v>30022.799999999999</v>
      </c>
      <c r="G683">
        <v>30269.15</v>
      </c>
      <c r="H683">
        <v>0</v>
      </c>
      <c r="I683" s="8">
        <f t="shared" si="41"/>
        <v>1.6893848388881416E-3</v>
      </c>
      <c r="J683" s="8">
        <f t="shared" si="42"/>
        <v>1.6879594334676094E-3</v>
      </c>
      <c r="K683" s="8">
        <f t="shared" si="39"/>
        <v>2.279128153230392E-2</v>
      </c>
    </row>
    <row r="684" spans="1:11" x14ac:dyDescent="0.25">
      <c r="A684" t="str">
        <f t="shared" si="40"/>
        <v>102019</v>
      </c>
      <c r="B684" s="1">
        <v>43748</v>
      </c>
      <c r="C684" s="10">
        <v>43748.645833333336</v>
      </c>
      <c r="D684">
        <v>30245.8</v>
      </c>
      <c r="E684">
        <v>30323.25</v>
      </c>
      <c r="F684">
        <v>30071.45</v>
      </c>
      <c r="G684">
        <v>30147.200000000001</v>
      </c>
      <c r="H684">
        <v>0</v>
      </c>
      <c r="I684" s="8">
        <f t="shared" si="41"/>
        <v>-4.0288544607298693E-3</v>
      </c>
      <c r="J684" s="8">
        <f t="shared" si="42"/>
        <v>-4.0369921592855462E-3</v>
      </c>
      <c r="K684" s="8">
        <f t="shared" si="39"/>
        <v>2.8167236786909244E-2</v>
      </c>
    </row>
    <row r="685" spans="1:11" x14ac:dyDescent="0.25">
      <c r="A685" t="str">
        <f t="shared" si="40"/>
        <v>102019</v>
      </c>
      <c r="B685" s="1">
        <v>43749</v>
      </c>
      <c r="C685" s="10">
        <v>43779.645833333336</v>
      </c>
      <c r="D685">
        <v>30222.9</v>
      </c>
      <c r="E685">
        <v>30498.25</v>
      </c>
      <c r="F685">
        <v>30102.25</v>
      </c>
      <c r="G685">
        <v>30416.2</v>
      </c>
      <c r="H685">
        <v>0</v>
      </c>
      <c r="I685" s="8">
        <f t="shared" si="41"/>
        <v>8.922885044050588E-3</v>
      </c>
      <c r="J685" s="8">
        <f t="shared" si="42"/>
        <v>8.8833113388294346E-3</v>
      </c>
      <c r="K685" s="8">
        <f t="shared" si="39"/>
        <v>4.3292441358919298E-2</v>
      </c>
    </row>
    <row r="686" spans="1:11" x14ac:dyDescent="0.25">
      <c r="A686" t="str">
        <f t="shared" si="40"/>
        <v>102019</v>
      </c>
      <c r="B686" s="1">
        <v>43752</v>
      </c>
      <c r="C686" t="s">
        <v>437</v>
      </c>
      <c r="D686">
        <v>30585.5</v>
      </c>
      <c r="E686">
        <v>30699.9</v>
      </c>
      <c r="F686">
        <v>30493.1</v>
      </c>
      <c r="G686">
        <v>30591</v>
      </c>
      <c r="H686">
        <v>0</v>
      </c>
      <c r="I686" s="8">
        <f t="shared" si="41"/>
        <v>5.7469374872600731E-3</v>
      </c>
      <c r="J686" s="8">
        <f t="shared" si="42"/>
        <v>5.7304868391573945E-3</v>
      </c>
      <c r="K686" s="8">
        <f t="shared" si="39"/>
        <v>4.4287755196091849E-2</v>
      </c>
    </row>
    <row r="687" spans="1:11" x14ac:dyDescent="0.25">
      <c r="A687" t="str">
        <f t="shared" si="40"/>
        <v>102019</v>
      </c>
      <c r="B687" s="1">
        <v>43753</v>
      </c>
      <c r="C687" t="s">
        <v>438</v>
      </c>
      <c r="D687">
        <v>30783.5</v>
      </c>
      <c r="E687">
        <v>31059.599999999999</v>
      </c>
      <c r="F687">
        <v>30687.85</v>
      </c>
      <c r="G687">
        <v>30927.9</v>
      </c>
      <c r="H687">
        <v>0</v>
      </c>
      <c r="I687" s="8">
        <f t="shared" si="41"/>
        <v>1.1013043051878002E-2</v>
      </c>
      <c r="J687" s="8">
        <f t="shared" si="42"/>
        <v>1.0952841094460587E-2</v>
      </c>
      <c r="K687" s="8">
        <f t="shared" si="39"/>
        <v>5.7291809107069547E-2</v>
      </c>
    </row>
    <row r="688" spans="1:11" x14ac:dyDescent="0.25">
      <c r="A688" t="str">
        <f t="shared" si="40"/>
        <v>102019</v>
      </c>
      <c r="B688" s="1">
        <v>43754</v>
      </c>
      <c r="C688" t="s">
        <v>439</v>
      </c>
      <c r="D688">
        <v>30945.599999999999</v>
      </c>
      <c r="E688">
        <v>30980.25</v>
      </c>
      <c r="F688">
        <v>30754.400000000001</v>
      </c>
      <c r="G688">
        <v>30899</v>
      </c>
      <c r="H688">
        <v>0</v>
      </c>
      <c r="I688" s="8">
        <f t="shared" si="41"/>
        <v>-9.3443137102755536E-4</v>
      </c>
      <c r="J688" s="8">
        <f t="shared" si="42"/>
        <v>-9.3486822418186539E-4</v>
      </c>
      <c r="K688" s="8">
        <f t="shared" si="39"/>
        <v>6.2555235747028037E-2</v>
      </c>
    </row>
    <row r="689" spans="1:11" x14ac:dyDescent="0.25">
      <c r="A689" t="str">
        <f t="shared" si="40"/>
        <v>102019</v>
      </c>
      <c r="B689" s="1">
        <v>43755</v>
      </c>
      <c r="C689" t="s">
        <v>440</v>
      </c>
      <c r="D689">
        <v>30928.5</v>
      </c>
      <c r="E689">
        <v>31358.55</v>
      </c>
      <c r="F689">
        <v>30889.3</v>
      </c>
      <c r="G689">
        <v>31331.9</v>
      </c>
      <c r="H689">
        <v>0</v>
      </c>
      <c r="I689" s="8">
        <f t="shared" si="41"/>
        <v>1.401016214116968E-2</v>
      </c>
      <c r="J689" s="8">
        <f t="shared" si="42"/>
        <v>1.3912926954246221E-2</v>
      </c>
      <c r="K689" s="8">
        <f t="shared" si="39"/>
        <v>6.6922966907984049E-2</v>
      </c>
    </row>
    <row r="690" spans="1:11" x14ac:dyDescent="0.25">
      <c r="A690" t="str">
        <f t="shared" si="40"/>
        <v>102019</v>
      </c>
      <c r="B690" s="1">
        <v>43756</v>
      </c>
      <c r="C690" t="s">
        <v>441</v>
      </c>
      <c r="D690">
        <v>31313.05</v>
      </c>
      <c r="E690">
        <v>31544.2</v>
      </c>
      <c r="F690">
        <v>31227.25</v>
      </c>
      <c r="G690">
        <v>31501.45</v>
      </c>
      <c r="H690">
        <v>0</v>
      </c>
      <c r="I690" s="8">
        <f t="shared" si="41"/>
        <v>5.4114177563442389E-3</v>
      </c>
      <c r="J690" s="8">
        <f t="shared" si="42"/>
        <v>5.3968286434675616E-3</v>
      </c>
      <c r="K690" s="8">
        <f t="shared" si="39"/>
        <v>6.3726077817267024E-2</v>
      </c>
    </row>
    <row r="691" spans="1:11" x14ac:dyDescent="0.25">
      <c r="A691" t="str">
        <f t="shared" si="40"/>
        <v>102019</v>
      </c>
      <c r="B691" s="1">
        <v>43760</v>
      </c>
      <c r="C691" t="s">
        <v>442</v>
      </c>
      <c r="D691">
        <v>31462.400000000001</v>
      </c>
      <c r="E691">
        <v>31842.799999999999</v>
      </c>
      <c r="F691">
        <v>31453.05</v>
      </c>
      <c r="G691">
        <v>31659.4</v>
      </c>
      <c r="H691">
        <v>0</v>
      </c>
      <c r="I691" s="8">
        <f t="shared" si="41"/>
        <v>5.0140549085835318E-3</v>
      </c>
      <c r="J691" s="8">
        <f t="shared" si="42"/>
        <v>5.0015263969153071E-3</v>
      </c>
      <c r="K691" s="8">
        <f t="shared" si="39"/>
        <v>7.1242712467728397E-2</v>
      </c>
    </row>
    <row r="692" spans="1:11" x14ac:dyDescent="0.25">
      <c r="A692" t="str">
        <f t="shared" si="40"/>
        <v>102019</v>
      </c>
      <c r="B692" s="1">
        <v>43761</v>
      </c>
      <c r="C692" t="s">
        <v>443</v>
      </c>
      <c r="D692">
        <v>31739.7</v>
      </c>
      <c r="E692">
        <v>31939.45</v>
      </c>
      <c r="F692">
        <v>31643.55</v>
      </c>
      <c r="G692">
        <v>31899.55</v>
      </c>
      <c r="H692">
        <v>0</v>
      </c>
      <c r="I692" s="8">
        <f t="shared" si="41"/>
        <v>7.5854248659166235E-3</v>
      </c>
      <c r="J692" s="8">
        <f t="shared" si="42"/>
        <v>7.556800193121869E-3</v>
      </c>
      <c r="K692" s="8">
        <f t="shared" si="39"/>
        <v>9.8940489293791511E-2</v>
      </c>
    </row>
    <row r="693" spans="1:11" x14ac:dyDescent="0.25">
      <c r="A693" t="str">
        <f t="shared" si="40"/>
        <v>102019</v>
      </c>
      <c r="B693" s="1">
        <v>43762</v>
      </c>
      <c r="C693" t="s">
        <v>444</v>
      </c>
      <c r="D693">
        <v>32026.2</v>
      </c>
      <c r="E693">
        <v>32089.75</v>
      </c>
      <c r="F693">
        <v>31649.05</v>
      </c>
      <c r="G693">
        <v>31752.799999999999</v>
      </c>
      <c r="H693">
        <v>0</v>
      </c>
      <c r="I693" s="8">
        <f t="shared" si="41"/>
        <v>-4.600378375243519E-3</v>
      </c>
      <c r="J693" s="8">
        <f t="shared" si="42"/>
        <v>-4.6109926815685511E-3</v>
      </c>
      <c r="K693" s="8">
        <f t="shared" si="39"/>
        <v>0.10579332368679029</v>
      </c>
    </row>
    <row r="694" spans="1:11" x14ac:dyDescent="0.25">
      <c r="A694" t="str">
        <f t="shared" si="40"/>
        <v>102019</v>
      </c>
      <c r="B694" s="1">
        <v>43763</v>
      </c>
      <c r="C694" t="s">
        <v>445</v>
      </c>
      <c r="D694">
        <v>32172.15</v>
      </c>
      <c r="E694">
        <v>32176.400000000001</v>
      </c>
      <c r="F694">
        <v>31589.599999999999</v>
      </c>
      <c r="G694">
        <v>31685.599999999999</v>
      </c>
      <c r="H694">
        <v>0</v>
      </c>
      <c r="I694" s="8">
        <f t="shared" si="41"/>
        <v>-2.1163487944370063E-3</v>
      </c>
      <c r="J694" s="8">
        <f t="shared" si="42"/>
        <v>-2.1185914252315127E-3</v>
      </c>
      <c r="K694" s="8">
        <f t="shared" si="39"/>
        <v>9.2949856679164666E-2</v>
      </c>
    </row>
    <row r="695" spans="1:11" x14ac:dyDescent="0.25">
      <c r="A695" t="str">
        <f t="shared" si="40"/>
        <v>102019</v>
      </c>
      <c r="B695" s="1">
        <v>43765</v>
      </c>
      <c r="C695" t="s">
        <v>446</v>
      </c>
      <c r="D695">
        <v>31879.85</v>
      </c>
      <c r="E695">
        <v>31918.35</v>
      </c>
      <c r="F695">
        <v>31758.400000000001</v>
      </c>
      <c r="G695">
        <v>31803.45</v>
      </c>
      <c r="H695">
        <v>0</v>
      </c>
      <c r="I695" s="8">
        <f t="shared" si="41"/>
        <v>3.7193551644911782E-3</v>
      </c>
      <c r="J695" s="8">
        <f t="shared" si="42"/>
        <v>3.7124554660651916E-3</v>
      </c>
      <c r="K695" s="8">
        <f t="shared" si="39"/>
        <v>9.695438475467788E-2</v>
      </c>
    </row>
    <row r="696" spans="1:11" x14ac:dyDescent="0.25">
      <c r="A696" t="str">
        <f t="shared" si="40"/>
        <v>102019</v>
      </c>
      <c r="B696" s="1">
        <v>43767</v>
      </c>
      <c r="C696" t="s">
        <v>447</v>
      </c>
      <c r="D696">
        <v>31828.7</v>
      </c>
      <c r="E696">
        <v>31995.1</v>
      </c>
      <c r="F696">
        <v>31526.7</v>
      </c>
      <c r="G696">
        <v>31950.75</v>
      </c>
      <c r="H696">
        <v>0</v>
      </c>
      <c r="I696" s="8">
        <f t="shared" si="41"/>
        <v>4.6315729897228319E-3</v>
      </c>
      <c r="J696" s="8">
        <f t="shared" si="42"/>
        <v>4.6208802589403266E-3</v>
      </c>
      <c r="K696" s="8">
        <f t="shared" si="39"/>
        <v>0.10237531289300317</v>
      </c>
    </row>
    <row r="697" spans="1:11" x14ac:dyDescent="0.25">
      <c r="A697" t="str">
        <f t="shared" si="40"/>
        <v>102019</v>
      </c>
      <c r="B697" s="1">
        <v>43768</v>
      </c>
      <c r="C697" t="s">
        <v>448</v>
      </c>
      <c r="D697">
        <v>32229.85</v>
      </c>
      <c r="E697">
        <v>32385.95</v>
      </c>
      <c r="F697">
        <v>32039.8</v>
      </c>
      <c r="G697">
        <v>32274.1</v>
      </c>
      <c r="H697">
        <v>0</v>
      </c>
      <c r="I697" s="8">
        <f t="shared" si="41"/>
        <v>1.0120263217608283E-2</v>
      </c>
      <c r="J697" s="8">
        <f t="shared" si="42"/>
        <v>1.0069396257282991E-2</v>
      </c>
      <c r="K697" s="8">
        <f t="shared" si="39"/>
        <v>0.10746577998304874</v>
      </c>
    </row>
    <row r="698" spans="1:11" x14ac:dyDescent="0.25">
      <c r="A698" t="str">
        <f t="shared" si="40"/>
        <v>102019</v>
      </c>
      <c r="B698" s="1">
        <v>43769</v>
      </c>
      <c r="C698" t="s">
        <v>449</v>
      </c>
      <c r="D698">
        <v>32310.1</v>
      </c>
      <c r="E698">
        <v>32533.75</v>
      </c>
      <c r="F698">
        <v>32208.1</v>
      </c>
      <c r="G698">
        <v>32319.75</v>
      </c>
      <c r="H698">
        <v>0</v>
      </c>
      <c r="I698" s="8">
        <f t="shared" si="41"/>
        <v>1.4144468784567099E-3</v>
      </c>
      <c r="J698" s="8">
        <f t="shared" si="42"/>
        <v>1.4134474907469435E-3</v>
      </c>
      <c r="K698" s="8">
        <f t="shared" si="39"/>
        <v>0.11543764527635081</v>
      </c>
    </row>
    <row r="699" spans="1:11" x14ac:dyDescent="0.25">
      <c r="A699" t="str">
        <f t="shared" si="40"/>
        <v>112019</v>
      </c>
      <c r="B699" s="1">
        <v>43770</v>
      </c>
      <c r="C699" s="10">
        <v>43476.645833333336</v>
      </c>
      <c r="D699">
        <v>32396.1</v>
      </c>
      <c r="E699">
        <v>32591.3</v>
      </c>
      <c r="F699">
        <v>32338.25</v>
      </c>
      <c r="G699">
        <v>32449.85</v>
      </c>
      <c r="H699">
        <v>0</v>
      </c>
      <c r="I699" s="8">
        <f t="shared" si="41"/>
        <v>4.0254024242143416E-3</v>
      </c>
      <c r="J699" s="8">
        <f t="shared" si="42"/>
        <v>4.0173221688039953E-3</v>
      </c>
      <c r="K699" s="8">
        <f t="shared" si="39"/>
        <v>0.12420923899863512</v>
      </c>
    </row>
    <row r="700" spans="1:11" x14ac:dyDescent="0.25">
      <c r="A700" t="str">
        <f t="shared" si="40"/>
        <v>112019</v>
      </c>
      <c r="B700" s="1">
        <v>43773</v>
      </c>
      <c r="C700" s="10">
        <v>43566.645833333336</v>
      </c>
      <c r="D700">
        <v>32541.1</v>
      </c>
      <c r="E700">
        <v>32644.9</v>
      </c>
      <c r="F700">
        <v>32228.3</v>
      </c>
      <c r="G700">
        <v>32255.7</v>
      </c>
      <c r="H700">
        <v>0</v>
      </c>
      <c r="I700" s="8">
        <f t="shared" si="41"/>
        <v>-5.9830785042148671E-3</v>
      </c>
      <c r="J700" s="8">
        <f t="shared" si="42"/>
        <v>-6.0010488328526923E-3</v>
      </c>
      <c r="K700" s="8">
        <f t="shared" si="39"/>
        <v>0.10974181129465932</v>
      </c>
    </row>
    <row r="701" spans="1:11" x14ac:dyDescent="0.25">
      <c r="A701" t="str">
        <f t="shared" si="40"/>
        <v>112019</v>
      </c>
      <c r="B701" s="1">
        <v>43774</v>
      </c>
      <c r="C701" s="10">
        <v>43596.645833333336</v>
      </c>
      <c r="D701">
        <v>32257</v>
      </c>
      <c r="E701">
        <v>32390.05</v>
      </c>
      <c r="F701">
        <v>32064.75</v>
      </c>
      <c r="G701">
        <v>32361.45</v>
      </c>
      <c r="H701">
        <v>0</v>
      </c>
      <c r="I701" s="8">
        <f t="shared" si="41"/>
        <v>3.2784903133400434E-3</v>
      </c>
      <c r="J701" s="8">
        <f t="shared" si="42"/>
        <v>3.2731277814486964E-3</v>
      </c>
      <c r="K701" s="8">
        <f t="shared" si="39"/>
        <v>0.11879199387388573</v>
      </c>
    </row>
    <row r="702" spans="1:11" x14ac:dyDescent="0.25">
      <c r="A702" t="str">
        <f t="shared" si="40"/>
        <v>112019</v>
      </c>
      <c r="B702" s="1">
        <v>43775</v>
      </c>
      <c r="C702" s="10">
        <v>43627.645833333336</v>
      </c>
      <c r="D702">
        <v>32360.6</v>
      </c>
      <c r="E702">
        <v>32543.05</v>
      </c>
      <c r="F702">
        <v>32181.9</v>
      </c>
      <c r="G702">
        <v>32393</v>
      </c>
      <c r="H702">
        <v>0</v>
      </c>
      <c r="I702" s="8">
        <f t="shared" si="41"/>
        <v>9.7492541279819989E-4</v>
      </c>
      <c r="J702" s="8">
        <f t="shared" si="42"/>
        <v>9.7445048167448911E-4</v>
      </c>
      <c r="K702" s="8">
        <f t="shared" si="39"/>
        <v>0.11967370358528551</v>
      </c>
    </row>
    <row r="703" spans="1:11" x14ac:dyDescent="0.25">
      <c r="A703" t="str">
        <f t="shared" si="40"/>
        <v>112019</v>
      </c>
      <c r="B703" s="1">
        <v>43776</v>
      </c>
      <c r="C703" s="10">
        <v>43657.645833333336</v>
      </c>
      <c r="D703">
        <v>32587.8</v>
      </c>
      <c r="E703">
        <v>32608.05</v>
      </c>
      <c r="F703">
        <v>32340.75</v>
      </c>
      <c r="G703">
        <v>32535.9</v>
      </c>
      <c r="H703">
        <v>0</v>
      </c>
      <c r="I703" s="8">
        <f t="shared" si="41"/>
        <v>4.4114469175440263E-3</v>
      </c>
      <c r="J703" s="8">
        <f t="shared" si="42"/>
        <v>4.4017450080985178E-3</v>
      </c>
      <c r="K703" s="8">
        <f t="shared" si="39"/>
        <v>0.13060006845614036</v>
      </c>
    </row>
    <row r="704" spans="1:11" x14ac:dyDescent="0.25">
      <c r="A704" t="str">
        <f t="shared" si="40"/>
        <v>112019</v>
      </c>
      <c r="B704" s="1">
        <v>43777</v>
      </c>
      <c r="C704" s="10">
        <v>43688.645833333336</v>
      </c>
      <c r="D704">
        <v>32489.55</v>
      </c>
      <c r="E704">
        <v>32551.45</v>
      </c>
      <c r="F704">
        <v>31907.4</v>
      </c>
      <c r="G704">
        <v>31947.5</v>
      </c>
      <c r="H704">
        <v>0</v>
      </c>
      <c r="I704" s="8">
        <f t="shared" si="41"/>
        <v>-1.8084638814355847E-2</v>
      </c>
      <c r="J704" s="8">
        <f t="shared" si="42"/>
        <v>-1.8250164580914802E-2</v>
      </c>
      <c r="K704" s="8">
        <f t="shared" ref="K704:K767" si="43">+G704/G643-1</f>
        <v>0.10746741035138418</v>
      </c>
    </row>
    <row r="705" spans="1:11" x14ac:dyDescent="0.25">
      <c r="A705" t="str">
        <f t="shared" si="40"/>
        <v>112019</v>
      </c>
      <c r="B705" s="1">
        <v>43780</v>
      </c>
      <c r="C705" s="10">
        <v>43780.645833333336</v>
      </c>
      <c r="D705">
        <v>31928.400000000001</v>
      </c>
      <c r="E705">
        <v>32061.3</v>
      </c>
      <c r="F705">
        <v>31751.65</v>
      </c>
      <c r="G705">
        <v>31802.55</v>
      </c>
      <c r="H705">
        <v>0</v>
      </c>
      <c r="I705" s="8">
        <f t="shared" si="41"/>
        <v>-4.5371312309258061E-3</v>
      </c>
      <c r="J705" s="8">
        <f t="shared" si="42"/>
        <v>-4.547455250285209E-3</v>
      </c>
      <c r="K705" s="8">
        <f t="shared" si="43"/>
        <v>0.10369761110272413</v>
      </c>
    </row>
    <row r="706" spans="1:11" x14ac:dyDescent="0.25">
      <c r="A706" t="str">
        <f t="shared" si="40"/>
        <v>112019</v>
      </c>
      <c r="B706" s="1">
        <v>43782</v>
      </c>
      <c r="C706" t="s">
        <v>450</v>
      </c>
      <c r="D706">
        <v>31913.9</v>
      </c>
      <c r="E706">
        <v>31999.95</v>
      </c>
      <c r="F706">
        <v>31525.15</v>
      </c>
      <c r="G706">
        <v>31582.45</v>
      </c>
      <c r="H706">
        <v>0</v>
      </c>
      <c r="I706" s="8">
        <f t="shared" si="41"/>
        <v>-6.9208286756878845E-3</v>
      </c>
      <c r="J706" s="8">
        <f t="shared" si="42"/>
        <v>-6.9448886848621728E-3</v>
      </c>
      <c r="K706" s="8">
        <f t="shared" si="43"/>
        <v>8.4122848570977515E-2</v>
      </c>
    </row>
    <row r="707" spans="1:11" x14ac:dyDescent="0.25">
      <c r="A707" t="str">
        <f t="shared" ref="A707:A770" si="44">+MONTH(B707)&amp;YEAR(B707)</f>
        <v>112019</v>
      </c>
      <c r="B707" s="1">
        <v>43783</v>
      </c>
      <c r="C707" t="s">
        <v>451</v>
      </c>
      <c r="D707">
        <v>31587</v>
      </c>
      <c r="E707">
        <v>31602.35</v>
      </c>
      <c r="F707">
        <v>31347.65</v>
      </c>
      <c r="G707">
        <v>31439.45</v>
      </c>
      <c r="H707">
        <v>0</v>
      </c>
      <c r="I707" s="8">
        <f t="shared" si="41"/>
        <v>-4.527831121398096E-3</v>
      </c>
      <c r="J707" s="8">
        <f t="shared" si="42"/>
        <v>-4.5381127962604243E-3</v>
      </c>
      <c r="K707" s="8">
        <f t="shared" si="43"/>
        <v>7.2938209417722888E-2</v>
      </c>
    </row>
    <row r="708" spans="1:11" x14ac:dyDescent="0.25">
      <c r="A708" t="str">
        <f t="shared" si="44"/>
        <v>112019</v>
      </c>
      <c r="B708" s="1">
        <v>43784</v>
      </c>
      <c r="C708" t="s">
        <v>452</v>
      </c>
      <c r="D708">
        <v>31447.15</v>
      </c>
      <c r="E708">
        <v>31624.2</v>
      </c>
      <c r="F708">
        <v>31235.3</v>
      </c>
      <c r="G708">
        <v>31289.7</v>
      </c>
      <c r="H708">
        <v>0</v>
      </c>
      <c r="I708" s="8">
        <f t="shared" ref="I708:I771" si="45">+G708/G707-1</f>
        <v>-4.7631240368390948E-3</v>
      </c>
      <c r="J708" s="8">
        <f t="shared" ref="J708:J771" si="46">+LN(1+I708)</f>
        <v>-4.7745038621938166E-3</v>
      </c>
      <c r="K708" s="8">
        <f t="shared" si="43"/>
        <v>8.9151887498477134E-2</v>
      </c>
    </row>
    <row r="709" spans="1:11" x14ac:dyDescent="0.25">
      <c r="A709" t="str">
        <f t="shared" si="44"/>
        <v>112019</v>
      </c>
      <c r="B709" s="1">
        <v>43787</v>
      </c>
      <c r="C709" t="s">
        <v>453</v>
      </c>
      <c r="D709">
        <v>31342.95</v>
      </c>
      <c r="E709">
        <v>31422.35</v>
      </c>
      <c r="F709">
        <v>31076.65</v>
      </c>
      <c r="G709">
        <v>31165.25</v>
      </c>
      <c r="H709">
        <v>0</v>
      </c>
      <c r="I709" s="8">
        <f t="shared" si="45"/>
        <v>-3.9773471781449077E-3</v>
      </c>
      <c r="J709" s="8">
        <f t="shared" si="46"/>
        <v>-3.9852778591317837E-3</v>
      </c>
      <c r="K709" s="8">
        <f t="shared" si="43"/>
        <v>8.0640854935574824E-2</v>
      </c>
    </row>
    <row r="710" spans="1:11" x14ac:dyDescent="0.25">
      <c r="A710" t="str">
        <f t="shared" si="44"/>
        <v>112019</v>
      </c>
      <c r="B710" s="1">
        <v>43788</v>
      </c>
      <c r="C710" t="s">
        <v>454</v>
      </c>
      <c r="D710">
        <v>31241.1</v>
      </c>
      <c r="E710">
        <v>31248.6</v>
      </c>
      <c r="F710">
        <v>30924.75</v>
      </c>
      <c r="G710">
        <v>30972.95</v>
      </c>
      <c r="H710">
        <v>0</v>
      </c>
      <c r="I710" s="8">
        <f t="shared" si="45"/>
        <v>-6.1703339456605777E-3</v>
      </c>
      <c r="J710" s="8">
        <f t="shared" si="46"/>
        <v>-6.1894491280991889E-3</v>
      </c>
      <c r="K710" s="8">
        <f t="shared" si="43"/>
        <v>7.2101197821387686E-2</v>
      </c>
    </row>
    <row r="711" spans="1:11" x14ac:dyDescent="0.25">
      <c r="A711" t="str">
        <f t="shared" si="44"/>
        <v>112019</v>
      </c>
      <c r="B711" s="1">
        <v>43789</v>
      </c>
      <c r="C711" t="s">
        <v>455</v>
      </c>
      <c r="D711">
        <v>31009.3</v>
      </c>
      <c r="E711">
        <v>31210.9</v>
      </c>
      <c r="F711">
        <v>30786.3</v>
      </c>
      <c r="G711">
        <v>31089.35</v>
      </c>
      <c r="H711">
        <v>0</v>
      </c>
      <c r="I711" s="8">
        <f t="shared" si="45"/>
        <v>3.7581179706807077E-3</v>
      </c>
      <c r="J711" s="8">
        <f t="shared" si="46"/>
        <v>3.7510738881526974E-3</v>
      </c>
      <c r="K711" s="8">
        <f t="shared" si="43"/>
        <v>7.8087559601213608E-2</v>
      </c>
    </row>
    <row r="712" spans="1:11" x14ac:dyDescent="0.25">
      <c r="A712" t="str">
        <f t="shared" si="44"/>
        <v>112019</v>
      </c>
      <c r="B712" s="1">
        <v>43790</v>
      </c>
      <c r="C712" t="s">
        <v>456</v>
      </c>
      <c r="D712">
        <v>31128.75</v>
      </c>
      <c r="E712">
        <v>31128.75</v>
      </c>
      <c r="F712">
        <v>30839.45</v>
      </c>
      <c r="G712">
        <v>30893.55</v>
      </c>
      <c r="H712">
        <v>0</v>
      </c>
      <c r="I712" s="8">
        <f t="shared" si="45"/>
        <v>-6.2979766383021163E-3</v>
      </c>
      <c r="J712" s="8">
        <f t="shared" si="46"/>
        <v>-6.317892557199457E-3</v>
      </c>
      <c r="K712" s="8">
        <f t="shared" si="43"/>
        <v>7.7562317207798381E-2</v>
      </c>
    </row>
    <row r="713" spans="1:11" x14ac:dyDescent="0.25">
      <c r="A713" t="str">
        <f t="shared" si="44"/>
        <v>112019</v>
      </c>
      <c r="B713" s="1">
        <v>43791</v>
      </c>
      <c r="C713" t="s">
        <v>457</v>
      </c>
      <c r="D713">
        <v>30964.15</v>
      </c>
      <c r="E713">
        <v>31066.85</v>
      </c>
      <c r="F713">
        <v>30745.15</v>
      </c>
      <c r="G713">
        <v>30809.55</v>
      </c>
      <c r="H713">
        <v>0</v>
      </c>
      <c r="I713" s="8">
        <f t="shared" si="45"/>
        <v>-2.7190141631505682E-3</v>
      </c>
      <c r="J713" s="8">
        <f t="shared" si="46"/>
        <v>-2.7227173964460122E-3</v>
      </c>
      <c r="K713" s="8">
        <f t="shared" si="43"/>
        <v>8.487768978594401E-2</v>
      </c>
    </row>
    <row r="714" spans="1:11" x14ac:dyDescent="0.25">
      <c r="A714" t="str">
        <f t="shared" si="44"/>
        <v>112019</v>
      </c>
      <c r="B714" s="1">
        <v>43794</v>
      </c>
      <c r="C714" t="s">
        <v>458</v>
      </c>
      <c r="D714">
        <v>30798.9</v>
      </c>
      <c r="E714">
        <v>31127.85</v>
      </c>
      <c r="F714">
        <v>30783.15</v>
      </c>
      <c r="G714">
        <v>31085.599999999999</v>
      </c>
      <c r="H714">
        <v>0</v>
      </c>
      <c r="I714" s="8">
        <f t="shared" si="45"/>
        <v>8.9598841917521987E-3</v>
      </c>
      <c r="J714" s="8">
        <f t="shared" si="46"/>
        <v>8.9199825947317481E-3</v>
      </c>
      <c r="K714" s="8">
        <f t="shared" si="43"/>
        <v>9.4711783111442793E-2</v>
      </c>
    </row>
    <row r="715" spans="1:11" x14ac:dyDescent="0.25">
      <c r="A715" t="str">
        <f t="shared" si="44"/>
        <v>112019</v>
      </c>
      <c r="B715" s="1">
        <v>43795</v>
      </c>
      <c r="C715" t="s">
        <v>459</v>
      </c>
      <c r="D715">
        <v>31137.8</v>
      </c>
      <c r="E715">
        <v>31281</v>
      </c>
      <c r="F715">
        <v>30912.1</v>
      </c>
      <c r="G715">
        <v>31055.35</v>
      </c>
      <c r="H715">
        <v>0</v>
      </c>
      <c r="I715" s="8">
        <f t="shared" si="45"/>
        <v>-9.7311938646837959E-4</v>
      </c>
      <c r="J715" s="8">
        <f t="shared" si="46"/>
        <v>-9.7359317453171138E-4</v>
      </c>
      <c r="K715" s="8">
        <f t="shared" si="43"/>
        <v>9.9028208839548215E-2</v>
      </c>
    </row>
    <row r="716" spans="1:11" x14ac:dyDescent="0.25">
      <c r="A716" t="str">
        <f t="shared" si="44"/>
        <v>112019</v>
      </c>
      <c r="B716" s="1">
        <v>43796</v>
      </c>
      <c r="C716" t="s">
        <v>460</v>
      </c>
      <c r="D716">
        <v>31120.400000000001</v>
      </c>
      <c r="E716">
        <v>31256.1</v>
      </c>
      <c r="F716">
        <v>31096.35</v>
      </c>
      <c r="G716">
        <v>31221.95</v>
      </c>
      <c r="H716">
        <v>0</v>
      </c>
      <c r="I716" s="8">
        <f t="shared" si="45"/>
        <v>5.3646151146260479E-3</v>
      </c>
      <c r="J716" s="8">
        <f t="shared" si="46"/>
        <v>5.3502768237108688E-3</v>
      </c>
      <c r="K716" s="8">
        <f t="shared" si="43"/>
        <v>8.7577243815269767E-2</v>
      </c>
    </row>
    <row r="717" spans="1:11" x14ac:dyDescent="0.25">
      <c r="A717" t="str">
        <f t="shared" si="44"/>
        <v>112019</v>
      </c>
      <c r="B717" s="1">
        <v>43797</v>
      </c>
      <c r="C717" t="s">
        <v>461</v>
      </c>
      <c r="D717">
        <v>31277.599999999999</v>
      </c>
      <c r="E717">
        <v>31290.3</v>
      </c>
      <c r="F717">
        <v>31101.1</v>
      </c>
      <c r="G717">
        <v>31263.4</v>
      </c>
      <c r="H717">
        <v>0</v>
      </c>
      <c r="I717" s="8">
        <f t="shared" si="45"/>
        <v>1.3275916462616166E-3</v>
      </c>
      <c r="J717" s="8">
        <f t="shared" si="46"/>
        <v>1.3267111756561335E-3</v>
      </c>
      <c r="K717" s="8">
        <f t="shared" si="43"/>
        <v>8.0759491482944368E-2</v>
      </c>
    </row>
    <row r="718" spans="1:11" x14ac:dyDescent="0.25">
      <c r="A718" t="str">
        <f t="shared" si="44"/>
        <v>112019</v>
      </c>
      <c r="B718" s="1">
        <v>43798</v>
      </c>
      <c r="C718" t="s">
        <v>462</v>
      </c>
      <c r="D718">
        <v>31243.25</v>
      </c>
      <c r="E718">
        <v>31260.6</v>
      </c>
      <c r="F718">
        <v>30892.1</v>
      </c>
      <c r="G718">
        <v>30975.5</v>
      </c>
      <c r="H718">
        <v>0</v>
      </c>
      <c r="I718" s="8">
        <f t="shared" si="45"/>
        <v>-9.2088512445863691E-3</v>
      </c>
      <c r="J718" s="8">
        <f t="shared" si="46"/>
        <v>-9.251514838998165E-3</v>
      </c>
      <c r="K718" s="8">
        <f t="shared" si="43"/>
        <v>7.4978309908034113E-2</v>
      </c>
    </row>
    <row r="719" spans="1:11" x14ac:dyDescent="0.25">
      <c r="A719" t="str">
        <f t="shared" si="44"/>
        <v>122019</v>
      </c>
      <c r="B719" s="1">
        <v>43801</v>
      </c>
      <c r="C719" s="10">
        <v>43508.645833333336</v>
      </c>
      <c r="D719">
        <v>30977</v>
      </c>
      <c r="E719">
        <v>31018.55</v>
      </c>
      <c r="F719">
        <v>30823.05</v>
      </c>
      <c r="G719">
        <v>30902.15</v>
      </c>
      <c r="H719">
        <v>0</v>
      </c>
      <c r="I719" s="8">
        <f t="shared" si="45"/>
        <v>-2.3680005165371831E-3</v>
      </c>
      <c r="J719" s="8">
        <f t="shared" si="46"/>
        <v>-2.370808663765646E-3</v>
      </c>
      <c r="K719" s="8">
        <f t="shared" si="43"/>
        <v>7.4790100098080847E-2</v>
      </c>
    </row>
    <row r="720" spans="1:11" x14ac:dyDescent="0.25">
      <c r="A720" t="str">
        <f t="shared" si="44"/>
        <v>122019</v>
      </c>
      <c r="B720" s="1">
        <v>43802</v>
      </c>
      <c r="C720" s="10">
        <v>43536.645833333336</v>
      </c>
      <c r="D720">
        <v>30898.2</v>
      </c>
      <c r="E720">
        <v>30983.85</v>
      </c>
      <c r="F720">
        <v>30603.200000000001</v>
      </c>
      <c r="G720">
        <v>30677.5</v>
      </c>
      <c r="H720">
        <v>0</v>
      </c>
      <c r="I720" s="8">
        <f t="shared" si="45"/>
        <v>-7.2697207152253585E-3</v>
      </c>
      <c r="J720" s="8">
        <f t="shared" si="46"/>
        <v>-7.2962739026335112E-3</v>
      </c>
      <c r="K720" s="8">
        <f t="shared" si="43"/>
        <v>4.8539939536560883E-2</v>
      </c>
    </row>
    <row r="721" spans="1:11" x14ac:dyDescent="0.25">
      <c r="A721" t="str">
        <f t="shared" si="44"/>
        <v>122019</v>
      </c>
      <c r="B721" s="1">
        <v>43803</v>
      </c>
      <c r="C721" s="10">
        <v>43567.645833333336</v>
      </c>
      <c r="D721">
        <v>30629.85</v>
      </c>
      <c r="E721">
        <v>30771.45</v>
      </c>
      <c r="F721">
        <v>30543.1</v>
      </c>
      <c r="G721">
        <v>30705.55</v>
      </c>
      <c r="H721">
        <v>0</v>
      </c>
      <c r="I721" s="8">
        <f t="shared" si="45"/>
        <v>9.1435090864644408E-4</v>
      </c>
      <c r="J721" s="8">
        <f t="shared" si="46"/>
        <v>9.1393314449033573E-4</v>
      </c>
      <c r="K721" s="8">
        <f t="shared" si="43"/>
        <v>6.7391689754544126E-2</v>
      </c>
    </row>
    <row r="722" spans="1:11" x14ac:dyDescent="0.25">
      <c r="A722" t="str">
        <f t="shared" si="44"/>
        <v>122019</v>
      </c>
      <c r="B722" s="1">
        <v>43804</v>
      </c>
      <c r="C722" s="10">
        <v>43597.645833333336</v>
      </c>
      <c r="D722">
        <v>30739.599999999999</v>
      </c>
      <c r="E722">
        <v>30833.8</v>
      </c>
      <c r="F722">
        <v>30665.05</v>
      </c>
      <c r="G722">
        <v>30795.1</v>
      </c>
      <c r="H722">
        <v>0</v>
      </c>
      <c r="I722" s="8">
        <f t="shared" si="45"/>
        <v>2.9164108768608976E-3</v>
      </c>
      <c r="J722" s="8">
        <f t="shared" si="46"/>
        <v>2.9121664010806083E-3</v>
      </c>
      <c r="K722" s="8">
        <f t="shared" si="43"/>
        <v>7.2041885910327341E-2</v>
      </c>
    </row>
    <row r="723" spans="1:11" x14ac:dyDescent="0.25">
      <c r="A723" t="str">
        <f t="shared" si="44"/>
        <v>122019</v>
      </c>
      <c r="B723" s="1">
        <v>43805</v>
      </c>
      <c r="C723" s="10">
        <v>43628.645833333336</v>
      </c>
      <c r="D723">
        <v>30854.75</v>
      </c>
      <c r="E723">
        <v>30883.5</v>
      </c>
      <c r="F723">
        <v>30482.5</v>
      </c>
      <c r="G723">
        <v>30536.45</v>
      </c>
      <c r="H723">
        <v>0</v>
      </c>
      <c r="I723" s="8">
        <f t="shared" si="45"/>
        <v>-8.3990634873729597E-3</v>
      </c>
      <c r="J723" s="8">
        <f t="shared" si="46"/>
        <v>-8.4345343755743863E-3</v>
      </c>
      <c r="K723" s="8">
        <f t="shared" si="43"/>
        <v>6.361720654824099E-2</v>
      </c>
    </row>
    <row r="724" spans="1:11" x14ac:dyDescent="0.25">
      <c r="A724" t="str">
        <f t="shared" si="44"/>
        <v>122019</v>
      </c>
      <c r="B724" s="1">
        <v>43808</v>
      </c>
      <c r="C724" s="10">
        <v>43720.645833333336</v>
      </c>
      <c r="D724">
        <v>30562</v>
      </c>
      <c r="E724">
        <v>30574.5</v>
      </c>
      <c r="F724">
        <v>30298.7</v>
      </c>
      <c r="G724">
        <v>30375</v>
      </c>
      <c r="H724">
        <v>0</v>
      </c>
      <c r="I724" s="8">
        <f t="shared" si="45"/>
        <v>-5.2871240763088245E-3</v>
      </c>
      <c r="J724" s="8">
        <f t="shared" si="46"/>
        <v>-5.3011503778499173E-3</v>
      </c>
      <c r="K724" s="8">
        <f t="shared" si="43"/>
        <v>6.0218675555633094E-2</v>
      </c>
    </row>
    <row r="725" spans="1:11" x14ac:dyDescent="0.25">
      <c r="A725" t="str">
        <f t="shared" si="44"/>
        <v>122019</v>
      </c>
      <c r="B725" s="1">
        <v>43809</v>
      </c>
      <c r="C725" s="10">
        <v>43750.645833333336</v>
      </c>
      <c r="D725">
        <v>30424</v>
      </c>
      <c r="E725">
        <v>30431.75</v>
      </c>
      <c r="F725">
        <v>30024.25</v>
      </c>
      <c r="G725">
        <v>30059</v>
      </c>
      <c r="H725">
        <v>0</v>
      </c>
      <c r="I725" s="8">
        <f t="shared" si="45"/>
        <v>-1.0403292181069945E-2</v>
      </c>
      <c r="J725" s="8">
        <f t="shared" si="46"/>
        <v>-1.0457784688970203E-2</v>
      </c>
      <c r="K725" s="8">
        <f t="shared" si="43"/>
        <v>4.2063534709739558E-2</v>
      </c>
    </row>
    <row r="726" spans="1:11" x14ac:dyDescent="0.25">
      <c r="A726" t="str">
        <f t="shared" si="44"/>
        <v>122019</v>
      </c>
      <c r="B726" s="1">
        <v>43810</v>
      </c>
      <c r="C726" s="10">
        <v>43781.645833333336</v>
      </c>
      <c r="D726">
        <v>30072.799999999999</v>
      </c>
      <c r="E726">
        <v>30250.15</v>
      </c>
      <c r="F726">
        <v>29985.4</v>
      </c>
      <c r="G726">
        <v>30102.45</v>
      </c>
      <c r="H726">
        <v>0</v>
      </c>
      <c r="I726" s="8">
        <f t="shared" si="45"/>
        <v>1.4454905352805358E-3</v>
      </c>
      <c r="J726" s="8">
        <f t="shared" si="46"/>
        <v>1.4444468195032002E-3</v>
      </c>
      <c r="K726" s="8">
        <f t="shared" si="43"/>
        <v>4.6701333653229371E-2</v>
      </c>
    </row>
    <row r="727" spans="1:11" x14ac:dyDescent="0.25">
      <c r="A727" t="str">
        <f t="shared" si="44"/>
        <v>122019</v>
      </c>
      <c r="B727" s="1">
        <v>43811</v>
      </c>
      <c r="C727" s="10">
        <v>43811.645833333336</v>
      </c>
      <c r="D727">
        <v>30155.599999999999</v>
      </c>
      <c r="E727">
        <v>30351.8</v>
      </c>
      <c r="F727">
        <v>30135.15</v>
      </c>
      <c r="G727">
        <v>30227.95</v>
      </c>
      <c r="H727">
        <v>0</v>
      </c>
      <c r="I727" s="8">
        <f t="shared" si="45"/>
        <v>4.1690958709341697E-3</v>
      </c>
      <c r="J727" s="8">
        <f t="shared" si="46"/>
        <v>4.16042927031936E-3</v>
      </c>
      <c r="K727" s="8">
        <f t="shared" si="43"/>
        <v>5.7838615302780116E-2</v>
      </c>
    </row>
    <row r="728" spans="1:11" x14ac:dyDescent="0.25">
      <c r="A728" t="str">
        <f t="shared" si="44"/>
        <v>122019</v>
      </c>
      <c r="B728" s="1">
        <v>43812</v>
      </c>
      <c r="C728" t="s">
        <v>463</v>
      </c>
      <c r="D728">
        <v>30380</v>
      </c>
      <c r="E728">
        <v>30489.25</v>
      </c>
      <c r="F728">
        <v>30245.85</v>
      </c>
      <c r="G728">
        <v>30426.25</v>
      </c>
      <c r="H728">
        <v>0</v>
      </c>
      <c r="I728" s="8">
        <f t="shared" si="45"/>
        <v>6.5601537649757624E-3</v>
      </c>
      <c r="J728" s="8">
        <f t="shared" si="46"/>
        <v>6.5387296024222458E-3</v>
      </c>
      <c r="K728" s="8">
        <f t="shared" si="43"/>
        <v>6.4150699232828678E-2</v>
      </c>
    </row>
    <row r="729" spans="1:11" x14ac:dyDescent="0.25">
      <c r="A729" t="str">
        <f t="shared" si="44"/>
        <v>122019</v>
      </c>
      <c r="B729" s="1">
        <v>43815</v>
      </c>
      <c r="C729" t="s">
        <v>464</v>
      </c>
      <c r="D729">
        <v>30459.8</v>
      </c>
      <c r="E729">
        <v>30523.35</v>
      </c>
      <c r="F729">
        <v>30008.25</v>
      </c>
      <c r="G729">
        <v>30043.1</v>
      </c>
      <c r="H729">
        <v>0</v>
      </c>
      <c r="I729" s="8">
        <f t="shared" si="45"/>
        <v>-1.2592744751653617E-2</v>
      </c>
      <c r="J729" s="8">
        <f t="shared" si="46"/>
        <v>-1.2672705353352519E-2</v>
      </c>
      <c r="K729" s="8">
        <f t="shared" si="43"/>
        <v>4.4913787856391219E-2</v>
      </c>
    </row>
    <row r="730" spans="1:11" x14ac:dyDescent="0.25">
      <c r="A730" t="str">
        <f t="shared" si="44"/>
        <v>122019</v>
      </c>
      <c r="B730" s="1">
        <v>43816</v>
      </c>
      <c r="C730" t="s">
        <v>465</v>
      </c>
      <c r="D730">
        <v>30115.65</v>
      </c>
      <c r="E730">
        <v>30334.799999999999</v>
      </c>
      <c r="F730">
        <v>30084.35</v>
      </c>
      <c r="G730">
        <v>30182.05</v>
      </c>
      <c r="H730">
        <v>0</v>
      </c>
      <c r="I730" s="8">
        <f t="shared" si="45"/>
        <v>4.6250220516523832E-3</v>
      </c>
      <c r="J730" s="8">
        <f t="shared" si="46"/>
        <v>4.6143595008782262E-3</v>
      </c>
      <c r="K730" s="8">
        <f t="shared" si="43"/>
        <v>5.2545221845978984E-2</v>
      </c>
    </row>
    <row r="731" spans="1:11" x14ac:dyDescent="0.25">
      <c r="A731" t="str">
        <f t="shared" si="44"/>
        <v>122019</v>
      </c>
      <c r="B731" s="1">
        <v>43817</v>
      </c>
      <c r="C731" t="s">
        <v>466</v>
      </c>
      <c r="D731">
        <v>30186.85</v>
      </c>
      <c r="E731">
        <v>30331.9</v>
      </c>
      <c r="F731">
        <v>29964.799999999999</v>
      </c>
      <c r="G731">
        <v>30291.05</v>
      </c>
      <c r="H731">
        <v>0</v>
      </c>
      <c r="I731" s="8">
        <f t="shared" si="45"/>
        <v>3.6114180448312272E-3</v>
      </c>
      <c r="J731" s="8">
        <f t="shared" si="46"/>
        <v>3.6049125327284898E-3</v>
      </c>
      <c r="K731" s="8">
        <f t="shared" si="43"/>
        <v>5.3522953935618567E-2</v>
      </c>
    </row>
    <row r="732" spans="1:11" x14ac:dyDescent="0.25">
      <c r="A732" t="str">
        <f t="shared" si="44"/>
        <v>122019</v>
      </c>
      <c r="B732" s="1">
        <v>43818</v>
      </c>
      <c r="C732" t="s">
        <v>467</v>
      </c>
      <c r="D732">
        <v>30341.05</v>
      </c>
      <c r="E732">
        <v>30515.8</v>
      </c>
      <c r="F732">
        <v>30303.7</v>
      </c>
      <c r="G732">
        <v>30386.1</v>
      </c>
      <c r="H732">
        <v>0</v>
      </c>
      <c r="I732" s="8">
        <f t="shared" si="45"/>
        <v>3.1378905650347733E-3</v>
      </c>
      <c r="J732" s="8">
        <f t="shared" si="46"/>
        <v>3.132977661189155E-3</v>
      </c>
      <c r="K732" s="8">
        <f t="shared" si="43"/>
        <v>6.3358249695544488E-2</v>
      </c>
    </row>
    <row r="733" spans="1:11" x14ac:dyDescent="0.25">
      <c r="A733" t="str">
        <f t="shared" si="44"/>
        <v>122019</v>
      </c>
      <c r="B733" s="1">
        <v>43819</v>
      </c>
      <c r="C733" t="s">
        <v>468</v>
      </c>
      <c r="D733">
        <v>30372.15</v>
      </c>
      <c r="E733">
        <v>30443.95</v>
      </c>
      <c r="F733">
        <v>30152.799999999999</v>
      </c>
      <c r="G733">
        <v>30356.35</v>
      </c>
      <c r="H733">
        <v>0</v>
      </c>
      <c r="I733" s="8">
        <f t="shared" si="45"/>
        <v>-9.7906608613806956E-4</v>
      </c>
      <c r="J733" s="8">
        <f t="shared" si="46"/>
        <v>-9.7954568440306706E-4</v>
      </c>
      <c r="K733" s="8">
        <f t="shared" si="43"/>
        <v>1.7462506724405857E-2</v>
      </c>
    </row>
    <row r="734" spans="1:11" x14ac:dyDescent="0.25">
      <c r="A734" t="str">
        <f t="shared" si="44"/>
        <v>122019</v>
      </c>
      <c r="B734" s="1">
        <v>43822</v>
      </c>
      <c r="C734" t="s">
        <v>469</v>
      </c>
      <c r="D734">
        <v>30392.15</v>
      </c>
      <c r="E734">
        <v>30548.5</v>
      </c>
      <c r="F734">
        <v>30173.75</v>
      </c>
      <c r="G734">
        <v>30217.95</v>
      </c>
      <c r="H734">
        <v>0</v>
      </c>
      <c r="I734" s="8">
        <f t="shared" si="45"/>
        <v>-4.5591778985285547E-3</v>
      </c>
      <c r="J734" s="8">
        <f t="shared" si="46"/>
        <v>-4.5696026476753958E-3</v>
      </c>
      <c r="K734" s="8">
        <f t="shared" si="43"/>
        <v>-2.8989302733603006E-2</v>
      </c>
    </row>
    <row r="735" spans="1:11" x14ac:dyDescent="0.25">
      <c r="A735" t="str">
        <f t="shared" si="44"/>
        <v>122019</v>
      </c>
      <c r="B735" s="1">
        <v>43823</v>
      </c>
      <c r="C735" t="s">
        <v>470</v>
      </c>
      <c r="D735">
        <v>30241.95</v>
      </c>
      <c r="E735">
        <v>30302.2</v>
      </c>
      <c r="F735">
        <v>30132.65</v>
      </c>
      <c r="G735">
        <v>30197.55</v>
      </c>
      <c r="H735">
        <v>0</v>
      </c>
      <c r="I735" s="8">
        <f t="shared" si="45"/>
        <v>-6.7509543168886577E-4</v>
      </c>
      <c r="J735" s="8">
        <f t="shared" si="46"/>
        <v>-6.7532341122087747E-4</v>
      </c>
      <c r="K735" s="8">
        <f t="shared" si="43"/>
        <v>-3.5604105721695034E-2</v>
      </c>
    </row>
    <row r="736" spans="1:11" x14ac:dyDescent="0.25">
      <c r="A736" t="str">
        <f t="shared" si="44"/>
        <v>122019</v>
      </c>
      <c r="B736" s="1">
        <v>43825</v>
      </c>
      <c r="C736" t="s">
        <v>471</v>
      </c>
      <c r="D736">
        <v>30218.85</v>
      </c>
      <c r="E736">
        <v>30264.1</v>
      </c>
      <c r="F736">
        <v>30040.65</v>
      </c>
      <c r="G736">
        <v>30063.55</v>
      </c>
      <c r="H736">
        <v>0</v>
      </c>
      <c r="I736" s="8">
        <f t="shared" si="45"/>
        <v>-4.4374460842021568E-3</v>
      </c>
      <c r="J736" s="8">
        <f t="shared" si="46"/>
        <v>-4.4473207711658823E-3</v>
      </c>
      <c r="K736" s="8">
        <f t="shared" si="43"/>
        <v>-2.7885966316313682E-2</v>
      </c>
    </row>
    <row r="737" spans="1:11" x14ac:dyDescent="0.25">
      <c r="A737" t="str">
        <f t="shared" si="44"/>
        <v>122019</v>
      </c>
      <c r="B737" s="1">
        <v>43826</v>
      </c>
      <c r="C737" t="s">
        <v>472</v>
      </c>
      <c r="D737">
        <v>30147.4</v>
      </c>
      <c r="E737">
        <v>30172.400000000001</v>
      </c>
      <c r="F737">
        <v>30063.599999999999</v>
      </c>
      <c r="G737">
        <v>30145.45</v>
      </c>
      <c r="H737">
        <v>0</v>
      </c>
      <c r="I737" s="8">
        <f t="shared" si="45"/>
        <v>2.7242291745319669E-3</v>
      </c>
      <c r="J737" s="8">
        <f t="shared" si="46"/>
        <v>2.7205251877153026E-3</v>
      </c>
      <c r="K737" s="8">
        <f t="shared" si="43"/>
        <v>-2.8434270023237285E-2</v>
      </c>
    </row>
    <row r="738" spans="1:11" x14ac:dyDescent="0.25">
      <c r="A738" t="str">
        <f t="shared" si="44"/>
        <v>122019</v>
      </c>
      <c r="B738" s="1">
        <v>43829</v>
      </c>
      <c r="C738" t="s">
        <v>473</v>
      </c>
      <c r="D738">
        <v>30206.400000000001</v>
      </c>
      <c r="E738">
        <v>30367.75</v>
      </c>
      <c r="F738">
        <v>30163.5</v>
      </c>
      <c r="G738">
        <v>30225.35</v>
      </c>
      <c r="H738">
        <v>0</v>
      </c>
      <c r="I738" s="8">
        <f t="shared" si="45"/>
        <v>2.6504829086975157E-3</v>
      </c>
      <c r="J738" s="8">
        <f t="shared" si="46"/>
        <v>2.646976573161282E-3</v>
      </c>
      <c r="K738" s="8">
        <f t="shared" si="43"/>
        <v>-2.5805775800941233E-2</v>
      </c>
    </row>
    <row r="739" spans="1:11" x14ac:dyDescent="0.25">
      <c r="A739" t="str">
        <f t="shared" si="44"/>
        <v>122019</v>
      </c>
      <c r="B739" s="1">
        <v>43830</v>
      </c>
      <c r="C739" t="s">
        <v>474</v>
      </c>
      <c r="D739">
        <v>30254.75</v>
      </c>
      <c r="E739">
        <v>30309.35</v>
      </c>
      <c r="F739">
        <v>30098.1</v>
      </c>
      <c r="G739">
        <v>30121.5</v>
      </c>
      <c r="H739">
        <v>0</v>
      </c>
      <c r="I739" s="8">
        <f t="shared" si="45"/>
        <v>-3.4358576492909965E-3</v>
      </c>
      <c r="J739" s="8">
        <f t="shared" si="46"/>
        <v>-3.4417737633550822E-3</v>
      </c>
      <c r="K739" s="8">
        <f t="shared" si="43"/>
        <v>-3.2536253994764675E-2</v>
      </c>
    </row>
    <row r="740" spans="1:11" x14ac:dyDescent="0.25">
      <c r="A740" t="str">
        <f t="shared" si="44"/>
        <v>12020</v>
      </c>
      <c r="B740" s="1">
        <v>43831</v>
      </c>
      <c r="C740" s="10">
        <v>43831.645833333336</v>
      </c>
      <c r="D740">
        <v>30202.75</v>
      </c>
      <c r="E740">
        <v>30251.200000000001</v>
      </c>
      <c r="F740">
        <v>30119.1</v>
      </c>
      <c r="G740">
        <v>30234.25</v>
      </c>
      <c r="H740">
        <v>0</v>
      </c>
      <c r="I740" s="8">
        <f t="shared" si="45"/>
        <v>3.7431734807362727E-3</v>
      </c>
      <c r="J740" s="8">
        <f t="shared" si="46"/>
        <v>3.7361852402515981E-3</v>
      </c>
      <c r="K740" s="8">
        <f t="shared" si="43"/>
        <v>-1.841153066342871E-2</v>
      </c>
    </row>
    <row r="741" spans="1:11" x14ac:dyDescent="0.25">
      <c r="A741" t="str">
        <f t="shared" si="44"/>
        <v>12020</v>
      </c>
      <c r="B741" s="1">
        <v>43832</v>
      </c>
      <c r="C741" s="10">
        <v>43862.645833333336</v>
      </c>
      <c r="D741">
        <v>30271.3</v>
      </c>
      <c r="E741">
        <v>30357.3</v>
      </c>
      <c r="F741">
        <v>30220.05</v>
      </c>
      <c r="G741">
        <v>30266.2</v>
      </c>
      <c r="H741">
        <v>0</v>
      </c>
      <c r="I741" s="8">
        <f t="shared" si="45"/>
        <v>1.0567485550327937E-3</v>
      </c>
      <c r="J741" s="8">
        <f t="shared" si="46"/>
        <v>1.0561905893302151E-3</v>
      </c>
      <c r="K741" s="8">
        <f t="shared" si="43"/>
        <v>-1.704394141145138E-2</v>
      </c>
    </row>
    <row r="742" spans="1:11" x14ac:dyDescent="0.25">
      <c r="A742" t="str">
        <f t="shared" si="44"/>
        <v>12020</v>
      </c>
      <c r="B742" s="1">
        <v>43833</v>
      </c>
      <c r="C742" s="10">
        <v>43891.645833333336</v>
      </c>
      <c r="D742">
        <v>30302.15</v>
      </c>
      <c r="E742">
        <v>30306.05</v>
      </c>
      <c r="F742">
        <v>30050.75</v>
      </c>
      <c r="G742">
        <v>30109.25</v>
      </c>
      <c r="H742">
        <v>0</v>
      </c>
      <c r="I742" s="8">
        <f t="shared" si="45"/>
        <v>-5.1856526422213722E-3</v>
      </c>
      <c r="J742" s="8">
        <f t="shared" si="46"/>
        <v>-5.19914480286907E-3</v>
      </c>
      <c r="K742" s="8">
        <f t="shared" si="43"/>
        <v>-7.1849811142821185E-3</v>
      </c>
    </row>
    <row r="743" spans="1:11" x14ac:dyDescent="0.25">
      <c r="A743" t="str">
        <f t="shared" si="44"/>
        <v>12020</v>
      </c>
      <c r="B743" s="1">
        <v>43836</v>
      </c>
      <c r="C743" s="10">
        <v>43983.645833333336</v>
      </c>
      <c r="D743">
        <v>30024.75</v>
      </c>
      <c r="E743">
        <v>30049.3</v>
      </c>
      <c r="F743">
        <v>29765.15</v>
      </c>
      <c r="G743">
        <v>29799.3</v>
      </c>
      <c r="H743">
        <v>0</v>
      </c>
      <c r="I743" s="8">
        <f t="shared" si="45"/>
        <v>-1.0294178699236989E-2</v>
      </c>
      <c r="J743" s="8">
        <f t="shared" si="46"/>
        <v>-1.0347530212619872E-2</v>
      </c>
      <c r="K743" s="8">
        <f t="shared" si="43"/>
        <v>-1.3859243301200252E-2</v>
      </c>
    </row>
    <row r="744" spans="1:11" x14ac:dyDescent="0.25">
      <c r="A744" t="str">
        <f t="shared" si="44"/>
        <v>12020</v>
      </c>
      <c r="B744" s="1">
        <v>43837</v>
      </c>
      <c r="C744" s="10">
        <v>44013.645833333336</v>
      </c>
      <c r="D744">
        <v>29903.05</v>
      </c>
      <c r="E744">
        <v>30049.35</v>
      </c>
      <c r="F744">
        <v>29841.15</v>
      </c>
      <c r="G744">
        <v>29861.8</v>
      </c>
      <c r="H744">
        <v>0</v>
      </c>
      <c r="I744" s="8">
        <f t="shared" si="45"/>
        <v>2.0973647031976572E-3</v>
      </c>
      <c r="J744" s="8">
        <f t="shared" si="46"/>
        <v>2.0951683044119042E-3</v>
      </c>
      <c r="K744" s="8">
        <f t="shared" si="43"/>
        <v>-1.345759626550469E-2</v>
      </c>
    </row>
    <row r="745" spans="1:11" x14ac:dyDescent="0.25">
      <c r="A745" t="str">
        <f t="shared" si="44"/>
        <v>12020</v>
      </c>
      <c r="B745" s="1">
        <v>43838</v>
      </c>
      <c r="C745" s="10">
        <v>44044.645833333336</v>
      </c>
      <c r="D745">
        <v>29685.15</v>
      </c>
      <c r="E745">
        <v>29932.799999999999</v>
      </c>
      <c r="F745">
        <v>29660.1</v>
      </c>
      <c r="G745">
        <v>29893.200000000001</v>
      </c>
      <c r="H745">
        <v>0</v>
      </c>
      <c r="I745" s="8">
        <f t="shared" si="45"/>
        <v>1.0515106256154816E-3</v>
      </c>
      <c r="J745" s="8">
        <f t="shared" si="46"/>
        <v>1.0509581755550803E-3</v>
      </c>
      <c r="K745" s="8">
        <f t="shared" si="43"/>
        <v>-8.4253263984714888E-3</v>
      </c>
    </row>
    <row r="746" spans="1:11" x14ac:dyDescent="0.25">
      <c r="A746" t="str">
        <f t="shared" si="44"/>
        <v>12020</v>
      </c>
      <c r="B746" s="1">
        <v>43839</v>
      </c>
      <c r="C746" s="10">
        <v>44075.645833333336</v>
      </c>
      <c r="D746">
        <v>30071.4</v>
      </c>
      <c r="E746">
        <v>30170.65</v>
      </c>
      <c r="F746">
        <v>30035.3</v>
      </c>
      <c r="G746">
        <v>30123.599999999999</v>
      </c>
      <c r="H746">
        <v>0</v>
      </c>
      <c r="I746" s="8">
        <f t="shared" si="45"/>
        <v>7.7074384809923124E-3</v>
      </c>
      <c r="J746" s="8">
        <f t="shared" si="46"/>
        <v>7.6778879193217589E-3</v>
      </c>
      <c r="K746" s="8">
        <f t="shared" si="43"/>
        <v>-9.619873619978847E-3</v>
      </c>
    </row>
    <row r="747" spans="1:11" x14ac:dyDescent="0.25">
      <c r="A747" t="str">
        <f t="shared" si="44"/>
        <v>12020</v>
      </c>
      <c r="B747" s="1">
        <v>43840</v>
      </c>
      <c r="C747" s="10">
        <v>44105.645833333336</v>
      </c>
      <c r="D747">
        <v>30244.55</v>
      </c>
      <c r="E747">
        <v>30393.200000000001</v>
      </c>
      <c r="F747">
        <v>30183.8</v>
      </c>
      <c r="G747">
        <v>30370.45</v>
      </c>
      <c r="H747">
        <v>0</v>
      </c>
      <c r="I747" s="8">
        <f t="shared" si="45"/>
        <v>8.1945716979379135E-3</v>
      </c>
      <c r="J747" s="8">
        <f t="shared" si="46"/>
        <v>8.1611784998832579E-3</v>
      </c>
      <c r="K747" s="8">
        <f t="shared" si="43"/>
        <v>-7.2096368212872797E-3</v>
      </c>
    </row>
    <row r="748" spans="1:11" x14ac:dyDescent="0.25">
      <c r="A748" t="str">
        <f t="shared" si="44"/>
        <v>12020</v>
      </c>
      <c r="B748" s="1">
        <v>43843</v>
      </c>
      <c r="C748" t="s">
        <v>475</v>
      </c>
      <c r="D748">
        <v>30455.75</v>
      </c>
      <c r="E748">
        <v>30735.45</v>
      </c>
      <c r="F748">
        <v>30443.5</v>
      </c>
      <c r="G748">
        <v>30713.45</v>
      </c>
      <c r="H748">
        <v>0</v>
      </c>
      <c r="I748" s="8">
        <f t="shared" si="45"/>
        <v>1.1293872827040863E-2</v>
      </c>
      <c r="J748" s="8">
        <f t="shared" si="46"/>
        <v>1.1230573198092305E-2</v>
      </c>
      <c r="K748" s="8">
        <f t="shared" si="43"/>
        <v>-6.9338687722089176E-3</v>
      </c>
    </row>
    <row r="749" spans="1:11" x14ac:dyDescent="0.25">
      <c r="A749" t="str">
        <f t="shared" si="44"/>
        <v>12020</v>
      </c>
      <c r="B749" s="1">
        <v>43844</v>
      </c>
      <c r="C749" t="s">
        <v>476</v>
      </c>
      <c r="D749">
        <v>30798.55</v>
      </c>
      <c r="E749">
        <v>31179.3</v>
      </c>
      <c r="F749">
        <v>30690.7</v>
      </c>
      <c r="G749">
        <v>31145.4</v>
      </c>
      <c r="H749">
        <v>0</v>
      </c>
      <c r="I749" s="8">
        <f t="shared" si="45"/>
        <v>1.4063871040212117E-2</v>
      </c>
      <c r="J749" s="8">
        <f t="shared" si="46"/>
        <v>1.3965892376786285E-2</v>
      </c>
      <c r="K749" s="8">
        <f t="shared" si="43"/>
        <v>7.974368102527718E-3</v>
      </c>
    </row>
    <row r="750" spans="1:11" x14ac:dyDescent="0.25">
      <c r="A750" t="str">
        <f t="shared" si="44"/>
        <v>12020</v>
      </c>
      <c r="B750" s="1">
        <v>43845</v>
      </c>
      <c r="C750" t="s">
        <v>477</v>
      </c>
      <c r="D750">
        <v>31133.4</v>
      </c>
      <c r="E750">
        <v>31273.05</v>
      </c>
      <c r="F750">
        <v>31006.3</v>
      </c>
      <c r="G750">
        <v>31237.1</v>
      </c>
      <c r="H750">
        <v>0</v>
      </c>
      <c r="I750" s="8">
        <f t="shared" si="45"/>
        <v>2.9442550103706555E-3</v>
      </c>
      <c r="J750" s="8">
        <f t="shared" si="46"/>
        <v>2.9399291804052931E-3</v>
      </c>
      <c r="K750" s="8">
        <f t="shared" si="43"/>
        <v>-3.025670323216989E-3</v>
      </c>
    </row>
    <row r="751" spans="1:11" x14ac:dyDescent="0.25">
      <c r="A751" t="str">
        <f t="shared" si="44"/>
        <v>12020</v>
      </c>
      <c r="B751" s="1">
        <v>43846</v>
      </c>
      <c r="C751" t="s">
        <v>478</v>
      </c>
      <c r="D751">
        <v>31255.9</v>
      </c>
      <c r="E751">
        <v>31507.7</v>
      </c>
      <c r="F751">
        <v>31210.95</v>
      </c>
      <c r="G751">
        <v>31338.2</v>
      </c>
      <c r="H751">
        <v>0</v>
      </c>
      <c r="I751" s="8">
        <f t="shared" si="45"/>
        <v>3.2365360420782974E-3</v>
      </c>
      <c r="J751" s="8">
        <f t="shared" si="46"/>
        <v>3.2313097330246439E-3</v>
      </c>
      <c r="K751" s="8">
        <f t="shared" si="43"/>
        <v>-5.1823011321701085E-3</v>
      </c>
    </row>
    <row r="752" spans="1:11" x14ac:dyDescent="0.25">
      <c r="A752" t="str">
        <f t="shared" si="44"/>
        <v>12020</v>
      </c>
      <c r="B752" s="1">
        <v>43847</v>
      </c>
      <c r="C752" t="s">
        <v>479</v>
      </c>
      <c r="D752">
        <v>31372.25</v>
      </c>
      <c r="E752">
        <v>31490.75</v>
      </c>
      <c r="F752">
        <v>31305.65</v>
      </c>
      <c r="G752">
        <v>31371.45</v>
      </c>
      <c r="H752">
        <v>0</v>
      </c>
      <c r="I752" s="8">
        <f t="shared" si="45"/>
        <v>1.061005418307337E-3</v>
      </c>
      <c r="J752" s="8">
        <f t="shared" si="46"/>
        <v>1.0604429498780417E-3</v>
      </c>
      <c r="K752" s="8">
        <f t="shared" si="43"/>
        <v>-9.0952450141190688E-3</v>
      </c>
    </row>
    <row r="753" spans="1:11" x14ac:dyDescent="0.25">
      <c r="A753" t="str">
        <f t="shared" si="44"/>
        <v>12020</v>
      </c>
      <c r="B753" s="1">
        <v>43850</v>
      </c>
      <c r="C753" t="s">
        <v>480</v>
      </c>
      <c r="D753">
        <v>31369.65</v>
      </c>
      <c r="E753">
        <v>31546.799999999999</v>
      </c>
      <c r="F753">
        <v>31368.1</v>
      </c>
      <c r="G753">
        <v>31426.75</v>
      </c>
      <c r="H753">
        <v>0</v>
      </c>
      <c r="I753" s="8">
        <f t="shared" si="45"/>
        <v>1.7627492513097032E-3</v>
      </c>
      <c r="J753" s="8">
        <f t="shared" si="46"/>
        <v>1.7611974322258579E-3</v>
      </c>
      <c r="K753" s="8">
        <f t="shared" si="43"/>
        <v>-1.4821525695503546E-2</v>
      </c>
    </row>
    <row r="754" spans="1:11" x14ac:dyDescent="0.25">
      <c r="A754" t="str">
        <f t="shared" si="44"/>
        <v>12020</v>
      </c>
      <c r="B754" s="1">
        <v>43851</v>
      </c>
      <c r="C754" t="s">
        <v>481</v>
      </c>
      <c r="D754">
        <v>31358.35</v>
      </c>
      <c r="E754">
        <v>31362.85</v>
      </c>
      <c r="F754">
        <v>31105.5</v>
      </c>
      <c r="G754">
        <v>31145.95</v>
      </c>
      <c r="H754">
        <v>0</v>
      </c>
      <c r="I754" s="8">
        <f t="shared" si="45"/>
        <v>-8.9350632820766052E-3</v>
      </c>
      <c r="J754" s="8">
        <f t="shared" si="46"/>
        <v>-8.9752203428858594E-3</v>
      </c>
      <c r="K754" s="8">
        <f t="shared" si="43"/>
        <v>-1.9111700385477826E-2</v>
      </c>
    </row>
    <row r="755" spans="1:11" x14ac:dyDescent="0.25">
      <c r="A755" t="str">
        <f t="shared" si="44"/>
        <v>12020</v>
      </c>
      <c r="B755" s="1">
        <v>43852</v>
      </c>
      <c r="C755" t="s">
        <v>482</v>
      </c>
      <c r="D755">
        <v>31270.7</v>
      </c>
      <c r="E755">
        <v>31275.599999999999</v>
      </c>
      <c r="F755">
        <v>31024.400000000001</v>
      </c>
      <c r="G755">
        <v>31153.15</v>
      </c>
      <c r="H755">
        <v>0</v>
      </c>
      <c r="I755" s="8">
        <f t="shared" si="45"/>
        <v>2.3116970264203118E-4</v>
      </c>
      <c r="J755" s="8">
        <f t="shared" si="46"/>
        <v>2.3114298704346673E-4</v>
      </c>
      <c r="K755" s="8">
        <f t="shared" si="43"/>
        <v>-1.6804163405458539E-2</v>
      </c>
    </row>
    <row r="756" spans="1:11" x14ac:dyDescent="0.25">
      <c r="A756" t="str">
        <f t="shared" si="44"/>
        <v>12020</v>
      </c>
      <c r="B756" s="1">
        <v>43853</v>
      </c>
      <c r="C756" t="s">
        <v>483</v>
      </c>
      <c r="D756">
        <v>31147</v>
      </c>
      <c r="E756">
        <v>31257.15</v>
      </c>
      <c r="F756">
        <v>30995.3</v>
      </c>
      <c r="G756">
        <v>31226.9</v>
      </c>
      <c r="H756">
        <v>0</v>
      </c>
      <c r="I756" s="8">
        <f t="shared" si="45"/>
        <v>2.3673368503667191E-3</v>
      </c>
      <c r="J756" s="8">
        <f t="shared" si="46"/>
        <v>2.3645391230571666E-3</v>
      </c>
      <c r="K756" s="8">
        <f t="shared" si="43"/>
        <v>-1.8128536369481862E-2</v>
      </c>
    </row>
    <row r="757" spans="1:11" x14ac:dyDescent="0.25">
      <c r="A757" t="str">
        <f t="shared" si="44"/>
        <v>12020</v>
      </c>
      <c r="B757" s="1">
        <v>43854</v>
      </c>
      <c r="C757" t="s">
        <v>484</v>
      </c>
      <c r="D757">
        <v>31223.05</v>
      </c>
      <c r="E757">
        <v>31526.95</v>
      </c>
      <c r="F757">
        <v>31173.8</v>
      </c>
      <c r="G757">
        <v>31474.9</v>
      </c>
      <c r="H757">
        <v>0</v>
      </c>
      <c r="I757" s="8">
        <f t="shared" si="45"/>
        <v>7.9418706307703424E-3</v>
      </c>
      <c r="J757" s="8">
        <f t="shared" si="46"/>
        <v>7.9104999612829661E-3</v>
      </c>
      <c r="K757" s="8">
        <f t="shared" si="43"/>
        <v>-1.4893234118134924E-2</v>
      </c>
    </row>
    <row r="758" spans="1:11" x14ac:dyDescent="0.25">
      <c r="A758" t="str">
        <f t="shared" si="44"/>
        <v>12020</v>
      </c>
      <c r="B758" s="1">
        <v>43857</v>
      </c>
      <c r="C758" t="s">
        <v>485</v>
      </c>
      <c r="D758">
        <v>31373.25</v>
      </c>
      <c r="E758">
        <v>31450.35</v>
      </c>
      <c r="F758">
        <v>31110.55</v>
      </c>
      <c r="G758">
        <v>31149.7</v>
      </c>
      <c r="H758">
        <v>0</v>
      </c>
      <c r="I758" s="8">
        <f t="shared" si="45"/>
        <v>-1.0332042357561133E-2</v>
      </c>
      <c r="J758" s="8">
        <f t="shared" si="46"/>
        <v>-1.0385788432195741E-2</v>
      </c>
      <c r="K758" s="8">
        <f t="shared" si="43"/>
        <v>-3.4839081492589963E-2</v>
      </c>
    </row>
    <row r="759" spans="1:11" x14ac:dyDescent="0.25">
      <c r="A759" t="str">
        <f t="shared" si="44"/>
        <v>12020</v>
      </c>
      <c r="B759" s="1">
        <v>43858</v>
      </c>
      <c r="C759" t="s">
        <v>486</v>
      </c>
      <c r="D759">
        <v>31210.55</v>
      </c>
      <c r="E759">
        <v>31234.1</v>
      </c>
      <c r="F759">
        <v>31007.200000000001</v>
      </c>
      <c r="G759">
        <v>31027.05</v>
      </c>
      <c r="H759">
        <v>0</v>
      </c>
      <c r="I759" s="8">
        <f t="shared" si="45"/>
        <v>-3.937437599720095E-3</v>
      </c>
      <c r="J759" s="8">
        <f t="shared" si="46"/>
        <v>-3.945209715334329E-3</v>
      </c>
      <c r="K759" s="8">
        <f t="shared" si="43"/>
        <v>-3.9997215324994784E-2</v>
      </c>
    </row>
    <row r="760" spans="1:11" x14ac:dyDescent="0.25">
      <c r="A760" t="str">
        <f t="shared" si="44"/>
        <v>12020</v>
      </c>
      <c r="B760" s="1">
        <v>43859</v>
      </c>
      <c r="C760" t="s">
        <v>487</v>
      </c>
      <c r="D760">
        <v>31150.45</v>
      </c>
      <c r="E760">
        <v>31506.55</v>
      </c>
      <c r="F760">
        <v>31132.2</v>
      </c>
      <c r="G760">
        <v>31426.25</v>
      </c>
      <c r="H760">
        <v>0</v>
      </c>
      <c r="I760" s="8">
        <f t="shared" si="45"/>
        <v>1.2866192564230161E-2</v>
      </c>
      <c r="J760" s="8">
        <f t="shared" si="46"/>
        <v>1.2784126279500149E-2</v>
      </c>
      <c r="K760" s="8">
        <f t="shared" si="43"/>
        <v>-3.1544059525698831E-2</v>
      </c>
    </row>
    <row r="761" spans="1:11" x14ac:dyDescent="0.25">
      <c r="A761" t="str">
        <f t="shared" si="44"/>
        <v>12020</v>
      </c>
      <c r="B761" s="1">
        <v>43860</v>
      </c>
      <c r="C761" t="s">
        <v>488</v>
      </c>
      <c r="D761">
        <v>31419.200000000001</v>
      </c>
      <c r="E761">
        <v>31438.35</v>
      </c>
      <c r="F761">
        <v>30849.85</v>
      </c>
      <c r="G761">
        <v>30936.45</v>
      </c>
      <c r="H761">
        <v>0</v>
      </c>
      <c r="I761" s="8">
        <f t="shared" si="45"/>
        <v>-1.5585696670776805E-2</v>
      </c>
      <c r="J761" s="8">
        <f t="shared" si="46"/>
        <v>-1.5708430573616448E-2</v>
      </c>
      <c r="K761" s="8">
        <f t="shared" si="43"/>
        <v>-4.0899747951524845E-2</v>
      </c>
    </row>
    <row r="762" spans="1:11" x14ac:dyDescent="0.25">
      <c r="A762" t="str">
        <f t="shared" si="44"/>
        <v>12020</v>
      </c>
      <c r="B762" s="1">
        <v>43861</v>
      </c>
      <c r="C762" t="s">
        <v>489</v>
      </c>
      <c r="D762">
        <v>31099.25</v>
      </c>
      <c r="E762">
        <v>31108.6</v>
      </c>
      <c r="F762">
        <v>30729.599999999999</v>
      </c>
      <c r="G762">
        <v>30775.3</v>
      </c>
      <c r="H762">
        <v>0</v>
      </c>
      <c r="I762" s="8">
        <f t="shared" si="45"/>
        <v>-5.2090656814210989E-3</v>
      </c>
      <c r="J762" s="8">
        <f t="shared" si="46"/>
        <v>-5.2226801637936049E-3</v>
      </c>
      <c r="K762" s="8">
        <f t="shared" si="43"/>
        <v>-4.9013563978128394E-2</v>
      </c>
    </row>
    <row r="763" spans="1:11" x14ac:dyDescent="0.25">
      <c r="A763" t="str">
        <f t="shared" si="44"/>
        <v>22020</v>
      </c>
      <c r="B763" s="1">
        <v>43862</v>
      </c>
      <c r="C763" s="10">
        <v>43832.708333333336</v>
      </c>
      <c r="D763">
        <v>30865.05</v>
      </c>
      <c r="E763">
        <v>31140</v>
      </c>
      <c r="F763">
        <v>30016.400000000001</v>
      </c>
      <c r="G763">
        <v>30189.55</v>
      </c>
      <c r="H763">
        <v>0</v>
      </c>
      <c r="I763" s="8">
        <f t="shared" si="45"/>
        <v>-1.9033120716938634E-2</v>
      </c>
      <c r="J763" s="8">
        <f t="shared" si="46"/>
        <v>-1.9216582185444031E-2</v>
      </c>
      <c r="K763" s="8">
        <f t="shared" si="43"/>
        <v>-6.8022412249560071E-2</v>
      </c>
    </row>
    <row r="764" spans="1:11" x14ac:dyDescent="0.25">
      <c r="A764" t="str">
        <f t="shared" si="44"/>
        <v>22020</v>
      </c>
      <c r="B764" s="1">
        <v>43864</v>
      </c>
      <c r="C764" s="10">
        <v>43892.645833333336</v>
      </c>
      <c r="D764">
        <v>30049.3</v>
      </c>
      <c r="E764">
        <v>30702.95</v>
      </c>
      <c r="F764">
        <v>29833.05</v>
      </c>
      <c r="G764">
        <v>30435.3</v>
      </c>
      <c r="H764">
        <v>0</v>
      </c>
      <c r="I764" s="8">
        <f t="shared" si="45"/>
        <v>8.1402339551268632E-3</v>
      </c>
      <c r="J764" s="8">
        <f t="shared" si="46"/>
        <v>8.1072809599788132E-3</v>
      </c>
      <c r="K764" s="8">
        <f t="shared" si="43"/>
        <v>-6.4562529390611689E-2</v>
      </c>
    </row>
    <row r="765" spans="1:11" x14ac:dyDescent="0.25">
      <c r="A765" t="str">
        <f t="shared" si="44"/>
        <v>22020</v>
      </c>
      <c r="B765" s="1">
        <v>43865</v>
      </c>
      <c r="C765" s="10">
        <v>43923.645833333336</v>
      </c>
      <c r="D765">
        <v>30614.05</v>
      </c>
      <c r="E765">
        <v>30857.05</v>
      </c>
      <c r="F765">
        <v>30467</v>
      </c>
      <c r="G765">
        <v>30744</v>
      </c>
      <c r="H765">
        <v>0</v>
      </c>
      <c r="I765" s="8">
        <f t="shared" si="45"/>
        <v>1.0142827571931301E-2</v>
      </c>
      <c r="J765" s="8">
        <f t="shared" si="46"/>
        <v>1.0091734292786217E-2</v>
      </c>
      <c r="K765" s="8">
        <f t="shared" si="43"/>
        <v>-3.767117927850383E-2</v>
      </c>
    </row>
    <row r="766" spans="1:11" x14ac:dyDescent="0.25">
      <c r="A766" t="str">
        <f t="shared" si="44"/>
        <v>22020</v>
      </c>
      <c r="B766" s="1">
        <v>43866</v>
      </c>
      <c r="C766" s="10">
        <v>43953.645833333336</v>
      </c>
      <c r="D766">
        <v>30885.200000000001</v>
      </c>
      <c r="E766">
        <v>30984.5</v>
      </c>
      <c r="F766">
        <v>30736.05</v>
      </c>
      <c r="G766">
        <v>30934.400000000001</v>
      </c>
      <c r="H766">
        <v>0</v>
      </c>
      <c r="I766" s="8">
        <f t="shared" si="45"/>
        <v>6.1930783242258869E-3</v>
      </c>
      <c r="J766" s="8">
        <f t="shared" si="46"/>
        <v>6.1739800256064431E-3</v>
      </c>
      <c r="K766" s="8">
        <f t="shared" si="43"/>
        <v>-2.7298125464781831E-2</v>
      </c>
    </row>
    <row r="767" spans="1:11" x14ac:dyDescent="0.25">
      <c r="A767" t="str">
        <f t="shared" si="44"/>
        <v>22020</v>
      </c>
      <c r="B767" s="1">
        <v>43867</v>
      </c>
      <c r="C767" s="10">
        <v>43984.645833333336</v>
      </c>
      <c r="D767">
        <v>31055.4</v>
      </c>
      <c r="E767">
        <v>31158.65</v>
      </c>
      <c r="F767">
        <v>30590.25</v>
      </c>
      <c r="G767">
        <v>30736.6</v>
      </c>
      <c r="H767">
        <v>0</v>
      </c>
      <c r="I767" s="8">
        <f t="shared" si="45"/>
        <v>-6.3941760628944966E-3</v>
      </c>
      <c r="J767" s="8">
        <f t="shared" si="46"/>
        <v>-6.4147063697129799E-3</v>
      </c>
      <c r="K767" s="8">
        <f t="shared" si="43"/>
        <v>-2.6782279398843367E-2</v>
      </c>
    </row>
    <row r="768" spans="1:11" x14ac:dyDescent="0.25">
      <c r="A768" t="str">
        <f t="shared" si="44"/>
        <v>22020</v>
      </c>
      <c r="B768" s="1">
        <v>43868</v>
      </c>
      <c r="C768" s="10">
        <v>44014.645833333336</v>
      </c>
      <c r="D768">
        <v>30806.5</v>
      </c>
      <c r="E768">
        <v>30930</v>
      </c>
      <c r="F768">
        <v>30724.05</v>
      </c>
      <c r="G768">
        <v>30809.5</v>
      </c>
      <c r="H768">
        <v>0</v>
      </c>
      <c r="I768" s="8">
        <f t="shared" si="45"/>
        <v>2.3717652570551806E-3</v>
      </c>
      <c r="J768" s="8">
        <f t="shared" si="46"/>
        <v>2.3689570612156169E-3</v>
      </c>
      <c r="K768" s="8">
        <f t="shared" ref="K768:K831" si="47">+G768/G707-1</f>
        <v>-2.003692812692337E-2</v>
      </c>
    </row>
    <row r="769" spans="1:11" x14ac:dyDescent="0.25">
      <c r="A769" t="str">
        <f t="shared" si="44"/>
        <v>22020</v>
      </c>
      <c r="B769" s="1">
        <v>43871</v>
      </c>
      <c r="C769" s="10">
        <v>44106.645833333336</v>
      </c>
      <c r="D769">
        <v>30863.7</v>
      </c>
      <c r="E769">
        <v>30872.15</v>
      </c>
      <c r="F769">
        <v>30496.55</v>
      </c>
      <c r="G769">
        <v>30528.45</v>
      </c>
      <c r="H769">
        <v>0</v>
      </c>
      <c r="I769" s="8">
        <f t="shared" si="45"/>
        <v>-9.1221863386292679E-3</v>
      </c>
      <c r="J769" s="8">
        <f t="shared" si="46"/>
        <v>-9.1640482563791793E-3</v>
      </c>
      <c r="K769" s="8">
        <f t="shared" si="47"/>
        <v>-2.4329092321115242E-2</v>
      </c>
    </row>
    <row r="770" spans="1:11" x14ac:dyDescent="0.25">
      <c r="A770" t="str">
        <f t="shared" si="44"/>
        <v>22020</v>
      </c>
      <c r="B770" s="1">
        <v>43872</v>
      </c>
      <c r="C770" s="10">
        <v>44137.645833333336</v>
      </c>
      <c r="D770">
        <v>30856.25</v>
      </c>
      <c r="E770">
        <v>30871.15</v>
      </c>
      <c r="F770">
        <v>30375.35</v>
      </c>
      <c r="G770">
        <v>30414.55</v>
      </c>
      <c r="H770">
        <v>0</v>
      </c>
      <c r="I770" s="8">
        <f t="shared" si="45"/>
        <v>-3.7309460519614479E-3</v>
      </c>
      <c r="J770" s="8">
        <f t="shared" si="46"/>
        <v>-3.7379233913071167E-3</v>
      </c>
      <c r="K770" s="8">
        <f t="shared" si="47"/>
        <v>-2.4087725912675162E-2</v>
      </c>
    </row>
    <row r="771" spans="1:11" x14ac:dyDescent="0.25">
      <c r="A771" t="str">
        <f t="shared" ref="A771:A834" si="48">+MONTH(B771)&amp;YEAR(B771)</f>
        <v>22020</v>
      </c>
      <c r="B771" s="1">
        <v>43873</v>
      </c>
      <c r="C771" s="10">
        <v>44167.645833333336</v>
      </c>
      <c r="D771">
        <v>30494.95</v>
      </c>
      <c r="E771">
        <v>31084.45</v>
      </c>
      <c r="F771">
        <v>30488.45</v>
      </c>
      <c r="G771">
        <v>30986.25</v>
      </c>
      <c r="H771">
        <v>0</v>
      </c>
      <c r="I771" s="8">
        <f t="shared" si="45"/>
        <v>1.8796924498307499E-2</v>
      </c>
      <c r="J771" s="8">
        <f t="shared" si="46"/>
        <v>1.8622445369401056E-2</v>
      </c>
      <c r="K771" s="8">
        <f t="shared" si="47"/>
        <v>4.2940695025817099E-4</v>
      </c>
    </row>
    <row r="772" spans="1:11" x14ac:dyDescent="0.25">
      <c r="A772" t="str">
        <f t="shared" si="48"/>
        <v>22020</v>
      </c>
      <c r="B772" s="1">
        <v>43874</v>
      </c>
      <c r="C772" t="s">
        <v>490</v>
      </c>
      <c r="D772">
        <v>30968.35</v>
      </c>
      <c r="E772">
        <v>31066.6</v>
      </c>
      <c r="F772">
        <v>30817.55</v>
      </c>
      <c r="G772">
        <v>31039.3</v>
      </c>
      <c r="H772">
        <v>0</v>
      </c>
      <c r="I772" s="8">
        <f t="shared" ref="I772:I835" si="49">+G772/G771-1</f>
        <v>1.7120496994633694E-3</v>
      </c>
      <c r="J772" s="8">
        <f t="shared" ref="J772:J835" si="50">+LN(1+I772)</f>
        <v>1.7105858129694462E-3</v>
      </c>
      <c r="K772" s="8">
        <f t="shared" si="47"/>
        <v>-1.6098760508019838E-3</v>
      </c>
    </row>
    <row r="773" spans="1:11" x14ac:dyDescent="0.25">
      <c r="A773" t="str">
        <f t="shared" si="48"/>
        <v>22020</v>
      </c>
      <c r="B773" s="1">
        <v>43875</v>
      </c>
      <c r="C773" t="s">
        <v>491</v>
      </c>
      <c r="D773">
        <v>31036.9</v>
      </c>
      <c r="E773">
        <v>31205.9</v>
      </c>
      <c r="F773">
        <v>30556.3</v>
      </c>
      <c r="G773">
        <v>30646.75</v>
      </c>
      <c r="H773">
        <v>0</v>
      </c>
      <c r="I773" s="8">
        <f t="shared" si="49"/>
        <v>-1.2646870258027687E-2</v>
      </c>
      <c r="J773" s="8">
        <f t="shared" si="50"/>
        <v>-1.272752264338833E-2</v>
      </c>
      <c r="K773" s="8">
        <f t="shared" si="47"/>
        <v>-7.9887225650661087E-3</v>
      </c>
    </row>
    <row r="774" spans="1:11" x14ac:dyDescent="0.25">
      <c r="A774" t="str">
        <f t="shared" si="48"/>
        <v>22020</v>
      </c>
      <c r="B774" s="1">
        <v>43878</v>
      </c>
      <c r="C774" t="s">
        <v>492</v>
      </c>
      <c r="D774">
        <v>30660.35</v>
      </c>
      <c r="E774">
        <v>30788.6</v>
      </c>
      <c r="F774">
        <v>30451.1</v>
      </c>
      <c r="G774">
        <v>30481.05</v>
      </c>
      <c r="H774">
        <v>0</v>
      </c>
      <c r="I774" s="8">
        <f t="shared" si="49"/>
        <v>-5.4067723331185924E-3</v>
      </c>
      <c r="J774" s="8">
        <f t="shared" si="50"/>
        <v>-5.4214418269517787E-3</v>
      </c>
      <c r="K774" s="8">
        <f t="shared" si="47"/>
        <v>-1.0662278416919468E-2</v>
      </c>
    </row>
    <row r="775" spans="1:11" x14ac:dyDescent="0.25">
      <c r="A775" t="str">
        <f t="shared" si="48"/>
        <v>22020</v>
      </c>
      <c r="B775" s="1">
        <v>43879</v>
      </c>
      <c r="C775" t="s">
        <v>493</v>
      </c>
      <c r="D775">
        <v>30463</v>
      </c>
      <c r="E775">
        <v>30471.35</v>
      </c>
      <c r="F775">
        <v>30076.65</v>
      </c>
      <c r="G775">
        <v>30360.6</v>
      </c>
      <c r="H775">
        <v>0</v>
      </c>
      <c r="I775" s="8">
        <f t="shared" si="49"/>
        <v>-3.9516355243668366E-3</v>
      </c>
      <c r="J775" s="8">
        <f t="shared" si="50"/>
        <v>-3.9594638659997709E-3</v>
      </c>
      <c r="K775" s="8">
        <f t="shared" si="47"/>
        <v>-2.3322696039323687E-2</v>
      </c>
    </row>
    <row r="776" spans="1:11" x14ac:dyDescent="0.25">
      <c r="A776" t="str">
        <f t="shared" si="48"/>
        <v>22020</v>
      </c>
      <c r="B776" s="1">
        <v>43880</v>
      </c>
      <c r="C776" t="s">
        <v>494</v>
      </c>
      <c r="D776">
        <v>30529.4</v>
      </c>
      <c r="E776">
        <v>30888.9</v>
      </c>
      <c r="F776">
        <v>30440.35</v>
      </c>
      <c r="G776">
        <v>30835</v>
      </c>
      <c r="H776">
        <v>0</v>
      </c>
      <c r="I776" s="8">
        <f t="shared" si="49"/>
        <v>1.5625514647273242E-2</v>
      </c>
      <c r="J776" s="8">
        <f t="shared" si="50"/>
        <v>1.5504693265459751E-2</v>
      </c>
      <c r="K776" s="8">
        <f t="shared" si="47"/>
        <v>-7.0953958013675322E-3</v>
      </c>
    </row>
    <row r="777" spans="1:11" x14ac:dyDescent="0.25">
      <c r="A777" t="str">
        <f t="shared" si="48"/>
        <v>22020</v>
      </c>
      <c r="B777" s="1">
        <v>43881</v>
      </c>
      <c r="C777" t="s">
        <v>495</v>
      </c>
      <c r="D777">
        <v>30807.75</v>
      </c>
      <c r="E777">
        <v>30904.45</v>
      </c>
      <c r="F777">
        <v>30585.200000000001</v>
      </c>
      <c r="G777">
        <v>30636.25</v>
      </c>
      <c r="H777">
        <v>0</v>
      </c>
      <c r="I777" s="8">
        <f t="shared" si="49"/>
        <v>-6.4455975352684103E-3</v>
      </c>
      <c r="J777" s="8">
        <f t="shared" si="50"/>
        <v>-6.4664600951571533E-3</v>
      </c>
      <c r="K777" s="8">
        <f t="shared" si="47"/>
        <v>-1.8759238292291203E-2</v>
      </c>
    </row>
    <row r="778" spans="1:11" x14ac:dyDescent="0.25">
      <c r="A778" t="str">
        <f t="shared" si="48"/>
        <v>22020</v>
      </c>
      <c r="B778" s="1">
        <v>43885</v>
      </c>
      <c r="C778" t="s">
        <v>496</v>
      </c>
      <c r="D778">
        <v>30545.5</v>
      </c>
      <c r="E778">
        <v>30590</v>
      </c>
      <c r="F778">
        <v>30108.400000000001</v>
      </c>
      <c r="G778">
        <v>30147.599999999999</v>
      </c>
      <c r="H778">
        <v>0</v>
      </c>
      <c r="I778" s="8">
        <f t="shared" si="49"/>
        <v>-1.5950059161940588E-2</v>
      </c>
      <c r="J778" s="8">
        <f t="shared" si="50"/>
        <v>-1.607863033356096E-2</v>
      </c>
      <c r="K778" s="8">
        <f t="shared" si="47"/>
        <v>-3.5690296001074873E-2</v>
      </c>
    </row>
    <row r="779" spans="1:11" x14ac:dyDescent="0.25">
      <c r="A779" t="str">
        <f t="shared" si="48"/>
        <v>22020</v>
      </c>
      <c r="B779" s="1">
        <v>43886</v>
      </c>
      <c r="C779" t="s">
        <v>497</v>
      </c>
      <c r="D779">
        <v>30295.8</v>
      </c>
      <c r="E779">
        <v>30580.25</v>
      </c>
      <c r="F779">
        <v>30145.1</v>
      </c>
      <c r="G779">
        <v>30173.200000000001</v>
      </c>
      <c r="H779">
        <v>0</v>
      </c>
      <c r="I779" s="8">
        <f t="shared" si="49"/>
        <v>8.4915548833075505E-4</v>
      </c>
      <c r="J779" s="8">
        <f t="shared" si="50"/>
        <v>8.4879515977795818E-4</v>
      </c>
      <c r="K779" s="8">
        <f t="shared" si="47"/>
        <v>-2.5901115397652941E-2</v>
      </c>
    </row>
    <row r="780" spans="1:11" x14ac:dyDescent="0.25">
      <c r="A780" t="str">
        <f t="shared" si="48"/>
        <v>22020</v>
      </c>
      <c r="B780" s="1">
        <v>43887</v>
      </c>
      <c r="C780" t="s">
        <v>498</v>
      </c>
      <c r="D780">
        <v>30155.1</v>
      </c>
      <c r="E780">
        <v>30231.75</v>
      </c>
      <c r="F780">
        <v>29851.200000000001</v>
      </c>
      <c r="G780">
        <v>29965.55</v>
      </c>
      <c r="H780">
        <v>0</v>
      </c>
      <c r="I780" s="8">
        <f t="shared" si="49"/>
        <v>-6.8819349621518366E-3</v>
      </c>
      <c r="J780" s="8">
        <f t="shared" si="50"/>
        <v>-6.9057246856087497E-3</v>
      </c>
      <c r="K780" s="8">
        <f t="shared" si="47"/>
        <v>-3.0308570762875742E-2</v>
      </c>
    </row>
    <row r="781" spans="1:11" x14ac:dyDescent="0.25">
      <c r="A781" t="str">
        <f t="shared" si="48"/>
        <v>22020</v>
      </c>
      <c r="B781" s="1">
        <v>43888</v>
      </c>
      <c r="C781" t="s">
        <v>499</v>
      </c>
      <c r="D781">
        <v>29993.4</v>
      </c>
      <c r="E781">
        <v>30012.6</v>
      </c>
      <c r="F781">
        <v>29622.25</v>
      </c>
      <c r="G781">
        <v>29981.200000000001</v>
      </c>
      <c r="H781">
        <v>0</v>
      </c>
      <c r="I781" s="8">
        <f t="shared" si="49"/>
        <v>5.2226640258568047E-4</v>
      </c>
      <c r="J781" s="8">
        <f t="shared" si="50"/>
        <v>5.2213006895429701E-4</v>
      </c>
      <c r="K781" s="8">
        <f t="shared" si="47"/>
        <v>-2.2697416673457704E-2</v>
      </c>
    </row>
    <row r="782" spans="1:11" x14ac:dyDescent="0.25">
      <c r="A782" t="str">
        <f t="shared" si="48"/>
        <v>22020</v>
      </c>
      <c r="B782" s="1">
        <v>43889</v>
      </c>
      <c r="C782" t="s">
        <v>500</v>
      </c>
      <c r="D782">
        <v>29468.400000000001</v>
      </c>
      <c r="E782">
        <v>29578.5</v>
      </c>
      <c r="F782">
        <v>29151.8</v>
      </c>
      <c r="G782">
        <v>29310.25</v>
      </c>
      <c r="H782">
        <v>0</v>
      </c>
      <c r="I782" s="8">
        <f t="shared" si="49"/>
        <v>-2.237902418849147E-2</v>
      </c>
      <c r="J782" s="8">
        <f t="shared" si="50"/>
        <v>-2.2633234359324718E-2</v>
      </c>
      <c r="K782" s="8">
        <f t="shared" si="47"/>
        <v>-4.5441296443151091E-2</v>
      </c>
    </row>
    <row r="783" spans="1:11" x14ac:dyDescent="0.25">
      <c r="A783" t="str">
        <f t="shared" si="48"/>
        <v>32020</v>
      </c>
      <c r="B783" s="1">
        <v>43892</v>
      </c>
      <c r="C783" s="10">
        <v>43864.645833333336</v>
      </c>
      <c r="D783">
        <v>29610.15</v>
      </c>
      <c r="E783">
        <v>29913.1</v>
      </c>
      <c r="F783">
        <v>28911.5</v>
      </c>
      <c r="G783">
        <v>29138.9</v>
      </c>
      <c r="H783">
        <v>0</v>
      </c>
      <c r="I783" s="8">
        <f t="shared" si="49"/>
        <v>-5.8460777373102735E-3</v>
      </c>
      <c r="J783" s="8">
        <f t="shared" si="50"/>
        <v>-5.8632329428837549E-3</v>
      </c>
      <c r="K783" s="8">
        <f t="shared" si="47"/>
        <v>-5.3781283385993084E-2</v>
      </c>
    </row>
    <row r="784" spans="1:11" x14ac:dyDescent="0.25">
      <c r="A784" t="str">
        <f t="shared" si="48"/>
        <v>32020</v>
      </c>
      <c r="B784" s="1">
        <v>43893</v>
      </c>
      <c r="C784" s="10">
        <v>43893.645833333336</v>
      </c>
      <c r="D784">
        <v>29350.45</v>
      </c>
      <c r="E784">
        <v>29539.5</v>
      </c>
      <c r="F784">
        <v>29119.5</v>
      </c>
      <c r="G784">
        <v>29406.2</v>
      </c>
      <c r="H784">
        <v>0</v>
      </c>
      <c r="I784" s="8">
        <f t="shared" si="49"/>
        <v>9.1733044143738063E-3</v>
      </c>
      <c r="J784" s="8">
        <f t="shared" si="50"/>
        <v>9.131485209744581E-3</v>
      </c>
      <c r="K784" s="8">
        <f t="shared" si="47"/>
        <v>-3.7013143309061802E-2</v>
      </c>
    </row>
    <row r="785" spans="1:11" x14ac:dyDescent="0.25">
      <c r="A785" t="str">
        <f t="shared" si="48"/>
        <v>32020</v>
      </c>
      <c r="B785" s="1">
        <v>43894</v>
      </c>
      <c r="C785" s="10">
        <v>43924.645833333336</v>
      </c>
      <c r="D785">
        <v>29563.15</v>
      </c>
      <c r="E785">
        <v>29604.7</v>
      </c>
      <c r="F785">
        <v>28873.35</v>
      </c>
      <c r="G785">
        <v>29223.75</v>
      </c>
      <c r="H785">
        <v>0</v>
      </c>
      <c r="I785" s="8">
        <f t="shared" si="49"/>
        <v>-6.204473886459394E-3</v>
      </c>
      <c r="J785" s="8">
        <f t="shared" si="50"/>
        <v>-6.2238016216545127E-3</v>
      </c>
      <c r="K785" s="8">
        <f t="shared" si="47"/>
        <v>-3.7901234567901287E-2</v>
      </c>
    </row>
    <row r="786" spans="1:11" x14ac:dyDescent="0.25">
      <c r="A786" t="str">
        <f t="shared" si="48"/>
        <v>32020</v>
      </c>
      <c r="B786" s="1">
        <v>43895</v>
      </c>
      <c r="C786" s="10">
        <v>43954.645833333336</v>
      </c>
      <c r="D786">
        <v>29333.25</v>
      </c>
      <c r="E786">
        <v>29844.1</v>
      </c>
      <c r="F786">
        <v>29332.05</v>
      </c>
      <c r="G786">
        <v>29530.5</v>
      </c>
      <c r="H786">
        <v>0</v>
      </c>
      <c r="I786" s="8">
        <f t="shared" si="49"/>
        <v>1.0496599512382909E-2</v>
      </c>
      <c r="J786" s="8">
        <f t="shared" si="50"/>
        <v>1.0441892702371221E-2</v>
      </c>
      <c r="K786" s="8">
        <f t="shared" si="47"/>
        <v>-1.7582088559166986E-2</v>
      </c>
    </row>
    <row r="787" spans="1:11" x14ac:dyDescent="0.25">
      <c r="A787" t="str">
        <f t="shared" si="48"/>
        <v>32020</v>
      </c>
      <c r="B787" s="1">
        <v>43896</v>
      </c>
      <c r="C787" s="10">
        <v>43985.645833333336</v>
      </c>
      <c r="D787">
        <v>28988.2</v>
      </c>
      <c r="E787">
        <v>29201.75</v>
      </c>
      <c r="F787">
        <v>28689.45</v>
      </c>
      <c r="G787">
        <v>28937</v>
      </c>
      <c r="H787">
        <v>0</v>
      </c>
      <c r="I787" s="8">
        <f t="shared" si="49"/>
        <v>-2.0097864919320751E-2</v>
      </c>
      <c r="J787" s="8">
        <f t="shared" si="50"/>
        <v>-2.0302574466649383E-2</v>
      </c>
      <c r="K787" s="8">
        <f t="shared" si="47"/>
        <v>-3.8716117791076865E-2</v>
      </c>
    </row>
    <row r="788" spans="1:11" x14ac:dyDescent="0.25">
      <c r="A788" t="str">
        <f t="shared" si="48"/>
        <v>32020</v>
      </c>
      <c r="B788" s="1">
        <v>43899</v>
      </c>
      <c r="C788" s="10">
        <v>44077.645833333336</v>
      </c>
      <c r="D788">
        <v>28466.25</v>
      </c>
      <c r="E788">
        <v>28530.45</v>
      </c>
      <c r="F788">
        <v>27841.3</v>
      </c>
      <c r="G788">
        <v>28056.5</v>
      </c>
      <c r="H788">
        <v>0</v>
      </c>
      <c r="I788" s="8">
        <f t="shared" si="49"/>
        <v>-3.0428171545080707E-2</v>
      </c>
      <c r="J788" s="8">
        <f t="shared" si="50"/>
        <v>-3.0900718900531868E-2</v>
      </c>
      <c r="K788" s="8">
        <f t="shared" si="47"/>
        <v>-7.1835834054244541E-2</v>
      </c>
    </row>
    <row r="789" spans="1:11" x14ac:dyDescent="0.25">
      <c r="A789" t="str">
        <f t="shared" si="48"/>
        <v>32020</v>
      </c>
      <c r="B789" s="1">
        <v>43901</v>
      </c>
      <c r="C789" s="10">
        <v>44138.645833333336</v>
      </c>
      <c r="D789">
        <v>27697.95</v>
      </c>
      <c r="E789">
        <v>28256.9</v>
      </c>
      <c r="F789">
        <v>27639.3</v>
      </c>
      <c r="G789">
        <v>28078.75</v>
      </c>
      <c r="H789">
        <v>0</v>
      </c>
      <c r="I789" s="8">
        <f t="shared" si="49"/>
        <v>7.9304261044677027E-4</v>
      </c>
      <c r="J789" s="8">
        <f t="shared" si="50"/>
        <v>7.9272831830950617E-4</v>
      </c>
      <c r="K789" s="8">
        <f t="shared" si="47"/>
        <v>-7.7153773468633169E-2</v>
      </c>
    </row>
    <row r="790" spans="1:11" x14ac:dyDescent="0.25">
      <c r="A790" t="str">
        <f t="shared" si="48"/>
        <v>32020</v>
      </c>
      <c r="B790" s="1">
        <v>43902</v>
      </c>
      <c r="C790" s="10">
        <v>44168.645833333336</v>
      </c>
      <c r="D790">
        <v>27305.85</v>
      </c>
      <c r="E790">
        <v>27319.599999999999</v>
      </c>
      <c r="F790">
        <v>25716.2</v>
      </c>
      <c r="G790">
        <v>26083</v>
      </c>
      <c r="H790">
        <v>0</v>
      </c>
      <c r="I790" s="8">
        <f t="shared" si="49"/>
        <v>-7.1076881983706541E-2</v>
      </c>
      <c r="J790" s="8">
        <f t="shared" si="50"/>
        <v>-7.3729301379464804E-2</v>
      </c>
      <c r="K790" s="8">
        <f t="shared" si="47"/>
        <v>-0.13181396060992367</v>
      </c>
    </row>
    <row r="791" spans="1:11" x14ac:dyDescent="0.25">
      <c r="A791" t="str">
        <f t="shared" si="48"/>
        <v>32020</v>
      </c>
      <c r="B791" s="1">
        <v>43903</v>
      </c>
      <c r="C791" t="s">
        <v>501</v>
      </c>
      <c r="D791">
        <v>24896.85</v>
      </c>
      <c r="E791">
        <v>26935</v>
      </c>
      <c r="F791">
        <v>23420.400000000001</v>
      </c>
      <c r="G791">
        <v>26208</v>
      </c>
      <c r="H791">
        <v>0</v>
      </c>
      <c r="I791" s="8">
        <f t="shared" si="49"/>
        <v>4.79239351301608E-3</v>
      </c>
      <c r="J791" s="8">
        <f t="shared" si="50"/>
        <v>4.7809465528807866E-3</v>
      </c>
      <c r="K791" s="8">
        <f t="shared" si="47"/>
        <v>-0.13166932000974085</v>
      </c>
    </row>
    <row r="792" spans="1:11" x14ac:dyDescent="0.25">
      <c r="A792" t="str">
        <f t="shared" si="48"/>
        <v>32020</v>
      </c>
      <c r="B792" s="1">
        <v>43906</v>
      </c>
      <c r="C792" t="s">
        <v>502</v>
      </c>
      <c r="D792">
        <v>25586.400000000001</v>
      </c>
      <c r="E792">
        <v>25624.35</v>
      </c>
      <c r="F792">
        <v>24492.7</v>
      </c>
      <c r="G792">
        <v>24707.65</v>
      </c>
      <c r="H792">
        <v>0</v>
      </c>
      <c r="I792" s="8">
        <f t="shared" si="49"/>
        <v>-5.7247786935286871E-2</v>
      </c>
      <c r="J792" s="8">
        <f t="shared" si="50"/>
        <v>-5.8951795389822141E-2</v>
      </c>
      <c r="K792" s="8">
        <f t="shared" si="47"/>
        <v>-0.18432507291757794</v>
      </c>
    </row>
    <row r="793" spans="1:11" x14ac:dyDescent="0.25">
      <c r="A793" t="str">
        <f t="shared" si="48"/>
        <v>32020</v>
      </c>
      <c r="B793" s="1">
        <v>43907</v>
      </c>
      <c r="C793" t="s">
        <v>503</v>
      </c>
      <c r="D793">
        <v>24850.5</v>
      </c>
      <c r="E793">
        <v>25677.55</v>
      </c>
      <c r="F793">
        <v>24598.2</v>
      </c>
      <c r="G793">
        <v>24929.85</v>
      </c>
      <c r="H793">
        <v>0</v>
      </c>
      <c r="I793" s="8">
        <f t="shared" si="49"/>
        <v>8.9931660841884309E-3</v>
      </c>
      <c r="J793" s="8">
        <f t="shared" si="50"/>
        <v>8.9529683893563548E-3</v>
      </c>
      <c r="K793" s="8">
        <f t="shared" si="47"/>
        <v>-0.17956401117616283</v>
      </c>
    </row>
    <row r="794" spans="1:11" x14ac:dyDescent="0.25">
      <c r="A794" t="str">
        <f t="shared" si="48"/>
        <v>32020</v>
      </c>
      <c r="B794" s="1">
        <v>43908</v>
      </c>
      <c r="C794" t="s">
        <v>504</v>
      </c>
      <c r="D794">
        <v>25269.25</v>
      </c>
      <c r="E794">
        <v>25392.65</v>
      </c>
      <c r="F794">
        <v>24047</v>
      </c>
      <c r="G794">
        <v>24186.5</v>
      </c>
      <c r="H794">
        <v>0</v>
      </c>
      <c r="I794" s="8">
        <f t="shared" si="49"/>
        <v>-2.9817668377467133E-2</v>
      </c>
      <c r="J794" s="8">
        <f t="shared" si="50"/>
        <v>-3.0271254404116221E-2</v>
      </c>
      <c r="K794" s="8">
        <f t="shared" si="47"/>
        <v>-0.2032474259915964</v>
      </c>
    </row>
    <row r="795" spans="1:11" x14ac:dyDescent="0.25">
      <c r="A795" t="str">
        <f t="shared" si="48"/>
        <v>32020</v>
      </c>
      <c r="B795" s="1">
        <v>43909</v>
      </c>
      <c r="C795" t="s">
        <v>505</v>
      </c>
      <c r="D795">
        <v>23695.9</v>
      </c>
      <c r="E795">
        <v>24382</v>
      </c>
      <c r="F795">
        <v>22699.05</v>
      </c>
      <c r="G795">
        <v>23970.75</v>
      </c>
      <c r="H795">
        <v>0</v>
      </c>
      <c r="I795" s="8">
        <f t="shared" si="49"/>
        <v>-8.92026543733071E-3</v>
      </c>
      <c r="J795" s="8">
        <f t="shared" si="50"/>
        <v>-8.9602891978886479E-3</v>
      </c>
      <c r="K795" s="8">
        <f t="shared" si="47"/>
        <v>-0.20673804808069374</v>
      </c>
    </row>
    <row r="796" spans="1:11" x14ac:dyDescent="0.25">
      <c r="A796" t="str">
        <f t="shared" si="48"/>
        <v>32020</v>
      </c>
      <c r="B796" s="1">
        <v>43910</v>
      </c>
      <c r="C796" t="s">
        <v>506</v>
      </c>
      <c r="D796">
        <v>24198.2</v>
      </c>
      <c r="E796">
        <v>26113.7</v>
      </c>
      <c r="F796">
        <v>24198.2</v>
      </c>
      <c r="G796">
        <v>25931.599999999999</v>
      </c>
      <c r="H796">
        <v>0</v>
      </c>
      <c r="I796" s="8">
        <f t="shared" si="49"/>
        <v>8.1801779251796436E-2</v>
      </c>
      <c r="J796" s="8">
        <f t="shared" si="50"/>
        <v>7.8627965168013764E-2</v>
      </c>
      <c r="K796" s="8">
        <f t="shared" si="47"/>
        <v>-0.14126808300673399</v>
      </c>
    </row>
    <row r="797" spans="1:11" x14ac:dyDescent="0.25">
      <c r="A797" t="str">
        <f t="shared" si="48"/>
        <v>32020</v>
      </c>
      <c r="B797" s="1">
        <v>43913</v>
      </c>
      <c r="C797" t="s">
        <v>507</v>
      </c>
      <c r="D797">
        <v>23950.55</v>
      </c>
      <c r="E797">
        <v>24373.55</v>
      </c>
      <c r="F797">
        <v>23082.2</v>
      </c>
      <c r="G797">
        <v>23184.05</v>
      </c>
      <c r="H797">
        <v>0</v>
      </c>
      <c r="I797" s="8">
        <f t="shared" si="49"/>
        <v>-0.10595373983865242</v>
      </c>
      <c r="J797" s="8">
        <f t="shared" si="50"/>
        <v>-0.11199776000043561</v>
      </c>
      <c r="K797" s="8">
        <f t="shared" si="47"/>
        <v>-0.22883192437353539</v>
      </c>
    </row>
    <row r="798" spans="1:11" x14ac:dyDescent="0.25">
      <c r="A798" t="str">
        <f t="shared" si="48"/>
        <v>32020</v>
      </c>
      <c r="B798" s="1">
        <v>43914</v>
      </c>
      <c r="C798" t="s">
        <v>508</v>
      </c>
      <c r="D798">
        <v>24123.3</v>
      </c>
      <c r="E798">
        <v>24584.85</v>
      </c>
      <c r="F798">
        <v>23390.45</v>
      </c>
      <c r="G798">
        <v>23935.3</v>
      </c>
      <c r="H798">
        <v>0</v>
      </c>
      <c r="I798" s="8">
        <f t="shared" si="49"/>
        <v>3.2403743090616111E-2</v>
      </c>
      <c r="J798" s="8">
        <f t="shared" si="50"/>
        <v>3.1889814476260742E-2</v>
      </c>
      <c r="K798" s="8">
        <f t="shared" si="47"/>
        <v>-0.20600621320962209</v>
      </c>
    </row>
    <row r="799" spans="1:11" x14ac:dyDescent="0.25">
      <c r="A799" t="str">
        <f t="shared" si="48"/>
        <v>32020</v>
      </c>
      <c r="B799" s="1">
        <v>43915</v>
      </c>
      <c r="C799" t="s">
        <v>509</v>
      </c>
      <c r="D799">
        <v>23804.85</v>
      </c>
      <c r="E799">
        <v>24695.25</v>
      </c>
      <c r="F799">
        <v>23646.7</v>
      </c>
      <c r="G799">
        <v>24471.7</v>
      </c>
      <c r="H799">
        <v>0</v>
      </c>
      <c r="I799" s="8">
        <f t="shared" si="49"/>
        <v>2.2410414743078366E-2</v>
      </c>
      <c r="J799" s="8">
        <f t="shared" si="50"/>
        <v>2.2162991153294401E-2</v>
      </c>
      <c r="K799" s="8">
        <f t="shared" si="47"/>
        <v>-0.19035842430277894</v>
      </c>
    </row>
    <row r="800" spans="1:11" x14ac:dyDescent="0.25">
      <c r="A800" t="str">
        <f t="shared" si="48"/>
        <v>32020</v>
      </c>
      <c r="B800" s="1">
        <v>43916</v>
      </c>
      <c r="C800" t="s">
        <v>510</v>
      </c>
      <c r="D800">
        <v>24727.15</v>
      </c>
      <c r="E800">
        <v>26091.05</v>
      </c>
      <c r="F800">
        <v>24295.599999999999</v>
      </c>
      <c r="G800">
        <v>25680.1</v>
      </c>
      <c r="H800">
        <v>0</v>
      </c>
      <c r="I800" s="8">
        <f t="shared" si="49"/>
        <v>4.9379487326176585E-2</v>
      </c>
      <c r="J800" s="8">
        <f t="shared" si="50"/>
        <v>4.8199025029853834E-2</v>
      </c>
      <c r="K800" s="8">
        <f t="shared" si="47"/>
        <v>-0.1474494962070283</v>
      </c>
    </row>
    <row r="801" spans="1:11" x14ac:dyDescent="0.25">
      <c r="A801" t="str">
        <f t="shared" si="48"/>
        <v>32020</v>
      </c>
      <c r="B801" s="1">
        <v>43917</v>
      </c>
      <c r="C801" t="s">
        <v>511</v>
      </c>
      <c r="D801">
        <v>26382.25</v>
      </c>
      <c r="E801">
        <v>26557.7</v>
      </c>
      <c r="F801">
        <v>25301.8</v>
      </c>
      <c r="G801">
        <v>25740.45</v>
      </c>
      <c r="H801">
        <v>0</v>
      </c>
      <c r="I801" s="8">
        <f t="shared" si="49"/>
        <v>2.3500687302620005E-3</v>
      </c>
      <c r="J801" s="8">
        <f t="shared" si="50"/>
        <v>2.3473116374703447E-3</v>
      </c>
      <c r="K801" s="8">
        <f t="shared" si="47"/>
        <v>-0.14863275920520602</v>
      </c>
    </row>
    <row r="802" spans="1:11" x14ac:dyDescent="0.25">
      <c r="A802" t="str">
        <f t="shared" si="48"/>
        <v>32020</v>
      </c>
      <c r="B802" s="1">
        <v>43920</v>
      </c>
      <c r="C802" t="s">
        <v>512</v>
      </c>
      <c r="D802">
        <v>25218.5</v>
      </c>
      <c r="E802">
        <v>26164.1</v>
      </c>
      <c r="F802">
        <v>25159.85</v>
      </c>
      <c r="G802">
        <v>25831.55</v>
      </c>
      <c r="H802">
        <v>0</v>
      </c>
      <c r="I802" s="8">
        <f t="shared" si="49"/>
        <v>3.5391766655206158E-3</v>
      </c>
      <c r="J802" s="8">
        <f t="shared" si="50"/>
        <v>3.5329285176454255E-3</v>
      </c>
      <c r="K802" s="8">
        <f t="shared" si="47"/>
        <v>-0.14652153227032139</v>
      </c>
    </row>
    <row r="803" spans="1:11" x14ac:dyDescent="0.25">
      <c r="A803" t="str">
        <f t="shared" si="48"/>
        <v>32020</v>
      </c>
      <c r="B803" s="1">
        <v>43921</v>
      </c>
      <c r="C803" t="s">
        <v>513</v>
      </c>
      <c r="D803">
        <v>26472.75</v>
      </c>
      <c r="E803">
        <v>27406.2</v>
      </c>
      <c r="F803">
        <v>26038.799999999999</v>
      </c>
      <c r="G803">
        <v>27319.200000000001</v>
      </c>
      <c r="H803">
        <v>0</v>
      </c>
      <c r="I803" s="8">
        <f t="shared" si="49"/>
        <v>5.7590427210136408E-2</v>
      </c>
      <c r="J803" s="8">
        <f t="shared" si="50"/>
        <v>5.5993138646688381E-2</v>
      </c>
      <c r="K803" s="8">
        <f t="shared" si="47"/>
        <v>-9.2664214485581597E-2</v>
      </c>
    </row>
    <row r="804" spans="1:11" x14ac:dyDescent="0.25">
      <c r="A804" t="str">
        <f t="shared" si="48"/>
        <v>42020</v>
      </c>
      <c r="B804" s="1">
        <v>43922</v>
      </c>
      <c r="C804" s="10">
        <v>43834.645833333336</v>
      </c>
      <c r="D804">
        <v>27346.95</v>
      </c>
      <c r="E804">
        <v>27683.9</v>
      </c>
      <c r="F804">
        <v>26197.05</v>
      </c>
      <c r="G804">
        <v>26358.799999999999</v>
      </c>
      <c r="H804">
        <v>0</v>
      </c>
      <c r="I804" s="8">
        <f t="shared" si="49"/>
        <v>-3.5154762950598939E-2</v>
      </c>
      <c r="J804" s="8">
        <f t="shared" si="50"/>
        <v>-3.5787566619385647E-2</v>
      </c>
      <c r="K804" s="8">
        <f t="shared" si="47"/>
        <v>-0.11545573218162841</v>
      </c>
    </row>
    <row r="805" spans="1:11" x14ac:dyDescent="0.25">
      <c r="A805" t="str">
        <f t="shared" si="48"/>
        <v>42020</v>
      </c>
      <c r="B805" s="1">
        <v>43924</v>
      </c>
      <c r="C805" s="10">
        <v>43894.645833333336</v>
      </c>
      <c r="D805">
        <v>26716.5</v>
      </c>
      <c r="E805">
        <v>27180.75</v>
      </c>
      <c r="F805">
        <v>26114.2</v>
      </c>
      <c r="G805">
        <v>26537.75</v>
      </c>
      <c r="H805">
        <v>0</v>
      </c>
      <c r="I805" s="8">
        <f t="shared" si="49"/>
        <v>6.7890040517777361E-3</v>
      </c>
      <c r="J805" s="8">
        <f t="shared" si="50"/>
        <v>6.7660625385888894E-3</v>
      </c>
      <c r="K805" s="8">
        <f t="shared" si="47"/>
        <v>-0.11131445525721828</v>
      </c>
    </row>
    <row r="806" spans="1:11" x14ac:dyDescent="0.25">
      <c r="A806" t="str">
        <f t="shared" si="48"/>
        <v>42020</v>
      </c>
      <c r="B806" s="1">
        <v>43928</v>
      </c>
      <c r="C806" s="10">
        <v>44016.645833333336</v>
      </c>
      <c r="D806">
        <v>27491.599999999999</v>
      </c>
      <c r="E806">
        <v>28823.5</v>
      </c>
      <c r="F806">
        <v>27272.9</v>
      </c>
      <c r="G806">
        <v>28745.3</v>
      </c>
      <c r="H806">
        <v>0</v>
      </c>
      <c r="I806" s="8">
        <f t="shared" si="49"/>
        <v>8.318527380806584E-2</v>
      </c>
      <c r="J806" s="8">
        <f t="shared" si="50"/>
        <v>7.9906028002279555E-2</v>
      </c>
      <c r="K806" s="8">
        <f t="shared" si="47"/>
        <v>-3.8400037466714831E-2</v>
      </c>
    </row>
    <row r="807" spans="1:11" x14ac:dyDescent="0.25">
      <c r="A807" t="str">
        <f t="shared" si="48"/>
        <v>42020</v>
      </c>
      <c r="B807" s="1">
        <v>43929</v>
      </c>
      <c r="C807" s="10">
        <v>44047.645833333336</v>
      </c>
      <c r="D807">
        <v>28600.25</v>
      </c>
      <c r="E807">
        <v>29817.599999999999</v>
      </c>
      <c r="F807">
        <v>28397.35</v>
      </c>
      <c r="G807">
        <v>28839.9</v>
      </c>
      <c r="H807">
        <v>0</v>
      </c>
      <c r="I807" s="8">
        <f t="shared" si="49"/>
        <v>3.2909727851162529E-3</v>
      </c>
      <c r="J807" s="8">
        <f t="shared" si="50"/>
        <v>3.2855693858944209E-3</v>
      </c>
      <c r="K807" s="8">
        <f t="shared" si="47"/>
        <v>-4.2614428554355932E-2</v>
      </c>
    </row>
    <row r="808" spans="1:11" x14ac:dyDescent="0.25">
      <c r="A808" t="str">
        <f t="shared" si="48"/>
        <v>42020</v>
      </c>
      <c r="B808" s="1">
        <v>43930</v>
      </c>
      <c r="C808" s="10">
        <v>44078.645833333336</v>
      </c>
      <c r="D808">
        <v>29500.75</v>
      </c>
      <c r="E808">
        <v>29501.200000000001</v>
      </c>
      <c r="F808">
        <v>28764.25</v>
      </c>
      <c r="G808">
        <v>28953.200000000001</v>
      </c>
      <c r="H808">
        <v>0</v>
      </c>
      <c r="I808" s="8">
        <f t="shared" si="49"/>
        <v>3.9285850505723641E-3</v>
      </c>
      <c r="J808" s="8">
        <f t="shared" si="50"/>
        <v>3.9208883119318414E-3</v>
      </c>
      <c r="K808" s="8">
        <f t="shared" si="47"/>
        <v>-4.6665426426016121E-2</v>
      </c>
    </row>
    <row r="809" spans="1:11" x14ac:dyDescent="0.25">
      <c r="A809" t="str">
        <f t="shared" si="48"/>
        <v>42020</v>
      </c>
      <c r="B809" s="1">
        <v>43934</v>
      </c>
      <c r="C809" t="s">
        <v>514</v>
      </c>
      <c r="D809">
        <v>28913.3</v>
      </c>
      <c r="E809">
        <v>28963.05</v>
      </c>
      <c r="F809">
        <v>28357.75</v>
      </c>
      <c r="G809">
        <v>28509.85</v>
      </c>
      <c r="H809">
        <v>0</v>
      </c>
      <c r="I809" s="8">
        <f t="shared" si="49"/>
        <v>-1.5312642471298599E-2</v>
      </c>
      <c r="J809" s="8">
        <f t="shared" si="50"/>
        <v>-1.5431091717369236E-2</v>
      </c>
      <c r="K809" s="8">
        <f t="shared" si="47"/>
        <v>-7.1747068466746722E-2</v>
      </c>
    </row>
    <row r="810" spans="1:11" x14ac:dyDescent="0.25">
      <c r="A810" t="str">
        <f t="shared" si="48"/>
        <v>42020</v>
      </c>
      <c r="B810" s="1">
        <v>43936</v>
      </c>
      <c r="C810" t="s">
        <v>515</v>
      </c>
      <c r="D810">
        <v>28979.599999999999</v>
      </c>
      <c r="E810">
        <v>29865.35</v>
      </c>
      <c r="F810">
        <v>28880.6</v>
      </c>
      <c r="G810">
        <v>29686.95</v>
      </c>
      <c r="H810">
        <v>0</v>
      </c>
      <c r="I810" s="8">
        <f t="shared" si="49"/>
        <v>4.1287484851726841E-2</v>
      </c>
      <c r="J810" s="8">
        <f t="shared" si="50"/>
        <v>4.045791370853688E-2</v>
      </c>
      <c r="K810" s="8">
        <f t="shared" si="47"/>
        <v>-4.6827139802346429E-2</v>
      </c>
    </row>
    <row r="811" spans="1:11" x14ac:dyDescent="0.25">
      <c r="A811" t="str">
        <f t="shared" si="48"/>
        <v>42020</v>
      </c>
      <c r="B811" s="1">
        <v>43937</v>
      </c>
      <c r="C811" t="s">
        <v>516</v>
      </c>
      <c r="D811">
        <v>29563.45</v>
      </c>
      <c r="E811">
        <v>30023</v>
      </c>
      <c r="F811">
        <v>29233.1</v>
      </c>
      <c r="G811">
        <v>29512.3</v>
      </c>
      <c r="H811">
        <v>0</v>
      </c>
      <c r="I811" s="8">
        <f t="shared" si="49"/>
        <v>-5.8830563597810359E-3</v>
      </c>
      <c r="J811" s="8">
        <f t="shared" si="50"/>
        <v>-5.9004297082834566E-3</v>
      </c>
      <c r="K811" s="8">
        <f t="shared" si="47"/>
        <v>-5.5216393327165436E-2</v>
      </c>
    </row>
    <row r="812" spans="1:11" x14ac:dyDescent="0.25">
      <c r="A812" t="str">
        <f t="shared" si="48"/>
        <v>42020</v>
      </c>
      <c r="B812" s="1">
        <v>43938</v>
      </c>
      <c r="C812" t="s">
        <v>517</v>
      </c>
      <c r="D812">
        <v>30202.75</v>
      </c>
      <c r="E812">
        <v>30202.75</v>
      </c>
      <c r="F812">
        <v>29092.35</v>
      </c>
      <c r="G812">
        <v>29202.35</v>
      </c>
      <c r="H812">
        <v>0</v>
      </c>
      <c r="I812" s="8">
        <f t="shared" si="49"/>
        <v>-1.0502400693947922E-2</v>
      </c>
      <c r="J812" s="8">
        <f t="shared" si="50"/>
        <v>-1.0557940111179262E-2</v>
      </c>
      <c r="K812" s="8">
        <f t="shared" si="47"/>
        <v>-6.8154839780204424E-2</v>
      </c>
    </row>
    <row r="813" spans="1:11" x14ac:dyDescent="0.25">
      <c r="A813" t="str">
        <f t="shared" si="48"/>
        <v>42020</v>
      </c>
      <c r="B813" s="1">
        <v>43941</v>
      </c>
      <c r="C813" t="s">
        <v>518</v>
      </c>
      <c r="D813">
        <v>29490.25</v>
      </c>
      <c r="E813">
        <v>29490.25</v>
      </c>
      <c r="F813">
        <v>28542.3</v>
      </c>
      <c r="G813">
        <v>28598.1</v>
      </c>
      <c r="H813">
        <v>0</v>
      </c>
      <c r="I813" s="8">
        <f t="shared" si="49"/>
        <v>-2.069182788371482E-2</v>
      </c>
      <c r="J813" s="8">
        <f t="shared" si="50"/>
        <v>-2.0908903435427253E-2</v>
      </c>
      <c r="K813" s="8">
        <f t="shared" si="47"/>
        <v>-8.8403628139598345E-2</v>
      </c>
    </row>
    <row r="814" spans="1:11" x14ac:dyDescent="0.25">
      <c r="A814" t="str">
        <f t="shared" si="48"/>
        <v>42020</v>
      </c>
      <c r="B814" s="1">
        <v>43942</v>
      </c>
      <c r="C814" t="s">
        <v>519</v>
      </c>
      <c r="D814">
        <v>28134.3</v>
      </c>
      <c r="E814">
        <v>28791.200000000001</v>
      </c>
      <c r="F814">
        <v>28063.3</v>
      </c>
      <c r="G814">
        <v>28480.6</v>
      </c>
      <c r="H814">
        <v>0</v>
      </c>
      <c r="I814" s="8">
        <f t="shared" si="49"/>
        <v>-4.1086645616317252E-3</v>
      </c>
      <c r="J814" s="8">
        <f t="shared" si="50"/>
        <v>-4.1171283149757662E-3</v>
      </c>
      <c r="K814" s="8">
        <f t="shared" si="47"/>
        <v>-9.3746569403454161E-2</v>
      </c>
    </row>
    <row r="815" spans="1:11" x14ac:dyDescent="0.25">
      <c r="A815" t="str">
        <f t="shared" si="48"/>
        <v>42020</v>
      </c>
      <c r="B815" s="1">
        <v>43943</v>
      </c>
      <c r="C815" t="s">
        <v>520</v>
      </c>
      <c r="D815">
        <v>28453.35</v>
      </c>
      <c r="E815">
        <v>29264.25</v>
      </c>
      <c r="F815">
        <v>28197.1</v>
      </c>
      <c r="G815">
        <v>29185.15</v>
      </c>
      <c r="H815">
        <v>0</v>
      </c>
      <c r="I815" s="8">
        <f t="shared" si="49"/>
        <v>2.4737891757898423E-2</v>
      </c>
      <c r="J815" s="8">
        <f t="shared" si="50"/>
        <v>2.4436864531476584E-2</v>
      </c>
      <c r="K815" s="8">
        <f t="shared" si="47"/>
        <v>-6.2955215686148591E-2</v>
      </c>
    </row>
    <row r="816" spans="1:11" x14ac:dyDescent="0.25">
      <c r="A816" t="str">
        <f t="shared" si="48"/>
        <v>42020</v>
      </c>
      <c r="B816" s="1">
        <v>43944</v>
      </c>
      <c r="C816" t="s">
        <v>521</v>
      </c>
      <c r="D816">
        <v>29278.45</v>
      </c>
      <c r="E816">
        <v>29698.35</v>
      </c>
      <c r="F816">
        <v>28689.599999999999</v>
      </c>
      <c r="G816">
        <v>28786.25</v>
      </c>
      <c r="H816">
        <v>0</v>
      </c>
      <c r="I816" s="8">
        <f t="shared" si="49"/>
        <v>-1.3667909878825379E-2</v>
      </c>
      <c r="J816" s="8">
        <f t="shared" si="50"/>
        <v>-1.3762175688978164E-2</v>
      </c>
      <c r="K816" s="8">
        <f t="shared" si="47"/>
        <v>-7.5976265642479168E-2</v>
      </c>
    </row>
    <row r="817" spans="1:11" x14ac:dyDescent="0.25">
      <c r="A817" t="str">
        <f t="shared" si="48"/>
        <v>42020</v>
      </c>
      <c r="B817" s="1">
        <v>43945</v>
      </c>
      <c r="C817" t="s">
        <v>522</v>
      </c>
      <c r="D817">
        <v>28736.45</v>
      </c>
      <c r="E817">
        <v>29008.9</v>
      </c>
      <c r="F817">
        <v>28591.200000000001</v>
      </c>
      <c r="G817">
        <v>28636.7</v>
      </c>
      <c r="H817">
        <v>0</v>
      </c>
      <c r="I817" s="8">
        <f t="shared" si="49"/>
        <v>-5.1951886751486764E-3</v>
      </c>
      <c r="J817" s="8">
        <f t="shared" si="50"/>
        <v>-5.208730590064335E-3</v>
      </c>
      <c r="K817" s="8">
        <f t="shared" si="47"/>
        <v>-8.2947714950891704E-2</v>
      </c>
    </row>
    <row r="818" spans="1:11" x14ac:dyDescent="0.25">
      <c r="A818" t="str">
        <f t="shared" si="48"/>
        <v>42020</v>
      </c>
      <c r="B818" s="1">
        <v>43948</v>
      </c>
      <c r="C818" t="s">
        <v>523</v>
      </c>
      <c r="D818">
        <v>28805.200000000001</v>
      </c>
      <c r="E818">
        <v>29101.65</v>
      </c>
      <c r="F818">
        <v>28771.599999999999</v>
      </c>
      <c r="G818">
        <v>29052.55</v>
      </c>
      <c r="H818">
        <v>0</v>
      </c>
      <c r="I818" s="8">
        <f t="shared" si="49"/>
        <v>1.4521575460859637E-2</v>
      </c>
      <c r="J818" s="8">
        <f t="shared" si="50"/>
        <v>1.4417147145673511E-2</v>
      </c>
      <c r="K818" s="8">
        <f t="shared" si="47"/>
        <v>-7.6961324738124781E-2</v>
      </c>
    </row>
    <row r="819" spans="1:11" x14ac:dyDescent="0.25">
      <c r="A819" t="str">
        <f t="shared" si="48"/>
        <v>42020</v>
      </c>
      <c r="B819" s="1">
        <v>43949</v>
      </c>
      <c r="C819" t="s">
        <v>524</v>
      </c>
      <c r="D819">
        <v>29208.9</v>
      </c>
      <c r="E819">
        <v>29233.4</v>
      </c>
      <c r="F819">
        <v>28636</v>
      </c>
      <c r="G819">
        <v>28778.15</v>
      </c>
      <c r="H819">
        <v>0</v>
      </c>
      <c r="I819" s="8">
        <f t="shared" si="49"/>
        <v>-9.4449540573889879E-3</v>
      </c>
      <c r="J819" s="8">
        <f t="shared" si="50"/>
        <v>-9.4898404930932965E-3</v>
      </c>
      <c r="K819" s="8">
        <f t="shared" si="47"/>
        <v>-7.6133959556592856E-2</v>
      </c>
    </row>
    <row r="820" spans="1:11" x14ac:dyDescent="0.25">
      <c r="A820" t="str">
        <f t="shared" si="48"/>
        <v>42020</v>
      </c>
      <c r="B820" s="1">
        <v>43950</v>
      </c>
      <c r="C820" t="s">
        <v>525</v>
      </c>
      <c r="D820">
        <v>28887.5</v>
      </c>
      <c r="E820">
        <v>28932.35</v>
      </c>
      <c r="F820">
        <v>28608.25</v>
      </c>
      <c r="G820">
        <v>28665</v>
      </c>
      <c r="H820">
        <v>0</v>
      </c>
      <c r="I820" s="8">
        <f t="shared" si="49"/>
        <v>-3.9318024264937135E-3</v>
      </c>
      <c r="J820" s="8">
        <f t="shared" si="50"/>
        <v>-3.9395522822585289E-3</v>
      </c>
      <c r="K820" s="8">
        <f t="shared" si="47"/>
        <v>-7.6128732831513113E-2</v>
      </c>
    </row>
    <row r="821" spans="1:11" x14ac:dyDescent="0.25">
      <c r="A821" t="str">
        <f t="shared" si="48"/>
        <v>42020</v>
      </c>
      <c r="B821" s="1">
        <v>43951</v>
      </c>
      <c r="C821" t="s">
        <v>526</v>
      </c>
      <c r="D821">
        <v>29078.45</v>
      </c>
      <c r="E821">
        <v>29078.45</v>
      </c>
      <c r="F821">
        <v>28460.05</v>
      </c>
      <c r="G821">
        <v>28669.3</v>
      </c>
      <c r="H821">
        <v>0</v>
      </c>
      <c r="I821" s="8">
        <f t="shared" si="49"/>
        <v>1.5000872143722255E-4</v>
      </c>
      <c r="J821" s="8">
        <f t="shared" si="50"/>
        <v>1.4999747125403861E-4</v>
      </c>
      <c r="K821" s="8">
        <f t="shared" si="47"/>
        <v>-8.7727616244381745E-2</v>
      </c>
    </row>
    <row r="822" spans="1:11" x14ac:dyDescent="0.25">
      <c r="A822" t="str">
        <f t="shared" si="48"/>
        <v>52020</v>
      </c>
      <c r="B822" s="1">
        <v>43955</v>
      </c>
      <c r="C822" s="10">
        <v>43926.645833333336</v>
      </c>
      <c r="D822">
        <v>28197.45</v>
      </c>
      <c r="E822">
        <v>28235.45</v>
      </c>
      <c r="F822">
        <v>27544.75</v>
      </c>
      <c r="G822">
        <v>27599</v>
      </c>
      <c r="H822">
        <v>0</v>
      </c>
      <c r="I822" s="8">
        <f t="shared" si="49"/>
        <v>-3.73326171200552E-2</v>
      </c>
      <c r="J822" s="8">
        <f t="shared" si="50"/>
        <v>-3.804732364894433E-2</v>
      </c>
      <c r="K822" s="8">
        <f t="shared" si="47"/>
        <v>-0.10788083312726571</v>
      </c>
    </row>
    <row r="823" spans="1:11" x14ac:dyDescent="0.25">
      <c r="A823" t="str">
        <f t="shared" si="48"/>
        <v>52020</v>
      </c>
      <c r="B823" s="1">
        <v>43956</v>
      </c>
      <c r="C823" s="10">
        <v>43956.645833333336</v>
      </c>
      <c r="D823">
        <v>27815.7</v>
      </c>
      <c r="E823">
        <v>28011.75</v>
      </c>
      <c r="F823">
        <v>27065.85</v>
      </c>
      <c r="G823">
        <v>27138.6</v>
      </c>
      <c r="H823">
        <v>0</v>
      </c>
      <c r="I823" s="8">
        <f t="shared" si="49"/>
        <v>-1.6681763832022911E-2</v>
      </c>
      <c r="J823" s="8">
        <f t="shared" si="50"/>
        <v>-1.6822471483755329E-2</v>
      </c>
      <c r="K823" s="8">
        <f t="shared" si="47"/>
        <v>-0.11816944107774741</v>
      </c>
    </row>
    <row r="824" spans="1:11" x14ac:dyDescent="0.25">
      <c r="A824" t="str">
        <f t="shared" si="48"/>
        <v>52020</v>
      </c>
      <c r="B824" s="1">
        <v>43957</v>
      </c>
      <c r="C824" s="10">
        <v>43987.645833333336</v>
      </c>
      <c r="D824">
        <v>27061.5</v>
      </c>
      <c r="E824">
        <v>27062.1</v>
      </c>
      <c r="F824">
        <v>26373.95</v>
      </c>
      <c r="G824">
        <v>26630.2</v>
      </c>
      <c r="H824">
        <v>0</v>
      </c>
      <c r="I824" s="8">
        <f t="shared" si="49"/>
        <v>-1.8733464511802245E-2</v>
      </c>
      <c r="J824" s="8">
        <f t="shared" si="50"/>
        <v>-1.8911158574562614E-2</v>
      </c>
      <c r="K824" s="8">
        <f t="shared" si="47"/>
        <v>-0.1179000680699116</v>
      </c>
    </row>
    <row r="825" spans="1:11" x14ac:dyDescent="0.25">
      <c r="A825" t="str">
        <f t="shared" si="48"/>
        <v>52020</v>
      </c>
      <c r="B825" s="1">
        <v>43958</v>
      </c>
      <c r="C825" s="10">
        <v>44017.645833333336</v>
      </c>
      <c r="D825">
        <v>26402.25</v>
      </c>
      <c r="E825">
        <v>26445.1</v>
      </c>
      <c r="F825">
        <v>25984</v>
      </c>
      <c r="G825">
        <v>26254.55</v>
      </c>
      <c r="H825">
        <v>0</v>
      </c>
      <c r="I825" s="8">
        <f t="shared" si="49"/>
        <v>-1.4106165180884922E-2</v>
      </c>
      <c r="J825" s="8">
        <f t="shared" si="50"/>
        <v>-1.4206602773858235E-2</v>
      </c>
      <c r="K825" s="8">
        <f t="shared" si="47"/>
        <v>-0.13736516479219851</v>
      </c>
    </row>
    <row r="826" spans="1:11" x14ac:dyDescent="0.25">
      <c r="A826" t="str">
        <f t="shared" si="48"/>
        <v>52020</v>
      </c>
      <c r="B826" s="1">
        <v>43959</v>
      </c>
      <c r="C826" s="10">
        <v>44048.645833333336</v>
      </c>
      <c r="D826">
        <v>26809.4</v>
      </c>
      <c r="E826">
        <v>26809.4</v>
      </c>
      <c r="F826">
        <v>26598.05</v>
      </c>
      <c r="G826">
        <v>26759.8</v>
      </c>
      <c r="H826">
        <v>0</v>
      </c>
      <c r="I826" s="8">
        <f t="shared" si="49"/>
        <v>1.9244283371834703E-2</v>
      </c>
      <c r="J826" s="8">
        <f t="shared" si="50"/>
        <v>1.9061454040064416E-2</v>
      </c>
      <c r="K826" s="8">
        <f t="shared" si="47"/>
        <v>-0.12959276606817594</v>
      </c>
    </row>
    <row r="827" spans="1:11" x14ac:dyDescent="0.25">
      <c r="A827" t="str">
        <f t="shared" si="48"/>
        <v>52020</v>
      </c>
      <c r="B827" s="1">
        <v>43962</v>
      </c>
      <c r="C827" s="10">
        <v>44140.645833333336</v>
      </c>
      <c r="D827">
        <v>26895.65</v>
      </c>
      <c r="E827">
        <v>27149.05</v>
      </c>
      <c r="F827">
        <v>26608.2</v>
      </c>
      <c r="G827">
        <v>26667.8</v>
      </c>
      <c r="H827">
        <v>0</v>
      </c>
      <c r="I827" s="8">
        <f t="shared" si="49"/>
        <v>-3.4379928101107016E-3</v>
      </c>
      <c r="J827" s="8">
        <f t="shared" si="50"/>
        <v>-3.4439162878713535E-3</v>
      </c>
      <c r="K827" s="8">
        <f t="shared" si="47"/>
        <v>-0.13792412330609294</v>
      </c>
    </row>
    <row r="828" spans="1:11" x14ac:dyDescent="0.25">
      <c r="A828" t="str">
        <f t="shared" si="48"/>
        <v>52020</v>
      </c>
      <c r="B828" s="1">
        <v>43963</v>
      </c>
      <c r="C828" s="10">
        <v>44170.645833333336</v>
      </c>
      <c r="D828">
        <v>26571.05</v>
      </c>
      <c r="E828">
        <v>26913.65</v>
      </c>
      <c r="F828">
        <v>26321.9</v>
      </c>
      <c r="G828">
        <v>26857.15</v>
      </c>
      <c r="H828">
        <v>0</v>
      </c>
      <c r="I828" s="8">
        <f t="shared" si="49"/>
        <v>7.100323236262529E-3</v>
      </c>
      <c r="J828" s="8">
        <f t="shared" si="50"/>
        <v>7.0752346293749034E-3</v>
      </c>
      <c r="K828" s="8">
        <f t="shared" si="47"/>
        <v>-0.12621597704365473</v>
      </c>
    </row>
    <row r="829" spans="1:11" x14ac:dyDescent="0.25">
      <c r="A829" t="str">
        <f t="shared" si="48"/>
        <v>52020</v>
      </c>
      <c r="B829" s="1">
        <v>43964</v>
      </c>
      <c r="C829" t="s">
        <v>527</v>
      </c>
      <c r="D829">
        <v>27761.9</v>
      </c>
      <c r="E829">
        <v>27765.9</v>
      </c>
      <c r="F829">
        <v>26680.75</v>
      </c>
      <c r="G829">
        <v>26746.5</v>
      </c>
      <c r="H829">
        <v>0</v>
      </c>
      <c r="I829" s="8">
        <f t="shared" si="49"/>
        <v>-4.119945712780404E-3</v>
      </c>
      <c r="J829" s="8">
        <f t="shared" si="50"/>
        <v>-4.1284560719733743E-3</v>
      </c>
      <c r="K829" s="8">
        <f t="shared" si="47"/>
        <v>-0.13187490871322161</v>
      </c>
    </row>
    <row r="830" spans="1:11" x14ac:dyDescent="0.25">
      <c r="A830" t="str">
        <f t="shared" si="48"/>
        <v>52020</v>
      </c>
      <c r="B830" s="1">
        <v>43965</v>
      </c>
      <c r="C830" t="s">
        <v>528</v>
      </c>
      <c r="D830">
        <v>26618.1</v>
      </c>
      <c r="E830">
        <v>27090.799999999999</v>
      </c>
      <c r="F830">
        <v>26587</v>
      </c>
      <c r="G830">
        <v>26933.65</v>
      </c>
      <c r="H830">
        <v>0</v>
      </c>
      <c r="I830" s="8">
        <f t="shared" si="49"/>
        <v>6.9971772007553223E-3</v>
      </c>
      <c r="J830" s="8">
        <f t="shared" si="50"/>
        <v>6.9728105554906963E-3</v>
      </c>
      <c r="K830" s="8">
        <f t="shared" si="47"/>
        <v>-0.11775245713424687</v>
      </c>
    </row>
    <row r="831" spans="1:11" x14ac:dyDescent="0.25">
      <c r="A831" t="str">
        <f t="shared" si="48"/>
        <v>52020</v>
      </c>
      <c r="B831" s="1">
        <v>43966</v>
      </c>
      <c r="C831" t="s">
        <v>529</v>
      </c>
      <c r="D831">
        <v>26969.4</v>
      </c>
      <c r="E831">
        <v>27028.95</v>
      </c>
      <c r="F831">
        <v>26795.85</v>
      </c>
      <c r="G831">
        <v>26958.65</v>
      </c>
      <c r="H831">
        <v>0</v>
      </c>
      <c r="I831" s="8">
        <f t="shared" si="49"/>
        <v>9.2820690845840659E-4</v>
      </c>
      <c r="J831" s="8">
        <f t="shared" si="50"/>
        <v>9.2777639081165772E-4</v>
      </c>
      <c r="K831" s="8">
        <f t="shared" si="47"/>
        <v>-0.11362653729875993</v>
      </c>
    </row>
    <row r="832" spans="1:11" x14ac:dyDescent="0.25">
      <c r="A832" t="str">
        <f t="shared" si="48"/>
        <v>52020</v>
      </c>
      <c r="B832" s="1">
        <v>43969</v>
      </c>
      <c r="C832" t="s">
        <v>530</v>
      </c>
      <c r="D832">
        <v>27057.5</v>
      </c>
      <c r="E832">
        <v>27092.5</v>
      </c>
      <c r="F832">
        <v>26653.95</v>
      </c>
      <c r="G832">
        <v>26694.65</v>
      </c>
      <c r="H832">
        <v>0</v>
      </c>
      <c r="I832" s="8">
        <f t="shared" si="49"/>
        <v>-9.7927752316974148E-3</v>
      </c>
      <c r="J832" s="8">
        <f t="shared" si="50"/>
        <v>-9.8410398096661442E-3</v>
      </c>
      <c r="K832" s="8">
        <f t="shared" ref="K832:K895" si="51">+G832/G771-1</f>
        <v>-0.13850014119165754</v>
      </c>
    </row>
    <row r="833" spans="1:11" x14ac:dyDescent="0.25">
      <c r="A833" t="str">
        <f t="shared" si="48"/>
        <v>52020</v>
      </c>
      <c r="B833" s="1">
        <v>43970</v>
      </c>
      <c r="C833" t="s">
        <v>531</v>
      </c>
      <c r="D833">
        <v>26895.200000000001</v>
      </c>
      <c r="E833">
        <v>26987.65</v>
      </c>
      <c r="F833">
        <v>26731.45</v>
      </c>
      <c r="G833">
        <v>26895.75</v>
      </c>
      <c r="H833">
        <v>0</v>
      </c>
      <c r="I833" s="8">
        <f t="shared" si="49"/>
        <v>7.5333446964092055E-3</v>
      </c>
      <c r="J833" s="8">
        <f t="shared" si="50"/>
        <v>7.5051107638875562E-3</v>
      </c>
      <c r="K833" s="8">
        <f t="shared" si="51"/>
        <v>-0.13349366770513504</v>
      </c>
    </row>
    <row r="834" spans="1:11" x14ac:dyDescent="0.25">
      <c r="A834" t="str">
        <f t="shared" si="48"/>
        <v>52020</v>
      </c>
      <c r="B834" s="1">
        <v>43971</v>
      </c>
      <c r="C834" t="s">
        <v>532</v>
      </c>
      <c r="D834">
        <v>26995.1</v>
      </c>
      <c r="E834">
        <v>27428.25</v>
      </c>
      <c r="F834">
        <v>26935.65</v>
      </c>
      <c r="G834">
        <v>27290.35</v>
      </c>
      <c r="H834">
        <v>0</v>
      </c>
      <c r="I834" s="8">
        <f t="shared" si="49"/>
        <v>1.4671462963479209E-2</v>
      </c>
      <c r="J834" s="8">
        <f t="shared" si="50"/>
        <v>1.456487828810692E-2</v>
      </c>
      <c r="K834" s="8">
        <f t="shared" si="51"/>
        <v>-0.10951895388581179</v>
      </c>
    </row>
    <row r="835" spans="1:11" x14ac:dyDescent="0.25">
      <c r="A835" t="str">
        <f t="shared" ref="A835:A898" si="52">+MONTH(B835)&amp;YEAR(B835)</f>
        <v>52020</v>
      </c>
      <c r="B835" s="1">
        <v>43972</v>
      </c>
      <c r="C835" t="s">
        <v>533</v>
      </c>
      <c r="D835">
        <v>27366.5</v>
      </c>
      <c r="E835">
        <v>27967</v>
      </c>
      <c r="F835">
        <v>27207.45</v>
      </c>
      <c r="G835">
        <v>27887.1</v>
      </c>
      <c r="H835">
        <v>0</v>
      </c>
      <c r="I835" s="8">
        <f t="shared" si="49"/>
        <v>2.186670379822897E-2</v>
      </c>
      <c r="J835" s="8">
        <f t="shared" si="50"/>
        <v>2.1631056463287387E-2</v>
      </c>
      <c r="K835" s="8">
        <f t="shared" si="51"/>
        <v>-8.5100414847913752E-2</v>
      </c>
    </row>
    <row r="836" spans="1:11" x14ac:dyDescent="0.25">
      <c r="A836" t="str">
        <f t="shared" si="52"/>
        <v>52020</v>
      </c>
      <c r="B836" s="1">
        <v>43973</v>
      </c>
      <c r="C836" t="s">
        <v>534</v>
      </c>
      <c r="D836">
        <v>27843.25</v>
      </c>
      <c r="E836">
        <v>28051.25</v>
      </c>
      <c r="F836">
        <v>27658.1</v>
      </c>
      <c r="G836">
        <v>27786.1</v>
      </c>
      <c r="H836">
        <v>0</v>
      </c>
      <c r="I836" s="8">
        <f t="shared" ref="I836:I899" si="53">+G836/G835-1</f>
        <v>-3.6217462554370972E-3</v>
      </c>
      <c r="J836" s="8">
        <f t="shared" ref="J836:J899" si="54">+LN(1+I836)</f>
        <v>-3.6283206570830507E-3</v>
      </c>
      <c r="K836" s="8">
        <f t="shared" si="51"/>
        <v>-8.4797401895878255E-2</v>
      </c>
    </row>
    <row r="837" spans="1:11" x14ac:dyDescent="0.25">
      <c r="A837" t="str">
        <f t="shared" si="52"/>
        <v>52020</v>
      </c>
      <c r="B837" s="1">
        <v>43977</v>
      </c>
      <c r="C837" t="s">
        <v>535</v>
      </c>
      <c r="D837">
        <v>28071.7</v>
      </c>
      <c r="E837">
        <v>28403.75</v>
      </c>
      <c r="F837">
        <v>27957.599999999999</v>
      </c>
      <c r="G837">
        <v>28122.3</v>
      </c>
      <c r="H837">
        <v>0</v>
      </c>
      <c r="I837" s="8">
        <f t="shared" si="53"/>
        <v>1.2099574967339821E-2</v>
      </c>
      <c r="J837" s="8">
        <f t="shared" si="54"/>
        <v>1.2026960261380221E-2</v>
      </c>
      <c r="K837" s="8">
        <f t="shared" si="51"/>
        <v>-8.7974704070050258E-2</v>
      </c>
    </row>
    <row r="838" spans="1:11" x14ac:dyDescent="0.25">
      <c r="A838" t="str">
        <f t="shared" si="52"/>
        <v>52020</v>
      </c>
      <c r="B838" s="1">
        <v>43978</v>
      </c>
      <c r="C838" t="s">
        <v>536</v>
      </c>
      <c r="D838">
        <v>28226.25</v>
      </c>
      <c r="E838">
        <v>28296.1</v>
      </c>
      <c r="F838">
        <v>27742.25</v>
      </c>
      <c r="G838">
        <v>28222.400000000001</v>
      </c>
      <c r="H838">
        <v>0</v>
      </c>
      <c r="I838" s="8">
        <f t="shared" si="53"/>
        <v>3.5594528185818319E-3</v>
      </c>
      <c r="J838" s="8">
        <f t="shared" si="54"/>
        <v>3.5531329587865346E-3</v>
      </c>
      <c r="K838" s="8">
        <f t="shared" si="51"/>
        <v>-7.8790648333265323E-2</v>
      </c>
    </row>
    <row r="839" spans="1:11" x14ac:dyDescent="0.25">
      <c r="A839" t="str">
        <f t="shared" si="52"/>
        <v>52020</v>
      </c>
      <c r="B839" s="1">
        <v>43979</v>
      </c>
      <c r="C839" t="s">
        <v>537</v>
      </c>
      <c r="D839">
        <v>28223.1</v>
      </c>
      <c r="E839">
        <v>28524.25</v>
      </c>
      <c r="F839">
        <v>28096.75</v>
      </c>
      <c r="G839">
        <v>28451.599999999999</v>
      </c>
      <c r="H839">
        <v>0</v>
      </c>
      <c r="I839" s="8">
        <f t="shared" si="53"/>
        <v>8.1212086852995302E-3</v>
      </c>
      <c r="J839" s="8">
        <f t="shared" si="54"/>
        <v>8.0884091317272311E-3</v>
      </c>
      <c r="K839" s="8">
        <f t="shared" si="51"/>
        <v>-5.6256551101911967E-2</v>
      </c>
    </row>
    <row r="840" spans="1:11" x14ac:dyDescent="0.25">
      <c r="A840" t="str">
        <f t="shared" si="52"/>
        <v>52020</v>
      </c>
      <c r="B840" s="1">
        <v>43980</v>
      </c>
      <c r="C840" t="s">
        <v>538</v>
      </c>
      <c r="D840">
        <v>28374.75</v>
      </c>
      <c r="E840">
        <v>29384.9</v>
      </c>
      <c r="F840">
        <v>28297.9</v>
      </c>
      <c r="G840">
        <v>29296.95</v>
      </c>
      <c r="H840">
        <v>0</v>
      </c>
      <c r="I840" s="8">
        <f t="shared" si="53"/>
        <v>2.9711861547329521E-2</v>
      </c>
      <c r="J840" s="8">
        <f t="shared" si="54"/>
        <v>2.9279017034759571E-2</v>
      </c>
      <c r="K840" s="8">
        <f t="shared" si="51"/>
        <v>-2.9040671854493438E-2</v>
      </c>
    </row>
    <row r="841" spans="1:11" x14ac:dyDescent="0.25">
      <c r="A841" t="str">
        <f t="shared" si="52"/>
        <v>62020</v>
      </c>
      <c r="B841" s="1">
        <v>43983</v>
      </c>
      <c r="C841" s="10">
        <v>43836.645833333336</v>
      </c>
      <c r="D841">
        <v>29579.45</v>
      </c>
      <c r="E841">
        <v>30023.35</v>
      </c>
      <c r="F841">
        <v>29483.5</v>
      </c>
      <c r="G841">
        <v>29571.3</v>
      </c>
      <c r="H841">
        <v>0</v>
      </c>
      <c r="I841" s="8">
        <f t="shared" si="53"/>
        <v>9.3644560269925403E-3</v>
      </c>
      <c r="J841" s="8">
        <f t="shared" si="54"/>
        <v>9.3208813329544189E-3</v>
      </c>
      <c r="K841" s="8">
        <f t="shared" si="51"/>
        <v>-1.3156775029992795E-2</v>
      </c>
    </row>
    <row r="842" spans="1:11" x14ac:dyDescent="0.25">
      <c r="A842" t="str">
        <f t="shared" si="52"/>
        <v>62020</v>
      </c>
      <c r="B842" s="1">
        <v>43984</v>
      </c>
      <c r="C842" s="10">
        <v>43867.645833333336</v>
      </c>
      <c r="D842">
        <v>29751.55</v>
      </c>
      <c r="E842">
        <v>29752.05</v>
      </c>
      <c r="F842">
        <v>29326.2</v>
      </c>
      <c r="G842">
        <v>29359.85</v>
      </c>
      <c r="H842">
        <v>0</v>
      </c>
      <c r="I842" s="8">
        <f t="shared" si="53"/>
        <v>-7.1505141809795614E-3</v>
      </c>
      <c r="J842" s="8">
        <f t="shared" si="54"/>
        <v>-7.176201633078744E-3</v>
      </c>
      <c r="K842" s="8">
        <f t="shared" si="51"/>
        <v>-2.0724654116579755E-2</v>
      </c>
    </row>
    <row r="843" spans="1:11" x14ac:dyDescent="0.25">
      <c r="A843" t="str">
        <f t="shared" si="52"/>
        <v>62020</v>
      </c>
      <c r="B843" s="1">
        <v>43985</v>
      </c>
      <c r="C843" s="10">
        <v>43896.645833333336</v>
      </c>
      <c r="D843">
        <v>29704.1</v>
      </c>
      <c r="E843">
        <v>29887.8</v>
      </c>
      <c r="F843">
        <v>29431.5</v>
      </c>
      <c r="G843">
        <v>29527</v>
      </c>
      <c r="H843">
        <v>0</v>
      </c>
      <c r="I843" s="8">
        <f t="shared" si="53"/>
        <v>5.6931489772598098E-3</v>
      </c>
      <c r="J843" s="8">
        <f t="shared" si="54"/>
        <v>5.6770042518558481E-3</v>
      </c>
      <c r="K843" s="8">
        <f t="shared" si="51"/>
        <v>7.3950239250775152E-3</v>
      </c>
    </row>
    <row r="844" spans="1:11" x14ac:dyDescent="0.25">
      <c r="A844" t="str">
        <f t="shared" si="52"/>
        <v>62020</v>
      </c>
      <c r="B844" s="1">
        <v>43986</v>
      </c>
      <c r="C844" s="10">
        <v>43927.645833333336</v>
      </c>
      <c r="D844">
        <v>29573.25</v>
      </c>
      <c r="E844">
        <v>29725.15</v>
      </c>
      <c r="F844">
        <v>29311.3</v>
      </c>
      <c r="G844">
        <v>29621.55</v>
      </c>
      <c r="H844">
        <v>0</v>
      </c>
      <c r="I844" s="8">
        <f t="shared" si="53"/>
        <v>3.2021539607816063E-3</v>
      </c>
      <c r="J844" s="8">
        <f t="shared" si="54"/>
        <v>3.1970379843075103E-3</v>
      </c>
      <c r="K844" s="8">
        <f t="shared" si="51"/>
        <v>1.6563768707809734E-2</v>
      </c>
    </row>
    <row r="845" spans="1:11" x14ac:dyDescent="0.25">
      <c r="A845" t="str">
        <f t="shared" si="52"/>
        <v>62020</v>
      </c>
      <c r="B845" s="1">
        <v>43987</v>
      </c>
      <c r="C845" s="10">
        <v>43957.645833333336</v>
      </c>
      <c r="D845">
        <v>29789.35</v>
      </c>
      <c r="E845">
        <v>29802.75</v>
      </c>
      <c r="F845">
        <v>29428.25</v>
      </c>
      <c r="G845">
        <v>29542</v>
      </c>
      <c r="H845">
        <v>0</v>
      </c>
      <c r="I845" s="8">
        <f t="shared" si="53"/>
        <v>-2.6855448145015615E-3</v>
      </c>
      <c r="J845" s="8">
        <f t="shared" si="54"/>
        <v>-2.6891573591935527E-3</v>
      </c>
      <c r="K845" s="8">
        <f t="shared" si="51"/>
        <v>4.618073739551587E-3</v>
      </c>
    </row>
    <row r="846" spans="1:11" x14ac:dyDescent="0.25">
      <c r="A846" t="str">
        <f t="shared" si="52"/>
        <v>62020</v>
      </c>
      <c r="B846" s="1">
        <v>43990</v>
      </c>
      <c r="C846" s="10">
        <v>44049.645833333336</v>
      </c>
      <c r="D846">
        <v>29891.3</v>
      </c>
      <c r="E846">
        <v>29891.3</v>
      </c>
      <c r="F846">
        <v>29447.55</v>
      </c>
      <c r="G846">
        <v>29502.15</v>
      </c>
      <c r="H846">
        <v>0</v>
      </c>
      <c r="I846" s="8">
        <f t="shared" si="53"/>
        <v>-1.3489269514589397E-3</v>
      </c>
      <c r="J846" s="8">
        <f t="shared" si="54"/>
        <v>-1.3498375724186828E-3</v>
      </c>
      <c r="K846" s="8">
        <f t="shared" si="51"/>
        <v>9.5264981393559101E-3</v>
      </c>
    </row>
    <row r="847" spans="1:11" x14ac:dyDescent="0.25">
      <c r="A847" t="str">
        <f t="shared" si="52"/>
        <v>62020</v>
      </c>
      <c r="B847" s="1">
        <v>43991</v>
      </c>
      <c r="C847" s="10">
        <v>44080.645833333336</v>
      </c>
      <c r="D847">
        <v>29507.25</v>
      </c>
      <c r="E847">
        <v>30117.65</v>
      </c>
      <c r="F847">
        <v>29455.05</v>
      </c>
      <c r="G847">
        <v>29524.9</v>
      </c>
      <c r="H847">
        <v>0</v>
      </c>
      <c r="I847" s="8">
        <f t="shared" si="53"/>
        <v>7.711302396604669E-4</v>
      </c>
      <c r="J847" s="8">
        <f t="shared" si="54"/>
        <v>7.708330714976321E-4</v>
      </c>
      <c r="K847" s="8">
        <f t="shared" si="51"/>
        <v>-1.8963444574249255E-4</v>
      </c>
    </row>
    <row r="848" spans="1:11" x14ac:dyDescent="0.25">
      <c r="A848" t="str">
        <f t="shared" si="52"/>
        <v>62020</v>
      </c>
      <c r="B848" s="1">
        <v>43992</v>
      </c>
      <c r="C848" s="10">
        <v>44110.645833333336</v>
      </c>
      <c r="D848">
        <v>29645.200000000001</v>
      </c>
      <c r="E848">
        <v>29770.75</v>
      </c>
      <c r="F848">
        <v>29379.9</v>
      </c>
      <c r="G848">
        <v>29503.200000000001</v>
      </c>
      <c r="H848">
        <v>0</v>
      </c>
      <c r="I848" s="8">
        <f t="shared" si="53"/>
        <v>-7.3497285342205565E-4</v>
      </c>
      <c r="J848" s="8">
        <f t="shared" si="54"/>
        <v>-7.3524307838314254E-4</v>
      </c>
      <c r="K848" s="8">
        <f t="shared" si="51"/>
        <v>1.9566644780039333E-2</v>
      </c>
    </row>
    <row r="849" spans="1:11" x14ac:dyDescent="0.25">
      <c r="A849" t="str">
        <f t="shared" si="52"/>
        <v>62020</v>
      </c>
      <c r="B849" s="1">
        <v>43993</v>
      </c>
      <c r="C849" s="10">
        <v>44141.645833333336</v>
      </c>
      <c r="D849">
        <v>29552.1</v>
      </c>
      <c r="E849">
        <v>29698.95</v>
      </c>
      <c r="F849">
        <v>29045.65</v>
      </c>
      <c r="G849">
        <v>29092.45</v>
      </c>
      <c r="H849">
        <v>0</v>
      </c>
      <c r="I849" s="8">
        <f t="shared" si="53"/>
        <v>-1.3922218606795211E-2</v>
      </c>
      <c r="J849" s="8">
        <f t="shared" si="54"/>
        <v>-1.402004169649694E-2</v>
      </c>
      <c r="K849" s="8">
        <f t="shared" si="51"/>
        <v>3.6923707518756732E-2</v>
      </c>
    </row>
    <row r="850" spans="1:11" x14ac:dyDescent="0.25">
      <c r="A850" t="str">
        <f t="shared" si="52"/>
        <v>62020</v>
      </c>
      <c r="B850" s="1">
        <v>43994</v>
      </c>
      <c r="C850" s="10">
        <v>44171.645833333336</v>
      </c>
      <c r="D850">
        <v>28356.65</v>
      </c>
      <c r="E850">
        <v>29227.25</v>
      </c>
      <c r="F850">
        <v>28319.1</v>
      </c>
      <c r="G850">
        <v>29145.599999999999</v>
      </c>
      <c r="H850">
        <v>0</v>
      </c>
      <c r="I850" s="8">
        <f t="shared" si="53"/>
        <v>1.8269344795642795E-3</v>
      </c>
      <c r="J850" s="8">
        <f t="shared" si="54"/>
        <v>1.8252676645670568E-3</v>
      </c>
      <c r="K850" s="8">
        <f t="shared" si="51"/>
        <v>3.7994924987757583E-2</v>
      </c>
    </row>
    <row r="851" spans="1:11" x14ac:dyDescent="0.25">
      <c r="A851" t="str">
        <f t="shared" si="52"/>
        <v>62020</v>
      </c>
      <c r="B851" s="1">
        <v>43997</v>
      </c>
      <c r="C851" t="s">
        <v>539</v>
      </c>
      <c r="D851">
        <v>29187.5</v>
      </c>
      <c r="E851">
        <v>29215.85</v>
      </c>
      <c r="F851">
        <v>28591.15</v>
      </c>
      <c r="G851">
        <v>28701.8</v>
      </c>
      <c r="H851">
        <v>0</v>
      </c>
      <c r="I851" s="8">
        <f t="shared" si="53"/>
        <v>-1.5226998243302536E-2</v>
      </c>
      <c r="J851" s="8">
        <f t="shared" si="54"/>
        <v>-1.5344119438240832E-2</v>
      </c>
      <c r="K851" s="8">
        <f t="shared" si="51"/>
        <v>0.10040256105509338</v>
      </c>
    </row>
    <row r="852" spans="1:11" x14ac:dyDescent="0.25">
      <c r="A852" t="str">
        <f t="shared" si="52"/>
        <v>62020</v>
      </c>
      <c r="B852" s="1">
        <v>43998</v>
      </c>
      <c r="C852" t="s">
        <v>540</v>
      </c>
      <c r="D852">
        <v>29081.200000000001</v>
      </c>
      <c r="E852">
        <v>29103.3</v>
      </c>
      <c r="F852">
        <v>28349</v>
      </c>
      <c r="G852">
        <v>28575.35</v>
      </c>
      <c r="H852">
        <v>0</v>
      </c>
      <c r="I852" s="8">
        <f t="shared" si="53"/>
        <v>-4.4056470325902763E-3</v>
      </c>
      <c r="J852" s="8">
        <f t="shared" si="54"/>
        <v>-4.415380494129293E-3</v>
      </c>
      <c r="K852" s="8">
        <f t="shared" si="51"/>
        <v>9.0329288766788807E-2</v>
      </c>
    </row>
    <row r="853" spans="1:11" x14ac:dyDescent="0.25">
      <c r="A853" t="str">
        <f t="shared" si="52"/>
        <v>62020</v>
      </c>
      <c r="B853" s="1">
        <v>43999</v>
      </c>
      <c r="C853" t="s">
        <v>541</v>
      </c>
      <c r="D853">
        <v>28517.9</v>
      </c>
      <c r="E853">
        <v>28673.85</v>
      </c>
      <c r="F853">
        <v>28384.7</v>
      </c>
      <c r="G853">
        <v>28431.75</v>
      </c>
      <c r="H853">
        <v>0</v>
      </c>
      <c r="I853" s="8">
        <f t="shared" si="53"/>
        <v>-5.0253102761645962E-3</v>
      </c>
      <c r="J853" s="8">
        <f t="shared" si="54"/>
        <v>-5.0379796105640496E-3</v>
      </c>
      <c r="K853" s="8">
        <f t="shared" si="51"/>
        <v>0.15072659682325096</v>
      </c>
    </row>
    <row r="854" spans="1:11" x14ac:dyDescent="0.25">
      <c r="A854" t="str">
        <f t="shared" si="52"/>
        <v>62020</v>
      </c>
      <c r="B854" s="1">
        <v>44000</v>
      </c>
      <c r="C854" t="s">
        <v>542</v>
      </c>
      <c r="D854">
        <v>28402.3</v>
      </c>
      <c r="E854">
        <v>28730.2</v>
      </c>
      <c r="F854">
        <v>28393.8</v>
      </c>
      <c r="G854">
        <v>28648.7</v>
      </c>
      <c r="H854">
        <v>0</v>
      </c>
      <c r="I854" s="8">
        <f t="shared" si="53"/>
        <v>7.6305538702330367E-3</v>
      </c>
      <c r="J854" s="8">
        <f t="shared" si="54"/>
        <v>7.6015884488722625E-3</v>
      </c>
      <c r="K854" s="8">
        <f t="shared" si="51"/>
        <v>0.14917257825458252</v>
      </c>
    </row>
    <row r="855" spans="1:11" x14ac:dyDescent="0.25">
      <c r="A855" t="str">
        <f t="shared" si="52"/>
        <v>62020</v>
      </c>
      <c r="B855" s="1">
        <v>44001</v>
      </c>
      <c r="C855" t="s">
        <v>543</v>
      </c>
      <c r="D855">
        <v>28784.1</v>
      </c>
      <c r="E855">
        <v>28816.85</v>
      </c>
      <c r="F855">
        <v>28592.45</v>
      </c>
      <c r="G855">
        <v>28709.45</v>
      </c>
      <c r="H855">
        <v>0</v>
      </c>
      <c r="I855" s="8">
        <f t="shared" si="53"/>
        <v>2.1205150670013939E-3</v>
      </c>
      <c r="J855" s="8">
        <f t="shared" si="54"/>
        <v>2.118269948238593E-3</v>
      </c>
      <c r="K855" s="8">
        <f t="shared" si="51"/>
        <v>0.18700308023070722</v>
      </c>
    </row>
    <row r="856" spans="1:11" x14ac:dyDescent="0.25">
      <c r="A856" t="str">
        <f t="shared" si="52"/>
        <v>62020</v>
      </c>
      <c r="B856" s="1">
        <v>44004</v>
      </c>
      <c r="C856" t="s">
        <v>544</v>
      </c>
      <c r="D856">
        <v>28961.05</v>
      </c>
      <c r="E856">
        <v>29058.2</v>
      </c>
      <c r="F856">
        <v>28718.95</v>
      </c>
      <c r="G856">
        <v>28865.45</v>
      </c>
      <c r="H856">
        <v>0</v>
      </c>
      <c r="I856" s="8">
        <f t="shared" si="53"/>
        <v>5.4337509078021817E-3</v>
      </c>
      <c r="J856" s="8">
        <f t="shared" si="54"/>
        <v>5.4190413446808501E-3</v>
      </c>
      <c r="K856" s="8">
        <f t="shared" si="51"/>
        <v>0.20419469561861847</v>
      </c>
    </row>
    <row r="857" spans="1:11" x14ac:dyDescent="0.25">
      <c r="A857" t="str">
        <f t="shared" si="52"/>
        <v>62020</v>
      </c>
      <c r="B857" s="1">
        <v>44005</v>
      </c>
      <c r="C857" t="s">
        <v>545</v>
      </c>
      <c r="D857">
        <v>28993.35</v>
      </c>
      <c r="E857">
        <v>29452.05</v>
      </c>
      <c r="F857">
        <v>28923.05</v>
      </c>
      <c r="G857">
        <v>29355.200000000001</v>
      </c>
      <c r="H857">
        <v>0</v>
      </c>
      <c r="I857" s="8">
        <f t="shared" si="53"/>
        <v>1.6966650441964326E-2</v>
      </c>
      <c r="J857" s="8">
        <f t="shared" si="54"/>
        <v>1.6824324436286692E-2</v>
      </c>
      <c r="K857" s="8">
        <f t="shared" si="51"/>
        <v>0.13202424840734861</v>
      </c>
    </row>
    <row r="858" spans="1:11" x14ac:dyDescent="0.25">
      <c r="A858" t="str">
        <f t="shared" si="52"/>
        <v>62020</v>
      </c>
      <c r="B858" s="1">
        <v>44006</v>
      </c>
      <c r="C858" t="s">
        <v>546</v>
      </c>
      <c r="D858">
        <v>29568.2</v>
      </c>
      <c r="E858">
        <v>29942.7</v>
      </c>
      <c r="F858">
        <v>29433.599999999999</v>
      </c>
      <c r="G858">
        <v>29487.4</v>
      </c>
      <c r="H858">
        <v>0</v>
      </c>
      <c r="I858" s="8">
        <f t="shared" si="53"/>
        <v>4.5034610563035038E-3</v>
      </c>
      <c r="J858" s="8">
        <f t="shared" si="54"/>
        <v>4.4933508182387069E-3</v>
      </c>
      <c r="K858" s="8">
        <f t="shared" si="51"/>
        <v>0.27188304027984778</v>
      </c>
    </row>
    <row r="859" spans="1:11" x14ac:dyDescent="0.25">
      <c r="A859" t="str">
        <f t="shared" si="52"/>
        <v>62020</v>
      </c>
      <c r="B859" s="1">
        <v>44007</v>
      </c>
      <c r="C859" t="s">
        <v>547</v>
      </c>
      <c r="D859">
        <v>29378.25</v>
      </c>
      <c r="E859">
        <v>30174.6</v>
      </c>
      <c r="F859">
        <v>29338.35</v>
      </c>
      <c r="G859">
        <v>30113.25</v>
      </c>
      <c r="H859">
        <v>0</v>
      </c>
      <c r="I859" s="8">
        <f t="shared" si="53"/>
        <v>2.1224319539871139E-2</v>
      </c>
      <c r="J859" s="8">
        <f t="shared" si="54"/>
        <v>2.1002220770517641E-2</v>
      </c>
      <c r="K859" s="8">
        <f t="shared" si="51"/>
        <v>0.25811040596942592</v>
      </c>
    </row>
    <row r="860" spans="1:11" x14ac:dyDescent="0.25">
      <c r="A860" t="str">
        <f t="shared" si="52"/>
        <v>62020</v>
      </c>
      <c r="B860" s="1">
        <v>44008</v>
      </c>
      <c r="C860" t="s">
        <v>548</v>
      </c>
      <c r="D860">
        <v>30369.75</v>
      </c>
      <c r="E860">
        <v>30505.15</v>
      </c>
      <c r="F860">
        <v>29655.5</v>
      </c>
      <c r="G860">
        <v>29757.05</v>
      </c>
      <c r="H860">
        <v>0</v>
      </c>
      <c r="I860" s="8">
        <f t="shared" si="53"/>
        <v>-1.1828680066083841E-2</v>
      </c>
      <c r="J860" s="8">
        <f t="shared" si="54"/>
        <v>-1.1899195523610222E-2</v>
      </c>
      <c r="K860" s="8">
        <f t="shared" si="51"/>
        <v>0.21597804811271781</v>
      </c>
    </row>
    <row r="861" spans="1:11" x14ac:dyDescent="0.25">
      <c r="A861" t="str">
        <f t="shared" si="52"/>
        <v>62020</v>
      </c>
      <c r="B861" s="1">
        <v>44011</v>
      </c>
      <c r="C861" t="s">
        <v>549</v>
      </c>
      <c r="D861">
        <v>30035.3</v>
      </c>
      <c r="E861">
        <v>30168.35</v>
      </c>
      <c r="F861">
        <v>29820.2</v>
      </c>
      <c r="G861">
        <v>29971.65</v>
      </c>
      <c r="H861">
        <v>0</v>
      </c>
      <c r="I861" s="8">
        <f t="shared" si="53"/>
        <v>7.2117363784380828E-3</v>
      </c>
      <c r="J861" s="8">
        <f t="shared" si="54"/>
        <v>7.185856160688656E-3</v>
      </c>
      <c r="K861" s="8">
        <f t="shared" si="51"/>
        <v>0.16711578225941492</v>
      </c>
    </row>
    <row r="862" spans="1:11" x14ac:dyDescent="0.25">
      <c r="A862" t="str">
        <f t="shared" si="52"/>
        <v>62020</v>
      </c>
      <c r="B862" s="1">
        <v>44012</v>
      </c>
      <c r="C862" t="s">
        <v>550</v>
      </c>
      <c r="D862">
        <v>30170.45</v>
      </c>
      <c r="E862">
        <v>30219.8</v>
      </c>
      <c r="F862">
        <v>30019.75</v>
      </c>
      <c r="G862">
        <v>30063.25</v>
      </c>
      <c r="H862">
        <v>0</v>
      </c>
      <c r="I862" s="8">
        <f t="shared" si="53"/>
        <v>3.0562214626155271E-3</v>
      </c>
      <c r="J862" s="8">
        <f t="shared" si="54"/>
        <v>3.0515607115782148E-3</v>
      </c>
      <c r="K862" s="8">
        <f t="shared" si="51"/>
        <v>0.16793801196171776</v>
      </c>
    </row>
    <row r="863" spans="1:11" x14ac:dyDescent="0.25">
      <c r="A863" t="str">
        <f t="shared" si="52"/>
        <v>72020</v>
      </c>
      <c r="B863" s="1">
        <v>44013</v>
      </c>
      <c r="C863" s="10">
        <v>43837.645833333336</v>
      </c>
      <c r="D863">
        <v>30093.9</v>
      </c>
      <c r="E863">
        <v>30286.1</v>
      </c>
      <c r="F863">
        <v>29983.65</v>
      </c>
      <c r="G863">
        <v>30232.5</v>
      </c>
      <c r="H863">
        <v>0</v>
      </c>
      <c r="I863" s="8">
        <f t="shared" si="53"/>
        <v>5.6297971776171352E-3</v>
      </c>
      <c r="J863" s="8">
        <f t="shared" si="54"/>
        <v>5.6140090975622652E-3</v>
      </c>
      <c r="K863" s="8">
        <f t="shared" si="51"/>
        <v>0.17037111594155219</v>
      </c>
    </row>
    <row r="864" spans="1:11" x14ac:dyDescent="0.25">
      <c r="A864" t="str">
        <f t="shared" si="52"/>
        <v>72020</v>
      </c>
      <c r="B864" s="1">
        <v>44014</v>
      </c>
      <c r="C864" s="10">
        <v>43868.645833333336</v>
      </c>
      <c r="D864">
        <v>30352.5</v>
      </c>
      <c r="E864">
        <v>30399.7</v>
      </c>
      <c r="F864">
        <v>30136.5</v>
      </c>
      <c r="G864">
        <v>30316.2</v>
      </c>
      <c r="H864">
        <v>0</v>
      </c>
      <c r="I864" s="8">
        <f t="shared" si="53"/>
        <v>2.7685437856610484E-3</v>
      </c>
      <c r="J864" s="8">
        <f t="shared" si="54"/>
        <v>2.7647184271363391E-3</v>
      </c>
      <c r="K864" s="8">
        <f t="shared" si="51"/>
        <v>0.10970306597557755</v>
      </c>
    </row>
    <row r="865" spans="1:11" x14ac:dyDescent="0.25">
      <c r="A865" t="str">
        <f t="shared" si="52"/>
        <v>72020</v>
      </c>
      <c r="B865" s="1">
        <v>44015</v>
      </c>
      <c r="C865" s="10">
        <v>43897.645833333336</v>
      </c>
      <c r="D865">
        <v>30501.95</v>
      </c>
      <c r="E865">
        <v>30632.3</v>
      </c>
      <c r="F865">
        <v>30428.35</v>
      </c>
      <c r="G865">
        <v>30529.1</v>
      </c>
      <c r="H865">
        <v>0</v>
      </c>
      <c r="I865" s="8">
        <f t="shared" si="53"/>
        <v>7.0226479571977585E-3</v>
      </c>
      <c r="J865" s="8">
        <f t="shared" si="54"/>
        <v>6.9981040070502369E-3</v>
      </c>
      <c r="K865" s="8">
        <f t="shared" si="51"/>
        <v>0.15821281697194101</v>
      </c>
    </row>
    <row r="866" spans="1:11" x14ac:dyDescent="0.25">
      <c r="A866" t="str">
        <f t="shared" si="52"/>
        <v>72020</v>
      </c>
      <c r="B866" s="1">
        <v>44018</v>
      </c>
      <c r="C866" s="10">
        <v>43989.645833333336</v>
      </c>
      <c r="D866">
        <v>30724.799999999999</v>
      </c>
      <c r="E866">
        <v>30736.5</v>
      </c>
      <c r="F866">
        <v>30566.6</v>
      </c>
      <c r="G866">
        <v>30647.65</v>
      </c>
      <c r="H866">
        <v>0</v>
      </c>
      <c r="I866" s="8">
        <f t="shared" si="53"/>
        <v>3.8831803099339535E-3</v>
      </c>
      <c r="J866" s="8">
        <f t="shared" si="54"/>
        <v>3.8756602268797571E-3</v>
      </c>
      <c r="K866" s="8">
        <f t="shared" si="51"/>
        <v>0.15486994941168719</v>
      </c>
    </row>
    <row r="867" spans="1:11" x14ac:dyDescent="0.25">
      <c r="A867" t="str">
        <f t="shared" si="52"/>
        <v>72020</v>
      </c>
      <c r="B867" s="1">
        <v>44019</v>
      </c>
      <c r="C867" s="10">
        <v>44019.645833333336</v>
      </c>
      <c r="D867">
        <v>30772.85</v>
      </c>
      <c r="E867">
        <v>30797.25</v>
      </c>
      <c r="F867">
        <v>30420.75</v>
      </c>
      <c r="G867">
        <v>30518.2</v>
      </c>
      <c r="H867">
        <v>0</v>
      </c>
      <c r="I867" s="8">
        <f t="shared" si="53"/>
        <v>-4.2238148765076922E-3</v>
      </c>
      <c r="J867" s="8">
        <f t="shared" si="54"/>
        <v>-4.2327603808858302E-3</v>
      </c>
      <c r="K867" s="8">
        <f t="shared" si="51"/>
        <v>6.1676169669476533E-2</v>
      </c>
    </row>
    <row r="868" spans="1:11" x14ac:dyDescent="0.25">
      <c r="A868" t="str">
        <f t="shared" si="52"/>
        <v>72020</v>
      </c>
      <c r="B868" s="1">
        <v>44020</v>
      </c>
      <c r="C868" s="10">
        <v>44050.645833333336</v>
      </c>
      <c r="D868">
        <v>30574.25</v>
      </c>
      <c r="E868">
        <v>30919.1</v>
      </c>
      <c r="F868">
        <v>30402.75</v>
      </c>
      <c r="G868">
        <v>30773.9</v>
      </c>
      <c r="H868">
        <v>0</v>
      </c>
      <c r="I868" s="8">
        <f t="shared" si="53"/>
        <v>8.3786068641007461E-3</v>
      </c>
      <c r="J868" s="8">
        <f t="shared" si="54"/>
        <v>8.3437011761046918E-3</v>
      </c>
      <c r="K868" s="8">
        <f t="shared" si="51"/>
        <v>6.7059871913564217E-2</v>
      </c>
    </row>
    <row r="869" spans="1:11" x14ac:dyDescent="0.25">
      <c r="A869" t="str">
        <f t="shared" si="52"/>
        <v>72020</v>
      </c>
      <c r="B869" s="1">
        <v>44021</v>
      </c>
      <c r="C869" s="10">
        <v>44081.645833333336</v>
      </c>
      <c r="D869">
        <v>30785.7</v>
      </c>
      <c r="E869">
        <v>30891.4</v>
      </c>
      <c r="F869">
        <v>30581.45</v>
      </c>
      <c r="G869">
        <v>30671.75</v>
      </c>
      <c r="H869">
        <v>0</v>
      </c>
      <c r="I869" s="8">
        <f t="shared" si="53"/>
        <v>-3.3193712854074908E-3</v>
      </c>
      <c r="J869" s="8">
        <f t="shared" si="54"/>
        <v>-3.3248926198978634E-3</v>
      </c>
      <c r="K869" s="8">
        <f t="shared" si="51"/>
        <v>5.935613334622758E-2</v>
      </c>
    </row>
    <row r="870" spans="1:11" x14ac:dyDescent="0.25">
      <c r="A870" t="str">
        <f t="shared" si="52"/>
        <v>72020</v>
      </c>
      <c r="B870" s="1">
        <v>44022</v>
      </c>
      <c r="C870" s="10">
        <v>44111.645833333336</v>
      </c>
      <c r="D870">
        <v>30618.2</v>
      </c>
      <c r="E870">
        <v>30860.55</v>
      </c>
      <c r="F870">
        <v>30575.75</v>
      </c>
      <c r="G870">
        <v>30821.15</v>
      </c>
      <c r="H870">
        <v>0</v>
      </c>
      <c r="I870" s="8">
        <f t="shared" si="53"/>
        <v>4.8709317205573033E-3</v>
      </c>
      <c r="J870" s="8">
        <f t="shared" si="54"/>
        <v>4.8591071149959144E-3</v>
      </c>
      <c r="K870" s="8">
        <f t="shared" si="51"/>
        <v>8.107022660589247E-2</v>
      </c>
    </row>
    <row r="871" spans="1:11" x14ac:dyDescent="0.25">
      <c r="A871" t="str">
        <f t="shared" si="52"/>
        <v>72020</v>
      </c>
      <c r="B871" s="1">
        <v>44025</v>
      </c>
      <c r="C871" t="s">
        <v>551</v>
      </c>
      <c r="D871">
        <v>31011.9</v>
      </c>
      <c r="E871">
        <v>31283.15</v>
      </c>
      <c r="F871">
        <v>30977.15</v>
      </c>
      <c r="G871">
        <v>31214.9</v>
      </c>
      <c r="H871">
        <v>0</v>
      </c>
      <c r="I871" s="8">
        <f t="shared" si="53"/>
        <v>1.2775318247372436E-2</v>
      </c>
      <c r="J871" s="8">
        <f t="shared" si="54"/>
        <v>1.269440229188076E-2</v>
      </c>
      <c r="K871" s="8">
        <f t="shared" si="51"/>
        <v>5.1468742999870365E-2</v>
      </c>
    </row>
    <row r="872" spans="1:11" x14ac:dyDescent="0.25">
      <c r="A872" t="str">
        <f t="shared" si="52"/>
        <v>72020</v>
      </c>
      <c r="B872" s="1">
        <v>44026</v>
      </c>
      <c r="C872" t="s">
        <v>552</v>
      </c>
      <c r="D872">
        <v>31192.35</v>
      </c>
      <c r="E872">
        <v>31305.65</v>
      </c>
      <c r="F872">
        <v>30848.3</v>
      </c>
      <c r="G872">
        <v>30932.85</v>
      </c>
      <c r="H872">
        <v>0</v>
      </c>
      <c r="I872" s="8">
        <f t="shared" si="53"/>
        <v>-9.0357489532243429E-3</v>
      </c>
      <c r="J872" s="8">
        <f t="shared" si="54"/>
        <v>-9.0768189185838257E-3</v>
      </c>
      <c r="K872" s="8">
        <f t="shared" si="51"/>
        <v>4.8134167787668103E-2</v>
      </c>
    </row>
    <row r="873" spans="1:11" x14ac:dyDescent="0.25">
      <c r="A873" t="str">
        <f t="shared" si="52"/>
        <v>72020</v>
      </c>
      <c r="B873" s="1">
        <v>44027</v>
      </c>
      <c r="C873" t="s">
        <v>553</v>
      </c>
      <c r="D873">
        <v>31038.1</v>
      </c>
      <c r="E873">
        <v>31236.45</v>
      </c>
      <c r="F873">
        <v>30978.3</v>
      </c>
      <c r="G873">
        <v>31140.45</v>
      </c>
      <c r="H873">
        <v>0</v>
      </c>
      <c r="I873" s="8">
        <f t="shared" si="53"/>
        <v>6.7113117607979778E-3</v>
      </c>
      <c r="J873" s="8">
        <f t="shared" si="54"/>
        <v>6.6888911665178973E-3</v>
      </c>
      <c r="K873" s="8">
        <f t="shared" si="51"/>
        <v>6.636794641527155E-2</v>
      </c>
    </row>
    <row r="874" spans="1:11" x14ac:dyDescent="0.25">
      <c r="A874" t="str">
        <f t="shared" si="52"/>
        <v>72020</v>
      </c>
      <c r="B874" s="1">
        <v>44028</v>
      </c>
      <c r="C874" t="s">
        <v>554</v>
      </c>
      <c r="D874">
        <v>31195.15</v>
      </c>
      <c r="E874">
        <v>31246.2</v>
      </c>
      <c r="F874">
        <v>30633.7</v>
      </c>
      <c r="G874">
        <v>31182.35</v>
      </c>
      <c r="H874">
        <v>0</v>
      </c>
      <c r="I874" s="8">
        <f t="shared" si="53"/>
        <v>1.3455168438476495E-3</v>
      </c>
      <c r="J874" s="8">
        <f t="shared" si="54"/>
        <v>1.3446124472221415E-3</v>
      </c>
      <c r="K874" s="8">
        <f t="shared" si="51"/>
        <v>9.0364394837419315E-2</v>
      </c>
    </row>
    <row r="875" spans="1:11" x14ac:dyDescent="0.25">
      <c r="A875" t="str">
        <f t="shared" si="52"/>
        <v>72020</v>
      </c>
      <c r="B875" s="1">
        <v>44029</v>
      </c>
      <c r="C875" t="s">
        <v>555</v>
      </c>
      <c r="D875">
        <v>31217.3</v>
      </c>
      <c r="E875">
        <v>31528.400000000001</v>
      </c>
      <c r="F875">
        <v>31191.5</v>
      </c>
      <c r="G875">
        <v>31439.3</v>
      </c>
      <c r="H875">
        <v>0</v>
      </c>
      <c r="I875" s="8">
        <f t="shared" si="53"/>
        <v>8.2402384682360719E-3</v>
      </c>
      <c r="J875" s="8">
        <f t="shared" si="54"/>
        <v>8.2064730663881907E-3</v>
      </c>
      <c r="K875" s="8">
        <f t="shared" si="51"/>
        <v>0.10388474961903893</v>
      </c>
    </row>
    <row r="876" spans="1:11" x14ac:dyDescent="0.25">
      <c r="A876" t="str">
        <f t="shared" si="52"/>
        <v>72020</v>
      </c>
      <c r="B876" s="1">
        <v>44032</v>
      </c>
      <c r="C876" t="s">
        <v>556</v>
      </c>
      <c r="D876">
        <v>31571.4</v>
      </c>
      <c r="E876">
        <v>31598.6</v>
      </c>
      <c r="F876">
        <v>31284.05</v>
      </c>
      <c r="G876">
        <v>31536.35</v>
      </c>
      <c r="H876">
        <v>0</v>
      </c>
      <c r="I876" s="8">
        <f t="shared" si="53"/>
        <v>3.0869007897758038E-3</v>
      </c>
      <c r="J876" s="8">
        <f t="shared" si="54"/>
        <v>3.0821460938696074E-3</v>
      </c>
      <c r="K876" s="8">
        <f t="shared" si="51"/>
        <v>8.0561518443454938E-2</v>
      </c>
    </row>
    <row r="877" spans="1:11" x14ac:dyDescent="0.25">
      <c r="A877" t="str">
        <f t="shared" si="52"/>
        <v>72020</v>
      </c>
      <c r="B877" s="1">
        <v>44033</v>
      </c>
      <c r="C877" t="s">
        <v>557</v>
      </c>
      <c r="D877">
        <v>31626.799999999999</v>
      </c>
      <c r="E877">
        <v>31708</v>
      </c>
      <c r="F877">
        <v>31240.9</v>
      </c>
      <c r="G877">
        <v>31280.25</v>
      </c>
      <c r="H877">
        <v>0</v>
      </c>
      <c r="I877" s="8">
        <f t="shared" si="53"/>
        <v>-8.1207875990720879E-3</v>
      </c>
      <c r="J877" s="8">
        <f t="shared" si="54"/>
        <v>-8.1539408034339428E-3</v>
      </c>
      <c r="K877" s="8">
        <f t="shared" si="51"/>
        <v>8.6638586130530992E-2</v>
      </c>
    </row>
    <row r="878" spans="1:11" x14ac:dyDescent="0.25">
      <c r="A878" t="str">
        <f t="shared" si="52"/>
        <v>72020</v>
      </c>
      <c r="B878" s="1">
        <v>44034</v>
      </c>
      <c r="C878" t="s">
        <v>558</v>
      </c>
      <c r="D878">
        <v>31420.85</v>
      </c>
      <c r="E878">
        <v>31422.3</v>
      </c>
      <c r="F878">
        <v>30946.35</v>
      </c>
      <c r="G878">
        <v>31051.599999999999</v>
      </c>
      <c r="H878">
        <v>0</v>
      </c>
      <c r="I878" s="8">
        <f t="shared" si="53"/>
        <v>-7.3097241869870544E-3</v>
      </c>
      <c r="J878" s="8">
        <f t="shared" si="54"/>
        <v>-7.336571130003698E-3</v>
      </c>
      <c r="K878" s="8">
        <f t="shared" si="51"/>
        <v>8.4328850740483352E-2</v>
      </c>
    </row>
    <row r="879" spans="1:11" x14ac:dyDescent="0.25">
      <c r="A879" t="str">
        <f t="shared" si="52"/>
        <v>72020</v>
      </c>
      <c r="B879" s="1">
        <v>44035</v>
      </c>
      <c r="C879" t="s">
        <v>559</v>
      </c>
      <c r="D879">
        <v>31177.9</v>
      </c>
      <c r="E879">
        <v>31326.45</v>
      </c>
      <c r="F879">
        <v>31052.400000000001</v>
      </c>
      <c r="G879">
        <v>31101.9</v>
      </c>
      <c r="H879">
        <v>0</v>
      </c>
      <c r="I879" s="8">
        <f t="shared" si="53"/>
        <v>1.6198843215808889E-3</v>
      </c>
      <c r="J879" s="8">
        <f t="shared" si="54"/>
        <v>1.618573724126523E-3</v>
      </c>
      <c r="K879" s="8">
        <f t="shared" si="51"/>
        <v>7.0539419087136901E-2</v>
      </c>
    </row>
    <row r="880" spans="1:11" x14ac:dyDescent="0.25">
      <c r="A880" t="str">
        <f t="shared" si="52"/>
        <v>72020</v>
      </c>
      <c r="B880" s="1">
        <v>44036</v>
      </c>
      <c r="C880" t="s">
        <v>560</v>
      </c>
      <c r="D880">
        <v>31009.95</v>
      </c>
      <c r="E880">
        <v>31138.55</v>
      </c>
      <c r="F880">
        <v>30653.4</v>
      </c>
      <c r="G880">
        <v>31018.85</v>
      </c>
      <c r="H880">
        <v>0</v>
      </c>
      <c r="I880" s="8">
        <f t="shared" si="53"/>
        <v>-2.6702548718889885E-3</v>
      </c>
      <c r="J880" s="8">
        <f t="shared" si="54"/>
        <v>-2.6738263617049093E-3</v>
      </c>
      <c r="K880" s="8">
        <f t="shared" si="51"/>
        <v>7.7861155077723732E-2</v>
      </c>
    </row>
    <row r="881" spans="1:11" x14ac:dyDescent="0.25">
      <c r="A881" t="str">
        <f t="shared" si="52"/>
        <v>72020</v>
      </c>
      <c r="B881" s="1">
        <v>44039</v>
      </c>
      <c r="C881" t="s">
        <v>561</v>
      </c>
      <c r="D881">
        <v>31129.45</v>
      </c>
      <c r="E881">
        <v>31183.15</v>
      </c>
      <c r="F881">
        <v>30708.2</v>
      </c>
      <c r="G881">
        <v>30819.75</v>
      </c>
      <c r="H881">
        <v>0</v>
      </c>
      <c r="I881" s="8">
        <f t="shared" si="53"/>
        <v>-6.4186776750265739E-3</v>
      </c>
      <c r="J881" s="8">
        <f t="shared" si="54"/>
        <v>-6.4393659617191044E-3</v>
      </c>
      <c r="K881" s="8">
        <f t="shared" si="51"/>
        <v>7.5170068027210935E-2</v>
      </c>
    </row>
    <row r="882" spans="1:11" x14ac:dyDescent="0.25">
      <c r="A882" t="str">
        <f t="shared" si="52"/>
        <v>72020</v>
      </c>
      <c r="B882" s="1">
        <v>44040</v>
      </c>
      <c r="C882" t="s">
        <v>562</v>
      </c>
      <c r="D882">
        <v>30891</v>
      </c>
      <c r="E882">
        <v>31047.1</v>
      </c>
      <c r="F882">
        <v>30764.3</v>
      </c>
      <c r="G882">
        <v>30910.9</v>
      </c>
      <c r="H882">
        <v>0</v>
      </c>
      <c r="I882" s="8">
        <f t="shared" si="53"/>
        <v>2.9575191232895648E-3</v>
      </c>
      <c r="J882" s="8">
        <f t="shared" si="54"/>
        <v>2.9531542675856775E-3</v>
      </c>
      <c r="K882" s="8">
        <f t="shared" si="51"/>
        <v>7.8188166435873896E-2</v>
      </c>
    </row>
    <row r="883" spans="1:11" x14ac:dyDescent="0.25">
      <c r="A883" t="str">
        <f t="shared" si="52"/>
        <v>72020</v>
      </c>
      <c r="B883" s="1">
        <v>44041</v>
      </c>
      <c r="C883" t="s">
        <v>563</v>
      </c>
      <c r="D883">
        <v>30818.1</v>
      </c>
      <c r="E883">
        <v>31139.75</v>
      </c>
      <c r="F883">
        <v>30816.400000000001</v>
      </c>
      <c r="G883">
        <v>30948.5</v>
      </c>
      <c r="H883">
        <v>0</v>
      </c>
      <c r="I883" s="8">
        <f t="shared" si="53"/>
        <v>1.2163993930942585E-3</v>
      </c>
      <c r="J883" s="8">
        <f t="shared" si="54"/>
        <v>1.2156601787450304E-3</v>
      </c>
      <c r="K883" s="8">
        <f t="shared" si="51"/>
        <v>0.12136309286568348</v>
      </c>
    </row>
    <row r="884" spans="1:11" x14ac:dyDescent="0.25">
      <c r="A884" t="str">
        <f t="shared" si="52"/>
        <v>72020</v>
      </c>
      <c r="B884" s="1">
        <v>44042</v>
      </c>
      <c r="C884" t="s">
        <v>564</v>
      </c>
      <c r="D884">
        <v>31104.45</v>
      </c>
      <c r="E884">
        <v>31134.55</v>
      </c>
      <c r="F884">
        <v>30582.75</v>
      </c>
      <c r="G884">
        <v>30696.400000000001</v>
      </c>
      <c r="H884">
        <v>0</v>
      </c>
      <c r="I884" s="8">
        <f t="shared" si="53"/>
        <v>-8.1457905875890191E-3</v>
      </c>
      <c r="J884" s="8">
        <f t="shared" si="54"/>
        <v>-8.1791488160059145E-3</v>
      </c>
      <c r="K884" s="8">
        <f t="shared" si="51"/>
        <v>0.13109740369805389</v>
      </c>
    </row>
    <row r="885" spans="1:11" x14ac:dyDescent="0.25">
      <c r="A885" t="str">
        <f t="shared" si="52"/>
        <v>72020</v>
      </c>
      <c r="B885" s="1">
        <v>44043</v>
      </c>
      <c r="C885" t="s">
        <v>565</v>
      </c>
      <c r="D885">
        <v>30734.799999999999</v>
      </c>
      <c r="E885">
        <v>31032.55</v>
      </c>
      <c r="F885">
        <v>30677.65</v>
      </c>
      <c r="G885">
        <v>30872.45</v>
      </c>
      <c r="H885">
        <v>0</v>
      </c>
      <c r="I885" s="8">
        <f t="shared" si="53"/>
        <v>5.7352002189181572E-3</v>
      </c>
      <c r="J885" s="8">
        <f t="shared" si="54"/>
        <v>5.7188165706304923E-3</v>
      </c>
      <c r="K885" s="8">
        <f t="shared" si="51"/>
        <v>0.15930222078692613</v>
      </c>
    </row>
    <row r="886" spans="1:11" x14ac:dyDescent="0.25">
      <c r="A886" t="str">
        <f t="shared" si="52"/>
        <v>82020</v>
      </c>
      <c r="B886" s="1">
        <v>44046</v>
      </c>
      <c r="C886" s="10">
        <v>43898.645833333336</v>
      </c>
      <c r="D886">
        <v>30892.799999999999</v>
      </c>
      <c r="E886">
        <v>30985</v>
      </c>
      <c r="F886">
        <v>30674.45</v>
      </c>
      <c r="G886">
        <v>30759.8</v>
      </c>
      <c r="H886">
        <v>0</v>
      </c>
      <c r="I886" s="8">
        <f t="shared" si="53"/>
        <v>-3.6488843612995092E-3</v>
      </c>
      <c r="J886" s="8">
        <f t="shared" si="54"/>
        <v>-3.6555577784714798E-3</v>
      </c>
      <c r="K886" s="8">
        <f t="shared" si="51"/>
        <v>0.17159882763178191</v>
      </c>
    </row>
    <row r="887" spans="1:11" x14ac:dyDescent="0.25">
      <c r="A887" t="str">
        <f t="shared" si="52"/>
        <v>82020</v>
      </c>
      <c r="B887" s="1">
        <v>44047</v>
      </c>
      <c r="C887" s="10">
        <v>43929.645833333336</v>
      </c>
      <c r="D887">
        <v>30903.5</v>
      </c>
      <c r="E887">
        <v>31059.45</v>
      </c>
      <c r="F887">
        <v>30782.85</v>
      </c>
      <c r="G887">
        <v>30901.65</v>
      </c>
      <c r="H887">
        <v>0</v>
      </c>
      <c r="I887" s="8">
        <f t="shared" si="53"/>
        <v>4.6115384365308376E-3</v>
      </c>
      <c r="J887" s="8">
        <f t="shared" si="54"/>
        <v>4.6009378706064067E-3</v>
      </c>
      <c r="K887" s="8">
        <f t="shared" si="51"/>
        <v>0.15477881000605387</v>
      </c>
    </row>
    <row r="888" spans="1:11" x14ac:dyDescent="0.25">
      <c r="A888" t="str">
        <f t="shared" si="52"/>
        <v>82020</v>
      </c>
      <c r="B888" s="1">
        <v>44048</v>
      </c>
      <c r="C888" s="10">
        <v>43959.645833333336</v>
      </c>
      <c r="D888">
        <v>31050.3</v>
      </c>
      <c r="E888">
        <v>31090.1</v>
      </c>
      <c r="F888">
        <v>30728.5</v>
      </c>
      <c r="G888">
        <v>30863.599999999999</v>
      </c>
      <c r="H888">
        <v>0</v>
      </c>
      <c r="I888" s="8">
        <f t="shared" si="53"/>
        <v>-1.2313258353519041E-3</v>
      </c>
      <c r="J888" s="8">
        <f t="shared" si="54"/>
        <v>-1.2320845398805804E-3</v>
      </c>
      <c r="K888" s="8">
        <f t="shared" si="51"/>
        <v>0.15733581322793788</v>
      </c>
    </row>
    <row r="889" spans="1:11" x14ac:dyDescent="0.25">
      <c r="A889" t="str">
        <f t="shared" si="52"/>
        <v>82020</v>
      </c>
      <c r="B889" s="1">
        <v>44049</v>
      </c>
      <c r="C889" s="10">
        <v>43990.645833333336</v>
      </c>
      <c r="D889">
        <v>31010.25</v>
      </c>
      <c r="E889">
        <v>31326.85</v>
      </c>
      <c r="F889">
        <v>30926.25</v>
      </c>
      <c r="G889">
        <v>31287.599999999999</v>
      </c>
      <c r="H889">
        <v>0</v>
      </c>
      <c r="I889" s="8">
        <f t="shared" si="53"/>
        <v>1.3737865965085083E-2</v>
      </c>
      <c r="J889" s="8">
        <f t="shared" si="54"/>
        <v>1.3644356920941222E-2</v>
      </c>
      <c r="K889" s="8">
        <f t="shared" si="51"/>
        <v>0.16496351995651048</v>
      </c>
    </row>
    <row r="890" spans="1:11" x14ac:dyDescent="0.25">
      <c r="A890" t="str">
        <f t="shared" si="52"/>
        <v>82020</v>
      </c>
      <c r="B890" s="1">
        <v>44050</v>
      </c>
      <c r="C890" s="10">
        <v>44020.645833333336</v>
      </c>
      <c r="D890">
        <v>31329.65</v>
      </c>
      <c r="E890">
        <v>31597</v>
      </c>
      <c r="F890">
        <v>31209</v>
      </c>
      <c r="G890">
        <v>31490.6</v>
      </c>
      <c r="H890">
        <v>0</v>
      </c>
      <c r="I890" s="8">
        <f t="shared" si="53"/>
        <v>6.4881934056941759E-3</v>
      </c>
      <c r="J890" s="8">
        <f t="shared" si="54"/>
        <v>6.4672356818580648E-3</v>
      </c>
      <c r="K890" s="8">
        <f t="shared" si="51"/>
        <v>0.17737274035855144</v>
      </c>
    </row>
    <row r="891" spans="1:11" x14ac:dyDescent="0.25">
      <c r="A891" t="str">
        <f t="shared" si="52"/>
        <v>82020</v>
      </c>
      <c r="B891" s="1">
        <v>44053</v>
      </c>
      <c r="C891" s="10">
        <v>44112.645833333336</v>
      </c>
      <c r="D891">
        <v>31597.05</v>
      </c>
      <c r="E891">
        <v>31791.7</v>
      </c>
      <c r="F891">
        <v>31584.65</v>
      </c>
      <c r="G891">
        <v>31621.75</v>
      </c>
      <c r="H891">
        <v>0</v>
      </c>
      <c r="I891" s="8">
        <f t="shared" si="53"/>
        <v>4.1647348732638534E-3</v>
      </c>
      <c r="J891" s="8">
        <f t="shared" si="54"/>
        <v>4.1560863691506768E-3</v>
      </c>
      <c r="K891" s="8">
        <f t="shared" si="51"/>
        <v>0.17406107230174883</v>
      </c>
    </row>
    <row r="892" spans="1:11" x14ac:dyDescent="0.25">
      <c r="A892" t="str">
        <f t="shared" si="52"/>
        <v>82020</v>
      </c>
      <c r="B892" s="1">
        <v>44054</v>
      </c>
      <c r="C892" s="10">
        <v>44143.645833333336</v>
      </c>
      <c r="D892">
        <v>31730.1</v>
      </c>
      <c r="E892">
        <v>32155.5</v>
      </c>
      <c r="F892">
        <v>31725.599999999999</v>
      </c>
      <c r="G892">
        <v>31767.75</v>
      </c>
      <c r="H892">
        <v>0</v>
      </c>
      <c r="I892" s="8">
        <f t="shared" si="53"/>
        <v>4.6170752725576136E-3</v>
      </c>
      <c r="J892" s="8">
        <f t="shared" si="54"/>
        <v>4.6064492753206451E-3</v>
      </c>
      <c r="K892" s="8">
        <f t="shared" si="51"/>
        <v>0.17838801275286409</v>
      </c>
    </row>
    <row r="893" spans="1:11" x14ac:dyDescent="0.25">
      <c r="A893" t="str">
        <f t="shared" si="52"/>
        <v>82020</v>
      </c>
      <c r="B893" s="1">
        <v>44055</v>
      </c>
      <c r="C893" s="10">
        <v>44173.645833333336</v>
      </c>
      <c r="D893">
        <v>31690.3</v>
      </c>
      <c r="E893">
        <v>31723.45</v>
      </c>
      <c r="F893">
        <v>31537.9</v>
      </c>
      <c r="G893">
        <v>31636.7</v>
      </c>
      <c r="H893">
        <v>0</v>
      </c>
      <c r="I893" s="8">
        <f t="shared" si="53"/>
        <v>-4.125252811420399E-3</v>
      </c>
      <c r="J893" s="8">
        <f t="shared" si="54"/>
        <v>-4.1337851402262291E-3</v>
      </c>
      <c r="K893" s="8">
        <f t="shared" si="51"/>
        <v>0.18513260147632571</v>
      </c>
    </row>
    <row r="894" spans="1:11" x14ac:dyDescent="0.25">
      <c r="A894" t="str">
        <f t="shared" si="52"/>
        <v>82020</v>
      </c>
      <c r="B894" s="1">
        <v>44056</v>
      </c>
      <c r="C894" t="s">
        <v>566</v>
      </c>
      <c r="D894">
        <v>31680.799999999999</v>
      </c>
      <c r="E894">
        <v>31867.8</v>
      </c>
      <c r="F894">
        <v>31441.1</v>
      </c>
      <c r="G894">
        <v>31668.15</v>
      </c>
      <c r="H894">
        <v>0</v>
      </c>
      <c r="I894" s="8">
        <f t="shared" si="53"/>
        <v>9.9409862596289145E-4</v>
      </c>
      <c r="J894" s="8">
        <f t="shared" si="54"/>
        <v>9.9360483714658115E-4</v>
      </c>
      <c r="K894" s="8">
        <f t="shared" si="51"/>
        <v>0.17744067371238947</v>
      </c>
    </row>
    <row r="895" spans="1:11" x14ac:dyDescent="0.25">
      <c r="A895" t="str">
        <f t="shared" si="52"/>
        <v>82020</v>
      </c>
      <c r="B895" s="1">
        <v>44057</v>
      </c>
      <c r="C895" t="s">
        <v>567</v>
      </c>
      <c r="D895">
        <v>31763.35</v>
      </c>
      <c r="E895">
        <v>31828.799999999999</v>
      </c>
      <c r="F895">
        <v>31115.5</v>
      </c>
      <c r="G895">
        <v>31237.95</v>
      </c>
      <c r="H895">
        <v>0</v>
      </c>
      <c r="I895" s="8">
        <f t="shared" si="53"/>
        <v>-1.358462682537509E-2</v>
      </c>
      <c r="J895" s="8">
        <f t="shared" si="54"/>
        <v>-1.3677742121023522E-2</v>
      </c>
      <c r="K895" s="8">
        <f t="shared" si="51"/>
        <v>0.14465186412046749</v>
      </c>
    </row>
    <row r="896" spans="1:11" x14ac:dyDescent="0.25">
      <c r="A896" t="str">
        <f t="shared" si="52"/>
        <v>82020</v>
      </c>
      <c r="B896" s="1">
        <v>44060</v>
      </c>
      <c r="C896" t="s">
        <v>568</v>
      </c>
      <c r="D896">
        <v>31428.95</v>
      </c>
      <c r="E896">
        <v>31600</v>
      </c>
      <c r="F896">
        <v>31179.05</v>
      </c>
      <c r="G896">
        <v>31545.15</v>
      </c>
      <c r="H896">
        <v>0</v>
      </c>
      <c r="I896" s="8">
        <f t="shared" si="53"/>
        <v>9.8341920644600123E-3</v>
      </c>
      <c r="J896" s="8">
        <f t="shared" si="54"/>
        <v>9.7861511035986764E-3</v>
      </c>
      <c r="K896" s="8">
        <f t="shared" ref="K896:K959" si="55">+G896/G835-1</f>
        <v>0.1311735533633831</v>
      </c>
    </row>
    <row r="897" spans="1:11" x14ac:dyDescent="0.25">
      <c r="A897" t="str">
        <f t="shared" si="52"/>
        <v>82020</v>
      </c>
      <c r="B897" s="1">
        <v>44061</v>
      </c>
      <c r="C897" t="s">
        <v>569</v>
      </c>
      <c r="D897">
        <v>31626.75</v>
      </c>
      <c r="E897">
        <v>31762.65</v>
      </c>
      <c r="F897">
        <v>31559.7</v>
      </c>
      <c r="G897">
        <v>31726.15</v>
      </c>
      <c r="H897">
        <v>0</v>
      </c>
      <c r="I897" s="8">
        <f t="shared" si="53"/>
        <v>5.7378075552025898E-3</v>
      </c>
      <c r="J897" s="8">
        <f t="shared" si="54"/>
        <v>5.7214090352316642E-3</v>
      </c>
      <c r="K897" s="8">
        <f t="shared" si="55"/>
        <v>0.14179931692464942</v>
      </c>
    </row>
    <row r="898" spans="1:11" x14ac:dyDescent="0.25">
      <c r="A898" t="str">
        <f t="shared" si="52"/>
        <v>82020</v>
      </c>
      <c r="B898" s="1">
        <v>44062</v>
      </c>
      <c r="C898" t="s">
        <v>570</v>
      </c>
      <c r="D898">
        <v>31738.45</v>
      </c>
      <c r="E898">
        <v>31911.25</v>
      </c>
      <c r="F898">
        <v>31548.6</v>
      </c>
      <c r="G898">
        <v>31586.05</v>
      </c>
      <c r="H898">
        <v>0</v>
      </c>
      <c r="I898" s="8">
        <f t="shared" si="53"/>
        <v>-4.4159155775284065E-3</v>
      </c>
      <c r="J898" s="8">
        <f t="shared" si="54"/>
        <v>-4.4256945320330799E-3</v>
      </c>
      <c r="K898" s="8">
        <f t="shared" si="55"/>
        <v>0.12316737962399937</v>
      </c>
    </row>
    <row r="899" spans="1:11" x14ac:dyDescent="0.25">
      <c r="A899" t="str">
        <f t="shared" ref="A899:A962" si="56">+MONTH(B899)&amp;YEAR(B899)</f>
        <v>82020</v>
      </c>
      <c r="B899" s="1">
        <v>44063</v>
      </c>
      <c r="C899" t="s">
        <v>571</v>
      </c>
      <c r="D899">
        <v>31445.599999999999</v>
      </c>
      <c r="E899">
        <v>31556.35</v>
      </c>
      <c r="F899">
        <v>31307.1</v>
      </c>
      <c r="G899">
        <v>31439.9</v>
      </c>
      <c r="H899">
        <v>0</v>
      </c>
      <c r="I899" s="8">
        <f t="shared" si="53"/>
        <v>-4.6270426343274496E-3</v>
      </c>
      <c r="J899" s="8">
        <f t="shared" si="54"/>
        <v>-4.6377805320412021E-3</v>
      </c>
      <c r="K899" s="8">
        <f t="shared" si="55"/>
        <v>0.11400518736889853</v>
      </c>
    </row>
    <row r="900" spans="1:11" x14ac:dyDescent="0.25">
      <c r="A900" t="str">
        <f t="shared" si="56"/>
        <v>82020</v>
      </c>
      <c r="B900" s="1">
        <v>44064</v>
      </c>
      <c r="C900" t="s">
        <v>572</v>
      </c>
      <c r="D900">
        <v>31690.25</v>
      </c>
      <c r="E900">
        <v>31724.15</v>
      </c>
      <c r="F900">
        <v>31563.4</v>
      </c>
      <c r="G900">
        <v>31604.400000000001</v>
      </c>
      <c r="H900">
        <v>0</v>
      </c>
      <c r="I900" s="8">
        <f t="shared" ref="I900:I963" si="57">+G900/G899-1</f>
        <v>5.2322049370385759E-3</v>
      </c>
      <c r="J900" s="8">
        <f t="shared" ref="J900:J963" si="58">+LN(1+I900)</f>
        <v>5.218564511766108E-3</v>
      </c>
      <c r="K900" s="8">
        <f t="shared" si="55"/>
        <v>0.11081274866791335</v>
      </c>
    </row>
    <row r="901" spans="1:11" x14ac:dyDescent="0.25">
      <c r="A901" t="str">
        <f t="shared" si="56"/>
        <v>82020</v>
      </c>
      <c r="B901" s="1">
        <v>44067</v>
      </c>
      <c r="C901" t="s">
        <v>573</v>
      </c>
      <c r="D901">
        <v>31692.25</v>
      </c>
      <c r="E901">
        <v>31799.4</v>
      </c>
      <c r="F901">
        <v>31606.799999999999</v>
      </c>
      <c r="G901">
        <v>31642</v>
      </c>
      <c r="H901">
        <v>0</v>
      </c>
      <c r="I901" s="8">
        <f t="shared" si="57"/>
        <v>1.1897077622102792E-3</v>
      </c>
      <c r="J901" s="8">
        <f t="shared" si="58"/>
        <v>1.1890006207361116E-3</v>
      </c>
      <c r="K901" s="8">
        <f t="shared" si="55"/>
        <v>8.0044168420262185E-2</v>
      </c>
    </row>
    <row r="902" spans="1:11" x14ac:dyDescent="0.25">
      <c r="A902" t="str">
        <f t="shared" si="56"/>
        <v>82020</v>
      </c>
      <c r="B902" s="1">
        <v>44068</v>
      </c>
      <c r="C902" t="s">
        <v>574</v>
      </c>
      <c r="D902">
        <v>31700.65</v>
      </c>
      <c r="E902">
        <v>31724.400000000001</v>
      </c>
      <c r="F902">
        <v>31394</v>
      </c>
      <c r="G902">
        <v>31460.3</v>
      </c>
      <c r="H902">
        <v>0</v>
      </c>
      <c r="I902" s="8">
        <f t="shared" si="57"/>
        <v>-5.7423677390809891E-3</v>
      </c>
      <c r="J902" s="8">
        <f t="shared" si="58"/>
        <v>-5.7589185235801766E-3</v>
      </c>
      <c r="K902" s="8">
        <f t="shared" si="55"/>
        <v>6.3879504790117503E-2</v>
      </c>
    </row>
    <row r="903" spans="1:11" x14ac:dyDescent="0.25">
      <c r="A903" t="str">
        <f t="shared" si="56"/>
        <v>82020</v>
      </c>
      <c r="B903" s="1">
        <v>44069</v>
      </c>
      <c r="C903" t="s">
        <v>575</v>
      </c>
      <c r="D903">
        <v>31528</v>
      </c>
      <c r="E903">
        <v>31536.2</v>
      </c>
      <c r="F903">
        <v>31313.65</v>
      </c>
      <c r="G903">
        <v>31408.45</v>
      </c>
      <c r="H903">
        <v>0</v>
      </c>
      <c r="I903" s="8">
        <f t="shared" si="57"/>
        <v>-1.648108886437738E-3</v>
      </c>
      <c r="J903" s="8">
        <f t="shared" si="58"/>
        <v>-1.6494685119678139E-3</v>
      </c>
      <c r="K903" s="8">
        <f t="shared" si="55"/>
        <v>6.9775560842443074E-2</v>
      </c>
    </row>
    <row r="904" spans="1:11" x14ac:dyDescent="0.25">
      <c r="A904" t="str">
        <f t="shared" si="56"/>
        <v>82020</v>
      </c>
      <c r="B904" s="1">
        <v>44070</v>
      </c>
      <c r="C904" t="s">
        <v>576</v>
      </c>
      <c r="D904">
        <v>31602.05</v>
      </c>
      <c r="E904">
        <v>31636.6</v>
      </c>
      <c r="F904">
        <v>31277.1</v>
      </c>
      <c r="G904">
        <v>31314.45</v>
      </c>
      <c r="H904">
        <v>0</v>
      </c>
      <c r="I904" s="8">
        <f t="shared" si="57"/>
        <v>-2.9928251792112892E-3</v>
      </c>
      <c r="J904" s="8">
        <f t="shared" si="58"/>
        <v>-2.9973126361739892E-3</v>
      </c>
      <c r="K904" s="8">
        <f t="shared" si="55"/>
        <v>6.0536119483862283E-2</v>
      </c>
    </row>
    <row r="905" spans="1:11" x14ac:dyDescent="0.25">
      <c r="A905" t="str">
        <f t="shared" si="56"/>
        <v>82020</v>
      </c>
      <c r="B905" s="1">
        <v>44071</v>
      </c>
      <c r="C905" t="s">
        <v>577</v>
      </c>
      <c r="D905">
        <v>31410.799999999999</v>
      </c>
      <c r="E905">
        <v>31451.3</v>
      </c>
      <c r="F905">
        <v>31203.7</v>
      </c>
      <c r="G905">
        <v>31253.45</v>
      </c>
      <c r="H905">
        <v>0</v>
      </c>
      <c r="I905" s="8">
        <f t="shared" si="57"/>
        <v>-1.9479824809313095E-3</v>
      </c>
      <c r="J905" s="8">
        <f t="shared" si="58"/>
        <v>-1.9498822663710695E-3</v>
      </c>
      <c r="K905" s="8">
        <f t="shared" si="55"/>
        <v>5.5091647803710453E-2</v>
      </c>
    </row>
    <row r="906" spans="1:11" x14ac:dyDescent="0.25">
      <c r="A906" t="str">
        <f t="shared" si="56"/>
        <v>82020</v>
      </c>
      <c r="B906" s="1">
        <v>44074</v>
      </c>
      <c r="C906" t="s">
        <v>578</v>
      </c>
      <c r="D906">
        <v>31457.85</v>
      </c>
      <c r="E906">
        <v>31457.85</v>
      </c>
      <c r="F906">
        <v>30475.85</v>
      </c>
      <c r="G906">
        <v>30595.15</v>
      </c>
      <c r="H906">
        <v>0</v>
      </c>
      <c r="I906" s="8">
        <f t="shared" si="57"/>
        <v>-2.1063274614482541E-2</v>
      </c>
      <c r="J906" s="8">
        <f t="shared" si="58"/>
        <v>-2.1288270424404426E-2</v>
      </c>
      <c r="K906" s="8">
        <f t="shared" si="55"/>
        <v>3.5649245142509001E-2</v>
      </c>
    </row>
    <row r="907" spans="1:11" x14ac:dyDescent="0.25">
      <c r="A907" t="str">
        <f t="shared" si="56"/>
        <v>92020</v>
      </c>
      <c r="B907" s="1">
        <v>44075</v>
      </c>
      <c r="C907" s="10">
        <v>43839.645833333336</v>
      </c>
      <c r="D907">
        <v>30727.5</v>
      </c>
      <c r="E907">
        <v>31130.85</v>
      </c>
      <c r="F907">
        <v>30525.3</v>
      </c>
      <c r="G907">
        <v>30988.15</v>
      </c>
      <c r="H907">
        <v>0</v>
      </c>
      <c r="I907" s="8">
        <f t="shared" si="57"/>
        <v>1.284517317287226E-2</v>
      </c>
      <c r="J907" s="8">
        <f t="shared" si="58"/>
        <v>1.2763373677017704E-2</v>
      </c>
      <c r="K907" s="8">
        <f t="shared" si="55"/>
        <v>5.036921037958253E-2</v>
      </c>
    </row>
    <row r="908" spans="1:11" x14ac:dyDescent="0.25">
      <c r="A908" t="str">
        <f t="shared" si="56"/>
        <v>92020</v>
      </c>
      <c r="B908" s="1">
        <v>44076</v>
      </c>
      <c r="C908" s="10">
        <v>43870.645833333336</v>
      </c>
      <c r="D908">
        <v>31099.4</v>
      </c>
      <c r="E908">
        <v>31248.35</v>
      </c>
      <c r="F908">
        <v>30942.25</v>
      </c>
      <c r="G908">
        <v>31084.35</v>
      </c>
      <c r="H908">
        <v>0</v>
      </c>
      <c r="I908" s="8">
        <f t="shared" si="57"/>
        <v>3.1044124931625117E-3</v>
      </c>
      <c r="J908" s="8">
        <f t="shared" si="58"/>
        <v>3.0996037543341982E-3</v>
      </c>
      <c r="K908" s="8">
        <f t="shared" si="55"/>
        <v>5.2818129781980527E-2</v>
      </c>
    </row>
    <row r="909" spans="1:11" x14ac:dyDescent="0.25">
      <c r="A909" t="str">
        <f t="shared" si="56"/>
        <v>92020</v>
      </c>
      <c r="B909" s="1">
        <v>44077</v>
      </c>
      <c r="C909" s="10">
        <v>43899.645833333336</v>
      </c>
      <c r="D909">
        <v>31155.599999999999</v>
      </c>
      <c r="E909">
        <v>31346.95</v>
      </c>
      <c r="F909">
        <v>31100.7</v>
      </c>
      <c r="G909">
        <v>31316.85</v>
      </c>
      <c r="H909">
        <v>0</v>
      </c>
      <c r="I909" s="8">
        <f t="shared" si="57"/>
        <v>7.4796481187477948E-3</v>
      </c>
      <c r="J909" s="8">
        <f t="shared" si="58"/>
        <v>7.451814256256504E-3</v>
      </c>
      <c r="K909" s="8">
        <f t="shared" si="55"/>
        <v>6.1472992760107203E-2</v>
      </c>
    </row>
    <row r="910" spans="1:11" x14ac:dyDescent="0.25">
      <c r="A910" t="str">
        <f t="shared" si="56"/>
        <v>92020</v>
      </c>
      <c r="B910" s="1">
        <v>44078</v>
      </c>
      <c r="C910" s="10">
        <v>43930.645833333336</v>
      </c>
      <c r="D910">
        <v>30969.8</v>
      </c>
      <c r="E910">
        <v>31156.25</v>
      </c>
      <c r="F910">
        <v>30769.1</v>
      </c>
      <c r="G910">
        <v>30828.65</v>
      </c>
      <c r="H910">
        <v>0</v>
      </c>
      <c r="I910" s="8">
        <f t="shared" si="57"/>
        <v>-1.5589051900175011E-2</v>
      </c>
      <c r="J910" s="8">
        <f t="shared" si="58"/>
        <v>-1.5711838930346712E-2</v>
      </c>
      <c r="K910" s="8">
        <f t="shared" si="55"/>
        <v>5.9678713893123403E-2</v>
      </c>
    </row>
    <row r="911" spans="1:11" x14ac:dyDescent="0.25">
      <c r="A911" t="str">
        <f t="shared" si="56"/>
        <v>92020</v>
      </c>
      <c r="B911" s="1">
        <v>44081</v>
      </c>
      <c r="C911" s="10">
        <v>44021.645833333336</v>
      </c>
      <c r="D911">
        <v>30897.7</v>
      </c>
      <c r="E911">
        <v>31053.25</v>
      </c>
      <c r="F911">
        <v>30407.85</v>
      </c>
      <c r="G911">
        <v>31003.85</v>
      </c>
      <c r="H911">
        <v>0</v>
      </c>
      <c r="I911" s="8">
        <f t="shared" si="57"/>
        <v>5.6830253676367626E-3</v>
      </c>
      <c r="J911" s="8">
        <f t="shared" si="58"/>
        <v>5.6669379005166408E-3</v>
      </c>
      <c r="K911" s="8">
        <f t="shared" si="55"/>
        <v>6.3757479688186125E-2</v>
      </c>
    </row>
    <row r="912" spans="1:11" x14ac:dyDescent="0.25">
      <c r="A912" t="str">
        <f t="shared" si="56"/>
        <v>92020</v>
      </c>
      <c r="B912" s="1">
        <v>44082</v>
      </c>
      <c r="C912" s="10">
        <v>44052.645833333336</v>
      </c>
      <c r="D912">
        <v>31001.65</v>
      </c>
      <c r="E912">
        <v>31052.65</v>
      </c>
      <c r="F912">
        <v>30748.400000000001</v>
      </c>
      <c r="G912">
        <v>30818.45</v>
      </c>
      <c r="H912">
        <v>0</v>
      </c>
      <c r="I912" s="8">
        <f t="shared" si="57"/>
        <v>-5.9799024959802383E-3</v>
      </c>
      <c r="J912" s="8">
        <f t="shared" si="58"/>
        <v>-5.9978537130392501E-3</v>
      </c>
      <c r="K912" s="8">
        <f t="shared" si="55"/>
        <v>7.3746245880049299E-2</v>
      </c>
    </row>
    <row r="913" spans="1:11" x14ac:dyDescent="0.25">
      <c r="A913" t="str">
        <f t="shared" si="56"/>
        <v>92020</v>
      </c>
      <c r="B913" s="1">
        <v>44083</v>
      </c>
      <c r="C913" s="10">
        <v>44083.645833333336</v>
      </c>
      <c r="D913">
        <v>30534.6</v>
      </c>
      <c r="E913">
        <v>30678.1</v>
      </c>
      <c r="F913">
        <v>30461</v>
      </c>
      <c r="G913">
        <v>30633.599999999999</v>
      </c>
      <c r="H913">
        <v>0</v>
      </c>
      <c r="I913" s="8">
        <f t="shared" si="57"/>
        <v>-5.9980304006205243E-3</v>
      </c>
      <c r="J913" s="8">
        <f t="shared" si="58"/>
        <v>-6.0160908392168297E-3</v>
      </c>
      <c r="K913" s="8">
        <f t="shared" si="55"/>
        <v>7.20288640384108E-2</v>
      </c>
    </row>
    <row r="914" spans="1:11" x14ac:dyDescent="0.25">
      <c r="A914" t="str">
        <f t="shared" si="56"/>
        <v>92020</v>
      </c>
      <c r="B914" s="1">
        <v>44084</v>
      </c>
      <c r="C914" s="10">
        <v>44113.645833333336</v>
      </c>
      <c r="D914">
        <v>30757.15</v>
      </c>
      <c r="E914">
        <v>30824</v>
      </c>
      <c r="F914">
        <v>30578.95</v>
      </c>
      <c r="G914">
        <v>30778.75</v>
      </c>
      <c r="H914">
        <v>0</v>
      </c>
      <c r="I914" s="8">
        <f t="shared" si="57"/>
        <v>4.7382612556148285E-3</v>
      </c>
      <c r="J914" s="8">
        <f t="shared" si="58"/>
        <v>4.7270710299711074E-3</v>
      </c>
      <c r="K914" s="8">
        <f t="shared" si="55"/>
        <v>8.2548559269126853E-2</v>
      </c>
    </row>
    <row r="915" spans="1:11" x14ac:dyDescent="0.25">
      <c r="A915" t="str">
        <f t="shared" si="56"/>
        <v>92020</v>
      </c>
      <c r="B915" s="1">
        <v>44085</v>
      </c>
      <c r="C915" s="10">
        <v>44144.645833333336</v>
      </c>
      <c r="D915">
        <v>30736.5</v>
      </c>
      <c r="E915">
        <v>31023</v>
      </c>
      <c r="F915">
        <v>30730.55</v>
      </c>
      <c r="G915">
        <v>30972.25</v>
      </c>
      <c r="H915">
        <v>0</v>
      </c>
      <c r="I915" s="8">
        <f t="shared" si="57"/>
        <v>6.2868050196971392E-3</v>
      </c>
      <c r="J915" s="8">
        <f t="shared" si="58"/>
        <v>6.267125498825566E-3</v>
      </c>
      <c r="K915" s="8">
        <f t="shared" si="55"/>
        <v>8.1104901793100481E-2</v>
      </c>
    </row>
    <row r="916" spans="1:11" x14ac:dyDescent="0.25">
      <c r="A916" t="str">
        <f t="shared" si="56"/>
        <v>92020</v>
      </c>
      <c r="B916" s="1">
        <v>44088</v>
      </c>
      <c r="C916" t="s">
        <v>579</v>
      </c>
      <c r="D916">
        <v>31151.85</v>
      </c>
      <c r="E916">
        <v>31153.8</v>
      </c>
      <c r="F916">
        <v>30669.25</v>
      </c>
      <c r="G916">
        <v>30760.5</v>
      </c>
      <c r="H916">
        <v>0</v>
      </c>
      <c r="I916" s="8">
        <f t="shared" si="57"/>
        <v>-6.83676516882048E-3</v>
      </c>
      <c r="J916" s="8">
        <f t="shared" si="58"/>
        <v>-6.8602429168964111E-3</v>
      </c>
      <c r="K916" s="8">
        <f t="shared" si="55"/>
        <v>7.1441633329792031E-2</v>
      </c>
    </row>
    <row r="917" spans="1:11" x14ac:dyDescent="0.25">
      <c r="A917" t="str">
        <f t="shared" si="56"/>
        <v>92020</v>
      </c>
      <c r="B917" s="1">
        <v>44089</v>
      </c>
      <c r="C917" t="s">
        <v>580</v>
      </c>
      <c r="D917">
        <v>30846.25</v>
      </c>
      <c r="E917">
        <v>30866.6</v>
      </c>
      <c r="F917">
        <v>30617.9</v>
      </c>
      <c r="G917">
        <v>30712.2</v>
      </c>
      <c r="H917">
        <v>0</v>
      </c>
      <c r="I917" s="8">
        <f t="shared" si="57"/>
        <v>-1.5701955429853198E-3</v>
      </c>
      <c r="J917" s="8">
        <f t="shared" si="58"/>
        <v>-1.571429591974914E-3</v>
      </c>
      <c r="K917" s="8">
        <f t="shared" si="55"/>
        <v>6.3977869737003923E-2</v>
      </c>
    </row>
    <row r="918" spans="1:11" x14ac:dyDescent="0.25">
      <c r="A918" t="str">
        <f t="shared" si="56"/>
        <v>92020</v>
      </c>
      <c r="B918" s="1">
        <v>44090</v>
      </c>
      <c r="C918" t="s">
        <v>581</v>
      </c>
      <c r="D918">
        <v>30748.3</v>
      </c>
      <c r="E918">
        <v>30865.9</v>
      </c>
      <c r="F918">
        <v>30670.05</v>
      </c>
      <c r="G918">
        <v>30837.55</v>
      </c>
      <c r="H918">
        <v>0</v>
      </c>
      <c r="I918" s="8">
        <f t="shared" si="57"/>
        <v>4.0814399489452757E-3</v>
      </c>
      <c r="J918" s="8">
        <f t="shared" si="58"/>
        <v>4.0731334668515189E-3</v>
      </c>
      <c r="K918" s="8">
        <f t="shared" si="55"/>
        <v>5.0497015860903716E-2</v>
      </c>
    </row>
    <row r="919" spans="1:11" x14ac:dyDescent="0.25">
      <c r="A919" t="str">
        <f t="shared" si="56"/>
        <v>92020</v>
      </c>
      <c r="B919" s="1">
        <v>44091</v>
      </c>
      <c r="C919" t="s">
        <v>582</v>
      </c>
      <c r="D919">
        <v>30822.7</v>
      </c>
      <c r="E919">
        <v>30894.400000000001</v>
      </c>
      <c r="F919">
        <v>30613.45</v>
      </c>
      <c r="G919">
        <v>30651.75</v>
      </c>
      <c r="H919">
        <v>0</v>
      </c>
      <c r="I919" s="8">
        <f t="shared" si="57"/>
        <v>-6.025121969806313E-3</v>
      </c>
      <c r="J919" s="8">
        <f t="shared" si="58"/>
        <v>-6.0433462564212798E-3</v>
      </c>
      <c r="K919" s="8">
        <f t="shared" si="55"/>
        <v>3.948635688463531E-2</v>
      </c>
    </row>
    <row r="920" spans="1:11" x14ac:dyDescent="0.25">
      <c r="A920" t="str">
        <f t="shared" si="56"/>
        <v>92020</v>
      </c>
      <c r="B920" s="1">
        <v>44092</v>
      </c>
      <c r="C920" t="s">
        <v>583</v>
      </c>
      <c r="D920">
        <v>30730.1</v>
      </c>
      <c r="E920">
        <v>30758.65</v>
      </c>
      <c r="F920">
        <v>30321.9</v>
      </c>
      <c r="G920">
        <v>30460.85</v>
      </c>
      <c r="H920">
        <v>0</v>
      </c>
      <c r="I920" s="8">
        <f t="shared" si="57"/>
        <v>-6.2280293947327703E-3</v>
      </c>
      <c r="J920" s="8">
        <f t="shared" si="58"/>
        <v>-6.2475044728164137E-3</v>
      </c>
      <c r="K920" s="8">
        <f t="shared" si="55"/>
        <v>1.1543091496268199E-2</v>
      </c>
    </row>
    <row r="921" spans="1:11" x14ac:dyDescent="0.25">
      <c r="A921" t="str">
        <f t="shared" si="56"/>
        <v>92020</v>
      </c>
      <c r="B921" s="1">
        <v>44095</v>
      </c>
      <c r="C921" t="s">
        <v>584</v>
      </c>
      <c r="D921">
        <v>30491.75</v>
      </c>
      <c r="E921">
        <v>30526.65</v>
      </c>
      <c r="F921">
        <v>29381.35</v>
      </c>
      <c r="G921">
        <v>29541.75</v>
      </c>
      <c r="H921">
        <v>0</v>
      </c>
      <c r="I921" s="8">
        <f t="shared" si="57"/>
        <v>-3.0173156691293834E-2</v>
      </c>
      <c r="J921" s="8">
        <f t="shared" si="58"/>
        <v>-3.0637735472761742E-2</v>
      </c>
      <c r="K921" s="8">
        <f t="shared" si="55"/>
        <v>-7.2352602156463552E-3</v>
      </c>
    </row>
    <row r="922" spans="1:11" x14ac:dyDescent="0.25">
      <c r="A922" t="str">
        <f t="shared" si="56"/>
        <v>92020</v>
      </c>
      <c r="B922" s="1">
        <v>44096</v>
      </c>
      <c r="C922" t="s">
        <v>585</v>
      </c>
      <c r="D922">
        <v>29564.6</v>
      </c>
      <c r="E922">
        <v>29583.85</v>
      </c>
      <c r="F922">
        <v>29065.45</v>
      </c>
      <c r="G922">
        <v>29312.400000000001</v>
      </c>
      <c r="H922">
        <v>0</v>
      </c>
      <c r="I922" s="8">
        <f t="shared" si="57"/>
        <v>-7.7635888192134628E-3</v>
      </c>
      <c r="J922" s="8">
        <f t="shared" si="58"/>
        <v>-7.7938823678546576E-3</v>
      </c>
      <c r="K922" s="8">
        <f t="shared" si="55"/>
        <v>-2.1995786017786845E-2</v>
      </c>
    </row>
    <row r="923" spans="1:11" x14ac:dyDescent="0.25">
      <c r="A923" t="str">
        <f t="shared" si="56"/>
        <v>92020</v>
      </c>
      <c r="B923" s="1">
        <v>44097</v>
      </c>
      <c r="C923" t="s">
        <v>586</v>
      </c>
      <c r="D923">
        <v>29426</v>
      </c>
      <c r="E923">
        <v>29652.25</v>
      </c>
      <c r="F923">
        <v>29149.15</v>
      </c>
      <c r="G923">
        <v>29322.35</v>
      </c>
      <c r="H923">
        <v>0</v>
      </c>
      <c r="I923" s="8">
        <f t="shared" si="57"/>
        <v>3.3944678702524378E-4</v>
      </c>
      <c r="J923" s="8">
        <f t="shared" si="58"/>
        <v>3.3938918799880055E-4</v>
      </c>
      <c r="K923" s="8">
        <f t="shared" si="55"/>
        <v>-2.4644707408547073E-2</v>
      </c>
    </row>
    <row r="924" spans="1:11" x14ac:dyDescent="0.25">
      <c r="A924" t="str">
        <f t="shared" si="56"/>
        <v>92020</v>
      </c>
      <c r="B924" s="1">
        <v>44098</v>
      </c>
      <c r="C924" t="s">
        <v>587</v>
      </c>
      <c r="D924">
        <v>29200.400000000001</v>
      </c>
      <c r="E924">
        <v>29275.95</v>
      </c>
      <c r="F924">
        <v>28969.35</v>
      </c>
      <c r="G924">
        <v>29044.95</v>
      </c>
      <c r="H924">
        <v>0</v>
      </c>
      <c r="I924" s="8">
        <f t="shared" si="57"/>
        <v>-9.4603604417790033E-3</v>
      </c>
      <c r="J924" s="8">
        <f t="shared" si="58"/>
        <v>-9.5053938984939398E-3</v>
      </c>
      <c r="K924" s="8">
        <f t="shared" si="55"/>
        <v>-3.9280575539568319E-2</v>
      </c>
    </row>
    <row r="925" spans="1:11" x14ac:dyDescent="0.25">
      <c r="A925" t="str">
        <f t="shared" si="56"/>
        <v>92020</v>
      </c>
      <c r="B925" s="1">
        <v>44099</v>
      </c>
      <c r="C925" t="s">
        <v>588</v>
      </c>
      <c r="D925">
        <v>29371.9</v>
      </c>
      <c r="E925">
        <v>29763.75</v>
      </c>
      <c r="F925">
        <v>29221.1</v>
      </c>
      <c r="G925">
        <v>29633.5</v>
      </c>
      <c r="H925">
        <v>0</v>
      </c>
      <c r="I925" s="8">
        <f t="shared" si="57"/>
        <v>2.0263419286313145E-2</v>
      </c>
      <c r="J925" s="8">
        <f t="shared" si="58"/>
        <v>2.0060848156571338E-2</v>
      </c>
      <c r="K925" s="8">
        <f t="shared" si="55"/>
        <v>-2.2519313106523886E-2</v>
      </c>
    </row>
    <row r="926" spans="1:11" x14ac:dyDescent="0.25">
      <c r="A926" t="str">
        <f t="shared" si="56"/>
        <v>92020</v>
      </c>
      <c r="B926" s="1">
        <v>44102</v>
      </c>
      <c r="C926" t="s">
        <v>589</v>
      </c>
      <c r="D926">
        <v>29754.95</v>
      </c>
      <c r="E926">
        <v>30001.599999999999</v>
      </c>
      <c r="F926">
        <v>29630.55</v>
      </c>
      <c r="G926">
        <v>29886.2</v>
      </c>
      <c r="H926">
        <v>0</v>
      </c>
      <c r="I926" s="8">
        <f t="shared" si="57"/>
        <v>8.5275110938634047E-3</v>
      </c>
      <c r="J926" s="8">
        <f t="shared" si="58"/>
        <v>8.4913572605474878E-3</v>
      </c>
      <c r="K926" s="8">
        <f t="shared" si="55"/>
        <v>-2.1058596552142039E-2</v>
      </c>
    </row>
    <row r="927" spans="1:11" x14ac:dyDescent="0.25">
      <c r="A927" t="str">
        <f t="shared" si="56"/>
        <v>92020</v>
      </c>
      <c r="B927" s="1">
        <v>44103</v>
      </c>
      <c r="C927" t="s">
        <v>590</v>
      </c>
      <c r="D927">
        <v>30026.1</v>
      </c>
      <c r="E927">
        <v>30056.45</v>
      </c>
      <c r="F927">
        <v>29396.799999999999</v>
      </c>
      <c r="G927">
        <v>29434.799999999999</v>
      </c>
      <c r="H927">
        <v>0</v>
      </c>
      <c r="I927" s="8">
        <f t="shared" si="57"/>
        <v>-1.5103961025490054E-2</v>
      </c>
      <c r="J927" s="8">
        <f t="shared" si="58"/>
        <v>-1.5219187568542725E-2</v>
      </c>
      <c r="K927" s="8">
        <f t="shared" si="55"/>
        <v>-3.9573996701215308E-2</v>
      </c>
    </row>
    <row r="928" spans="1:11" x14ac:dyDescent="0.25">
      <c r="A928" t="str">
        <f t="shared" si="56"/>
        <v>92020</v>
      </c>
      <c r="B928" s="1">
        <v>44104</v>
      </c>
      <c r="C928" t="s">
        <v>591</v>
      </c>
      <c r="D928">
        <v>29507.9</v>
      </c>
      <c r="E928">
        <v>30015.95</v>
      </c>
      <c r="F928">
        <v>29437.75</v>
      </c>
      <c r="G928">
        <v>29841.75</v>
      </c>
      <c r="H928">
        <v>0</v>
      </c>
      <c r="I928" s="8">
        <f t="shared" si="57"/>
        <v>1.3825471890415386E-2</v>
      </c>
      <c r="J928" s="8">
        <f t="shared" si="58"/>
        <v>1.3730771903644034E-2</v>
      </c>
      <c r="K928" s="8">
        <f t="shared" si="55"/>
        <v>-2.2165461921083152E-2</v>
      </c>
    </row>
    <row r="929" spans="1:11" x14ac:dyDescent="0.25">
      <c r="A929" t="str">
        <f t="shared" si="56"/>
        <v>102020</v>
      </c>
      <c r="B929" s="1">
        <v>44105</v>
      </c>
      <c r="C929" s="10">
        <v>43840.645833333336</v>
      </c>
      <c r="D929">
        <v>30149.15</v>
      </c>
      <c r="E929">
        <v>30155.95</v>
      </c>
      <c r="F929">
        <v>29894.05</v>
      </c>
      <c r="G929">
        <v>30009.55</v>
      </c>
      <c r="H929">
        <v>0</v>
      </c>
      <c r="I929" s="8">
        <f t="shared" si="57"/>
        <v>5.6229946300065947E-3</v>
      </c>
      <c r="J929" s="8">
        <f t="shared" si="58"/>
        <v>5.607244609638842E-3</v>
      </c>
      <c r="K929" s="8">
        <f t="shared" si="55"/>
        <v>-2.4837605893305748E-2</v>
      </c>
    </row>
    <row r="930" spans="1:11" x14ac:dyDescent="0.25">
      <c r="A930" t="str">
        <f t="shared" si="56"/>
        <v>102020</v>
      </c>
      <c r="B930" s="1">
        <v>44109</v>
      </c>
      <c r="C930" s="10">
        <v>43961.645833333336</v>
      </c>
      <c r="D930">
        <v>30083.8</v>
      </c>
      <c r="E930">
        <v>30217.25</v>
      </c>
      <c r="F930">
        <v>29965</v>
      </c>
      <c r="G930">
        <v>30112.15</v>
      </c>
      <c r="H930">
        <v>0</v>
      </c>
      <c r="I930" s="8">
        <f t="shared" si="57"/>
        <v>3.418911646459355E-3</v>
      </c>
      <c r="J930" s="8">
        <f t="shared" si="58"/>
        <v>3.4130804551416724E-3</v>
      </c>
      <c r="K930" s="8">
        <f t="shared" si="55"/>
        <v>-1.8244801812742906E-2</v>
      </c>
    </row>
    <row r="931" spans="1:11" x14ac:dyDescent="0.25">
      <c r="A931" t="str">
        <f t="shared" si="56"/>
        <v>102020</v>
      </c>
      <c r="B931" s="1">
        <v>44110</v>
      </c>
      <c r="C931" s="10">
        <v>43992.645833333336</v>
      </c>
      <c r="D931">
        <v>30228.35</v>
      </c>
      <c r="E931">
        <v>30397</v>
      </c>
      <c r="F931">
        <v>29965.05</v>
      </c>
      <c r="G931">
        <v>30054.7</v>
      </c>
      <c r="H931">
        <v>0</v>
      </c>
      <c r="I931" s="8">
        <f t="shared" si="57"/>
        <v>-1.9078677543782341E-3</v>
      </c>
      <c r="J931" s="8">
        <f t="shared" si="58"/>
        <v>-1.9096900522334239E-3</v>
      </c>
      <c r="K931" s="8">
        <f t="shared" si="55"/>
        <v>-2.4867663925583594E-2</v>
      </c>
    </row>
    <row r="932" spans="1:11" x14ac:dyDescent="0.25">
      <c r="A932" t="str">
        <f t="shared" si="56"/>
        <v>102020</v>
      </c>
      <c r="B932" s="1">
        <v>44111</v>
      </c>
      <c r="C932" s="10">
        <v>44022.645833333336</v>
      </c>
      <c r="D932">
        <v>30138.400000000001</v>
      </c>
      <c r="E932">
        <v>30310.45</v>
      </c>
      <c r="F932">
        <v>30072.6</v>
      </c>
      <c r="G932">
        <v>30168.799999999999</v>
      </c>
      <c r="H932">
        <v>0</v>
      </c>
      <c r="I932" s="8">
        <f t="shared" si="57"/>
        <v>3.7964112102266689E-3</v>
      </c>
      <c r="J932" s="8">
        <f t="shared" si="58"/>
        <v>3.7892230283070416E-3</v>
      </c>
      <c r="K932" s="8">
        <f t="shared" si="55"/>
        <v>-3.351284162371182E-2</v>
      </c>
    </row>
    <row r="933" spans="1:11" x14ac:dyDescent="0.25">
      <c r="A933" t="str">
        <f t="shared" si="56"/>
        <v>102020</v>
      </c>
      <c r="B933" s="1">
        <v>44112</v>
      </c>
      <c r="C933" s="10">
        <v>44053.645833333336</v>
      </c>
      <c r="D933">
        <v>30262.95</v>
      </c>
      <c r="E933">
        <v>30325</v>
      </c>
      <c r="F933">
        <v>30006.55</v>
      </c>
      <c r="G933">
        <v>30136.05</v>
      </c>
      <c r="H933">
        <v>0</v>
      </c>
      <c r="I933" s="8">
        <f t="shared" si="57"/>
        <v>-1.0855585903317699E-3</v>
      </c>
      <c r="J933" s="8">
        <f t="shared" si="58"/>
        <v>-1.0861482358267387E-3</v>
      </c>
      <c r="K933" s="8">
        <f t="shared" si="55"/>
        <v>-2.575902317439227E-2</v>
      </c>
    </row>
    <row r="934" spans="1:11" x14ac:dyDescent="0.25">
      <c r="A934" t="str">
        <f t="shared" si="56"/>
        <v>102020</v>
      </c>
      <c r="B934" s="1">
        <v>44113</v>
      </c>
      <c r="C934" s="10">
        <v>44084.645833333336</v>
      </c>
      <c r="D934">
        <v>30130.05</v>
      </c>
      <c r="E934">
        <v>30258.7</v>
      </c>
      <c r="F934">
        <v>29862.3</v>
      </c>
      <c r="G934">
        <v>29923.9</v>
      </c>
      <c r="H934">
        <v>0</v>
      </c>
      <c r="I934" s="8">
        <f t="shared" si="57"/>
        <v>-7.0397414392396884E-3</v>
      </c>
      <c r="J934" s="8">
        <f t="shared" si="58"/>
        <v>-7.0646373282219708E-3</v>
      </c>
      <c r="K934" s="8">
        <f t="shared" si="55"/>
        <v>-3.9066551703652252E-2</v>
      </c>
    </row>
    <row r="935" spans="1:11" x14ac:dyDescent="0.25">
      <c r="A935" t="str">
        <f t="shared" si="56"/>
        <v>102020</v>
      </c>
      <c r="B935" s="1">
        <v>44116</v>
      </c>
      <c r="C935" s="10">
        <v>44175.645833333336</v>
      </c>
      <c r="D935">
        <v>30107.35</v>
      </c>
      <c r="E935">
        <v>30297.5</v>
      </c>
      <c r="F935">
        <v>29890.05</v>
      </c>
      <c r="G935">
        <v>30024.25</v>
      </c>
      <c r="H935">
        <v>0</v>
      </c>
      <c r="I935" s="8">
        <f t="shared" si="57"/>
        <v>3.3535067287351339E-3</v>
      </c>
      <c r="J935" s="8">
        <f t="shared" si="58"/>
        <v>3.3478962646988561E-3</v>
      </c>
      <c r="K935" s="8">
        <f t="shared" si="55"/>
        <v>-3.7139599805659285E-2</v>
      </c>
    </row>
    <row r="936" spans="1:11" x14ac:dyDescent="0.25">
      <c r="A936" t="str">
        <f t="shared" si="56"/>
        <v>102020</v>
      </c>
      <c r="B936" s="1">
        <v>44117</v>
      </c>
      <c r="C936" t="s">
        <v>592</v>
      </c>
      <c r="D936">
        <v>30055.200000000001</v>
      </c>
      <c r="E936">
        <v>30257.599999999999</v>
      </c>
      <c r="F936">
        <v>29866</v>
      </c>
      <c r="G936">
        <v>29926.7</v>
      </c>
      <c r="H936">
        <v>0</v>
      </c>
      <c r="I936" s="8">
        <f t="shared" si="57"/>
        <v>-3.2490403590430539E-3</v>
      </c>
      <c r="J936" s="8">
        <f t="shared" si="58"/>
        <v>-3.254329951176799E-3</v>
      </c>
      <c r="K936" s="8">
        <f t="shared" si="55"/>
        <v>-4.8111758213446154E-2</v>
      </c>
    </row>
    <row r="937" spans="1:11" x14ac:dyDescent="0.25">
      <c r="A937" t="str">
        <f t="shared" si="56"/>
        <v>102020</v>
      </c>
      <c r="B937" s="1">
        <v>44118</v>
      </c>
      <c r="C937" t="s">
        <v>593</v>
      </c>
      <c r="D937">
        <v>29918.15</v>
      </c>
      <c r="E937">
        <v>29987.8</v>
      </c>
      <c r="F937">
        <v>29754.1</v>
      </c>
      <c r="G937">
        <v>29959.599999999999</v>
      </c>
      <c r="H937">
        <v>0</v>
      </c>
      <c r="I937" s="8">
        <f t="shared" si="57"/>
        <v>1.0993527518903257E-3</v>
      </c>
      <c r="J937" s="8">
        <f t="shared" si="58"/>
        <v>1.0987489061728951E-3</v>
      </c>
      <c r="K937" s="8">
        <f t="shared" si="55"/>
        <v>-4.9997859612796014E-2</v>
      </c>
    </row>
    <row r="938" spans="1:11" x14ac:dyDescent="0.25">
      <c r="A938" t="str">
        <f t="shared" si="56"/>
        <v>102020</v>
      </c>
      <c r="B938" s="1">
        <v>44119</v>
      </c>
      <c r="C938" t="s">
        <v>594</v>
      </c>
      <c r="D938">
        <v>30006</v>
      </c>
      <c r="E938">
        <v>30107</v>
      </c>
      <c r="F938">
        <v>29554.35</v>
      </c>
      <c r="G938">
        <v>29644.799999999999</v>
      </c>
      <c r="H938">
        <v>0</v>
      </c>
      <c r="I938" s="8">
        <f t="shared" si="57"/>
        <v>-1.0507483410993501E-2</v>
      </c>
      <c r="J938" s="8">
        <f t="shared" si="58"/>
        <v>-1.0563076788724812E-2</v>
      </c>
      <c r="K938" s="8">
        <f t="shared" si="55"/>
        <v>-5.2283789291965421E-2</v>
      </c>
    </row>
    <row r="939" spans="1:11" x14ac:dyDescent="0.25">
      <c r="A939" t="str">
        <f t="shared" si="56"/>
        <v>102020</v>
      </c>
      <c r="B939" s="1">
        <v>44120</v>
      </c>
      <c r="C939" t="s">
        <v>595</v>
      </c>
      <c r="D939">
        <v>29802.2</v>
      </c>
      <c r="E939">
        <v>29834</v>
      </c>
      <c r="F939">
        <v>29546.05</v>
      </c>
      <c r="G939">
        <v>29671.05</v>
      </c>
      <c r="H939">
        <v>0</v>
      </c>
      <c r="I939" s="8">
        <f t="shared" si="57"/>
        <v>8.8548413212441446E-4</v>
      </c>
      <c r="J939" s="8">
        <f t="shared" si="58"/>
        <v>8.8509232232747187E-4</v>
      </c>
      <c r="K939" s="8">
        <f t="shared" si="55"/>
        <v>-4.4459866802354808E-2</v>
      </c>
    </row>
    <row r="940" spans="1:11" x14ac:dyDescent="0.25">
      <c r="A940" t="str">
        <f t="shared" si="56"/>
        <v>102020</v>
      </c>
      <c r="B940" s="1">
        <v>44123</v>
      </c>
      <c r="C940" t="s">
        <v>596</v>
      </c>
      <c r="D940">
        <v>29815.85</v>
      </c>
      <c r="E940">
        <v>30151</v>
      </c>
      <c r="F940">
        <v>29745.45</v>
      </c>
      <c r="G940">
        <v>30068.85</v>
      </c>
      <c r="H940">
        <v>0</v>
      </c>
      <c r="I940" s="8">
        <f t="shared" si="57"/>
        <v>1.3407007840976259E-2</v>
      </c>
      <c r="J940" s="8">
        <f t="shared" si="58"/>
        <v>1.3317929213359074E-2</v>
      </c>
      <c r="K940" s="8">
        <f t="shared" si="55"/>
        <v>-3.3215012587655468E-2</v>
      </c>
    </row>
    <row r="941" spans="1:11" x14ac:dyDescent="0.25">
      <c r="A941" t="str">
        <f t="shared" si="56"/>
        <v>102020</v>
      </c>
      <c r="B941" s="1">
        <v>44124</v>
      </c>
      <c r="C941" t="s">
        <v>597</v>
      </c>
      <c r="D941">
        <v>29997.1</v>
      </c>
      <c r="E941">
        <v>30117.25</v>
      </c>
      <c r="F941">
        <v>29744.65</v>
      </c>
      <c r="G941">
        <v>29964.6</v>
      </c>
      <c r="H941">
        <v>0</v>
      </c>
      <c r="I941" s="8">
        <f t="shared" si="57"/>
        <v>-3.4670431360028786E-3</v>
      </c>
      <c r="J941" s="8">
        <f t="shared" si="58"/>
        <v>-3.4730672580139369E-3</v>
      </c>
      <c r="K941" s="8">
        <f t="shared" si="55"/>
        <v>-3.3987397985418499E-2</v>
      </c>
    </row>
    <row r="942" spans="1:11" x14ac:dyDescent="0.25">
      <c r="A942" t="str">
        <f t="shared" si="56"/>
        <v>102020</v>
      </c>
      <c r="B942" s="1">
        <v>44125</v>
      </c>
      <c r="C942" t="s">
        <v>598</v>
      </c>
      <c r="D942">
        <v>30105.05</v>
      </c>
      <c r="E942">
        <v>30139.25</v>
      </c>
      <c r="F942">
        <v>29483.200000000001</v>
      </c>
      <c r="G942">
        <v>29684.1</v>
      </c>
      <c r="H942">
        <v>0</v>
      </c>
      <c r="I942" s="8">
        <f t="shared" si="57"/>
        <v>-9.3610460343205304E-3</v>
      </c>
      <c r="J942" s="8">
        <f t="shared" si="58"/>
        <v>-9.4051359935616915E-3</v>
      </c>
      <c r="K942" s="8">
        <f t="shared" si="55"/>
        <v>-3.684812498479062E-2</v>
      </c>
    </row>
    <row r="943" spans="1:11" x14ac:dyDescent="0.25">
      <c r="A943" t="str">
        <f t="shared" si="56"/>
        <v>102020</v>
      </c>
      <c r="B943" s="1">
        <v>44126</v>
      </c>
      <c r="C943" t="s">
        <v>599</v>
      </c>
      <c r="D943">
        <v>29671.85</v>
      </c>
      <c r="E943">
        <v>29776.05</v>
      </c>
      <c r="F943">
        <v>29526.35</v>
      </c>
      <c r="G943">
        <v>29715.35</v>
      </c>
      <c r="H943">
        <v>0</v>
      </c>
      <c r="I943" s="8">
        <f t="shared" si="57"/>
        <v>1.0527521467722512E-3</v>
      </c>
      <c r="J943" s="8">
        <f t="shared" si="58"/>
        <v>1.0521983918413695E-3</v>
      </c>
      <c r="K943" s="8">
        <f t="shared" si="55"/>
        <v>-3.8677295064200701E-2</v>
      </c>
    </row>
    <row r="944" spans="1:11" x14ac:dyDescent="0.25">
      <c r="A944" t="str">
        <f t="shared" si="56"/>
        <v>102020</v>
      </c>
      <c r="B944" s="1">
        <v>44127</v>
      </c>
      <c r="C944" t="s">
        <v>600</v>
      </c>
      <c r="D944">
        <v>29830.65</v>
      </c>
      <c r="E944">
        <v>29861.9</v>
      </c>
      <c r="F944">
        <v>29641.95</v>
      </c>
      <c r="G944">
        <v>29782.2</v>
      </c>
      <c r="H944">
        <v>0</v>
      </c>
      <c r="I944" s="8">
        <f t="shared" si="57"/>
        <v>2.2496790379382681E-3</v>
      </c>
      <c r="J944" s="8">
        <f t="shared" si="58"/>
        <v>2.2471522989096918E-3</v>
      </c>
      <c r="K944" s="8">
        <f t="shared" si="55"/>
        <v>-3.7685186681099214E-2</v>
      </c>
    </row>
    <row r="945" spans="1:11" x14ac:dyDescent="0.25">
      <c r="A945" t="str">
        <f t="shared" si="56"/>
        <v>102020</v>
      </c>
      <c r="B945" s="1">
        <v>44130</v>
      </c>
      <c r="C945" t="s">
        <v>601</v>
      </c>
      <c r="D945">
        <v>29927.7</v>
      </c>
      <c r="E945">
        <v>29940.400000000001</v>
      </c>
      <c r="F945">
        <v>29635.35</v>
      </c>
      <c r="G945">
        <v>29774.65</v>
      </c>
      <c r="H945">
        <v>0</v>
      </c>
      <c r="I945" s="8">
        <f t="shared" si="57"/>
        <v>-2.5350712841898382E-4</v>
      </c>
      <c r="J945" s="8">
        <f t="shared" si="58"/>
        <v>-2.5353926678271441E-4</v>
      </c>
      <c r="K945" s="8">
        <f t="shared" si="55"/>
        <v>-3.0027951160396693E-2</v>
      </c>
    </row>
    <row r="946" spans="1:11" x14ac:dyDescent="0.25">
      <c r="A946" t="str">
        <f t="shared" si="56"/>
        <v>102020</v>
      </c>
      <c r="B946" s="1">
        <v>44131</v>
      </c>
      <c r="C946" t="s">
        <v>602</v>
      </c>
      <c r="D946">
        <v>29784.15</v>
      </c>
      <c r="E946">
        <v>30208.1</v>
      </c>
      <c r="F946">
        <v>29752.45</v>
      </c>
      <c r="G946">
        <v>30163.7</v>
      </c>
      <c r="H946">
        <v>0</v>
      </c>
      <c r="I946" s="8">
        <f t="shared" si="57"/>
        <v>1.3066484408716716E-2</v>
      </c>
      <c r="J946" s="8">
        <f t="shared" si="58"/>
        <v>1.2981854315989869E-2</v>
      </c>
      <c r="K946" s="8">
        <f t="shared" si="55"/>
        <v>-2.2957361660639219E-2</v>
      </c>
    </row>
    <row r="947" spans="1:11" x14ac:dyDescent="0.25">
      <c r="A947" t="str">
        <f t="shared" si="56"/>
        <v>102020</v>
      </c>
      <c r="B947" s="1">
        <v>44132</v>
      </c>
      <c r="C947" t="s">
        <v>603</v>
      </c>
      <c r="D947">
        <v>30240.3</v>
      </c>
      <c r="E947">
        <v>30240.3</v>
      </c>
      <c r="F947">
        <v>29882.55</v>
      </c>
      <c r="G947">
        <v>29948.1</v>
      </c>
      <c r="H947">
        <v>0</v>
      </c>
      <c r="I947" s="8">
        <f t="shared" si="57"/>
        <v>-7.1476642454341155E-3</v>
      </c>
      <c r="J947" s="8">
        <f t="shared" si="58"/>
        <v>-7.1733311763822905E-3</v>
      </c>
      <c r="K947" s="8">
        <f t="shared" si="55"/>
        <v>-2.6388338025604918E-2</v>
      </c>
    </row>
    <row r="948" spans="1:11" x14ac:dyDescent="0.25">
      <c r="A948" t="str">
        <f t="shared" si="56"/>
        <v>102020</v>
      </c>
      <c r="B948" s="1">
        <v>44133</v>
      </c>
      <c r="C948" t="s">
        <v>604</v>
      </c>
      <c r="D948">
        <v>29720.400000000001</v>
      </c>
      <c r="E948">
        <v>29847.5</v>
      </c>
      <c r="F948">
        <v>29595.75</v>
      </c>
      <c r="G948">
        <v>29663.45</v>
      </c>
      <c r="H948">
        <v>0</v>
      </c>
      <c r="I948" s="8">
        <f t="shared" si="57"/>
        <v>-9.5047765968457876E-3</v>
      </c>
      <c r="J948" s="8">
        <f t="shared" si="58"/>
        <v>-9.5502352648975889E-3</v>
      </c>
      <c r="K948" s="8">
        <f t="shared" si="55"/>
        <v>-4.0069057801120689E-2</v>
      </c>
    </row>
    <row r="949" spans="1:11" x14ac:dyDescent="0.25">
      <c r="A949" t="str">
        <f t="shared" si="56"/>
        <v>102020</v>
      </c>
      <c r="B949" s="1">
        <v>44134</v>
      </c>
      <c r="C949" t="s">
        <v>605</v>
      </c>
      <c r="D949">
        <v>29682.799999999999</v>
      </c>
      <c r="E949">
        <v>29829.15</v>
      </c>
      <c r="F949">
        <v>29329.8</v>
      </c>
      <c r="G949">
        <v>29428.45</v>
      </c>
      <c r="H949">
        <v>0</v>
      </c>
      <c r="I949" s="8">
        <f t="shared" si="57"/>
        <v>-7.9222072955101863E-3</v>
      </c>
      <c r="J949" s="8">
        <f t="shared" si="58"/>
        <v>-7.9537547069469198E-3</v>
      </c>
      <c r="K949" s="8">
        <f t="shared" si="55"/>
        <v>-4.6499760235358067E-2</v>
      </c>
    </row>
    <row r="950" spans="1:11" x14ac:dyDescent="0.25">
      <c r="A950" t="str">
        <f t="shared" si="56"/>
        <v>112020</v>
      </c>
      <c r="B950" s="1">
        <v>44137</v>
      </c>
      <c r="C950" s="10">
        <v>43872.645833333336</v>
      </c>
      <c r="D950">
        <v>29538.6</v>
      </c>
      <c r="E950">
        <v>29568.9</v>
      </c>
      <c r="F950">
        <v>29307.25</v>
      </c>
      <c r="G950">
        <v>29441.45</v>
      </c>
      <c r="H950">
        <v>0</v>
      </c>
      <c r="I950" s="8">
        <f t="shared" si="57"/>
        <v>4.4174939556795856E-4</v>
      </c>
      <c r="J950" s="8">
        <f t="shared" si="58"/>
        <v>4.4165185302889745E-4</v>
      </c>
      <c r="K950" s="8">
        <f t="shared" si="55"/>
        <v>-5.9005804216366808E-2</v>
      </c>
    </row>
    <row r="951" spans="1:11" x14ac:dyDescent="0.25">
      <c r="A951" t="str">
        <f t="shared" si="56"/>
        <v>112020</v>
      </c>
      <c r="B951" s="1">
        <v>44138</v>
      </c>
      <c r="C951" s="10">
        <v>43901.645833333336</v>
      </c>
      <c r="D951">
        <v>29622.75</v>
      </c>
      <c r="E951">
        <v>29655.8</v>
      </c>
      <c r="F951">
        <v>29434.05</v>
      </c>
      <c r="G951">
        <v>29526.35</v>
      </c>
      <c r="H951">
        <v>0</v>
      </c>
      <c r="I951" s="8">
        <f t="shared" si="57"/>
        <v>2.8836894921955292E-3</v>
      </c>
      <c r="J951" s="8">
        <f t="shared" si="58"/>
        <v>2.8795396356693886E-3</v>
      </c>
      <c r="K951" s="8">
        <f t="shared" si="55"/>
        <v>-6.2375756574977959E-2</v>
      </c>
    </row>
    <row r="952" spans="1:11" x14ac:dyDescent="0.25">
      <c r="A952" t="str">
        <f t="shared" si="56"/>
        <v>112020</v>
      </c>
      <c r="B952" s="1">
        <v>44139</v>
      </c>
      <c r="C952" s="10">
        <v>43932.645833333336</v>
      </c>
      <c r="D952">
        <v>29565.25</v>
      </c>
      <c r="E952">
        <v>29858.400000000001</v>
      </c>
      <c r="F952">
        <v>29537.95</v>
      </c>
      <c r="G952">
        <v>29612.400000000001</v>
      </c>
      <c r="H952">
        <v>0</v>
      </c>
      <c r="I952" s="8">
        <f t="shared" si="57"/>
        <v>2.9143459994209753E-3</v>
      </c>
      <c r="J952" s="8">
        <f t="shared" si="58"/>
        <v>2.9101075260405838E-3</v>
      </c>
      <c r="K952" s="8">
        <f t="shared" si="55"/>
        <v>-6.3543289033655581E-2</v>
      </c>
    </row>
    <row r="953" spans="1:11" x14ac:dyDescent="0.25">
      <c r="A953" t="str">
        <f t="shared" si="56"/>
        <v>112020</v>
      </c>
      <c r="B953" s="1">
        <v>44140</v>
      </c>
      <c r="C953" s="10">
        <v>43962.645833333336</v>
      </c>
      <c r="D953">
        <v>29898.45</v>
      </c>
      <c r="E953">
        <v>30216.75</v>
      </c>
      <c r="F953">
        <v>29805.55</v>
      </c>
      <c r="G953">
        <v>30180.05</v>
      </c>
      <c r="H953">
        <v>0</v>
      </c>
      <c r="I953" s="8">
        <f t="shared" si="57"/>
        <v>1.9169334467993071E-2</v>
      </c>
      <c r="J953" s="8">
        <f t="shared" si="58"/>
        <v>1.8987917537737833E-2</v>
      </c>
      <c r="K953" s="8">
        <f t="shared" si="55"/>
        <v>-4.9978358555453295E-2</v>
      </c>
    </row>
    <row r="954" spans="1:11" x14ac:dyDescent="0.25">
      <c r="A954" t="str">
        <f t="shared" si="56"/>
        <v>112020</v>
      </c>
      <c r="B954" s="1">
        <v>44141</v>
      </c>
      <c r="C954" s="10">
        <v>43993.645833333336</v>
      </c>
      <c r="D954">
        <v>30293.4</v>
      </c>
      <c r="E954">
        <v>30393.1</v>
      </c>
      <c r="F954">
        <v>30083.4</v>
      </c>
      <c r="G954">
        <v>30150.65</v>
      </c>
      <c r="H954">
        <v>0</v>
      </c>
      <c r="I954" s="8">
        <f t="shared" si="57"/>
        <v>-9.7415345567675171E-4</v>
      </c>
      <c r="J954" s="8">
        <f t="shared" si="58"/>
        <v>-9.7462825152874646E-4</v>
      </c>
      <c r="K954" s="8">
        <f t="shared" si="55"/>
        <v>-4.6972345408971217E-2</v>
      </c>
    </row>
    <row r="955" spans="1:11" x14ac:dyDescent="0.25">
      <c r="A955" t="str">
        <f t="shared" si="56"/>
        <v>112020</v>
      </c>
      <c r="B955" s="1">
        <v>44144</v>
      </c>
      <c r="C955" s="10">
        <v>44085.645833333336</v>
      </c>
      <c r="D955">
        <v>30388.799999999999</v>
      </c>
      <c r="E955">
        <v>30546.85</v>
      </c>
      <c r="F955">
        <v>30247.35</v>
      </c>
      <c r="G955">
        <v>30453.7</v>
      </c>
      <c r="H955">
        <v>0</v>
      </c>
      <c r="I955" s="8">
        <f t="shared" si="57"/>
        <v>1.0051192926189056E-2</v>
      </c>
      <c r="J955" s="8">
        <f t="shared" si="58"/>
        <v>1.0001015634206587E-2</v>
      </c>
      <c r="K955" s="8">
        <f t="shared" si="55"/>
        <v>-3.8349256271679955E-2</v>
      </c>
    </row>
    <row r="956" spans="1:11" x14ac:dyDescent="0.25">
      <c r="A956" t="str">
        <f t="shared" si="56"/>
        <v>112020</v>
      </c>
      <c r="B956" s="1">
        <v>44145</v>
      </c>
      <c r="C956" s="10">
        <v>44115.645833333336</v>
      </c>
      <c r="D956">
        <v>30636.6</v>
      </c>
      <c r="E956">
        <v>30646.799999999999</v>
      </c>
      <c r="F956">
        <v>30086.05</v>
      </c>
      <c r="G956">
        <v>30494.75</v>
      </c>
      <c r="H956">
        <v>0</v>
      </c>
      <c r="I956" s="8">
        <f t="shared" si="57"/>
        <v>1.3479478684035318E-3</v>
      </c>
      <c r="J956" s="8">
        <f t="shared" si="58"/>
        <v>1.3470402022417874E-3</v>
      </c>
      <c r="K956" s="8">
        <f t="shared" si="55"/>
        <v>-2.3791574030946339E-2</v>
      </c>
    </row>
    <row r="957" spans="1:11" x14ac:dyDescent="0.25">
      <c r="A957" t="str">
        <f t="shared" si="56"/>
        <v>112020</v>
      </c>
      <c r="B957" s="1">
        <v>44146</v>
      </c>
      <c r="C957" s="10">
        <v>44146.645833333336</v>
      </c>
      <c r="D957">
        <v>30589.05</v>
      </c>
      <c r="E957">
        <v>30886.75</v>
      </c>
      <c r="F957">
        <v>30289.200000000001</v>
      </c>
      <c r="G957">
        <v>30845.599999999999</v>
      </c>
      <c r="H957">
        <v>0</v>
      </c>
      <c r="I957" s="8">
        <f t="shared" si="57"/>
        <v>1.1505259101976417E-2</v>
      </c>
      <c r="J957" s="8">
        <f t="shared" si="58"/>
        <v>1.1439576922059163E-2</v>
      </c>
      <c r="K957" s="8">
        <f t="shared" si="55"/>
        <v>-2.2176150691944785E-2</v>
      </c>
    </row>
    <row r="958" spans="1:11" x14ac:dyDescent="0.25">
      <c r="A958" t="str">
        <f t="shared" si="56"/>
        <v>112020</v>
      </c>
      <c r="B958" s="1">
        <v>44147</v>
      </c>
      <c r="C958" s="10">
        <v>44176.645833333336</v>
      </c>
      <c r="D958">
        <v>30840.05</v>
      </c>
      <c r="E958">
        <v>31318.6</v>
      </c>
      <c r="F958">
        <v>30776.55</v>
      </c>
      <c r="G958">
        <v>31240.2</v>
      </c>
      <c r="H958">
        <v>0</v>
      </c>
      <c r="I958" s="8">
        <f t="shared" si="57"/>
        <v>1.2792748398475107E-2</v>
      </c>
      <c r="J958" s="8">
        <f t="shared" si="58"/>
        <v>1.2711612428029838E-2</v>
      </c>
      <c r="K958" s="8">
        <f t="shared" si="55"/>
        <v>-1.5317017665238297E-2</v>
      </c>
    </row>
    <row r="959" spans="1:11" x14ac:dyDescent="0.25">
      <c r="A959" t="str">
        <f t="shared" si="56"/>
        <v>112020</v>
      </c>
      <c r="B959" s="1">
        <v>44148</v>
      </c>
      <c r="C959" t="s">
        <v>606</v>
      </c>
      <c r="D959">
        <v>31270.2</v>
      </c>
      <c r="E959">
        <v>31393.45</v>
      </c>
      <c r="F959">
        <v>31151</v>
      </c>
      <c r="G959">
        <v>31222.1</v>
      </c>
      <c r="H959">
        <v>0</v>
      </c>
      <c r="I959" s="8">
        <f t="shared" si="57"/>
        <v>-5.793816940993235E-4</v>
      </c>
      <c r="J959" s="8">
        <f t="shared" si="58"/>
        <v>-5.795496005307929E-4</v>
      </c>
      <c r="K959" s="8">
        <f t="shared" si="55"/>
        <v>-1.1522491732901097E-2</v>
      </c>
    </row>
    <row r="960" spans="1:11" x14ac:dyDescent="0.25">
      <c r="A960" t="str">
        <f t="shared" si="56"/>
        <v>112020</v>
      </c>
      <c r="B960" s="1">
        <v>44152</v>
      </c>
      <c r="C960" t="s">
        <v>607</v>
      </c>
      <c r="D960">
        <v>31572.85</v>
      </c>
      <c r="E960">
        <v>31572.85</v>
      </c>
      <c r="F960">
        <v>31240.65</v>
      </c>
      <c r="G960">
        <v>31291.45</v>
      </c>
      <c r="H960">
        <v>0</v>
      </c>
      <c r="I960" s="8">
        <f t="shared" si="57"/>
        <v>2.2211830722469461E-3</v>
      </c>
      <c r="J960" s="8">
        <f t="shared" si="58"/>
        <v>2.2187198919020462E-3</v>
      </c>
      <c r="K960" s="8">
        <f t="shared" ref="K960:K1023" si="59">+G960/G899-1</f>
        <v>-4.7217071301117741E-3</v>
      </c>
    </row>
    <row r="961" spans="1:11" x14ac:dyDescent="0.25">
      <c r="A961" t="str">
        <f t="shared" si="56"/>
        <v>112020</v>
      </c>
      <c r="B961" s="1">
        <v>44153</v>
      </c>
      <c r="C961" t="s">
        <v>608</v>
      </c>
      <c r="D961">
        <v>31229.5</v>
      </c>
      <c r="E961">
        <v>31252.25</v>
      </c>
      <c r="F961">
        <v>30886.2</v>
      </c>
      <c r="G961">
        <v>30952.85</v>
      </c>
      <c r="H961">
        <v>0</v>
      </c>
      <c r="I961" s="8">
        <f t="shared" si="57"/>
        <v>-1.0820847228236508E-2</v>
      </c>
      <c r="J961" s="8">
        <f t="shared" si="58"/>
        <v>-1.0879818393423786E-2</v>
      </c>
      <c r="K961" s="8">
        <f t="shared" si="59"/>
        <v>-2.0615800331599488E-2</v>
      </c>
    </row>
    <row r="962" spans="1:11" x14ac:dyDescent="0.25">
      <c r="A962" t="str">
        <f t="shared" si="56"/>
        <v>112020</v>
      </c>
      <c r="B962" s="1">
        <v>44154</v>
      </c>
      <c r="C962" t="s">
        <v>609</v>
      </c>
      <c r="D962">
        <v>30833.7</v>
      </c>
      <c r="E962">
        <v>31353.8</v>
      </c>
      <c r="F962">
        <v>30783.35</v>
      </c>
      <c r="G962">
        <v>31085.200000000001</v>
      </c>
      <c r="H962">
        <v>0</v>
      </c>
      <c r="I962" s="8">
        <f t="shared" si="57"/>
        <v>4.2758582812245649E-3</v>
      </c>
      <c r="J962" s="8">
        <f t="shared" si="58"/>
        <v>4.2667427743765538E-3</v>
      </c>
      <c r="K962" s="8">
        <f t="shared" si="59"/>
        <v>-1.7596864926363698E-2</v>
      </c>
    </row>
    <row r="963" spans="1:11" x14ac:dyDescent="0.25">
      <c r="A963" t="str">
        <f t="shared" ref="A963:A1026" si="60">+MONTH(B963)&amp;YEAR(B963)</f>
        <v>112020</v>
      </c>
      <c r="B963" s="1">
        <v>44155</v>
      </c>
      <c r="C963" t="s">
        <v>610</v>
      </c>
      <c r="D963">
        <v>31234.799999999999</v>
      </c>
      <c r="E963">
        <v>31531.7</v>
      </c>
      <c r="F963">
        <v>31116.05</v>
      </c>
      <c r="G963">
        <v>31454.35</v>
      </c>
      <c r="H963">
        <v>0</v>
      </c>
      <c r="I963" s="8">
        <f t="shared" si="57"/>
        <v>1.1875426247860643E-2</v>
      </c>
      <c r="J963" s="8">
        <f t="shared" si="58"/>
        <v>1.1805466695243306E-2</v>
      </c>
      <c r="K963" s="8">
        <f t="shared" si="59"/>
        <v>-1.8912724926334334E-4</v>
      </c>
    </row>
    <row r="964" spans="1:11" x14ac:dyDescent="0.25">
      <c r="A964" t="str">
        <f t="shared" si="60"/>
        <v>112020</v>
      </c>
      <c r="B964" s="1">
        <v>44158</v>
      </c>
      <c r="C964" t="s">
        <v>611</v>
      </c>
      <c r="D964">
        <v>31593.599999999999</v>
      </c>
      <c r="E964">
        <v>31610.2</v>
      </c>
      <c r="F964">
        <v>31358.799999999999</v>
      </c>
      <c r="G964">
        <v>31568.1</v>
      </c>
      <c r="H964">
        <v>0</v>
      </c>
      <c r="I964" s="8">
        <f t="shared" ref="I964:I1027" si="61">+G964/G963-1</f>
        <v>3.6163519513199294E-3</v>
      </c>
      <c r="J964" s="8">
        <f t="shared" ref="J964:J1027" si="62">+LN(1+I964)</f>
        <v>3.609828672852161E-3</v>
      </c>
      <c r="K964" s="8">
        <f t="shared" si="59"/>
        <v>5.0830270197987915E-3</v>
      </c>
    </row>
    <row r="965" spans="1:11" x14ac:dyDescent="0.25">
      <c r="A965" t="str">
        <f t="shared" si="60"/>
        <v>112020</v>
      </c>
      <c r="B965" s="1">
        <v>44159</v>
      </c>
      <c r="C965" t="s">
        <v>612</v>
      </c>
      <c r="D965">
        <v>31600.400000000001</v>
      </c>
      <c r="E965">
        <v>31878.1</v>
      </c>
      <c r="F965">
        <v>31576.95</v>
      </c>
      <c r="G965">
        <v>31832.2</v>
      </c>
      <c r="H965">
        <v>0</v>
      </c>
      <c r="I965" s="8">
        <f t="shared" si="61"/>
        <v>8.3660404015446499E-3</v>
      </c>
      <c r="J965" s="8">
        <f t="shared" si="62"/>
        <v>8.3312390504971731E-3</v>
      </c>
      <c r="K965" s="8">
        <f t="shared" si="59"/>
        <v>1.653390048364245E-2</v>
      </c>
    </row>
    <row r="966" spans="1:11" x14ac:dyDescent="0.25">
      <c r="A966" t="str">
        <f t="shared" si="60"/>
        <v>112020</v>
      </c>
      <c r="B966" s="1">
        <v>44160</v>
      </c>
      <c r="C966" t="s">
        <v>613</v>
      </c>
      <c r="D966">
        <v>31926.35</v>
      </c>
      <c r="E966">
        <v>32006</v>
      </c>
      <c r="F966">
        <v>31350.35</v>
      </c>
      <c r="G966">
        <v>31441.7</v>
      </c>
      <c r="H966">
        <v>0</v>
      </c>
      <c r="I966" s="8">
        <f t="shared" si="61"/>
        <v>-1.2267452453804673E-2</v>
      </c>
      <c r="J966" s="8">
        <f t="shared" si="62"/>
        <v>-1.2343318744536508E-2</v>
      </c>
      <c r="K966" s="8">
        <f t="shared" si="59"/>
        <v>6.0233350238134697E-3</v>
      </c>
    </row>
    <row r="967" spans="1:11" x14ac:dyDescent="0.25">
      <c r="A967" t="str">
        <f t="shared" si="60"/>
        <v>112020</v>
      </c>
      <c r="B967" s="1">
        <v>44161</v>
      </c>
      <c r="C967" t="s">
        <v>614</v>
      </c>
      <c r="D967">
        <v>31548.45</v>
      </c>
      <c r="E967">
        <v>31765.5</v>
      </c>
      <c r="F967">
        <v>31305.65</v>
      </c>
      <c r="G967">
        <v>31701.3</v>
      </c>
      <c r="H967">
        <v>0</v>
      </c>
      <c r="I967" s="8">
        <f t="shared" si="61"/>
        <v>8.2565510134628983E-3</v>
      </c>
      <c r="J967" s="8">
        <f t="shared" si="62"/>
        <v>8.2226521600641846E-3</v>
      </c>
      <c r="K967" s="8">
        <f t="shared" si="59"/>
        <v>3.6154423168377914E-2</v>
      </c>
    </row>
    <row r="968" spans="1:11" x14ac:dyDescent="0.25">
      <c r="A968" t="str">
        <f t="shared" si="60"/>
        <v>112020</v>
      </c>
      <c r="B968" s="1">
        <v>44162</v>
      </c>
      <c r="C968" t="s">
        <v>615</v>
      </c>
      <c r="D968">
        <v>31786.400000000001</v>
      </c>
      <c r="E968">
        <v>31898.2</v>
      </c>
      <c r="F968">
        <v>31431.5</v>
      </c>
      <c r="G968">
        <v>31718.799999999999</v>
      </c>
      <c r="H968">
        <v>0</v>
      </c>
      <c r="I968" s="8">
        <f t="shared" si="61"/>
        <v>5.5202783482055651E-4</v>
      </c>
      <c r="J968" s="8">
        <f t="shared" si="62"/>
        <v>5.5187552350616036E-4</v>
      </c>
      <c r="K968" s="8">
        <f t="shared" si="59"/>
        <v>2.3578367859972138E-2</v>
      </c>
    </row>
    <row r="969" spans="1:11" x14ac:dyDescent="0.25">
      <c r="A969" t="str">
        <f t="shared" si="60"/>
        <v>122020</v>
      </c>
      <c r="B969" s="1">
        <v>44166</v>
      </c>
      <c r="C969" s="10">
        <v>43842.645833333336</v>
      </c>
      <c r="D969">
        <v>32090.799999999999</v>
      </c>
      <c r="E969">
        <v>32090.799999999999</v>
      </c>
      <c r="F969">
        <v>31655.65</v>
      </c>
      <c r="G969">
        <v>31705.25</v>
      </c>
      <c r="H969">
        <v>0</v>
      </c>
      <c r="I969" s="8">
        <f t="shared" si="61"/>
        <v>-4.2719144482139537E-4</v>
      </c>
      <c r="J969" s="8">
        <f t="shared" si="62"/>
        <v>-4.2728271708140431E-4</v>
      </c>
      <c r="K969" s="8">
        <f t="shared" si="59"/>
        <v>1.9974681793249793E-2</v>
      </c>
    </row>
    <row r="970" spans="1:11" x14ac:dyDescent="0.25">
      <c r="A970" t="str">
        <f t="shared" si="60"/>
        <v>122020</v>
      </c>
      <c r="B970" s="1">
        <v>44167</v>
      </c>
      <c r="C970" s="10">
        <v>43873.645833333336</v>
      </c>
      <c r="D970">
        <v>31811.15</v>
      </c>
      <c r="E970">
        <v>31918.799999999999</v>
      </c>
      <c r="F970">
        <v>31591.85</v>
      </c>
      <c r="G970">
        <v>31820.25</v>
      </c>
      <c r="H970">
        <v>0</v>
      </c>
      <c r="I970" s="8">
        <f t="shared" si="61"/>
        <v>3.6271595398238432E-3</v>
      </c>
      <c r="J970" s="8">
        <f t="shared" si="62"/>
        <v>3.6205972601632136E-3</v>
      </c>
      <c r="K970" s="8">
        <f t="shared" si="59"/>
        <v>1.607441361439621E-2</v>
      </c>
    </row>
    <row r="971" spans="1:11" x14ac:dyDescent="0.25">
      <c r="A971" t="str">
        <f t="shared" si="60"/>
        <v>122020</v>
      </c>
      <c r="B971" s="1">
        <v>44168</v>
      </c>
      <c r="C971" s="10">
        <v>43902.645833333336</v>
      </c>
      <c r="D971">
        <v>32022.25</v>
      </c>
      <c r="E971">
        <v>32027.65</v>
      </c>
      <c r="F971">
        <v>31754.05</v>
      </c>
      <c r="G971">
        <v>31908.65</v>
      </c>
      <c r="H971">
        <v>0</v>
      </c>
      <c r="I971" s="8">
        <f t="shared" si="61"/>
        <v>2.7781051374518029E-3</v>
      </c>
      <c r="J971" s="8">
        <f t="shared" si="62"/>
        <v>2.7742533355324724E-3</v>
      </c>
      <c r="K971" s="8">
        <f t="shared" si="59"/>
        <v>3.5032348156665893E-2</v>
      </c>
    </row>
    <row r="972" spans="1:11" x14ac:dyDescent="0.25">
      <c r="A972" t="str">
        <f t="shared" si="60"/>
        <v>122020</v>
      </c>
      <c r="B972" s="1">
        <v>44169</v>
      </c>
      <c r="C972" s="10">
        <v>43933.645833333336</v>
      </c>
      <c r="D972">
        <v>32044.05</v>
      </c>
      <c r="E972">
        <v>32404.85</v>
      </c>
      <c r="F972">
        <v>32016.5</v>
      </c>
      <c r="G972">
        <v>32356.75</v>
      </c>
      <c r="H972">
        <v>0</v>
      </c>
      <c r="I972" s="8">
        <f t="shared" si="61"/>
        <v>1.4043213987429803E-2</v>
      </c>
      <c r="J972" s="8">
        <f t="shared" si="62"/>
        <v>1.394552160550352E-2</v>
      </c>
      <c r="K972" s="8">
        <f t="shared" si="59"/>
        <v>4.3636516110096002E-2</v>
      </c>
    </row>
    <row r="973" spans="1:11" x14ac:dyDescent="0.25">
      <c r="A973" t="str">
        <f t="shared" si="60"/>
        <v>122020</v>
      </c>
      <c r="B973" s="1">
        <v>44172</v>
      </c>
      <c r="C973" s="10">
        <v>44024.645833333336</v>
      </c>
      <c r="D973">
        <v>32358.6</v>
      </c>
      <c r="E973">
        <v>32907.449999999997</v>
      </c>
      <c r="F973">
        <v>32351.95</v>
      </c>
      <c r="G973">
        <v>32866.9</v>
      </c>
      <c r="H973">
        <v>0</v>
      </c>
      <c r="I973" s="8">
        <f t="shared" si="61"/>
        <v>1.576641659004685E-2</v>
      </c>
      <c r="J973" s="8">
        <f t="shared" si="62"/>
        <v>1.5643417793043898E-2</v>
      </c>
      <c r="K973" s="8">
        <f t="shared" si="59"/>
        <v>6.6468300644581424E-2</v>
      </c>
    </row>
    <row r="974" spans="1:11" x14ac:dyDescent="0.25">
      <c r="A974" t="str">
        <f t="shared" si="60"/>
        <v>122020</v>
      </c>
      <c r="B974" s="1">
        <v>44173</v>
      </c>
      <c r="C974" s="10">
        <v>44055.645833333336</v>
      </c>
      <c r="D974">
        <v>32969.4</v>
      </c>
      <c r="E974">
        <v>33086</v>
      </c>
      <c r="F974">
        <v>32572.25</v>
      </c>
      <c r="G974">
        <v>32849.85</v>
      </c>
      <c r="H974">
        <v>0</v>
      </c>
      <c r="I974" s="8">
        <f t="shared" si="61"/>
        <v>-5.1875899461173436E-4</v>
      </c>
      <c r="J974" s="8">
        <f t="shared" si="62"/>
        <v>-5.1889359661165806E-4</v>
      </c>
      <c r="K974" s="8">
        <f t="shared" si="59"/>
        <v>7.2347030711375826E-2</v>
      </c>
    </row>
    <row r="975" spans="1:11" x14ac:dyDescent="0.25">
      <c r="A975" t="str">
        <f t="shared" si="60"/>
        <v>122020</v>
      </c>
      <c r="B975" s="1">
        <v>44174</v>
      </c>
      <c r="C975" s="10">
        <v>44086.645833333336</v>
      </c>
      <c r="D975">
        <v>33019.65</v>
      </c>
      <c r="E975">
        <v>33182.35</v>
      </c>
      <c r="F975">
        <v>32954.400000000001</v>
      </c>
      <c r="G975">
        <v>33125.5</v>
      </c>
      <c r="H975">
        <v>0</v>
      </c>
      <c r="I975" s="8">
        <f t="shared" si="61"/>
        <v>8.391210309940611E-3</v>
      </c>
      <c r="J975" s="8">
        <f t="shared" si="62"/>
        <v>8.3561998219419138E-3</v>
      </c>
      <c r="K975" s="8">
        <f t="shared" si="59"/>
        <v>7.6245786459814058E-2</v>
      </c>
    </row>
    <row r="976" spans="1:11" x14ac:dyDescent="0.25">
      <c r="A976" t="str">
        <f t="shared" si="60"/>
        <v>122020</v>
      </c>
      <c r="B976" s="1">
        <v>44175</v>
      </c>
      <c r="C976" s="10">
        <v>44116.645833333336</v>
      </c>
      <c r="D976">
        <v>33161.4</v>
      </c>
      <c r="E976">
        <v>34122.5</v>
      </c>
      <c r="F976">
        <v>33002</v>
      </c>
      <c r="G976">
        <v>34054.800000000003</v>
      </c>
      <c r="H976">
        <v>0</v>
      </c>
      <c r="I976" s="8">
        <f t="shared" si="61"/>
        <v>2.8053916167303239E-2</v>
      </c>
      <c r="J976" s="8">
        <f t="shared" si="62"/>
        <v>2.7667613291207781E-2</v>
      </c>
      <c r="K976" s="8">
        <f t="shared" si="59"/>
        <v>9.9526188765750145E-2</v>
      </c>
    </row>
    <row r="977" spans="1:11" x14ac:dyDescent="0.25">
      <c r="A977" t="str">
        <f t="shared" si="60"/>
        <v>122020</v>
      </c>
      <c r="B977" s="1">
        <v>44176</v>
      </c>
      <c r="C977" s="10">
        <v>44147.645833333336</v>
      </c>
      <c r="D977">
        <v>34245.25</v>
      </c>
      <c r="E977">
        <v>34427.699999999997</v>
      </c>
      <c r="F977">
        <v>33987.25</v>
      </c>
      <c r="G977">
        <v>34364.85</v>
      </c>
      <c r="H977">
        <v>0</v>
      </c>
      <c r="I977" s="8">
        <f t="shared" si="61"/>
        <v>9.1044434264770935E-3</v>
      </c>
      <c r="J977" s="8">
        <f t="shared" si="62"/>
        <v>9.0632478345893525E-3</v>
      </c>
      <c r="K977" s="8">
        <f t="shared" si="59"/>
        <v>0.11717462329936112</v>
      </c>
    </row>
    <row r="978" spans="1:11" x14ac:dyDescent="0.25">
      <c r="A978" t="str">
        <f t="shared" si="60"/>
        <v>122020</v>
      </c>
      <c r="B978" s="1">
        <v>44179</v>
      </c>
      <c r="C978" t="s">
        <v>616</v>
      </c>
      <c r="D978">
        <v>34505.35</v>
      </c>
      <c r="E978">
        <v>34596.050000000003</v>
      </c>
      <c r="F978">
        <v>34334.6</v>
      </c>
      <c r="G978">
        <v>34411.65</v>
      </c>
      <c r="H978">
        <v>0</v>
      </c>
      <c r="I978" s="8">
        <f t="shared" si="61"/>
        <v>1.361856664586103E-3</v>
      </c>
      <c r="J978" s="8">
        <f t="shared" si="62"/>
        <v>1.3609301788637756E-3</v>
      </c>
      <c r="K978" s="8">
        <f t="shared" si="59"/>
        <v>0.12045538906362951</v>
      </c>
    </row>
    <row r="979" spans="1:11" x14ac:dyDescent="0.25">
      <c r="A979" t="str">
        <f t="shared" si="60"/>
        <v>122020</v>
      </c>
      <c r="B979" s="1">
        <v>44180</v>
      </c>
      <c r="C979" t="s">
        <v>617</v>
      </c>
      <c r="D979">
        <v>34329.5</v>
      </c>
      <c r="E979">
        <v>34360.800000000003</v>
      </c>
      <c r="F979">
        <v>33906.1</v>
      </c>
      <c r="G979">
        <v>33967.9</v>
      </c>
      <c r="H979">
        <v>0</v>
      </c>
      <c r="I979" s="8">
        <f t="shared" si="61"/>
        <v>-1.2895342129772946E-2</v>
      </c>
      <c r="J979" s="8">
        <f t="shared" si="62"/>
        <v>-1.2979208827429152E-2</v>
      </c>
      <c r="K979" s="8">
        <f t="shared" si="59"/>
        <v>0.10151098255211588</v>
      </c>
    </row>
    <row r="980" spans="1:11" x14ac:dyDescent="0.25">
      <c r="A980" t="str">
        <f t="shared" si="60"/>
        <v>122020</v>
      </c>
      <c r="B980" s="1">
        <v>44181</v>
      </c>
      <c r="C980" t="s">
        <v>618</v>
      </c>
      <c r="D980">
        <v>34058.25</v>
      </c>
      <c r="E980">
        <v>34352.75</v>
      </c>
      <c r="F980">
        <v>34037.300000000003</v>
      </c>
      <c r="G980">
        <v>34195.85</v>
      </c>
      <c r="H980">
        <v>0</v>
      </c>
      <c r="I980" s="8">
        <f t="shared" si="61"/>
        <v>6.7107474998453487E-3</v>
      </c>
      <c r="J980" s="8">
        <f t="shared" si="62"/>
        <v>6.6883306670935134E-3</v>
      </c>
      <c r="K980" s="8">
        <f t="shared" si="59"/>
        <v>0.11562471963264742</v>
      </c>
    </row>
    <row r="981" spans="1:11" x14ac:dyDescent="0.25">
      <c r="A981" t="str">
        <f t="shared" si="60"/>
        <v>122020</v>
      </c>
      <c r="B981" s="1">
        <v>44182</v>
      </c>
      <c r="C981" t="s">
        <v>619</v>
      </c>
      <c r="D981">
        <v>34221.4</v>
      </c>
      <c r="E981">
        <v>34234.800000000003</v>
      </c>
      <c r="F981">
        <v>33955.35</v>
      </c>
      <c r="G981">
        <v>34013.550000000003</v>
      </c>
      <c r="H981">
        <v>0</v>
      </c>
      <c r="I981" s="8">
        <f t="shared" si="61"/>
        <v>-5.3310562539020667E-3</v>
      </c>
      <c r="J981" s="8">
        <f t="shared" si="62"/>
        <v>-5.3453170402432389E-3</v>
      </c>
      <c r="K981" s="8">
        <f t="shared" si="59"/>
        <v>0.11663167639773686</v>
      </c>
    </row>
    <row r="982" spans="1:11" x14ac:dyDescent="0.25">
      <c r="A982" t="str">
        <f t="shared" si="60"/>
        <v>122020</v>
      </c>
      <c r="B982" s="1">
        <v>44183</v>
      </c>
      <c r="C982" t="s">
        <v>620</v>
      </c>
      <c r="D982">
        <v>34090.050000000003</v>
      </c>
      <c r="E982">
        <v>34173.5</v>
      </c>
      <c r="F982">
        <v>33878.199999999997</v>
      </c>
      <c r="G982">
        <v>34102.699999999997</v>
      </c>
      <c r="H982">
        <v>0</v>
      </c>
      <c r="I982" s="8">
        <f t="shared" si="61"/>
        <v>2.6210142722531415E-3</v>
      </c>
      <c r="J982" s="8">
        <f t="shared" si="62"/>
        <v>2.6175854044462998E-3</v>
      </c>
      <c r="K982" s="8">
        <f t="shared" si="59"/>
        <v>0.15438997351206329</v>
      </c>
    </row>
    <row r="983" spans="1:11" x14ac:dyDescent="0.25">
      <c r="A983" t="str">
        <f t="shared" si="60"/>
        <v>122020</v>
      </c>
      <c r="B983" s="1">
        <v>44186</v>
      </c>
      <c r="C983" t="s">
        <v>621</v>
      </c>
      <c r="D983">
        <v>34121.75</v>
      </c>
      <c r="E983">
        <v>34121.75</v>
      </c>
      <c r="F983">
        <v>32570.75</v>
      </c>
      <c r="G983">
        <v>33151.1</v>
      </c>
      <c r="H983">
        <v>0</v>
      </c>
      <c r="I983" s="8">
        <f t="shared" si="61"/>
        <v>-2.7903948954188351E-2</v>
      </c>
      <c r="J983" s="8">
        <f t="shared" si="62"/>
        <v>-2.8300661455503914E-2</v>
      </c>
      <c r="K983" s="8">
        <f t="shared" si="59"/>
        <v>0.13095822928180545</v>
      </c>
    </row>
    <row r="984" spans="1:11" x14ac:dyDescent="0.25">
      <c r="A984" t="str">
        <f t="shared" si="60"/>
        <v>122020</v>
      </c>
      <c r="B984" s="1">
        <v>44187</v>
      </c>
      <c r="C984" t="s">
        <v>622</v>
      </c>
      <c r="D984">
        <v>33195.699999999997</v>
      </c>
      <c r="E984">
        <v>33544.550000000003</v>
      </c>
      <c r="F984">
        <v>32633.75</v>
      </c>
      <c r="G984">
        <v>33329.050000000003</v>
      </c>
      <c r="H984">
        <v>0</v>
      </c>
      <c r="I984" s="8">
        <f t="shared" si="61"/>
        <v>5.3678460141595163E-3</v>
      </c>
      <c r="J984" s="8">
        <f t="shared" si="62"/>
        <v>5.3534904780342864E-3</v>
      </c>
      <c r="K984" s="8">
        <f t="shared" si="59"/>
        <v>0.13664320901974114</v>
      </c>
    </row>
    <row r="985" spans="1:11" x14ac:dyDescent="0.25">
      <c r="A985" t="str">
        <f t="shared" si="60"/>
        <v>122020</v>
      </c>
      <c r="B985" s="1">
        <v>44188</v>
      </c>
      <c r="C985" t="s">
        <v>623</v>
      </c>
      <c r="D985">
        <v>33392.5</v>
      </c>
      <c r="E985">
        <v>34040.949999999997</v>
      </c>
      <c r="F985">
        <v>33284.75</v>
      </c>
      <c r="G985">
        <v>33966</v>
      </c>
      <c r="H985">
        <v>0</v>
      </c>
      <c r="I985" s="8">
        <f t="shared" si="61"/>
        <v>1.9110955757814851E-2</v>
      </c>
      <c r="J985" s="8">
        <f t="shared" si="62"/>
        <v>1.8930635219428494E-2</v>
      </c>
      <c r="K985" s="8">
        <f t="shared" si="59"/>
        <v>0.169428764725021</v>
      </c>
    </row>
    <row r="986" spans="1:11" x14ac:dyDescent="0.25">
      <c r="A986" t="str">
        <f t="shared" si="60"/>
        <v>122020</v>
      </c>
      <c r="B986" s="1">
        <v>44189</v>
      </c>
      <c r="C986" t="s">
        <v>624</v>
      </c>
      <c r="D986">
        <v>34191.199999999997</v>
      </c>
      <c r="E986">
        <v>34288.449999999997</v>
      </c>
      <c r="F986">
        <v>33769.35</v>
      </c>
      <c r="G986">
        <v>34115.65</v>
      </c>
      <c r="H986">
        <v>0</v>
      </c>
      <c r="I986" s="8">
        <f t="shared" si="61"/>
        <v>4.4058764647001425E-3</v>
      </c>
      <c r="J986" s="8">
        <f t="shared" si="62"/>
        <v>4.3961990057029207E-3</v>
      </c>
      <c r="K986" s="8">
        <f t="shared" si="59"/>
        <v>0.15125280510233363</v>
      </c>
    </row>
    <row r="987" spans="1:11" x14ac:dyDescent="0.25">
      <c r="A987" t="str">
        <f t="shared" si="60"/>
        <v>122020</v>
      </c>
      <c r="B987" s="1">
        <v>44193</v>
      </c>
      <c r="C987" t="s">
        <v>625</v>
      </c>
      <c r="D987">
        <v>34262.050000000003</v>
      </c>
      <c r="E987">
        <v>34369.4</v>
      </c>
      <c r="F987">
        <v>34079.449999999997</v>
      </c>
      <c r="G987">
        <v>34181.1</v>
      </c>
      <c r="H987">
        <v>0</v>
      </c>
      <c r="I987" s="8">
        <f t="shared" si="61"/>
        <v>1.9184743658702264E-3</v>
      </c>
      <c r="J987" s="8">
        <f t="shared" si="62"/>
        <v>1.9166364442189344E-3</v>
      </c>
      <c r="K987" s="8">
        <f t="shared" si="59"/>
        <v>0.14370846745320565</v>
      </c>
    </row>
    <row r="988" spans="1:11" x14ac:dyDescent="0.25">
      <c r="A988" t="str">
        <f t="shared" si="60"/>
        <v>122020</v>
      </c>
      <c r="B988" s="1">
        <v>44194</v>
      </c>
      <c r="C988" t="s">
        <v>626</v>
      </c>
      <c r="D988">
        <v>34313.699999999997</v>
      </c>
      <c r="E988">
        <v>34377.4</v>
      </c>
      <c r="F988">
        <v>33982.35</v>
      </c>
      <c r="G988">
        <v>34181.949999999997</v>
      </c>
      <c r="H988">
        <v>0</v>
      </c>
      <c r="I988" s="8">
        <f t="shared" si="61"/>
        <v>2.4867543759521382E-5</v>
      </c>
      <c r="J988" s="8">
        <f t="shared" si="62"/>
        <v>2.4867234567280958E-5</v>
      </c>
      <c r="K988" s="8">
        <f t="shared" si="59"/>
        <v>0.16127678801962286</v>
      </c>
    </row>
    <row r="989" spans="1:11" x14ac:dyDescent="0.25">
      <c r="A989" t="str">
        <f t="shared" si="60"/>
        <v>122020</v>
      </c>
      <c r="B989" s="1">
        <v>44195</v>
      </c>
      <c r="C989" t="s">
        <v>627</v>
      </c>
      <c r="D989">
        <v>34323.949999999997</v>
      </c>
      <c r="E989">
        <v>34362.699999999997</v>
      </c>
      <c r="F989">
        <v>34039.199999999997</v>
      </c>
      <c r="G989">
        <v>34313.699999999997</v>
      </c>
      <c r="H989">
        <v>0</v>
      </c>
      <c r="I989" s="8">
        <f t="shared" si="61"/>
        <v>3.8543734339322455E-3</v>
      </c>
      <c r="J989" s="8">
        <f t="shared" si="62"/>
        <v>3.8469643687483318E-3</v>
      </c>
      <c r="K989" s="8">
        <f t="shared" si="59"/>
        <v>0.14985548769760482</v>
      </c>
    </row>
    <row r="990" spans="1:11" x14ac:dyDescent="0.25">
      <c r="A990" t="str">
        <f t="shared" si="60"/>
        <v>122020</v>
      </c>
      <c r="B990" s="1">
        <v>44196</v>
      </c>
      <c r="C990" t="s">
        <v>628</v>
      </c>
      <c r="D990">
        <v>34255.1</v>
      </c>
      <c r="E990">
        <v>34324.949999999997</v>
      </c>
      <c r="F990">
        <v>34109.5</v>
      </c>
      <c r="G990">
        <v>34177.1</v>
      </c>
      <c r="H990">
        <v>0</v>
      </c>
      <c r="I990" s="8">
        <f t="shared" si="61"/>
        <v>-3.9809172429670081E-3</v>
      </c>
      <c r="J990" s="8">
        <f t="shared" si="62"/>
        <v>-3.9888621864662376E-3</v>
      </c>
      <c r="K990" s="8">
        <f t="shared" si="59"/>
        <v>0.13887412507018593</v>
      </c>
    </row>
    <row r="991" spans="1:11" x14ac:dyDescent="0.25">
      <c r="A991" t="str">
        <f t="shared" si="60"/>
        <v>12021</v>
      </c>
      <c r="B991" s="1">
        <v>44197</v>
      </c>
      <c r="C991" s="10">
        <v>44197.645833333336</v>
      </c>
      <c r="D991">
        <v>34236.699999999997</v>
      </c>
      <c r="E991">
        <v>34435.199999999997</v>
      </c>
      <c r="F991">
        <v>34212.199999999997</v>
      </c>
      <c r="G991">
        <v>34391.85</v>
      </c>
      <c r="H991">
        <v>0</v>
      </c>
      <c r="I991" s="8">
        <f t="shared" si="61"/>
        <v>6.2834471034698414E-3</v>
      </c>
      <c r="J991" s="8">
        <f t="shared" si="62"/>
        <v>6.263788555706429E-3</v>
      </c>
      <c r="K991" s="8">
        <f t="shared" si="59"/>
        <v>0.14212535471562138</v>
      </c>
    </row>
    <row r="992" spans="1:11" x14ac:dyDescent="0.25">
      <c r="A992" t="str">
        <f t="shared" si="60"/>
        <v>12021</v>
      </c>
      <c r="B992" s="1">
        <v>44200</v>
      </c>
      <c r="C992" s="10">
        <v>44287.645833333336</v>
      </c>
      <c r="D992">
        <v>34535.25</v>
      </c>
      <c r="E992">
        <v>34713.599999999999</v>
      </c>
      <c r="F992">
        <v>34385.5</v>
      </c>
      <c r="G992">
        <v>34619.699999999997</v>
      </c>
      <c r="H992">
        <v>0</v>
      </c>
      <c r="I992" s="8">
        <f t="shared" si="61"/>
        <v>6.6251161248958024E-3</v>
      </c>
      <c r="J992" s="8">
        <f t="shared" si="62"/>
        <v>6.6032664941968822E-3</v>
      </c>
      <c r="K992" s="8">
        <f t="shared" si="59"/>
        <v>0.15188972107523946</v>
      </c>
    </row>
    <row r="993" spans="1:11" x14ac:dyDescent="0.25">
      <c r="A993" t="str">
        <f t="shared" si="60"/>
        <v>12021</v>
      </c>
      <c r="B993" s="1">
        <v>44201</v>
      </c>
      <c r="C993" s="10">
        <v>44317.645833333336</v>
      </c>
      <c r="D993">
        <v>34473.5</v>
      </c>
      <c r="E993">
        <v>34788.35</v>
      </c>
      <c r="F993">
        <v>34420.15</v>
      </c>
      <c r="G993">
        <v>34720.25</v>
      </c>
      <c r="H993">
        <v>0</v>
      </c>
      <c r="I993" s="8">
        <f t="shared" si="61"/>
        <v>2.9044156939546095E-3</v>
      </c>
      <c r="J993" s="8">
        <f t="shared" si="62"/>
        <v>2.9002060278034616E-3</v>
      </c>
      <c r="K993" s="8">
        <f t="shared" si="59"/>
        <v>0.15086612659436249</v>
      </c>
    </row>
    <row r="994" spans="1:11" x14ac:dyDescent="0.25">
      <c r="A994" t="str">
        <f t="shared" si="60"/>
        <v>12021</v>
      </c>
      <c r="B994" s="1">
        <v>44202</v>
      </c>
      <c r="C994" s="10">
        <v>44348.645833333336</v>
      </c>
      <c r="D994">
        <v>34748.1</v>
      </c>
      <c r="E994">
        <v>34768.199999999997</v>
      </c>
      <c r="F994">
        <v>34091.449999999997</v>
      </c>
      <c r="G994">
        <v>34327.35</v>
      </c>
      <c r="H994">
        <v>0</v>
      </c>
      <c r="I994" s="8">
        <f t="shared" si="61"/>
        <v>-1.1316162758044701E-2</v>
      </c>
      <c r="J994" s="8">
        <f t="shared" si="62"/>
        <v>-1.1380677697292282E-2</v>
      </c>
      <c r="K994" s="8">
        <f t="shared" si="59"/>
        <v>0.13907927548567245</v>
      </c>
    </row>
    <row r="995" spans="1:11" x14ac:dyDescent="0.25">
      <c r="A995" t="str">
        <f t="shared" si="60"/>
        <v>12021</v>
      </c>
      <c r="B995" s="1">
        <v>44203</v>
      </c>
      <c r="C995" s="10">
        <v>44378.645833333336</v>
      </c>
      <c r="D995">
        <v>34521.65</v>
      </c>
      <c r="E995">
        <v>34543</v>
      </c>
      <c r="F995">
        <v>33988.199999999997</v>
      </c>
      <c r="G995">
        <v>34032.35</v>
      </c>
      <c r="H995">
        <v>0</v>
      </c>
      <c r="I995" s="8">
        <f t="shared" si="61"/>
        <v>-8.5937306550024628E-3</v>
      </c>
      <c r="J995" s="8">
        <f t="shared" si="62"/>
        <v>-8.630869686590709E-3</v>
      </c>
      <c r="K995" s="8">
        <f t="shared" si="59"/>
        <v>0.13729660906499475</v>
      </c>
    </row>
    <row r="996" spans="1:11" x14ac:dyDescent="0.25">
      <c r="A996" t="str">
        <f t="shared" si="60"/>
        <v>12021</v>
      </c>
      <c r="B996" s="1">
        <v>44204</v>
      </c>
      <c r="C996" s="10">
        <v>44409.645833333336</v>
      </c>
      <c r="D996">
        <v>34282.449999999997</v>
      </c>
      <c r="E996">
        <v>34346.199999999997</v>
      </c>
      <c r="F996">
        <v>33994.199999999997</v>
      </c>
      <c r="G996">
        <v>34276.75</v>
      </c>
      <c r="H996">
        <v>0</v>
      </c>
      <c r="I996" s="8">
        <f t="shared" si="61"/>
        <v>7.181402400950887E-3</v>
      </c>
      <c r="J996" s="8">
        <f t="shared" si="62"/>
        <v>7.1557389239829457E-3</v>
      </c>
      <c r="K996" s="8">
        <f t="shared" si="59"/>
        <v>0.14163551129503649</v>
      </c>
    </row>
    <row r="997" spans="1:11" x14ac:dyDescent="0.25">
      <c r="A997" t="str">
        <f t="shared" si="60"/>
        <v>12021</v>
      </c>
      <c r="B997" s="1">
        <v>44207</v>
      </c>
      <c r="C997" s="10">
        <v>44501.645833333336</v>
      </c>
      <c r="D997">
        <v>34597.35</v>
      </c>
      <c r="E997">
        <v>34919.599999999999</v>
      </c>
      <c r="F997">
        <v>34446.35</v>
      </c>
      <c r="G997">
        <v>34681.25</v>
      </c>
      <c r="H997">
        <v>0</v>
      </c>
      <c r="I997" s="8">
        <f t="shared" si="61"/>
        <v>1.180100213701718E-2</v>
      </c>
      <c r="J997" s="8">
        <f t="shared" si="62"/>
        <v>1.1731913324918767E-2</v>
      </c>
      <c r="K997" s="8">
        <f t="shared" si="59"/>
        <v>0.15887318013680085</v>
      </c>
    </row>
    <row r="998" spans="1:11" x14ac:dyDescent="0.25">
      <c r="A998" t="str">
        <f t="shared" si="60"/>
        <v>12021</v>
      </c>
      <c r="B998" s="1">
        <v>44208</v>
      </c>
      <c r="C998" s="10">
        <v>44531.645833333336</v>
      </c>
      <c r="D998">
        <v>34754.699999999997</v>
      </c>
      <c r="E998">
        <v>34771.65</v>
      </c>
      <c r="F998">
        <v>34401.65</v>
      </c>
      <c r="G998">
        <v>34488.65</v>
      </c>
      <c r="H998">
        <v>0</v>
      </c>
      <c r="I998" s="8">
        <f t="shared" si="61"/>
        <v>-5.5534330510000895E-3</v>
      </c>
      <c r="J998" s="8">
        <f t="shared" si="62"/>
        <v>-5.5689106896103123E-3</v>
      </c>
      <c r="K998" s="8">
        <f t="shared" si="59"/>
        <v>0.15117191150749676</v>
      </c>
    </row>
    <row r="999" spans="1:11" x14ac:dyDescent="0.25">
      <c r="A999" t="str">
        <f t="shared" si="60"/>
        <v>12021</v>
      </c>
      <c r="B999" s="1">
        <v>44209</v>
      </c>
      <c r="C999" t="s">
        <v>629</v>
      </c>
      <c r="D999">
        <v>34617.599999999999</v>
      </c>
      <c r="E999">
        <v>34945.300000000003</v>
      </c>
      <c r="F999">
        <v>34377.25</v>
      </c>
      <c r="G999">
        <v>34617.599999999999</v>
      </c>
      <c r="H999">
        <v>0</v>
      </c>
      <c r="I999" s="8">
        <f t="shared" si="61"/>
        <v>3.7389112070203012E-3</v>
      </c>
      <c r="J999" s="8">
        <f t="shared" si="62"/>
        <v>3.7319388524521863E-3</v>
      </c>
      <c r="K999" s="8">
        <f t="shared" si="59"/>
        <v>0.16774611398963724</v>
      </c>
    </row>
    <row r="1000" spans="1:11" x14ac:dyDescent="0.25">
      <c r="A1000" t="str">
        <f t="shared" si="60"/>
        <v>12021</v>
      </c>
      <c r="B1000" s="1">
        <v>44210</v>
      </c>
      <c r="C1000" t="s">
        <v>630</v>
      </c>
      <c r="D1000">
        <v>34669.1</v>
      </c>
      <c r="E1000">
        <v>34942.199999999997</v>
      </c>
      <c r="F1000">
        <v>34616</v>
      </c>
      <c r="G1000">
        <v>34885.699999999997</v>
      </c>
      <c r="H1000">
        <v>0</v>
      </c>
      <c r="I1000" s="8">
        <f t="shared" si="61"/>
        <v>7.7446154557219149E-3</v>
      </c>
      <c r="J1000" s="8">
        <f t="shared" si="62"/>
        <v>7.7147798658815424E-3</v>
      </c>
      <c r="K1000" s="8">
        <f t="shared" si="59"/>
        <v>0.1757487517293792</v>
      </c>
    </row>
    <row r="1001" spans="1:11" x14ac:dyDescent="0.25">
      <c r="A1001" t="str">
        <f t="shared" si="60"/>
        <v>12021</v>
      </c>
      <c r="B1001" s="1">
        <v>44211</v>
      </c>
      <c r="C1001" t="s">
        <v>631</v>
      </c>
      <c r="D1001">
        <v>34898.800000000003</v>
      </c>
      <c r="E1001">
        <v>35000.35</v>
      </c>
      <c r="F1001">
        <v>34350.15</v>
      </c>
      <c r="G1001">
        <v>34630.050000000003</v>
      </c>
      <c r="H1001">
        <v>0</v>
      </c>
      <c r="I1001" s="8">
        <f t="shared" si="61"/>
        <v>-7.3282175791224979E-3</v>
      </c>
      <c r="J1001" s="8">
        <f t="shared" si="62"/>
        <v>-7.3552008726839122E-3</v>
      </c>
      <c r="K1001" s="8">
        <f t="shared" si="59"/>
        <v>0.15169186716485683</v>
      </c>
    </row>
    <row r="1002" spans="1:11" x14ac:dyDescent="0.25">
      <c r="A1002" t="str">
        <f t="shared" si="60"/>
        <v>12021</v>
      </c>
      <c r="B1002" s="1">
        <v>44214</v>
      </c>
      <c r="C1002" t="s">
        <v>632</v>
      </c>
      <c r="D1002">
        <v>34735.699999999997</v>
      </c>
      <c r="E1002">
        <v>34810.400000000001</v>
      </c>
      <c r="F1002">
        <v>34248.199999999997</v>
      </c>
      <c r="G1002">
        <v>34502.85</v>
      </c>
      <c r="H1002">
        <v>0</v>
      </c>
      <c r="I1002" s="8">
        <f t="shared" si="61"/>
        <v>-3.6731104921882141E-3</v>
      </c>
      <c r="J1002" s="8">
        <f t="shared" si="62"/>
        <v>-3.6798729270577837E-3</v>
      </c>
      <c r="K1002" s="8">
        <f t="shared" si="59"/>
        <v>0.15145371538415331</v>
      </c>
    </row>
    <row r="1003" spans="1:11" x14ac:dyDescent="0.25">
      <c r="A1003" t="str">
        <f t="shared" si="60"/>
        <v>12021</v>
      </c>
      <c r="B1003" s="1">
        <v>44215</v>
      </c>
      <c r="C1003" t="s">
        <v>633</v>
      </c>
      <c r="D1003">
        <v>34648.25</v>
      </c>
      <c r="E1003">
        <v>34808.1</v>
      </c>
      <c r="F1003">
        <v>34454.85</v>
      </c>
      <c r="G1003">
        <v>34659.85</v>
      </c>
      <c r="H1003">
        <v>0</v>
      </c>
      <c r="I1003" s="8">
        <f t="shared" si="61"/>
        <v>4.5503487393070419E-3</v>
      </c>
      <c r="J1003" s="8">
        <f t="shared" si="62"/>
        <v>4.5400272017018465E-3</v>
      </c>
      <c r="K1003" s="8">
        <f t="shared" si="59"/>
        <v>0.16762340781765328</v>
      </c>
    </row>
    <row r="1004" spans="1:11" x14ac:dyDescent="0.25">
      <c r="A1004" t="str">
        <f t="shared" si="60"/>
        <v>12021</v>
      </c>
      <c r="B1004" s="1">
        <v>44216</v>
      </c>
      <c r="C1004" t="s">
        <v>634</v>
      </c>
      <c r="D1004">
        <v>34667</v>
      </c>
      <c r="E1004">
        <v>34796.85</v>
      </c>
      <c r="F1004">
        <v>34555.550000000003</v>
      </c>
      <c r="G1004">
        <v>34605.35</v>
      </c>
      <c r="H1004">
        <v>0</v>
      </c>
      <c r="I1004" s="8">
        <f t="shared" si="61"/>
        <v>-1.5724245777174461E-3</v>
      </c>
      <c r="J1004" s="8">
        <f t="shared" si="62"/>
        <v>-1.5736621347239228E-3</v>
      </c>
      <c r="K1004" s="8">
        <f t="shared" si="59"/>
        <v>0.16456141354552445</v>
      </c>
    </row>
    <row r="1005" spans="1:11" x14ac:dyDescent="0.25">
      <c r="A1005" t="str">
        <f t="shared" si="60"/>
        <v>12021</v>
      </c>
      <c r="B1005" s="1">
        <v>44217</v>
      </c>
      <c r="C1005" t="s">
        <v>635</v>
      </c>
      <c r="D1005">
        <v>34822.75</v>
      </c>
      <c r="E1005">
        <v>34974.050000000003</v>
      </c>
      <c r="F1005">
        <v>34376.400000000001</v>
      </c>
      <c r="G1005">
        <v>34494.400000000001</v>
      </c>
      <c r="H1005">
        <v>0</v>
      </c>
      <c r="I1005" s="8">
        <f t="shared" si="61"/>
        <v>-3.2061516499615195E-3</v>
      </c>
      <c r="J1005" s="8">
        <f t="shared" si="62"/>
        <v>-3.2113023664280291E-3</v>
      </c>
      <c r="K1005" s="8">
        <f t="shared" si="59"/>
        <v>0.15822202523655071</v>
      </c>
    </row>
    <row r="1006" spans="1:11" x14ac:dyDescent="0.25">
      <c r="A1006" t="str">
        <f t="shared" si="60"/>
        <v>12021</v>
      </c>
      <c r="B1006" s="1">
        <v>44218</v>
      </c>
      <c r="C1006" t="s">
        <v>636</v>
      </c>
      <c r="D1006">
        <v>34537.300000000003</v>
      </c>
      <c r="E1006">
        <v>34732.699999999997</v>
      </c>
      <c r="F1006">
        <v>34318</v>
      </c>
      <c r="G1006">
        <v>34430.300000000003</v>
      </c>
      <c r="H1006">
        <v>0</v>
      </c>
      <c r="I1006" s="8">
        <f t="shared" si="61"/>
        <v>-1.8582726471543243E-3</v>
      </c>
      <c r="J1006" s="8">
        <f t="shared" si="62"/>
        <v>-1.8600013777370502E-3</v>
      </c>
      <c r="K1006" s="8">
        <f t="shared" si="59"/>
        <v>0.15636287916062819</v>
      </c>
    </row>
    <row r="1007" spans="1:11" x14ac:dyDescent="0.25">
      <c r="A1007" t="str">
        <f t="shared" si="60"/>
        <v>12021</v>
      </c>
      <c r="B1007" s="1">
        <v>44221</v>
      </c>
      <c r="C1007" t="s">
        <v>637</v>
      </c>
      <c r="D1007">
        <v>34613.4</v>
      </c>
      <c r="E1007">
        <v>34647.5</v>
      </c>
      <c r="F1007">
        <v>33958.400000000001</v>
      </c>
      <c r="G1007">
        <v>34178.6</v>
      </c>
      <c r="H1007">
        <v>0</v>
      </c>
      <c r="I1007" s="8">
        <f t="shared" si="61"/>
        <v>-7.3104213439907362E-3</v>
      </c>
      <c r="J1007" s="8">
        <f t="shared" si="62"/>
        <v>-7.3372734208042344E-3</v>
      </c>
      <c r="K1007" s="8">
        <f t="shared" si="59"/>
        <v>0.13310369749069229</v>
      </c>
    </row>
    <row r="1008" spans="1:11" x14ac:dyDescent="0.25">
      <c r="A1008" t="str">
        <f t="shared" si="60"/>
        <v>12021</v>
      </c>
      <c r="B1008" s="1">
        <v>44223</v>
      </c>
      <c r="C1008" t="s">
        <v>638</v>
      </c>
      <c r="D1008">
        <v>34316.449999999997</v>
      </c>
      <c r="E1008">
        <v>34394.65</v>
      </c>
      <c r="F1008">
        <v>34096.199999999997</v>
      </c>
      <c r="G1008">
        <v>34281.4</v>
      </c>
      <c r="H1008">
        <v>0</v>
      </c>
      <c r="I1008" s="8">
        <f t="shared" si="61"/>
        <v>3.0077299830888471E-3</v>
      </c>
      <c r="J1008" s="8">
        <f t="shared" si="62"/>
        <v>3.0032158126021098E-3</v>
      </c>
      <c r="K1008" s="8">
        <f t="shared" si="59"/>
        <v>0.14469365335363515</v>
      </c>
    </row>
    <row r="1009" spans="1:11" x14ac:dyDescent="0.25">
      <c r="A1009" t="str">
        <f t="shared" si="60"/>
        <v>12021</v>
      </c>
      <c r="B1009" s="1">
        <v>44224</v>
      </c>
      <c r="C1009" t="s">
        <v>639</v>
      </c>
      <c r="D1009">
        <v>34033.35</v>
      </c>
      <c r="E1009">
        <v>34146.65</v>
      </c>
      <c r="F1009">
        <v>33543.199999999997</v>
      </c>
      <c r="G1009">
        <v>33625.85</v>
      </c>
      <c r="H1009">
        <v>0</v>
      </c>
      <c r="I1009" s="8">
        <f t="shared" si="61"/>
        <v>-1.9122614595669996E-2</v>
      </c>
      <c r="J1009" s="8">
        <f t="shared" si="62"/>
        <v>-1.930781662275825E-2</v>
      </c>
      <c r="K1009" s="8">
        <f t="shared" si="59"/>
        <v>0.13357852845842255</v>
      </c>
    </row>
    <row r="1010" spans="1:11" x14ac:dyDescent="0.25">
      <c r="A1010" t="str">
        <f t="shared" si="60"/>
        <v>12021</v>
      </c>
      <c r="B1010" s="1">
        <v>44225</v>
      </c>
      <c r="C1010" t="s">
        <v>640</v>
      </c>
      <c r="D1010">
        <v>33832.199999999997</v>
      </c>
      <c r="E1010">
        <v>33864.449999999997</v>
      </c>
      <c r="F1010">
        <v>32972.25</v>
      </c>
      <c r="G1010">
        <v>33121.050000000003</v>
      </c>
      <c r="H1010">
        <v>0</v>
      </c>
      <c r="I1010" s="8">
        <f t="shared" si="61"/>
        <v>-1.5012259913132153E-2</v>
      </c>
      <c r="J1010" s="8">
        <f t="shared" si="62"/>
        <v>-1.5126084499824799E-2</v>
      </c>
      <c r="K1010" s="8">
        <f t="shared" si="59"/>
        <v>0.12547721677492363</v>
      </c>
    </row>
    <row r="1011" spans="1:11" x14ac:dyDescent="0.25">
      <c r="A1011" t="str">
        <f t="shared" si="60"/>
        <v>22021</v>
      </c>
      <c r="B1011" s="1">
        <v>44228</v>
      </c>
      <c r="C1011" s="10">
        <v>44198.645833333336</v>
      </c>
      <c r="D1011">
        <v>33304.15</v>
      </c>
      <c r="E1011">
        <v>33867.15</v>
      </c>
      <c r="F1011">
        <v>32996.300000000003</v>
      </c>
      <c r="G1011">
        <v>33689.65</v>
      </c>
      <c r="H1011">
        <v>0</v>
      </c>
      <c r="I1011" s="8">
        <f t="shared" si="61"/>
        <v>1.716733014200944E-2</v>
      </c>
      <c r="J1011" s="8">
        <f t="shared" si="62"/>
        <v>1.7021636611995565E-2</v>
      </c>
      <c r="K1011" s="8">
        <f t="shared" si="59"/>
        <v>0.14429316490865762</v>
      </c>
    </row>
    <row r="1012" spans="1:11" x14ac:dyDescent="0.25">
      <c r="A1012" t="str">
        <f t="shared" si="60"/>
        <v>22021</v>
      </c>
      <c r="B1012" s="1">
        <v>44229</v>
      </c>
      <c r="C1012" s="10">
        <v>44229.645833333336</v>
      </c>
      <c r="D1012">
        <v>34047.449999999997</v>
      </c>
      <c r="E1012">
        <v>34148.6</v>
      </c>
      <c r="F1012">
        <v>33634.85</v>
      </c>
      <c r="G1012">
        <v>33730.85</v>
      </c>
      <c r="H1012">
        <v>0</v>
      </c>
      <c r="I1012" s="8">
        <f t="shared" si="61"/>
        <v>1.2229275163142539E-3</v>
      </c>
      <c r="J1012" s="8">
        <f t="shared" si="62"/>
        <v>1.2221803495509986E-3</v>
      </c>
      <c r="K1012" s="8">
        <f t="shared" si="59"/>
        <v>0.14239823073288771</v>
      </c>
    </row>
    <row r="1013" spans="1:11" x14ac:dyDescent="0.25">
      <c r="A1013" t="str">
        <f t="shared" si="60"/>
        <v>22021</v>
      </c>
      <c r="B1013" s="1">
        <v>44230</v>
      </c>
      <c r="C1013" s="10">
        <v>44257.645833333336</v>
      </c>
      <c r="D1013">
        <v>33954.949999999997</v>
      </c>
      <c r="E1013">
        <v>34009.75</v>
      </c>
      <c r="F1013">
        <v>33630.6</v>
      </c>
      <c r="G1013">
        <v>33682.35</v>
      </c>
      <c r="H1013">
        <v>0</v>
      </c>
      <c r="I1013" s="8">
        <f t="shared" si="61"/>
        <v>-1.4378528854149808E-3</v>
      </c>
      <c r="J1013" s="8">
        <f t="shared" si="62"/>
        <v>-1.4388875878271954E-3</v>
      </c>
      <c r="K1013" s="8">
        <f t="shared" si="59"/>
        <v>0.13744073428698789</v>
      </c>
    </row>
    <row r="1014" spans="1:11" x14ac:dyDescent="0.25">
      <c r="A1014" t="str">
        <f t="shared" si="60"/>
        <v>22021</v>
      </c>
      <c r="B1014" s="1">
        <v>44231</v>
      </c>
      <c r="C1014" s="10">
        <v>44288.645833333336</v>
      </c>
      <c r="D1014">
        <v>33784.949999999997</v>
      </c>
      <c r="E1014">
        <v>34569.949999999997</v>
      </c>
      <c r="F1014">
        <v>33740.199999999997</v>
      </c>
      <c r="G1014">
        <v>34507.65</v>
      </c>
      <c r="H1014">
        <v>0</v>
      </c>
      <c r="I1014" s="8">
        <f t="shared" si="61"/>
        <v>2.4502447127353166E-2</v>
      </c>
      <c r="J1014" s="8">
        <f t="shared" si="62"/>
        <v>2.4207077300458738E-2</v>
      </c>
      <c r="K1014" s="8">
        <f t="shared" si="59"/>
        <v>0.14339273791792939</v>
      </c>
    </row>
    <row r="1015" spans="1:11" x14ac:dyDescent="0.25">
      <c r="A1015" t="str">
        <f t="shared" si="60"/>
        <v>22021</v>
      </c>
      <c r="B1015" s="1">
        <v>44232</v>
      </c>
      <c r="C1015" s="10">
        <v>44318.645833333336</v>
      </c>
      <c r="D1015">
        <v>34676.5</v>
      </c>
      <c r="E1015">
        <v>34818.199999999997</v>
      </c>
      <c r="F1015">
        <v>34368.550000000003</v>
      </c>
      <c r="G1015">
        <v>34644.5</v>
      </c>
      <c r="H1015">
        <v>0</v>
      </c>
      <c r="I1015" s="8">
        <f t="shared" si="61"/>
        <v>3.9657872964400376E-3</v>
      </c>
      <c r="J1015" s="8">
        <f t="shared" si="62"/>
        <v>3.9579442909557236E-3</v>
      </c>
      <c r="K1015" s="8">
        <f t="shared" si="59"/>
        <v>0.14904653796850154</v>
      </c>
    </row>
    <row r="1016" spans="1:11" x14ac:dyDescent="0.25">
      <c r="A1016" t="str">
        <f t="shared" si="60"/>
        <v>22021</v>
      </c>
      <c r="B1016" s="1">
        <v>44235</v>
      </c>
      <c r="C1016" s="10">
        <v>44410.645833333336</v>
      </c>
      <c r="D1016">
        <v>34938.050000000003</v>
      </c>
      <c r="E1016">
        <v>34978.15</v>
      </c>
      <c r="F1016">
        <v>34410.6</v>
      </c>
      <c r="G1016">
        <v>34452.25</v>
      </c>
      <c r="H1016">
        <v>0</v>
      </c>
      <c r="I1016" s="8">
        <f t="shared" si="61"/>
        <v>-5.5492213771305421E-3</v>
      </c>
      <c r="J1016" s="8">
        <f t="shared" si="62"/>
        <v>-5.5646755048443112E-3</v>
      </c>
      <c r="K1016" s="8">
        <f t="shared" si="59"/>
        <v>0.13129931666759709</v>
      </c>
    </row>
    <row r="1017" spans="1:11" x14ac:dyDescent="0.25">
      <c r="A1017" t="str">
        <f t="shared" si="60"/>
        <v>22021</v>
      </c>
      <c r="B1017" s="1">
        <v>44236</v>
      </c>
      <c r="C1017" s="10">
        <v>44441.645833333336</v>
      </c>
      <c r="D1017">
        <v>34598.400000000001</v>
      </c>
      <c r="E1017">
        <v>34786.25</v>
      </c>
      <c r="F1017">
        <v>34160.65</v>
      </c>
      <c r="G1017">
        <v>34231.300000000003</v>
      </c>
      <c r="H1017">
        <v>0</v>
      </c>
      <c r="I1017" s="8">
        <f t="shared" si="61"/>
        <v>-6.4132241000224299E-3</v>
      </c>
      <c r="J1017" s="8">
        <f t="shared" si="62"/>
        <v>-6.4338771709026368E-3</v>
      </c>
      <c r="K1017" s="8">
        <f t="shared" si="59"/>
        <v>0.12253092745472594</v>
      </c>
    </row>
    <row r="1018" spans="1:11" x14ac:dyDescent="0.25">
      <c r="A1018" t="str">
        <f t="shared" si="60"/>
        <v>22021</v>
      </c>
      <c r="B1018" s="1">
        <v>44237</v>
      </c>
      <c r="C1018" s="10">
        <v>44471.645833333336</v>
      </c>
      <c r="D1018">
        <v>34268.85</v>
      </c>
      <c r="E1018">
        <v>34449.1</v>
      </c>
      <c r="F1018">
        <v>33881.199999999997</v>
      </c>
      <c r="G1018">
        <v>34188</v>
      </c>
      <c r="H1018">
        <v>0</v>
      </c>
      <c r="I1018" s="8">
        <f t="shared" si="61"/>
        <v>-1.2649242067932498E-3</v>
      </c>
      <c r="J1018" s="8">
        <f t="shared" si="62"/>
        <v>-1.2657248986986532E-3</v>
      </c>
      <c r="K1018" s="8">
        <f t="shared" si="59"/>
        <v>0.10835905283087377</v>
      </c>
    </row>
    <row r="1019" spans="1:11" x14ac:dyDescent="0.25">
      <c r="A1019" t="str">
        <f t="shared" si="60"/>
        <v>22021</v>
      </c>
      <c r="B1019" s="1">
        <v>44238</v>
      </c>
      <c r="C1019" s="10">
        <v>44502.645833333336</v>
      </c>
      <c r="D1019">
        <v>34299.25</v>
      </c>
      <c r="E1019">
        <v>34512.5</v>
      </c>
      <c r="F1019">
        <v>34162.949999999997</v>
      </c>
      <c r="G1019">
        <v>34463.75</v>
      </c>
      <c r="H1019">
        <v>0</v>
      </c>
      <c r="I1019" s="8">
        <f t="shared" si="61"/>
        <v>8.0656955656954743E-3</v>
      </c>
      <c r="J1019" s="8">
        <f t="shared" si="62"/>
        <v>8.0333416977497185E-3</v>
      </c>
      <c r="K1019" s="8">
        <f t="shared" si="59"/>
        <v>0.10318595911677897</v>
      </c>
    </row>
    <row r="1020" spans="1:11" x14ac:dyDescent="0.25">
      <c r="A1020" t="str">
        <f t="shared" si="60"/>
        <v>22021</v>
      </c>
      <c r="B1020" s="1">
        <v>44239</v>
      </c>
      <c r="C1020" s="10">
        <v>44532.645833333336</v>
      </c>
      <c r="D1020">
        <v>34524.1</v>
      </c>
      <c r="E1020">
        <v>34524.1</v>
      </c>
      <c r="F1020">
        <v>33785.599999999999</v>
      </c>
      <c r="G1020">
        <v>33928.300000000003</v>
      </c>
      <c r="H1020">
        <v>0</v>
      </c>
      <c r="I1020" s="8">
        <f t="shared" si="61"/>
        <v>-1.5536614558775419E-2</v>
      </c>
      <c r="J1020" s="8">
        <f t="shared" si="62"/>
        <v>-1.5658572614138829E-2</v>
      </c>
      <c r="K1020" s="8">
        <f t="shared" si="59"/>
        <v>8.6675784140080481E-2</v>
      </c>
    </row>
    <row r="1021" spans="1:11" x14ac:dyDescent="0.25">
      <c r="A1021" t="str">
        <f t="shared" si="60"/>
        <v>22021</v>
      </c>
      <c r="B1021" s="1">
        <v>44242</v>
      </c>
      <c r="C1021" t="s">
        <v>641</v>
      </c>
      <c r="D1021">
        <v>34076.550000000003</v>
      </c>
      <c r="E1021">
        <v>34215.800000000003</v>
      </c>
      <c r="F1021">
        <v>33921.25</v>
      </c>
      <c r="G1021">
        <v>33959.9</v>
      </c>
      <c r="H1021">
        <v>0</v>
      </c>
      <c r="I1021" s="8">
        <f t="shared" si="61"/>
        <v>9.3137587205949224E-4</v>
      </c>
      <c r="J1021" s="8">
        <f t="shared" si="62"/>
        <v>9.30942410674736E-4</v>
      </c>
      <c r="K1021" s="8">
        <f t="shared" si="59"/>
        <v>8.5277288204925084E-2</v>
      </c>
    </row>
    <row r="1022" spans="1:11" x14ac:dyDescent="0.25">
      <c r="A1022" t="str">
        <f t="shared" si="60"/>
        <v>22021</v>
      </c>
      <c r="B1022" s="1">
        <v>44243</v>
      </c>
      <c r="C1022" t="s">
        <v>642</v>
      </c>
      <c r="D1022">
        <v>34089.300000000003</v>
      </c>
      <c r="E1022">
        <v>34162.75</v>
      </c>
      <c r="F1022">
        <v>33619.050000000003</v>
      </c>
      <c r="G1022">
        <v>33724.5</v>
      </c>
      <c r="H1022">
        <v>0</v>
      </c>
      <c r="I1022" s="8">
        <f t="shared" si="61"/>
        <v>-6.9317047458915537E-3</v>
      </c>
      <c r="J1022" s="8">
        <f t="shared" si="62"/>
        <v>-6.9558406110275693E-3</v>
      </c>
      <c r="K1022" s="8">
        <f t="shared" si="59"/>
        <v>8.9544258444699043E-2</v>
      </c>
    </row>
    <row r="1023" spans="1:11" x14ac:dyDescent="0.25">
      <c r="A1023" t="str">
        <f t="shared" si="60"/>
        <v>22021</v>
      </c>
      <c r="B1023" s="1">
        <v>44244</v>
      </c>
      <c r="C1023" t="s">
        <v>643</v>
      </c>
      <c r="D1023">
        <v>33681.1</v>
      </c>
      <c r="E1023">
        <v>33726.9</v>
      </c>
      <c r="F1023">
        <v>33418.050000000003</v>
      </c>
      <c r="G1023">
        <v>33519.550000000003</v>
      </c>
      <c r="H1023">
        <v>0</v>
      </c>
      <c r="I1023" s="8">
        <f t="shared" si="61"/>
        <v>-6.0771842429093725E-3</v>
      </c>
      <c r="J1023" s="8">
        <f t="shared" si="62"/>
        <v>-6.0957254842635084E-3</v>
      </c>
      <c r="K1023" s="8">
        <f t="shared" si="59"/>
        <v>7.8312187150155088E-2</v>
      </c>
    </row>
    <row r="1024" spans="1:11" x14ac:dyDescent="0.25">
      <c r="A1024" t="str">
        <f t="shared" si="60"/>
        <v>22021</v>
      </c>
      <c r="B1024" s="1">
        <v>44245</v>
      </c>
      <c r="C1024" t="s">
        <v>644</v>
      </c>
      <c r="D1024">
        <v>33593.300000000003</v>
      </c>
      <c r="E1024">
        <v>33670.85</v>
      </c>
      <c r="F1024">
        <v>33323.050000000003</v>
      </c>
      <c r="G1024">
        <v>33373.9</v>
      </c>
      <c r="H1024">
        <v>0</v>
      </c>
      <c r="I1024" s="8">
        <f t="shared" si="61"/>
        <v>-4.3452253983123912E-3</v>
      </c>
      <c r="J1024" s="8">
        <f t="shared" si="62"/>
        <v>-4.3546933270040104E-3</v>
      </c>
      <c r="K1024" s="8">
        <f t="shared" ref="K1024:K1087" si="63">+G1024/G963-1</f>
        <v>6.1026535280493954E-2</v>
      </c>
    </row>
    <row r="1025" spans="1:11" x14ac:dyDescent="0.25">
      <c r="A1025" t="str">
        <f t="shared" si="60"/>
        <v>22021</v>
      </c>
      <c r="B1025" s="1">
        <v>44246</v>
      </c>
      <c r="C1025" t="s">
        <v>645</v>
      </c>
      <c r="D1025">
        <v>33396.800000000003</v>
      </c>
      <c r="E1025">
        <v>33584.550000000003</v>
      </c>
      <c r="F1025">
        <v>33115.1</v>
      </c>
      <c r="G1025">
        <v>33336.800000000003</v>
      </c>
      <c r="H1025">
        <v>0</v>
      </c>
      <c r="I1025" s="8">
        <f t="shared" si="61"/>
        <v>-1.1116471254483118E-3</v>
      </c>
      <c r="J1025" s="8">
        <f t="shared" si="62"/>
        <v>-1.1122654634056219E-3</v>
      </c>
      <c r="K1025" s="8">
        <f t="shared" si="63"/>
        <v>5.6028078978462625E-2</v>
      </c>
    </row>
    <row r="1026" spans="1:11" x14ac:dyDescent="0.25">
      <c r="A1026" t="str">
        <f t="shared" si="60"/>
        <v>22021</v>
      </c>
      <c r="B1026" s="1">
        <v>44249</v>
      </c>
      <c r="C1026" t="s">
        <v>646</v>
      </c>
      <c r="D1026">
        <v>33330.050000000003</v>
      </c>
      <c r="E1026">
        <v>33357</v>
      </c>
      <c r="F1026">
        <v>32803.5</v>
      </c>
      <c r="G1026">
        <v>32891.699999999997</v>
      </c>
      <c r="H1026">
        <v>0</v>
      </c>
      <c r="I1026" s="8">
        <f t="shared" si="61"/>
        <v>-1.3351611432411148E-2</v>
      </c>
      <c r="J1026" s="8">
        <f t="shared" si="62"/>
        <v>-1.3441545604149183E-2</v>
      </c>
      <c r="K1026" s="8">
        <f t="shared" si="63"/>
        <v>3.3283907489900066E-2</v>
      </c>
    </row>
    <row r="1027" spans="1:11" x14ac:dyDescent="0.25">
      <c r="A1027" t="str">
        <f t="shared" ref="A1027:A1090" si="64">+MONTH(B1027)&amp;YEAR(B1027)</f>
        <v>22021</v>
      </c>
      <c r="B1027" s="1">
        <v>44250</v>
      </c>
      <c r="C1027" t="s">
        <v>647</v>
      </c>
      <c r="D1027">
        <v>33056.75</v>
      </c>
      <c r="E1027">
        <v>33175.4</v>
      </c>
      <c r="F1027">
        <v>32845.25</v>
      </c>
      <c r="G1027">
        <v>33025.949999999997</v>
      </c>
      <c r="H1027">
        <v>0</v>
      </c>
      <c r="I1027" s="8">
        <f t="shared" si="61"/>
        <v>4.0815768111712725E-3</v>
      </c>
      <c r="J1027" s="8">
        <f t="shared" si="62"/>
        <v>4.0732697727438741E-3</v>
      </c>
      <c r="K1027" s="8">
        <f t="shared" si="63"/>
        <v>5.0386906560395683E-2</v>
      </c>
    </row>
    <row r="1028" spans="1:11" x14ac:dyDescent="0.25">
      <c r="A1028" t="str">
        <f t="shared" si="64"/>
        <v>22021</v>
      </c>
      <c r="B1028" s="1">
        <v>44251</v>
      </c>
      <c r="C1028" t="s">
        <v>648</v>
      </c>
      <c r="D1028">
        <v>33228.699999999997</v>
      </c>
      <c r="E1028">
        <v>33261.699999999997</v>
      </c>
      <c r="F1028">
        <v>32841.949999999997</v>
      </c>
      <c r="G1028">
        <v>33091.699999999997</v>
      </c>
      <c r="H1028">
        <v>0</v>
      </c>
      <c r="I1028" s="8">
        <f t="shared" ref="I1028:I1079" si="65">+G1028/G1027-1</f>
        <v>1.9908587035346592E-3</v>
      </c>
      <c r="J1028" s="8">
        <f t="shared" ref="J1028:J1091" si="66">+LN(1+I1028)</f>
        <v>1.9888795706931675E-3</v>
      </c>
      <c r="K1028" s="8">
        <f t="shared" si="63"/>
        <v>4.3859400087693512E-2</v>
      </c>
    </row>
    <row r="1029" spans="1:11" x14ac:dyDescent="0.25">
      <c r="A1029" t="str">
        <f t="shared" si="64"/>
        <v>22021</v>
      </c>
      <c r="B1029" s="1">
        <v>44252</v>
      </c>
      <c r="C1029" t="s">
        <v>649</v>
      </c>
      <c r="D1029">
        <v>33159</v>
      </c>
      <c r="E1029">
        <v>33262.300000000003</v>
      </c>
      <c r="F1029">
        <v>32969.449999999997</v>
      </c>
      <c r="G1029">
        <v>33001.800000000003</v>
      </c>
      <c r="H1029">
        <v>0</v>
      </c>
      <c r="I1029" s="8">
        <f t="shared" si="65"/>
        <v>-2.7166933098026202E-3</v>
      </c>
      <c r="J1029" s="8">
        <f t="shared" si="66"/>
        <v>-2.7203902181678848E-3</v>
      </c>
      <c r="K1029" s="8">
        <f t="shared" si="63"/>
        <v>4.044919732146246E-2</v>
      </c>
    </row>
    <row r="1030" spans="1:11" x14ac:dyDescent="0.25">
      <c r="A1030" t="str">
        <f t="shared" si="64"/>
        <v>22021</v>
      </c>
      <c r="B1030" s="1">
        <v>44253</v>
      </c>
      <c r="C1030" t="s">
        <v>650</v>
      </c>
      <c r="D1030">
        <v>32832.85</v>
      </c>
      <c r="E1030">
        <v>33017.050000000003</v>
      </c>
      <c r="F1030">
        <v>32312.45</v>
      </c>
      <c r="G1030">
        <v>32443.15</v>
      </c>
      <c r="H1030">
        <v>0</v>
      </c>
      <c r="I1030" s="8">
        <f t="shared" si="65"/>
        <v>-1.6927864540722037E-2</v>
      </c>
      <c r="J1030" s="8">
        <f t="shared" si="66"/>
        <v>-1.7072778557604959E-2</v>
      </c>
      <c r="K1030" s="8">
        <f t="shared" si="63"/>
        <v>2.3273748038574071E-2</v>
      </c>
    </row>
    <row r="1031" spans="1:11" x14ac:dyDescent="0.25">
      <c r="A1031" t="str">
        <f t="shared" si="64"/>
        <v>32021</v>
      </c>
      <c r="B1031" s="1">
        <v>44256</v>
      </c>
      <c r="C1031" s="10">
        <v>44199.645833333336</v>
      </c>
      <c r="D1031">
        <v>32610.400000000001</v>
      </c>
      <c r="E1031">
        <v>32886.15</v>
      </c>
      <c r="F1031">
        <v>32429.599999999999</v>
      </c>
      <c r="G1031">
        <v>32797.65</v>
      </c>
      <c r="H1031">
        <v>0</v>
      </c>
      <c r="I1031" s="8">
        <f t="shared" si="65"/>
        <v>1.0926805812629059E-2</v>
      </c>
      <c r="J1031" s="8">
        <f t="shared" si="66"/>
        <v>1.086753960604127E-2</v>
      </c>
      <c r="K1031" s="8">
        <f t="shared" si="63"/>
        <v>3.0716289155490628E-2</v>
      </c>
    </row>
    <row r="1032" spans="1:11" x14ac:dyDescent="0.25">
      <c r="A1032" t="str">
        <f t="shared" si="64"/>
        <v>32021</v>
      </c>
      <c r="B1032" s="1">
        <v>44257</v>
      </c>
      <c r="C1032" s="10">
        <v>44230.645833333336</v>
      </c>
      <c r="D1032">
        <v>32932.85</v>
      </c>
      <c r="E1032">
        <v>33301.35</v>
      </c>
      <c r="F1032">
        <v>32847.4</v>
      </c>
      <c r="G1032">
        <v>33250.9</v>
      </c>
      <c r="H1032">
        <v>0</v>
      </c>
      <c r="I1032" s="8">
        <f t="shared" si="65"/>
        <v>1.3819587683873591E-2</v>
      </c>
      <c r="J1032" s="8">
        <f t="shared" si="66"/>
        <v>1.372496792280032E-2</v>
      </c>
      <c r="K1032" s="8">
        <f t="shared" si="63"/>
        <v>4.2065396060315896E-2</v>
      </c>
    </row>
    <row r="1033" spans="1:11" x14ac:dyDescent="0.25">
      <c r="A1033" t="str">
        <f t="shared" si="64"/>
        <v>32021</v>
      </c>
      <c r="B1033" s="1">
        <v>44258</v>
      </c>
      <c r="C1033" s="10">
        <v>44258.645833333336</v>
      </c>
      <c r="D1033">
        <v>33538.35</v>
      </c>
      <c r="E1033">
        <v>33538.35</v>
      </c>
      <c r="F1033">
        <v>33306.199999999997</v>
      </c>
      <c r="G1033">
        <v>33454.400000000001</v>
      </c>
      <c r="H1033">
        <v>0</v>
      </c>
      <c r="I1033" s="8">
        <f t="shared" si="65"/>
        <v>6.1201350940875976E-3</v>
      </c>
      <c r="J1033" s="8">
        <f t="shared" si="66"/>
        <v>6.1014831303081926E-3</v>
      </c>
      <c r="K1033" s="8">
        <f t="shared" si="63"/>
        <v>3.3923369930540126E-2</v>
      </c>
    </row>
    <row r="1034" spans="1:11" x14ac:dyDescent="0.25">
      <c r="A1034" t="str">
        <f t="shared" si="64"/>
        <v>32021</v>
      </c>
      <c r="B1034" s="1">
        <v>44259</v>
      </c>
      <c r="C1034" s="10">
        <v>44289.645833333336</v>
      </c>
      <c r="D1034">
        <v>33289.15</v>
      </c>
      <c r="E1034">
        <v>33562.1</v>
      </c>
      <c r="F1034">
        <v>33201.85</v>
      </c>
      <c r="G1034">
        <v>33443.800000000003</v>
      </c>
      <c r="H1034">
        <v>0</v>
      </c>
      <c r="I1034" s="8">
        <f t="shared" si="65"/>
        <v>-3.1684920369212666E-4</v>
      </c>
      <c r="J1034" s="8">
        <f t="shared" si="66"/>
        <v>-3.1689941100677868E-4</v>
      </c>
      <c r="K1034" s="8">
        <f t="shared" si="63"/>
        <v>1.7552613723837762E-2</v>
      </c>
    </row>
    <row r="1035" spans="1:11" x14ac:dyDescent="0.25">
      <c r="A1035" t="str">
        <f t="shared" si="64"/>
        <v>32021</v>
      </c>
      <c r="B1035" s="1">
        <v>44260</v>
      </c>
      <c r="C1035" s="10">
        <v>44319.645833333336</v>
      </c>
      <c r="D1035">
        <v>33291.449999999997</v>
      </c>
      <c r="E1035">
        <v>33474.550000000003</v>
      </c>
      <c r="F1035">
        <v>33238.6</v>
      </c>
      <c r="G1035">
        <v>33360.300000000003</v>
      </c>
      <c r="H1035">
        <v>0</v>
      </c>
      <c r="I1035" s="8">
        <f t="shared" si="65"/>
        <v>-2.4967258505312895E-3</v>
      </c>
      <c r="J1035" s="8">
        <f t="shared" si="66"/>
        <v>-2.4998478681483435E-3</v>
      </c>
      <c r="K1035" s="8">
        <f t="shared" si="63"/>
        <v>1.5538883739195208E-2</v>
      </c>
    </row>
    <row r="1036" spans="1:11" x14ac:dyDescent="0.25">
      <c r="A1036" t="str">
        <f t="shared" si="64"/>
        <v>32021</v>
      </c>
      <c r="B1036" s="1">
        <v>44263</v>
      </c>
      <c r="C1036" s="10">
        <v>44411.645833333336</v>
      </c>
      <c r="D1036">
        <v>33493.1</v>
      </c>
      <c r="E1036">
        <v>33578.1</v>
      </c>
      <c r="F1036">
        <v>33142.25</v>
      </c>
      <c r="G1036">
        <v>33190.35</v>
      </c>
      <c r="H1036">
        <v>0</v>
      </c>
      <c r="I1036" s="8">
        <f t="shared" si="65"/>
        <v>-5.0943786476741471E-3</v>
      </c>
      <c r="J1036" s="8">
        <f t="shared" si="66"/>
        <v>-5.107399234601572E-3</v>
      </c>
      <c r="K1036" s="8">
        <f t="shared" si="63"/>
        <v>1.9577062987727878E-3</v>
      </c>
    </row>
    <row r="1037" spans="1:11" x14ac:dyDescent="0.25">
      <c r="A1037" t="str">
        <f t="shared" si="64"/>
        <v>32021</v>
      </c>
      <c r="B1037" s="1">
        <v>44264</v>
      </c>
      <c r="C1037" s="10">
        <v>44442.645833333336</v>
      </c>
      <c r="D1037">
        <v>33281.25</v>
      </c>
      <c r="E1037">
        <v>33404.400000000001</v>
      </c>
      <c r="F1037">
        <v>32827.4</v>
      </c>
      <c r="G1037">
        <v>33215.85</v>
      </c>
      <c r="H1037">
        <v>0</v>
      </c>
      <c r="I1037" s="8">
        <f t="shared" si="65"/>
        <v>7.6829560399338526E-4</v>
      </c>
      <c r="J1037" s="8">
        <f t="shared" si="66"/>
        <v>7.6800061600813937E-4</v>
      </c>
      <c r="K1037" s="8">
        <f t="shared" si="63"/>
        <v>-2.4635293703090477E-2</v>
      </c>
    </row>
    <row r="1038" spans="1:11" x14ac:dyDescent="0.25">
      <c r="A1038" t="str">
        <f t="shared" si="64"/>
        <v>32021</v>
      </c>
      <c r="B1038" s="1">
        <v>44265</v>
      </c>
      <c r="C1038" s="10">
        <v>44472.645833333336</v>
      </c>
      <c r="D1038">
        <v>33393.050000000003</v>
      </c>
      <c r="E1038">
        <v>33424.5</v>
      </c>
      <c r="F1038">
        <v>33220</v>
      </c>
      <c r="G1038">
        <v>33402.75</v>
      </c>
      <c r="H1038">
        <v>0</v>
      </c>
      <c r="I1038" s="8">
        <f t="shared" si="65"/>
        <v>5.6268317685683744E-3</v>
      </c>
      <c r="J1038" s="8">
        <f t="shared" si="66"/>
        <v>5.6110602853559214E-3</v>
      </c>
      <c r="K1038" s="8">
        <f t="shared" si="63"/>
        <v>-2.7996630277740131E-2</v>
      </c>
    </row>
    <row r="1039" spans="1:11" x14ac:dyDescent="0.25">
      <c r="A1039" t="str">
        <f t="shared" si="64"/>
        <v>32021</v>
      </c>
      <c r="B1039" s="1">
        <v>44267</v>
      </c>
      <c r="C1039" s="10">
        <v>44533.645833333336</v>
      </c>
      <c r="D1039">
        <v>33557.5</v>
      </c>
      <c r="E1039">
        <v>33577.1</v>
      </c>
      <c r="F1039">
        <v>33022.1</v>
      </c>
      <c r="G1039">
        <v>33068.5</v>
      </c>
      <c r="H1039">
        <v>0</v>
      </c>
      <c r="I1039" s="8">
        <f t="shared" si="65"/>
        <v>-1.0006661128200478E-2</v>
      </c>
      <c r="J1039" s="8">
        <f t="shared" si="66"/>
        <v>-1.0057064288461023E-2</v>
      </c>
      <c r="K1039" s="8">
        <f t="shared" si="63"/>
        <v>-3.9031839507841171E-2</v>
      </c>
    </row>
    <row r="1040" spans="1:11" x14ac:dyDescent="0.25">
      <c r="A1040" t="str">
        <f t="shared" si="64"/>
        <v>32021</v>
      </c>
      <c r="B1040" s="1">
        <v>44270</v>
      </c>
      <c r="C1040" t="s">
        <v>651</v>
      </c>
      <c r="D1040">
        <v>33172.6</v>
      </c>
      <c r="E1040">
        <v>33179.800000000003</v>
      </c>
      <c r="F1040">
        <v>32720</v>
      </c>
      <c r="G1040">
        <v>33058.85</v>
      </c>
      <c r="H1040">
        <v>0</v>
      </c>
      <c r="I1040" s="8">
        <f t="shared" si="65"/>
        <v>-2.9181849796633408E-4</v>
      </c>
      <c r="J1040" s="8">
        <f t="shared" si="66"/>
        <v>-2.9186108526958851E-4</v>
      </c>
      <c r="K1040" s="8">
        <f t="shared" si="63"/>
        <v>-2.6762031211820636E-2</v>
      </c>
    </row>
    <row r="1041" spans="1:11" x14ac:dyDescent="0.25">
      <c r="A1041" t="str">
        <f t="shared" si="64"/>
        <v>32021</v>
      </c>
      <c r="B1041" s="1">
        <v>44271</v>
      </c>
      <c r="C1041" t="s">
        <v>652</v>
      </c>
      <c r="D1041">
        <v>33166.1</v>
      </c>
      <c r="E1041">
        <v>33409.25</v>
      </c>
      <c r="F1041">
        <v>33107</v>
      </c>
      <c r="G1041">
        <v>33351.75</v>
      </c>
      <c r="H1041">
        <v>0</v>
      </c>
      <c r="I1041" s="8">
        <f t="shared" si="65"/>
        <v>8.859957318539502E-3</v>
      </c>
      <c r="J1041" s="8">
        <f t="shared" si="66"/>
        <v>8.8209381991532082E-3</v>
      </c>
      <c r="K1041" s="8">
        <f t="shared" si="63"/>
        <v>-2.4684281864612134E-2</v>
      </c>
    </row>
    <row r="1042" spans="1:11" x14ac:dyDescent="0.25">
      <c r="A1042" t="str">
        <f t="shared" si="64"/>
        <v>32021</v>
      </c>
      <c r="B1042" s="1">
        <v>44272</v>
      </c>
      <c r="C1042" t="s">
        <v>653</v>
      </c>
      <c r="D1042">
        <v>33594.15</v>
      </c>
      <c r="E1042">
        <v>33595.599999999999</v>
      </c>
      <c r="F1042">
        <v>33136.1</v>
      </c>
      <c r="G1042">
        <v>33194.6</v>
      </c>
      <c r="H1042">
        <v>0</v>
      </c>
      <c r="I1042" s="8">
        <f t="shared" si="65"/>
        <v>-4.7118966770859361E-3</v>
      </c>
      <c r="J1042" s="8">
        <f t="shared" si="66"/>
        <v>-4.7230326570619503E-3</v>
      </c>
      <c r="K1042" s="8">
        <f t="shared" si="63"/>
        <v>-2.4077169245785957E-2</v>
      </c>
    </row>
    <row r="1043" spans="1:11" x14ac:dyDescent="0.25">
      <c r="A1043" t="str">
        <f t="shared" si="64"/>
        <v>32021</v>
      </c>
      <c r="B1043" s="1">
        <v>44273</v>
      </c>
      <c r="C1043" t="s">
        <v>654</v>
      </c>
      <c r="D1043">
        <v>33391.449999999997</v>
      </c>
      <c r="E1043">
        <v>33480.550000000003</v>
      </c>
      <c r="F1043">
        <v>33017.949999999997</v>
      </c>
      <c r="G1043">
        <v>33222.6</v>
      </c>
      <c r="H1043">
        <v>0</v>
      </c>
      <c r="I1043" s="8">
        <f t="shared" si="65"/>
        <v>8.4351069149790625E-4</v>
      </c>
      <c r="J1043" s="8">
        <f t="shared" si="66"/>
        <v>8.4315513628360555E-4</v>
      </c>
      <c r="K1043" s="8">
        <f t="shared" si="63"/>
        <v>-2.5807340767739717E-2</v>
      </c>
    </row>
    <row r="1044" spans="1:11" x14ac:dyDescent="0.25">
      <c r="A1044" t="str">
        <f t="shared" si="64"/>
        <v>32021</v>
      </c>
      <c r="B1044" s="1">
        <v>44274</v>
      </c>
      <c r="C1044" t="s">
        <v>655</v>
      </c>
      <c r="D1044">
        <v>33120.75</v>
      </c>
      <c r="E1044">
        <v>34173.1</v>
      </c>
      <c r="F1044">
        <v>32831.800000000003</v>
      </c>
      <c r="G1044">
        <v>34028.35</v>
      </c>
      <c r="H1044">
        <v>0</v>
      </c>
      <c r="I1044" s="8">
        <f t="shared" si="65"/>
        <v>2.4253068694202184E-2</v>
      </c>
      <c r="J1044" s="8">
        <f t="shared" si="66"/>
        <v>2.3963633480581972E-2</v>
      </c>
      <c r="K1044" s="8">
        <f t="shared" si="63"/>
        <v>2.6462168676152586E-2</v>
      </c>
    </row>
    <row r="1045" spans="1:11" x14ac:dyDescent="0.25">
      <c r="A1045" t="str">
        <f t="shared" si="64"/>
        <v>32021</v>
      </c>
      <c r="B1045" s="1">
        <v>44277</v>
      </c>
      <c r="C1045" t="s">
        <v>656</v>
      </c>
      <c r="D1045">
        <v>34049.449999999997</v>
      </c>
      <c r="E1045">
        <v>34647.199999999997</v>
      </c>
      <c r="F1045">
        <v>33934.5</v>
      </c>
      <c r="G1045">
        <v>34608</v>
      </c>
      <c r="H1045">
        <v>0</v>
      </c>
      <c r="I1045" s="8">
        <f t="shared" si="65"/>
        <v>1.7034325790113325E-2</v>
      </c>
      <c r="J1045" s="8">
        <f t="shared" si="66"/>
        <v>1.6890868502847895E-2</v>
      </c>
      <c r="K1045" s="8">
        <f t="shared" si="63"/>
        <v>3.837343098588164E-2</v>
      </c>
    </row>
    <row r="1046" spans="1:11" x14ac:dyDescent="0.25">
      <c r="A1046" t="str">
        <f t="shared" si="64"/>
        <v>32021</v>
      </c>
      <c r="B1046" s="1">
        <v>44278</v>
      </c>
      <c r="C1046" t="s">
        <v>657</v>
      </c>
      <c r="D1046">
        <v>34651.25</v>
      </c>
      <c r="E1046">
        <v>34814.400000000001</v>
      </c>
      <c r="F1046">
        <v>34415.5</v>
      </c>
      <c r="G1046">
        <v>34473.75</v>
      </c>
      <c r="H1046">
        <v>0</v>
      </c>
      <c r="I1046" s="8">
        <f t="shared" si="65"/>
        <v>-3.8791608876560524E-3</v>
      </c>
      <c r="J1046" s="8">
        <f t="shared" si="66"/>
        <v>-3.8867043467659354E-3</v>
      </c>
      <c r="K1046" s="8">
        <f t="shared" si="63"/>
        <v>1.4948772301713431E-2</v>
      </c>
    </row>
    <row r="1047" spans="1:11" x14ac:dyDescent="0.25">
      <c r="A1047" t="str">
        <f t="shared" si="64"/>
        <v>32021</v>
      </c>
      <c r="B1047" s="1">
        <v>44279</v>
      </c>
      <c r="C1047" t="s">
        <v>658</v>
      </c>
      <c r="D1047">
        <v>34357.25</v>
      </c>
      <c r="E1047">
        <v>34542.85</v>
      </c>
      <c r="F1047">
        <v>33943.550000000003</v>
      </c>
      <c r="G1047">
        <v>33987.1</v>
      </c>
      <c r="H1047">
        <v>0</v>
      </c>
      <c r="I1047" s="8">
        <f t="shared" si="65"/>
        <v>-1.4116537945538354E-2</v>
      </c>
      <c r="J1047" s="8">
        <f t="shared" si="66"/>
        <v>-1.4217124007336251E-2</v>
      </c>
      <c r="K1047" s="8">
        <f t="shared" si="63"/>
        <v>-3.7680653893448213E-3</v>
      </c>
    </row>
    <row r="1048" spans="1:11" x14ac:dyDescent="0.25">
      <c r="A1048" t="str">
        <f t="shared" si="64"/>
        <v>32021</v>
      </c>
      <c r="B1048" s="1">
        <v>44280</v>
      </c>
      <c r="C1048" t="s">
        <v>659</v>
      </c>
      <c r="D1048">
        <v>34024.25</v>
      </c>
      <c r="E1048">
        <v>34044.400000000001</v>
      </c>
      <c r="F1048">
        <v>33071.699999999997</v>
      </c>
      <c r="G1048">
        <v>33213.15</v>
      </c>
      <c r="H1048">
        <v>0</v>
      </c>
      <c r="I1048" s="8">
        <f t="shared" si="65"/>
        <v>-2.2771875211477166E-2</v>
      </c>
      <c r="J1048" s="8">
        <f t="shared" si="66"/>
        <v>-2.3035159017502839E-2</v>
      </c>
      <c r="K1048" s="8">
        <f t="shared" si="63"/>
        <v>-2.8318281155375269E-2</v>
      </c>
    </row>
    <row r="1049" spans="1:11" x14ac:dyDescent="0.25">
      <c r="A1049" t="str">
        <f t="shared" si="64"/>
        <v>32021</v>
      </c>
      <c r="B1049" s="1">
        <v>44281</v>
      </c>
      <c r="C1049" t="s">
        <v>660</v>
      </c>
      <c r="D1049">
        <v>33495.75</v>
      </c>
      <c r="E1049">
        <v>33887.35</v>
      </c>
      <c r="F1049">
        <v>33444.15</v>
      </c>
      <c r="G1049">
        <v>33818.449999999997</v>
      </c>
      <c r="H1049">
        <v>0</v>
      </c>
      <c r="I1049" s="8">
        <f t="shared" si="65"/>
        <v>1.822470918898067E-2</v>
      </c>
      <c r="J1049" s="8">
        <f t="shared" si="66"/>
        <v>1.8060629711761662E-2</v>
      </c>
      <c r="K1049" s="8">
        <f t="shared" si="63"/>
        <v>-1.0634267500830075E-2</v>
      </c>
    </row>
    <row r="1050" spans="1:11" x14ac:dyDescent="0.25">
      <c r="A1050" t="str">
        <f t="shared" si="64"/>
        <v>32021</v>
      </c>
      <c r="B1050" s="1">
        <v>44285</v>
      </c>
      <c r="C1050" t="s">
        <v>661</v>
      </c>
      <c r="D1050">
        <v>34023.35</v>
      </c>
      <c r="E1050">
        <v>34628.15</v>
      </c>
      <c r="F1050">
        <v>33981.25</v>
      </c>
      <c r="G1050">
        <v>34578.85</v>
      </c>
      <c r="H1050">
        <v>0</v>
      </c>
      <c r="I1050" s="8">
        <f t="shared" si="65"/>
        <v>2.2484767929931815E-2</v>
      </c>
      <c r="J1050" s="8">
        <f t="shared" si="66"/>
        <v>2.2235711933817754E-2</v>
      </c>
      <c r="K1050" s="8">
        <f t="shared" si="63"/>
        <v>7.7272343116598918E-3</v>
      </c>
    </row>
    <row r="1051" spans="1:11" x14ac:dyDescent="0.25">
      <c r="A1051" t="str">
        <f t="shared" si="64"/>
        <v>32021</v>
      </c>
      <c r="B1051" s="1">
        <v>44286</v>
      </c>
      <c r="C1051" t="s">
        <v>662</v>
      </c>
      <c r="D1051">
        <v>34538.550000000003</v>
      </c>
      <c r="E1051">
        <v>34980.15</v>
      </c>
      <c r="F1051">
        <v>34448.300000000003</v>
      </c>
      <c r="G1051">
        <v>34931.699999999997</v>
      </c>
      <c r="H1051">
        <v>0</v>
      </c>
      <c r="I1051" s="8">
        <f t="shared" si="65"/>
        <v>1.0204214425870051E-2</v>
      </c>
      <c r="J1051" s="8">
        <f t="shared" si="66"/>
        <v>1.0152502915880731E-2</v>
      </c>
      <c r="K1051" s="8">
        <f t="shared" si="63"/>
        <v>2.2079111451819955E-2</v>
      </c>
    </row>
    <row r="1052" spans="1:11" x14ac:dyDescent="0.25">
      <c r="A1052" t="str">
        <f t="shared" si="64"/>
        <v>42021</v>
      </c>
      <c r="B1052" s="1">
        <v>44287</v>
      </c>
      <c r="C1052" s="10">
        <v>44200.645833333336</v>
      </c>
      <c r="D1052">
        <v>35081.1</v>
      </c>
      <c r="E1052">
        <v>35102.699999999997</v>
      </c>
      <c r="F1052">
        <v>34754.85</v>
      </c>
      <c r="G1052">
        <v>34874.550000000003</v>
      </c>
      <c r="H1052">
        <v>0</v>
      </c>
      <c r="I1052" s="8">
        <f t="shared" si="65"/>
        <v>-1.6360497771363836E-3</v>
      </c>
      <c r="J1052" s="8">
        <f t="shared" si="66"/>
        <v>-1.6373895680822084E-3</v>
      </c>
      <c r="K1052" s="8">
        <f t="shared" si="63"/>
        <v>1.4035301968344349E-2</v>
      </c>
    </row>
    <row r="1053" spans="1:11" x14ac:dyDescent="0.25">
      <c r="A1053" t="str">
        <f t="shared" si="64"/>
        <v>42021</v>
      </c>
      <c r="B1053" s="1">
        <v>44291</v>
      </c>
      <c r="C1053" s="10">
        <v>44320.645833333336</v>
      </c>
      <c r="D1053">
        <v>34800.550000000003</v>
      </c>
      <c r="E1053">
        <v>34892.6</v>
      </c>
      <c r="F1053">
        <v>34024.15</v>
      </c>
      <c r="G1053">
        <v>34304.550000000003</v>
      </c>
      <c r="H1053">
        <v>0</v>
      </c>
      <c r="I1053" s="8">
        <f t="shared" si="65"/>
        <v>-1.6344296915659084E-2</v>
      </c>
      <c r="J1053" s="8">
        <f t="shared" si="66"/>
        <v>-1.6479338396996463E-2</v>
      </c>
      <c r="K1053" s="8">
        <f t="shared" si="63"/>
        <v>-9.1031984679241784E-3</v>
      </c>
    </row>
    <row r="1054" spans="1:11" x14ac:dyDescent="0.25">
      <c r="A1054" t="str">
        <f t="shared" si="64"/>
        <v>42021</v>
      </c>
      <c r="B1054" s="1">
        <v>44292</v>
      </c>
      <c r="C1054" s="10">
        <v>44351.645833333336</v>
      </c>
      <c r="D1054">
        <v>34439.550000000003</v>
      </c>
      <c r="E1054">
        <v>34697.1</v>
      </c>
      <c r="F1054">
        <v>34221.1</v>
      </c>
      <c r="G1054">
        <v>34619.85</v>
      </c>
      <c r="H1054">
        <v>0</v>
      </c>
      <c r="I1054" s="8">
        <f t="shared" si="65"/>
        <v>9.1912005841789934E-3</v>
      </c>
      <c r="J1054" s="8">
        <f t="shared" si="66"/>
        <v>9.1492185475647182E-3</v>
      </c>
      <c r="K1054" s="8">
        <f t="shared" si="63"/>
        <v>-2.8916842476652826E-3</v>
      </c>
    </row>
    <row r="1055" spans="1:11" x14ac:dyDescent="0.25">
      <c r="A1055" t="str">
        <f t="shared" si="64"/>
        <v>42021</v>
      </c>
      <c r="B1055" s="1">
        <v>44293</v>
      </c>
      <c r="C1055" s="10">
        <v>44381.645833333336</v>
      </c>
      <c r="D1055">
        <v>34682.15</v>
      </c>
      <c r="E1055">
        <v>35050.449999999997</v>
      </c>
      <c r="F1055">
        <v>34613.199999999997</v>
      </c>
      <c r="G1055">
        <v>34835.300000000003</v>
      </c>
      <c r="H1055">
        <v>0</v>
      </c>
      <c r="I1055" s="8">
        <f t="shared" si="65"/>
        <v>6.2233083043399251E-3</v>
      </c>
      <c r="J1055" s="8">
        <f t="shared" si="66"/>
        <v>6.2040234900874267E-3</v>
      </c>
      <c r="K1055" s="8">
        <f t="shared" si="63"/>
        <v>1.479723893630025E-2</v>
      </c>
    </row>
    <row r="1056" spans="1:11" x14ac:dyDescent="0.25">
      <c r="A1056" t="str">
        <f t="shared" si="64"/>
        <v>42021</v>
      </c>
      <c r="B1056" s="1">
        <v>44294</v>
      </c>
      <c r="C1056" s="10">
        <v>44412.645833333336</v>
      </c>
      <c r="D1056">
        <v>34899.5</v>
      </c>
      <c r="E1056">
        <v>35105.65</v>
      </c>
      <c r="F1056">
        <v>34869.15</v>
      </c>
      <c r="G1056">
        <v>34983.050000000003</v>
      </c>
      <c r="H1056">
        <v>0</v>
      </c>
      <c r="I1056" s="8">
        <f t="shared" si="65"/>
        <v>4.2413873283708714E-3</v>
      </c>
      <c r="J1056" s="8">
        <f t="shared" si="66"/>
        <v>4.2324179977957926E-3</v>
      </c>
      <c r="K1056" s="8">
        <f t="shared" si="63"/>
        <v>2.7935185198789014E-2</v>
      </c>
    </row>
    <row r="1057" spans="1:11" x14ac:dyDescent="0.25">
      <c r="A1057" t="str">
        <f t="shared" si="64"/>
        <v>42021</v>
      </c>
      <c r="B1057" s="1">
        <v>44295</v>
      </c>
      <c r="C1057" s="10">
        <v>44443.645833333336</v>
      </c>
      <c r="D1057">
        <v>35064.699999999997</v>
      </c>
      <c r="E1057">
        <v>35442.85</v>
      </c>
      <c r="F1057">
        <v>34999.4</v>
      </c>
      <c r="G1057">
        <v>35253.1</v>
      </c>
      <c r="H1057">
        <v>0</v>
      </c>
      <c r="I1057" s="8">
        <f t="shared" si="65"/>
        <v>7.7194527063819685E-3</v>
      </c>
      <c r="J1057" s="8">
        <f t="shared" si="66"/>
        <v>7.6898101829794797E-3</v>
      </c>
      <c r="K1057" s="8">
        <f t="shared" si="63"/>
        <v>2.8484322463477429E-2</v>
      </c>
    </row>
    <row r="1058" spans="1:11" x14ac:dyDescent="0.25">
      <c r="A1058" t="str">
        <f t="shared" si="64"/>
        <v>42021</v>
      </c>
      <c r="B1058" s="1">
        <v>44298</v>
      </c>
      <c r="C1058" s="10">
        <v>44534.645833333336</v>
      </c>
      <c r="D1058">
        <v>34865.1</v>
      </c>
      <c r="E1058">
        <v>34979.9</v>
      </c>
      <c r="F1058">
        <v>34472.9</v>
      </c>
      <c r="G1058">
        <v>34561.35</v>
      </c>
      <c r="H1058">
        <v>0</v>
      </c>
      <c r="I1058" s="8">
        <f t="shared" si="65"/>
        <v>-1.9622387818376219E-2</v>
      </c>
      <c r="J1058" s="8">
        <f t="shared" si="66"/>
        <v>-1.9817462980971683E-2</v>
      </c>
      <c r="K1058" s="8">
        <f t="shared" si="63"/>
        <v>-3.4571994954045726E-3</v>
      </c>
    </row>
    <row r="1059" spans="1:11" x14ac:dyDescent="0.25">
      <c r="A1059" t="str">
        <f t="shared" si="64"/>
        <v>42021</v>
      </c>
      <c r="B1059" s="1">
        <v>44299</v>
      </c>
      <c r="C1059" t="s">
        <v>663</v>
      </c>
      <c r="D1059">
        <v>34698.949999999997</v>
      </c>
      <c r="E1059">
        <v>35045.449999999997</v>
      </c>
      <c r="F1059">
        <v>34591.1</v>
      </c>
      <c r="G1059">
        <v>34720.35</v>
      </c>
      <c r="H1059">
        <v>0</v>
      </c>
      <c r="I1059" s="8">
        <f t="shared" si="65"/>
        <v>4.6005147368375354E-3</v>
      </c>
      <c r="J1059" s="8">
        <f t="shared" si="66"/>
        <v>4.5899647135660615E-3</v>
      </c>
      <c r="K1059" s="8">
        <f t="shared" si="63"/>
        <v>6.7181522036958707E-3</v>
      </c>
    </row>
    <row r="1060" spans="1:11" x14ac:dyDescent="0.25">
      <c r="A1060" t="str">
        <f t="shared" si="64"/>
        <v>42021</v>
      </c>
      <c r="B1060" s="1">
        <v>44301</v>
      </c>
      <c r="C1060" t="s">
        <v>664</v>
      </c>
      <c r="D1060">
        <v>34972.5</v>
      </c>
      <c r="E1060">
        <v>35046.75</v>
      </c>
      <c r="F1060">
        <v>34349.65</v>
      </c>
      <c r="G1060">
        <v>34658.6</v>
      </c>
      <c r="H1060">
        <v>0</v>
      </c>
      <c r="I1060" s="8">
        <f t="shared" si="65"/>
        <v>-1.7784958964986997E-3</v>
      </c>
      <c r="J1060" s="8">
        <f t="shared" si="66"/>
        <v>-1.7800792979861702E-3</v>
      </c>
      <c r="K1060" s="8">
        <f t="shared" si="63"/>
        <v>1.1843686448511637E-3</v>
      </c>
    </row>
    <row r="1061" spans="1:11" x14ac:dyDescent="0.25">
      <c r="A1061" t="str">
        <f t="shared" si="64"/>
        <v>42021</v>
      </c>
      <c r="B1061" s="1">
        <v>44302</v>
      </c>
      <c r="C1061" t="s">
        <v>665</v>
      </c>
      <c r="D1061">
        <v>34816.9</v>
      </c>
      <c r="E1061">
        <v>34957.15</v>
      </c>
      <c r="F1061">
        <v>34699</v>
      </c>
      <c r="G1061">
        <v>34853.15</v>
      </c>
      <c r="H1061">
        <v>0</v>
      </c>
      <c r="I1061" s="8">
        <f t="shared" si="65"/>
        <v>5.6133254084125284E-3</v>
      </c>
      <c r="J1061" s="8">
        <f t="shared" si="66"/>
        <v>5.5976294077873202E-3</v>
      </c>
      <c r="K1061" s="8">
        <f t="shared" si="63"/>
        <v>-9.330470651297551E-4</v>
      </c>
    </row>
    <row r="1062" spans="1:11" x14ac:dyDescent="0.25">
      <c r="A1062" t="str">
        <f t="shared" si="64"/>
        <v>42021</v>
      </c>
      <c r="B1062" s="1">
        <v>44305</v>
      </c>
      <c r="C1062" t="s">
        <v>666</v>
      </c>
      <c r="D1062">
        <v>34463.449999999997</v>
      </c>
      <c r="E1062">
        <v>34623.949999999997</v>
      </c>
      <c r="F1062">
        <v>34218.1</v>
      </c>
      <c r="G1062">
        <v>34519</v>
      </c>
      <c r="H1062">
        <v>0</v>
      </c>
      <c r="I1062" s="8">
        <f t="shared" si="65"/>
        <v>-9.5873687170313637E-3</v>
      </c>
      <c r="J1062" s="8">
        <f t="shared" si="66"/>
        <v>-9.633623414465527E-3</v>
      </c>
      <c r="K1062" s="8">
        <f t="shared" si="63"/>
        <v>-3.206752516961564E-3</v>
      </c>
    </row>
    <row r="1063" spans="1:11" x14ac:dyDescent="0.25">
      <c r="A1063" t="str">
        <f t="shared" si="64"/>
        <v>42021</v>
      </c>
      <c r="B1063" s="1">
        <v>44306</v>
      </c>
      <c r="C1063" t="s">
        <v>667</v>
      </c>
      <c r="D1063">
        <v>34772.050000000003</v>
      </c>
      <c r="E1063">
        <v>34772.050000000003</v>
      </c>
      <c r="F1063">
        <v>34087.1</v>
      </c>
      <c r="G1063">
        <v>34296.5</v>
      </c>
      <c r="H1063">
        <v>0</v>
      </c>
      <c r="I1063" s="8">
        <f t="shared" si="65"/>
        <v>-6.4457255424549276E-3</v>
      </c>
      <c r="J1063" s="8">
        <f t="shared" si="66"/>
        <v>-6.4665889327874294E-3</v>
      </c>
      <c r="K1063" s="8">
        <f t="shared" si="63"/>
        <v>-5.9806653653248221E-3</v>
      </c>
    </row>
    <row r="1064" spans="1:11" x14ac:dyDescent="0.25">
      <c r="A1064" t="str">
        <f t="shared" si="64"/>
        <v>42021</v>
      </c>
      <c r="B1064" s="1">
        <v>44308</v>
      </c>
      <c r="C1064" t="s">
        <v>668</v>
      </c>
      <c r="D1064">
        <v>34212.199999999997</v>
      </c>
      <c r="E1064">
        <v>34222.800000000003</v>
      </c>
      <c r="F1064">
        <v>33894.050000000003</v>
      </c>
      <c r="G1064">
        <v>34043.050000000003</v>
      </c>
      <c r="H1064">
        <v>0</v>
      </c>
      <c r="I1064" s="8">
        <f t="shared" si="65"/>
        <v>-7.3899669062439388E-3</v>
      </c>
      <c r="J1064" s="8">
        <f t="shared" si="66"/>
        <v>-7.4174079877229893E-3</v>
      </c>
      <c r="K1064" s="8">
        <f t="shared" si="63"/>
        <v>-1.7795806963965433E-2</v>
      </c>
    </row>
    <row r="1065" spans="1:11" x14ac:dyDescent="0.25">
      <c r="A1065" t="str">
        <f t="shared" si="64"/>
        <v>42021</v>
      </c>
      <c r="B1065" s="1">
        <v>44309</v>
      </c>
      <c r="C1065" t="s">
        <v>669</v>
      </c>
      <c r="D1065">
        <v>33938.1</v>
      </c>
      <c r="E1065">
        <v>34002.85</v>
      </c>
      <c r="F1065">
        <v>33631.699999999997</v>
      </c>
      <c r="G1065">
        <v>33726.1</v>
      </c>
      <c r="H1065">
        <v>0</v>
      </c>
      <c r="I1065" s="8">
        <f t="shared" si="65"/>
        <v>-9.3102703782418361E-3</v>
      </c>
      <c r="J1065" s="8">
        <f t="shared" si="66"/>
        <v>-9.3538818462711223E-3</v>
      </c>
      <c r="K1065" s="8">
        <f t="shared" si="63"/>
        <v>-2.5407921029551805E-2</v>
      </c>
    </row>
    <row r="1066" spans="1:11" x14ac:dyDescent="0.25">
      <c r="A1066" t="str">
        <f t="shared" si="64"/>
        <v>42021</v>
      </c>
      <c r="B1066" s="1">
        <v>44312</v>
      </c>
      <c r="C1066" t="s">
        <v>670</v>
      </c>
      <c r="D1066">
        <v>33874.75</v>
      </c>
      <c r="E1066">
        <v>33952.6</v>
      </c>
      <c r="F1066">
        <v>33726.050000000003</v>
      </c>
      <c r="G1066">
        <v>33865.699999999997</v>
      </c>
      <c r="H1066">
        <v>0</v>
      </c>
      <c r="I1066" s="8">
        <f t="shared" si="65"/>
        <v>4.1392274825728936E-3</v>
      </c>
      <c r="J1066" s="8">
        <f t="shared" si="66"/>
        <v>4.1306844467619858E-3</v>
      </c>
      <c r="K1066" s="8">
        <f t="shared" si="63"/>
        <v>-1.8226146852822644E-2</v>
      </c>
    </row>
    <row r="1067" spans="1:11" x14ac:dyDescent="0.25">
      <c r="A1067" t="str">
        <f t="shared" si="64"/>
        <v>42021</v>
      </c>
      <c r="B1067" s="1">
        <v>44313</v>
      </c>
      <c r="C1067" t="s">
        <v>671</v>
      </c>
      <c r="D1067">
        <v>33949.9</v>
      </c>
      <c r="E1067">
        <v>34037.199999999997</v>
      </c>
      <c r="F1067">
        <v>33888.35</v>
      </c>
      <c r="G1067">
        <v>34009.35</v>
      </c>
      <c r="H1067">
        <v>0</v>
      </c>
      <c r="I1067" s="8">
        <f t="shared" si="65"/>
        <v>4.2417549319813119E-3</v>
      </c>
      <c r="J1067" s="8">
        <f t="shared" si="66"/>
        <v>4.2327840487749674E-3</v>
      </c>
      <c r="K1067" s="8">
        <f t="shared" si="63"/>
        <v>-1.2226149641449635E-2</v>
      </c>
    </row>
    <row r="1068" spans="1:11" x14ac:dyDescent="0.25">
      <c r="A1068" t="str">
        <f t="shared" si="64"/>
        <v>42021</v>
      </c>
      <c r="B1068" s="1">
        <v>44314</v>
      </c>
      <c r="C1068" t="s">
        <v>672</v>
      </c>
      <c r="D1068">
        <v>34060.449999999997</v>
      </c>
      <c r="E1068">
        <v>34398.5</v>
      </c>
      <c r="F1068">
        <v>33999.85</v>
      </c>
      <c r="G1068">
        <v>34129.15</v>
      </c>
      <c r="H1068">
        <v>0</v>
      </c>
      <c r="I1068" s="8">
        <f t="shared" si="65"/>
        <v>3.522560707570177E-3</v>
      </c>
      <c r="J1068" s="8">
        <f t="shared" si="66"/>
        <v>3.5163710220373775E-3</v>
      </c>
      <c r="K1068" s="8">
        <f t="shared" si="63"/>
        <v>-1.4468117477016706E-3</v>
      </c>
    </row>
    <row r="1069" spans="1:11" x14ac:dyDescent="0.25">
      <c r="A1069" t="str">
        <f t="shared" si="64"/>
        <v>42021</v>
      </c>
      <c r="B1069" s="1">
        <v>44315</v>
      </c>
      <c r="C1069" t="s">
        <v>673</v>
      </c>
      <c r="D1069">
        <v>34400.699999999997</v>
      </c>
      <c r="E1069">
        <v>34455</v>
      </c>
      <c r="F1069">
        <v>33944.9</v>
      </c>
      <c r="G1069">
        <v>34009</v>
      </c>
      <c r="H1069">
        <v>0</v>
      </c>
      <c r="I1069" s="8">
        <f t="shared" si="65"/>
        <v>-3.5204509927730943E-3</v>
      </c>
      <c r="J1069" s="8">
        <f t="shared" si="66"/>
        <v>-3.5266623625360267E-3</v>
      </c>
      <c r="K1069" s="8">
        <f t="shared" si="63"/>
        <v>-7.9459998716505664E-3</v>
      </c>
    </row>
    <row r="1070" spans="1:11" x14ac:dyDescent="0.25">
      <c r="A1070" t="str">
        <f t="shared" si="64"/>
        <v>42021</v>
      </c>
      <c r="B1070" s="1">
        <v>44316</v>
      </c>
      <c r="C1070" t="s">
        <v>674</v>
      </c>
      <c r="D1070">
        <v>33970.25</v>
      </c>
      <c r="E1070">
        <v>34098.9</v>
      </c>
      <c r="F1070">
        <v>33544.85</v>
      </c>
      <c r="G1070">
        <v>33623.449999999997</v>
      </c>
      <c r="H1070">
        <v>0</v>
      </c>
      <c r="I1070" s="8">
        <f t="shared" si="65"/>
        <v>-1.1336704989855728E-2</v>
      </c>
      <c r="J1070" s="8">
        <f t="shared" si="66"/>
        <v>-1.1401455264849042E-2</v>
      </c>
      <c r="K1070" s="8">
        <f t="shared" si="63"/>
        <v>-7.137366044285276E-5</v>
      </c>
    </row>
    <row r="1071" spans="1:11" x14ac:dyDescent="0.25">
      <c r="A1071" t="str">
        <f t="shared" si="64"/>
        <v>52021</v>
      </c>
      <c r="B1071" s="1">
        <v>44319</v>
      </c>
      <c r="C1071" s="10">
        <v>44260.645833333336</v>
      </c>
      <c r="D1071">
        <v>33515.65</v>
      </c>
      <c r="E1071">
        <v>34072.699999999997</v>
      </c>
      <c r="F1071">
        <v>33505.199999999997</v>
      </c>
      <c r="G1071">
        <v>33994.199999999997</v>
      </c>
      <c r="H1071">
        <v>0</v>
      </c>
      <c r="I1071" s="8">
        <f t="shared" si="65"/>
        <v>1.1026530591001116E-2</v>
      </c>
      <c r="J1071" s="8">
        <f t="shared" si="66"/>
        <v>1.0966181623794554E-2</v>
      </c>
      <c r="K1071" s="8">
        <f t="shared" si="63"/>
        <v>2.6362388873540921E-2</v>
      </c>
    </row>
    <row r="1072" spans="1:11" x14ac:dyDescent="0.25">
      <c r="A1072" t="str">
        <f t="shared" si="64"/>
        <v>52021</v>
      </c>
      <c r="B1072" s="1">
        <v>44320</v>
      </c>
      <c r="C1072" s="10">
        <v>44291.645833333336</v>
      </c>
      <c r="D1072">
        <v>34074.25</v>
      </c>
      <c r="E1072">
        <v>34166.9</v>
      </c>
      <c r="F1072">
        <v>33691.699999999997</v>
      </c>
      <c r="G1072">
        <v>33822.75</v>
      </c>
      <c r="H1072">
        <v>0</v>
      </c>
      <c r="I1072" s="8">
        <f t="shared" si="65"/>
        <v>-5.0435074218542209E-3</v>
      </c>
      <c r="J1072" s="8">
        <f t="shared" si="66"/>
        <v>-5.0562688316707618E-3</v>
      </c>
      <c r="K1072" s="8">
        <f t="shared" si="63"/>
        <v>3.950768262656279E-3</v>
      </c>
    </row>
    <row r="1073" spans="1:11" x14ac:dyDescent="0.25">
      <c r="A1073" t="str">
        <f t="shared" si="64"/>
        <v>52021</v>
      </c>
      <c r="B1073" s="1">
        <v>44321</v>
      </c>
      <c r="C1073" s="10">
        <v>44321.645833333336</v>
      </c>
      <c r="D1073">
        <v>34073.949999999997</v>
      </c>
      <c r="E1073">
        <v>34073.949999999997</v>
      </c>
      <c r="F1073">
        <v>33663.449999999997</v>
      </c>
      <c r="G1073">
        <v>33898</v>
      </c>
      <c r="H1073">
        <v>0</v>
      </c>
      <c r="I1073" s="8">
        <f t="shared" si="65"/>
        <v>2.2248338766066578E-3</v>
      </c>
      <c r="J1073" s="8">
        <f t="shared" si="66"/>
        <v>2.2223625984941378E-3</v>
      </c>
      <c r="K1073" s="8">
        <f t="shared" si="63"/>
        <v>4.9554043257138414E-3</v>
      </c>
    </row>
    <row r="1074" spans="1:11" x14ac:dyDescent="0.25">
      <c r="A1074" t="str">
        <f t="shared" si="64"/>
        <v>52021</v>
      </c>
      <c r="B1074" s="1">
        <v>44322</v>
      </c>
      <c r="C1074" s="10">
        <v>44352.645833333336</v>
      </c>
      <c r="D1074">
        <v>34003.85</v>
      </c>
      <c r="E1074">
        <v>34233.550000000003</v>
      </c>
      <c r="F1074">
        <v>33897.699999999997</v>
      </c>
      <c r="G1074">
        <v>34048.5</v>
      </c>
      <c r="H1074">
        <v>0</v>
      </c>
      <c r="I1074" s="8">
        <f t="shared" si="65"/>
        <v>4.4397899581096745E-3</v>
      </c>
      <c r="J1074" s="8">
        <f t="shared" si="66"/>
        <v>4.4299631658667469E-3</v>
      </c>
      <c r="K1074" s="8">
        <f t="shared" si="63"/>
        <v>1.0870678560136238E-2</v>
      </c>
    </row>
    <row r="1075" spans="1:11" x14ac:dyDescent="0.25">
      <c r="A1075" t="str">
        <f t="shared" si="64"/>
        <v>52021</v>
      </c>
      <c r="B1075" s="1">
        <v>44323</v>
      </c>
      <c r="C1075" s="10">
        <v>44382.645833333336</v>
      </c>
      <c r="D1075">
        <v>34153.5</v>
      </c>
      <c r="E1075">
        <v>34221.599999999999</v>
      </c>
      <c r="F1075">
        <v>34049.85</v>
      </c>
      <c r="G1075">
        <v>34123.5</v>
      </c>
      <c r="H1075">
        <v>0</v>
      </c>
      <c r="I1075" s="8">
        <f t="shared" si="65"/>
        <v>2.2027402088198311E-3</v>
      </c>
      <c r="J1075" s="8">
        <f t="shared" si="66"/>
        <v>2.2003177333432457E-3</v>
      </c>
      <c r="K1075" s="8">
        <f t="shared" si="63"/>
        <v>-1.1132314139038813E-2</v>
      </c>
    </row>
    <row r="1076" spans="1:11" x14ac:dyDescent="0.25">
      <c r="A1076" t="str">
        <f t="shared" si="64"/>
        <v>52021</v>
      </c>
      <c r="B1076" s="1">
        <v>44326</v>
      </c>
      <c r="C1076" s="10">
        <v>44474.645833333336</v>
      </c>
      <c r="D1076">
        <v>34273.949999999997</v>
      </c>
      <c r="E1076">
        <v>34332.1</v>
      </c>
      <c r="F1076">
        <v>34067.449999999997</v>
      </c>
      <c r="G1076">
        <v>34204.25</v>
      </c>
      <c r="H1076">
        <v>0</v>
      </c>
      <c r="I1076" s="8">
        <f t="shared" si="65"/>
        <v>2.3664043840754267E-3</v>
      </c>
      <c r="J1076" s="8">
        <f t="shared" si="66"/>
        <v>2.363608858581528E-3</v>
      </c>
      <c r="K1076" s="8">
        <f t="shared" si="63"/>
        <v>-1.2707644792102624E-2</v>
      </c>
    </row>
    <row r="1077" spans="1:11" x14ac:dyDescent="0.25">
      <c r="A1077" t="str">
        <f t="shared" si="64"/>
        <v>52021</v>
      </c>
      <c r="B1077" s="1">
        <v>44327</v>
      </c>
      <c r="C1077" s="10">
        <v>44505.645833333336</v>
      </c>
      <c r="D1077">
        <v>34066.5</v>
      </c>
      <c r="E1077">
        <v>34299.35</v>
      </c>
      <c r="F1077">
        <v>34010.949999999997</v>
      </c>
      <c r="G1077">
        <v>34129.300000000003</v>
      </c>
      <c r="H1077">
        <v>0</v>
      </c>
      <c r="I1077" s="8">
        <f t="shared" si="65"/>
        <v>-2.191248163605275E-3</v>
      </c>
      <c r="J1077" s="8">
        <f t="shared" si="66"/>
        <v>-2.1936524607791439E-3</v>
      </c>
      <c r="K1077" s="8">
        <f t="shared" si="63"/>
        <v>-9.373843508043711E-3</v>
      </c>
    </row>
    <row r="1078" spans="1:11" x14ac:dyDescent="0.25">
      <c r="A1078" t="str">
        <f t="shared" si="64"/>
        <v>52021</v>
      </c>
      <c r="B1078" s="1">
        <v>44328</v>
      </c>
      <c r="C1078" s="10">
        <v>44535.645833333336</v>
      </c>
      <c r="D1078">
        <v>34197.25</v>
      </c>
      <c r="E1078">
        <v>34258.65</v>
      </c>
      <c r="F1078">
        <v>33988.449999999997</v>
      </c>
      <c r="G1078">
        <v>34057.4</v>
      </c>
      <c r="H1078">
        <v>0</v>
      </c>
      <c r="I1078" s="8">
        <f t="shared" si="65"/>
        <v>-2.1066942480508777E-3</v>
      </c>
      <c r="J1078" s="8">
        <f t="shared" si="66"/>
        <v>-2.1089164499267354E-3</v>
      </c>
      <c r="K1078" s="8">
        <f t="shared" si="63"/>
        <v>-5.0801459482988642E-3</v>
      </c>
    </row>
    <row r="1079" spans="1:11" x14ac:dyDescent="0.25">
      <c r="A1079" t="str">
        <f t="shared" si="64"/>
        <v>52021</v>
      </c>
      <c r="B1079" s="1">
        <v>44330</v>
      </c>
      <c r="C1079" t="s">
        <v>675</v>
      </c>
      <c r="D1079">
        <v>34158.199999999997</v>
      </c>
      <c r="E1079">
        <v>34835</v>
      </c>
      <c r="F1079">
        <v>34094.400000000001</v>
      </c>
      <c r="G1079">
        <v>34781.5</v>
      </c>
      <c r="H1079">
        <v>0</v>
      </c>
      <c r="I1079" s="8">
        <f t="shared" si="65"/>
        <v>2.1261164974425428E-2</v>
      </c>
      <c r="J1079" s="8">
        <f t="shared" si="66"/>
        <v>2.1038299787810681E-2</v>
      </c>
      <c r="K1079" s="8">
        <f t="shared" si="63"/>
        <v>1.7359892359892326E-2</v>
      </c>
    </row>
    <row r="1080" spans="1:11" x14ac:dyDescent="0.25">
      <c r="A1080" t="str">
        <f t="shared" si="64"/>
        <v>11900</v>
      </c>
      <c r="I1080" s="8">
        <f t="shared" ref="I1080:I1143" si="67">+G1080/G1079-1</f>
        <v>-1</v>
      </c>
      <c r="J1080" s="8" t="e">
        <f t="shared" si="66"/>
        <v>#NUM!</v>
      </c>
      <c r="K1080" s="8">
        <f t="shared" si="63"/>
        <v>-1</v>
      </c>
    </row>
    <row r="1081" spans="1:11" x14ac:dyDescent="0.25">
      <c r="A1081" t="str">
        <f t="shared" si="64"/>
        <v>11900</v>
      </c>
      <c r="I1081" s="8" t="e">
        <f t="shared" si="67"/>
        <v>#DIV/0!</v>
      </c>
      <c r="J1081" s="8" t="e">
        <f t="shared" si="66"/>
        <v>#DIV/0!</v>
      </c>
      <c r="K1081" s="8">
        <f t="shared" si="63"/>
        <v>-1</v>
      </c>
    </row>
    <row r="1082" spans="1:11" x14ac:dyDescent="0.25">
      <c r="A1082" t="str">
        <f t="shared" si="64"/>
        <v>11900</v>
      </c>
      <c r="I1082" s="8" t="e">
        <f t="shared" si="67"/>
        <v>#DIV/0!</v>
      </c>
      <c r="J1082" s="8" t="e">
        <f t="shared" si="66"/>
        <v>#DIV/0!</v>
      </c>
      <c r="K1082" s="8">
        <f t="shared" si="63"/>
        <v>-1</v>
      </c>
    </row>
    <row r="1083" spans="1:11" x14ac:dyDescent="0.25">
      <c r="A1083" t="str">
        <f t="shared" si="64"/>
        <v>11900</v>
      </c>
      <c r="I1083" s="8" t="e">
        <f t="shared" si="67"/>
        <v>#DIV/0!</v>
      </c>
      <c r="J1083" s="8" t="e">
        <f t="shared" si="66"/>
        <v>#DIV/0!</v>
      </c>
      <c r="K1083" s="8">
        <f t="shared" si="63"/>
        <v>-1</v>
      </c>
    </row>
    <row r="1084" spans="1:11" x14ac:dyDescent="0.25">
      <c r="A1084" t="str">
        <f t="shared" si="64"/>
        <v>11900</v>
      </c>
      <c r="I1084" s="8" t="e">
        <f t="shared" si="67"/>
        <v>#DIV/0!</v>
      </c>
      <c r="J1084" s="8" t="e">
        <f t="shared" si="66"/>
        <v>#DIV/0!</v>
      </c>
      <c r="K1084" s="8">
        <f t="shared" si="63"/>
        <v>-1</v>
      </c>
    </row>
    <row r="1085" spans="1:11" x14ac:dyDescent="0.25">
      <c r="A1085" t="str">
        <f t="shared" si="64"/>
        <v>11900</v>
      </c>
      <c r="I1085" s="8" t="e">
        <f t="shared" si="67"/>
        <v>#DIV/0!</v>
      </c>
      <c r="J1085" s="8" t="e">
        <f t="shared" si="66"/>
        <v>#DIV/0!</v>
      </c>
      <c r="K1085" s="8">
        <f t="shared" si="63"/>
        <v>-1</v>
      </c>
    </row>
    <row r="1086" spans="1:11" x14ac:dyDescent="0.25">
      <c r="A1086" t="str">
        <f t="shared" si="64"/>
        <v>11900</v>
      </c>
      <c r="I1086" s="8" t="e">
        <f t="shared" si="67"/>
        <v>#DIV/0!</v>
      </c>
      <c r="J1086" s="8" t="e">
        <f t="shared" si="66"/>
        <v>#DIV/0!</v>
      </c>
      <c r="K1086" s="8">
        <f t="shared" si="63"/>
        <v>-1</v>
      </c>
    </row>
    <row r="1087" spans="1:11" x14ac:dyDescent="0.25">
      <c r="A1087" t="str">
        <f t="shared" si="64"/>
        <v>11900</v>
      </c>
      <c r="I1087" s="8" t="e">
        <f t="shared" si="67"/>
        <v>#DIV/0!</v>
      </c>
      <c r="J1087" s="8" t="e">
        <f t="shared" si="66"/>
        <v>#DIV/0!</v>
      </c>
      <c r="K1087" s="8">
        <f t="shared" si="63"/>
        <v>-1</v>
      </c>
    </row>
    <row r="1088" spans="1:11" x14ac:dyDescent="0.25">
      <c r="A1088" t="str">
        <f t="shared" si="64"/>
        <v>11900</v>
      </c>
      <c r="I1088" s="8" t="e">
        <f t="shared" si="67"/>
        <v>#DIV/0!</v>
      </c>
      <c r="J1088" s="8" t="e">
        <f t="shared" si="66"/>
        <v>#DIV/0!</v>
      </c>
      <c r="K1088" s="8">
        <f t="shared" ref="K1088:K1151" si="68">+G1088/G1027-1</f>
        <v>-1</v>
      </c>
    </row>
    <row r="1089" spans="1:11" x14ac:dyDescent="0.25">
      <c r="A1089" t="str">
        <f t="shared" si="64"/>
        <v>11900</v>
      </c>
      <c r="I1089" s="8" t="e">
        <f t="shared" si="67"/>
        <v>#DIV/0!</v>
      </c>
      <c r="J1089" s="8" t="e">
        <f t="shared" si="66"/>
        <v>#DIV/0!</v>
      </c>
      <c r="K1089" s="8">
        <f t="shared" si="68"/>
        <v>-1</v>
      </c>
    </row>
    <row r="1090" spans="1:11" x14ac:dyDescent="0.25">
      <c r="A1090" t="str">
        <f t="shared" si="64"/>
        <v>11900</v>
      </c>
      <c r="I1090" s="8" t="e">
        <f t="shared" si="67"/>
        <v>#DIV/0!</v>
      </c>
      <c r="J1090" s="8" t="e">
        <f t="shared" si="66"/>
        <v>#DIV/0!</v>
      </c>
      <c r="K1090" s="8">
        <f t="shared" si="68"/>
        <v>-1</v>
      </c>
    </row>
    <row r="1091" spans="1:11" x14ac:dyDescent="0.25">
      <c r="A1091" t="str">
        <f t="shared" ref="A1091:A1154" si="69">+MONTH(B1091)&amp;YEAR(B1091)</f>
        <v>11900</v>
      </c>
      <c r="I1091" s="8" t="e">
        <f t="shared" si="67"/>
        <v>#DIV/0!</v>
      </c>
      <c r="J1091" s="8" t="e">
        <f t="shared" si="66"/>
        <v>#DIV/0!</v>
      </c>
      <c r="K1091" s="8">
        <f t="shared" si="68"/>
        <v>-1</v>
      </c>
    </row>
    <row r="1092" spans="1:11" x14ac:dyDescent="0.25">
      <c r="A1092" t="str">
        <f t="shared" si="69"/>
        <v>11900</v>
      </c>
      <c r="I1092" s="8" t="e">
        <f t="shared" si="67"/>
        <v>#DIV/0!</v>
      </c>
      <c r="J1092" s="8" t="e">
        <f t="shared" ref="J1092:J1155" si="70">+LN(1+I1092)</f>
        <v>#DIV/0!</v>
      </c>
      <c r="K1092" s="8">
        <f t="shared" si="68"/>
        <v>-1</v>
      </c>
    </row>
    <row r="1093" spans="1:11" x14ac:dyDescent="0.25">
      <c r="A1093" t="str">
        <f t="shared" si="69"/>
        <v>11900</v>
      </c>
      <c r="I1093" s="8" t="e">
        <f t="shared" si="67"/>
        <v>#DIV/0!</v>
      </c>
      <c r="J1093" s="8" t="e">
        <f t="shared" si="70"/>
        <v>#DIV/0!</v>
      </c>
      <c r="K1093" s="8">
        <f t="shared" si="68"/>
        <v>-1</v>
      </c>
    </row>
    <row r="1094" spans="1:11" x14ac:dyDescent="0.25">
      <c r="A1094" t="str">
        <f t="shared" si="69"/>
        <v>11900</v>
      </c>
      <c r="I1094" s="8" t="e">
        <f t="shared" si="67"/>
        <v>#DIV/0!</v>
      </c>
      <c r="J1094" s="8" t="e">
        <f t="shared" si="70"/>
        <v>#DIV/0!</v>
      </c>
      <c r="K1094" s="8">
        <f t="shared" si="68"/>
        <v>-1</v>
      </c>
    </row>
    <row r="1095" spans="1:11" x14ac:dyDescent="0.25">
      <c r="A1095" t="str">
        <f t="shared" si="69"/>
        <v>11900</v>
      </c>
      <c r="I1095" s="8" t="e">
        <f t="shared" si="67"/>
        <v>#DIV/0!</v>
      </c>
      <c r="J1095" s="8" t="e">
        <f t="shared" si="70"/>
        <v>#DIV/0!</v>
      </c>
      <c r="K1095" s="8">
        <f t="shared" si="68"/>
        <v>-1</v>
      </c>
    </row>
    <row r="1096" spans="1:11" x14ac:dyDescent="0.25">
      <c r="A1096" t="str">
        <f t="shared" si="69"/>
        <v>11900</v>
      </c>
      <c r="I1096" s="8" t="e">
        <f t="shared" si="67"/>
        <v>#DIV/0!</v>
      </c>
      <c r="J1096" s="8" t="e">
        <f t="shared" si="70"/>
        <v>#DIV/0!</v>
      </c>
      <c r="K1096" s="8">
        <f t="shared" si="68"/>
        <v>-1</v>
      </c>
    </row>
    <row r="1097" spans="1:11" x14ac:dyDescent="0.25">
      <c r="A1097" t="str">
        <f t="shared" si="69"/>
        <v>11900</v>
      </c>
      <c r="I1097" s="8" t="e">
        <f t="shared" si="67"/>
        <v>#DIV/0!</v>
      </c>
      <c r="J1097" s="8" t="e">
        <f t="shared" si="70"/>
        <v>#DIV/0!</v>
      </c>
      <c r="K1097" s="8">
        <f t="shared" si="68"/>
        <v>-1</v>
      </c>
    </row>
    <row r="1098" spans="1:11" x14ac:dyDescent="0.25">
      <c r="A1098" t="str">
        <f t="shared" si="69"/>
        <v>11900</v>
      </c>
      <c r="I1098" s="8" t="e">
        <f t="shared" si="67"/>
        <v>#DIV/0!</v>
      </c>
      <c r="J1098" s="8" t="e">
        <f t="shared" si="70"/>
        <v>#DIV/0!</v>
      </c>
      <c r="K1098" s="8">
        <f t="shared" si="68"/>
        <v>-1</v>
      </c>
    </row>
    <row r="1099" spans="1:11" x14ac:dyDescent="0.25">
      <c r="A1099" t="str">
        <f t="shared" si="69"/>
        <v>11900</v>
      </c>
      <c r="I1099" s="8" t="e">
        <f t="shared" si="67"/>
        <v>#DIV/0!</v>
      </c>
      <c r="J1099" s="8" t="e">
        <f t="shared" si="70"/>
        <v>#DIV/0!</v>
      </c>
      <c r="K1099" s="8">
        <f t="shared" si="68"/>
        <v>-1</v>
      </c>
    </row>
    <row r="1100" spans="1:11" x14ac:dyDescent="0.25">
      <c r="A1100" t="str">
        <f t="shared" si="69"/>
        <v>11900</v>
      </c>
      <c r="I1100" s="8" t="e">
        <f t="shared" si="67"/>
        <v>#DIV/0!</v>
      </c>
      <c r="J1100" s="8" t="e">
        <f t="shared" si="70"/>
        <v>#DIV/0!</v>
      </c>
      <c r="K1100" s="8">
        <f t="shared" si="68"/>
        <v>-1</v>
      </c>
    </row>
    <row r="1101" spans="1:11" x14ac:dyDescent="0.25">
      <c r="A1101" t="str">
        <f t="shared" si="69"/>
        <v>11900</v>
      </c>
      <c r="I1101" s="8" t="e">
        <f t="shared" si="67"/>
        <v>#DIV/0!</v>
      </c>
      <c r="J1101" s="8" t="e">
        <f t="shared" si="70"/>
        <v>#DIV/0!</v>
      </c>
      <c r="K1101" s="8">
        <f t="shared" si="68"/>
        <v>-1</v>
      </c>
    </row>
    <row r="1102" spans="1:11" x14ac:dyDescent="0.25">
      <c r="A1102" t="str">
        <f t="shared" si="69"/>
        <v>11900</v>
      </c>
      <c r="I1102" s="8" t="e">
        <f t="shared" si="67"/>
        <v>#DIV/0!</v>
      </c>
      <c r="J1102" s="8" t="e">
        <f t="shared" si="70"/>
        <v>#DIV/0!</v>
      </c>
      <c r="K1102" s="8">
        <f t="shared" si="68"/>
        <v>-1</v>
      </c>
    </row>
    <row r="1103" spans="1:11" x14ac:dyDescent="0.25">
      <c r="A1103" t="str">
        <f t="shared" si="69"/>
        <v>11900</v>
      </c>
      <c r="I1103" s="8" t="e">
        <f t="shared" si="67"/>
        <v>#DIV/0!</v>
      </c>
      <c r="J1103" s="8" t="e">
        <f t="shared" si="70"/>
        <v>#DIV/0!</v>
      </c>
      <c r="K1103" s="8">
        <f t="shared" si="68"/>
        <v>-1</v>
      </c>
    </row>
    <row r="1104" spans="1:11" x14ac:dyDescent="0.25">
      <c r="A1104" t="str">
        <f t="shared" si="69"/>
        <v>11900</v>
      </c>
      <c r="I1104" s="8" t="e">
        <f t="shared" si="67"/>
        <v>#DIV/0!</v>
      </c>
      <c r="J1104" s="8" t="e">
        <f t="shared" si="70"/>
        <v>#DIV/0!</v>
      </c>
      <c r="K1104" s="8">
        <f t="shared" si="68"/>
        <v>-1</v>
      </c>
    </row>
    <row r="1105" spans="1:11" x14ac:dyDescent="0.25">
      <c r="A1105" t="str">
        <f t="shared" si="69"/>
        <v>11900</v>
      </c>
      <c r="I1105" s="8" t="e">
        <f t="shared" si="67"/>
        <v>#DIV/0!</v>
      </c>
      <c r="J1105" s="8" t="e">
        <f t="shared" si="70"/>
        <v>#DIV/0!</v>
      </c>
      <c r="K1105" s="8">
        <f t="shared" si="68"/>
        <v>-1</v>
      </c>
    </row>
    <row r="1106" spans="1:11" x14ac:dyDescent="0.25">
      <c r="A1106" t="str">
        <f t="shared" si="69"/>
        <v>11900</v>
      </c>
      <c r="I1106" s="8" t="e">
        <f t="shared" si="67"/>
        <v>#DIV/0!</v>
      </c>
      <c r="J1106" s="8" t="e">
        <f t="shared" si="70"/>
        <v>#DIV/0!</v>
      </c>
      <c r="K1106" s="8">
        <f t="shared" si="68"/>
        <v>-1</v>
      </c>
    </row>
    <row r="1107" spans="1:11" x14ac:dyDescent="0.25">
      <c r="A1107" t="str">
        <f t="shared" si="69"/>
        <v>11900</v>
      </c>
      <c r="I1107" s="8" t="e">
        <f t="shared" si="67"/>
        <v>#DIV/0!</v>
      </c>
      <c r="J1107" s="8" t="e">
        <f t="shared" si="70"/>
        <v>#DIV/0!</v>
      </c>
      <c r="K1107" s="8">
        <f t="shared" si="68"/>
        <v>-1</v>
      </c>
    </row>
    <row r="1108" spans="1:11" x14ac:dyDescent="0.25">
      <c r="A1108" t="str">
        <f t="shared" si="69"/>
        <v>11900</v>
      </c>
      <c r="I1108" s="8" t="e">
        <f t="shared" si="67"/>
        <v>#DIV/0!</v>
      </c>
      <c r="J1108" s="8" t="e">
        <f t="shared" si="70"/>
        <v>#DIV/0!</v>
      </c>
      <c r="K1108" s="8">
        <f t="shared" si="68"/>
        <v>-1</v>
      </c>
    </row>
    <row r="1109" spans="1:11" x14ac:dyDescent="0.25">
      <c r="A1109" t="str">
        <f t="shared" si="69"/>
        <v>11900</v>
      </c>
      <c r="I1109" s="8" t="e">
        <f t="shared" si="67"/>
        <v>#DIV/0!</v>
      </c>
      <c r="J1109" s="8" t="e">
        <f t="shared" si="70"/>
        <v>#DIV/0!</v>
      </c>
      <c r="K1109" s="8">
        <f t="shared" si="68"/>
        <v>-1</v>
      </c>
    </row>
    <row r="1110" spans="1:11" x14ac:dyDescent="0.25">
      <c r="A1110" t="str">
        <f t="shared" si="69"/>
        <v>11900</v>
      </c>
      <c r="I1110" s="8" t="e">
        <f t="shared" si="67"/>
        <v>#DIV/0!</v>
      </c>
      <c r="J1110" s="8" t="e">
        <f t="shared" si="70"/>
        <v>#DIV/0!</v>
      </c>
      <c r="K1110" s="8">
        <f t="shared" si="68"/>
        <v>-1</v>
      </c>
    </row>
    <row r="1111" spans="1:11" x14ac:dyDescent="0.25">
      <c r="A1111" t="str">
        <f t="shared" si="69"/>
        <v>11900</v>
      </c>
      <c r="I1111" s="8" t="e">
        <f t="shared" si="67"/>
        <v>#DIV/0!</v>
      </c>
      <c r="J1111" s="8" t="e">
        <f t="shared" si="70"/>
        <v>#DIV/0!</v>
      </c>
      <c r="K1111" s="8">
        <f t="shared" si="68"/>
        <v>-1</v>
      </c>
    </row>
    <row r="1112" spans="1:11" x14ac:dyDescent="0.25">
      <c r="A1112" t="str">
        <f t="shared" si="69"/>
        <v>11900</v>
      </c>
      <c r="I1112" s="8" t="e">
        <f t="shared" si="67"/>
        <v>#DIV/0!</v>
      </c>
      <c r="J1112" s="8" t="e">
        <f t="shared" si="70"/>
        <v>#DIV/0!</v>
      </c>
      <c r="K1112" s="8">
        <f t="shared" si="68"/>
        <v>-1</v>
      </c>
    </row>
    <row r="1113" spans="1:11" x14ac:dyDescent="0.25">
      <c r="A1113" t="str">
        <f t="shared" si="69"/>
        <v>11900</v>
      </c>
      <c r="I1113" s="8" t="e">
        <f t="shared" si="67"/>
        <v>#DIV/0!</v>
      </c>
      <c r="J1113" s="8" t="e">
        <f t="shared" si="70"/>
        <v>#DIV/0!</v>
      </c>
      <c r="K1113" s="8">
        <f t="shared" si="68"/>
        <v>-1</v>
      </c>
    </row>
    <row r="1114" spans="1:11" x14ac:dyDescent="0.25">
      <c r="A1114" t="str">
        <f t="shared" si="69"/>
        <v>11900</v>
      </c>
      <c r="I1114" s="8" t="e">
        <f t="shared" si="67"/>
        <v>#DIV/0!</v>
      </c>
      <c r="J1114" s="8" t="e">
        <f t="shared" si="70"/>
        <v>#DIV/0!</v>
      </c>
      <c r="K1114" s="8">
        <f t="shared" si="68"/>
        <v>-1</v>
      </c>
    </row>
    <row r="1115" spans="1:11" x14ac:dyDescent="0.25">
      <c r="A1115" t="str">
        <f t="shared" si="69"/>
        <v>11900</v>
      </c>
      <c r="I1115" s="8" t="e">
        <f t="shared" si="67"/>
        <v>#DIV/0!</v>
      </c>
      <c r="J1115" s="8" t="e">
        <f t="shared" si="70"/>
        <v>#DIV/0!</v>
      </c>
      <c r="K1115" s="8">
        <f t="shared" si="68"/>
        <v>-1</v>
      </c>
    </row>
    <row r="1116" spans="1:11" x14ac:dyDescent="0.25">
      <c r="A1116" t="str">
        <f t="shared" si="69"/>
        <v>11900</v>
      </c>
      <c r="I1116" s="8" t="e">
        <f t="shared" si="67"/>
        <v>#DIV/0!</v>
      </c>
      <c r="J1116" s="8" t="e">
        <f t="shared" si="70"/>
        <v>#DIV/0!</v>
      </c>
      <c r="K1116" s="8">
        <f t="shared" si="68"/>
        <v>-1</v>
      </c>
    </row>
    <row r="1117" spans="1:11" x14ac:dyDescent="0.25">
      <c r="A1117" t="str">
        <f t="shared" si="69"/>
        <v>11900</v>
      </c>
      <c r="I1117" s="8" t="e">
        <f t="shared" si="67"/>
        <v>#DIV/0!</v>
      </c>
      <c r="J1117" s="8" t="e">
        <f t="shared" si="70"/>
        <v>#DIV/0!</v>
      </c>
      <c r="K1117" s="8">
        <f t="shared" si="68"/>
        <v>-1</v>
      </c>
    </row>
    <row r="1118" spans="1:11" x14ac:dyDescent="0.25">
      <c r="A1118" t="str">
        <f t="shared" si="69"/>
        <v>11900</v>
      </c>
      <c r="I1118" s="8" t="e">
        <f t="shared" si="67"/>
        <v>#DIV/0!</v>
      </c>
      <c r="J1118" s="8" t="e">
        <f t="shared" si="70"/>
        <v>#DIV/0!</v>
      </c>
      <c r="K1118" s="8">
        <f t="shared" si="68"/>
        <v>-1</v>
      </c>
    </row>
    <row r="1119" spans="1:11" x14ac:dyDescent="0.25">
      <c r="A1119" t="str">
        <f t="shared" si="69"/>
        <v>11900</v>
      </c>
      <c r="I1119" s="8" t="e">
        <f t="shared" si="67"/>
        <v>#DIV/0!</v>
      </c>
      <c r="J1119" s="8" t="e">
        <f t="shared" si="70"/>
        <v>#DIV/0!</v>
      </c>
      <c r="K1119" s="8">
        <f t="shared" si="68"/>
        <v>-1</v>
      </c>
    </row>
    <row r="1120" spans="1:11" x14ac:dyDescent="0.25">
      <c r="A1120" t="str">
        <f t="shared" si="69"/>
        <v>11900</v>
      </c>
      <c r="I1120" s="8" t="e">
        <f t="shared" si="67"/>
        <v>#DIV/0!</v>
      </c>
      <c r="J1120" s="8" t="e">
        <f t="shared" si="70"/>
        <v>#DIV/0!</v>
      </c>
      <c r="K1120" s="8">
        <f t="shared" si="68"/>
        <v>-1</v>
      </c>
    </row>
    <row r="1121" spans="1:11" x14ac:dyDescent="0.25">
      <c r="A1121" t="str">
        <f t="shared" si="69"/>
        <v>11900</v>
      </c>
      <c r="I1121" s="8" t="e">
        <f t="shared" si="67"/>
        <v>#DIV/0!</v>
      </c>
      <c r="J1121" s="8" t="e">
        <f t="shared" si="70"/>
        <v>#DIV/0!</v>
      </c>
      <c r="K1121" s="8">
        <f t="shared" si="68"/>
        <v>-1</v>
      </c>
    </row>
    <row r="1122" spans="1:11" x14ac:dyDescent="0.25">
      <c r="A1122" t="str">
        <f t="shared" si="69"/>
        <v>11900</v>
      </c>
      <c r="I1122" s="8" t="e">
        <f t="shared" si="67"/>
        <v>#DIV/0!</v>
      </c>
      <c r="J1122" s="8" t="e">
        <f t="shared" si="70"/>
        <v>#DIV/0!</v>
      </c>
      <c r="K1122" s="8">
        <f t="shared" si="68"/>
        <v>-1</v>
      </c>
    </row>
    <row r="1123" spans="1:11" x14ac:dyDescent="0.25">
      <c r="A1123" t="str">
        <f t="shared" si="69"/>
        <v>11900</v>
      </c>
      <c r="I1123" s="8" t="e">
        <f t="shared" si="67"/>
        <v>#DIV/0!</v>
      </c>
      <c r="J1123" s="8" t="e">
        <f t="shared" si="70"/>
        <v>#DIV/0!</v>
      </c>
      <c r="K1123" s="8">
        <f t="shared" si="68"/>
        <v>-1</v>
      </c>
    </row>
    <row r="1124" spans="1:11" x14ac:dyDescent="0.25">
      <c r="A1124" t="str">
        <f t="shared" si="69"/>
        <v>11900</v>
      </c>
      <c r="I1124" s="8" t="e">
        <f t="shared" si="67"/>
        <v>#DIV/0!</v>
      </c>
      <c r="J1124" s="8" t="e">
        <f t="shared" si="70"/>
        <v>#DIV/0!</v>
      </c>
      <c r="K1124" s="8">
        <f t="shared" si="68"/>
        <v>-1</v>
      </c>
    </row>
    <row r="1125" spans="1:11" x14ac:dyDescent="0.25">
      <c r="A1125" t="str">
        <f t="shared" si="69"/>
        <v>11900</v>
      </c>
      <c r="I1125" s="8" t="e">
        <f t="shared" si="67"/>
        <v>#DIV/0!</v>
      </c>
      <c r="J1125" s="8" t="e">
        <f t="shared" si="70"/>
        <v>#DIV/0!</v>
      </c>
      <c r="K1125" s="8">
        <f t="shared" si="68"/>
        <v>-1</v>
      </c>
    </row>
    <row r="1126" spans="1:11" x14ac:dyDescent="0.25">
      <c r="A1126" t="str">
        <f t="shared" si="69"/>
        <v>11900</v>
      </c>
      <c r="I1126" s="8" t="e">
        <f t="shared" si="67"/>
        <v>#DIV/0!</v>
      </c>
      <c r="J1126" s="8" t="e">
        <f t="shared" si="70"/>
        <v>#DIV/0!</v>
      </c>
      <c r="K1126" s="8">
        <f t="shared" si="68"/>
        <v>-1</v>
      </c>
    </row>
    <row r="1127" spans="1:11" x14ac:dyDescent="0.25">
      <c r="A1127" t="str">
        <f t="shared" si="69"/>
        <v>11900</v>
      </c>
      <c r="I1127" s="8" t="e">
        <f t="shared" si="67"/>
        <v>#DIV/0!</v>
      </c>
      <c r="J1127" s="8" t="e">
        <f t="shared" si="70"/>
        <v>#DIV/0!</v>
      </c>
      <c r="K1127" s="8">
        <f t="shared" si="68"/>
        <v>-1</v>
      </c>
    </row>
    <row r="1128" spans="1:11" x14ac:dyDescent="0.25">
      <c r="A1128" t="str">
        <f t="shared" si="69"/>
        <v>11900</v>
      </c>
      <c r="I1128" s="8" t="e">
        <f t="shared" si="67"/>
        <v>#DIV/0!</v>
      </c>
      <c r="J1128" s="8" t="e">
        <f t="shared" si="70"/>
        <v>#DIV/0!</v>
      </c>
      <c r="K1128" s="8">
        <f t="shared" si="68"/>
        <v>-1</v>
      </c>
    </row>
    <row r="1129" spans="1:11" x14ac:dyDescent="0.25">
      <c r="A1129" t="str">
        <f t="shared" si="69"/>
        <v>11900</v>
      </c>
      <c r="I1129" s="8" t="e">
        <f t="shared" si="67"/>
        <v>#DIV/0!</v>
      </c>
      <c r="J1129" s="8" t="e">
        <f t="shared" si="70"/>
        <v>#DIV/0!</v>
      </c>
      <c r="K1129" s="8">
        <f t="shared" si="68"/>
        <v>-1</v>
      </c>
    </row>
    <row r="1130" spans="1:11" x14ac:dyDescent="0.25">
      <c r="A1130" t="str">
        <f t="shared" si="69"/>
        <v>11900</v>
      </c>
      <c r="I1130" s="8" t="e">
        <f t="shared" si="67"/>
        <v>#DIV/0!</v>
      </c>
      <c r="J1130" s="8" t="e">
        <f t="shared" si="70"/>
        <v>#DIV/0!</v>
      </c>
      <c r="K1130" s="8">
        <f t="shared" si="68"/>
        <v>-1</v>
      </c>
    </row>
    <row r="1131" spans="1:11" x14ac:dyDescent="0.25">
      <c r="A1131" t="str">
        <f t="shared" si="69"/>
        <v>11900</v>
      </c>
      <c r="I1131" s="8" t="e">
        <f t="shared" si="67"/>
        <v>#DIV/0!</v>
      </c>
      <c r="J1131" s="8" t="e">
        <f t="shared" si="70"/>
        <v>#DIV/0!</v>
      </c>
      <c r="K1131" s="8">
        <f t="shared" si="68"/>
        <v>-1</v>
      </c>
    </row>
    <row r="1132" spans="1:11" x14ac:dyDescent="0.25">
      <c r="A1132" t="str">
        <f t="shared" si="69"/>
        <v>11900</v>
      </c>
      <c r="I1132" s="8" t="e">
        <f t="shared" si="67"/>
        <v>#DIV/0!</v>
      </c>
      <c r="J1132" s="8" t="e">
        <f t="shared" si="70"/>
        <v>#DIV/0!</v>
      </c>
      <c r="K1132" s="8">
        <f t="shared" si="68"/>
        <v>-1</v>
      </c>
    </row>
    <row r="1133" spans="1:11" x14ac:dyDescent="0.25">
      <c r="A1133" t="str">
        <f t="shared" si="69"/>
        <v>11900</v>
      </c>
      <c r="I1133" s="8" t="e">
        <f t="shared" si="67"/>
        <v>#DIV/0!</v>
      </c>
      <c r="J1133" s="8" t="e">
        <f t="shared" si="70"/>
        <v>#DIV/0!</v>
      </c>
      <c r="K1133" s="8">
        <f t="shared" si="68"/>
        <v>-1</v>
      </c>
    </row>
    <row r="1134" spans="1:11" x14ac:dyDescent="0.25">
      <c r="A1134" t="str">
        <f t="shared" si="69"/>
        <v>11900</v>
      </c>
      <c r="I1134" s="8" t="e">
        <f t="shared" si="67"/>
        <v>#DIV/0!</v>
      </c>
      <c r="J1134" s="8" t="e">
        <f t="shared" si="70"/>
        <v>#DIV/0!</v>
      </c>
      <c r="K1134" s="8">
        <f t="shared" si="68"/>
        <v>-1</v>
      </c>
    </row>
    <row r="1135" spans="1:11" x14ac:dyDescent="0.25">
      <c r="A1135" t="str">
        <f t="shared" si="69"/>
        <v>11900</v>
      </c>
      <c r="I1135" s="8" t="e">
        <f t="shared" si="67"/>
        <v>#DIV/0!</v>
      </c>
      <c r="J1135" s="8" t="e">
        <f t="shared" si="70"/>
        <v>#DIV/0!</v>
      </c>
      <c r="K1135" s="8">
        <f t="shared" si="68"/>
        <v>-1</v>
      </c>
    </row>
    <row r="1136" spans="1:11" x14ac:dyDescent="0.25">
      <c r="A1136" t="str">
        <f t="shared" si="69"/>
        <v>11900</v>
      </c>
      <c r="I1136" s="8" t="e">
        <f t="shared" si="67"/>
        <v>#DIV/0!</v>
      </c>
      <c r="J1136" s="8" t="e">
        <f t="shared" si="70"/>
        <v>#DIV/0!</v>
      </c>
      <c r="K1136" s="8">
        <f t="shared" si="68"/>
        <v>-1</v>
      </c>
    </row>
    <row r="1137" spans="1:11" x14ac:dyDescent="0.25">
      <c r="A1137" t="str">
        <f t="shared" si="69"/>
        <v>11900</v>
      </c>
      <c r="I1137" s="8" t="e">
        <f t="shared" si="67"/>
        <v>#DIV/0!</v>
      </c>
      <c r="J1137" s="8" t="e">
        <f t="shared" si="70"/>
        <v>#DIV/0!</v>
      </c>
      <c r="K1137" s="8">
        <f t="shared" si="68"/>
        <v>-1</v>
      </c>
    </row>
    <row r="1138" spans="1:11" x14ac:dyDescent="0.25">
      <c r="A1138" t="str">
        <f t="shared" si="69"/>
        <v>11900</v>
      </c>
      <c r="I1138" s="8" t="e">
        <f t="shared" si="67"/>
        <v>#DIV/0!</v>
      </c>
      <c r="J1138" s="8" t="e">
        <f t="shared" si="70"/>
        <v>#DIV/0!</v>
      </c>
      <c r="K1138" s="8">
        <f t="shared" si="68"/>
        <v>-1</v>
      </c>
    </row>
    <row r="1139" spans="1:11" x14ac:dyDescent="0.25">
      <c r="A1139" t="str">
        <f t="shared" si="69"/>
        <v>11900</v>
      </c>
      <c r="I1139" s="8" t="e">
        <f t="shared" si="67"/>
        <v>#DIV/0!</v>
      </c>
      <c r="J1139" s="8" t="e">
        <f t="shared" si="70"/>
        <v>#DIV/0!</v>
      </c>
      <c r="K1139" s="8">
        <f t="shared" si="68"/>
        <v>-1</v>
      </c>
    </row>
    <row r="1140" spans="1:11" x14ac:dyDescent="0.25">
      <c r="A1140" t="str">
        <f t="shared" si="69"/>
        <v>11900</v>
      </c>
      <c r="I1140" s="8" t="e">
        <f t="shared" si="67"/>
        <v>#DIV/0!</v>
      </c>
      <c r="J1140" s="8" t="e">
        <f t="shared" si="70"/>
        <v>#DIV/0!</v>
      </c>
      <c r="K1140" s="8">
        <f t="shared" si="68"/>
        <v>-1</v>
      </c>
    </row>
    <row r="1141" spans="1:11" x14ac:dyDescent="0.25">
      <c r="A1141" t="str">
        <f t="shared" si="69"/>
        <v>11900</v>
      </c>
      <c r="I1141" s="8" t="e">
        <f t="shared" si="67"/>
        <v>#DIV/0!</v>
      </c>
      <c r="J1141" s="8" t="e">
        <f t="shared" si="70"/>
        <v>#DIV/0!</v>
      </c>
      <c r="K1141" s="8" t="e">
        <f t="shared" si="68"/>
        <v>#DIV/0!</v>
      </c>
    </row>
    <row r="1142" spans="1:11" x14ac:dyDescent="0.25">
      <c r="A1142" t="str">
        <f t="shared" si="69"/>
        <v>11900</v>
      </c>
      <c r="I1142" s="8" t="e">
        <f t="shared" si="67"/>
        <v>#DIV/0!</v>
      </c>
      <c r="J1142" s="8" t="e">
        <f t="shared" si="70"/>
        <v>#DIV/0!</v>
      </c>
      <c r="K1142" s="8" t="e">
        <f t="shared" si="68"/>
        <v>#DIV/0!</v>
      </c>
    </row>
    <row r="1143" spans="1:11" x14ac:dyDescent="0.25">
      <c r="A1143" t="str">
        <f t="shared" si="69"/>
        <v>11900</v>
      </c>
      <c r="I1143" s="8" t="e">
        <f t="shared" si="67"/>
        <v>#DIV/0!</v>
      </c>
      <c r="J1143" s="8" t="e">
        <f t="shared" si="70"/>
        <v>#DIV/0!</v>
      </c>
      <c r="K1143" s="8" t="e">
        <f t="shared" si="68"/>
        <v>#DIV/0!</v>
      </c>
    </row>
    <row r="1144" spans="1:11" x14ac:dyDescent="0.25">
      <c r="A1144" t="str">
        <f t="shared" si="69"/>
        <v>11900</v>
      </c>
      <c r="I1144" s="8" t="e">
        <f t="shared" ref="I1144:I1207" si="71">+G1144/G1143-1</f>
        <v>#DIV/0!</v>
      </c>
      <c r="J1144" s="8" t="e">
        <f t="shared" si="70"/>
        <v>#DIV/0!</v>
      </c>
      <c r="K1144" s="8" t="e">
        <f t="shared" si="68"/>
        <v>#DIV/0!</v>
      </c>
    </row>
    <row r="1145" spans="1:11" x14ac:dyDescent="0.25">
      <c r="A1145" t="str">
        <f t="shared" si="69"/>
        <v>11900</v>
      </c>
      <c r="I1145" s="8" t="e">
        <f t="shared" si="71"/>
        <v>#DIV/0!</v>
      </c>
      <c r="J1145" s="8" t="e">
        <f t="shared" si="70"/>
        <v>#DIV/0!</v>
      </c>
      <c r="K1145" s="8" t="e">
        <f t="shared" si="68"/>
        <v>#DIV/0!</v>
      </c>
    </row>
    <row r="1146" spans="1:11" x14ac:dyDescent="0.25">
      <c r="A1146" t="str">
        <f t="shared" si="69"/>
        <v>11900</v>
      </c>
      <c r="I1146" s="8" t="e">
        <f t="shared" si="71"/>
        <v>#DIV/0!</v>
      </c>
      <c r="J1146" s="8" t="e">
        <f t="shared" si="70"/>
        <v>#DIV/0!</v>
      </c>
      <c r="K1146" s="8" t="e">
        <f t="shared" si="68"/>
        <v>#DIV/0!</v>
      </c>
    </row>
    <row r="1147" spans="1:11" x14ac:dyDescent="0.25">
      <c r="A1147" t="str">
        <f t="shared" si="69"/>
        <v>11900</v>
      </c>
      <c r="I1147" s="8" t="e">
        <f t="shared" si="71"/>
        <v>#DIV/0!</v>
      </c>
      <c r="J1147" s="8" t="e">
        <f t="shared" si="70"/>
        <v>#DIV/0!</v>
      </c>
      <c r="K1147" s="8" t="e">
        <f t="shared" si="68"/>
        <v>#DIV/0!</v>
      </c>
    </row>
    <row r="1148" spans="1:11" x14ac:dyDescent="0.25">
      <c r="A1148" t="str">
        <f t="shared" si="69"/>
        <v>11900</v>
      </c>
      <c r="I1148" s="8" t="e">
        <f t="shared" si="71"/>
        <v>#DIV/0!</v>
      </c>
      <c r="J1148" s="8" t="e">
        <f t="shared" si="70"/>
        <v>#DIV/0!</v>
      </c>
      <c r="K1148" s="8" t="e">
        <f t="shared" si="68"/>
        <v>#DIV/0!</v>
      </c>
    </row>
    <row r="1149" spans="1:11" x14ac:dyDescent="0.25">
      <c r="A1149" t="str">
        <f t="shared" si="69"/>
        <v>11900</v>
      </c>
      <c r="I1149" s="8" t="e">
        <f t="shared" si="71"/>
        <v>#DIV/0!</v>
      </c>
      <c r="J1149" s="8" t="e">
        <f t="shared" si="70"/>
        <v>#DIV/0!</v>
      </c>
      <c r="K1149" s="8" t="e">
        <f t="shared" si="68"/>
        <v>#DIV/0!</v>
      </c>
    </row>
    <row r="1150" spans="1:11" x14ac:dyDescent="0.25">
      <c r="A1150" t="str">
        <f t="shared" si="69"/>
        <v>11900</v>
      </c>
      <c r="I1150" s="8" t="e">
        <f t="shared" si="71"/>
        <v>#DIV/0!</v>
      </c>
      <c r="J1150" s="8" t="e">
        <f t="shared" si="70"/>
        <v>#DIV/0!</v>
      </c>
      <c r="K1150" s="8" t="e">
        <f t="shared" si="68"/>
        <v>#DIV/0!</v>
      </c>
    </row>
    <row r="1151" spans="1:11" x14ac:dyDescent="0.25">
      <c r="A1151" t="str">
        <f t="shared" si="69"/>
        <v>11900</v>
      </c>
      <c r="I1151" s="8" t="e">
        <f t="shared" si="71"/>
        <v>#DIV/0!</v>
      </c>
      <c r="J1151" s="8" t="e">
        <f t="shared" si="70"/>
        <v>#DIV/0!</v>
      </c>
      <c r="K1151" s="8" t="e">
        <f t="shared" si="68"/>
        <v>#DIV/0!</v>
      </c>
    </row>
    <row r="1152" spans="1:11" x14ac:dyDescent="0.25">
      <c r="A1152" t="str">
        <f t="shared" si="69"/>
        <v>11900</v>
      </c>
      <c r="I1152" s="8" t="e">
        <f t="shared" si="71"/>
        <v>#DIV/0!</v>
      </c>
      <c r="J1152" s="8" t="e">
        <f t="shared" si="70"/>
        <v>#DIV/0!</v>
      </c>
      <c r="K1152" s="8" t="e">
        <f t="shared" ref="K1152:K1215" si="72">+G1152/G1091-1</f>
        <v>#DIV/0!</v>
      </c>
    </row>
    <row r="1153" spans="1:11" x14ac:dyDescent="0.25">
      <c r="A1153" t="str">
        <f t="shared" si="69"/>
        <v>11900</v>
      </c>
      <c r="I1153" s="8" t="e">
        <f t="shared" si="71"/>
        <v>#DIV/0!</v>
      </c>
      <c r="J1153" s="8" t="e">
        <f t="shared" si="70"/>
        <v>#DIV/0!</v>
      </c>
      <c r="K1153" s="8" t="e">
        <f t="shared" si="72"/>
        <v>#DIV/0!</v>
      </c>
    </row>
    <row r="1154" spans="1:11" x14ac:dyDescent="0.25">
      <c r="A1154" t="str">
        <f t="shared" si="69"/>
        <v>11900</v>
      </c>
      <c r="I1154" s="8" t="e">
        <f t="shared" si="71"/>
        <v>#DIV/0!</v>
      </c>
      <c r="J1154" s="8" t="e">
        <f t="shared" si="70"/>
        <v>#DIV/0!</v>
      </c>
      <c r="K1154" s="8" t="e">
        <f t="shared" si="72"/>
        <v>#DIV/0!</v>
      </c>
    </row>
    <row r="1155" spans="1:11" x14ac:dyDescent="0.25">
      <c r="A1155" t="str">
        <f t="shared" ref="A1155:A1218" si="73">+MONTH(B1155)&amp;YEAR(B1155)</f>
        <v>11900</v>
      </c>
      <c r="I1155" s="8" t="e">
        <f t="shared" si="71"/>
        <v>#DIV/0!</v>
      </c>
      <c r="J1155" s="8" t="e">
        <f t="shared" si="70"/>
        <v>#DIV/0!</v>
      </c>
      <c r="K1155" s="8" t="e">
        <f t="shared" si="72"/>
        <v>#DIV/0!</v>
      </c>
    </row>
    <row r="1156" spans="1:11" x14ac:dyDescent="0.25">
      <c r="A1156" t="str">
        <f t="shared" si="73"/>
        <v>11900</v>
      </c>
      <c r="I1156" s="8" t="e">
        <f t="shared" si="71"/>
        <v>#DIV/0!</v>
      </c>
      <c r="J1156" s="8" t="e">
        <f t="shared" ref="J1156:J1219" si="74">+LN(1+I1156)</f>
        <v>#DIV/0!</v>
      </c>
      <c r="K1156" s="8" t="e">
        <f t="shared" si="72"/>
        <v>#DIV/0!</v>
      </c>
    </row>
    <row r="1157" spans="1:11" x14ac:dyDescent="0.25">
      <c r="A1157" t="str">
        <f t="shared" si="73"/>
        <v>11900</v>
      </c>
      <c r="I1157" s="8" t="e">
        <f t="shared" si="71"/>
        <v>#DIV/0!</v>
      </c>
      <c r="J1157" s="8" t="e">
        <f t="shared" si="74"/>
        <v>#DIV/0!</v>
      </c>
      <c r="K1157" s="8" t="e">
        <f t="shared" si="72"/>
        <v>#DIV/0!</v>
      </c>
    </row>
    <row r="1158" spans="1:11" x14ac:dyDescent="0.25">
      <c r="A1158" t="str">
        <f t="shared" si="73"/>
        <v>11900</v>
      </c>
      <c r="I1158" s="8" t="e">
        <f t="shared" si="71"/>
        <v>#DIV/0!</v>
      </c>
      <c r="J1158" s="8" t="e">
        <f t="shared" si="74"/>
        <v>#DIV/0!</v>
      </c>
      <c r="K1158" s="8" t="e">
        <f t="shared" si="72"/>
        <v>#DIV/0!</v>
      </c>
    </row>
    <row r="1159" spans="1:11" x14ac:dyDescent="0.25">
      <c r="A1159" t="str">
        <f t="shared" si="73"/>
        <v>11900</v>
      </c>
      <c r="I1159" s="8" t="e">
        <f t="shared" si="71"/>
        <v>#DIV/0!</v>
      </c>
      <c r="J1159" s="8" t="e">
        <f t="shared" si="74"/>
        <v>#DIV/0!</v>
      </c>
      <c r="K1159" s="8" t="e">
        <f t="shared" si="72"/>
        <v>#DIV/0!</v>
      </c>
    </row>
    <row r="1160" spans="1:11" x14ac:dyDescent="0.25">
      <c r="A1160" t="str">
        <f t="shared" si="73"/>
        <v>11900</v>
      </c>
      <c r="I1160" s="8" t="e">
        <f t="shared" si="71"/>
        <v>#DIV/0!</v>
      </c>
      <c r="J1160" s="8" t="e">
        <f t="shared" si="74"/>
        <v>#DIV/0!</v>
      </c>
      <c r="K1160" s="8" t="e">
        <f t="shared" si="72"/>
        <v>#DIV/0!</v>
      </c>
    </row>
    <row r="1161" spans="1:11" x14ac:dyDescent="0.25">
      <c r="A1161" t="str">
        <f t="shared" si="73"/>
        <v>11900</v>
      </c>
      <c r="I1161" s="8" t="e">
        <f t="shared" si="71"/>
        <v>#DIV/0!</v>
      </c>
      <c r="J1161" s="8" t="e">
        <f t="shared" si="74"/>
        <v>#DIV/0!</v>
      </c>
      <c r="K1161" s="8" t="e">
        <f t="shared" si="72"/>
        <v>#DIV/0!</v>
      </c>
    </row>
    <row r="1162" spans="1:11" x14ac:dyDescent="0.25">
      <c r="A1162" t="str">
        <f t="shared" si="73"/>
        <v>11900</v>
      </c>
      <c r="I1162" s="8" t="e">
        <f t="shared" si="71"/>
        <v>#DIV/0!</v>
      </c>
      <c r="J1162" s="8" t="e">
        <f t="shared" si="74"/>
        <v>#DIV/0!</v>
      </c>
      <c r="K1162" s="8" t="e">
        <f t="shared" si="72"/>
        <v>#DIV/0!</v>
      </c>
    </row>
    <row r="1163" spans="1:11" x14ac:dyDescent="0.25">
      <c r="A1163" t="str">
        <f t="shared" si="73"/>
        <v>11900</v>
      </c>
      <c r="I1163" s="8" t="e">
        <f t="shared" si="71"/>
        <v>#DIV/0!</v>
      </c>
      <c r="J1163" s="8" t="e">
        <f t="shared" si="74"/>
        <v>#DIV/0!</v>
      </c>
      <c r="K1163" s="8" t="e">
        <f t="shared" si="72"/>
        <v>#DIV/0!</v>
      </c>
    </row>
    <row r="1164" spans="1:11" x14ac:dyDescent="0.25">
      <c r="A1164" t="str">
        <f t="shared" si="73"/>
        <v>11900</v>
      </c>
      <c r="I1164" s="8" t="e">
        <f t="shared" si="71"/>
        <v>#DIV/0!</v>
      </c>
      <c r="J1164" s="8" t="e">
        <f t="shared" si="74"/>
        <v>#DIV/0!</v>
      </c>
      <c r="K1164" s="8" t="e">
        <f t="shared" si="72"/>
        <v>#DIV/0!</v>
      </c>
    </row>
    <row r="1165" spans="1:11" x14ac:dyDescent="0.25">
      <c r="A1165" t="str">
        <f t="shared" si="73"/>
        <v>11900</v>
      </c>
      <c r="I1165" s="8" t="e">
        <f t="shared" si="71"/>
        <v>#DIV/0!</v>
      </c>
      <c r="J1165" s="8" t="e">
        <f t="shared" si="74"/>
        <v>#DIV/0!</v>
      </c>
      <c r="K1165" s="8" t="e">
        <f t="shared" si="72"/>
        <v>#DIV/0!</v>
      </c>
    </row>
    <row r="1166" spans="1:11" x14ac:dyDescent="0.25">
      <c r="A1166" t="str">
        <f t="shared" si="73"/>
        <v>11900</v>
      </c>
      <c r="I1166" s="8" t="e">
        <f t="shared" si="71"/>
        <v>#DIV/0!</v>
      </c>
      <c r="J1166" s="8" t="e">
        <f t="shared" si="74"/>
        <v>#DIV/0!</v>
      </c>
      <c r="K1166" s="8" t="e">
        <f t="shared" si="72"/>
        <v>#DIV/0!</v>
      </c>
    </row>
    <row r="1167" spans="1:11" x14ac:dyDescent="0.25">
      <c r="A1167" t="str">
        <f t="shared" si="73"/>
        <v>11900</v>
      </c>
      <c r="I1167" s="8" t="e">
        <f t="shared" si="71"/>
        <v>#DIV/0!</v>
      </c>
      <c r="J1167" s="8" t="e">
        <f t="shared" si="74"/>
        <v>#DIV/0!</v>
      </c>
      <c r="K1167" s="8" t="e">
        <f t="shared" si="72"/>
        <v>#DIV/0!</v>
      </c>
    </row>
    <row r="1168" spans="1:11" x14ac:dyDescent="0.25">
      <c r="A1168" t="str">
        <f t="shared" si="73"/>
        <v>11900</v>
      </c>
      <c r="I1168" s="8" t="e">
        <f t="shared" si="71"/>
        <v>#DIV/0!</v>
      </c>
      <c r="J1168" s="8" t="e">
        <f t="shared" si="74"/>
        <v>#DIV/0!</v>
      </c>
      <c r="K1168" s="8" t="e">
        <f t="shared" si="72"/>
        <v>#DIV/0!</v>
      </c>
    </row>
    <row r="1169" spans="1:11" x14ac:dyDescent="0.25">
      <c r="A1169" t="str">
        <f t="shared" si="73"/>
        <v>11900</v>
      </c>
      <c r="I1169" s="8" t="e">
        <f t="shared" si="71"/>
        <v>#DIV/0!</v>
      </c>
      <c r="J1169" s="8" t="e">
        <f t="shared" si="74"/>
        <v>#DIV/0!</v>
      </c>
      <c r="K1169" s="8" t="e">
        <f t="shared" si="72"/>
        <v>#DIV/0!</v>
      </c>
    </row>
    <row r="1170" spans="1:11" x14ac:dyDescent="0.25">
      <c r="A1170" t="str">
        <f t="shared" si="73"/>
        <v>11900</v>
      </c>
      <c r="I1170" s="8" t="e">
        <f t="shared" si="71"/>
        <v>#DIV/0!</v>
      </c>
      <c r="J1170" s="8" t="e">
        <f t="shared" si="74"/>
        <v>#DIV/0!</v>
      </c>
      <c r="K1170" s="8" t="e">
        <f t="shared" si="72"/>
        <v>#DIV/0!</v>
      </c>
    </row>
    <row r="1171" spans="1:11" x14ac:dyDescent="0.25">
      <c r="A1171" t="str">
        <f t="shared" si="73"/>
        <v>11900</v>
      </c>
      <c r="I1171" s="8" t="e">
        <f t="shared" si="71"/>
        <v>#DIV/0!</v>
      </c>
      <c r="J1171" s="8" t="e">
        <f t="shared" si="74"/>
        <v>#DIV/0!</v>
      </c>
      <c r="K1171" s="8" t="e">
        <f t="shared" si="72"/>
        <v>#DIV/0!</v>
      </c>
    </row>
    <row r="1172" spans="1:11" x14ac:dyDescent="0.25">
      <c r="A1172" t="str">
        <f t="shared" si="73"/>
        <v>11900</v>
      </c>
      <c r="I1172" s="8" t="e">
        <f t="shared" si="71"/>
        <v>#DIV/0!</v>
      </c>
      <c r="J1172" s="8" t="e">
        <f t="shared" si="74"/>
        <v>#DIV/0!</v>
      </c>
      <c r="K1172" s="8" t="e">
        <f t="shared" si="72"/>
        <v>#DIV/0!</v>
      </c>
    </row>
    <row r="1173" spans="1:11" x14ac:dyDescent="0.25">
      <c r="A1173" t="str">
        <f t="shared" si="73"/>
        <v>11900</v>
      </c>
      <c r="I1173" s="8" t="e">
        <f t="shared" si="71"/>
        <v>#DIV/0!</v>
      </c>
      <c r="J1173" s="8" t="e">
        <f t="shared" si="74"/>
        <v>#DIV/0!</v>
      </c>
      <c r="K1173" s="8" t="e">
        <f t="shared" si="72"/>
        <v>#DIV/0!</v>
      </c>
    </row>
    <row r="1174" spans="1:11" x14ac:dyDescent="0.25">
      <c r="A1174" t="str">
        <f t="shared" si="73"/>
        <v>11900</v>
      </c>
      <c r="I1174" s="8" t="e">
        <f t="shared" si="71"/>
        <v>#DIV/0!</v>
      </c>
      <c r="J1174" s="8" t="e">
        <f t="shared" si="74"/>
        <v>#DIV/0!</v>
      </c>
      <c r="K1174" s="8" t="e">
        <f t="shared" si="72"/>
        <v>#DIV/0!</v>
      </c>
    </row>
    <row r="1175" spans="1:11" x14ac:dyDescent="0.25">
      <c r="A1175" t="str">
        <f t="shared" si="73"/>
        <v>11900</v>
      </c>
      <c r="I1175" s="8" t="e">
        <f t="shared" si="71"/>
        <v>#DIV/0!</v>
      </c>
      <c r="J1175" s="8" t="e">
        <f t="shared" si="74"/>
        <v>#DIV/0!</v>
      </c>
      <c r="K1175" s="8" t="e">
        <f t="shared" si="72"/>
        <v>#DIV/0!</v>
      </c>
    </row>
    <row r="1176" spans="1:11" x14ac:dyDescent="0.25">
      <c r="A1176" t="str">
        <f t="shared" si="73"/>
        <v>11900</v>
      </c>
      <c r="I1176" s="8" t="e">
        <f t="shared" si="71"/>
        <v>#DIV/0!</v>
      </c>
      <c r="J1176" s="8" t="e">
        <f t="shared" si="74"/>
        <v>#DIV/0!</v>
      </c>
      <c r="K1176" s="8" t="e">
        <f t="shared" si="72"/>
        <v>#DIV/0!</v>
      </c>
    </row>
    <row r="1177" spans="1:11" x14ac:dyDescent="0.25">
      <c r="A1177" t="str">
        <f t="shared" si="73"/>
        <v>11900</v>
      </c>
      <c r="I1177" s="8" t="e">
        <f t="shared" si="71"/>
        <v>#DIV/0!</v>
      </c>
      <c r="J1177" s="8" t="e">
        <f t="shared" si="74"/>
        <v>#DIV/0!</v>
      </c>
      <c r="K1177" s="8" t="e">
        <f t="shared" si="72"/>
        <v>#DIV/0!</v>
      </c>
    </row>
    <row r="1178" spans="1:11" x14ac:dyDescent="0.25">
      <c r="A1178" t="str">
        <f t="shared" si="73"/>
        <v>11900</v>
      </c>
      <c r="I1178" s="8" t="e">
        <f t="shared" si="71"/>
        <v>#DIV/0!</v>
      </c>
      <c r="J1178" s="8" t="e">
        <f t="shared" si="74"/>
        <v>#DIV/0!</v>
      </c>
      <c r="K1178" s="8" t="e">
        <f t="shared" si="72"/>
        <v>#DIV/0!</v>
      </c>
    </row>
    <row r="1179" spans="1:11" x14ac:dyDescent="0.25">
      <c r="A1179" t="str">
        <f t="shared" si="73"/>
        <v>11900</v>
      </c>
      <c r="I1179" s="8" t="e">
        <f t="shared" si="71"/>
        <v>#DIV/0!</v>
      </c>
      <c r="J1179" s="8" t="e">
        <f t="shared" si="74"/>
        <v>#DIV/0!</v>
      </c>
      <c r="K1179" s="8" t="e">
        <f t="shared" si="72"/>
        <v>#DIV/0!</v>
      </c>
    </row>
    <row r="1180" spans="1:11" x14ac:dyDescent="0.25">
      <c r="A1180" t="str">
        <f t="shared" si="73"/>
        <v>11900</v>
      </c>
      <c r="I1180" s="8" t="e">
        <f t="shared" si="71"/>
        <v>#DIV/0!</v>
      </c>
      <c r="J1180" s="8" t="e">
        <f t="shared" si="74"/>
        <v>#DIV/0!</v>
      </c>
      <c r="K1180" s="8" t="e">
        <f t="shared" si="72"/>
        <v>#DIV/0!</v>
      </c>
    </row>
    <row r="1181" spans="1:11" x14ac:dyDescent="0.25">
      <c r="A1181" t="str">
        <f t="shared" si="73"/>
        <v>11900</v>
      </c>
      <c r="I1181" s="8" t="e">
        <f t="shared" si="71"/>
        <v>#DIV/0!</v>
      </c>
      <c r="J1181" s="8" t="e">
        <f t="shared" si="74"/>
        <v>#DIV/0!</v>
      </c>
      <c r="K1181" s="8" t="e">
        <f t="shared" si="72"/>
        <v>#DIV/0!</v>
      </c>
    </row>
    <row r="1182" spans="1:11" x14ac:dyDescent="0.25">
      <c r="A1182" t="str">
        <f t="shared" si="73"/>
        <v>11900</v>
      </c>
      <c r="I1182" s="8" t="e">
        <f t="shared" si="71"/>
        <v>#DIV/0!</v>
      </c>
      <c r="J1182" s="8" t="e">
        <f t="shared" si="74"/>
        <v>#DIV/0!</v>
      </c>
      <c r="K1182" s="8" t="e">
        <f t="shared" si="72"/>
        <v>#DIV/0!</v>
      </c>
    </row>
    <row r="1183" spans="1:11" x14ac:dyDescent="0.25">
      <c r="A1183" t="str">
        <f t="shared" si="73"/>
        <v>11900</v>
      </c>
      <c r="I1183" s="8" t="e">
        <f t="shared" si="71"/>
        <v>#DIV/0!</v>
      </c>
      <c r="J1183" s="8" t="e">
        <f t="shared" si="74"/>
        <v>#DIV/0!</v>
      </c>
      <c r="K1183" s="8" t="e">
        <f t="shared" si="72"/>
        <v>#DIV/0!</v>
      </c>
    </row>
    <row r="1184" spans="1:11" x14ac:dyDescent="0.25">
      <c r="A1184" t="str">
        <f t="shared" si="73"/>
        <v>11900</v>
      </c>
      <c r="I1184" s="8" t="e">
        <f t="shared" si="71"/>
        <v>#DIV/0!</v>
      </c>
      <c r="J1184" s="8" t="e">
        <f t="shared" si="74"/>
        <v>#DIV/0!</v>
      </c>
      <c r="K1184" s="8" t="e">
        <f t="shared" si="72"/>
        <v>#DIV/0!</v>
      </c>
    </row>
    <row r="1185" spans="1:11" x14ac:dyDescent="0.25">
      <c r="A1185" t="str">
        <f t="shared" si="73"/>
        <v>11900</v>
      </c>
      <c r="I1185" s="8" t="e">
        <f t="shared" si="71"/>
        <v>#DIV/0!</v>
      </c>
      <c r="J1185" s="8" t="e">
        <f t="shared" si="74"/>
        <v>#DIV/0!</v>
      </c>
      <c r="K1185" s="8" t="e">
        <f t="shared" si="72"/>
        <v>#DIV/0!</v>
      </c>
    </row>
    <row r="1186" spans="1:11" x14ac:dyDescent="0.25">
      <c r="A1186" t="str">
        <f t="shared" si="73"/>
        <v>11900</v>
      </c>
      <c r="I1186" s="8" t="e">
        <f t="shared" si="71"/>
        <v>#DIV/0!</v>
      </c>
      <c r="J1186" s="8" t="e">
        <f t="shared" si="74"/>
        <v>#DIV/0!</v>
      </c>
      <c r="K1186" s="8" t="e">
        <f t="shared" si="72"/>
        <v>#DIV/0!</v>
      </c>
    </row>
    <row r="1187" spans="1:11" x14ac:dyDescent="0.25">
      <c r="A1187" t="str">
        <f t="shared" si="73"/>
        <v>11900</v>
      </c>
      <c r="I1187" s="8" t="e">
        <f t="shared" si="71"/>
        <v>#DIV/0!</v>
      </c>
      <c r="J1187" s="8" t="e">
        <f t="shared" si="74"/>
        <v>#DIV/0!</v>
      </c>
      <c r="K1187" s="8" t="e">
        <f t="shared" si="72"/>
        <v>#DIV/0!</v>
      </c>
    </row>
    <row r="1188" spans="1:11" x14ac:dyDescent="0.25">
      <c r="A1188" t="str">
        <f t="shared" si="73"/>
        <v>11900</v>
      </c>
      <c r="I1188" s="8" t="e">
        <f t="shared" si="71"/>
        <v>#DIV/0!</v>
      </c>
      <c r="J1188" s="8" t="e">
        <f t="shared" si="74"/>
        <v>#DIV/0!</v>
      </c>
      <c r="K1188" s="8" t="e">
        <f t="shared" si="72"/>
        <v>#DIV/0!</v>
      </c>
    </row>
    <row r="1189" spans="1:11" x14ac:dyDescent="0.25">
      <c r="A1189" t="str">
        <f t="shared" si="73"/>
        <v>11900</v>
      </c>
      <c r="I1189" s="8" t="e">
        <f t="shared" si="71"/>
        <v>#DIV/0!</v>
      </c>
      <c r="J1189" s="8" t="e">
        <f t="shared" si="74"/>
        <v>#DIV/0!</v>
      </c>
      <c r="K1189" s="8" t="e">
        <f t="shared" si="72"/>
        <v>#DIV/0!</v>
      </c>
    </row>
    <row r="1190" spans="1:11" x14ac:dyDescent="0.25">
      <c r="A1190" t="str">
        <f t="shared" si="73"/>
        <v>11900</v>
      </c>
      <c r="I1190" s="8" t="e">
        <f t="shared" si="71"/>
        <v>#DIV/0!</v>
      </c>
      <c r="J1190" s="8" t="e">
        <f t="shared" si="74"/>
        <v>#DIV/0!</v>
      </c>
      <c r="K1190" s="8" t="e">
        <f t="shared" si="72"/>
        <v>#DIV/0!</v>
      </c>
    </row>
    <row r="1191" spans="1:11" x14ac:dyDescent="0.25">
      <c r="A1191" t="str">
        <f t="shared" si="73"/>
        <v>11900</v>
      </c>
      <c r="I1191" s="8" t="e">
        <f t="shared" si="71"/>
        <v>#DIV/0!</v>
      </c>
      <c r="J1191" s="8" t="e">
        <f t="shared" si="74"/>
        <v>#DIV/0!</v>
      </c>
      <c r="K1191" s="8" t="e">
        <f t="shared" si="72"/>
        <v>#DIV/0!</v>
      </c>
    </row>
    <row r="1192" spans="1:11" x14ac:dyDescent="0.25">
      <c r="A1192" t="str">
        <f t="shared" si="73"/>
        <v>11900</v>
      </c>
      <c r="I1192" s="8" t="e">
        <f t="shared" si="71"/>
        <v>#DIV/0!</v>
      </c>
      <c r="J1192" s="8" t="e">
        <f t="shared" si="74"/>
        <v>#DIV/0!</v>
      </c>
      <c r="K1192" s="8" t="e">
        <f t="shared" si="72"/>
        <v>#DIV/0!</v>
      </c>
    </row>
    <row r="1193" spans="1:11" x14ac:dyDescent="0.25">
      <c r="A1193" t="str">
        <f t="shared" si="73"/>
        <v>11900</v>
      </c>
      <c r="I1193" s="8" t="e">
        <f t="shared" si="71"/>
        <v>#DIV/0!</v>
      </c>
      <c r="J1193" s="8" t="e">
        <f t="shared" si="74"/>
        <v>#DIV/0!</v>
      </c>
      <c r="K1193" s="8" t="e">
        <f t="shared" si="72"/>
        <v>#DIV/0!</v>
      </c>
    </row>
    <row r="1194" spans="1:11" x14ac:dyDescent="0.25">
      <c r="A1194" t="str">
        <f t="shared" si="73"/>
        <v>11900</v>
      </c>
      <c r="I1194" s="8" t="e">
        <f t="shared" si="71"/>
        <v>#DIV/0!</v>
      </c>
      <c r="J1194" s="8" t="e">
        <f t="shared" si="74"/>
        <v>#DIV/0!</v>
      </c>
      <c r="K1194" s="8" t="e">
        <f t="shared" si="72"/>
        <v>#DIV/0!</v>
      </c>
    </row>
    <row r="1195" spans="1:11" x14ac:dyDescent="0.25">
      <c r="A1195" t="str">
        <f t="shared" si="73"/>
        <v>11900</v>
      </c>
      <c r="I1195" s="8" t="e">
        <f t="shared" si="71"/>
        <v>#DIV/0!</v>
      </c>
      <c r="J1195" s="8" t="e">
        <f t="shared" si="74"/>
        <v>#DIV/0!</v>
      </c>
      <c r="K1195" s="8" t="e">
        <f t="shared" si="72"/>
        <v>#DIV/0!</v>
      </c>
    </row>
    <row r="1196" spans="1:11" x14ac:dyDescent="0.25">
      <c r="A1196" t="str">
        <f t="shared" si="73"/>
        <v>11900</v>
      </c>
      <c r="I1196" s="8" t="e">
        <f t="shared" si="71"/>
        <v>#DIV/0!</v>
      </c>
      <c r="J1196" s="8" t="e">
        <f t="shared" si="74"/>
        <v>#DIV/0!</v>
      </c>
      <c r="K1196" s="8" t="e">
        <f t="shared" si="72"/>
        <v>#DIV/0!</v>
      </c>
    </row>
    <row r="1197" spans="1:11" x14ac:dyDescent="0.25">
      <c r="A1197" t="str">
        <f t="shared" si="73"/>
        <v>11900</v>
      </c>
      <c r="I1197" s="8" t="e">
        <f t="shared" si="71"/>
        <v>#DIV/0!</v>
      </c>
      <c r="J1197" s="8" t="e">
        <f t="shared" si="74"/>
        <v>#DIV/0!</v>
      </c>
      <c r="K1197" s="8" t="e">
        <f t="shared" si="72"/>
        <v>#DIV/0!</v>
      </c>
    </row>
    <row r="1198" spans="1:11" x14ac:dyDescent="0.25">
      <c r="A1198" t="str">
        <f t="shared" si="73"/>
        <v>11900</v>
      </c>
      <c r="I1198" s="8" t="e">
        <f t="shared" si="71"/>
        <v>#DIV/0!</v>
      </c>
      <c r="J1198" s="8" t="e">
        <f t="shared" si="74"/>
        <v>#DIV/0!</v>
      </c>
      <c r="K1198" s="8" t="e">
        <f t="shared" si="72"/>
        <v>#DIV/0!</v>
      </c>
    </row>
    <row r="1199" spans="1:11" x14ac:dyDescent="0.25">
      <c r="A1199" t="str">
        <f t="shared" si="73"/>
        <v>11900</v>
      </c>
      <c r="I1199" s="8" t="e">
        <f t="shared" si="71"/>
        <v>#DIV/0!</v>
      </c>
      <c r="J1199" s="8" t="e">
        <f t="shared" si="74"/>
        <v>#DIV/0!</v>
      </c>
      <c r="K1199" s="8" t="e">
        <f t="shared" si="72"/>
        <v>#DIV/0!</v>
      </c>
    </row>
    <row r="1200" spans="1:11" x14ac:dyDescent="0.25">
      <c r="A1200" t="str">
        <f t="shared" si="73"/>
        <v>11900</v>
      </c>
      <c r="I1200" s="8" t="e">
        <f t="shared" si="71"/>
        <v>#DIV/0!</v>
      </c>
      <c r="J1200" s="8" t="e">
        <f t="shared" si="74"/>
        <v>#DIV/0!</v>
      </c>
      <c r="K1200" s="8" t="e">
        <f t="shared" si="72"/>
        <v>#DIV/0!</v>
      </c>
    </row>
    <row r="1201" spans="1:11" x14ac:dyDescent="0.25">
      <c r="A1201" t="str">
        <f t="shared" si="73"/>
        <v>11900</v>
      </c>
      <c r="I1201" s="8" t="e">
        <f t="shared" si="71"/>
        <v>#DIV/0!</v>
      </c>
      <c r="J1201" s="8" t="e">
        <f t="shared" si="74"/>
        <v>#DIV/0!</v>
      </c>
      <c r="K1201" s="8" t="e">
        <f t="shared" si="72"/>
        <v>#DIV/0!</v>
      </c>
    </row>
    <row r="1202" spans="1:11" x14ac:dyDescent="0.25">
      <c r="A1202" t="str">
        <f t="shared" si="73"/>
        <v>11900</v>
      </c>
      <c r="I1202" s="8" t="e">
        <f t="shared" si="71"/>
        <v>#DIV/0!</v>
      </c>
      <c r="J1202" s="8" t="e">
        <f t="shared" si="74"/>
        <v>#DIV/0!</v>
      </c>
      <c r="K1202" s="8" t="e">
        <f t="shared" si="72"/>
        <v>#DIV/0!</v>
      </c>
    </row>
    <row r="1203" spans="1:11" x14ac:dyDescent="0.25">
      <c r="A1203" t="str">
        <f t="shared" si="73"/>
        <v>11900</v>
      </c>
      <c r="I1203" s="8" t="e">
        <f t="shared" si="71"/>
        <v>#DIV/0!</v>
      </c>
      <c r="J1203" s="8" t="e">
        <f t="shared" si="74"/>
        <v>#DIV/0!</v>
      </c>
      <c r="K1203" s="8" t="e">
        <f t="shared" si="72"/>
        <v>#DIV/0!</v>
      </c>
    </row>
    <row r="1204" spans="1:11" x14ac:dyDescent="0.25">
      <c r="A1204" t="str">
        <f t="shared" si="73"/>
        <v>11900</v>
      </c>
      <c r="I1204" s="8" t="e">
        <f t="shared" si="71"/>
        <v>#DIV/0!</v>
      </c>
      <c r="J1204" s="8" t="e">
        <f t="shared" si="74"/>
        <v>#DIV/0!</v>
      </c>
      <c r="K1204" s="8" t="e">
        <f t="shared" si="72"/>
        <v>#DIV/0!</v>
      </c>
    </row>
    <row r="1205" spans="1:11" x14ac:dyDescent="0.25">
      <c r="A1205" t="str">
        <f t="shared" si="73"/>
        <v>11900</v>
      </c>
      <c r="I1205" s="8" t="e">
        <f t="shared" si="71"/>
        <v>#DIV/0!</v>
      </c>
      <c r="J1205" s="8" t="e">
        <f t="shared" si="74"/>
        <v>#DIV/0!</v>
      </c>
      <c r="K1205" s="8" t="e">
        <f t="shared" si="72"/>
        <v>#DIV/0!</v>
      </c>
    </row>
    <row r="1206" spans="1:11" x14ac:dyDescent="0.25">
      <c r="A1206" t="str">
        <f t="shared" si="73"/>
        <v>11900</v>
      </c>
      <c r="I1206" s="8" t="e">
        <f t="shared" si="71"/>
        <v>#DIV/0!</v>
      </c>
      <c r="J1206" s="8" t="e">
        <f t="shared" si="74"/>
        <v>#DIV/0!</v>
      </c>
      <c r="K1206" s="8" t="e">
        <f t="shared" si="72"/>
        <v>#DIV/0!</v>
      </c>
    </row>
    <row r="1207" spans="1:11" x14ac:dyDescent="0.25">
      <c r="A1207" t="str">
        <f t="shared" si="73"/>
        <v>11900</v>
      </c>
      <c r="I1207" s="8" t="e">
        <f t="shared" si="71"/>
        <v>#DIV/0!</v>
      </c>
      <c r="J1207" s="8" t="e">
        <f t="shared" si="74"/>
        <v>#DIV/0!</v>
      </c>
      <c r="K1207" s="8" t="e">
        <f t="shared" si="72"/>
        <v>#DIV/0!</v>
      </c>
    </row>
    <row r="1208" spans="1:11" x14ac:dyDescent="0.25">
      <c r="A1208" t="str">
        <f t="shared" si="73"/>
        <v>11900</v>
      </c>
      <c r="I1208" s="8" t="e">
        <f t="shared" ref="I1208:I1238" si="75">+G1208/G1207-1</f>
        <v>#DIV/0!</v>
      </c>
      <c r="J1208" s="8" t="e">
        <f t="shared" si="74"/>
        <v>#DIV/0!</v>
      </c>
      <c r="K1208" s="8" t="e">
        <f t="shared" si="72"/>
        <v>#DIV/0!</v>
      </c>
    </row>
    <row r="1209" spans="1:11" x14ac:dyDescent="0.25">
      <c r="A1209" t="str">
        <f t="shared" si="73"/>
        <v>11900</v>
      </c>
      <c r="I1209" s="8" t="e">
        <f t="shared" si="75"/>
        <v>#DIV/0!</v>
      </c>
      <c r="J1209" s="8" t="e">
        <f t="shared" si="74"/>
        <v>#DIV/0!</v>
      </c>
      <c r="K1209" s="8" t="e">
        <f t="shared" si="72"/>
        <v>#DIV/0!</v>
      </c>
    </row>
    <row r="1210" spans="1:11" x14ac:dyDescent="0.25">
      <c r="A1210" t="str">
        <f t="shared" si="73"/>
        <v>11900</v>
      </c>
      <c r="I1210" s="8" t="e">
        <f t="shared" si="75"/>
        <v>#DIV/0!</v>
      </c>
      <c r="J1210" s="8" t="e">
        <f t="shared" si="74"/>
        <v>#DIV/0!</v>
      </c>
      <c r="K1210" s="8" t="e">
        <f t="shared" si="72"/>
        <v>#DIV/0!</v>
      </c>
    </row>
    <row r="1211" spans="1:11" x14ac:dyDescent="0.25">
      <c r="A1211" t="str">
        <f t="shared" si="73"/>
        <v>11900</v>
      </c>
      <c r="I1211" s="8" t="e">
        <f t="shared" si="75"/>
        <v>#DIV/0!</v>
      </c>
      <c r="J1211" s="8" t="e">
        <f t="shared" si="74"/>
        <v>#DIV/0!</v>
      </c>
      <c r="K1211" s="8" t="e">
        <f t="shared" si="72"/>
        <v>#DIV/0!</v>
      </c>
    </row>
    <row r="1212" spans="1:11" x14ac:dyDescent="0.25">
      <c r="A1212" t="str">
        <f t="shared" si="73"/>
        <v>11900</v>
      </c>
      <c r="I1212" s="8" t="e">
        <f t="shared" si="75"/>
        <v>#DIV/0!</v>
      </c>
      <c r="J1212" s="8" t="e">
        <f t="shared" si="74"/>
        <v>#DIV/0!</v>
      </c>
      <c r="K1212" s="8" t="e">
        <f t="shared" si="72"/>
        <v>#DIV/0!</v>
      </c>
    </row>
    <row r="1213" spans="1:11" x14ac:dyDescent="0.25">
      <c r="A1213" t="str">
        <f t="shared" si="73"/>
        <v>11900</v>
      </c>
      <c r="I1213" s="8" t="e">
        <f t="shared" si="75"/>
        <v>#DIV/0!</v>
      </c>
      <c r="J1213" s="8" t="e">
        <f t="shared" si="74"/>
        <v>#DIV/0!</v>
      </c>
      <c r="K1213" s="8" t="e">
        <f t="shared" si="72"/>
        <v>#DIV/0!</v>
      </c>
    </row>
    <row r="1214" spans="1:11" x14ac:dyDescent="0.25">
      <c r="A1214" t="str">
        <f t="shared" si="73"/>
        <v>11900</v>
      </c>
      <c r="I1214" s="8" t="e">
        <f t="shared" si="75"/>
        <v>#DIV/0!</v>
      </c>
      <c r="J1214" s="8" t="e">
        <f t="shared" si="74"/>
        <v>#DIV/0!</v>
      </c>
      <c r="K1214" s="8" t="e">
        <f t="shared" si="72"/>
        <v>#DIV/0!</v>
      </c>
    </row>
    <row r="1215" spans="1:11" x14ac:dyDescent="0.25">
      <c r="A1215" t="str">
        <f t="shared" si="73"/>
        <v>11900</v>
      </c>
      <c r="I1215" s="8" t="e">
        <f t="shared" si="75"/>
        <v>#DIV/0!</v>
      </c>
      <c r="J1215" s="8" t="e">
        <f t="shared" si="74"/>
        <v>#DIV/0!</v>
      </c>
      <c r="K1215" s="8" t="e">
        <f t="shared" si="72"/>
        <v>#DIV/0!</v>
      </c>
    </row>
    <row r="1216" spans="1:11" x14ac:dyDescent="0.25">
      <c r="A1216" t="str">
        <f t="shared" si="73"/>
        <v>11900</v>
      </c>
      <c r="I1216" s="8" t="e">
        <f t="shared" si="75"/>
        <v>#DIV/0!</v>
      </c>
      <c r="J1216" s="8" t="e">
        <f t="shared" si="74"/>
        <v>#DIV/0!</v>
      </c>
      <c r="K1216" s="8" t="e">
        <f t="shared" ref="K1216:K1238" si="76">+G1216/G1155-1</f>
        <v>#DIV/0!</v>
      </c>
    </row>
    <row r="1217" spans="1:11" x14ac:dyDescent="0.25">
      <c r="A1217" t="str">
        <f t="shared" si="73"/>
        <v>11900</v>
      </c>
      <c r="I1217" s="8" t="e">
        <f t="shared" si="75"/>
        <v>#DIV/0!</v>
      </c>
      <c r="J1217" s="8" t="e">
        <f t="shared" si="74"/>
        <v>#DIV/0!</v>
      </c>
      <c r="K1217" s="8" t="e">
        <f t="shared" si="76"/>
        <v>#DIV/0!</v>
      </c>
    </row>
    <row r="1218" spans="1:11" x14ac:dyDescent="0.25">
      <c r="A1218" t="str">
        <f t="shared" si="73"/>
        <v>11900</v>
      </c>
      <c r="I1218" s="8" t="e">
        <f t="shared" si="75"/>
        <v>#DIV/0!</v>
      </c>
      <c r="J1218" s="8" t="e">
        <f t="shared" si="74"/>
        <v>#DIV/0!</v>
      </c>
      <c r="K1218" s="8" t="e">
        <f t="shared" si="76"/>
        <v>#DIV/0!</v>
      </c>
    </row>
    <row r="1219" spans="1:11" x14ac:dyDescent="0.25">
      <c r="A1219" t="str">
        <f t="shared" ref="A1219:A1238" si="77">+MONTH(B1219)&amp;YEAR(B1219)</f>
        <v>11900</v>
      </c>
      <c r="I1219" s="8" t="e">
        <f t="shared" si="75"/>
        <v>#DIV/0!</v>
      </c>
      <c r="J1219" s="8" t="e">
        <f t="shared" si="74"/>
        <v>#DIV/0!</v>
      </c>
      <c r="K1219" s="8" t="e">
        <f t="shared" si="76"/>
        <v>#DIV/0!</v>
      </c>
    </row>
    <row r="1220" spans="1:11" x14ac:dyDescent="0.25">
      <c r="A1220" t="str">
        <f t="shared" si="77"/>
        <v>11900</v>
      </c>
      <c r="I1220" s="8" t="e">
        <f t="shared" si="75"/>
        <v>#DIV/0!</v>
      </c>
      <c r="J1220" s="8" t="e">
        <f t="shared" ref="J1220:J1238" si="78">+LN(1+I1220)</f>
        <v>#DIV/0!</v>
      </c>
      <c r="K1220" s="8" t="e">
        <f t="shared" si="76"/>
        <v>#DIV/0!</v>
      </c>
    </row>
    <row r="1221" spans="1:11" x14ac:dyDescent="0.25">
      <c r="A1221" t="str">
        <f t="shared" si="77"/>
        <v>11900</v>
      </c>
      <c r="I1221" s="8" t="e">
        <f t="shared" si="75"/>
        <v>#DIV/0!</v>
      </c>
      <c r="J1221" s="8" t="e">
        <f t="shared" si="78"/>
        <v>#DIV/0!</v>
      </c>
      <c r="K1221" s="8" t="e">
        <f t="shared" si="76"/>
        <v>#DIV/0!</v>
      </c>
    </row>
    <row r="1222" spans="1:11" x14ac:dyDescent="0.25">
      <c r="A1222" t="str">
        <f t="shared" si="77"/>
        <v>11900</v>
      </c>
      <c r="I1222" s="8" t="e">
        <f t="shared" si="75"/>
        <v>#DIV/0!</v>
      </c>
      <c r="J1222" s="8" t="e">
        <f t="shared" si="78"/>
        <v>#DIV/0!</v>
      </c>
      <c r="K1222" s="8" t="e">
        <f t="shared" si="76"/>
        <v>#DIV/0!</v>
      </c>
    </row>
    <row r="1223" spans="1:11" x14ac:dyDescent="0.25">
      <c r="A1223" t="str">
        <f t="shared" si="77"/>
        <v>11900</v>
      </c>
      <c r="I1223" s="8" t="e">
        <f t="shared" si="75"/>
        <v>#DIV/0!</v>
      </c>
      <c r="J1223" s="8" t="e">
        <f t="shared" si="78"/>
        <v>#DIV/0!</v>
      </c>
      <c r="K1223" s="8" t="e">
        <f t="shared" si="76"/>
        <v>#DIV/0!</v>
      </c>
    </row>
    <row r="1224" spans="1:11" x14ac:dyDescent="0.25">
      <c r="A1224" t="str">
        <f t="shared" si="77"/>
        <v>11900</v>
      </c>
      <c r="I1224" s="8" t="e">
        <f t="shared" si="75"/>
        <v>#DIV/0!</v>
      </c>
      <c r="J1224" s="8" t="e">
        <f t="shared" si="78"/>
        <v>#DIV/0!</v>
      </c>
      <c r="K1224" s="8" t="e">
        <f t="shared" si="76"/>
        <v>#DIV/0!</v>
      </c>
    </row>
    <row r="1225" spans="1:11" x14ac:dyDescent="0.25">
      <c r="A1225" t="str">
        <f t="shared" si="77"/>
        <v>11900</v>
      </c>
      <c r="I1225" s="8" t="e">
        <f t="shared" si="75"/>
        <v>#DIV/0!</v>
      </c>
      <c r="J1225" s="8" t="e">
        <f t="shared" si="78"/>
        <v>#DIV/0!</v>
      </c>
      <c r="K1225" s="8" t="e">
        <f t="shared" si="76"/>
        <v>#DIV/0!</v>
      </c>
    </row>
    <row r="1226" spans="1:11" x14ac:dyDescent="0.25">
      <c r="A1226" t="str">
        <f t="shared" si="77"/>
        <v>11900</v>
      </c>
      <c r="I1226" s="8" t="e">
        <f t="shared" si="75"/>
        <v>#DIV/0!</v>
      </c>
      <c r="J1226" s="8" t="e">
        <f t="shared" si="78"/>
        <v>#DIV/0!</v>
      </c>
      <c r="K1226" s="8" t="e">
        <f t="shared" si="76"/>
        <v>#DIV/0!</v>
      </c>
    </row>
    <row r="1227" spans="1:11" x14ac:dyDescent="0.25">
      <c r="A1227" t="str">
        <f t="shared" si="77"/>
        <v>11900</v>
      </c>
      <c r="I1227" s="8" t="e">
        <f t="shared" si="75"/>
        <v>#DIV/0!</v>
      </c>
      <c r="J1227" s="8" t="e">
        <f t="shared" si="78"/>
        <v>#DIV/0!</v>
      </c>
      <c r="K1227" s="8" t="e">
        <f t="shared" si="76"/>
        <v>#DIV/0!</v>
      </c>
    </row>
    <row r="1228" spans="1:11" x14ac:dyDescent="0.25">
      <c r="A1228" t="str">
        <f t="shared" si="77"/>
        <v>11900</v>
      </c>
      <c r="I1228" s="8" t="e">
        <f t="shared" si="75"/>
        <v>#DIV/0!</v>
      </c>
      <c r="J1228" s="8" t="e">
        <f t="shared" si="78"/>
        <v>#DIV/0!</v>
      </c>
      <c r="K1228" s="8" t="e">
        <f t="shared" si="76"/>
        <v>#DIV/0!</v>
      </c>
    </row>
    <row r="1229" spans="1:11" x14ac:dyDescent="0.25">
      <c r="A1229" t="str">
        <f t="shared" si="77"/>
        <v>11900</v>
      </c>
      <c r="I1229" s="8" t="e">
        <f t="shared" si="75"/>
        <v>#DIV/0!</v>
      </c>
      <c r="J1229" s="8" t="e">
        <f t="shared" si="78"/>
        <v>#DIV/0!</v>
      </c>
      <c r="K1229" s="8" t="e">
        <f t="shared" si="76"/>
        <v>#DIV/0!</v>
      </c>
    </row>
    <row r="1230" spans="1:11" x14ac:dyDescent="0.25">
      <c r="A1230" t="str">
        <f t="shared" si="77"/>
        <v>11900</v>
      </c>
      <c r="I1230" s="8" t="e">
        <f t="shared" si="75"/>
        <v>#DIV/0!</v>
      </c>
      <c r="J1230" s="8" t="e">
        <f t="shared" si="78"/>
        <v>#DIV/0!</v>
      </c>
      <c r="K1230" s="8" t="e">
        <f t="shared" si="76"/>
        <v>#DIV/0!</v>
      </c>
    </row>
    <row r="1231" spans="1:11" x14ac:dyDescent="0.25">
      <c r="A1231" t="str">
        <f t="shared" si="77"/>
        <v>11900</v>
      </c>
      <c r="I1231" s="8" t="e">
        <f t="shared" si="75"/>
        <v>#DIV/0!</v>
      </c>
      <c r="J1231" s="8" t="e">
        <f t="shared" si="78"/>
        <v>#DIV/0!</v>
      </c>
      <c r="K1231" s="8" t="e">
        <f t="shared" si="76"/>
        <v>#DIV/0!</v>
      </c>
    </row>
    <row r="1232" spans="1:11" x14ac:dyDescent="0.25">
      <c r="A1232" t="str">
        <f t="shared" si="77"/>
        <v>11900</v>
      </c>
      <c r="I1232" s="8" t="e">
        <f t="shared" si="75"/>
        <v>#DIV/0!</v>
      </c>
      <c r="J1232" s="8" t="e">
        <f t="shared" si="78"/>
        <v>#DIV/0!</v>
      </c>
      <c r="K1232" s="8" t="e">
        <f t="shared" si="76"/>
        <v>#DIV/0!</v>
      </c>
    </row>
    <row r="1233" spans="1:11" x14ac:dyDescent="0.25">
      <c r="A1233" t="str">
        <f t="shared" si="77"/>
        <v>11900</v>
      </c>
      <c r="I1233" s="8" t="e">
        <f t="shared" si="75"/>
        <v>#DIV/0!</v>
      </c>
      <c r="J1233" s="8" t="e">
        <f t="shared" si="78"/>
        <v>#DIV/0!</v>
      </c>
      <c r="K1233" s="8" t="e">
        <f t="shared" si="76"/>
        <v>#DIV/0!</v>
      </c>
    </row>
    <row r="1234" spans="1:11" x14ac:dyDescent="0.25">
      <c r="A1234" t="str">
        <f t="shared" si="77"/>
        <v>11900</v>
      </c>
      <c r="I1234" s="8" t="e">
        <f t="shared" si="75"/>
        <v>#DIV/0!</v>
      </c>
      <c r="J1234" s="8" t="e">
        <f t="shared" si="78"/>
        <v>#DIV/0!</v>
      </c>
      <c r="K1234" s="8" t="e">
        <f t="shared" si="76"/>
        <v>#DIV/0!</v>
      </c>
    </row>
    <row r="1235" spans="1:11" x14ac:dyDescent="0.25">
      <c r="A1235" t="str">
        <f t="shared" si="77"/>
        <v>11900</v>
      </c>
      <c r="I1235" s="8" t="e">
        <f t="shared" si="75"/>
        <v>#DIV/0!</v>
      </c>
      <c r="J1235" s="8" t="e">
        <f t="shared" si="78"/>
        <v>#DIV/0!</v>
      </c>
      <c r="K1235" s="8" t="e">
        <f t="shared" si="76"/>
        <v>#DIV/0!</v>
      </c>
    </row>
    <row r="1236" spans="1:11" x14ac:dyDescent="0.25">
      <c r="A1236" t="str">
        <f t="shared" si="77"/>
        <v>11900</v>
      </c>
      <c r="I1236" s="8" t="e">
        <f t="shared" si="75"/>
        <v>#DIV/0!</v>
      </c>
      <c r="J1236" s="8" t="e">
        <f t="shared" si="78"/>
        <v>#DIV/0!</v>
      </c>
      <c r="K1236" s="8" t="e">
        <f t="shared" si="76"/>
        <v>#DIV/0!</v>
      </c>
    </row>
    <row r="1237" spans="1:11" x14ac:dyDescent="0.25">
      <c r="A1237" t="str">
        <f t="shared" si="77"/>
        <v>11900</v>
      </c>
      <c r="I1237" s="8" t="e">
        <f t="shared" si="75"/>
        <v>#DIV/0!</v>
      </c>
      <c r="J1237" s="8" t="e">
        <f t="shared" si="78"/>
        <v>#DIV/0!</v>
      </c>
      <c r="K1237" s="8" t="e">
        <f t="shared" si="76"/>
        <v>#DIV/0!</v>
      </c>
    </row>
    <row r="1238" spans="1:11" x14ac:dyDescent="0.25">
      <c r="A1238" t="str">
        <f t="shared" si="77"/>
        <v>11900</v>
      </c>
      <c r="I1238" s="8" t="e">
        <f t="shared" si="75"/>
        <v>#DIV/0!</v>
      </c>
      <c r="J1238" s="8" t="e">
        <f t="shared" si="78"/>
        <v>#DIV/0!</v>
      </c>
      <c r="K1238" s="8" t="e">
        <f t="shared" si="76"/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B4FF3-A7B0-47A3-A2B9-F9F694C6A24F}">
  <dimension ref="A1:K1238"/>
  <sheetViews>
    <sheetView topLeftCell="A1058" workbookViewId="0">
      <selection activeCell="K63" sqref="K63:K1238"/>
    </sheetView>
  </sheetViews>
  <sheetFormatPr defaultRowHeight="15" x14ac:dyDescent="0.25"/>
  <cols>
    <col min="2" max="2" width="10.7109375" bestFit="1" customWidth="1"/>
    <col min="3" max="3" width="18.5703125" bestFit="1" customWidth="1"/>
  </cols>
  <sheetData>
    <row r="1" spans="1:11" x14ac:dyDescent="0.25">
      <c r="A1" t="s">
        <v>27</v>
      </c>
      <c r="B1" t="s">
        <v>7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26</v>
      </c>
      <c r="J1" t="s">
        <v>679</v>
      </c>
      <c r="K1" t="s">
        <v>688</v>
      </c>
    </row>
    <row r="2" spans="1:11" x14ac:dyDescent="0.25">
      <c r="A2" t="str">
        <f>+MONTH(B2)&amp;YEAR(B2)</f>
        <v>12017</v>
      </c>
      <c r="B2" s="1">
        <v>42737</v>
      </c>
      <c r="C2" s="10">
        <v>42767.645833333336</v>
      </c>
      <c r="D2">
        <v>2660</v>
      </c>
      <c r="E2">
        <v>2711.05</v>
      </c>
      <c r="F2">
        <v>2641.2</v>
      </c>
      <c r="G2">
        <v>2705.25</v>
      </c>
      <c r="H2">
        <v>0</v>
      </c>
    </row>
    <row r="3" spans="1:11" x14ac:dyDescent="0.25">
      <c r="A3" t="str">
        <f t="shared" ref="A3:A66" si="0">+MONTH(B3)&amp;YEAR(B3)</f>
        <v>12017</v>
      </c>
      <c r="B3" s="1">
        <v>42738</v>
      </c>
      <c r="C3" s="10">
        <v>42795.645833333336</v>
      </c>
      <c r="D3">
        <v>2717.9</v>
      </c>
      <c r="E3">
        <v>2725.6</v>
      </c>
      <c r="F3">
        <v>2700.65</v>
      </c>
      <c r="G3">
        <v>2714.95</v>
      </c>
      <c r="H3">
        <v>0</v>
      </c>
      <c r="I3" s="8">
        <f>+G3/G2-1</f>
        <v>3.5856205526290097E-3</v>
      </c>
      <c r="J3" s="8">
        <f>+LN(1+I3)</f>
        <v>3.5792075404356915E-3</v>
      </c>
    </row>
    <row r="4" spans="1:11" x14ac:dyDescent="0.25">
      <c r="A4" t="str">
        <f t="shared" si="0"/>
        <v>12017</v>
      </c>
      <c r="B4" s="1">
        <v>42739</v>
      </c>
      <c r="C4" s="10">
        <v>42826.645833333336</v>
      </c>
      <c r="D4">
        <v>2729.45</v>
      </c>
      <c r="E4">
        <v>2749.4</v>
      </c>
      <c r="F4">
        <v>2707.05</v>
      </c>
      <c r="G4">
        <v>2711.5</v>
      </c>
      <c r="H4">
        <v>0</v>
      </c>
      <c r="I4" s="8">
        <f t="shared" ref="I4:I67" si="1">+G4/G3-1</f>
        <v>-1.2707416342842004E-3</v>
      </c>
      <c r="J4" s="8">
        <f t="shared" ref="J4:J67" si="2">+LN(1+I4)</f>
        <v>-1.2715497110785115E-3</v>
      </c>
    </row>
    <row r="5" spans="1:11" x14ac:dyDescent="0.25">
      <c r="A5" t="str">
        <f t="shared" si="0"/>
        <v>12017</v>
      </c>
      <c r="B5" s="1">
        <v>42740</v>
      </c>
      <c r="C5" s="10">
        <v>42856.645833333336</v>
      </c>
      <c r="D5">
        <v>2732.8</v>
      </c>
      <c r="E5">
        <v>2804.1</v>
      </c>
      <c r="F5">
        <v>2730.85</v>
      </c>
      <c r="G5">
        <v>2798.25</v>
      </c>
      <c r="H5">
        <v>0</v>
      </c>
      <c r="I5" s="8">
        <f t="shared" si="1"/>
        <v>3.1993361607966175E-2</v>
      </c>
      <c r="J5" s="8">
        <f t="shared" si="2"/>
        <v>3.1492234488261675E-2</v>
      </c>
    </row>
    <row r="6" spans="1:11" x14ac:dyDescent="0.25">
      <c r="A6" t="str">
        <f t="shared" si="0"/>
        <v>12017</v>
      </c>
      <c r="B6" s="1">
        <v>42741</v>
      </c>
      <c r="C6" s="10">
        <v>42887.645833333336</v>
      </c>
      <c r="D6">
        <v>2809.8</v>
      </c>
      <c r="E6">
        <v>2827.5</v>
      </c>
      <c r="F6">
        <v>2786.65</v>
      </c>
      <c r="G6">
        <v>2797.85</v>
      </c>
      <c r="H6">
        <v>0</v>
      </c>
      <c r="I6" s="8">
        <f t="shared" si="1"/>
        <v>-1.4294648440993374E-4</v>
      </c>
      <c r="J6" s="8">
        <f t="shared" si="2"/>
        <v>-1.4295670223238245E-4</v>
      </c>
    </row>
    <row r="7" spans="1:11" x14ac:dyDescent="0.25">
      <c r="A7" t="str">
        <f t="shared" si="0"/>
        <v>12017</v>
      </c>
      <c r="B7" s="1">
        <v>42744</v>
      </c>
      <c r="C7" s="10">
        <v>42979.645833333336</v>
      </c>
      <c r="D7">
        <v>2810.9</v>
      </c>
      <c r="E7">
        <v>2821.9</v>
      </c>
      <c r="F7">
        <v>2790.6</v>
      </c>
      <c r="G7">
        <v>2793.8</v>
      </c>
      <c r="H7">
        <v>0</v>
      </c>
      <c r="I7" s="8">
        <f t="shared" si="1"/>
        <v>-1.4475400754149215E-3</v>
      </c>
      <c r="J7" s="8">
        <f t="shared" si="2"/>
        <v>-1.4485887736939177E-3</v>
      </c>
    </row>
    <row r="8" spans="1:11" x14ac:dyDescent="0.25">
      <c r="A8" t="str">
        <f t="shared" si="0"/>
        <v>12017</v>
      </c>
      <c r="B8" s="1">
        <v>42745</v>
      </c>
      <c r="C8" s="10">
        <v>43009.645833333336</v>
      </c>
      <c r="D8">
        <v>2799.9</v>
      </c>
      <c r="E8">
        <v>2838.4</v>
      </c>
      <c r="F8">
        <v>2797</v>
      </c>
      <c r="G8">
        <v>2833.9</v>
      </c>
      <c r="H8">
        <v>0</v>
      </c>
      <c r="I8" s="8">
        <f t="shared" si="1"/>
        <v>1.4353210680793094E-2</v>
      </c>
      <c r="J8" s="8">
        <f t="shared" si="2"/>
        <v>1.4251178519513786E-2</v>
      </c>
    </row>
    <row r="9" spans="1:11" x14ac:dyDescent="0.25">
      <c r="A9" t="str">
        <f t="shared" si="0"/>
        <v>12017</v>
      </c>
      <c r="B9" s="1">
        <v>42746</v>
      </c>
      <c r="C9" s="10">
        <v>43040.645833333336</v>
      </c>
      <c r="D9">
        <v>2855.2</v>
      </c>
      <c r="E9">
        <v>2963.05</v>
      </c>
      <c r="F9">
        <v>2853.9</v>
      </c>
      <c r="G9">
        <v>2954.8</v>
      </c>
      <c r="H9">
        <v>0</v>
      </c>
      <c r="I9" s="8">
        <f t="shared" si="1"/>
        <v>4.2662055824129297E-2</v>
      </c>
      <c r="J9" s="8">
        <f t="shared" si="2"/>
        <v>4.1777111841618302E-2</v>
      </c>
    </row>
    <row r="10" spans="1:11" x14ac:dyDescent="0.25">
      <c r="A10" t="str">
        <f t="shared" si="0"/>
        <v>12017</v>
      </c>
      <c r="B10" s="1">
        <v>42747</v>
      </c>
      <c r="C10" s="10">
        <v>43070.645833333336</v>
      </c>
      <c r="D10">
        <v>2963.95</v>
      </c>
      <c r="E10">
        <v>2971.85</v>
      </c>
      <c r="F10">
        <v>2916.95</v>
      </c>
      <c r="G10">
        <v>2958.55</v>
      </c>
      <c r="H10">
        <v>0</v>
      </c>
      <c r="I10" s="8">
        <f t="shared" si="1"/>
        <v>1.269121429538389E-3</v>
      </c>
      <c r="J10" s="8">
        <f t="shared" si="2"/>
        <v>1.2683167756672932E-3</v>
      </c>
    </row>
    <row r="11" spans="1:11" x14ac:dyDescent="0.25">
      <c r="A11" t="str">
        <f t="shared" si="0"/>
        <v>12017</v>
      </c>
      <c r="B11" s="1">
        <v>42748</v>
      </c>
      <c r="C11" t="s">
        <v>28</v>
      </c>
      <c r="D11">
        <v>2977.85</v>
      </c>
      <c r="E11">
        <v>2978.95</v>
      </c>
      <c r="F11">
        <v>2929.45</v>
      </c>
      <c r="G11">
        <v>2952.3</v>
      </c>
      <c r="H11">
        <v>0</v>
      </c>
      <c r="I11" s="8">
        <f t="shared" si="1"/>
        <v>-2.1125213364654449E-3</v>
      </c>
      <c r="J11" s="8">
        <f t="shared" si="2"/>
        <v>-2.114755857200406E-3</v>
      </c>
    </row>
    <row r="12" spans="1:11" x14ac:dyDescent="0.25">
      <c r="A12" t="str">
        <f t="shared" si="0"/>
        <v>12017</v>
      </c>
      <c r="B12" s="1">
        <v>42751</v>
      </c>
      <c r="C12" t="s">
        <v>29</v>
      </c>
      <c r="D12">
        <v>2961.9</v>
      </c>
      <c r="E12">
        <v>2992.8</v>
      </c>
      <c r="F12">
        <v>2938.85</v>
      </c>
      <c r="G12">
        <v>2980.95</v>
      </c>
      <c r="H12">
        <v>0</v>
      </c>
      <c r="I12" s="8">
        <f t="shared" si="1"/>
        <v>9.7042983436641528E-3</v>
      </c>
      <c r="J12" s="8">
        <f t="shared" si="2"/>
        <v>9.6575140693535635E-3</v>
      </c>
    </row>
    <row r="13" spans="1:11" x14ac:dyDescent="0.25">
      <c r="A13" t="str">
        <f t="shared" si="0"/>
        <v>12017</v>
      </c>
      <c r="B13" s="1">
        <v>42752</v>
      </c>
      <c r="C13" t="s">
        <v>30</v>
      </c>
      <c r="D13">
        <v>2994.2</v>
      </c>
      <c r="E13">
        <v>2994.65</v>
      </c>
      <c r="F13">
        <v>2930.85</v>
      </c>
      <c r="G13">
        <v>2937.1</v>
      </c>
      <c r="H13">
        <v>0</v>
      </c>
      <c r="I13" s="8">
        <f t="shared" si="1"/>
        <v>-1.47100756470252E-2</v>
      </c>
      <c r="J13" s="8">
        <f t="shared" si="2"/>
        <v>-1.4819341674759815E-2</v>
      </c>
    </row>
    <row r="14" spans="1:11" x14ac:dyDescent="0.25">
      <c r="A14" t="str">
        <f t="shared" si="0"/>
        <v>12017</v>
      </c>
      <c r="B14" s="1">
        <v>42753</v>
      </c>
      <c r="C14" t="s">
        <v>31</v>
      </c>
      <c r="D14">
        <v>2943.15</v>
      </c>
      <c r="E14">
        <v>3011.3</v>
      </c>
      <c r="F14">
        <v>2942.05</v>
      </c>
      <c r="G14">
        <v>3006.55</v>
      </c>
      <c r="H14">
        <v>0</v>
      </c>
      <c r="I14" s="8">
        <f t="shared" si="1"/>
        <v>2.3645773041435447E-2</v>
      </c>
      <c r="J14" s="8">
        <f t="shared" si="2"/>
        <v>2.3370542007319774E-2</v>
      </c>
    </row>
    <row r="15" spans="1:11" x14ac:dyDescent="0.25">
      <c r="A15" t="str">
        <f t="shared" si="0"/>
        <v>12017</v>
      </c>
      <c r="B15" s="1">
        <v>42754</v>
      </c>
      <c r="C15" t="s">
        <v>32</v>
      </c>
      <c r="D15">
        <v>3005.6</v>
      </c>
      <c r="E15">
        <v>3011.5</v>
      </c>
      <c r="F15">
        <v>2976</v>
      </c>
      <c r="G15">
        <v>3005.8</v>
      </c>
      <c r="H15">
        <v>0</v>
      </c>
      <c r="I15" s="8">
        <f t="shared" si="1"/>
        <v>-2.494553558064494E-4</v>
      </c>
      <c r="J15" s="8">
        <f t="shared" si="2"/>
        <v>-2.4948647496905512E-4</v>
      </c>
    </row>
    <row r="16" spans="1:11" x14ac:dyDescent="0.25">
      <c r="A16" t="str">
        <f t="shared" si="0"/>
        <v>12017</v>
      </c>
      <c r="B16" s="1">
        <v>42755</v>
      </c>
      <c r="C16" t="s">
        <v>33</v>
      </c>
      <c r="D16">
        <v>2996.45</v>
      </c>
      <c r="E16">
        <v>3009.3</v>
      </c>
      <c r="F16">
        <v>2922.05</v>
      </c>
      <c r="G16">
        <v>2933.1</v>
      </c>
      <c r="H16">
        <v>0</v>
      </c>
      <c r="I16" s="8">
        <f t="shared" si="1"/>
        <v>-2.4186572626256009E-2</v>
      </c>
      <c r="J16" s="8">
        <f t="shared" si="2"/>
        <v>-2.4483871320258824E-2</v>
      </c>
    </row>
    <row r="17" spans="1:10" x14ac:dyDescent="0.25">
      <c r="A17" t="str">
        <f t="shared" si="0"/>
        <v>12017</v>
      </c>
      <c r="B17" s="1">
        <v>42758</v>
      </c>
      <c r="C17" t="s">
        <v>34</v>
      </c>
      <c r="D17">
        <v>2935.35</v>
      </c>
      <c r="E17">
        <v>3018.8</v>
      </c>
      <c r="F17">
        <v>2933.25</v>
      </c>
      <c r="G17">
        <v>3013.5</v>
      </c>
      <c r="H17">
        <v>0</v>
      </c>
      <c r="I17" s="8">
        <f t="shared" si="1"/>
        <v>2.7411271351130306E-2</v>
      </c>
      <c r="J17" s="8">
        <f t="shared" si="2"/>
        <v>2.7042309743363656E-2</v>
      </c>
    </row>
    <row r="18" spans="1:10" x14ac:dyDescent="0.25">
      <c r="A18" t="str">
        <f t="shared" si="0"/>
        <v>12017</v>
      </c>
      <c r="B18" s="1">
        <v>42759</v>
      </c>
      <c r="C18" t="s">
        <v>35</v>
      </c>
      <c r="D18">
        <v>3023.55</v>
      </c>
      <c r="E18">
        <v>3066.2</v>
      </c>
      <c r="F18">
        <v>3019.3</v>
      </c>
      <c r="G18">
        <v>3062.3</v>
      </c>
      <c r="H18">
        <v>0</v>
      </c>
      <c r="I18" s="8">
        <f t="shared" si="1"/>
        <v>1.6193794591007116E-2</v>
      </c>
      <c r="J18" s="8">
        <f t="shared" si="2"/>
        <v>1.606407367489697E-2</v>
      </c>
    </row>
    <row r="19" spans="1:10" x14ac:dyDescent="0.25">
      <c r="A19" t="str">
        <f t="shared" si="0"/>
        <v>12017</v>
      </c>
      <c r="B19" s="1">
        <v>42760</v>
      </c>
      <c r="C19" t="s">
        <v>36</v>
      </c>
      <c r="D19">
        <v>3077.7</v>
      </c>
      <c r="E19">
        <v>3115.2</v>
      </c>
      <c r="F19">
        <v>3072.45</v>
      </c>
      <c r="G19">
        <v>3109.05</v>
      </c>
      <c r="H19">
        <v>0</v>
      </c>
      <c r="I19" s="8">
        <f t="shared" si="1"/>
        <v>1.5266303105508916E-2</v>
      </c>
      <c r="J19" s="8">
        <f t="shared" si="2"/>
        <v>1.5150945673027478E-2</v>
      </c>
    </row>
    <row r="20" spans="1:10" x14ac:dyDescent="0.25">
      <c r="A20" t="str">
        <f t="shared" si="0"/>
        <v>12017</v>
      </c>
      <c r="B20" s="1">
        <v>42762</v>
      </c>
      <c r="C20" t="s">
        <v>37</v>
      </c>
      <c r="D20">
        <v>3113.2</v>
      </c>
      <c r="E20">
        <v>3137.4</v>
      </c>
      <c r="F20">
        <v>3087.15</v>
      </c>
      <c r="G20">
        <v>3109.65</v>
      </c>
      <c r="H20">
        <v>0</v>
      </c>
      <c r="I20" s="8">
        <f t="shared" si="1"/>
        <v>1.9298499541653413E-4</v>
      </c>
      <c r="J20" s="8">
        <f t="shared" si="2"/>
        <v>1.9296637620775292E-4</v>
      </c>
    </row>
    <row r="21" spans="1:10" x14ac:dyDescent="0.25">
      <c r="A21" t="str">
        <f t="shared" si="0"/>
        <v>12017</v>
      </c>
      <c r="B21" s="1">
        <v>42765</v>
      </c>
      <c r="C21" t="s">
        <v>38</v>
      </c>
      <c r="D21">
        <v>3100.9</v>
      </c>
      <c r="E21">
        <v>3122.7</v>
      </c>
      <c r="F21">
        <v>3071</v>
      </c>
      <c r="G21">
        <v>3104.6</v>
      </c>
      <c r="H21">
        <v>0</v>
      </c>
      <c r="I21" s="8">
        <f t="shared" si="1"/>
        <v>-1.6239769749007982E-3</v>
      </c>
      <c r="J21" s="8">
        <f t="shared" si="2"/>
        <v>-1.62529705488822E-3</v>
      </c>
    </row>
    <row r="22" spans="1:10" x14ac:dyDescent="0.25">
      <c r="A22" t="str">
        <f t="shared" si="0"/>
        <v>12017</v>
      </c>
      <c r="B22" s="1">
        <v>42766</v>
      </c>
      <c r="C22" t="s">
        <v>39</v>
      </c>
      <c r="D22">
        <v>3102.9</v>
      </c>
      <c r="E22">
        <v>3121.05</v>
      </c>
      <c r="F22">
        <v>3063.45</v>
      </c>
      <c r="G22">
        <v>3072.1</v>
      </c>
      <c r="H22">
        <v>0</v>
      </c>
      <c r="I22" s="8">
        <f t="shared" si="1"/>
        <v>-1.0468337305933106E-2</v>
      </c>
      <c r="J22" s="8">
        <f t="shared" si="2"/>
        <v>-1.0523515771254393E-2</v>
      </c>
    </row>
    <row r="23" spans="1:10" x14ac:dyDescent="0.25">
      <c r="A23" t="str">
        <f t="shared" si="0"/>
        <v>22017</v>
      </c>
      <c r="B23" s="1">
        <v>42767</v>
      </c>
      <c r="C23" s="10">
        <v>42737.645833333336</v>
      </c>
      <c r="D23">
        <v>3084.5</v>
      </c>
      <c r="E23">
        <v>3155.6</v>
      </c>
      <c r="F23">
        <v>3045.85</v>
      </c>
      <c r="G23">
        <v>3146.8</v>
      </c>
      <c r="H23">
        <v>0</v>
      </c>
      <c r="I23" s="8">
        <f t="shared" si="1"/>
        <v>2.4315614726083234E-2</v>
      </c>
      <c r="J23" s="8">
        <f t="shared" si="2"/>
        <v>2.402469663399898E-2</v>
      </c>
    </row>
    <row r="24" spans="1:10" x14ac:dyDescent="0.25">
      <c r="A24" t="str">
        <f t="shared" si="0"/>
        <v>22017</v>
      </c>
      <c r="B24" s="1">
        <v>42768</v>
      </c>
      <c r="C24" s="10">
        <v>42768.645833333336</v>
      </c>
      <c r="D24">
        <v>3139.7</v>
      </c>
      <c r="E24">
        <v>3165.85</v>
      </c>
      <c r="F24">
        <v>3099.45</v>
      </c>
      <c r="G24">
        <v>3147.45</v>
      </c>
      <c r="H24">
        <v>0</v>
      </c>
      <c r="I24" s="8">
        <f t="shared" si="1"/>
        <v>2.0655904410826764E-4</v>
      </c>
      <c r="J24" s="8">
        <f t="shared" si="2"/>
        <v>2.0653771372618784E-4</v>
      </c>
    </row>
    <row r="25" spans="1:10" x14ac:dyDescent="0.25">
      <c r="A25" t="str">
        <f t="shared" si="0"/>
        <v>22017</v>
      </c>
      <c r="B25" s="1">
        <v>42769</v>
      </c>
      <c r="C25" s="10">
        <v>42796.645833333336</v>
      </c>
      <c r="D25">
        <v>3144.5</v>
      </c>
      <c r="E25">
        <v>3170.45</v>
      </c>
      <c r="F25">
        <v>3105.75</v>
      </c>
      <c r="G25">
        <v>3128.7</v>
      </c>
      <c r="H25">
        <v>0</v>
      </c>
      <c r="I25" s="8">
        <f t="shared" si="1"/>
        <v>-5.9572034504122851E-3</v>
      </c>
      <c r="J25" s="8">
        <f t="shared" si="2"/>
        <v>-5.9750183735368294E-3</v>
      </c>
    </row>
    <row r="26" spans="1:10" x14ac:dyDescent="0.25">
      <c r="A26" t="str">
        <f t="shared" si="0"/>
        <v>22017</v>
      </c>
      <c r="B26" s="1">
        <v>42772</v>
      </c>
      <c r="C26" s="10">
        <v>42888.645833333336</v>
      </c>
      <c r="D26">
        <v>3140.65</v>
      </c>
      <c r="E26">
        <v>3159.4</v>
      </c>
      <c r="F26">
        <v>3112.5</v>
      </c>
      <c r="G26">
        <v>3119.8</v>
      </c>
      <c r="H26">
        <v>0</v>
      </c>
      <c r="I26" s="8">
        <f t="shared" si="1"/>
        <v>-2.8446319557642319E-3</v>
      </c>
      <c r="J26" s="8">
        <f t="shared" si="2"/>
        <v>-2.8486856105084221E-3</v>
      </c>
    </row>
    <row r="27" spans="1:10" x14ac:dyDescent="0.25">
      <c r="A27" t="str">
        <f t="shared" si="0"/>
        <v>22017</v>
      </c>
      <c r="B27" s="1">
        <v>42773</v>
      </c>
      <c r="C27" s="10">
        <v>42918.645833333336</v>
      </c>
      <c r="D27">
        <v>3127.7</v>
      </c>
      <c r="E27">
        <v>3151.5</v>
      </c>
      <c r="F27">
        <v>3058.4</v>
      </c>
      <c r="G27">
        <v>3079.55</v>
      </c>
      <c r="H27">
        <v>0</v>
      </c>
      <c r="I27" s="8">
        <f t="shared" si="1"/>
        <v>-1.2901468042823216E-2</v>
      </c>
      <c r="J27" s="8">
        <f t="shared" si="2"/>
        <v>-1.2985414787465946E-2</v>
      </c>
    </row>
    <row r="28" spans="1:10" x14ac:dyDescent="0.25">
      <c r="A28" t="str">
        <f t="shared" si="0"/>
        <v>22017</v>
      </c>
      <c r="B28" s="1">
        <v>42774</v>
      </c>
      <c r="C28" s="10">
        <v>42949.645833333336</v>
      </c>
      <c r="D28">
        <v>3102.8</v>
      </c>
      <c r="E28">
        <v>3132.85</v>
      </c>
      <c r="F28">
        <v>3079.15</v>
      </c>
      <c r="G28">
        <v>3106.6</v>
      </c>
      <c r="H28">
        <v>0</v>
      </c>
      <c r="I28" s="8">
        <f t="shared" si="1"/>
        <v>8.7837508726924529E-3</v>
      </c>
      <c r="J28" s="8">
        <f t="shared" si="2"/>
        <v>8.7453981565045451E-3</v>
      </c>
    </row>
    <row r="29" spans="1:10" x14ac:dyDescent="0.25">
      <c r="A29" t="str">
        <f t="shared" si="0"/>
        <v>22017</v>
      </c>
      <c r="B29" s="1">
        <v>42775</v>
      </c>
      <c r="C29" s="10">
        <v>42980.645833333336</v>
      </c>
      <c r="D29">
        <v>3115</v>
      </c>
      <c r="E29">
        <v>3127.25</v>
      </c>
      <c r="F29">
        <v>3051.35</v>
      </c>
      <c r="G29">
        <v>3084.65</v>
      </c>
      <c r="H29">
        <v>0</v>
      </c>
      <c r="I29" s="8">
        <f t="shared" si="1"/>
        <v>-7.0656022661429452E-3</v>
      </c>
      <c r="J29" s="8">
        <f t="shared" si="2"/>
        <v>-7.0906818385113243E-3</v>
      </c>
    </row>
    <row r="30" spans="1:10" x14ac:dyDescent="0.25">
      <c r="A30" t="str">
        <f t="shared" si="0"/>
        <v>22017</v>
      </c>
      <c r="B30" s="1">
        <v>42776</v>
      </c>
      <c r="C30" s="10">
        <v>43010.645833333336</v>
      </c>
      <c r="D30">
        <v>3108.2</v>
      </c>
      <c r="E30">
        <v>3110.85</v>
      </c>
      <c r="F30">
        <v>3063.6</v>
      </c>
      <c r="G30">
        <v>3075.45</v>
      </c>
      <c r="H30">
        <v>0</v>
      </c>
      <c r="I30" s="8">
        <f t="shared" si="1"/>
        <v>-2.982510171332331E-3</v>
      </c>
      <c r="J30" s="8">
        <f t="shared" si="2"/>
        <v>-2.9869667181300279E-3</v>
      </c>
    </row>
    <row r="31" spans="1:10" x14ac:dyDescent="0.25">
      <c r="A31" t="str">
        <f t="shared" si="0"/>
        <v>22017</v>
      </c>
      <c r="B31" s="1">
        <v>42779</v>
      </c>
      <c r="C31" t="s">
        <v>40</v>
      </c>
      <c r="D31">
        <v>3089.65</v>
      </c>
      <c r="E31">
        <v>3116.2</v>
      </c>
      <c r="F31">
        <v>3067.5</v>
      </c>
      <c r="G31">
        <v>3083.05</v>
      </c>
      <c r="H31">
        <v>0</v>
      </c>
      <c r="I31" s="8">
        <f t="shared" si="1"/>
        <v>2.4711830788990419E-3</v>
      </c>
      <c r="J31" s="8">
        <f t="shared" si="2"/>
        <v>2.4681347269852679E-3</v>
      </c>
    </row>
    <row r="32" spans="1:10" x14ac:dyDescent="0.25">
      <c r="A32" t="str">
        <f t="shared" si="0"/>
        <v>22017</v>
      </c>
      <c r="B32" s="1">
        <v>42780</v>
      </c>
      <c r="C32" t="s">
        <v>41</v>
      </c>
      <c r="D32">
        <v>3093.7</v>
      </c>
      <c r="E32">
        <v>3096.3</v>
      </c>
      <c r="F32">
        <v>3030.3</v>
      </c>
      <c r="G32">
        <v>3055.45</v>
      </c>
      <c r="H32">
        <v>0</v>
      </c>
      <c r="I32" s="8">
        <f t="shared" si="1"/>
        <v>-8.9521739835554115E-3</v>
      </c>
      <c r="J32" s="8">
        <f t="shared" si="2"/>
        <v>-8.9924854569610312E-3</v>
      </c>
    </row>
    <row r="33" spans="1:10" x14ac:dyDescent="0.25">
      <c r="A33" t="str">
        <f t="shared" si="0"/>
        <v>22017</v>
      </c>
      <c r="B33" s="1">
        <v>42781</v>
      </c>
      <c r="C33" t="s">
        <v>42</v>
      </c>
      <c r="D33">
        <v>3057.15</v>
      </c>
      <c r="E33">
        <v>3078.4</v>
      </c>
      <c r="F33">
        <v>2994.85</v>
      </c>
      <c r="G33">
        <v>3011.25</v>
      </c>
      <c r="H33">
        <v>0</v>
      </c>
      <c r="I33" s="8">
        <f t="shared" si="1"/>
        <v>-1.4465954278420456E-2</v>
      </c>
      <c r="J33" s="8">
        <f t="shared" si="2"/>
        <v>-1.4571606338108674E-2</v>
      </c>
    </row>
    <row r="34" spans="1:10" x14ac:dyDescent="0.25">
      <c r="A34" t="str">
        <f t="shared" si="0"/>
        <v>22017</v>
      </c>
      <c r="B34" s="1">
        <v>42782</v>
      </c>
      <c r="C34" t="s">
        <v>43</v>
      </c>
      <c r="D34">
        <v>3015.95</v>
      </c>
      <c r="E34">
        <v>3080.05</v>
      </c>
      <c r="F34">
        <v>2981.95</v>
      </c>
      <c r="G34">
        <v>3075.75</v>
      </c>
      <c r="H34">
        <v>0</v>
      </c>
      <c r="I34" s="8">
        <f t="shared" si="1"/>
        <v>2.1419676214196715E-2</v>
      </c>
      <c r="J34" s="8">
        <f t="shared" si="2"/>
        <v>2.1193499011197159E-2</v>
      </c>
    </row>
    <row r="35" spans="1:10" x14ac:dyDescent="0.25">
      <c r="A35" t="str">
        <f t="shared" si="0"/>
        <v>22017</v>
      </c>
      <c r="B35" s="1">
        <v>42783</v>
      </c>
      <c r="C35" t="s">
        <v>44</v>
      </c>
      <c r="D35">
        <v>3087.6</v>
      </c>
      <c r="E35">
        <v>3093.85</v>
      </c>
      <c r="F35">
        <v>3045.7</v>
      </c>
      <c r="G35">
        <v>3053.6</v>
      </c>
      <c r="H35">
        <v>0</v>
      </c>
      <c r="I35" s="8">
        <f t="shared" si="1"/>
        <v>-7.2014955701861227E-3</v>
      </c>
      <c r="J35" s="8">
        <f t="shared" si="2"/>
        <v>-7.227551509258333E-3</v>
      </c>
    </row>
    <row r="36" spans="1:10" x14ac:dyDescent="0.25">
      <c r="A36" t="str">
        <f t="shared" si="0"/>
        <v>22017</v>
      </c>
      <c r="B36" s="1">
        <v>42786</v>
      </c>
      <c r="C36" t="s">
        <v>45</v>
      </c>
      <c r="D36">
        <v>3056.3</v>
      </c>
      <c r="E36">
        <v>3133.45</v>
      </c>
      <c r="F36">
        <v>3034.05</v>
      </c>
      <c r="G36">
        <v>3116.75</v>
      </c>
      <c r="H36">
        <v>0</v>
      </c>
      <c r="I36" s="8">
        <f t="shared" si="1"/>
        <v>2.0680508252554297E-2</v>
      </c>
      <c r="J36" s="8">
        <f t="shared" si="2"/>
        <v>2.0469569794064293E-2</v>
      </c>
    </row>
    <row r="37" spans="1:10" x14ac:dyDescent="0.25">
      <c r="A37" t="str">
        <f t="shared" si="0"/>
        <v>22017</v>
      </c>
      <c r="B37" s="1">
        <v>42787</v>
      </c>
      <c r="C37" t="s">
        <v>46</v>
      </c>
      <c r="D37">
        <v>3128.35</v>
      </c>
      <c r="E37">
        <v>3158.7</v>
      </c>
      <c r="F37">
        <v>3122.3</v>
      </c>
      <c r="G37">
        <v>3127</v>
      </c>
      <c r="H37">
        <v>0</v>
      </c>
      <c r="I37" s="8">
        <f t="shared" si="1"/>
        <v>3.2886821207989136E-3</v>
      </c>
      <c r="J37" s="8">
        <f t="shared" si="2"/>
        <v>3.2832862327569516E-3</v>
      </c>
    </row>
    <row r="38" spans="1:10" x14ac:dyDescent="0.25">
      <c r="A38" t="str">
        <f t="shared" si="0"/>
        <v>22017</v>
      </c>
      <c r="B38" s="1">
        <v>42788</v>
      </c>
      <c r="C38" t="s">
        <v>47</v>
      </c>
      <c r="D38">
        <v>3137.35</v>
      </c>
      <c r="E38">
        <v>3137.7</v>
      </c>
      <c r="F38">
        <v>3096.8</v>
      </c>
      <c r="G38">
        <v>3107.15</v>
      </c>
      <c r="H38">
        <v>0</v>
      </c>
      <c r="I38" s="8">
        <f t="shared" si="1"/>
        <v>-6.3479373201150713E-3</v>
      </c>
      <c r="J38" s="8">
        <f t="shared" si="2"/>
        <v>-6.3681711483920232E-3</v>
      </c>
    </row>
    <row r="39" spans="1:10" x14ac:dyDescent="0.25">
      <c r="A39" t="str">
        <f t="shared" si="0"/>
        <v>22017</v>
      </c>
      <c r="B39" s="1">
        <v>42789</v>
      </c>
      <c r="C39" t="s">
        <v>48</v>
      </c>
      <c r="D39">
        <v>3110.25</v>
      </c>
      <c r="E39">
        <v>3131.3</v>
      </c>
      <c r="F39">
        <v>3093.3</v>
      </c>
      <c r="G39">
        <v>3120.25</v>
      </c>
      <c r="H39">
        <v>0</v>
      </c>
      <c r="I39" s="8">
        <f t="shared" si="1"/>
        <v>4.21608226187975E-3</v>
      </c>
      <c r="J39" s="8">
        <f t="shared" si="2"/>
        <v>4.2072194891137806E-3</v>
      </c>
    </row>
    <row r="40" spans="1:10" x14ac:dyDescent="0.25">
      <c r="A40" t="str">
        <f t="shared" si="0"/>
        <v>22017</v>
      </c>
      <c r="B40" s="1">
        <v>42793</v>
      </c>
      <c r="C40" t="s">
        <v>49</v>
      </c>
      <c r="D40">
        <v>3121.65</v>
      </c>
      <c r="E40">
        <v>3142.65</v>
      </c>
      <c r="F40">
        <v>3105.3</v>
      </c>
      <c r="G40">
        <v>3110.9</v>
      </c>
      <c r="H40">
        <v>0</v>
      </c>
      <c r="I40" s="8">
        <f t="shared" si="1"/>
        <v>-2.9965547632401224E-3</v>
      </c>
      <c r="J40" s="8">
        <f t="shared" si="2"/>
        <v>-3.0010534226987168E-3</v>
      </c>
    </row>
    <row r="41" spans="1:10" x14ac:dyDescent="0.25">
      <c r="A41" t="str">
        <f t="shared" si="0"/>
        <v>22017</v>
      </c>
      <c r="B41" s="1">
        <v>42794</v>
      </c>
      <c r="C41" t="s">
        <v>50</v>
      </c>
      <c r="D41">
        <v>3114.45</v>
      </c>
      <c r="E41">
        <v>3138.2</v>
      </c>
      <c r="F41">
        <v>3109.7</v>
      </c>
      <c r="G41">
        <v>3127.3</v>
      </c>
      <c r="H41">
        <v>0</v>
      </c>
      <c r="I41" s="8">
        <f t="shared" si="1"/>
        <v>5.2717862997846421E-3</v>
      </c>
      <c r="J41" s="8">
        <f t="shared" si="2"/>
        <v>5.2579390794602818E-3</v>
      </c>
    </row>
    <row r="42" spans="1:10" x14ac:dyDescent="0.25">
      <c r="A42" t="str">
        <f t="shared" si="0"/>
        <v>32017</v>
      </c>
      <c r="B42" s="1">
        <v>42795</v>
      </c>
      <c r="C42" s="10">
        <v>42738.645833333336</v>
      </c>
      <c r="D42">
        <v>3142.45</v>
      </c>
      <c r="E42">
        <v>3196.4</v>
      </c>
      <c r="F42">
        <v>3131.6</v>
      </c>
      <c r="G42">
        <v>3184.6</v>
      </c>
      <c r="H42">
        <v>0</v>
      </c>
      <c r="I42" s="8">
        <f t="shared" si="1"/>
        <v>1.8322514629232733E-2</v>
      </c>
      <c r="J42" s="8">
        <f t="shared" si="2"/>
        <v>1.8156679967000905E-2</v>
      </c>
    </row>
    <row r="43" spans="1:10" x14ac:dyDescent="0.25">
      <c r="A43" t="str">
        <f t="shared" si="0"/>
        <v>32017</v>
      </c>
      <c r="B43" s="1">
        <v>42796</v>
      </c>
      <c r="C43" s="10">
        <v>42769.645833333336</v>
      </c>
      <c r="D43">
        <v>3200.2</v>
      </c>
      <c r="E43">
        <v>3233.7</v>
      </c>
      <c r="F43">
        <v>3155.15</v>
      </c>
      <c r="G43">
        <v>3166.3</v>
      </c>
      <c r="H43">
        <v>0</v>
      </c>
      <c r="I43" s="8">
        <f t="shared" si="1"/>
        <v>-5.7464045720027057E-3</v>
      </c>
      <c r="J43" s="8">
        <f t="shared" si="2"/>
        <v>-5.7629786796059628E-3</v>
      </c>
    </row>
    <row r="44" spans="1:10" x14ac:dyDescent="0.25">
      <c r="A44" t="str">
        <f t="shared" si="0"/>
        <v>32017</v>
      </c>
      <c r="B44" s="1">
        <v>42797</v>
      </c>
      <c r="C44" s="10">
        <v>42797.645833333336</v>
      </c>
      <c r="D44">
        <v>3160.35</v>
      </c>
      <c r="E44">
        <v>3192.95</v>
      </c>
      <c r="F44">
        <v>3152.8</v>
      </c>
      <c r="G44">
        <v>3187.1</v>
      </c>
      <c r="H44">
        <v>0</v>
      </c>
      <c r="I44" s="8">
        <f t="shared" si="1"/>
        <v>6.5691816947224257E-3</v>
      </c>
      <c r="J44" s="8">
        <f t="shared" si="2"/>
        <v>6.5476986533299086E-3</v>
      </c>
    </row>
    <row r="45" spans="1:10" x14ac:dyDescent="0.25">
      <c r="A45" t="str">
        <f t="shared" si="0"/>
        <v>32017</v>
      </c>
      <c r="B45" s="1">
        <v>42800</v>
      </c>
      <c r="C45" s="10">
        <v>42889.645833333336</v>
      </c>
      <c r="D45">
        <v>3200.7</v>
      </c>
      <c r="E45">
        <v>3216.5</v>
      </c>
      <c r="F45">
        <v>3165.15</v>
      </c>
      <c r="G45">
        <v>3189.4</v>
      </c>
      <c r="H45">
        <v>0</v>
      </c>
      <c r="I45" s="8">
        <f t="shared" si="1"/>
        <v>7.2165918860411793E-4</v>
      </c>
      <c r="J45" s="8">
        <f t="shared" si="2"/>
        <v>7.2139891782220956E-4</v>
      </c>
    </row>
    <row r="46" spans="1:10" x14ac:dyDescent="0.25">
      <c r="A46" t="str">
        <f t="shared" si="0"/>
        <v>32017</v>
      </c>
      <c r="B46" s="1">
        <v>42801</v>
      </c>
      <c r="C46" s="10">
        <v>42919.645833333336</v>
      </c>
      <c r="D46">
        <v>3196.2</v>
      </c>
      <c r="E46">
        <v>3197.3</v>
      </c>
      <c r="F46">
        <v>3125.4</v>
      </c>
      <c r="G46">
        <v>3133.45</v>
      </c>
      <c r="H46">
        <v>0</v>
      </c>
      <c r="I46" s="8">
        <f t="shared" si="1"/>
        <v>-1.7542484479839526E-2</v>
      </c>
      <c r="J46" s="8">
        <f t="shared" si="2"/>
        <v>-1.7698177374502907E-2</v>
      </c>
    </row>
    <row r="47" spans="1:10" x14ac:dyDescent="0.25">
      <c r="A47" t="str">
        <f t="shared" si="0"/>
        <v>32017</v>
      </c>
      <c r="B47" s="1">
        <v>42802</v>
      </c>
      <c r="C47" s="10">
        <v>42950.645833333336</v>
      </c>
      <c r="D47">
        <v>3141.8</v>
      </c>
      <c r="E47">
        <v>3143.95</v>
      </c>
      <c r="F47">
        <v>3060.95</v>
      </c>
      <c r="G47">
        <v>3073.4</v>
      </c>
      <c r="H47">
        <v>0</v>
      </c>
      <c r="I47" s="8">
        <f t="shared" si="1"/>
        <v>-1.9164180057125502E-2</v>
      </c>
      <c r="J47" s="8">
        <f t="shared" si="2"/>
        <v>-1.9350193318136991E-2</v>
      </c>
    </row>
    <row r="48" spans="1:10" x14ac:dyDescent="0.25">
      <c r="A48" t="str">
        <f t="shared" si="0"/>
        <v>32017</v>
      </c>
      <c r="B48" s="1">
        <v>42803</v>
      </c>
      <c r="C48" s="10">
        <v>42981.645833333336</v>
      </c>
      <c r="D48">
        <v>3068.4</v>
      </c>
      <c r="E48">
        <v>3080.25</v>
      </c>
      <c r="F48">
        <v>3046.2</v>
      </c>
      <c r="G48">
        <v>3052.7</v>
      </c>
      <c r="H48">
        <v>0</v>
      </c>
      <c r="I48" s="8">
        <f t="shared" si="1"/>
        <v>-6.7352118175311171E-3</v>
      </c>
      <c r="J48" s="8">
        <f t="shared" si="2"/>
        <v>-6.7579957171979609E-3</v>
      </c>
    </row>
    <row r="49" spans="1:11" x14ac:dyDescent="0.25">
      <c r="A49" t="str">
        <f t="shared" si="0"/>
        <v>32017</v>
      </c>
      <c r="B49" s="1">
        <v>42804</v>
      </c>
      <c r="C49" s="10">
        <v>43011.645833333336</v>
      </c>
      <c r="D49">
        <v>3064.65</v>
      </c>
      <c r="E49">
        <v>3077.55</v>
      </c>
      <c r="F49">
        <v>3022.65</v>
      </c>
      <c r="G49">
        <v>3034.65</v>
      </c>
      <c r="H49">
        <v>0</v>
      </c>
      <c r="I49" s="8">
        <f t="shared" si="1"/>
        <v>-5.9127985062402688E-3</v>
      </c>
      <c r="J49" s="8">
        <f t="shared" si="2"/>
        <v>-5.9303483125014832E-3</v>
      </c>
    </row>
    <row r="50" spans="1:11" x14ac:dyDescent="0.25">
      <c r="A50" t="str">
        <f t="shared" si="0"/>
        <v>32017</v>
      </c>
      <c r="B50" s="1">
        <v>42808</v>
      </c>
      <c r="C50" t="s">
        <v>51</v>
      </c>
      <c r="D50">
        <v>3064.1</v>
      </c>
      <c r="E50">
        <v>3064.8</v>
      </c>
      <c r="F50">
        <v>3022.2</v>
      </c>
      <c r="G50">
        <v>3032.1</v>
      </c>
      <c r="H50">
        <v>0</v>
      </c>
      <c r="I50" s="8">
        <f t="shared" si="1"/>
        <v>-8.4029459740009305E-4</v>
      </c>
      <c r="J50" s="8">
        <f t="shared" si="2"/>
        <v>-8.4064784280597012E-4</v>
      </c>
    </row>
    <row r="51" spans="1:11" x14ac:dyDescent="0.25">
      <c r="A51" t="str">
        <f t="shared" si="0"/>
        <v>32017</v>
      </c>
      <c r="B51" s="1">
        <v>42809</v>
      </c>
      <c r="C51" t="s">
        <v>52</v>
      </c>
      <c r="D51">
        <v>3046.35</v>
      </c>
      <c r="E51">
        <v>3057.4</v>
      </c>
      <c r="F51">
        <v>3026.75</v>
      </c>
      <c r="G51">
        <v>3046.5</v>
      </c>
      <c r="H51">
        <v>0</v>
      </c>
      <c r="I51" s="8">
        <f t="shared" si="1"/>
        <v>4.7491837340456478E-3</v>
      </c>
      <c r="J51" s="8">
        <f t="shared" si="2"/>
        <v>4.7379419398224333E-3</v>
      </c>
    </row>
    <row r="52" spans="1:11" x14ac:dyDescent="0.25">
      <c r="A52" t="str">
        <f t="shared" si="0"/>
        <v>32017</v>
      </c>
      <c r="B52" s="1">
        <v>42810</v>
      </c>
      <c r="C52" t="s">
        <v>53</v>
      </c>
      <c r="D52">
        <v>3077.7</v>
      </c>
      <c r="E52">
        <v>3142.85</v>
      </c>
      <c r="F52">
        <v>3069.1</v>
      </c>
      <c r="G52">
        <v>3135.55</v>
      </c>
      <c r="H52">
        <v>0</v>
      </c>
      <c r="I52" s="8">
        <f t="shared" si="1"/>
        <v>2.923026423764985E-2</v>
      </c>
      <c r="J52" s="8">
        <f t="shared" si="2"/>
        <v>2.8811206587412434E-2</v>
      </c>
    </row>
    <row r="53" spans="1:11" x14ac:dyDescent="0.25">
      <c r="A53" t="str">
        <f t="shared" si="0"/>
        <v>32017</v>
      </c>
      <c r="B53" s="1">
        <v>42811</v>
      </c>
      <c r="C53" t="s">
        <v>54</v>
      </c>
      <c r="D53">
        <v>3158.4</v>
      </c>
      <c r="E53">
        <v>3167.2</v>
      </c>
      <c r="F53">
        <v>3112.85</v>
      </c>
      <c r="G53">
        <v>3127.5</v>
      </c>
      <c r="H53">
        <v>0</v>
      </c>
      <c r="I53" s="8">
        <f t="shared" si="1"/>
        <v>-2.567332684855983E-3</v>
      </c>
      <c r="J53" s="8">
        <f t="shared" si="2"/>
        <v>-2.5706339348952677E-3</v>
      </c>
    </row>
    <row r="54" spans="1:11" x14ac:dyDescent="0.25">
      <c r="A54" t="str">
        <f t="shared" si="0"/>
        <v>32017</v>
      </c>
      <c r="B54" s="1">
        <v>42814</v>
      </c>
      <c r="C54" t="s">
        <v>55</v>
      </c>
      <c r="D54">
        <v>3135.9</v>
      </c>
      <c r="E54">
        <v>3135.9</v>
      </c>
      <c r="F54">
        <v>3095.8</v>
      </c>
      <c r="G54">
        <v>3126.6</v>
      </c>
      <c r="H54">
        <v>0</v>
      </c>
      <c r="I54" s="8">
        <f t="shared" si="1"/>
        <v>-2.8776978417266452E-4</v>
      </c>
      <c r="J54" s="8">
        <f t="shared" si="2"/>
        <v>-2.8781119784226499E-4</v>
      </c>
    </row>
    <row r="55" spans="1:11" x14ac:dyDescent="0.25">
      <c r="A55" t="str">
        <f t="shared" si="0"/>
        <v>32017</v>
      </c>
      <c r="B55" s="1">
        <v>42815</v>
      </c>
      <c r="C55" t="s">
        <v>56</v>
      </c>
      <c r="D55">
        <v>3131.9</v>
      </c>
      <c r="E55">
        <v>3132.7</v>
      </c>
      <c r="F55">
        <v>3095.15</v>
      </c>
      <c r="G55">
        <v>3119.4</v>
      </c>
      <c r="H55">
        <v>0</v>
      </c>
      <c r="I55" s="8">
        <f t="shared" si="1"/>
        <v>-2.3028209556706924E-3</v>
      </c>
      <c r="J55" s="8">
        <f t="shared" si="2"/>
        <v>-2.3054765254988505E-3</v>
      </c>
    </row>
    <row r="56" spans="1:11" x14ac:dyDescent="0.25">
      <c r="A56" t="str">
        <f t="shared" si="0"/>
        <v>32017</v>
      </c>
      <c r="B56" s="1">
        <v>42816</v>
      </c>
      <c r="C56" t="s">
        <v>57</v>
      </c>
      <c r="D56">
        <v>3085.7</v>
      </c>
      <c r="E56">
        <v>3095.5</v>
      </c>
      <c r="F56">
        <v>3061.25</v>
      </c>
      <c r="G56">
        <v>3079.15</v>
      </c>
      <c r="H56">
        <v>0</v>
      </c>
      <c r="I56" s="8">
        <f t="shared" si="1"/>
        <v>-1.2903122395332423E-2</v>
      </c>
      <c r="J56" s="8">
        <f t="shared" si="2"/>
        <v>-1.2987090763918119E-2</v>
      </c>
    </row>
    <row r="57" spans="1:11" x14ac:dyDescent="0.25">
      <c r="A57" t="str">
        <f t="shared" si="0"/>
        <v>32017</v>
      </c>
      <c r="B57" s="1">
        <v>42817</v>
      </c>
      <c r="C57" t="s">
        <v>58</v>
      </c>
      <c r="D57">
        <v>3096.25</v>
      </c>
      <c r="E57">
        <v>3120.8</v>
      </c>
      <c r="F57">
        <v>3093.8</v>
      </c>
      <c r="G57">
        <v>3113.2</v>
      </c>
      <c r="H57">
        <v>0</v>
      </c>
      <c r="I57" s="8">
        <f t="shared" si="1"/>
        <v>1.1058246594027432E-2</v>
      </c>
      <c r="J57" s="8">
        <f t="shared" si="2"/>
        <v>1.099755123142601E-2</v>
      </c>
    </row>
    <row r="58" spans="1:11" x14ac:dyDescent="0.25">
      <c r="A58" t="str">
        <f t="shared" si="0"/>
        <v>32017</v>
      </c>
      <c r="B58" s="1">
        <v>42818</v>
      </c>
      <c r="C58" t="s">
        <v>59</v>
      </c>
      <c r="D58">
        <v>3125.7</v>
      </c>
      <c r="E58">
        <v>3145.1</v>
      </c>
      <c r="F58">
        <v>3117.95</v>
      </c>
      <c r="G58">
        <v>3123</v>
      </c>
      <c r="H58">
        <v>0</v>
      </c>
      <c r="I58" s="8">
        <f t="shared" si="1"/>
        <v>3.1478864191185618E-3</v>
      </c>
      <c r="J58" s="8">
        <f t="shared" si="2"/>
        <v>3.1429421978454402E-3</v>
      </c>
    </row>
    <row r="59" spans="1:11" x14ac:dyDescent="0.25">
      <c r="A59" t="str">
        <f t="shared" si="0"/>
        <v>32017</v>
      </c>
      <c r="B59" s="1">
        <v>42821</v>
      </c>
      <c r="C59" t="s">
        <v>60</v>
      </c>
      <c r="D59">
        <v>3109.65</v>
      </c>
      <c r="E59">
        <v>3113.75</v>
      </c>
      <c r="F59">
        <v>3035</v>
      </c>
      <c r="G59">
        <v>3040.2</v>
      </c>
      <c r="H59">
        <v>0</v>
      </c>
      <c r="I59" s="8">
        <f t="shared" si="1"/>
        <v>-2.6512968299711837E-2</v>
      </c>
      <c r="J59" s="8">
        <f t="shared" si="2"/>
        <v>-2.6870775573159516E-2</v>
      </c>
    </row>
    <row r="60" spans="1:11" x14ac:dyDescent="0.25">
      <c r="A60" t="str">
        <f t="shared" si="0"/>
        <v>32017</v>
      </c>
      <c r="B60" s="1">
        <v>42822</v>
      </c>
      <c r="C60" t="s">
        <v>61</v>
      </c>
      <c r="D60">
        <v>3049.9</v>
      </c>
      <c r="E60">
        <v>3071.3</v>
      </c>
      <c r="F60">
        <v>3048.7</v>
      </c>
      <c r="G60">
        <v>3059.35</v>
      </c>
      <c r="H60">
        <v>0</v>
      </c>
      <c r="I60" s="8">
        <f t="shared" si="1"/>
        <v>6.2989277021248125E-3</v>
      </c>
      <c r="J60" s="8">
        <f t="shared" si="2"/>
        <v>6.2791723718911173E-3</v>
      </c>
    </row>
    <row r="61" spans="1:11" x14ac:dyDescent="0.25">
      <c r="A61" t="str">
        <f t="shared" si="0"/>
        <v>32017</v>
      </c>
      <c r="B61" s="1">
        <v>42823</v>
      </c>
      <c r="C61" t="s">
        <v>62</v>
      </c>
      <c r="D61">
        <v>3058.2</v>
      </c>
      <c r="E61">
        <v>3075.8</v>
      </c>
      <c r="F61">
        <v>3045.4</v>
      </c>
      <c r="G61">
        <v>3071.05</v>
      </c>
      <c r="H61">
        <v>0</v>
      </c>
      <c r="I61" s="8">
        <f t="shared" si="1"/>
        <v>3.8243417719450168E-3</v>
      </c>
      <c r="J61" s="8">
        <f t="shared" si="2"/>
        <v>3.8170475680550605E-3</v>
      </c>
    </row>
    <row r="62" spans="1:11" x14ac:dyDescent="0.25">
      <c r="A62" t="str">
        <f t="shared" si="0"/>
        <v>32017</v>
      </c>
      <c r="B62" s="1">
        <v>42824</v>
      </c>
      <c r="C62" t="s">
        <v>63</v>
      </c>
      <c r="D62">
        <v>3077.55</v>
      </c>
      <c r="E62">
        <v>3092.45</v>
      </c>
      <c r="F62">
        <v>3051.9</v>
      </c>
      <c r="G62">
        <v>3061.7</v>
      </c>
      <c r="H62">
        <v>0</v>
      </c>
      <c r="I62" s="8">
        <f t="shared" si="1"/>
        <v>-3.0445613063937449E-3</v>
      </c>
      <c r="J62" s="8">
        <f t="shared" si="2"/>
        <v>-3.0492054117390028E-3</v>
      </c>
    </row>
    <row r="63" spans="1:11" x14ac:dyDescent="0.25">
      <c r="A63" t="str">
        <f t="shared" si="0"/>
        <v>32017</v>
      </c>
      <c r="B63" s="1">
        <v>42825</v>
      </c>
      <c r="C63" t="s">
        <v>64</v>
      </c>
      <c r="D63">
        <v>3071.2</v>
      </c>
      <c r="E63">
        <v>3105.6</v>
      </c>
      <c r="F63">
        <v>3067.6</v>
      </c>
      <c r="G63">
        <v>3096.55</v>
      </c>
      <c r="H63">
        <v>0</v>
      </c>
      <c r="I63" s="8">
        <f t="shared" si="1"/>
        <v>1.1382565241532694E-2</v>
      </c>
      <c r="J63" s="8">
        <f t="shared" si="2"/>
        <v>1.1318271272662618E-2</v>
      </c>
      <c r="K63" s="8">
        <f>+G63/G2-1</f>
        <v>0.14464467239626666</v>
      </c>
    </row>
    <row r="64" spans="1:11" x14ac:dyDescent="0.25">
      <c r="A64" t="str">
        <f t="shared" si="0"/>
        <v>42017</v>
      </c>
      <c r="B64" s="1">
        <v>42828</v>
      </c>
      <c r="C64" s="10">
        <v>42798.645833333336</v>
      </c>
      <c r="D64">
        <v>3103.7</v>
      </c>
      <c r="E64">
        <v>3114</v>
      </c>
      <c r="F64">
        <v>3093.45</v>
      </c>
      <c r="G64">
        <v>3105.7</v>
      </c>
      <c r="H64">
        <v>0</v>
      </c>
      <c r="I64" s="8">
        <f t="shared" si="1"/>
        <v>2.9549014225507264E-3</v>
      </c>
      <c r="J64" s="8">
        <f t="shared" si="2"/>
        <v>2.9505442825115261E-3</v>
      </c>
      <c r="K64" s="8">
        <f t="shared" ref="K64:K127" si="3">+G64/G3-1</f>
        <v>0.14392530249175861</v>
      </c>
    </row>
    <row r="65" spans="1:11" x14ac:dyDescent="0.25">
      <c r="A65" t="str">
        <f t="shared" si="0"/>
        <v>42017</v>
      </c>
      <c r="B65" s="1">
        <v>42830</v>
      </c>
      <c r="C65" s="10">
        <v>42859.645833333336</v>
      </c>
      <c r="D65">
        <v>3123.95</v>
      </c>
      <c r="E65">
        <v>3151.35</v>
      </c>
      <c r="F65">
        <v>3120.3</v>
      </c>
      <c r="G65">
        <v>3137.25</v>
      </c>
      <c r="H65">
        <v>0</v>
      </c>
      <c r="I65" s="8">
        <f t="shared" si="1"/>
        <v>1.0158740380590503E-2</v>
      </c>
      <c r="J65" s="8">
        <f t="shared" si="2"/>
        <v>1.0107487197116889E-2</v>
      </c>
      <c r="K65" s="8">
        <f t="shared" si="3"/>
        <v>0.1570164115803061</v>
      </c>
    </row>
    <row r="66" spans="1:11" x14ac:dyDescent="0.25">
      <c r="A66" t="str">
        <f t="shared" si="0"/>
        <v>42017</v>
      </c>
      <c r="B66" s="1">
        <v>42831</v>
      </c>
      <c r="C66" s="10">
        <v>42890.645833333336</v>
      </c>
      <c r="D66">
        <v>3130.55</v>
      </c>
      <c r="E66">
        <v>3150.5</v>
      </c>
      <c r="F66">
        <v>3093.9</v>
      </c>
      <c r="G66">
        <v>3146.15</v>
      </c>
      <c r="H66">
        <v>0</v>
      </c>
      <c r="I66" s="8">
        <f t="shared" si="1"/>
        <v>2.8368794326241176E-3</v>
      </c>
      <c r="J66" s="8">
        <f t="shared" si="2"/>
        <v>2.8328630843041072E-3</v>
      </c>
      <c r="K66" s="8">
        <f t="shared" si="3"/>
        <v>0.12432770481550981</v>
      </c>
    </row>
    <row r="67" spans="1:11" x14ac:dyDescent="0.25">
      <c r="A67" t="str">
        <f t="shared" ref="A67:A130" si="4">+MONTH(B67)&amp;YEAR(B67)</f>
        <v>42017</v>
      </c>
      <c r="B67" s="1">
        <v>42832</v>
      </c>
      <c r="C67" s="10">
        <v>42920.645833333336</v>
      </c>
      <c r="D67">
        <v>3138.3</v>
      </c>
      <c r="E67">
        <v>3158.3</v>
      </c>
      <c r="F67">
        <v>3100.75</v>
      </c>
      <c r="G67">
        <v>3111.1</v>
      </c>
      <c r="H67">
        <v>0</v>
      </c>
      <c r="I67" s="8">
        <f t="shared" si="1"/>
        <v>-1.1140600416381985E-2</v>
      </c>
      <c r="J67" s="8">
        <f t="shared" si="2"/>
        <v>-1.1203121688549061E-2</v>
      </c>
      <c r="K67" s="8">
        <f t="shared" si="3"/>
        <v>0.11196097003055927</v>
      </c>
    </row>
    <row r="68" spans="1:11" x14ac:dyDescent="0.25">
      <c r="A68" t="str">
        <f t="shared" si="4"/>
        <v>42017</v>
      </c>
      <c r="B68" s="1">
        <v>42835</v>
      </c>
      <c r="C68" s="10">
        <v>43012.645833333336</v>
      </c>
      <c r="D68">
        <v>3120.85</v>
      </c>
      <c r="E68">
        <v>3143.35</v>
      </c>
      <c r="F68">
        <v>3110.35</v>
      </c>
      <c r="G68">
        <v>3138.45</v>
      </c>
      <c r="H68">
        <v>0</v>
      </c>
      <c r="I68" s="8">
        <f t="shared" ref="I68:I131" si="5">+G68/G67-1</f>
        <v>8.7911028253671031E-3</v>
      </c>
      <c r="J68" s="8">
        <f t="shared" ref="J68:J131" si="6">+LN(1+I68)</f>
        <v>8.7526860671971341E-3</v>
      </c>
      <c r="K68" s="8">
        <f t="shared" si="3"/>
        <v>0.12336244541484698</v>
      </c>
    </row>
    <row r="69" spans="1:11" x14ac:dyDescent="0.25">
      <c r="A69" t="str">
        <f t="shared" si="4"/>
        <v>42017</v>
      </c>
      <c r="B69" s="1">
        <v>42836</v>
      </c>
      <c r="C69" s="10">
        <v>43043.645833333336</v>
      </c>
      <c r="D69">
        <v>3114.4</v>
      </c>
      <c r="E69">
        <v>3114.95</v>
      </c>
      <c r="F69">
        <v>3080.15</v>
      </c>
      <c r="G69">
        <v>3092.05</v>
      </c>
      <c r="H69">
        <v>0</v>
      </c>
      <c r="I69" s="8">
        <f t="shared" si="5"/>
        <v>-1.4784368079784449E-2</v>
      </c>
      <c r="J69" s="8">
        <f t="shared" si="6"/>
        <v>-1.4894746113542478E-2</v>
      </c>
      <c r="K69" s="8">
        <f t="shared" si="3"/>
        <v>9.1093545996683067E-2</v>
      </c>
    </row>
    <row r="70" spans="1:11" x14ac:dyDescent="0.25">
      <c r="A70" t="str">
        <f t="shared" si="4"/>
        <v>42017</v>
      </c>
      <c r="B70" s="1">
        <v>42837</v>
      </c>
      <c r="C70" s="10">
        <v>43073.645833333336</v>
      </c>
      <c r="D70">
        <v>3102.6</v>
      </c>
      <c r="E70">
        <v>3126.35</v>
      </c>
      <c r="F70">
        <v>3067.1</v>
      </c>
      <c r="G70">
        <v>3071.2</v>
      </c>
      <c r="H70">
        <v>0</v>
      </c>
      <c r="I70" s="8">
        <f t="shared" si="5"/>
        <v>-6.7430992383694655E-3</v>
      </c>
      <c r="J70" s="8">
        <f t="shared" si="6"/>
        <v>-6.7659366532393716E-3</v>
      </c>
      <c r="K70" s="8">
        <f t="shared" si="3"/>
        <v>3.9393529172871089E-2</v>
      </c>
    </row>
    <row r="71" spans="1:11" x14ac:dyDescent="0.25">
      <c r="A71" t="str">
        <f t="shared" si="4"/>
        <v>42017</v>
      </c>
      <c r="B71" s="1">
        <v>42838</v>
      </c>
      <c r="C71" t="s">
        <v>65</v>
      </c>
      <c r="D71">
        <v>3059.7</v>
      </c>
      <c r="E71">
        <v>3064.65</v>
      </c>
      <c r="F71">
        <v>2980.1</v>
      </c>
      <c r="G71">
        <v>2985.55</v>
      </c>
      <c r="H71">
        <v>0</v>
      </c>
      <c r="I71" s="8">
        <f t="shared" si="5"/>
        <v>-2.7888121906746388E-2</v>
      </c>
      <c r="J71" s="8">
        <f t="shared" si="6"/>
        <v>-2.8284380226315305E-2</v>
      </c>
      <c r="K71" s="8">
        <f t="shared" si="3"/>
        <v>9.1260921735309974E-3</v>
      </c>
    </row>
    <row r="72" spans="1:11" x14ac:dyDescent="0.25">
      <c r="A72" t="str">
        <f t="shared" si="4"/>
        <v>42017</v>
      </c>
      <c r="B72" s="1">
        <v>42842</v>
      </c>
      <c r="C72" t="s">
        <v>66</v>
      </c>
      <c r="D72">
        <v>2979.4</v>
      </c>
      <c r="E72">
        <v>2985.9</v>
      </c>
      <c r="F72">
        <v>2946.95</v>
      </c>
      <c r="G72">
        <v>2953.35</v>
      </c>
      <c r="H72">
        <v>0</v>
      </c>
      <c r="I72" s="8">
        <f t="shared" si="5"/>
        <v>-1.0785282443770972E-2</v>
      </c>
      <c r="J72" s="8">
        <f t="shared" si="6"/>
        <v>-1.0843865204321486E-2</v>
      </c>
      <c r="K72" s="8">
        <f t="shared" si="3"/>
        <v>3.5565491311850828E-4</v>
      </c>
    </row>
    <row r="73" spans="1:11" x14ac:dyDescent="0.25">
      <c r="A73" t="str">
        <f t="shared" si="4"/>
        <v>42017</v>
      </c>
      <c r="B73" s="1">
        <v>42843</v>
      </c>
      <c r="C73" t="s">
        <v>67</v>
      </c>
      <c r="D73">
        <v>2964.05</v>
      </c>
      <c r="E73">
        <v>3020</v>
      </c>
      <c r="F73">
        <v>2895.75</v>
      </c>
      <c r="G73">
        <v>2901.25</v>
      </c>
      <c r="H73">
        <v>0</v>
      </c>
      <c r="I73" s="8">
        <f t="shared" si="5"/>
        <v>-1.7640983967359025E-2</v>
      </c>
      <c r="J73" s="8">
        <f t="shared" si="6"/>
        <v>-1.7798440667304266E-2</v>
      </c>
      <c r="K73" s="8">
        <f t="shared" si="3"/>
        <v>-2.6736443080226047E-2</v>
      </c>
    </row>
    <row r="74" spans="1:11" x14ac:dyDescent="0.25">
      <c r="A74" t="str">
        <f t="shared" si="4"/>
        <v>42017</v>
      </c>
      <c r="B74" s="1">
        <v>42844</v>
      </c>
      <c r="C74" t="s">
        <v>68</v>
      </c>
      <c r="D74">
        <v>2892.65</v>
      </c>
      <c r="E74">
        <v>2927.35</v>
      </c>
      <c r="F74">
        <v>2864.9</v>
      </c>
      <c r="G74">
        <v>2915.8</v>
      </c>
      <c r="H74">
        <v>0</v>
      </c>
      <c r="I74" s="8">
        <f t="shared" si="5"/>
        <v>5.0150797070229736E-3</v>
      </c>
      <c r="J74" s="8">
        <f t="shared" si="6"/>
        <v>5.0025460820748834E-3</v>
      </c>
      <c r="K74" s="8">
        <f t="shared" si="3"/>
        <v>-7.2520513431615363E-3</v>
      </c>
    </row>
    <row r="75" spans="1:11" x14ac:dyDescent="0.25">
      <c r="A75" t="str">
        <f t="shared" si="4"/>
        <v>42017</v>
      </c>
      <c r="B75" s="1">
        <v>42845</v>
      </c>
      <c r="C75" t="s">
        <v>69</v>
      </c>
      <c r="D75">
        <v>2931.35</v>
      </c>
      <c r="E75">
        <v>2938.35</v>
      </c>
      <c r="F75">
        <v>2903.05</v>
      </c>
      <c r="G75">
        <v>2919.65</v>
      </c>
      <c r="H75">
        <v>0</v>
      </c>
      <c r="I75" s="8">
        <f t="shared" si="5"/>
        <v>1.320392345153909E-3</v>
      </c>
      <c r="J75" s="8">
        <f t="shared" si="6"/>
        <v>1.3195213937620734E-3</v>
      </c>
      <c r="K75" s="8">
        <f t="shared" si="3"/>
        <v>-2.8903560559445207E-2</v>
      </c>
    </row>
    <row r="76" spans="1:11" x14ac:dyDescent="0.25">
      <c r="A76" t="str">
        <f t="shared" si="4"/>
        <v>42017</v>
      </c>
      <c r="B76" s="1">
        <v>42846</v>
      </c>
      <c r="C76" t="s">
        <v>70</v>
      </c>
      <c r="D76">
        <v>2944.15</v>
      </c>
      <c r="E76">
        <v>2945.3</v>
      </c>
      <c r="F76">
        <v>2894.1</v>
      </c>
      <c r="G76">
        <v>2905.25</v>
      </c>
      <c r="H76">
        <v>0</v>
      </c>
      <c r="I76" s="8">
        <f t="shared" si="5"/>
        <v>-4.9320980254482505E-3</v>
      </c>
      <c r="J76" s="8">
        <f t="shared" si="6"/>
        <v>-4.9443009615006027E-3</v>
      </c>
      <c r="K76" s="8">
        <f t="shared" si="3"/>
        <v>-3.3451992813893217E-2</v>
      </c>
    </row>
    <row r="77" spans="1:11" x14ac:dyDescent="0.25">
      <c r="A77" t="str">
        <f t="shared" si="4"/>
        <v>42017</v>
      </c>
      <c r="B77" s="1">
        <v>42849</v>
      </c>
      <c r="C77" t="s">
        <v>71</v>
      </c>
      <c r="D77">
        <v>2917.35</v>
      </c>
      <c r="E77">
        <v>2936.3</v>
      </c>
      <c r="F77">
        <v>2893.25</v>
      </c>
      <c r="G77">
        <v>2925.7</v>
      </c>
      <c r="H77">
        <v>0</v>
      </c>
      <c r="I77" s="8">
        <f t="shared" si="5"/>
        <v>7.0389811548059456E-3</v>
      </c>
      <c r="J77" s="8">
        <f t="shared" si="6"/>
        <v>7.0143231707267195E-3</v>
      </c>
      <c r="K77" s="8">
        <f t="shared" si="3"/>
        <v>-2.5229279601787225E-3</v>
      </c>
    </row>
    <row r="78" spans="1:11" x14ac:dyDescent="0.25">
      <c r="A78" t="str">
        <f t="shared" si="4"/>
        <v>42017</v>
      </c>
      <c r="B78" s="1">
        <v>42850</v>
      </c>
      <c r="C78" t="s">
        <v>72</v>
      </c>
      <c r="D78">
        <v>2944.5</v>
      </c>
      <c r="E78">
        <v>2949.3</v>
      </c>
      <c r="F78">
        <v>2919.1</v>
      </c>
      <c r="G78">
        <v>2945.85</v>
      </c>
      <c r="H78">
        <v>0</v>
      </c>
      <c r="I78" s="8">
        <f t="shared" si="5"/>
        <v>6.8872406603548431E-3</v>
      </c>
      <c r="J78" s="8">
        <f t="shared" si="6"/>
        <v>6.8636319556319783E-3</v>
      </c>
      <c r="K78" s="8">
        <f t="shared" si="3"/>
        <v>-2.2448979591836782E-2</v>
      </c>
    </row>
    <row r="79" spans="1:11" x14ac:dyDescent="0.25">
      <c r="A79" t="str">
        <f t="shared" si="4"/>
        <v>42017</v>
      </c>
      <c r="B79" s="1">
        <v>42851</v>
      </c>
      <c r="C79" t="s">
        <v>73</v>
      </c>
      <c r="D79">
        <v>2957.35</v>
      </c>
      <c r="E79">
        <v>2995.75</v>
      </c>
      <c r="F79">
        <v>2933.55</v>
      </c>
      <c r="G79">
        <v>2957.9</v>
      </c>
      <c r="H79">
        <v>0</v>
      </c>
      <c r="I79" s="8">
        <f t="shared" si="5"/>
        <v>4.0905001951898612E-3</v>
      </c>
      <c r="J79" s="8">
        <f t="shared" si="6"/>
        <v>4.0821568438478102E-3</v>
      </c>
      <c r="K79" s="8">
        <f t="shared" si="3"/>
        <v>-3.4092022336152605E-2</v>
      </c>
    </row>
    <row r="80" spans="1:11" x14ac:dyDescent="0.25">
      <c r="A80" t="str">
        <f t="shared" si="4"/>
        <v>42017</v>
      </c>
      <c r="B80" s="1">
        <v>42852</v>
      </c>
      <c r="C80" t="s">
        <v>74</v>
      </c>
      <c r="D80">
        <v>2958.75</v>
      </c>
      <c r="E80">
        <v>2963.35</v>
      </c>
      <c r="F80">
        <v>2926.2</v>
      </c>
      <c r="G80">
        <v>2929.85</v>
      </c>
      <c r="H80">
        <v>0</v>
      </c>
      <c r="I80" s="8">
        <f t="shared" si="5"/>
        <v>-9.4830792116028517E-3</v>
      </c>
      <c r="J80" s="8">
        <f t="shared" si="6"/>
        <v>-9.5283299118108632E-3</v>
      </c>
      <c r="K80" s="8">
        <f t="shared" si="3"/>
        <v>-5.7638185297759881E-2</v>
      </c>
    </row>
    <row r="81" spans="1:11" x14ac:dyDescent="0.25">
      <c r="A81" t="str">
        <f t="shared" si="4"/>
        <v>42017</v>
      </c>
      <c r="B81" s="1">
        <v>42853</v>
      </c>
      <c r="C81" t="s">
        <v>75</v>
      </c>
      <c r="D81">
        <v>2931.6</v>
      </c>
      <c r="E81">
        <v>3016.15</v>
      </c>
      <c r="F81">
        <v>2921.9</v>
      </c>
      <c r="G81">
        <v>2974.4</v>
      </c>
      <c r="H81">
        <v>0</v>
      </c>
      <c r="I81" s="8">
        <f t="shared" si="5"/>
        <v>1.520555659846079E-2</v>
      </c>
      <c r="J81" s="8">
        <f t="shared" si="6"/>
        <v>1.5091110805800993E-2</v>
      </c>
      <c r="K81" s="8">
        <f t="shared" si="3"/>
        <v>-4.3493640763429986E-2</v>
      </c>
    </row>
    <row r="82" spans="1:11" x14ac:dyDescent="0.25">
      <c r="A82" t="str">
        <f t="shared" si="4"/>
        <v>52017</v>
      </c>
      <c r="B82" s="1">
        <v>42857</v>
      </c>
      <c r="C82" s="10">
        <v>42771.645833333336</v>
      </c>
      <c r="D82">
        <v>2994.15</v>
      </c>
      <c r="E82">
        <v>3010.25</v>
      </c>
      <c r="F82">
        <v>2947.75</v>
      </c>
      <c r="G82">
        <v>2957.35</v>
      </c>
      <c r="H82">
        <v>0</v>
      </c>
      <c r="I82" s="8">
        <f t="shared" si="5"/>
        <v>-5.7322485207100815E-3</v>
      </c>
      <c r="J82" s="8">
        <f t="shared" si="6"/>
        <v>-5.748740913121957E-3</v>
      </c>
      <c r="K82" s="8">
        <f t="shared" si="3"/>
        <v>-4.7429620563035457E-2</v>
      </c>
    </row>
    <row r="83" spans="1:11" x14ac:dyDescent="0.25">
      <c r="A83" t="str">
        <f t="shared" si="4"/>
        <v>52017</v>
      </c>
      <c r="B83" s="1">
        <v>42858</v>
      </c>
      <c r="C83" s="10">
        <v>42799.645833333336</v>
      </c>
      <c r="D83">
        <v>2971.45</v>
      </c>
      <c r="E83">
        <v>2982.55</v>
      </c>
      <c r="F83">
        <v>2932.45</v>
      </c>
      <c r="G83">
        <v>2950.85</v>
      </c>
      <c r="H83">
        <v>0</v>
      </c>
      <c r="I83" s="8">
        <f t="shared" si="5"/>
        <v>-2.1979136727137139E-3</v>
      </c>
      <c r="J83" s="8">
        <f t="shared" si="6"/>
        <v>-2.2003326300596409E-3</v>
      </c>
      <c r="K83" s="8">
        <f t="shared" si="3"/>
        <v>-3.946811627225677E-2</v>
      </c>
    </row>
    <row r="84" spans="1:11" x14ac:dyDescent="0.25">
      <c r="A84" t="str">
        <f t="shared" si="4"/>
        <v>52017</v>
      </c>
      <c r="B84" s="1">
        <v>42859</v>
      </c>
      <c r="C84" s="10">
        <v>42830.645833333336</v>
      </c>
      <c r="D84">
        <v>2970.35</v>
      </c>
      <c r="E84">
        <v>2972.85</v>
      </c>
      <c r="F84">
        <v>2907.15</v>
      </c>
      <c r="G84">
        <v>2927.55</v>
      </c>
      <c r="H84">
        <v>0</v>
      </c>
      <c r="I84" s="8">
        <f t="shared" si="5"/>
        <v>-7.8960299574697412E-3</v>
      </c>
      <c r="J84" s="8">
        <f t="shared" si="6"/>
        <v>-7.9273686786772903E-3</v>
      </c>
      <c r="K84" s="8">
        <f t="shared" si="3"/>
        <v>-6.9673954493453705E-2</v>
      </c>
    </row>
    <row r="85" spans="1:11" x14ac:dyDescent="0.25">
      <c r="A85" t="str">
        <f t="shared" si="4"/>
        <v>52017</v>
      </c>
      <c r="B85" s="1">
        <v>42860</v>
      </c>
      <c r="C85" s="10">
        <v>42860.645833333336</v>
      </c>
      <c r="D85">
        <v>2920.65</v>
      </c>
      <c r="E85">
        <v>2922.3</v>
      </c>
      <c r="F85">
        <v>2836.75</v>
      </c>
      <c r="G85">
        <v>2856.7</v>
      </c>
      <c r="H85">
        <v>0</v>
      </c>
      <c r="I85" s="8">
        <f t="shared" si="5"/>
        <v>-2.4201123806596114E-2</v>
      </c>
      <c r="J85" s="8">
        <f t="shared" si="6"/>
        <v>-2.4498783278247383E-2</v>
      </c>
      <c r="K85" s="8">
        <f t="shared" si="3"/>
        <v>-9.2376368171059098E-2</v>
      </c>
    </row>
    <row r="86" spans="1:11" x14ac:dyDescent="0.25">
      <c r="A86" t="str">
        <f t="shared" si="4"/>
        <v>52017</v>
      </c>
      <c r="B86" s="1">
        <v>42863</v>
      </c>
      <c r="C86" s="10">
        <v>42952.645833333336</v>
      </c>
      <c r="D86">
        <v>2871.25</v>
      </c>
      <c r="E86">
        <v>2873.75</v>
      </c>
      <c r="F86">
        <v>2829.1</v>
      </c>
      <c r="G86">
        <v>2854.35</v>
      </c>
      <c r="H86">
        <v>0</v>
      </c>
      <c r="I86" s="8">
        <f t="shared" si="5"/>
        <v>-8.2262750726358469E-4</v>
      </c>
      <c r="J86" s="8">
        <f t="shared" si="6"/>
        <v>-8.22966050947736E-4</v>
      </c>
      <c r="K86" s="8">
        <f t="shared" si="3"/>
        <v>-8.7688177198197326E-2</v>
      </c>
    </row>
    <row r="87" spans="1:11" x14ac:dyDescent="0.25">
      <c r="A87" t="str">
        <f t="shared" si="4"/>
        <v>52017</v>
      </c>
      <c r="B87" s="1">
        <v>42864</v>
      </c>
      <c r="C87" s="10">
        <v>42983.645833333336</v>
      </c>
      <c r="D87">
        <v>2857.7</v>
      </c>
      <c r="E87">
        <v>2899.15</v>
      </c>
      <c r="F87">
        <v>2850.9</v>
      </c>
      <c r="G87">
        <v>2876.45</v>
      </c>
      <c r="H87">
        <v>0</v>
      </c>
      <c r="I87" s="8">
        <f t="shared" si="5"/>
        <v>7.7425683605725215E-3</v>
      </c>
      <c r="J87" s="8">
        <f t="shared" si="6"/>
        <v>7.7127485007943992E-3</v>
      </c>
      <c r="K87" s="8">
        <f t="shared" si="3"/>
        <v>-7.8001794986858219E-2</v>
      </c>
    </row>
    <row r="88" spans="1:11" x14ac:dyDescent="0.25">
      <c r="A88" t="str">
        <f t="shared" si="4"/>
        <v>52017</v>
      </c>
      <c r="B88" s="1">
        <v>42865</v>
      </c>
      <c r="C88" s="10">
        <v>43013.645833333336</v>
      </c>
      <c r="D88">
        <v>2888.35</v>
      </c>
      <c r="E88">
        <v>2904.35</v>
      </c>
      <c r="F88">
        <v>2878.4</v>
      </c>
      <c r="G88">
        <v>2899.1</v>
      </c>
      <c r="H88">
        <v>0</v>
      </c>
      <c r="I88" s="8">
        <f t="shared" si="5"/>
        <v>7.8742894887795511E-3</v>
      </c>
      <c r="J88" s="8">
        <f t="shared" si="6"/>
        <v>7.8434490631374698E-3</v>
      </c>
      <c r="K88" s="8">
        <f t="shared" si="3"/>
        <v>-5.8596223474209008E-2</v>
      </c>
    </row>
    <row r="89" spans="1:11" x14ac:dyDescent="0.25">
      <c r="A89" t="str">
        <f t="shared" si="4"/>
        <v>52017</v>
      </c>
      <c r="B89" s="1">
        <v>42866</v>
      </c>
      <c r="C89" s="10">
        <v>43044.645833333336</v>
      </c>
      <c r="D89">
        <v>2929.05</v>
      </c>
      <c r="E89">
        <v>2947.4</v>
      </c>
      <c r="F89">
        <v>2911.55</v>
      </c>
      <c r="G89">
        <v>2915.35</v>
      </c>
      <c r="H89">
        <v>0</v>
      </c>
      <c r="I89" s="8">
        <f t="shared" si="5"/>
        <v>5.6051878169087743E-3</v>
      </c>
      <c r="J89" s="8">
        <f t="shared" si="6"/>
        <v>5.5895372075114302E-3</v>
      </c>
      <c r="K89" s="8">
        <f t="shared" si="3"/>
        <v>-6.1562479881542509E-2</v>
      </c>
    </row>
    <row r="90" spans="1:11" x14ac:dyDescent="0.25">
      <c r="A90" t="str">
        <f t="shared" si="4"/>
        <v>52017</v>
      </c>
      <c r="B90" s="1">
        <v>42867</v>
      </c>
      <c r="C90" s="10">
        <v>43074.645833333336</v>
      </c>
      <c r="D90">
        <v>2925.55</v>
      </c>
      <c r="E90">
        <v>2935.9</v>
      </c>
      <c r="F90">
        <v>2889.1</v>
      </c>
      <c r="G90">
        <v>2912.05</v>
      </c>
      <c r="H90">
        <v>0</v>
      </c>
      <c r="I90" s="8">
        <f t="shared" si="5"/>
        <v>-1.1319395612875427E-3</v>
      </c>
      <c r="J90" s="8">
        <f t="shared" si="6"/>
        <v>-1.1325806887300886E-3</v>
      </c>
      <c r="K90" s="8">
        <f t="shared" si="3"/>
        <v>-5.5954484301298346E-2</v>
      </c>
    </row>
    <row r="91" spans="1:11" x14ac:dyDescent="0.25">
      <c r="A91" t="str">
        <f t="shared" si="4"/>
        <v>52017</v>
      </c>
      <c r="B91" s="1">
        <v>42870</v>
      </c>
      <c r="C91" t="s">
        <v>76</v>
      </c>
      <c r="D91">
        <v>2925</v>
      </c>
      <c r="E91">
        <v>2981.95</v>
      </c>
      <c r="F91">
        <v>2923.2</v>
      </c>
      <c r="G91">
        <v>2978.5</v>
      </c>
      <c r="H91">
        <v>0</v>
      </c>
      <c r="I91" s="8">
        <f t="shared" si="5"/>
        <v>2.2818976322521944E-2</v>
      </c>
      <c r="J91" s="8">
        <f t="shared" si="6"/>
        <v>2.2562517569903646E-2</v>
      </c>
      <c r="K91" s="8">
        <f t="shared" si="3"/>
        <v>-3.1523842039376304E-2</v>
      </c>
    </row>
    <row r="92" spans="1:11" x14ac:dyDescent="0.25">
      <c r="A92" t="str">
        <f t="shared" si="4"/>
        <v>52017</v>
      </c>
      <c r="B92" s="1">
        <v>42871</v>
      </c>
      <c r="C92" t="s">
        <v>77</v>
      </c>
      <c r="D92">
        <v>3003.45</v>
      </c>
      <c r="E92">
        <v>3004.25</v>
      </c>
      <c r="F92">
        <v>2958.95</v>
      </c>
      <c r="G92">
        <v>2964.1</v>
      </c>
      <c r="H92">
        <v>0</v>
      </c>
      <c r="I92" s="8">
        <f t="shared" si="5"/>
        <v>-4.834648312909251E-3</v>
      </c>
      <c r="J92" s="8">
        <f t="shared" si="6"/>
        <v>-4.8463730302517518E-3</v>
      </c>
      <c r="K92" s="8">
        <f t="shared" si="3"/>
        <v>-3.8581923744344215E-2</v>
      </c>
    </row>
    <row r="93" spans="1:11" x14ac:dyDescent="0.25">
      <c r="A93" t="str">
        <f t="shared" si="4"/>
        <v>52017</v>
      </c>
      <c r="B93" s="1">
        <v>42872</v>
      </c>
      <c r="C93" t="s">
        <v>78</v>
      </c>
      <c r="D93">
        <v>2982.6</v>
      </c>
      <c r="E93">
        <v>3042.25</v>
      </c>
      <c r="F93">
        <v>2977.95</v>
      </c>
      <c r="G93">
        <v>3030.65</v>
      </c>
      <c r="H93">
        <v>0</v>
      </c>
      <c r="I93" s="8">
        <f t="shared" si="5"/>
        <v>2.245200904153033E-2</v>
      </c>
      <c r="J93" s="8">
        <f t="shared" si="6"/>
        <v>2.2203672910633084E-2</v>
      </c>
      <c r="K93" s="8">
        <f t="shared" si="3"/>
        <v>-8.1166440295209474E-3</v>
      </c>
    </row>
    <row r="94" spans="1:11" x14ac:dyDescent="0.25">
      <c r="A94" t="str">
        <f t="shared" si="4"/>
        <v>52017</v>
      </c>
      <c r="B94" s="1">
        <v>42873</v>
      </c>
      <c r="C94" t="s">
        <v>79</v>
      </c>
      <c r="D94">
        <v>3004.3</v>
      </c>
      <c r="E94">
        <v>3019.9</v>
      </c>
      <c r="F94">
        <v>2939.8</v>
      </c>
      <c r="G94">
        <v>2947.05</v>
      </c>
      <c r="H94">
        <v>0</v>
      </c>
      <c r="I94" s="8">
        <f t="shared" si="5"/>
        <v>-2.7584841535644111E-2</v>
      </c>
      <c r="J94" s="8">
        <f t="shared" si="6"/>
        <v>-2.7972447948841482E-2</v>
      </c>
      <c r="K94" s="8">
        <f t="shared" si="3"/>
        <v>-2.1320049813200459E-2</v>
      </c>
    </row>
    <row r="95" spans="1:11" x14ac:dyDescent="0.25">
      <c r="A95" t="str">
        <f t="shared" si="4"/>
        <v>52017</v>
      </c>
      <c r="B95" s="1">
        <v>42874</v>
      </c>
      <c r="C95" t="s">
        <v>80</v>
      </c>
      <c r="D95">
        <v>2969.5</v>
      </c>
      <c r="E95">
        <v>2995.8</v>
      </c>
      <c r="F95">
        <v>2902.6</v>
      </c>
      <c r="G95">
        <v>2943.2</v>
      </c>
      <c r="H95">
        <v>0</v>
      </c>
      <c r="I95" s="8">
        <f t="shared" si="5"/>
        <v>-1.3063911368997871E-3</v>
      </c>
      <c r="J95" s="8">
        <f t="shared" si="6"/>
        <v>-1.3072452097175468E-3</v>
      </c>
      <c r="K95" s="8">
        <f t="shared" si="3"/>
        <v>-4.3095180037389325E-2</v>
      </c>
    </row>
    <row r="96" spans="1:11" x14ac:dyDescent="0.25">
      <c r="A96" t="str">
        <f t="shared" si="4"/>
        <v>52017</v>
      </c>
      <c r="B96" s="1">
        <v>42877</v>
      </c>
      <c r="C96" t="s">
        <v>81</v>
      </c>
      <c r="D96">
        <v>2962.25</v>
      </c>
      <c r="E96">
        <v>2977.5</v>
      </c>
      <c r="F96">
        <v>2920.75</v>
      </c>
      <c r="G96">
        <v>2926.3</v>
      </c>
      <c r="H96">
        <v>0</v>
      </c>
      <c r="I96" s="8">
        <f t="shared" si="5"/>
        <v>-5.7420494699645941E-3</v>
      </c>
      <c r="J96" s="8">
        <f t="shared" si="6"/>
        <v>-5.7585984163412403E-3</v>
      </c>
      <c r="K96" s="8">
        <f t="shared" si="3"/>
        <v>-4.1688498821063624E-2</v>
      </c>
    </row>
    <row r="97" spans="1:11" x14ac:dyDescent="0.25">
      <c r="A97" t="str">
        <f t="shared" si="4"/>
        <v>52017</v>
      </c>
      <c r="B97" s="1">
        <v>42878</v>
      </c>
      <c r="C97" t="s">
        <v>82</v>
      </c>
      <c r="D97">
        <v>2933.9</v>
      </c>
      <c r="E97">
        <v>2947.55</v>
      </c>
      <c r="F97">
        <v>2853.7</v>
      </c>
      <c r="G97">
        <v>2913.9</v>
      </c>
      <c r="H97">
        <v>0</v>
      </c>
      <c r="I97" s="8">
        <f t="shared" si="5"/>
        <v>-4.2374329357892648E-3</v>
      </c>
      <c r="J97" s="8">
        <f t="shared" si="6"/>
        <v>-4.2464362978287722E-3</v>
      </c>
      <c r="K97" s="8">
        <f t="shared" si="3"/>
        <v>-6.5083821288200783E-2</v>
      </c>
    </row>
    <row r="98" spans="1:11" x14ac:dyDescent="0.25">
      <c r="A98" t="str">
        <f t="shared" si="4"/>
        <v>52017</v>
      </c>
      <c r="B98" s="1">
        <v>42879</v>
      </c>
      <c r="C98" t="s">
        <v>83</v>
      </c>
      <c r="D98">
        <v>2920.2</v>
      </c>
      <c r="E98">
        <v>2926.55</v>
      </c>
      <c r="F98">
        <v>2841.15</v>
      </c>
      <c r="G98">
        <v>2848.1</v>
      </c>
      <c r="H98">
        <v>0</v>
      </c>
      <c r="I98" s="8">
        <f t="shared" si="5"/>
        <v>-2.2581420089913928E-2</v>
      </c>
      <c r="J98" s="8">
        <f t="shared" si="6"/>
        <v>-2.2840284801402155E-2</v>
      </c>
      <c r="K98" s="8">
        <f t="shared" si="3"/>
        <v>-8.9190917812599912E-2</v>
      </c>
    </row>
    <row r="99" spans="1:11" x14ac:dyDescent="0.25">
      <c r="A99" t="str">
        <f t="shared" si="4"/>
        <v>52017</v>
      </c>
      <c r="B99" s="1">
        <v>42880</v>
      </c>
      <c r="C99" t="s">
        <v>84</v>
      </c>
      <c r="D99">
        <v>2861.95</v>
      </c>
      <c r="E99">
        <v>2908.45</v>
      </c>
      <c r="F99">
        <v>2843.6</v>
      </c>
      <c r="G99">
        <v>2899.8</v>
      </c>
      <c r="H99">
        <v>0</v>
      </c>
      <c r="I99" s="8">
        <f t="shared" si="5"/>
        <v>1.8152452512201211E-2</v>
      </c>
      <c r="J99" s="8">
        <f t="shared" si="6"/>
        <v>1.7989663804101001E-2</v>
      </c>
      <c r="K99" s="8">
        <f t="shared" si="3"/>
        <v>-6.6733179923724295E-2</v>
      </c>
    </row>
    <row r="100" spans="1:11" x14ac:dyDescent="0.25">
      <c r="A100" t="str">
        <f t="shared" si="4"/>
        <v>52017</v>
      </c>
      <c r="B100" s="1">
        <v>42881</v>
      </c>
      <c r="C100" t="s">
        <v>85</v>
      </c>
      <c r="D100">
        <v>2903.85</v>
      </c>
      <c r="E100">
        <v>3022.9</v>
      </c>
      <c r="F100">
        <v>2899.6</v>
      </c>
      <c r="G100">
        <v>2997.75</v>
      </c>
      <c r="H100">
        <v>0</v>
      </c>
      <c r="I100" s="8">
        <f t="shared" si="5"/>
        <v>3.3778191599420637E-2</v>
      </c>
      <c r="J100" s="8">
        <f t="shared" si="6"/>
        <v>3.3220238180449196E-2</v>
      </c>
      <c r="K100" s="8">
        <f t="shared" si="3"/>
        <v>-3.9259674705552472E-2</v>
      </c>
    </row>
    <row r="101" spans="1:11" x14ac:dyDescent="0.25">
      <c r="A101" t="str">
        <f t="shared" si="4"/>
        <v>52017</v>
      </c>
      <c r="B101" s="1">
        <v>42884</v>
      </c>
      <c r="C101" t="s">
        <v>86</v>
      </c>
      <c r="D101">
        <v>3009.85</v>
      </c>
      <c r="E101">
        <v>3050.05</v>
      </c>
      <c r="F101">
        <v>2979.9</v>
      </c>
      <c r="G101">
        <v>2988.75</v>
      </c>
      <c r="H101">
        <v>0</v>
      </c>
      <c r="I101" s="8">
        <f t="shared" si="5"/>
        <v>-3.0022516887665551E-3</v>
      </c>
      <c r="J101" s="8">
        <f t="shared" si="6"/>
        <v>-3.006767487008088E-3</v>
      </c>
      <c r="K101" s="8">
        <f t="shared" si="3"/>
        <v>-3.9265164421871557E-2</v>
      </c>
    </row>
    <row r="102" spans="1:11" x14ac:dyDescent="0.25">
      <c r="A102" t="str">
        <f t="shared" si="4"/>
        <v>52017</v>
      </c>
      <c r="B102" s="1">
        <v>42885</v>
      </c>
      <c r="C102" t="s">
        <v>87</v>
      </c>
      <c r="D102">
        <v>2969.6</v>
      </c>
      <c r="E102">
        <v>3024.4</v>
      </c>
      <c r="F102">
        <v>2959.6</v>
      </c>
      <c r="G102">
        <v>2998.75</v>
      </c>
      <c r="H102">
        <v>0</v>
      </c>
      <c r="I102" s="8">
        <f t="shared" si="5"/>
        <v>3.3458803847763452E-3</v>
      </c>
      <c r="J102" s="8">
        <f t="shared" si="6"/>
        <v>3.3402953813699435E-3</v>
      </c>
      <c r="K102" s="8">
        <f t="shared" si="3"/>
        <v>-4.1105746170818303E-2</v>
      </c>
    </row>
    <row r="103" spans="1:11" x14ac:dyDescent="0.25">
      <c r="A103" t="str">
        <f t="shared" si="4"/>
        <v>52017</v>
      </c>
      <c r="B103" s="1">
        <v>42886</v>
      </c>
      <c r="C103" t="s">
        <v>88</v>
      </c>
      <c r="D103">
        <v>2998.45</v>
      </c>
      <c r="E103">
        <v>3022</v>
      </c>
      <c r="F103">
        <v>2946.2</v>
      </c>
      <c r="G103">
        <v>2952.95</v>
      </c>
      <c r="H103">
        <v>0</v>
      </c>
      <c r="I103" s="8">
        <f t="shared" si="5"/>
        <v>-1.527303042934558E-2</v>
      </c>
      <c r="J103" s="8">
        <f t="shared" si="6"/>
        <v>-1.5390864486955307E-2</v>
      </c>
      <c r="K103" s="8">
        <f t="shared" si="3"/>
        <v>-7.2740689568548622E-2</v>
      </c>
    </row>
    <row r="104" spans="1:11" x14ac:dyDescent="0.25">
      <c r="A104" t="str">
        <f t="shared" si="4"/>
        <v>62017</v>
      </c>
      <c r="B104" s="1">
        <v>42887</v>
      </c>
      <c r="C104" s="10">
        <v>42741.645833333336</v>
      </c>
      <c r="D104">
        <v>2957.95</v>
      </c>
      <c r="E104">
        <v>2965.45</v>
      </c>
      <c r="F104">
        <v>2914.45</v>
      </c>
      <c r="G104">
        <v>2926.95</v>
      </c>
      <c r="H104">
        <v>0</v>
      </c>
      <c r="I104" s="8">
        <f t="shared" si="5"/>
        <v>-8.8047545674664329E-3</v>
      </c>
      <c r="J104" s="8">
        <f t="shared" si="6"/>
        <v>-8.8437454578316546E-3</v>
      </c>
      <c r="K104" s="8">
        <f t="shared" si="3"/>
        <v>-7.5592963395761714E-2</v>
      </c>
    </row>
    <row r="105" spans="1:11" x14ac:dyDescent="0.25">
      <c r="A105" t="str">
        <f t="shared" si="4"/>
        <v>62017</v>
      </c>
      <c r="B105" s="1">
        <v>42888</v>
      </c>
      <c r="C105" s="10">
        <v>42772.645833333336</v>
      </c>
      <c r="D105">
        <v>2942.15</v>
      </c>
      <c r="E105">
        <v>2956.3</v>
      </c>
      <c r="F105">
        <v>2907.6</v>
      </c>
      <c r="G105">
        <v>2923.35</v>
      </c>
      <c r="H105">
        <v>0</v>
      </c>
      <c r="I105" s="8">
        <f t="shared" si="5"/>
        <v>-1.2299492645928556E-3</v>
      </c>
      <c r="J105" s="8">
        <f t="shared" si="6"/>
        <v>-1.2307062729745232E-3</v>
      </c>
      <c r="K105" s="8">
        <f t="shared" si="3"/>
        <v>-8.2755483041009104E-2</v>
      </c>
    </row>
    <row r="106" spans="1:11" x14ac:dyDescent="0.25">
      <c r="A106" t="str">
        <f t="shared" si="4"/>
        <v>62017</v>
      </c>
      <c r="B106" s="1">
        <v>42891</v>
      </c>
      <c r="C106" s="10">
        <v>42861.645833333336</v>
      </c>
      <c r="D106">
        <v>2927.85</v>
      </c>
      <c r="E106">
        <v>2946.55</v>
      </c>
      <c r="F106">
        <v>2894</v>
      </c>
      <c r="G106">
        <v>2905.95</v>
      </c>
      <c r="H106">
        <v>0</v>
      </c>
      <c r="I106" s="8">
        <f t="shared" si="5"/>
        <v>-5.9520755297860495E-3</v>
      </c>
      <c r="J106" s="8">
        <f t="shared" si="6"/>
        <v>-5.9698597350783022E-3</v>
      </c>
      <c r="K106" s="8">
        <f t="shared" si="3"/>
        <v>-8.8872515206621983E-2</v>
      </c>
    </row>
    <row r="107" spans="1:11" x14ac:dyDescent="0.25">
      <c r="A107" t="str">
        <f t="shared" si="4"/>
        <v>62017</v>
      </c>
      <c r="B107" s="1">
        <v>42892</v>
      </c>
      <c r="C107" s="10">
        <v>42892.645833333336</v>
      </c>
      <c r="D107">
        <v>2910.4</v>
      </c>
      <c r="E107">
        <v>2919.15</v>
      </c>
      <c r="F107">
        <v>2887.7</v>
      </c>
      <c r="G107">
        <v>2896.4</v>
      </c>
      <c r="H107">
        <v>0</v>
      </c>
      <c r="I107" s="8">
        <f t="shared" si="5"/>
        <v>-3.2863607426142361E-3</v>
      </c>
      <c r="J107" s="8">
        <f t="shared" si="6"/>
        <v>-3.2917726863988506E-3</v>
      </c>
      <c r="K107" s="8">
        <f t="shared" si="3"/>
        <v>-7.5651438510268121E-2</v>
      </c>
    </row>
    <row r="108" spans="1:11" x14ac:dyDescent="0.25">
      <c r="A108" t="str">
        <f t="shared" si="4"/>
        <v>62017</v>
      </c>
      <c r="B108" s="1">
        <v>42893</v>
      </c>
      <c r="C108" s="10">
        <v>42922.645833333336</v>
      </c>
      <c r="D108">
        <v>2917.4</v>
      </c>
      <c r="E108">
        <v>2928.7</v>
      </c>
      <c r="F108">
        <v>2907.4</v>
      </c>
      <c r="G108">
        <v>2924.85</v>
      </c>
      <c r="H108">
        <v>0</v>
      </c>
      <c r="I108" s="8">
        <f t="shared" si="5"/>
        <v>9.8225383234358254E-3</v>
      </c>
      <c r="J108" s="8">
        <f t="shared" si="6"/>
        <v>9.7746107850396127E-3</v>
      </c>
      <c r="K108" s="8">
        <f t="shared" si="3"/>
        <v>-4.8334092535953777E-2</v>
      </c>
    </row>
    <row r="109" spans="1:11" x14ac:dyDescent="0.25">
      <c r="A109" t="str">
        <f t="shared" si="4"/>
        <v>62017</v>
      </c>
      <c r="B109" s="1">
        <v>42894</v>
      </c>
      <c r="C109" s="10">
        <v>42953.645833333336</v>
      </c>
      <c r="D109">
        <v>2947.1</v>
      </c>
      <c r="E109">
        <v>2975.4</v>
      </c>
      <c r="F109">
        <v>2944.4</v>
      </c>
      <c r="G109">
        <v>2950.7</v>
      </c>
      <c r="H109">
        <v>0</v>
      </c>
      <c r="I109" s="8">
        <f t="shared" si="5"/>
        <v>8.8380600714565993E-3</v>
      </c>
      <c r="J109" s="8">
        <f t="shared" si="6"/>
        <v>8.7992330213763209E-3</v>
      </c>
      <c r="K109" s="8">
        <f t="shared" si="3"/>
        <v>-3.3413044190388819E-2</v>
      </c>
    </row>
    <row r="110" spans="1:11" x14ac:dyDescent="0.25">
      <c r="A110" t="str">
        <f t="shared" si="4"/>
        <v>62017</v>
      </c>
      <c r="B110" s="1">
        <v>42895</v>
      </c>
      <c r="C110" s="10">
        <v>42984.645833333336</v>
      </c>
      <c r="D110">
        <v>2955.65</v>
      </c>
      <c r="E110">
        <v>3004.45</v>
      </c>
      <c r="F110">
        <v>2939.45</v>
      </c>
      <c r="G110">
        <v>2997.7</v>
      </c>
      <c r="H110">
        <v>0</v>
      </c>
      <c r="I110" s="8">
        <f t="shared" si="5"/>
        <v>1.5928423763852617E-2</v>
      </c>
      <c r="J110" s="8">
        <f t="shared" si="6"/>
        <v>1.5802897623313016E-2</v>
      </c>
      <c r="K110" s="8">
        <f t="shared" si="3"/>
        <v>-1.2176033479973092E-2</v>
      </c>
    </row>
    <row r="111" spans="1:11" x14ac:dyDescent="0.25">
      <c r="A111" t="str">
        <f t="shared" si="4"/>
        <v>62017</v>
      </c>
      <c r="B111" s="1">
        <v>42898</v>
      </c>
      <c r="C111" s="10">
        <v>43075.645833333336</v>
      </c>
      <c r="D111">
        <v>2991.25</v>
      </c>
      <c r="E111">
        <v>3022.45</v>
      </c>
      <c r="F111">
        <v>2973.7</v>
      </c>
      <c r="G111">
        <v>2986.95</v>
      </c>
      <c r="H111">
        <v>0</v>
      </c>
      <c r="I111" s="8">
        <f t="shared" si="5"/>
        <v>-3.5860826633752341E-3</v>
      </c>
      <c r="J111" s="8">
        <f t="shared" si="6"/>
        <v>-3.5925280716010218E-3</v>
      </c>
      <c r="K111" s="8">
        <f t="shared" si="3"/>
        <v>-1.4890669832789194E-2</v>
      </c>
    </row>
    <row r="112" spans="1:11" x14ac:dyDescent="0.25">
      <c r="A112" t="str">
        <f t="shared" si="4"/>
        <v>62017</v>
      </c>
      <c r="B112" s="1">
        <v>42899</v>
      </c>
      <c r="C112" t="s">
        <v>89</v>
      </c>
      <c r="D112">
        <v>2986.6</v>
      </c>
      <c r="E112">
        <v>2998.75</v>
      </c>
      <c r="F112">
        <v>2959.35</v>
      </c>
      <c r="G112">
        <v>2963.85</v>
      </c>
      <c r="H112">
        <v>0</v>
      </c>
      <c r="I112" s="8">
        <f t="shared" si="5"/>
        <v>-7.7336413398282344E-3</v>
      </c>
      <c r="J112" s="8">
        <f t="shared" si="6"/>
        <v>-7.7637010248576893E-3</v>
      </c>
      <c r="K112" s="8">
        <f t="shared" si="3"/>
        <v>-2.7129492860659798E-2</v>
      </c>
    </row>
    <row r="113" spans="1:11" x14ac:dyDescent="0.25">
      <c r="A113" t="str">
        <f t="shared" si="4"/>
        <v>62017</v>
      </c>
      <c r="B113" s="1">
        <v>42900</v>
      </c>
      <c r="C113" t="s">
        <v>90</v>
      </c>
      <c r="D113">
        <v>2965.25</v>
      </c>
      <c r="E113">
        <v>2965.65</v>
      </c>
      <c r="F113">
        <v>2924.1</v>
      </c>
      <c r="G113">
        <v>2943.7</v>
      </c>
      <c r="H113">
        <v>0</v>
      </c>
      <c r="I113" s="8">
        <f t="shared" si="5"/>
        <v>-6.7985896722169148E-3</v>
      </c>
      <c r="J113" s="8">
        <f t="shared" si="6"/>
        <v>-6.8218053654616291E-3</v>
      </c>
      <c r="K113" s="8">
        <f t="shared" si="3"/>
        <v>-6.1185437961442268E-2</v>
      </c>
    </row>
    <row r="114" spans="1:11" x14ac:dyDescent="0.25">
      <c r="A114" t="str">
        <f t="shared" si="4"/>
        <v>62017</v>
      </c>
      <c r="B114" s="1">
        <v>42901</v>
      </c>
      <c r="C114" t="s">
        <v>91</v>
      </c>
      <c r="D114">
        <v>2931.05</v>
      </c>
      <c r="E114">
        <v>2954.4</v>
      </c>
      <c r="F114">
        <v>2921.45</v>
      </c>
      <c r="G114">
        <v>2932.45</v>
      </c>
      <c r="H114">
        <v>0</v>
      </c>
      <c r="I114" s="8">
        <f t="shared" si="5"/>
        <v>-3.8217209634133775E-3</v>
      </c>
      <c r="J114" s="8">
        <f t="shared" si="6"/>
        <v>-3.8290423985822128E-3</v>
      </c>
      <c r="K114" s="8">
        <f t="shared" si="3"/>
        <v>-6.2366107114308567E-2</v>
      </c>
    </row>
    <row r="115" spans="1:11" x14ac:dyDescent="0.25">
      <c r="A115" t="str">
        <f t="shared" si="4"/>
        <v>62017</v>
      </c>
      <c r="B115" s="1">
        <v>42902</v>
      </c>
      <c r="C115" t="s">
        <v>92</v>
      </c>
      <c r="D115">
        <v>2935.15</v>
      </c>
      <c r="E115">
        <v>2953.95</v>
      </c>
      <c r="F115">
        <v>2925.6</v>
      </c>
      <c r="G115">
        <v>2931.05</v>
      </c>
      <c r="H115">
        <v>0</v>
      </c>
      <c r="I115" s="8">
        <f t="shared" si="5"/>
        <v>-4.7741649473975745E-4</v>
      </c>
      <c r="J115" s="8">
        <f t="shared" si="6"/>
        <v>-4.7753049427943324E-4</v>
      </c>
      <c r="K115" s="8">
        <f t="shared" si="3"/>
        <v>-6.2543977483528357E-2</v>
      </c>
    </row>
    <row r="116" spans="1:11" x14ac:dyDescent="0.25">
      <c r="A116" t="str">
        <f t="shared" si="4"/>
        <v>62017</v>
      </c>
      <c r="B116" s="1">
        <v>42905</v>
      </c>
      <c r="C116" t="s">
        <v>93</v>
      </c>
      <c r="D116">
        <v>2954.3</v>
      </c>
      <c r="E116">
        <v>2986</v>
      </c>
      <c r="F116">
        <v>2938.95</v>
      </c>
      <c r="G116">
        <v>2982.4</v>
      </c>
      <c r="H116">
        <v>0</v>
      </c>
      <c r="I116" s="8">
        <f t="shared" si="5"/>
        <v>1.7519319015369961E-2</v>
      </c>
      <c r="J116" s="8">
        <f t="shared" si="6"/>
        <v>1.7367624901659343E-2</v>
      </c>
      <c r="K116" s="8">
        <f t="shared" si="3"/>
        <v>-4.3918702314547642E-2</v>
      </c>
    </row>
    <row r="117" spans="1:11" x14ac:dyDescent="0.25">
      <c r="A117" t="str">
        <f t="shared" si="4"/>
        <v>62017</v>
      </c>
      <c r="B117" s="1">
        <v>42906</v>
      </c>
      <c r="C117" t="s">
        <v>94</v>
      </c>
      <c r="D117">
        <v>2996.8</v>
      </c>
      <c r="E117">
        <v>2997.45</v>
      </c>
      <c r="F117">
        <v>2974.65</v>
      </c>
      <c r="G117">
        <v>2988.7</v>
      </c>
      <c r="H117">
        <v>0</v>
      </c>
      <c r="I117" s="8">
        <f t="shared" si="5"/>
        <v>2.1123927038626533E-3</v>
      </c>
      <c r="J117" s="8">
        <f t="shared" si="6"/>
        <v>2.1101647394005454E-3</v>
      </c>
      <c r="K117" s="8">
        <f t="shared" si="3"/>
        <v>-2.9374989851095323E-2</v>
      </c>
    </row>
    <row r="118" spans="1:11" x14ac:dyDescent="0.25">
      <c r="A118" t="str">
        <f t="shared" si="4"/>
        <v>62017</v>
      </c>
      <c r="B118" s="1">
        <v>42907</v>
      </c>
      <c r="C118" t="s">
        <v>95</v>
      </c>
      <c r="D118">
        <v>2978.3</v>
      </c>
      <c r="E118">
        <v>2983.25</v>
      </c>
      <c r="F118">
        <v>2947.4</v>
      </c>
      <c r="G118">
        <v>2953.55</v>
      </c>
      <c r="H118">
        <v>0</v>
      </c>
      <c r="I118" s="8">
        <f t="shared" si="5"/>
        <v>-1.1760966306420761E-2</v>
      </c>
      <c r="J118" s="8">
        <f t="shared" si="6"/>
        <v>-1.1830673559469231E-2</v>
      </c>
      <c r="K118" s="8">
        <f t="shared" si="3"/>
        <v>-5.1281639470641016E-2</v>
      </c>
    </row>
    <row r="119" spans="1:11" x14ac:dyDescent="0.25">
      <c r="A119" t="str">
        <f t="shared" si="4"/>
        <v>62017</v>
      </c>
      <c r="B119" s="1">
        <v>42908</v>
      </c>
      <c r="C119" t="s">
        <v>96</v>
      </c>
      <c r="D119">
        <v>2963.2</v>
      </c>
      <c r="E119">
        <v>2974.05</v>
      </c>
      <c r="F119">
        <v>2903.15</v>
      </c>
      <c r="G119">
        <v>2912.65</v>
      </c>
      <c r="H119">
        <v>0</v>
      </c>
      <c r="I119" s="8">
        <f t="shared" si="5"/>
        <v>-1.3847742547104414E-2</v>
      </c>
      <c r="J119" s="8">
        <f t="shared" si="6"/>
        <v>-1.3944516977514592E-2</v>
      </c>
      <c r="K119" s="8">
        <f t="shared" si="3"/>
        <v>-6.7355107268651904E-2</v>
      </c>
    </row>
    <row r="120" spans="1:11" x14ac:dyDescent="0.25">
      <c r="A120" t="str">
        <f t="shared" si="4"/>
        <v>62017</v>
      </c>
      <c r="B120" s="1">
        <v>42909</v>
      </c>
      <c r="C120" t="s">
        <v>97</v>
      </c>
      <c r="D120">
        <v>2913.05</v>
      </c>
      <c r="E120">
        <v>2913.05</v>
      </c>
      <c r="F120">
        <v>2856.55</v>
      </c>
      <c r="G120">
        <v>2892.4</v>
      </c>
      <c r="H120">
        <v>0</v>
      </c>
      <c r="I120" s="8">
        <f t="shared" si="5"/>
        <v>-6.9524316344222736E-3</v>
      </c>
      <c r="J120" s="8">
        <f t="shared" si="6"/>
        <v>-6.9767123928919945E-3</v>
      </c>
      <c r="K120" s="8">
        <f t="shared" si="3"/>
        <v>-4.8615222682718118E-2</v>
      </c>
    </row>
    <row r="121" spans="1:11" x14ac:dyDescent="0.25">
      <c r="A121" t="str">
        <f t="shared" si="4"/>
        <v>62017</v>
      </c>
      <c r="B121" s="1">
        <v>42913</v>
      </c>
      <c r="C121" t="s">
        <v>98</v>
      </c>
      <c r="D121">
        <v>2903.15</v>
      </c>
      <c r="E121">
        <v>2906.95</v>
      </c>
      <c r="F121">
        <v>2861.85</v>
      </c>
      <c r="G121">
        <v>2885</v>
      </c>
      <c r="H121">
        <v>0</v>
      </c>
      <c r="I121" s="8">
        <f t="shared" si="5"/>
        <v>-2.5584289863089804E-3</v>
      </c>
      <c r="J121" s="8">
        <f t="shared" si="6"/>
        <v>-2.5617073585968834E-3</v>
      </c>
      <c r="K121" s="8">
        <f t="shared" si="3"/>
        <v>-5.6989229738343083E-2</v>
      </c>
    </row>
    <row r="122" spans="1:11" x14ac:dyDescent="0.25">
      <c r="A122" t="str">
        <f t="shared" si="4"/>
        <v>62017</v>
      </c>
      <c r="B122" s="1">
        <v>42914</v>
      </c>
      <c r="C122" t="s">
        <v>99</v>
      </c>
      <c r="D122">
        <v>2890.3</v>
      </c>
      <c r="E122">
        <v>2938.55</v>
      </c>
      <c r="F122">
        <v>2878.1</v>
      </c>
      <c r="G122">
        <v>2931.75</v>
      </c>
      <c r="H122">
        <v>0</v>
      </c>
      <c r="I122" s="8">
        <f t="shared" si="5"/>
        <v>1.6204506065857993E-2</v>
      </c>
      <c r="J122" s="8">
        <f t="shared" si="6"/>
        <v>1.6074614398974053E-2</v>
      </c>
      <c r="K122" s="8">
        <f t="shared" si="3"/>
        <v>-4.5359079142312964E-2</v>
      </c>
    </row>
    <row r="123" spans="1:11" x14ac:dyDescent="0.25">
      <c r="A123" t="str">
        <f t="shared" si="4"/>
        <v>62017</v>
      </c>
      <c r="B123" s="1">
        <v>42915</v>
      </c>
      <c r="C123" t="s">
        <v>100</v>
      </c>
      <c r="D123">
        <v>2954.15</v>
      </c>
      <c r="E123">
        <v>2999.8</v>
      </c>
      <c r="F123">
        <v>2951.75</v>
      </c>
      <c r="G123">
        <v>2991.2</v>
      </c>
      <c r="H123">
        <v>0</v>
      </c>
      <c r="I123" s="8">
        <f t="shared" si="5"/>
        <v>2.0277990961030001E-2</v>
      </c>
      <c r="J123" s="8">
        <f t="shared" si="6"/>
        <v>2.0075130321729983E-2</v>
      </c>
      <c r="K123" s="8">
        <f t="shared" si="3"/>
        <v>-2.3026423228925119E-2</v>
      </c>
    </row>
    <row r="124" spans="1:11" x14ac:dyDescent="0.25">
      <c r="A124" t="str">
        <f t="shared" si="4"/>
        <v>62017</v>
      </c>
      <c r="B124" s="1">
        <v>42916</v>
      </c>
      <c r="C124" t="s">
        <v>101</v>
      </c>
      <c r="D124">
        <v>2987.9</v>
      </c>
      <c r="E124">
        <v>3011.15</v>
      </c>
      <c r="F124">
        <v>2964.7</v>
      </c>
      <c r="G124">
        <v>2991.35</v>
      </c>
      <c r="H124">
        <v>0</v>
      </c>
      <c r="I124" s="8">
        <f t="shared" si="5"/>
        <v>5.0147098154651459E-5</v>
      </c>
      <c r="J124" s="8">
        <f t="shared" si="6"/>
        <v>5.0145840830958708E-5</v>
      </c>
      <c r="K124" s="8">
        <f t="shared" si="3"/>
        <v>-3.3973292858180959E-2</v>
      </c>
    </row>
    <row r="125" spans="1:11" x14ac:dyDescent="0.25">
      <c r="A125" t="str">
        <f t="shared" si="4"/>
        <v>72017</v>
      </c>
      <c r="B125" s="1">
        <v>42919</v>
      </c>
      <c r="C125" s="10">
        <v>42801.645833333336</v>
      </c>
      <c r="D125">
        <v>2999.45</v>
      </c>
      <c r="E125">
        <v>3051.45</v>
      </c>
      <c r="F125">
        <v>2995.6</v>
      </c>
      <c r="G125">
        <v>3046.3</v>
      </c>
      <c r="H125">
        <v>0</v>
      </c>
      <c r="I125" s="8">
        <f t="shared" si="5"/>
        <v>1.8369632440202732E-2</v>
      </c>
      <c r="J125" s="8">
        <f t="shared" si="6"/>
        <v>1.8202948924286574E-2</v>
      </c>
      <c r="K125" s="8">
        <f t="shared" si="3"/>
        <v>-1.9126122935247958E-2</v>
      </c>
    </row>
    <row r="126" spans="1:11" x14ac:dyDescent="0.25">
      <c r="A126" t="str">
        <f t="shared" si="4"/>
        <v>72017</v>
      </c>
      <c r="B126" s="1">
        <v>42920</v>
      </c>
      <c r="C126" s="10">
        <v>42832.645833333336</v>
      </c>
      <c r="D126">
        <v>3058.6</v>
      </c>
      <c r="E126">
        <v>3079.65</v>
      </c>
      <c r="F126">
        <v>3037.25</v>
      </c>
      <c r="G126">
        <v>3050.15</v>
      </c>
      <c r="H126">
        <v>0</v>
      </c>
      <c r="I126" s="8">
        <f t="shared" si="5"/>
        <v>1.2638282506647336E-3</v>
      </c>
      <c r="J126" s="8">
        <f t="shared" si="6"/>
        <v>1.2630302919921926E-3</v>
      </c>
      <c r="K126" s="8">
        <f t="shared" si="3"/>
        <v>-2.776316837995052E-2</v>
      </c>
    </row>
    <row r="127" spans="1:11" x14ac:dyDescent="0.25">
      <c r="A127" t="str">
        <f t="shared" si="4"/>
        <v>72017</v>
      </c>
      <c r="B127" s="1">
        <v>42921</v>
      </c>
      <c r="C127" s="10">
        <v>42862.645833333336</v>
      </c>
      <c r="D127">
        <v>3052.65</v>
      </c>
      <c r="E127">
        <v>3086.55</v>
      </c>
      <c r="F127">
        <v>3046.2</v>
      </c>
      <c r="G127">
        <v>3082.85</v>
      </c>
      <c r="H127">
        <v>0</v>
      </c>
      <c r="I127" s="8">
        <f t="shared" si="5"/>
        <v>1.0720784223726687E-2</v>
      </c>
      <c r="J127" s="8">
        <f t="shared" si="6"/>
        <v>1.0663724073966407E-2</v>
      </c>
      <c r="K127" s="8">
        <f t="shared" si="3"/>
        <v>-2.011982899734599E-2</v>
      </c>
    </row>
    <row r="128" spans="1:11" x14ac:dyDescent="0.25">
      <c r="A128" t="str">
        <f t="shared" si="4"/>
        <v>72017</v>
      </c>
      <c r="B128" s="1">
        <v>42922</v>
      </c>
      <c r="C128" s="10">
        <v>42893.645833333336</v>
      </c>
      <c r="D128">
        <v>3083.15</v>
      </c>
      <c r="E128">
        <v>3107</v>
      </c>
      <c r="F128">
        <v>3078.15</v>
      </c>
      <c r="G128">
        <v>3094.25</v>
      </c>
      <c r="H128">
        <v>0</v>
      </c>
      <c r="I128" s="8">
        <f t="shared" si="5"/>
        <v>3.6978769644970821E-3</v>
      </c>
      <c r="J128" s="8">
        <f t="shared" si="6"/>
        <v>3.6910566261517406E-3</v>
      </c>
      <c r="K128" s="8">
        <f t="shared" ref="K128:K191" si="7">+G128/G67-1</f>
        <v>-5.4160907717527573E-3</v>
      </c>
    </row>
    <row r="129" spans="1:11" x14ac:dyDescent="0.25">
      <c r="A129" t="str">
        <f t="shared" si="4"/>
        <v>72017</v>
      </c>
      <c r="B129" s="1">
        <v>42923</v>
      </c>
      <c r="C129" s="10">
        <v>42923.645833333336</v>
      </c>
      <c r="D129">
        <v>3081.45</v>
      </c>
      <c r="E129">
        <v>3109.25</v>
      </c>
      <c r="F129">
        <v>3078.3</v>
      </c>
      <c r="G129">
        <v>3087.75</v>
      </c>
      <c r="H129">
        <v>0</v>
      </c>
      <c r="I129" s="8">
        <f t="shared" si="5"/>
        <v>-2.1006705986911234E-3</v>
      </c>
      <c r="J129" s="8">
        <f t="shared" si="6"/>
        <v>-2.1028801020079447E-3</v>
      </c>
      <c r="K129" s="8">
        <f t="shared" si="7"/>
        <v>-1.6154471156143879E-2</v>
      </c>
    </row>
    <row r="130" spans="1:11" x14ac:dyDescent="0.25">
      <c r="A130" t="str">
        <f t="shared" si="4"/>
        <v>72017</v>
      </c>
      <c r="B130" s="1">
        <v>42926</v>
      </c>
      <c r="C130" s="10">
        <v>43015.645833333336</v>
      </c>
      <c r="D130">
        <v>3104.15</v>
      </c>
      <c r="E130">
        <v>3139.65</v>
      </c>
      <c r="F130">
        <v>3046.8</v>
      </c>
      <c r="G130">
        <v>3129.9</v>
      </c>
      <c r="H130">
        <v>0</v>
      </c>
      <c r="I130" s="8">
        <f t="shared" si="5"/>
        <v>1.3650716541170782E-2</v>
      </c>
      <c r="J130" s="8">
        <f t="shared" si="6"/>
        <v>1.3558384823909636E-2</v>
      </c>
      <c r="K130" s="8">
        <f t="shared" si="7"/>
        <v>1.224106984039719E-2</v>
      </c>
    </row>
    <row r="131" spans="1:11" x14ac:dyDescent="0.25">
      <c r="A131" t="str">
        <f t="shared" ref="A131:A194" si="8">+MONTH(B131)&amp;YEAR(B131)</f>
        <v>72017</v>
      </c>
      <c r="B131" s="1">
        <v>42927</v>
      </c>
      <c r="C131" s="10">
        <v>43046.645833333336</v>
      </c>
      <c r="D131">
        <v>3140.75</v>
      </c>
      <c r="E131">
        <v>3149.05</v>
      </c>
      <c r="F131">
        <v>3110.85</v>
      </c>
      <c r="G131">
        <v>3114.85</v>
      </c>
      <c r="H131">
        <v>0</v>
      </c>
      <c r="I131" s="8">
        <f t="shared" si="5"/>
        <v>-4.8084603341960186E-3</v>
      </c>
      <c r="J131" s="8">
        <f t="shared" si="6"/>
        <v>-4.8200581730233651E-3</v>
      </c>
      <c r="K131" s="8">
        <f t="shared" si="7"/>
        <v>1.4212685595207164E-2</v>
      </c>
    </row>
    <row r="132" spans="1:11" x14ac:dyDescent="0.25">
      <c r="A132" t="str">
        <f t="shared" si="8"/>
        <v>72017</v>
      </c>
      <c r="B132" s="1">
        <v>42928</v>
      </c>
      <c r="C132" s="10">
        <v>43076.645833333336</v>
      </c>
      <c r="D132">
        <v>3130.15</v>
      </c>
      <c r="E132">
        <v>3135.9</v>
      </c>
      <c r="F132">
        <v>3108.5</v>
      </c>
      <c r="G132">
        <v>3126.55</v>
      </c>
      <c r="H132">
        <v>0</v>
      </c>
      <c r="I132" s="8">
        <f t="shared" ref="I132:I195" si="9">+G132/G131-1</f>
        <v>3.7562001380484489E-3</v>
      </c>
      <c r="J132" s="8">
        <f t="shared" ref="J132:J195" si="10">+LN(1+I132)</f>
        <v>3.7491632341514185E-3</v>
      </c>
      <c r="K132" s="8">
        <f t="shared" si="7"/>
        <v>4.7227479023965513E-2</v>
      </c>
    </row>
    <row r="133" spans="1:11" x14ac:dyDescent="0.25">
      <c r="A133" t="str">
        <f t="shared" si="8"/>
        <v>72017</v>
      </c>
      <c r="B133" s="1">
        <v>42929</v>
      </c>
      <c r="C133" t="s">
        <v>102</v>
      </c>
      <c r="D133">
        <v>3144.75</v>
      </c>
      <c r="E133">
        <v>3157.55</v>
      </c>
      <c r="F133">
        <v>3107.7</v>
      </c>
      <c r="G133">
        <v>3153.25</v>
      </c>
      <c r="H133">
        <v>0</v>
      </c>
      <c r="I133" s="8">
        <f t="shared" si="9"/>
        <v>8.5397642769184934E-3</v>
      </c>
      <c r="J133" s="8">
        <f t="shared" si="10"/>
        <v>8.5035067641410032E-3</v>
      </c>
      <c r="K133" s="8">
        <f t="shared" si="7"/>
        <v>6.7685848273993932E-2</v>
      </c>
    </row>
    <row r="134" spans="1:11" x14ac:dyDescent="0.25">
      <c r="A134" t="str">
        <f t="shared" si="8"/>
        <v>72017</v>
      </c>
      <c r="B134" s="1">
        <v>42930</v>
      </c>
      <c r="C134" t="s">
        <v>103</v>
      </c>
      <c r="D134">
        <v>3161.45</v>
      </c>
      <c r="E134">
        <v>3163.95</v>
      </c>
      <c r="F134">
        <v>3127.2</v>
      </c>
      <c r="G134">
        <v>3140.05</v>
      </c>
      <c r="H134">
        <v>0</v>
      </c>
      <c r="I134" s="8">
        <f t="shared" si="9"/>
        <v>-4.1861571394592456E-3</v>
      </c>
      <c r="J134" s="8">
        <f t="shared" si="10"/>
        <v>-4.194943624903121E-3</v>
      </c>
      <c r="K134" s="8">
        <f t="shared" si="7"/>
        <v>8.2309349418354216E-2</v>
      </c>
    </row>
    <row r="135" spans="1:11" x14ac:dyDescent="0.25">
      <c r="A135" t="str">
        <f t="shared" si="8"/>
        <v>72017</v>
      </c>
      <c r="B135" s="1">
        <v>42933</v>
      </c>
      <c r="C135" t="s">
        <v>104</v>
      </c>
      <c r="D135">
        <v>3155.2</v>
      </c>
      <c r="E135">
        <v>3175.15</v>
      </c>
      <c r="F135">
        <v>3144.3</v>
      </c>
      <c r="G135">
        <v>3170.15</v>
      </c>
      <c r="H135">
        <v>0</v>
      </c>
      <c r="I135" s="8">
        <f t="shared" si="9"/>
        <v>9.5858346204678035E-3</v>
      </c>
      <c r="J135" s="8">
        <f t="shared" si="10"/>
        <v>9.5401820214240651E-3</v>
      </c>
      <c r="K135" s="8">
        <f t="shared" si="7"/>
        <v>8.7231634542835446E-2</v>
      </c>
    </row>
    <row r="136" spans="1:11" x14ac:dyDescent="0.25">
      <c r="A136" t="str">
        <f t="shared" si="8"/>
        <v>72017</v>
      </c>
      <c r="B136" s="1">
        <v>42934</v>
      </c>
      <c r="C136" t="s">
        <v>105</v>
      </c>
      <c r="D136">
        <v>3165.4</v>
      </c>
      <c r="E136">
        <v>3188.65</v>
      </c>
      <c r="F136">
        <v>3152.3</v>
      </c>
      <c r="G136">
        <v>3164.75</v>
      </c>
      <c r="H136">
        <v>0</v>
      </c>
      <c r="I136" s="8">
        <f t="shared" si="9"/>
        <v>-1.7033894295223062E-3</v>
      </c>
      <c r="J136" s="8">
        <f t="shared" si="10"/>
        <v>-1.7048418468858706E-3</v>
      </c>
      <c r="K136" s="8">
        <f t="shared" si="7"/>
        <v>8.3948418474817155E-2</v>
      </c>
    </row>
    <row r="137" spans="1:11" x14ac:dyDescent="0.25">
      <c r="A137" t="str">
        <f t="shared" si="8"/>
        <v>72017</v>
      </c>
      <c r="B137" s="1">
        <v>42935</v>
      </c>
      <c r="C137" t="s">
        <v>106</v>
      </c>
      <c r="D137">
        <v>3169.9</v>
      </c>
      <c r="E137">
        <v>3232.4</v>
      </c>
      <c r="F137">
        <v>3168.5</v>
      </c>
      <c r="G137">
        <v>3226.2</v>
      </c>
      <c r="H137">
        <v>0</v>
      </c>
      <c r="I137" s="8">
        <f t="shared" si="9"/>
        <v>1.9417015562050555E-2</v>
      </c>
      <c r="J137" s="8">
        <f t="shared" si="10"/>
        <v>1.9230910526749596E-2</v>
      </c>
      <c r="K137" s="8">
        <f t="shared" si="7"/>
        <v>0.1104724206178469</v>
      </c>
    </row>
    <row r="138" spans="1:11" x14ac:dyDescent="0.25">
      <c r="A138" t="str">
        <f t="shared" si="8"/>
        <v>72017</v>
      </c>
      <c r="B138" s="1">
        <v>42936</v>
      </c>
      <c r="C138" t="s">
        <v>107</v>
      </c>
      <c r="D138">
        <v>3217.85</v>
      </c>
      <c r="E138">
        <v>3220.35</v>
      </c>
      <c r="F138">
        <v>3187.6</v>
      </c>
      <c r="G138">
        <v>3196.4</v>
      </c>
      <c r="H138">
        <v>0</v>
      </c>
      <c r="I138" s="8">
        <f t="shared" si="9"/>
        <v>-9.2368731014815797E-3</v>
      </c>
      <c r="J138" s="8">
        <f t="shared" si="10"/>
        <v>-9.279797543379634E-3</v>
      </c>
      <c r="K138" s="8">
        <f t="shared" si="7"/>
        <v>9.2524865844071602E-2</v>
      </c>
    </row>
    <row r="139" spans="1:11" x14ac:dyDescent="0.25">
      <c r="A139" t="str">
        <f t="shared" si="8"/>
        <v>72017</v>
      </c>
      <c r="B139" s="1">
        <v>42937</v>
      </c>
      <c r="C139" t="s">
        <v>108</v>
      </c>
      <c r="D139">
        <v>3200.95</v>
      </c>
      <c r="E139">
        <v>3212.6</v>
      </c>
      <c r="F139">
        <v>3147.5</v>
      </c>
      <c r="G139">
        <v>3203.15</v>
      </c>
      <c r="H139">
        <v>0</v>
      </c>
      <c r="I139" s="8">
        <f t="shared" si="9"/>
        <v>2.1117507195596019E-3</v>
      </c>
      <c r="J139" s="8">
        <f t="shared" si="10"/>
        <v>2.1095241081566219E-3</v>
      </c>
      <c r="K139" s="8">
        <f t="shared" si="7"/>
        <v>8.7343211636709439E-2</v>
      </c>
    </row>
    <row r="140" spans="1:11" x14ac:dyDescent="0.25">
      <c r="A140" t="str">
        <f t="shared" si="8"/>
        <v>72017</v>
      </c>
      <c r="B140" s="1">
        <v>42940</v>
      </c>
      <c r="C140" t="s">
        <v>109</v>
      </c>
      <c r="D140">
        <v>3204.25</v>
      </c>
      <c r="E140">
        <v>3211.95</v>
      </c>
      <c r="F140">
        <v>3178.8</v>
      </c>
      <c r="G140">
        <v>3187.5</v>
      </c>
      <c r="H140">
        <v>0</v>
      </c>
      <c r="I140" s="8">
        <f t="shared" si="9"/>
        <v>-4.8858155253422852E-3</v>
      </c>
      <c r="J140" s="8">
        <f t="shared" si="10"/>
        <v>-4.8977901417827105E-3</v>
      </c>
      <c r="K140" s="8">
        <f t="shared" si="7"/>
        <v>7.7622637682139395E-2</v>
      </c>
    </row>
    <row r="141" spans="1:11" x14ac:dyDescent="0.25">
      <c r="A141" t="str">
        <f t="shared" si="8"/>
        <v>72017</v>
      </c>
      <c r="B141" s="1">
        <v>42941</v>
      </c>
      <c r="C141" t="s">
        <v>110</v>
      </c>
      <c r="D141">
        <v>3194.5</v>
      </c>
      <c r="E141">
        <v>3234.15</v>
      </c>
      <c r="F141">
        <v>3187.95</v>
      </c>
      <c r="G141">
        <v>3227.55</v>
      </c>
      <c r="H141">
        <v>0</v>
      </c>
      <c r="I141" s="8">
        <f t="shared" si="9"/>
        <v>1.2564705882353033E-2</v>
      </c>
      <c r="J141" s="8">
        <f t="shared" si="10"/>
        <v>1.2486425000888287E-2</v>
      </c>
      <c r="K141" s="8">
        <f t="shared" si="7"/>
        <v>0.10160929740430413</v>
      </c>
    </row>
    <row r="142" spans="1:11" x14ac:dyDescent="0.25">
      <c r="A142" t="str">
        <f t="shared" si="8"/>
        <v>72017</v>
      </c>
      <c r="B142" s="1">
        <v>42942</v>
      </c>
      <c r="C142" t="s">
        <v>111</v>
      </c>
      <c r="D142">
        <v>3251.85</v>
      </c>
      <c r="E142">
        <v>3288.1</v>
      </c>
      <c r="F142">
        <v>3248.2</v>
      </c>
      <c r="G142">
        <v>3283.25</v>
      </c>
      <c r="H142">
        <v>0</v>
      </c>
      <c r="I142" s="8">
        <f t="shared" si="9"/>
        <v>1.7257672228160548E-2</v>
      </c>
      <c r="J142" s="8">
        <f t="shared" si="10"/>
        <v>1.7110449997699378E-2</v>
      </c>
      <c r="K142" s="8">
        <f t="shared" si="7"/>
        <v>0.1038360677783754</v>
      </c>
    </row>
    <row r="143" spans="1:11" x14ac:dyDescent="0.25">
      <c r="A143" t="str">
        <f t="shared" si="8"/>
        <v>72017</v>
      </c>
      <c r="B143" s="1">
        <v>42943</v>
      </c>
      <c r="C143" t="s">
        <v>112</v>
      </c>
      <c r="D143">
        <v>3291.8</v>
      </c>
      <c r="E143">
        <v>3298.15</v>
      </c>
      <c r="F143">
        <v>3243.5</v>
      </c>
      <c r="G143">
        <v>3250.35</v>
      </c>
      <c r="H143">
        <v>0</v>
      </c>
      <c r="I143" s="8">
        <f t="shared" si="9"/>
        <v>-1.0020558897433918E-2</v>
      </c>
      <c r="J143" s="8">
        <f t="shared" si="10"/>
        <v>-1.0071102632194061E-2</v>
      </c>
      <c r="K143" s="8">
        <f t="shared" si="7"/>
        <v>9.9075185554635015E-2</v>
      </c>
    </row>
    <row r="144" spans="1:11" x14ac:dyDescent="0.25">
      <c r="A144" t="str">
        <f t="shared" si="8"/>
        <v>72017</v>
      </c>
      <c r="B144" s="1">
        <v>42944</v>
      </c>
      <c r="C144" t="s">
        <v>113</v>
      </c>
      <c r="D144">
        <v>3230.55</v>
      </c>
      <c r="E144">
        <v>3236.15</v>
      </c>
      <c r="F144">
        <v>3184.8</v>
      </c>
      <c r="G144">
        <v>3207.15</v>
      </c>
      <c r="H144">
        <v>0</v>
      </c>
      <c r="I144" s="8">
        <f t="shared" si="9"/>
        <v>-1.329087636716042E-2</v>
      </c>
      <c r="J144" s="8">
        <f t="shared" si="10"/>
        <v>-1.3379990548976052E-2</v>
      </c>
      <c r="K144" s="8">
        <f t="shared" si="7"/>
        <v>8.6856329532168708E-2</v>
      </c>
    </row>
    <row r="145" spans="1:11" x14ac:dyDescent="0.25">
      <c r="A145" t="str">
        <f t="shared" si="8"/>
        <v>72017</v>
      </c>
      <c r="B145" s="1">
        <v>42947</v>
      </c>
      <c r="C145" t="s">
        <v>114</v>
      </c>
      <c r="D145">
        <v>3217.75</v>
      </c>
      <c r="E145">
        <v>3267.3</v>
      </c>
      <c r="F145">
        <v>3216.85</v>
      </c>
      <c r="G145">
        <v>3259.95</v>
      </c>
      <c r="H145">
        <v>0</v>
      </c>
      <c r="I145" s="8">
        <f t="shared" si="9"/>
        <v>1.6463215003975407E-2</v>
      </c>
      <c r="J145" s="8">
        <f t="shared" si="10"/>
        <v>1.6329165535721772E-2</v>
      </c>
      <c r="K145" s="8">
        <f t="shared" si="7"/>
        <v>0.11354204027258286</v>
      </c>
    </row>
    <row r="146" spans="1:11" x14ac:dyDescent="0.25">
      <c r="A146" t="str">
        <f t="shared" si="8"/>
        <v>82017</v>
      </c>
      <c r="B146" s="1">
        <v>42948</v>
      </c>
      <c r="C146" s="10">
        <v>42743.645833333336</v>
      </c>
      <c r="D146">
        <v>3274.75</v>
      </c>
      <c r="E146">
        <v>3297.1</v>
      </c>
      <c r="F146">
        <v>3273.2</v>
      </c>
      <c r="G146">
        <v>3290.75</v>
      </c>
      <c r="H146">
        <v>0</v>
      </c>
      <c r="I146" s="8">
        <f t="shared" si="9"/>
        <v>9.4479976686758782E-3</v>
      </c>
      <c r="J146" s="8">
        <f t="shared" si="10"/>
        <v>9.4036444856961145E-3</v>
      </c>
      <c r="K146" s="8">
        <f t="shared" si="7"/>
        <v>0.15194105086288379</v>
      </c>
    </row>
    <row r="147" spans="1:11" x14ac:dyDescent="0.25">
      <c r="A147" t="str">
        <f t="shared" si="8"/>
        <v>82017</v>
      </c>
      <c r="B147" s="1">
        <v>42949</v>
      </c>
      <c r="C147" s="10">
        <v>42774.645833333336</v>
      </c>
      <c r="D147">
        <v>3291.8</v>
      </c>
      <c r="E147">
        <v>3293.15</v>
      </c>
      <c r="F147">
        <v>3253.9</v>
      </c>
      <c r="G147">
        <v>3284.1</v>
      </c>
      <c r="H147">
        <v>0</v>
      </c>
      <c r="I147" s="8">
        <f t="shared" si="9"/>
        <v>-2.0208159234217371E-3</v>
      </c>
      <c r="J147" s="8">
        <f t="shared" si="10"/>
        <v>-2.0228605268957835E-3</v>
      </c>
      <c r="K147" s="8">
        <f t="shared" si="7"/>
        <v>0.15055967207945775</v>
      </c>
    </row>
    <row r="148" spans="1:11" x14ac:dyDescent="0.25">
      <c r="A148" t="str">
        <f t="shared" si="8"/>
        <v>82017</v>
      </c>
      <c r="B148" s="1">
        <v>42950</v>
      </c>
      <c r="C148" s="10">
        <v>42802.645833333336</v>
      </c>
      <c r="D148">
        <v>3281.65</v>
      </c>
      <c r="E148">
        <v>3281.65</v>
      </c>
      <c r="F148">
        <v>3212.25</v>
      </c>
      <c r="G148">
        <v>3221.5</v>
      </c>
      <c r="H148">
        <v>0</v>
      </c>
      <c r="I148" s="8">
        <f t="shared" si="9"/>
        <v>-1.9061538929996069E-2</v>
      </c>
      <c r="J148" s="8">
        <f t="shared" si="10"/>
        <v>-1.924555219992425E-2</v>
      </c>
      <c r="K148" s="8">
        <f t="shared" si="7"/>
        <v>0.11995689130699305</v>
      </c>
    </row>
    <row r="149" spans="1:11" x14ac:dyDescent="0.25">
      <c r="A149" t="str">
        <f t="shared" si="8"/>
        <v>82017</v>
      </c>
      <c r="B149" s="1">
        <v>42951</v>
      </c>
      <c r="C149" s="10">
        <v>42833.645833333336</v>
      </c>
      <c r="D149">
        <v>3213.4</v>
      </c>
      <c r="E149">
        <v>3310.25</v>
      </c>
      <c r="F149">
        <v>3210.55</v>
      </c>
      <c r="G149">
        <v>3302</v>
      </c>
      <c r="H149">
        <v>0</v>
      </c>
      <c r="I149" s="8">
        <f t="shared" si="9"/>
        <v>2.4988359459878984E-2</v>
      </c>
      <c r="J149" s="8">
        <f t="shared" si="10"/>
        <v>2.4681255901376244E-2</v>
      </c>
      <c r="K149" s="8">
        <f t="shared" si="7"/>
        <v>0.13897416439584709</v>
      </c>
    </row>
    <row r="150" spans="1:11" x14ac:dyDescent="0.25">
      <c r="A150" t="str">
        <f t="shared" si="8"/>
        <v>82017</v>
      </c>
      <c r="B150" s="1">
        <v>42954</v>
      </c>
      <c r="C150" s="10">
        <v>42924.645833333336</v>
      </c>
      <c r="D150">
        <v>3319.25</v>
      </c>
      <c r="E150">
        <v>3346.15</v>
      </c>
      <c r="F150">
        <v>3312.9</v>
      </c>
      <c r="G150">
        <v>3341.05</v>
      </c>
      <c r="H150">
        <v>0</v>
      </c>
      <c r="I150" s="8">
        <f t="shared" si="9"/>
        <v>1.1826165960024282E-2</v>
      </c>
      <c r="J150" s="8">
        <f t="shared" si="10"/>
        <v>1.1756783343868021E-2</v>
      </c>
      <c r="K150" s="8">
        <f t="shared" si="7"/>
        <v>0.14602020340610911</v>
      </c>
    </row>
    <row r="151" spans="1:11" x14ac:dyDescent="0.25">
      <c r="A151" t="str">
        <f t="shared" si="8"/>
        <v>82017</v>
      </c>
      <c r="B151" s="1">
        <v>42955</v>
      </c>
      <c r="C151" s="10">
        <v>42955.645833333336</v>
      </c>
      <c r="D151">
        <v>3371.2</v>
      </c>
      <c r="E151">
        <v>3439.85</v>
      </c>
      <c r="F151">
        <v>3369.9</v>
      </c>
      <c r="G151">
        <v>3390.2</v>
      </c>
      <c r="H151">
        <v>0</v>
      </c>
      <c r="I151" s="8">
        <f t="shared" si="9"/>
        <v>1.4710944164259665E-2</v>
      </c>
      <c r="J151" s="8">
        <f t="shared" si="10"/>
        <v>1.4603787860444561E-2</v>
      </c>
      <c r="K151" s="8">
        <f t="shared" si="7"/>
        <v>0.16419704331999774</v>
      </c>
    </row>
    <row r="152" spans="1:11" x14ac:dyDescent="0.25">
      <c r="A152" t="str">
        <f t="shared" si="8"/>
        <v>82017</v>
      </c>
      <c r="B152" s="1">
        <v>42956</v>
      </c>
      <c r="C152" s="10">
        <v>42986.645833333336</v>
      </c>
      <c r="D152">
        <v>3397.85</v>
      </c>
      <c r="E152">
        <v>3435.85</v>
      </c>
      <c r="F152">
        <v>3371.9</v>
      </c>
      <c r="G152">
        <v>3383.4</v>
      </c>
      <c r="H152">
        <v>0</v>
      </c>
      <c r="I152" s="8">
        <f t="shared" si="9"/>
        <v>-2.0057813698306504E-3</v>
      </c>
      <c r="J152" s="8">
        <f t="shared" si="10"/>
        <v>-2.0077956431944449E-3</v>
      </c>
      <c r="K152" s="8">
        <f t="shared" si="7"/>
        <v>0.13594090985395346</v>
      </c>
    </row>
    <row r="153" spans="1:11" x14ac:dyDescent="0.25">
      <c r="A153" t="str">
        <f t="shared" si="8"/>
        <v>82017</v>
      </c>
      <c r="B153" s="1">
        <v>42957</v>
      </c>
      <c r="C153" s="10">
        <v>43016.645833333336</v>
      </c>
      <c r="D153">
        <v>3374.05</v>
      </c>
      <c r="E153">
        <v>3403.95</v>
      </c>
      <c r="F153">
        <v>3288.4</v>
      </c>
      <c r="G153">
        <v>3328.65</v>
      </c>
      <c r="H153">
        <v>0</v>
      </c>
      <c r="I153" s="8">
        <f t="shared" si="9"/>
        <v>-1.6181947153750653E-2</v>
      </c>
      <c r="J153" s="8">
        <f t="shared" si="10"/>
        <v>-1.6314304671095379E-2</v>
      </c>
      <c r="K153" s="8">
        <f t="shared" si="7"/>
        <v>0.1229884281906819</v>
      </c>
    </row>
    <row r="154" spans="1:11" x14ac:dyDescent="0.25">
      <c r="A154" t="str">
        <f t="shared" si="8"/>
        <v>82017</v>
      </c>
      <c r="B154" s="1">
        <v>42958</v>
      </c>
      <c r="C154" s="10">
        <v>43047.645833333336</v>
      </c>
      <c r="D154">
        <v>3286.1</v>
      </c>
      <c r="E154">
        <v>3311.3</v>
      </c>
      <c r="F154">
        <v>3193.65</v>
      </c>
      <c r="G154">
        <v>3216.6</v>
      </c>
      <c r="H154">
        <v>0</v>
      </c>
      <c r="I154" s="8">
        <f t="shared" si="9"/>
        <v>-3.3662295525212937E-2</v>
      </c>
      <c r="J154" s="8">
        <f t="shared" si="10"/>
        <v>-3.424191530854901E-2</v>
      </c>
      <c r="K154" s="8">
        <f t="shared" si="7"/>
        <v>6.1356474683648576E-2</v>
      </c>
    </row>
    <row r="155" spans="1:11" x14ac:dyDescent="0.25">
      <c r="A155" t="str">
        <f t="shared" si="8"/>
        <v>82017</v>
      </c>
      <c r="B155" s="1">
        <v>42961</v>
      </c>
      <c r="C155" t="s">
        <v>115</v>
      </c>
      <c r="D155">
        <v>3257.35</v>
      </c>
      <c r="E155">
        <v>3339.85</v>
      </c>
      <c r="F155">
        <v>3251.2</v>
      </c>
      <c r="G155">
        <v>3326.6</v>
      </c>
      <c r="H155">
        <v>0</v>
      </c>
      <c r="I155" s="8">
        <f t="shared" si="9"/>
        <v>3.4197599950257951E-2</v>
      </c>
      <c r="J155" s="8">
        <f t="shared" si="10"/>
        <v>3.3625860294887427E-2</v>
      </c>
      <c r="K155" s="8">
        <f t="shared" si="7"/>
        <v>0.12878980675590834</v>
      </c>
    </row>
    <row r="156" spans="1:11" x14ac:dyDescent="0.25">
      <c r="A156" t="str">
        <f t="shared" si="8"/>
        <v>82017</v>
      </c>
      <c r="B156" s="1">
        <v>42963</v>
      </c>
      <c r="C156" t="s">
        <v>116</v>
      </c>
      <c r="D156">
        <v>3343</v>
      </c>
      <c r="E156">
        <v>3390.2</v>
      </c>
      <c r="F156">
        <v>3311.8</v>
      </c>
      <c r="G156">
        <v>3383.95</v>
      </c>
      <c r="H156">
        <v>0</v>
      </c>
      <c r="I156" s="8">
        <f t="shared" si="9"/>
        <v>1.7239824445379748E-2</v>
      </c>
      <c r="J156" s="8">
        <f t="shared" si="10"/>
        <v>1.7092904846810336E-2</v>
      </c>
      <c r="K156" s="8">
        <f t="shared" si="7"/>
        <v>0.14975197064419676</v>
      </c>
    </row>
    <row r="157" spans="1:11" x14ac:dyDescent="0.25">
      <c r="A157" t="str">
        <f t="shared" si="8"/>
        <v>82017</v>
      </c>
      <c r="B157" s="1">
        <v>42964</v>
      </c>
      <c r="C157" t="s">
        <v>117</v>
      </c>
      <c r="D157">
        <v>3405.65</v>
      </c>
      <c r="E157">
        <v>3457.8</v>
      </c>
      <c r="F157">
        <v>3400.15</v>
      </c>
      <c r="G157">
        <v>3409.15</v>
      </c>
      <c r="H157">
        <v>0</v>
      </c>
      <c r="I157" s="8">
        <f t="shared" si="9"/>
        <v>7.4469185419407946E-3</v>
      </c>
      <c r="J157" s="8">
        <f t="shared" si="10"/>
        <v>7.4193271399998345E-3</v>
      </c>
      <c r="K157" s="8">
        <f t="shared" si="7"/>
        <v>0.16500358814885696</v>
      </c>
    </row>
    <row r="158" spans="1:11" x14ac:dyDescent="0.25">
      <c r="A158" t="str">
        <f t="shared" si="8"/>
        <v>82017</v>
      </c>
      <c r="B158" s="1">
        <v>42965</v>
      </c>
      <c r="C158" t="s">
        <v>118</v>
      </c>
      <c r="D158">
        <v>3377.45</v>
      </c>
      <c r="E158">
        <v>3407.55</v>
      </c>
      <c r="F158">
        <v>3363.1</v>
      </c>
      <c r="G158">
        <v>3384.65</v>
      </c>
      <c r="H158">
        <v>0</v>
      </c>
      <c r="I158" s="8">
        <f t="shared" si="9"/>
        <v>-7.1865420999369656E-3</v>
      </c>
      <c r="J158" s="8">
        <f t="shared" si="10"/>
        <v>-7.2124896839539628E-3</v>
      </c>
      <c r="K158" s="8">
        <f t="shared" si="7"/>
        <v>0.16155324479220279</v>
      </c>
    </row>
    <row r="159" spans="1:11" x14ac:dyDescent="0.25">
      <c r="A159" t="str">
        <f t="shared" si="8"/>
        <v>82017</v>
      </c>
      <c r="B159" s="1">
        <v>42968</v>
      </c>
      <c r="C159" t="s">
        <v>119</v>
      </c>
      <c r="D159">
        <v>3419.65</v>
      </c>
      <c r="E159">
        <v>3455.15</v>
      </c>
      <c r="F159">
        <v>3327.65</v>
      </c>
      <c r="G159">
        <v>3337.6</v>
      </c>
      <c r="H159">
        <v>0</v>
      </c>
      <c r="I159" s="8">
        <f t="shared" si="9"/>
        <v>-1.3900994194377625E-2</v>
      </c>
      <c r="J159" s="8">
        <f t="shared" si="10"/>
        <v>-1.3998517852837313E-2</v>
      </c>
      <c r="K159" s="8">
        <f t="shared" si="7"/>
        <v>0.17186896527509576</v>
      </c>
    </row>
    <row r="160" spans="1:11" x14ac:dyDescent="0.25">
      <c r="A160" t="str">
        <f t="shared" si="8"/>
        <v>82017</v>
      </c>
      <c r="B160" s="1">
        <v>42969</v>
      </c>
      <c r="C160" t="s">
        <v>120</v>
      </c>
      <c r="D160">
        <v>3373.8</v>
      </c>
      <c r="E160">
        <v>3392</v>
      </c>
      <c r="F160">
        <v>3327.35</v>
      </c>
      <c r="G160">
        <v>3340.2</v>
      </c>
      <c r="H160">
        <v>0</v>
      </c>
      <c r="I160" s="8">
        <f t="shared" si="9"/>
        <v>7.7900287631837983E-4</v>
      </c>
      <c r="J160" s="8">
        <f t="shared" si="10"/>
        <v>7.786996110638408E-4</v>
      </c>
      <c r="K160" s="8">
        <f t="shared" si="7"/>
        <v>0.15187254293399532</v>
      </c>
    </row>
    <row r="161" spans="1:11" x14ac:dyDescent="0.25">
      <c r="A161" t="str">
        <f t="shared" si="8"/>
        <v>82017</v>
      </c>
      <c r="B161" s="1">
        <v>42970</v>
      </c>
      <c r="C161" t="s">
        <v>121</v>
      </c>
      <c r="D161">
        <v>3366.25</v>
      </c>
      <c r="E161">
        <v>3402.4</v>
      </c>
      <c r="F161">
        <v>3329.45</v>
      </c>
      <c r="G161">
        <v>3397.6</v>
      </c>
      <c r="H161">
        <v>0</v>
      </c>
      <c r="I161" s="8">
        <f t="shared" si="9"/>
        <v>1.7184599724567429E-2</v>
      </c>
      <c r="J161" s="8">
        <f t="shared" si="10"/>
        <v>1.7038614581544358E-2</v>
      </c>
      <c r="K161" s="8">
        <f t="shared" si="7"/>
        <v>0.13338337086147933</v>
      </c>
    </row>
    <row r="162" spans="1:11" x14ac:dyDescent="0.25">
      <c r="A162" t="str">
        <f t="shared" si="8"/>
        <v>82017</v>
      </c>
      <c r="B162" s="1">
        <v>42971</v>
      </c>
      <c r="C162" t="s">
        <v>122</v>
      </c>
      <c r="D162">
        <v>3411.65</v>
      </c>
      <c r="E162">
        <v>3427.55</v>
      </c>
      <c r="F162">
        <v>3389.45</v>
      </c>
      <c r="G162">
        <v>3414.05</v>
      </c>
      <c r="H162">
        <v>0</v>
      </c>
      <c r="I162" s="8">
        <f t="shared" si="9"/>
        <v>4.8416529314811996E-3</v>
      </c>
      <c r="J162" s="8">
        <f t="shared" si="10"/>
        <v>4.8299698251149884E-3</v>
      </c>
      <c r="K162" s="8">
        <f t="shared" si="7"/>
        <v>0.14230029276453382</v>
      </c>
    </row>
    <row r="163" spans="1:11" x14ac:dyDescent="0.25">
      <c r="A163" t="str">
        <f t="shared" si="8"/>
        <v>82017</v>
      </c>
      <c r="B163" s="1">
        <v>42975</v>
      </c>
      <c r="C163" t="s">
        <v>123</v>
      </c>
      <c r="D163">
        <v>3425</v>
      </c>
      <c r="E163">
        <v>3434.45</v>
      </c>
      <c r="F163">
        <v>3408.9</v>
      </c>
      <c r="G163">
        <v>3426.45</v>
      </c>
      <c r="H163">
        <v>0</v>
      </c>
      <c r="I163" s="8">
        <f t="shared" si="9"/>
        <v>3.6320499113955407E-3</v>
      </c>
      <c r="J163" s="8">
        <f t="shared" si="10"/>
        <v>3.6254699458120633E-3</v>
      </c>
      <c r="K163" s="8">
        <f t="shared" si="7"/>
        <v>0.14262609420591899</v>
      </c>
    </row>
    <row r="164" spans="1:11" x14ac:dyDescent="0.25">
      <c r="A164" t="str">
        <f t="shared" si="8"/>
        <v>82017</v>
      </c>
      <c r="B164" s="1">
        <v>42976</v>
      </c>
      <c r="C164" t="s">
        <v>124</v>
      </c>
      <c r="D164">
        <v>3426.9</v>
      </c>
      <c r="E164">
        <v>3443.25</v>
      </c>
      <c r="F164">
        <v>3378.05</v>
      </c>
      <c r="G164">
        <v>3388.55</v>
      </c>
      <c r="H164">
        <v>0</v>
      </c>
      <c r="I164" s="8">
        <f t="shared" si="9"/>
        <v>-1.1061010667016813E-2</v>
      </c>
      <c r="J164" s="8">
        <f t="shared" si="10"/>
        <v>-1.1122638511037999E-2</v>
      </c>
      <c r="K164" s="8">
        <f t="shared" si="7"/>
        <v>0.14751350344570691</v>
      </c>
    </row>
    <row r="165" spans="1:11" x14ac:dyDescent="0.25">
      <c r="A165" t="str">
        <f t="shared" si="8"/>
        <v>82017</v>
      </c>
      <c r="B165" s="1">
        <v>42977</v>
      </c>
      <c r="C165" t="s">
        <v>125</v>
      </c>
      <c r="D165">
        <v>3421.7</v>
      </c>
      <c r="E165">
        <v>3483.8</v>
      </c>
      <c r="F165">
        <v>3419.6</v>
      </c>
      <c r="G165">
        <v>3478.2</v>
      </c>
      <c r="H165">
        <v>0</v>
      </c>
      <c r="I165" s="8">
        <f t="shared" si="9"/>
        <v>2.6456744035059154E-2</v>
      </c>
      <c r="J165" s="8">
        <f t="shared" si="10"/>
        <v>2.6112817314791849E-2</v>
      </c>
      <c r="K165" s="8">
        <f t="shared" si="7"/>
        <v>0.18833598114077787</v>
      </c>
    </row>
    <row r="166" spans="1:11" x14ac:dyDescent="0.25">
      <c r="A166" t="str">
        <f t="shared" si="8"/>
        <v>82017</v>
      </c>
      <c r="B166" s="1">
        <v>42978</v>
      </c>
      <c r="C166" t="s">
        <v>126</v>
      </c>
      <c r="D166">
        <v>3480.1</v>
      </c>
      <c r="E166">
        <v>3482.75</v>
      </c>
      <c r="F166">
        <v>3442.95</v>
      </c>
      <c r="G166">
        <v>3474.85</v>
      </c>
      <c r="H166">
        <v>0</v>
      </c>
      <c r="I166" s="8">
        <f t="shared" si="9"/>
        <v>-9.631418549824744E-4</v>
      </c>
      <c r="J166" s="8">
        <f t="shared" si="10"/>
        <v>-9.6360597413120016E-4</v>
      </c>
      <c r="K166" s="8">
        <f t="shared" si="7"/>
        <v>0.18865342842971256</v>
      </c>
    </row>
    <row r="167" spans="1:11" x14ac:dyDescent="0.25">
      <c r="A167" t="str">
        <f t="shared" si="8"/>
        <v>92017</v>
      </c>
      <c r="B167" s="1">
        <v>42979</v>
      </c>
      <c r="C167" s="10">
        <v>42744.645833333336</v>
      </c>
      <c r="D167">
        <v>3491.9</v>
      </c>
      <c r="E167">
        <v>3545.2</v>
      </c>
      <c r="F167">
        <v>3487.8</v>
      </c>
      <c r="G167">
        <v>3542.5</v>
      </c>
      <c r="H167">
        <v>0</v>
      </c>
      <c r="I167" s="8">
        <f t="shared" si="9"/>
        <v>1.9468466264730866E-2</v>
      </c>
      <c r="J167" s="8">
        <f t="shared" si="10"/>
        <v>1.9281379965224516E-2</v>
      </c>
      <c r="K167" s="8">
        <f t="shared" si="7"/>
        <v>0.21905056866085104</v>
      </c>
    </row>
    <row r="168" spans="1:11" x14ac:dyDescent="0.25">
      <c r="A168" t="str">
        <f t="shared" si="8"/>
        <v>92017</v>
      </c>
      <c r="B168" s="1">
        <v>42982</v>
      </c>
      <c r="C168" s="10">
        <v>42834.645833333336</v>
      </c>
      <c r="D168">
        <v>3550.2</v>
      </c>
      <c r="E168">
        <v>3571.25</v>
      </c>
      <c r="F168">
        <v>3486.35</v>
      </c>
      <c r="G168">
        <v>3547.6</v>
      </c>
      <c r="H168">
        <v>0</v>
      </c>
      <c r="I168" s="8">
        <f t="shared" si="9"/>
        <v>1.4396612561748956E-3</v>
      </c>
      <c r="J168" s="8">
        <f t="shared" si="10"/>
        <v>1.4386259374616684E-3</v>
      </c>
      <c r="K168" s="8">
        <f t="shared" si="7"/>
        <v>0.22483082447175806</v>
      </c>
    </row>
    <row r="169" spans="1:11" x14ac:dyDescent="0.25">
      <c r="A169" t="str">
        <f t="shared" si="8"/>
        <v>92017</v>
      </c>
      <c r="B169" s="1">
        <v>42983</v>
      </c>
      <c r="C169" s="10">
        <v>42864.645833333336</v>
      </c>
      <c r="D169">
        <v>3562.55</v>
      </c>
      <c r="E169">
        <v>3584.95</v>
      </c>
      <c r="F169">
        <v>3540.35</v>
      </c>
      <c r="G169">
        <v>3578.15</v>
      </c>
      <c r="H169">
        <v>0</v>
      </c>
      <c r="I169" s="8">
        <f t="shared" si="9"/>
        <v>8.6114556319765168E-3</v>
      </c>
      <c r="J169" s="8">
        <f t="shared" si="10"/>
        <v>8.5745885495625718E-3</v>
      </c>
      <c r="K169" s="8">
        <f t="shared" si="7"/>
        <v>0.22336188180590466</v>
      </c>
    </row>
    <row r="170" spans="1:11" x14ac:dyDescent="0.25">
      <c r="A170" t="str">
        <f t="shared" si="8"/>
        <v>92017</v>
      </c>
      <c r="B170" s="1">
        <v>42984</v>
      </c>
      <c r="C170" s="10">
        <v>42895.645833333336</v>
      </c>
      <c r="D170">
        <v>3542.7</v>
      </c>
      <c r="E170">
        <v>3611.7</v>
      </c>
      <c r="F170">
        <v>3539.8</v>
      </c>
      <c r="G170">
        <v>3604.9</v>
      </c>
      <c r="H170">
        <v>0</v>
      </c>
      <c r="I170" s="8">
        <f t="shared" si="9"/>
        <v>7.475930299176925E-3</v>
      </c>
      <c r="J170" s="8">
        <f t="shared" si="10"/>
        <v>7.4481240314091717E-3</v>
      </c>
      <c r="K170" s="8">
        <f t="shared" si="7"/>
        <v>0.22171010268749791</v>
      </c>
    </row>
    <row r="171" spans="1:11" x14ac:dyDescent="0.25">
      <c r="A171" t="str">
        <f t="shared" si="8"/>
        <v>92017</v>
      </c>
      <c r="B171" s="1">
        <v>42985</v>
      </c>
      <c r="C171" s="10">
        <v>42925.645833333336</v>
      </c>
      <c r="D171">
        <v>3629.75</v>
      </c>
      <c r="E171">
        <v>3654.8</v>
      </c>
      <c r="F171">
        <v>3602.5</v>
      </c>
      <c r="G171">
        <v>3646.4</v>
      </c>
      <c r="H171">
        <v>0</v>
      </c>
      <c r="I171" s="8">
        <f t="shared" si="9"/>
        <v>1.1512108518960229E-2</v>
      </c>
      <c r="J171" s="8">
        <f t="shared" si="10"/>
        <v>1.1446348408150647E-2</v>
      </c>
      <c r="K171" s="8">
        <f t="shared" si="7"/>
        <v>0.21639923941688632</v>
      </c>
    </row>
    <row r="172" spans="1:11" x14ac:dyDescent="0.25">
      <c r="A172" t="str">
        <f t="shared" si="8"/>
        <v>92017</v>
      </c>
      <c r="B172" s="1">
        <v>42986</v>
      </c>
      <c r="C172" s="10">
        <v>42956.645833333336</v>
      </c>
      <c r="D172">
        <v>3661.4</v>
      </c>
      <c r="E172">
        <v>3702.8</v>
      </c>
      <c r="F172">
        <v>3632.65</v>
      </c>
      <c r="G172">
        <v>3652.95</v>
      </c>
      <c r="H172">
        <v>0</v>
      </c>
      <c r="I172" s="8">
        <f t="shared" si="9"/>
        <v>1.7962922334355813E-3</v>
      </c>
      <c r="J172" s="8">
        <f t="shared" si="10"/>
        <v>1.7946808299540875E-3</v>
      </c>
      <c r="K172" s="8">
        <f t="shared" si="7"/>
        <v>0.222969919148295</v>
      </c>
    </row>
    <row r="173" spans="1:11" x14ac:dyDescent="0.25">
      <c r="A173" t="str">
        <f t="shared" si="8"/>
        <v>92017</v>
      </c>
      <c r="B173" s="1">
        <v>42989</v>
      </c>
      <c r="C173" s="10">
        <v>43048.645833333336</v>
      </c>
      <c r="D173">
        <v>3658.25</v>
      </c>
      <c r="E173">
        <v>3695.5</v>
      </c>
      <c r="F173">
        <v>3638.65</v>
      </c>
      <c r="G173">
        <v>3675</v>
      </c>
      <c r="H173">
        <v>0</v>
      </c>
      <c r="I173" s="8">
        <f t="shared" si="9"/>
        <v>6.0362173038230882E-3</v>
      </c>
      <c r="J173" s="8">
        <f t="shared" si="10"/>
        <v>6.018072325563166E-3</v>
      </c>
      <c r="K173" s="8">
        <f t="shared" si="7"/>
        <v>0.23994129257553531</v>
      </c>
    </row>
    <row r="174" spans="1:11" x14ac:dyDescent="0.25">
      <c r="A174" t="str">
        <f t="shared" si="8"/>
        <v>92017</v>
      </c>
      <c r="B174" s="1">
        <v>42990</v>
      </c>
      <c r="C174" s="10">
        <v>43078.645833333336</v>
      </c>
      <c r="D174">
        <v>3696.65</v>
      </c>
      <c r="E174">
        <v>3738.65</v>
      </c>
      <c r="F174">
        <v>3693.8</v>
      </c>
      <c r="G174">
        <v>3711.05</v>
      </c>
      <c r="H174">
        <v>0</v>
      </c>
      <c r="I174" s="8">
        <f t="shared" si="9"/>
        <v>9.8095238095239345E-3</v>
      </c>
      <c r="J174" s="8">
        <f t="shared" si="10"/>
        <v>9.7617227801835935E-3</v>
      </c>
      <c r="K174" s="8">
        <f t="shared" si="7"/>
        <v>0.2606753405578015</v>
      </c>
    </row>
    <row r="175" spans="1:11" x14ac:dyDescent="0.25">
      <c r="A175" t="str">
        <f t="shared" si="8"/>
        <v>92017</v>
      </c>
      <c r="B175" s="1">
        <v>42991</v>
      </c>
      <c r="C175" t="s">
        <v>127</v>
      </c>
      <c r="D175">
        <v>3708.3</v>
      </c>
      <c r="E175">
        <v>3723.85</v>
      </c>
      <c r="F175">
        <v>3659.1</v>
      </c>
      <c r="G175">
        <v>3671.15</v>
      </c>
      <c r="H175">
        <v>0</v>
      </c>
      <c r="I175" s="8">
        <f t="shared" si="9"/>
        <v>-1.0751674054512939E-2</v>
      </c>
      <c r="J175" s="8">
        <f t="shared" si="10"/>
        <v>-1.080989096419438E-2</v>
      </c>
      <c r="K175" s="8">
        <f t="shared" si="7"/>
        <v>0.25190540333168521</v>
      </c>
    </row>
    <row r="176" spans="1:11" x14ac:dyDescent="0.25">
      <c r="A176" t="str">
        <f t="shared" si="8"/>
        <v>92017</v>
      </c>
      <c r="B176" s="1">
        <v>42992</v>
      </c>
      <c r="C176" t="s">
        <v>128</v>
      </c>
      <c r="D176">
        <v>3673.6</v>
      </c>
      <c r="E176">
        <v>3705.2</v>
      </c>
      <c r="F176">
        <v>3627</v>
      </c>
      <c r="G176">
        <v>3650.4</v>
      </c>
      <c r="H176">
        <v>0</v>
      </c>
      <c r="I176" s="8">
        <f t="shared" si="9"/>
        <v>-5.652179834656712E-3</v>
      </c>
      <c r="J176" s="8">
        <f t="shared" si="10"/>
        <v>-5.6682138497334122E-3</v>
      </c>
      <c r="K176" s="8">
        <f t="shared" si="7"/>
        <v>0.24542399481414501</v>
      </c>
    </row>
    <row r="177" spans="1:11" x14ac:dyDescent="0.25">
      <c r="A177" t="str">
        <f t="shared" si="8"/>
        <v>92017</v>
      </c>
      <c r="B177" s="1">
        <v>42993</v>
      </c>
      <c r="C177" t="s">
        <v>129</v>
      </c>
      <c r="D177">
        <v>3632.65</v>
      </c>
      <c r="E177">
        <v>3670.5</v>
      </c>
      <c r="F177">
        <v>3606.25</v>
      </c>
      <c r="G177">
        <v>3663.3</v>
      </c>
      <c r="H177">
        <v>0</v>
      </c>
      <c r="I177" s="8">
        <f t="shared" si="9"/>
        <v>3.5338593030900256E-3</v>
      </c>
      <c r="J177" s="8">
        <f t="shared" si="10"/>
        <v>3.5276298938930156E-3</v>
      </c>
      <c r="K177" s="8">
        <f t="shared" si="7"/>
        <v>0.22830606223175964</v>
      </c>
    </row>
    <row r="178" spans="1:11" x14ac:dyDescent="0.25">
      <c r="A178" t="str">
        <f t="shared" si="8"/>
        <v>92017</v>
      </c>
      <c r="B178" s="1">
        <v>42996</v>
      </c>
      <c r="C178" t="s">
        <v>130</v>
      </c>
      <c r="D178">
        <v>3672.6</v>
      </c>
      <c r="E178">
        <v>3700.15</v>
      </c>
      <c r="F178">
        <v>3666.5</v>
      </c>
      <c r="G178">
        <v>3689.75</v>
      </c>
      <c r="H178">
        <v>0</v>
      </c>
      <c r="I178" s="8">
        <f t="shared" si="9"/>
        <v>7.2202658804902953E-3</v>
      </c>
      <c r="J178" s="8">
        <f t="shared" si="10"/>
        <v>7.1943245547994514E-3</v>
      </c>
      <c r="K178" s="8">
        <f t="shared" si="7"/>
        <v>0.23456686853816056</v>
      </c>
    </row>
    <row r="179" spans="1:11" x14ac:dyDescent="0.25">
      <c r="A179" t="str">
        <f t="shared" si="8"/>
        <v>92017</v>
      </c>
      <c r="B179" s="1">
        <v>42997</v>
      </c>
      <c r="C179" t="s">
        <v>131</v>
      </c>
      <c r="D179">
        <v>3690.15</v>
      </c>
      <c r="E179">
        <v>3698.3</v>
      </c>
      <c r="F179">
        <v>3653.35</v>
      </c>
      <c r="G179">
        <v>3663.2</v>
      </c>
      <c r="H179">
        <v>0</v>
      </c>
      <c r="I179" s="8">
        <f t="shared" si="9"/>
        <v>-7.1956094586355102E-3</v>
      </c>
      <c r="J179" s="8">
        <f t="shared" si="10"/>
        <v>-7.2216227189996797E-3</v>
      </c>
      <c r="K179" s="8">
        <f t="shared" si="7"/>
        <v>0.24027018333869399</v>
      </c>
    </row>
    <row r="180" spans="1:11" x14ac:dyDescent="0.25">
      <c r="A180" t="str">
        <f t="shared" si="8"/>
        <v>92017</v>
      </c>
      <c r="B180" s="1">
        <v>42998</v>
      </c>
      <c r="C180" t="s">
        <v>132</v>
      </c>
      <c r="D180">
        <v>3670.65</v>
      </c>
      <c r="E180">
        <v>3688.25</v>
      </c>
      <c r="F180">
        <v>3642.05</v>
      </c>
      <c r="G180">
        <v>3660.55</v>
      </c>
      <c r="H180">
        <v>0</v>
      </c>
      <c r="I180" s="8">
        <f t="shared" si="9"/>
        <v>-7.2341122515817702E-4</v>
      </c>
      <c r="J180" s="8">
        <f t="shared" si="10"/>
        <v>-7.2367301331979664E-4</v>
      </c>
      <c r="K180" s="8">
        <f t="shared" si="7"/>
        <v>0.25677647503132883</v>
      </c>
    </row>
    <row r="181" spans="1:11" x14ac:dyDescent="0.25">
      <c r="A181" t="str">
        <f t="shared" si="8"/>
        <v>92017</v>
      </c>
      <c r="B181" s="1">
        <v>42999</v>
      </c>
      <c r="C181" t="s">
        <v>133</v>
      </c>
      <c r="D181">
        <v>3669.6</v>
      </c>
      <c r="E181">
        <v>3679.25</v>
      </c>
      <c r="F181">
        <v>3579.7</v>
      </c>
      <c r="G181">
        <v>3638.8</v>
      </c>
      <c r="H181">
        <v>0</v>
      </c>
      <c r="I181" s="8">
        <f t="shared" si="9"/>
        <v>-5.9417300678860085E-3</v>
      </c>
      <c r="J181" s="8">
        <f t="shared" si="10"/>
        <v>-5.9594523816589905E-3</v>
      </c>
      <c r="K181" s="8">
        <f t="shared" si="7"/>
        <v>0.25805559397040523</v>
      </c>
    </row>
    <row r="182" spans="1:11" x14ac:dyDescent="0.25">
      <c r="A182" t="str">
        <f t="shared" si="8"/>
        <v>92017</v>
      </c>
      <c r="B182" s="1">
        <v>43000</v>
      </c>
      <c r="C182" t="s">
        <v>134</v>
      </c>
      <c r="D182">
        <v>3618.9</v>
      </c>
      <c r="E182">
        <v>3618.9</v>
      </c>
      <c r="F182">
        <v>3479</v>
      </c>
      <c r="G182">
        <v>3491.8</v>
      </c>
      <c r="H182">
        <v>0</v>
      </c>
      <c r="I182" s="8">
        <f t="shared" si="9"/>
        <v>-4.0397933384632267E-2</v>
      </c>
      <c r="J182" s="8">
        <f t="shared" si="10"/>
        <v>-4.1236594397232824E-2</v>
      </c>
      <c r="K182" s="8">
        <f t="shared" si="7"/>
        <v>0.21032928942807638</v>
      </c>
    </row>
    <row r="183" spans="1:11" x14ac:dyDescent="0.25">
      <c r="A183" t="str">
        <f t="shared" si="8"/>
        <v>92017</v>
      </c>
      <c r="B183" s="1">
        <v>43003</v>
      </c>
      <c r="C183" t="s">
        <v>135</v>
      </c>
      <c r="D183">
        <v>3494.8</v>
      </c>
      <c r="E183">
        <v>3500.85</v>
      </c>
      <c r="F183">
        <v>3366.15</v>
      </c>
      <c r="G183">
        <v>3450.1</v>
      </c>
      <c r="H183">
        <v>0</v>
      </c>
      <c r="I183" s="8">
        <f t="shared" si="9"/>
        <v>-1.194226473452098E-2</v>
      </c>
      <c r="J183" s="8">
        <f t="shared" si="10"/>
        <v>-1.201414643809392E-2</v>
      </c>
      <c r="K183" s="8">
        <f t="shared" si="7"/>
        <v>0.17680566214718163</v>
      </c>
    </row>
    <row r="184" spans="1:11" x14ac:dyDescent="0.25">
      <c r="A184" t="str">
        <f t="shared" si="8"/>
        <v>92017</v>
      </c>
      <c r="B184" s="1">
        <v>43004</v>
      </c>
      <c r="C184" t="s">
        <v>136</v>
      </c>
      <c r="D184">
        <v>3459.6</v>
      </c>
      <c r="E184">
        <v>3541</v>
      </c>
      <c r="F184">
        <v>3447.6</v>
      </c>
      <c r="G184">
        <v>3533.05</v>
      </c>
      <c r="H184">
        <v>0</v>
      </c>
      <c r="I184" s="8">
        <f t="shared" si="9"/>
        <v>2.4042781368656119E-2</v>
      </c>
      <c r="J184" s="8">
        <f t="shared" si="10"/>
        <v>2.3758304424939525E-2</v>
      </c>
      <c r="K184" s="8">
        <f t="shared" si="7"/>
        <v>0.18114803423375236</v>
      </c>
    </row>
    <row r="185" spans="1:11" x14ac:dyDescent="0.25">
      <c r="A185" t="str">
        <f t="shared" si="8"/>
        <v>92017</v>
      </c>
      <c r="B185" s="1">
        <v>43005</v>
      </c>
      <c r="C185" t="s">
        <v>137</v>
      </c>
      <c r="D185">
        <v>3548.25</v>
      </c>
      <c r="E185">
        <v>3549.45</v>
      </c>
      <c r="F185">
        <v>3453.05</v>
      </c>
      <c r="G185">
        <v>3477.2</v>
      </c>
      <c r="H185">
        <v>0</v>
      </c>
      <c r="I185" s="8">
        <f t="shared" si="9"/>
        <v>-1.5807871385913108E-2</v>
      </c>
      <c r="J185" s="8">
        <f t="shared" si="10"/>
        <v>-1.593414833261033E-2</v>
      </c>
      <c r="K185" s="8">
        <f t="shared" si="7"/>
        <v>0.16241830611596764</v>
      </c>
    </row>
    <row r="186" spans="1:11" x14ac:dyDescent="0.25">
      <c r="A186" t="str">
        <f t="shared" si="8"/>
        <v>92017</v>
      </c>
      <c r="B186" s="1">
        <v>43006</v>
      </c>
      <c r="C186" t="s">
        <v>138</v>
      </c>
      <c r="D186">
        <v>3483.6</v>
      </c>
      <c r="E186">
        <v>3523.9</v>
      </c>
      <c r="F186">
        <v>3457.55</v>
      </c>
      <c r="G186">
        <v>3501.55</v>
      </c>
      <c r="H186">
        <v>0</v>
      </c>
      <c r="I186" s="8">
        <f t="shared" si="9"/>
        <v>7.0027608420568654E-3</v>
      </c>
      <c r="J186" s="8">
        <f t="shared" si="10"/>
        <v>6.9783553831702675E-3</v>
      </c>
      <c r="K186" s="8">
        <f t="shared" si="7"/>
        <v>0.14944358730262941</v>
      </c>
    </row>
    <row r="187" spans="1:11" x14ac:dyDescent="0.25">
      <c r="A187" t="str">
        <f t="shared" si="8"/>
        <v>92017</v>
      </c>
      <c r="B187" s="1">
        <v>43007</v>
      </c>
      <c r="C187" t="s">
        <v>139</v>
      </c>
      <c r="D187">
        <v>3525.35</v>
      </c>
      <c r="E187">
        <v>3569.95</v>
      </c>
      <c r="F187">
        <v>3520.8</v>
      </c>
      <c r="G187">
        <v>3550.3</v>
      </c>
      <c r="H187">
        <v>0</v>
      </c>
      <c r="I187" s="8">
        <f t="shared" si="9"/>
        <v>1.3922405791720882E-2</v>
      </c>
      <c r="J187" s="8">
        <f t="shared" si="10"/>
        <v>1.3826379353116635E-2</v>
      </c>
      <c r="K187" s="8">
        <f t="shared" si="7"/>
        <v>0.16397554218644994</v>
      </c>
    </row>
    <row r="188" spans="1:11" x14ac:dyDescent="0.25">
      <c r="A188" t="str">
        <f t="shared" si="8"/>
        <v>102017</v>
      </c>
      <c r="B188" s="1">
        <v>43011</v>
      </c>
      <c r="C188" s="10">
        <v>42804.645833333336</v>
      </c>
      <c r="D188">
        <v>3586.8</v>
      </c>
      <c r="E188">
        <v>3610.25</v>
      </c>
      <c r="F188">
        <v>3564.6</v>
      </c>
      <c r="G188">
        <v>3593.6</v>
      </c>
      <c r="H188">
        <v>0</v>
      </c>
      <c r="I188" s="8">
        <f t="shared" si="9"/>
        <v>1.2196152437822017E-2</v>
      </c>
      <c r="J188" s="8">
        <f t="shared" si="10"/>
        <v>1.2122378602927846E-2</v>
      </c>
      <c r="K188" s="8">
        <f t="shared" si="7"/>
        <v>0.16567461926464144</v>
      </c>
    </row>
    <row r="189" spans="1:11" x14ac:dyDescent="0.25">
      <c r="A189" t="str">
        <f t="shared" si="8"/>
        <v>102017</v>
      </c>
      <c r="B189" s="1">
        <v>43012</v>
      </c>
      <c r="C189" s="10">
        <v>42835.645833333336</v>
      </c>
      <c r="D189">
        <v>3592.35</v>
      </c>
      <c r="E189">
        <v>3601.55</v>
      </c>
      <c r="F189">
        <v>3572.9</v>
      </c>
      <c r="G189">
        <v>3588.1</v>
      </c>
      <c r="H189">
        <v>0</v>
      </c>
      <c r="I189" s="8">
        <f t="shared" si="9"/>
        <v>-1.5304986642921126E-3</v>
      </c>
      <c r="J189" s="8">
        <f t="shared" si="10"/>
        <v>-1.5316710737729381E-3</v>
      </c>
      <c r="K189" s="8">
        <f t="shared" si="7"/>
        <v>0.1596024884867091</v>
      </c>
    </row>
    <row r="190" spans="1:11" x14ac:dyDescent="0.25">
      <c r="A190" t="str">
        <f t="shared" si="8"/>
        <v>102017</v>
      </c>
      <c r="B190" s="1">
        <v>43013</v>
      </c>
      <c r="C190" s="10">
        <v>42865.645833333336</v>
      </c>
      <c r="D190">
        <v>3590.85</v>
      </c>
      <c r="E190">
        <v>3616</v>
      </c>
      <c r="F190">
        <v>3584.35</v>
      </c>
      <c r="G190">
        <v>3598.4</v>
      </c>
      <c r="H190">
        <v>0</v>
      </c>
      <c r="I190" s="8">
        <f t="shared" si="9"/>
        <v>2.8706000390179565E-3</v>
      </c>
      <c r="J190" s="8">
        <f t="shared" si="10"/>
        <v>2.8664877347001848E-3</v>
      </c>
      <c r="K190" s="8">
        <f t="shared" si="7"/>
        <v>0.16537932151242818</v>
      </c>
    </row>
    <row r="191" spans="1:11" x14ac:dyDescent="0.25">
      <c r="A191" t="str">
        <f t="shared" si="8"/>
        <v>102017</v>
      </c>
      <c r="B191" s="1">
        <v>43014</v>
      </c>
      <c r="C191" s="10">
        <v>42896.645833333336</v>
      </c>
      <c r="D191">
        <v>3614.85</v>
      </c>
      <c r="E191">
        <v>3719.2</v>
      </c>
      <c r="F191">
        <v>3614.4</v>
      </c>
      <c r="G191">
        <v>3711.5</v>
      </c>
      <c r="H191">
        <v>0</v>
      </c>
      <c r="I191" s="8">
        <f t="shared" si="9"/>
        <v>3.14306358381502E-2</v>
      </c>
      <c r="J191" s="8">
        <f t="shared" si="10"/>
        <v>3.094680535255032E-2</v>
      </c>
      <c r="K191" s="8">
        <f t="shared" si="7"/>
        <v>0.18582063324706866</v>
      </c>
    </row>
    <row r="192" spans="1:11" x14ac:dyDescent="0.25">
      <c r="A192" t="str">
        <f t="shared" si="8"/>
        <v>102017</v>
      </c>
      <c r="B192" s="1">
        <v>43017</v>
      </c>
      <c r="C192" s="10">
        <v>42988.645833333336</v>
      </c>
      <c r="D192">
        <v>3713.85</v>
      </c>
      <c r="E192">
        <v>3747.9</v>
      </c>
      <c r="F192">
        <v>3698.75</v>
      </c>
      <c r="G192">
        <v>3717.85</v>
      </c>
      <c r="H192">
        <v>0</v>
      </c>
      <c r="I192" s="8">
        <f t="shared" si="9"/>
        <v>1.7108985585343461E-3</v>
      </c>
      <c r="J192" s="8">
        <f t="shared" si="10"/>
        <v>1.7094366388222457E-3</v>
      </c>
      <c r="K192" s="8">
        <f t="shared" ref="K192:K255" si="11">+G192/G131-1</f>
        <v>0.19358877634557037</v>
      </c>
    </row>
    <row r="193" spans="1:11" x14ac:dyDescent="0.25">
      <c r="A193" t="str">
        <f t="shared" si="8"/>
        <v>102017</v>
      </c>
      <c r="B193" s="1">
        <v>43018</v>
      </c>
      <c r="C193" s="10">
        <v>43018.645833333336</v>
      </c>
      <c r="D193">
        <v>3737.75</v>
      </c>
      <c r="E193">
        <v>3749.5</v>
      </c>
      <c r="F193">
        <v>3691.55</v>
      </c>
      <c r="G193">
        <v>3721.55</v>
      </c>
      <c r="H193">
        <v>0</v>
      </c>
      <c r="I193" s="8">
        <f t="shared" si="9"/>
        <v>9.9519883803811382E-4</v>
      </c>
      <c r="J193" s="8">
        <f t="shared" si="10"/>
        <v>9.9470395598464495E-4</v>
      </c>
      <c r="K193" s="8">
        <f t="shared" si="11"/>
        <v>0.19030560841822464</v>
      </c>
    </row>
    <row r="194" spans="1:11" x14ac:dyDescent="0.25">
      <c r="A194" t="str">
        <f t="shared" si="8"/>
        <v>102017</v>
      </c>
      <c r="B194" s="1">
        <v>43019</v>
      </c>
      <c r="C194" s="10">
        <v>43049.645833333336</v>
      </c>
      <c r="D194">
        <v>3737.05</v>
      </c>
      <c r="E194">
        <v>3750.6</v>
      </c>
      <c r="F194">
        <v>3637.35</v>
      </c>
      <c r="G194">
        <v>3668.45</v>
      </c>
      <c r="H194">
        <v>0</v>
      </c>
      <c r="I194" s="8">
        <f t="shared" si="9"/>
        <v>-1.4268248444868514E-2</v>
      </c>
      <c r="J194" s="8">
        <f t="shared" si="10"/>
        <v>-1.4371018640104712E-2</v>
      </c>
      <c r="K194" s="8">
        <f t="shared" si="11"/>
        <v>0.16338698168556243</v>
      </c>
    </row>
    <row r="195" spans="1:11" x14ac:dyDescent="0.25">
      <c r="A195" t="str">
        <f t="shared" ref="A195:A258" si="12">+MONTH(B195)&amp;YEAR(B195)</f>
        <v>102017</v>
      </c>
      <c r="B195" s="1">
        <v>43020</v>
      </c>
      <c r="C195" s="10">
        <v>43079.645833333336</v>
      </c>
      <c r="D195">
        <v>3681.25</v>
      </c>
      <c r="E195">
        <v>3748.65</v>
      </c>
      <c r="F195">
        <v>3661.05</v>
      </c>
      <c r="G195">
        <v>3741.45</v>
      </c>
      <c r="H195">
        <v>0</v>
      </c>
      <c r="I195" s="8">
        <f t="shared" si="9"/>
        <v>1.9899412558437524E-2</v>
      </c>
      <c r="J195" s="8">
        <f t="shared" si="10"/>
        <v>1.9704007294600472E-2</v>
      </c>
      <c r="K195" s="8">
        <f t="shared" si="11"/>
        <v>0.19152561264947998</v>
      </c>
    </row>
    <row r="196" spans="1:11" x14ac:dyDescent="0.25">
      <c r="A196" t="str">
        <f t="shared" si="12"/>
        <v>102017</v>
      </c>
      <c r="B196" s="1">
        <v>43021</v>
      </c>
      <c r="C196" t="s">
        <v>140</v>
      </c>
      <c r="D196">
        <v>3759.9</v>
      </c>
      <c r="E196">
        <v>3808.1</v>
      </c>
      <c r="F196">
        <v>3753.6</v>
      </c>
      <c r="G196">
        <v>3784.55</v>
      </c>
      <c r="H196">
        <v>0</v>
      </c>
      <c r="I196" s="8">
        <f t="shared" ref="I196:I259" si="13">+G196/G195-1</f>
        <v>1.1519598016811683E-2</v>
      </c>
      <c r="J196" s="8">
        <f t="shared" ref="J196:J259" si="14">+LN(1+I196)</f>
        <v>1.1453752639955114E-2</v>
      </c>
      <c r="K196" s="8">
        <f t="shared" si="11"/>
        <v>0.19380786398119976</v>
      </c>
    </row>
    <row r="197" spans="1:11" x14ac:dyDescent="0.25">
      <c r="A197" t="str">
        <f t="shared" si="12"/>
        <v>102017</v>
      </c>
      <c r="B197" s="1">
        <v>43024</v>
      </c>
      <c r="C197" t="s">
        <v>141</v>
      </c>
      <c r="D197">
        <v>3804.75</v>
      </c>
      <c r="E197">
        <v>3860.25</v>
      </c>
      <c r="F197">
        <v>3804.15</v>
      </c>
      <c r="G197">
        <v>3855.45</v>
      </c>
      <c r="H197">
        <v>0</v>
      </c>
      <c r="I197" s="8">
        <f t="shared" si="13"/>
        <v>1.8734063494999287E-2</v>
      </c>
      <c r="J197" s="8">
        <f t="shared" si="14"/>
        <v>1.8560742255486637E-2</v>
      </c>
      <c r="K197" s="8">
        <f t="shared" si="11"/>
        <v>0.2182478868789004</v>
      </c>
    </row>
    <row r="198" spans="1:11" x14ac:dyDescent="0.25">
      <c r="A198" t="str">
        <f t="shared" si="12"/>
        <v>102017</v>
      </c>
      <c r="B198" s="1">
        <v>43025</v>
      </c>
      <c r="C198" t="s">
        <v>142</v>
      </c>
      <c r="D198">
        <v>3861.55</v>
      </c>
      <c r="E198">
        <v>3875.35</v>
      </c>
      <c r="F198">
        <v>3835.9</v>
      </c>
      <c r="G198">
        <v>3868.15</v>
      </c>
      <c r="H198">
        <v>0</v>
      </c>
      <c r="I198" s="8">
        <f t="shared" si="13"/>
        <v>3.294038309406222E-3</v>
      </c>
      <c r="J198" s="8">
        <f t="shared" si="14"/>
        <v>3.2886248500517052E-3</v>
      </c>
      <c r="K198" s="8">
        <f t="shared" si="11"/>
        <v>0.19898022441262175</v>
      </c>
    </row>
    <row r="199" spans="1:11" x14ac:dyDescent="0.25">
      <c r="A199" t="str">
        <f t="shared" si="12"/>
        <v>102017</v>
      </c>
      <c r="B199" s="1">
        <v>43026</v>
      </c>
      <c r="C199" t="s">
        <v>143</v>
      </c>
      <c r="D199">
        <v>3877.75</v>
      </c>
      <c r="E199">
        <v>3885</v>
      </c>
      <c r="F199">
        <v>3842.85</v>
      </c>
      <c r="G199">
        <v>3853.7</v>
      </c>
      <c r="H199">
        <v>0</v>
      </c>
      <c r="I199" s="8">
        <f t="shared" si="13"/>
        <v>-3.7356358982977289E-3</v>
      </c>
      <c r="J199" s="8">
        <f t="shared" si="14"/>
        <v>-3.7426308118139007E-3</v>
      </c>
      <c r="K199" s="8">
        <f t="shared" si="11"/>
        <v>0.20563759229132761</v>
      </c>
    </row>
    <row r="200" spans="1:11" x14ac:dyDescent="0.25">
      <c r="A200" t="str">
        <f t="shared" si="12"/>
        <v>102017</v>
      </c>
      <c r="B200" s="1">
        <v>43027</v>
      </c>
      <c r="C200" t="s">
        <v>144</v>
      </c>
      <c r="D200">
        <v>3853.9</v>
      </c>
      <c r="E200">
        <v>3854</v>
      </c>
      <c r="F200">
        <v>3808.05</v>
      </c>
      <c r="G200">
        <v>3819.9</v>
      </c>
      <c r="H200">
        <v>0</v>
      </c>
      <c r="I200" s="8">
        <f t="shared" si="13"/>
        <v>-8.7707917066713881E-3</v>
      </c>
      <c r="J200" s="8">
        <f t="shared" si="14"/>
        <v>-8.8094814930843122E-3</v>
      </c>
      <c r="K200" s="8">
        <f t="shared" si="11"/>
        <v>0.19254483867442995</v>
      </c>
    </row>
    <row r="201" spans="1:11" x14ac:dyDescent="0.25">
      <c r="A201" t="str">
        <f t="shared" si="12"/>
        <v>102017</v>
      </c>
      <c r="B201" s="1">
        <v>43031</v>
      </c>
      <c r="C201" t="s">
        <v>145</v>
      </c>
      <c r="D201">
        <v>3830.7</v>
      </c>
      <c r="E201">
        <v>3871.7</v>
      </c>
      <c r="F201">
        <v>3823.05</v>
      </c>
      <c r="G201">
        <v>3843.2</v>
      </c>
      <c r="H201">
        <v>0</v>
      </c>
      <c r="I201" s="8">
        <f t="shared" si="13"/>
        <v>6.0996361161285151E-3</v>
      </c>
      <c r="J201" s="8">
        <f t="shared" si="14"/>
        <v>6.08110863816466E-3</v>
      </c>
      <c r="K201" s="8">
        <f t="shared" si="11"/>
        <v>0.20570980392156857</v>
      </c>
    </row>
    <row r="202" spans="1:11" x14ac:dyDescent="0.25">
      <c r="A202" t="str">
        <f t="shared" si="12"/>
        <v>102017</v>
      </c>
      <c r="B202" s="1">
        <v>43032</v>
      </c>
      <c r="C202" t="s">
        <v>146</v>
      </c>
      <c r="D202">
        <v>3848.95</v>
      </c>
      <c r="E202">
        <v>3904.5</v>
      </c>
      <c r="F202">
        <v>3844.85</v>
      </c>
      <c r="G202">
        <v>3858.3</v>
      </c>
      <c r="H202">
        <v>0</v>
      </c>
      <c r="I202" s="8">
        <f t="shared" si="13"/>
        <v>3.9290174854289539E-3</v>
      </c>
      <c r="J202" s="8">
        <f t="shared" si="14"/>
        <v>3.9213190544865363E-3</v>
      </c>
      <c r="K202" s="8">
        <f t="shared" si="11"/>
        <v>0.1954268717758052</v>
      </c>
    </row>
    <row r="203" spans="1:11" x14ac:dyDescent="0.25">
      <c r="A203" t="str">
        <f t="shared" si="12"/>
        <v>102017</v>
      </c>
      <c r="B203" s="1">
        <v>43033</v>
      </c>
      <c r="C203" t="s">
        <v>147</v>
      </c>
      <c r="D203">
        <v>3887.8</v>
      </c>
      <c r="E203">
        <v>3897.35</v>
      </c>
      <c r="F203">
        <v>3825.45</v>
      </c>
      <c r="G203">
        <v>3872.55</v>
      </c>
      <c r="H203">
        <v>0</v>
      </c>
      <c r="I203" s="8">
        <f t="shared" si="13"/>
        <v>3.6933364435114413E-3</v>
      </c>
      <c r="J203" s="8">
        <f t="shared" si="14"/>
        <v>3.686532823362009E-3</v>
      </c>
      <c r="K203" s="8">
        <f t="shared" si="11"/>
        <v>0.17948678900479709</v>
      </c>
    </row>
    <row r="204" spans="1:11" x14ac:dyDescent="0.25">
      <c r="A204" t="str">
        <f t="shared" si="12"/>
        <v>102017</v>
      </c>
      <c r="B204" s="1">
        <v>43034</v>
      </c>
      <c r="C204" t="s">
        <v>148</v>
      </c>
      <c r="D204">
        <v>3882.35</v>
      </c>
      <c r="E204">
        <v>3960.2</v>
      </c>
      <c r="F204">
        <v>3875.4</v>
      </c>
      <c r="G204">
        <v>3951.95</v>
      </c>
      <c r="H204">
        <v>0</v>
      </c>
      <c r="I204" s="8">
        <f t="shared" si="13"/>
        <v>2.0503285948535011E-2</v>
      </c>
      <c r="J204" s="8">
        <f t="shared" si="14"/>
        <v>2.0295923202348166E-2</v>
      </c>
      <c r="K204" s="8">
        <f t="shared" si="11"/>
        <v>0.21585367729629112</v>
      </c>
    </row>
    <row r="205" spans="1:11" x14ac:dyDescent="0.25">
      <c r="A205" t="str">
        <f t="shared" si="12"/>
        <v>102017</v>
      </c>
      <c r="B205" s="1">
        <v>43035</v>
      </c>
      <c r="C205" t="s">
        <v>149</v>
      </c>
      <c r="D205">
        <v>3974.35</v>
      </c>
      <c r="E205">
        <v>3982.45</v>
      </c>
      <c r="F205">
        <v>3930.9</v>
      </c>
      <c r="G205">
        <v>3945.3</v>
      </c>
      <c r="H205">
        <v>0</v>
      </c>
      <c r="I205" s="8">
        <f t="shared" si="13"/>
        <v>-1.6827135970849394E-3</v>
      </c>
      <c r="J205" s="8">
        <f t="shared" si="14"/>
        <v>-1.6841309498321661E-3</v>
      </c>
      <c r="K205" s="8">
        <f t="shared" si="11"/>
        <v>0.23015761657546419</v>
      </c>
    </row>
    <row r="206" spans="1:11" x14ac:dyDescent="0.25">
      <c r="A206" t="str">
        <f t="shared" si="12"/>
        <v>102017</v>
      </c>
      <c r="B206" s="1">
        <v>43038</v>
      </c>
      <c r="C206" t="s">
        <v>150</v>
      </c>
      <c r="D206">
        <v>3959</v>
      </c>
      <c r="E206">
        <v>3984.55</v>
      </c>
      <c r="F206">
        <v>3936</v>
      </c>
      <c r="G206">
        <v>3944.05</v>
      </c>
      <c r="H206">
        <v>0</v>
      </c>
      <c r="I206" s="8">
        <f t="shared" si="13"/>
        <v>-3.1683268699467249E-4</v>
      </c>
      <c r="J206" s="8">
        <f t="shared" si="14"/>
        <v>-3.1688288907449989E-4</v>
      </c>
      <c r="K206" s="8">
        <f t="shared" si="11"/>
        <v>0.20984984432276588</v>
      </c>
    </row>
    <row r="207" spans="1:11" x14ac:dyDescent="0.25">
      <c r="A207" t="str">
        <f t="shared" si="12"/>
        <v>102017</v>
      </c>
      <c r="B207" s="1">
        <v>43039</v>
      </c>
      <c r="C207" t="s">
        <v>151</v>
      </c>
      <c r="D207">
        <v>3941</v>
      </c>
      <c r="E207">
        <v>3951.2</v>
      </c>
      <c r="F207">
        <v>3853.7</v>
      </c>
      <c r="G207">
        <v>3876.55</v>
      </c>
      <c r="H207">
        <v>0</v>
      </c>
      <c r="I207" s="8">
        <f t="shared" si="13"/>
        <v>-1.7114387495087535E-2</v>
      </c>
      <c r="J207" s="8">
        <f t="shared" si="14"/>
        <v>-1.7262531318180115E-2</v>
      </c>
      <c r="K207" s="8">
        <f t="shared" si="11"/>
        <v>0.17801413051735926</v>
      </c>
    </row>
    <row r="208" spans="1:11" x14ac:dyDescent="0.25">
      <c r="A208" t="str">
        <f t="shared" si="12"/>
        <v>112017</v>
      </c>
      <c r="B208" s="1">
        <v>43040</v>
      </c>
      <c r="C208" s="10">
        <v>42746.645833333336</v>
      </c>
      <c r="D208">
        <v>3913.35</v>
      </c>
      <c r="E208">
        <v>3952.95</v>
      </c>
      <c r="F208">
        <v>3901.05</v>
      </c>
      <c r="G208">
        <v>3946.4</v>
      </c>
      <c r="H208">
        <v>0</v>
      </c>
      <c r="I208" s="8">
        <f t="shared" si="13"/>
        <v>1.8018599012008085E-2</v>
      </c>
      <c r="J208" s="8">
        <f t="shared" si="14"/>
        <v>1.7858188110754174E-2</v>
      </c>
      <c r="K208" s="8">
        <f t="shared" si="11"/>
        <v>0.20166864589994216</v>
      </c>
    </row>
    <row r="209" spans="1:11" x14ac:dyDescent="0.25">
      <c r="A209" t="str">
        <f t="shared" si="12"/>
        <v>112017</v>
      </c>
      <c r="B209" s="1">
        <v>43041</v>
      </c>
      <c r="C209" s="10">
        <v>42777.645833333336</v>
      </c>
      <c r="D209">
        <v>3950.6</v>
      </c>
      <c r="E209">
        <v>3950.95</v>
      </c>
      <c r="F209">
        <v>3909.45</v>
      </c>
      <c r="G209">
        <v>3941</v>
      </c>
      <c r="H209">
        <v>0</v>
      </c>
      <c r="I209" s="8">
        <f t="shared" si="13"/>
        <v>-1.3683356983580364E-3</v>
      </c>
      <c r="J209" s="8">
        <f t="shared" si="14"/>
        <v>-1.3692727245248461E-3</v>
      </c>
      <c r="K209" s="8">
        <f t="shared" si="11"/>
        <v>0.22334316312276892</v>
      </c>
    </row>
    <row r="210" spans="1:11" x14ac:dyDescent="0.25">
      <c r="A210" t="str">
        <f t="shared" si="12"/>
        <v>112017</v>
      </c>
      <c r="B210" s="1">
        <v>43042</v>
      </c>
      <c r="C210" s="10">
        <v>42805.645833333336</v>
      </c>
      <c r="D210">
        <v>3969.1</v>
      </c>
      <c r="E210">
        <v>3979.75</v>
      </c>
      <c r="F210">
        <v>3917.6</v>
      </c>
      <c r="G210">
        <v>3938.4</v>
      </c>
      <c r="H210">
        <v>0</v>
      </c>
      <c r="I210" s="8">
        <f t="shared" si="13"/>
        <v>-6.5973103273275768E-4</v>
      </c>
      <c r="J210" s="8">
        <f t="shared" si="14"/>
        <v>-6.5994875101280321E-4</v>
      </c>
      <c r="K210" s="8">
        <f t="shared" si="11"/>
        <v>0.19273167777104794</v>
      </c>
    </row>
    <row r="211" spans="1:11" x14ac:dyDescent="0.25">
      <c r="A211" t="str">
        <f t="shared" si="12"/>
        <v>112017</v>
      </c>
      <c r="B211" s="1">
        <v>43045</v>
      </c>
      <c r="C211" s="10">
        <v>42897.645833333336</v>
      </c>
      <c r="D211">
        <v>3926.3</v>
      </c>
      <c r="E211">
        <v>3972.6</v>
      </c>
      <c r="F211">
        <v>3892.7</v>
      </c>
      <c r="G211">
        <v>3951.75</v>
      </c>
      <c r="H211">
        <v>0</v>
      </c>
      <c r="I211" s="8">
        <f t="shared" si="13"/>
        <v>3.3897014015844551E-3</v>
      </c>
      <c r="J211" s="8">
        <f t="shared" si="14"/>
        <v>3.3839693135140742E-3</v>
      </c>
      <c r="K211" s="8">
        <f t="shared" si="11"/>
        <v>0.18278684844584769</v>
      </c>
    </row>
    <row r="212" spans="1:11" x14ac:dyDescent="0.25">
      <c r="A212" t="str">
        <f t="shared" si="12"/>
        <v>112017</v>
      </c>
      <c r="B212" s="1">
        <v>43046</v>
      </c>
      <c r="C212" s="10">
        <v>42927.645833333336</v>
      </c>
      <c r="D212">
        <v>3977.6</v>
      </c>
      <c r="E212">
        <v>3979.95</v>
      </c>
      <c r="F212">
        <v>3863.8</v>
      </c>
      <c r="G212">
        <v>3885.55</v>
      </c>
      <c r="H212">
        <v>0</v>
      </c>
      <c r="I212" s="8">
        <f t="shared" si="13"/>
        <v>-1.6752071866894314E-2</v>
      </c>
      <c r="J212" s="8">
        <f t="shared" si="14"/>
        <v>-1.6893974834293599E-2</v>
      </c>
      <c r="K212" s="8">
        <f t="shared" si="11"/>
        <v>0.14611232375671057</v>
      </c>
    </row>
    <row r="213" spans="1:11" x14ac:dyDescent="0.25">
      <c r="A213" t="str">
        <f t="shared" si="12"/>
        <v>112017</v>
      </c>
      <c r="B213" s="1">
        <v>43047</v>
      </c>
      <c r="C213" s="10">
        <v>42958.645833333336</v>
      </c>
      <c r="D213">
        <v>3890.9</v>
      </c>
      <c r="E213">
        <v>3910.35</v>
      </c>
      <c r="F213">
        <v>3806.2</v>
      </c>
      <c r="G213">
        <v>3832</v>
      </c>
      <c r="H213">
        <v>0</v>
      </c>
      <c r="I213" s="8">
        <f t="shared" si="13"/>
        <v>-1.3781832687779105E-2</v>
      </c>
      <c r="J213" s="8">
        <f t="shared" si="14"/>
        <v>-1.3877683832460016E-2</v>
      </c>
      <c r="K213" s="8">
        <f t="shared" si="11"/>
        <v>0.13258852042324287</v>
      </c>
    </row>
    <row r="214" spans="1:11" x14ac:dyDescent="0.25">
      <c r="A214" t="str">
        <f t="shared" si="12"/>
        <v>112017</v>
      </c>
      <c r="B214" s="1">
        <v>43048</v>
      </c>
      <c r="C214" s="10">
        <v>42989.645833333336</v>
      </c>
      <c r="D214">
        <v>3857.8</v>
      </c>
      <c r="E214">
        <v>3871</v>
      </c>
      <c r="F214">
        <v>3802.55</v>
      </c>
      <c r="G214">
        <v>3849.75</v>
      </c>
      <c r="H214">
        <v>0</v>
      </c>
      <c r="I214" s="8">
        <f t="shared" si="13"/>
        <v>4.6320459290187799E-3</v>
      </c>
      <c r="J214" s="8">
        <f t="shared" si="14"/>
        <v>4.6213510177710694E-3</v>
      </c>
      <c r="K214" s="8">
        <f t="shared" si="11"/>
        <v>0.15654995268352034</v>
      </c>
    </row>
    <row r="215" spans="1:11" x14ac:dyDescent="0.25">
      <c r="A215" t="str">
        <f t="shared" si="12"/>
        <v>112017</v>
      </c>
      <c r="B215" s="1">
        <v>43049</v>
      </c>
      <c r="C215" s="10">
        <v>43019.645833333336</v>
      </c>
      <c r="D215">
        <v>3839.4</v>
      </c>
      <c r="E215">
        <v>3893.55</v>
      </c>
      <c r="F215">
        <v>3814.8</v>
      </c>
      <c r="G215">
        <v>3865.7</v>
      </c>
      <c r="H215">
        <v>0</v>
      </c>
      <c r="I215" s="8">
        <f t="shared" si="13"/>
        <v>4.1431261770243921E-3</v>
      </c>
      <c r="J215" s="8">
        <f t="shared" si="14"/>
        <v>4.1345670626146813E-3</v>
      </c>
      <c r="K215" s="8">
        <f t="shared" si="11"/>
        <v>0.20179692843374997</v>
      </c>
    </row>
    <row r="216" spans="1:11" x14ac:dyDescent="0.25">
      <c r="A216" t="str">
        <f t="shared" si="12"/>
        <v>112017</v>
      </c>
      <c r="B216" s="1">
        <v>43052</v>
      </c>
      <c r="C216" t="s">
        <v>152</v>
      </c>
      <c r="D216">
        <v>3855.55</v>
      </c>
      <c r="E216">
        <v>3860.3</v>
      </c>
      <c r="F216">
        <v>3785.05</v>
      </c>
      <c r="G216">
        <v>3792.5</v>
      </c>
      <c r="H216">
        <v>0</v>
      </c>
      <c r="I216" s="8">
        <f t="shared" si="13"/>
        <v>-1.8935768424864774E-2</v>
      </c>
      <c r="J216" s="8">
        <f t="shared" si="14"/>
        <v>-1.9117345948449636E-2</v>
      </c>
      <c r="K216" s="8">
        <f t="shared" si="11"/>
        <v>0.14005290687188121</v>
      </c>
    </row>
    <row r="217" spans="1:11" x14ac:dyDescent="0.25">
      <c r="A217" t="str">
        <f t="shared" si="12"/>
        <v>112017</v>
      </c>
      <c r="B217" s="1">
        <v>43053</v>
      </c>
      <c r="C217" t="s">
        <v>153</v>
      </c>
      <c r="D217">
        <v>3790.25</v>
      </c>
      <c r="E217">
        <v>3821.1</v>
      </c>
      <c r="F217">
        <v>3766.1</v>
      </c>
      <c r="G217">
        <v>3772.75</v>
      </c>
      <c r="H217">
        <v>0</v>
      </c>
      <c r="I217" s="8">
        <f t="shared" si="13"/>
        <v>-5.2076466710613278E-3</v>
      </c>
      <c r="J217" s="8">
        <f t="shared" si="14"/>
        <v>-5.2212537240274677E-3</v>
      </c>
      <c r="K217" s="8">
        <f t="shared" si="11"/>
        <v>0.11489531464708413</v>
      </c>
    </row>
    <row r="218" spans="1:11" x14ac:dyDescent="0.25">
      <c r="A218" t="str">
        <f t="shared" si="12"/>
        <v>112017</v>
      </c>
      <c r="B218" s="1">
        <v>43054</v>
      </c>
      <c r="C218" t="s">
        <v>154</v>
      </c>
      <c r="D218">
        <v>3750.3</v>
      </c>
      <c r="E218">
        <v>3750.35</v>
      </c>
      <c r="F218">
        <v>3641.25</v>
      </c>
      <c r="G218">
        <v>3660.95</v>
      </c>
      <c r="H218">
        <v>0</v>
      </c>
      <c r="I218" s="8">
        <f t="shared" si="13"/>
        <v>-2.9633556424358942E-2</v>
      </c>
      <c r="J218" s="8">
        <f t="shared" si="14"/>
        <v>-3.0081501942324257E-2</v>
      </c>
      <c r="K218" s="8">
        <f t="shared" si="11"/>
        <v>7.3860053092412947E-2</v>
      </c>
    </row>
    <row r="219" spans="1:11" x14ac:dyDescent="0.25">
      <c r="A219" t="str">
        <f t="shared" si="12"/>
        <v>112017</v>
      </c>
      <c r="B219" s="1">
        <v>43055</v>
      </c>
      <c r="C219" t="s">
        <v>155</v>
      </c>
      <c r="D219">
        <v>3679.55</v>
      </c>
      <c r="E219">
        <v>3708.65</v>
      </c>
      <c r="F219">
        <v>3647.6</v>
      </c>
      <c r="G219">
        <v>3697.85</v>
      </c>
      <c r="H219">
        <v>0</v>
      </c>
      <c r="I219" s="8">
        <f t="shared" si="13"/>
        <v>1.0079350988131619E-2</v>
      </c>
      <c r="J219" s="8">
        <f t="shared" si="14"/>
        <v>1.0028893101857589E-2</v>
      </c>
      <c r="K219" s="8">
        <f t="shared" si="11"/>
        <v>9.2535417251414342E-2</v>
      </c>
    </row>
    <row r="220" spans="1:11" x14ac:dyDescent="0.25">
      <c r="A220" t="str">
        <f t="shared" si="12"/>
        <v>112017</v>
      </c>
      <c r="B220" s="1">
        <v>43056</v>
      </c>
      <c r="C220" t="s">
        <v>156</v>
      </c>
      <c r="D220">
        <v>3735.2</v>
      </c>
      <c r="E220">
        <v>3801.85</v>
      </c>
      <c r="F220">
        <v>3734.8</v>
      </c>
      <c r="G220">
        <v>3767.85</v>
      </c>
      <c r="H220">
        <v>0</v>
      </c>
      <c r="I220" s="8">
        <f t="shared" si="13"/>
        <v>1.8929918736563245E-2</v>
      </c>
      <c r="J220" s="8">
        <f t="shared" si="14"/>
        <v>1.8752977328467223E-2</v>
      </c>
      <c r="K220" s="8">
        <f t="shared" si="11"/>
        <v>0.12890999520613611</v>
      </c>
    </row>
    <row r="221" spans="1:11" x14ac:dyDescent="0.25">
      <c r="A221" t="str">
        <f t="shared" si="12"/>
        <v>112017</v>
      </c>
      <c r="B221" s="1">
        <v>43059</v>
      </c>
      <c r="C221" t="s">
        <v>157</v>
      </c>
      <c r="D221">
        <v>3767.2</v>
      </c>
      <c r="E221">
        <v>3824.3</v>
      </c>
      <c r="F221">
        <v>3727.95</v>
      </c>
      <c r="G221">
        <v>3817.25</v>
      </c>
      <c r="H221">
        <v>0</v>
      </c>
      <c r="I221" s="8">
        <f t="shared" si="13"/>
        <v>1.3110925328768452E-2</v>
      </c>
      <c r="J221" s="8">
        <f t="shared" si="14"/>
        <v>1.3025721076960834E-2</v>
      </c>
      <c r="K221" s="8">
        <f t="shared" si="11"/>
        <v>0.14282078917430097</v>
      </c>
    </row>
    <row r="222" spans="1:11" x14ac:dyDescent="0.25">
      <c r="A222" t="str">
        <f t="shared" si="12"/>
        <v>112017</v>
      </c>
      <c r="B222" s="1">
        <v>43060</v>
      </c>
      <c r="C222" t="s">
        <v>158</v>
      </c>
      <c r="D222">
        <v>3837.15</v>
      </c>
      <c r="E222">
        <v>3855.05</v>
      </c>
      <c r="F222">
        <v>3803.05</v>
      </c>
      <c r="G222">
        <v>3822.4</v>
      </c>
      <c r="H222">
        <v>0</v>
      </c>
      <c r="I222" s="8">
        <f t="shared" si="13"/>
        <v>1.3491387779160924E-3</v>
      </c>
      <c r="J222" s="8">
        <f t="shared" si="14"/>
        <v>1.348229507924111E-3</v>
      </c>
      <c r="K222" s="8">
        <f t="shared" si="11"/>
        <v>0.12502943254061694</v>
      </c>
    </row>
    <row r="223" spans="1:11" x14ac:dyDescent="0.25">
      <c r="A223" t="str">
        <f t="shared" si="12"/>
        <v>112017</v>
      </c>
      <c r="B223" s="1">
        <v>43061</v>
      </c>
      <c r="C223" t="s">
        <v>159</v>
      </c>
      <c r="D223">
        <v>3840</v>
      </c>
      <c r="E223">
        <v>3845.1</v>
      </c>
      <c r="F223">
        <v>3785.25</v>
      </c>
      <c r="G223">
        <v>3797.25</v>
      </c>
      <c r="H223">
        <v>0</v>
      </c>
      <c r="I223" s="8">
        <f t="shared" si="13"/>
        <v>-6.5796358308916059E-3</v>
      </c>
      <c r="J223" s="8">
        <f t="shared" si="14"/>
        <v>-6.6013770534168624E-3</v>
      </c>
      <c r="K223" s="8">
        <f t="shared" si="11"/>
        <v>0.1122420585521593</v>
      </c>
    </row>
    <row r="224" spans="1:11" x14ac:dyDescent="0.25">
      <c r="A224" t="str">
        <f t="shared" si="12"/>
        <v>112017</v>
      </c>
      <c r="B224" s="1">
        <v>43062</v>
      </c>
      <c r="C224" t="s">
        <v>160</v>
      </c>
      <c r="D224">
        <v>3800.4</v>
      </c>
      <c r="E224">
        <v>3830.95</v>
      </c>
      <c r="F224">
        <v>3749.15</v>
      </c>
      <c r="G224">
        <v>3787.4</v>
      </c>
      <c r="H224">
        <v>0</v>
      </c>
      <c r="I224" s="8">
        <f t="shared" si="13"/>
        <v>-2.5939824873263406E-3</v>
      </c>
      <c r="J224" s="8">
        <f t="shared" si="14"/>
        <v>-2.5973526893235169E-3</v>
      </c>
      <c r="K224" s="8">
        <f t="shared" si="11"/>
        <v>0.10534226385909617</v>
      </c>
    </row>
    <row r="225" spans="1:11" x14ac:dyDescent="0.25">
      <c r="A225" t="str">
        <f t="shared" si="12"/>
        <v>112017</v>
      </c>
      <c r="B225" s="1">
        <v>43063</v>
      </c>
      <c r="C225" t="s">
        <v>161</v>
      </c>
      <c r="D225">
        <v>3790.05</v>
      </c>
      <c r="E225">
        <v>3790.15</v>
      </c>
      <c r="F225">
        <v>3752.65</v>
      </c>
      <c r="G225">
        <v>3765.9</v>
      </c>
      <c r="H225">
        <v>0</v>
      </c>
      <c r="I225" s="8">
        <f t="shared" si="13"/>
        <v>-5.6767175370966427E-3</v>
      </c>
      <c r="J225" s="8">
        <f t="shared" si="14"/>
        <v>-5.6928913365322563E-3</v>
      </c>
      <c r="K225" s="8">
        <f t="shared" si="11"/>
        <v>0.11136031635950472</v>
      </c>
    </row>
    <row r="226" spans="1:11" x14ac:dyDescent="0.25">
      <c r="A226" t="str">
        <f t="shared" si="12"/>
        <v>112017</v>
      </c>
      <c r="B226" s="1">
        <v>43066</v>
      </c>
      <c r="C226" t="s">
        <v>162</v>
      </c>
      <c r="D226">
        <v>3752.95</v>
      </c>
      <c r="E226">
        <v>3765.9</v>
      </c>
      <c r="F226">
        <v>3723.85</v>
      </c>
      <c r="G226">
        <v>3739.75</v>
      </c>
      <c r="H226">
        <v>0</v>
      </c>
      <c r="I226" s="8">
        <f t="shared" si="13"/>
        <v>-6.9438912344991222E-3</v>
      </c>
      <c r="J226" s="8">
        <f t="shared" si="14"/>
        <v>-6.9681122377021698E-3</v>
      </c>
      <c r="K226" s="8">
        <f t="shared" si="11"/>
        <v>7.5196940946466562E-2</v>
      </c>
    </row>
    <row r="227" spans="1:11" x14ac:dyDescent="0.25">
      <c r="A227" t="str">
        <f t="shared" si="12"/>
        <v>112017</v>
      </c>
      <c r="B227" s="1">
        <v>43067</v>
      </c>
      <c r="C227" t="s">
        <v>163</v>
      </c>
      <c r="D227">
        <v>3738.4</v>
      </c>
      <c r="E227">
        <v>3778.45</v>
      </c>
      <c r="F227">
        <v>3718.4</v>
      </c>
      <c r="G227">
        <v>3735.85</v>
      </c>
      <c r="H227">
        <v>0</v>
      </c>
      <c r="I227" s="8">
        <f t="shared" si="13"/>
        <v>-1.0428504579182984E-3</v>
      </c>
      <c r="J227" s="8">
        <f t="shared" si="14"/>
        <v>-1.0433946047991997E-3</v>
      </c>
      <c r="K227" s="8">
        <f t="shared" si="11"/>
        <v>7.5111155877232161E-2</v>
      </c>
    </row>
    <row r="228" spans="1:11" x14ac:dyDescent="0.25">
      <c r="A228" t="str">
        <f t="shared" si="12"/>
        <v>112017</v>
      </c>
      <c r="B228" s="1">
        <v>43068</v>
      </c>
      <c r="C228" t="s">
        <v>164</v>
      </c>
      <c r="D228">
        <v>3743.45</v>
      </c>
      <c r="E228">
        <v>3756.8</v>
      </c>
      <c r="F228">
        <v>3712.2</v>
      </c>
      <c r="G228">
        <v>3721.9</v>
      </c>
      <c r="H228">
        <v>0</v>
      </c>
      <c r="I228" s="8">
        <f t="shared" si="13"/>
        <v>-3.7340899661388871E-3</v>
      </c>
      <c r="J228" s="8">
        <f t="shared" si="14"/>
        <v>-3.7410790841649819E-3</v>
      </c>
      <c r="K228" s="8">
        <f t="shared" si="11"/>
        <v>5.0642201834862455E-2</v>
      </c>
    </row>
    <row r="229" spans="1:11" x14ac:dyDescent="0.25">
      <c r="A229" t="str">
        <f t="shared" si="12"/>
        <v>112017</v>
      </c>
      <c r="B229" s="1">
        <v>43069</v>
      </c>
      <c r="C229" t="s">
        <v>165</v>
      </c>
      <c r="D229">
        <v>3701.6</v>
      </c>
      <c r="E229">
        <v>3718.65</v>
      </c>
      <c r="F229">
        <v>3668.6</v>
      </c>
      <c r="G229">
        <v>3678.35</v>
      </c>
      <c r="H229">
        <v>0</v>
      </c>
      <c r="I229" s="8">
        <f t="shared" si="13"/>
        <v>-1.1701012923506893E-2</v>
      </c>
      <c r="J229" s="8">
        <f t="shared" si="14"/>
        <v>-1.177000851553661E-2</v>
      </c>
      <c r="K229" s="8">
        <f t="shared" si="11"/>
        <v>3.68559025820272E-2</v>
      </c>
    </row>
    <row r="230" spans="1:11" x14ac:dyDescent="0.25">
      <c r="A230" t="str">
        <f t="shared" si="12"/>
        <v>122017</v>
      </c>
      <c r="B230" s="1">
        <v>43070</v>
      </c>
      <c r="C230" s="10">
        <v>42747.645833333336</v>
      </c>
      <c r="D230">
        <v>3693.3</v>
      </c>
      <c r="E230">
        <v>3700.55</v>
      </c>
      <c r="F230">
        <v>3610.5</v>
      </c>
      <c r="G230">
        <v>3617.9</v>
      </c>
      <c r="H230">
        <v>0</v>
      </c>
      <c r="I230" s="8">
        <f t="shared" si="13"/>
        <v>-1.6433998939741956E-2</v>
      </c>
      <c r="J230" s="8">
        <f t="shared" si="14"/>
        <v>-1.6570535056687697E-2</v>
      </c>
      <c r="K230" s="8">
        <f t="shared" si="11"/>
        <v>1.1109092687562105E-2</v>
      </c>
    </row>
    <row r="231" spans="1:11" x14ac:dyDescent="0.25">
      <c r="A231" t="str">
        <f t="shared" si="12"/>
        <v>122017</v>
      </c>
      <c r="B231" s="1">
        <v>43073</v>
      </c>
      <c r="C231" s="10">
        <v>42837.645833333336</v>
      </c>
      <c r="D231">
        <v>3637.95</v>
      </c>
      <c r="E231">
        <v>3661.65</v>
      </c>
      <c r="F231">
        <v>3606.3</v>
      </c>
      <c r="G231">
        <v>3630.75</v>
      </c>
      <c r="H231">
        <v>0</v>
      </c>
      <c r="I231" s="8">
        <f t="shared" si="13"/>
        <v>3.5517841841952169E-3</v>
      </c>
      <c r="J231" s="8">
        <f t="shared" si="14"/>
        <v>3.545491494531565E-3</v>
      </c>
      <c r="K231" s="8">
        <f t="shared" si="11"/>
        <v>7.1707953063884222E-3</v>
      </c>
    </row>
    <row r="232" spans="1:11" x14ac:dyDescent="0.25">
      <c r="A232" t="str">
        <f t="shared" si="12"/>
        <v>122017</v>
      </c>
      <c r="B232" s="1">
        <v>43074</v>
      </c>
      <c r="C232" s="10">
        <v>42867.645833333336</v>
      </c>
      <c r="D232">
        <v>3622.85</v>
      </c>
      <c r="E232">
        <v>3623.9</v>
      </c>
      <c r="F232">
        <v>3571.8</v>
      </c>
      <c r="G232">
        <v>3601.15</v>
      </c>
      <c r="H232">
        <v>0</v>
      </c>
      <c r="I232" s="8">
        <f t="shared" si="13"/>
        <v>-8.1525855539489323E-3</v>
      </c>
      <c r="J232" s="8">
        <f t="shared" si="14"/>
        <v>-8.1859996107809096E-3</v>
      </c>
      <c r="K232" s="8">
        <f t="shared" si="11"/>
        <v>-1.2409499780605571E-2</v>
      </c>
    </row>
    <row r="233" spans="1:11" x14ac:dyDescent="0.25">
      <c r="A233" t="str">
        <f t="shared" si="12"/>
        <v>122017</v>
      </c>
      <c r="B233" s="1">
        <v>43075</v>
      </c>
      <c r="C233" s="10">
        <v>42898.645833333336</v>
      </c>
      <c r="D233">
        <v>3556.85</v>
      </c>
      <c r="E233">
        <v>3559.3</v>
      </c>
      <c r="F233">
        <v>3521.45</v>
      </c>
      <c r="G233">
        <v>3530.75</v>
      </c>
      <c r="H233">
        <v>0</v>
      </c>
      <c r="I233" s="8">
        <f t="shared" si="13"/>
        <v>-1.9549310636879924E-2</v>
      </c>
      <c r="J233" s="8">
        <f t="shared" si="14"/>
        <v>-1.9742925927959384E-2</v>
      </c>
      <c r="K233" s="8">
        <f t="shared" si="11"/>
        <v>-3.3452415171299821E-2</v>
      </c>
    </row>
    <row r="234" spans="1:11" x14ac:dyDescent="0.25">
      <c r="A234" t="str">
        <f t="shared" si="12"/>
        <v>122017</v>
      </c>
      <c r="B234" s="1">
        <v>43076</v>
      </c>
      <c r="C234" s="10">
        <v>42928.645833333336</v>
      </c>
      <c r="D234">
        <v>3538.3</v>
      </c>
      <c r="E234">
        <v>3601.5</v>
      </c>
      <c r="F234">
        <v>3530.45</v>
      </c>
      <c r="G234">
        <v>3594.9</v>
      </c>
      <c r="H234">
        <v>0</v>
      </c>
      <c r="I234" s="8">
        <f t="shared" si="13"/>
        <v>1.8168944275295695E-2</v>
      </c>
      <c r="J234" s="8">
        <f t="shared" si="14"/>
        <v>1.8005861407407495E-2</v>
      </c>
      <c r="K234" s="8">
        <f t="shared" si="11"/>
        <v>-2.1795918367346956E-2</v>
      </c>
    </row>
    <row r="235" spans="1:11" x14ac:dyDescent="0.25">
      <c r="A235" t="str">
        <f t="shared" si="12"/>
        <v>122017</v>
      </c>
      <c r="B235" s="1">
        <v>43077</v>
      </c>
      <c r="C235" s="10">
        <v>42959.645833333336</v>
      </c>
      <c r="D235">
        <v>3617.3</v>
      </c>
      <c r="E235">
        <v>3680.7</v>
      </c>
      <c r="F235">
        <v>3607.8</v>
      </c>
      <c r="G235">
        <v>3643.5</v>
      </c>
      <c r="H235">
        <v>0</v>
      </c>
      <c r="I235" s="8">
        <f t="shared" si="13"/>
        <v>1.3519152132187129E-2</v>
      </c>
      <c r="J235" s="8">
        <f t="shared" si="14"/>
        <v>1.3428583753756128E-2</v>
      </c>
      <c r="K235" s="8">
        <f t="shared" si="11"/>
        <v>-1.8202395548429728E-2</v>
      </c>
    </row>
    <row r="236" spans="1:11" x14ac:dyDescent="0.25">
      <c r="A236" t="str">
        <f t="shared" si="12"/>
        <v>122017</v>
      </c>
      <c r="B236" s="1">
        <v>43080</v>
      </c>
      <c r="C236" s="10">
        <v>43051.645833333336</v>
      </c>
      <c r="D236">
        <v>3656.55</v>
      </c>
      <c r="E236">
        <v>3669.45</v>
      </c>
      <c r="F236">
        <v>3620.6</v>
      </c>
      <c r="G236">
        <v>3649.75</v>
      </c>
      <c r="H236">
        <v>0</v>
      </c>
      <c r="I236" s="8">
        <f t="shared" si="13"/>
        <v>1.7153835597638611E-3</v>
      </c>
      <c r="J236" s="8">
        <f t="shared" si="14"/>
        <v>1.7139139697523165E-3</v>
      </c>
      <c r="K236" s="8">
        <f t="shared" si="11"/>
        <v>-5.8292360704411683E-3</v>
      </c>
    </row>
    <row r="237" spans="1:11" x14ac:dyDescent="0.25">
      <c r="A237" t="str">
        <f t="shared" si="12"/>
        <v>122017</v>
      </c>
      <c r="B237" s="1">
        <v>43081</v>
      </c>
      <c r="C237" s="10">
        <v>43081.645833333336</v>
      </c>
      <c r="D237">
        <v>3649.7</v>
      </c>
      <c r="E237">
        <v>3699.1</v>
      </c>
      <c r="F237">
        <v>3613.25</v>
      </c>
      <c r="G237">
        <v>3619.3</v>
      </c>
      <c r="H237">
        <v>0</v>
      </c>
      <c r="I237" s="8">
        <f t="shared" si="13"/>
        <v>-8.3430371943282733E-3</v>
      </c>
      <c r="J237" s="8">
        <f t="shared" si="14"/>
        <v>-8.3780351244393241E-3</v>
      </c>
      <c r="K237" s="8">
        <f t="shared" si="11"/>
        <v>-8.5196142888450677E-3</v>
      </c>
    </row>
    <row r="238" spans="1:11" x14ac:dyDescent="0.25">
      <c r="A238" t="str">
        <f t="shared" si="12"/>
        <v>122017</v>
      </c>
      <c r="B238" s="1">
        <v>43082</v>
      </c>
      <c r="C238" t="s">
        <v>166</v>
      </c>
      <c r="D238">
        <v>3624.9</v>
      </c>
      <c r="E238">
        <v>3626.9</v>
      </c>
      <c r="F238">
        <v>3542.5</v>
      </c>
      <c r="G238">
        <v>3563.3</v>
      </c>
      <c r="H238">
        <v>0</v>
      </c>
      <c r="I238" s="8">
        <f t="shared" si="13"/>
        <v>-1.5472605199900569E-2</v>
      </c>
      <c r="J238" s="8">
        <f t="shared" si="14"/>
        <v>-1.5593555185373059E-2</v>
      </c>
      <c r="K238" s="8">
        <f t="shared" si="11"/>
        <v>-2.7297791608658861E-2</v>
      </c>
    </row>
    <row r="239" spans="1:11" x14ac:dyDescent="0.25">
      <c r="A239" t="str">
        <f t="shared" si="12"/>
        <v>122017</v>
      </c>
      <c r="B239" s="1">
        <v>43083</v>
      </c>
      <c r="C239" t="s">
        <v>167</v>
      </c>
      <c r="D239">
        <v>3579.35</v>
      </c>
      <c r="E239">
        <v>3590.3</v>
      </c>
      <c r="F239">
        <v>3526.3</v>
      </c>
      <c r="G239">
        <v>3570.95</v>
      </c>
      <c r="H239">
        <v>0</v>
      </c>
      <c r="I239" s="8">
        <f t="shared" si="13"/>
        <v>2.1468863132487748E-3</v>
      </c>
      <c r="J239" s="8">
        <f t="shared" si="14"/>
        <v>2.1445850459453578E-3</v>
      </c>
      <c r="K239" s="8">
        <f t="shared" si="11"/>
        <v>-3.2197303340334771E-2</v>
      </c>
    </row>
    <row r="240" spans="1:11" x14ac:dyDescent="0.25">
      <c r="A240" t="str">
        <f t="shared" si="12"/>
        <v>122017</v>
      </c>
      <c r="B240" s="1">
        <v>43084</v>
      </c>
      <c r="C240" t="s">
        <v>168</v>
      </c>
      <c r="D240">
        <v>3625.4</v>
      </c>
      <c r="E240">
        <v>3672.9</v>
      </c>
      <c r="F240">
        <v>3622.85</v>
      </c>
      <c r="G240">
        <v>3665.9</v>
      </c>
      <c r="H240">
        <v>0</v>
      </c>
      <c r="I240" s="8">
        <f t="shared" si="13"/>
        <v>2.6589563001442329E-2</v>
      </c>
      <c r="J240" s="8">
        <f t="shared" si="14"/>
        <v>2.6242204524533054E-2</v>
      </c>
      <c r="K240" s="8">
        <f t="shared" si="11"/>
        <v>7.3706049355770631E-4</v>
      </c>
    </row>
    <row r="241" spans="1:11" x14ac:dyDescent="0.25">
      <c r="A241" t="str">
        <f t="shared" si="12"/>
        <v>122017</v>
      </c>
      <c r="B241" s="1">
        <v>43087</v>
      </c>
      <c r="C241" t="s">
        <v>169</v>
      </c>
      <c r="D241">
        <v>3638.75</v>
      </c>
      <c r="E241">
        <v>3778.6</v>
      </c>
      <c r="F241">
        <v>3552.8</v>
      </c>
      <c r="G241">
        <v>3726.9</v>
      </c>
      <c r="H241">
        <v>0</v>
      </c>
      <c r="I241" s="8">
        <f t="shared" si="13"/>
        <v>1.6639842876237765E-2</v>
      </c>
      <c r="J241" s="8">
        <f t="shared" si="14"/>
        <v>1.6502917546985657E-2</v>
      </c>
      <c r="K241" s="8">
        <f t="shared" si="11"/>
        <v>1.8125691494447427E-2</v>
      </c>
    </row>
    <row r="242" spans="1:11" x14ac:dyDescent="0.25">
      <c r="A242" t="str">
        <f t="shared" si="12"/>
        <v>122017</v>
      </c>
      <c r="B242" s="1">
        <v>43088</v>
      </c>
      <c r="C242" t="s">
        <v>170</v>
      </c>
      <c r="D242">
        <v>3752.8</v>
      </c>
      <c r="E242">
        <v>3789.6</v>
      </c>
      <c r="F242">
        <v>3745</v>
      </c>
      <c r="G242">
        <v>3781.3</v>
      </c>
      <c r="H242">
        <v>0</v>
      </c>
      <c r="I242" s="8">
        <f t="shared" si="13"/>
        <v>1.4596581609380488E-2</v>
      </c>
      <c r="J242" s="8">
        <f t="shared" si="14"/>
        <v>1.4491076944481592E-2</v>
      </c>
      <c r="K242" s="8">
        <f t="shared" si="11"/>
        <v>3.9161261954490545E-2</v>
      </c>
    </row>
    <row r="243" spans="1:11" x14ac:dyDescent="0.25">
      <c r="A243" t="str">
        <f t="shared" si="12"/>
        <v>122017</v>
      </c>
      <c r="B243" s="1">
        <v>43089</v>
      </c>
      <c r="C243" t="s">
        <v>171</v>
      </c>
      <c r="D243">
        <v>3803.8</v>
      </c>
      <c r="E243">
        <v>3832.75</v>
      </c>
      <c r="F243">
        <v>3763.95</v>
      </c>
      <c r="G243">
        <v>3806.4</v>
      </c>
      <c r="H243">
        <v>0</v>
      </c>
      <c r="I243" s="8">
        <f t="shared" si="13"/>
        <v>6.637928754661182E-3</v>
      </c>
      <c r="J243" s="8">
        <f t="shared" si="14"/>
        <v>6.6159947164708063E-3</v>
      </c>
      <c r="K243" s="8">
        <f t="shared" si="11"/>
        <v>9.0096798212956131E-2</v>
      </c>
    </row>
    <row r="244" spans="1:11" x14ac:dyDescent="0.25">
      <c r="A244" t="str">
        <f t="shared" si="12"/>
        <v>122017</v>
      </c>
      <c r="B244" s="1">
        <v>43090</v>
      </c>
      <c r="C244" t="s">
        <v>172</v>
      </c>
      <c r="D244">
        <v>3821.2</v>
      </c>
      <c r="E244">
        <v>3846.4</v>
      </c>
      <c r="F244">
        <v>3813.6</v>
      </c>
      <c r="G244">
        <v>3839.85</v>
      </c>
      <c r="H244">
        <v>0</v>
      </c>
      <c r="I244" s="8">
        <f t="shared" si="13"/>
        <v>8.7878310214375421E-3</v>
      </c>
      <c r="J244" s="8">
        <f t="shared" si="14"/>
        <v>8.7494427701199536E-3</v>
      </c>
      <c r="K244" s="8">
        <f t="shared" si="11"/>
        <v>0.11296774006550536</v>
      </c>
    </row>
    <row r="245" spans="1:11" x14ac:dyDescent="0.25">
      <c r="A245" t="str">
        <f t="shared" si="12"/>
        <v>122017</v>
      </c>
      <c r="B245" s="1">
        <v>43091</v>
      </c>
      <c r="C245" t="s">
        <v>173</v>
      </c>
      <c r="D245">
        <v>3850.45</v>
      </c>
      <c r="E245">
        <v>3852.35</v>
      </c>
      <c r="F245">
        <v>3818.35</v>
      </c>
      <c r="G245">
        <v>3839.3</v>
      </c>
      <c r="H245">
        <v>0</v>
      </c>
      <c r="I245" s="8">
        <f t="shared" si="13"/>
        <v>-1.4323476177446892E-4</v>
      </c>
      <c r="J245" s="8">
        <f t="shared" si="14"/>
        <v>-1.4324502085260866E-4</v>
      </c>
      <c r="K245" s="8">
        <f t="shared" si="11"/>
        <v>8.6681479175216847E-2</v>
      </c>
    </row>
    <row r="246" spans="1:11" x14ac:dyDescent="0.25">
      <c r="A246" t="str">
        <f t="shared" si="12"/>
        <v>122017</v>
      </c>
      <c r="B246" s="1">
        <v>43095</v>
      </c>
      <c r="C246" t="s">
        <v>174</v>
      </c>
      <c r="D246">
        <v>3858.45</v>
      </c>
      <c r="E246">
        <v>3891.95</v>
      </c>
      <c r="F246">
        <v>3853.8</v>
      </c>
      <c r="G246">
        <v>3885.8</v>
      </c>
      <c r="H246">
        <v>0</v>
      </c>
      <c r="I246" s="8">
        <f t="shared" si="13"/>
        <v>1.2111582840621971E-2</v>
      </c>
      <c r="J246" s="8">
        <f t="shared" si="14"/>
        <v>1.2038824511051973E-2</v>
      </c>
      <c r="K246" s="8">
        <f t="shared" si="11"/>
        <v>0.11750834004371336</v>
      </c>
    </row>
    <row r="247" spans="1:11" x14ac:dyDescent="0.25">
      <c r="A247" t="str">
        <f t="shared" si="12"/>
        <v>122017</v>
      </c>
      <c r="B247" s="1">
        <v>43096</v>
      </c>
      <c r="C247" t="s">
        <v>175</v>
      </c>
      <c r="D247">
        <v>3890.7</v>
      </c>
      <c r="E247">
        <v>3909.1</v>
      </c>
      <c r="F247">
        <v>3855.1</v>
      </c>
      <c r="G247">
        <v>3879.4</v>
      </c>
      <c r="H247">
        <v>0</v>
      </c>
      <c r="I247" s="8">
        <f t="shared" si="13"/>
        <v>-1.6470224921509846E-3</v>
      </c>
      <c r="J247" s="8">
        <f t="shared" si="14"/>
        <v>-1.6483803248212542E-3</v>
      </c>
      <c r="K247" s="8">
        <f t="shared" si="11"/>
        <v>0.10790935442875305</v>
      </c>
    </row>
    <row r="248" spans="1:11" x14ac:dyDescent="0.25">
      <c r="A248" t="str">
        <f t="shared" si="12"/>
        <v>122017</v>
      </c>
      <c r="B248" s="1">
        <v>43097</v>
      </c>
      <c r="C248" t="s">
        <v>176</v>
      </c>
      <c r="D248">
        <v>3894.15</v>
      </c>
      <c r="E248">
        <v>3976.3</v>
      </c>
      <c r="F248">
        <v>3894.15</v>
      </c>
      <c r="G248">
        <v>3959.95</v>
      </c>
      <c r="H248">
        <v>0</v>
      </c>
      <c r="I248" s="8">
        <f t="shared" si="13"/>
        <v>2.076352013197913E-2</v>
      </c>
      <c r="J248" s="8">
        <f t="shared" si="14"/>
        <v>2.0550896421996655E-2</v>
      </c>
      <c r="K248" s="8">
        <f t="shared" si="11"/>
        <v>0.1153846153846152</v>
      </c>
    </row>
    <row r="249" spans="1:11" x14ac:dyDescent="0.25">
      <c r="A249" t="str">
        <f t="shared" si="12"/>
        <v>122017</v>
      </c>
      <c r="B249" s="1">
        <v>43098</v>
      </c>
      <c r="C249" t="s">
        <v>177</v>
      </c>
      <c r="D249">
        <v>3974.5</v>
      </c>
      <c r="E249">
        <v>3985.5</v>
      </c>
      <c r="F249">
        <v>3916.05</v>
      </c>
      <c r="G249">
        <v>3940.15</v>
      </c>
      <c r="H249">
        <v>0</v>
      </c>
      <c r="I249" s="8">
        <f t="shared" si="13"/>
        <v>-5.0000631321102107E-3</v>
      </c>
      <c r="J249" s="8">
        <f t="shared" si="14"/>
        <v>-5.0126052729032909E-3</v>
      </c>
      <c r="K249" s="8">
        <f t="shared" si="11"/>
        <v>9.6435329474621634E-2</v>
      </c>
    </row>
    <row r="250" spans="1:11" x14ac:dyDescent="0.25">
      <c r="A250" t="str">
        <f t="shared" si="12"/>
        <v>12018</v>
      </c>
      <c r="B250" s="1">
        <v>43101</v>
      </c>
      <c r="C250" s="10">
        <v>43101.645833333336</v>
      </c>
      <c r="D250">
        <v>3942.65</v>
      </c>
      <c r="E250">
        <v>3980.7</v>
      </c>
      <c r="F250">
        <v>3908.8</v>
      </c>
      <c r="G250">
        <v>3919.2</v>
      </c>
      <c r="H250">
        <v>0</v>
      </c>
      <c r="I250" s="8">
        <f t="shared" si="13"/>
        <v>-5.3170564572415646E-3</v>
      </c>
      <c r="J250" s="8">
        <f t="shared" si="14"/>
        <v>-5.3312423089197499E-3</v>
      </c>
      <c r="K250" s="8">
        <f t="shared" si="11"/>
        <v>9.2277249797943162E-2</v>
      </c>
    </row>
    <row r="251" spans="1:11" x14ac:dyDescent="0.25">
      <c r="A251" t="str">
        <f t="shared" si="12"/>
        <v>12018</v>
      </c>
      <c r="B251" s="1">
        <v>43102</v>
      </c>
      <c r="C251" s="10">
        <v>43132.645833333336</v>
      </c>
      <c r="D251">
        <v>3942.7</v>
      </c>
      <c r="E251">
        <v>3947.65</v>
      </c>
      <c r="F251">
        <v>3874.85</v>
      </c>
      <c r="G251">
        <v>3942.85</v>
      </c>
      <c r="H251">
        <v>0</v>
      </c>
      <c r="I251" s="8">
        <f t="shared" si="13"/>
        <v>6.0343947744438964E-3</v>
      </c>
      <c r="J251" s="8">
        <f t="shared" si="14"/>
        <v>6.0162607297193109E-3</v>
      </c>
      <c r="K251" s="8">
        <f t="shared" si="11"/>
        <v>9.5723099155180069E-2</v>
      </c>
    </row>
    <row r="252" spans="1:11" x14ac:dyDescent="0.25">
      <c r="A252" t="str">
        <f t="shared" si="12"/>
        <v>12018</v>
      </c>
      <c r="B252" s="1">
        <v>43103</v>
      </c>
      <c r="C252" s="10">
        <v>43160.645833333336</v>
      </c>
      <c r="D252">
        <v>3965.7</v>
      </c>
      <c r="E252">
        <v>4015.45</v>
      </c>
      <c r="F252">
        <v>3964.85</v>
      </c>
      <c r="G252">
        <v>4000.2</v>
      </c>
      <c r="H252">
        <v>0</v>
      </c>
      <c r="I252" s="8">
        <f t="shared" si="13"/>
        <v>1.4545316205282877E-2</v>
      </c>
      <c r="J252" s="8">
        <f t="shared" si="14"/>
        <v>1.4440547797985008E-2</v>
      </c>
      <c r="K252" s="8">
        <f t="shared" si="11"/>
        <v>7.7785262023440715E-2</v>
      </c>
    </row>
    <row r="253" spans="1:11" x14ac:dyDescent="0.25">
      <c r="A253" t="str">
        <f t="shared" si="12"/>
        <v>12018</v>
      </c>
      <c r="B253" s="1">
        <v>43104</v>
      </c>
      <c r="C253" s="10">
        <v>43191.645833333336</v>
      </c>
      <c r="D253">
        <v>4018.3</v>
      </c>
      <c r="E253">
        <v>4123.8500000000004</v>
      </c>
      <c r="F253">
        <v>3990.95</v>
      </c>
      <c r="G253">
        <v>4112</v>
      </c>
      <c r="H253">
        <v>0</v>
      </c>
      <c r="I253" s="8">
        <f t="shared" si="13"/>
        <v>2.7948602569871639E-2</v>
      </c>
      <c r="J253" s="8">
        <f t="shared" si="14"/>
        <v>2.7565168282931828E-2</v>
      </c>
      <c r="K253" s="8">
        <f t="shared" si="11"/>
        <v>0.10601557351695212</v>
      </c>
    </row>
    <row r="254" spans="1:11" x14ac:dyDescent="0.25">
      <c r="A254" t="str">
        <f t="shared" si="12"/>
        <v>12018</v>
      </c>
      <c r="B254" s="1">
        <v>43105</v>
      </c>
      <c r="C254" s="10">
        <v>43221.645833333336</v>
      </c>
      <c r="D254">
        <v>4130.95</v>
      </c>
      <c r="E254">
        <v>4181.6499999999996</v>
      </c>
      <c r="F254">
        <v>4119.7</v>
      </c>
      <c r="G254">
        <v>4130.3999999999996</v>
      </c>
      <c r="H254">
        <v>0</v>
      </c>
      <c r="I254" s="8">
        <f t="shared" si="13"/>
        <v>4.4747081712062098E-3</v>
      </c>
      <c r="J254" s="8">
        <f t="shared" si="14"/>
        <v>4.4647264304383026E-3</v>
      </c>
      <c r="K254" s="8">
        <f t="shared" si="11"/>
        <v>0.10986013892061086</v>
      </c>
    </row>
    <row r="255" spans="1:11" x14ac:dyDescent="0.25">
      <c r="A255" t="str">
        <f t="shared" si="12"/>
        <v>12018</v>
      </c>
      <c r="B255" s="1">
        <v>43108</v>
      </c>
      <c r="C255" s="10">
        <v>43313.645833333336</v>
      </c>
      <c r="D255">
        <v>4147.6499999999996</v>
      </c>
      <c r="E255">
        <v>4176.45</v>
      </c>
      <c r="F255">
        <v>4127.3999999999996</v>
      </c>
      <c r="G255">
        <v>4166.3500000000004</v>
      </c>
      <c r="H255">
        <v>0</v>
      </c>
      <c r="I255" s="8">
        <f t="shared" si="13"/>
        <v>8.7037575053265925E-3</v>
      </c>
      <c r="J255" s="8">
        <f t="shared" si="14"/>
        <v>8.6660981686973431E-3</v>
      </c>
      <c r="K255" s="8">
        <f t="shared" si="11"/>
        <v>0.13572489743624705</v>
      </c>
    </row>
    <row r="256" spans="1:11" x14ac:dyDescent="0.25">
      <c r="A256" t="str">
        <f t="shared" si="12"/>
        <v>12018</v>
      </c>
      <c r="B256" s="1">
        <v>43109</v>
      </c>
      <c r="C256" s="10">
        <v>43344.645833333336</v>
      </c>
      <c r="D256">
        <v>4197.8999999999996</v>
      </c>
      <c r="E256">
        <v>4207.6000000000004</v>
      </c>
      <c r="F256">
        <v>4155.3500000000004</v>
      </c>
      <c r="G256">
        <v>4166.6000000000004</v>
      </c>
      <c r="H256">
        <v>0</v>
      </c>
      <c r="I256" s="8">
        <f t="shared" si="13"/>
        <v>6.0004560346493818E-5</v>
      </c>
      <c r="J256" s="8">
        <f t="shared" si="14"/>
        <v>6.0002760144875809E-5</v>
      </c>
      <c r="K256" s="8">
        <f t="shared" ref="K256:K319" si="15">+G256/G195-1</f>
        <v>0.11363241524008094</v>
      </c>
    </row>
    <row r="257" spans="1:11" x14ac:dyDescent="0.25">
      <c r="A257" t="str">
        <f t="shared" si="12"/>
        <v>12018</v>
      </c>
      <c r="B257" s="1">
        <v>43110</v>
      </c>
      <c r="C257" s="10">
        <v>43374.645833333336</v>
      </c>
      <c r="D257">
        <v>4179.6499999999996</v>
      </c>
      <c r="E257">
        <v>4209.3500000000004</v>
      </c>
      <c r="F257">
        <v>4142.25</v>
      </c>
      <c r="G257">
        <v>4169.6000000000004</v>
      </c>
      <c r="H257">
        <v>0</v>
      </c>
      <c r="I257" s="8">
        <f t="shared" si="13"/>
        <v>7.2001152018441594E-4</v>
      </c>
      <c r="J257" s="8">
        <f t="shared" si="14"/>
        <v>7.1975243624463866E-4</v>
      </c>
      <c r="K257" s="8">
        <f t="shared" si="15"/>
        <v>0.10174261140690444</v>
      </c>
    </row>
    <row r="258" spans="1:11" x14ac:dyDescent="0.25">
      <c r="A258" t="str">
        <f t="shared" si="12"/>
        <v>12018</v>
      </c>
      <c r="B258" s="1">
        <v>43111</v>
      </c>
      <c r="C258" s="10">
        <v>43405.645833333336</v>
      </c>
      <c r="D258">
        <v>4174.1499999999996</v>
      </c>
      <c r="E258">
        <v>4181.3500000000004</v>
      </c>
      <c r="F258">
        <v>4149.6499999999996</v>
      </c>
      <c r="G258">
        <v>4163.7</v>
      </c>
      <c r="H258">
        <v>0</v>
      </c>
      <c r="I258" s="8">
        <f t="shared" si="13"/>
        <v>-1.4150038372986451E-3</v>
      </c>
      <c r="J258" s="8">
        <f t="shared" si="14"/>
        <v>-1.4160059006222778E-3</v>
      </c>
      <c r="K258" s="8">
        <f t="shared" si="15"/>
        <v>7.9951756604287549E-2</v>
      </c>
    </row>
    <row r="259" spans="1:11" x14ac:dyDescent="0.25">
      <c r="A259" t="str">
        <f t="shared" ref="A259:A322" si="16">+MONTH(B259)&amp;YEAR(B259)</f>
        <v>12018</v>
      </c>
      <c r="B259" s="1">
        <v>43112</v>
      </c>
      <c r="C259" s="10">
        <v>43435.645833333336</v>
      </c>
      <c r="D259">
        <v>4178.8999999999996</v>
      </c>
      <c r="E259">
        <v>4210</v>
      </c>
      <c r="F259">
        <v>4148.3</v>
      </c>
      <c r="G259">
        <v>4189.5</v>
      </c>
      <c r="H259">
        <v>0</v>
      </c>
      <c r="I259" s="8">
        <f t="shared" si="13"/>
        <v>6.1964118452337846E-3</v>
      </c>
      <c r="J259" s="8">
        <f t="shared" si="14"/>
        <v>6.1772930234373158E-3</v>
      </c>
      <c r="K259" s="8">
        <f t="shared" si="15"/>
        <v>8.3075888990861158E-2</v>
      </c>
    </row>
    <row r="260" spans="1:11" x14ac:dyDescent="0.25">
      <c r="A260" t="str">
        <f t="shared" si="16"/>
        <v>12018</v>
      </c>
      <c r="B260" s="1">
        <v>43115</v>
      </c>
      <c r="C260" t="s">
        <v>178</v>
      </c>
      <c r="D260">
        <v>4206.75</v>
      </c>
      <c r="E260">
        <v>4256.3999999999996</v>
      </c>
      <c r="F260">
        <v>4184.3999999999996</v>
      </c>
      <c r="G260">
        <v>4195.75</v>
      </c>
      <c r="H260">
        <v>0</v>
      </c>
      <c r="I260" s="8">
        <f t="shared" ref="I260:I323" si="17">+G260/G259-1</f>
        <v>1.4918248000954648E-3</v>
      </c>
      <c r="J260" s="8">
        <f t="shared" ref="J260:J323" si="18">+LN(1+I260)</f>
        <v>1.4907131349474613E-3</v>
      </c>
      <c r="K260" s="8">
        <f t="shared" si="15"/>
        <v>8.8758855126242375E-2</v>
      </c>
    </row>
    <row r="261" spans="1:11" x14ac:dyDescent="0.25">
      <c r="A261" t="str">
        <f t="shared" si="16"/>
        <v>12018</v>
      </c>
      <c r="B261" s="1">
        <v>43116</v>
      </c>
      <c r="C261" t="s">
        <v>179</v>
      </c>
      <c r="D261">
        <v>4203.55</v>
      </c>
      <c r="E261">
        <v>4205.8</v>
      </c>
      <c r="F261">
        <v>4056.2</v>
      </c>
      <c r="G261">
        <v>4076.4</v>
      </c>
      <c r="H261">
        <v>0</v>
      </c>
      <c r="I261" s="8">
        <f t="shared" si="17"/>
        <v>-2.8445450753738832E-2</v>
      </c>
      <c r="J261" s="8">
        <f t="shared" si="18"/>
        <v>-2.885786223375E-2</v>
      </c>
      <c r="K261" s="8">
        <f t="shared" si="15"/>
        <v>6.71483546689704E-2</v>
      </c>
    </row>
    <row r="262" spans="1:11" x14ac:dyDescent="0.25">
      <c r="A262" t="str">
        <f t="shared" si="16"/>
        <v>12018</v>
      </c>
      <c r="B262" s="1">
        <v>43117</v>
      </c>
      <c r="C262" t="s">
        <v>180</v>
      </c>
      <c r="D262">
        <v>4079.6</v>
      </c>
      <c r="E262">
        <v>4129.2</v>
      </c>
      <c r="F262">
        <v>4005.3</v>
      </c>
      <c r="G262">
        <v>4117.6499999999996</v>
      </c>
      <c r="H262">
        <v>0</v>
      </c>
      <c r="I262" s="8">
        <f t="shared" si="17"/>
        <v>1.0119222843685494E-2</v>
      </c>
      <c r="J262" s="8">
        <f t="shared" si="18"/>
        <v>1.0068366306200491E-2</v>
      </c>
      <c r="K262" s="8">
        <f t="shared" si="15"/>
        <v>7.1411844296419558E-2</v>
      </c>
    </row>
    <row r="263" spans="1:11" x14ac:dyDescent="0.25">
      <c r="A263" t="str">
        <f t="shared" si="16"/>
        <v>12018</v>
      </c>
      <c r="B263" s="1">
        <v>43118</v>
      </c>
      <c r="C263" t="s">
        <v>181</v>
      </c>
      <c r="D263">
        <v>4133.55</v>
      </c>
      <c r="E263">
        <v>4136.5</v>
      </c>
      <c r="F263">
        <v>3965.8</v>
      </c>
      <c r="G263">
        <v>3998.85</v>
      </c>
      <c r="H263">
        <v>0</v>
      </c>
      <c r="I263" s="8">
        <f t="shared" si="17"/>
        <v>-2.8851407963280007E-2</v>
      </c>
      <c r="J263" s="8">
        <f t="shared" si="18"/>
        <v>-2.9275792494759385E-2</v>
      </c>
      <c r="K263" s="8">
        <f t="shared" si="15"/>
        <v>3.6427960500738488E-2</v>
      </c>
    </row>
    <row r="264" spans="1:11" x14ac:dyDescent="0.25">
      <c r="A264" t="str">
        <f t="shared" si="16"/>
        <v>12018</v>
      </c>
      <c r="B264" s="1">
        <v>43119</v>
      </c>
      <c r="C264" t="s">
        <v>182</v>
      </c>
      <c r="D264">
        <v>4002</v>
      </c>
      <c r="E264">
        <v>4043.9</v>
      </c>
      <c r="F264">
        <v>3957.65</v>
      </c>
      <c r="G264">
        <v>4033.4</v>
      </c>
      <c r="H264">
        <v>0</v>
      </c>
      <c r="I264" s="8">
        <f t="shared" si="17"/>
        <v>8.6399839953987811E-3</v>
      </c>
      <c r="J264" s="8">
        <f t="shared" si="18"/>
        <v>8.6028729397617781E-3</v>
      </c>
      <c r="K264" s="8">
        <f t="shared" si="15"/>
        <v>4.1535938851660958E-2</v>
      </c>
    </row>
    <row r="265" spans="1:11" x14ac:dyDescent="0.25">
      <c r="A265" t="str">
        <f t="shared" si="16"/>
        <v>12018</v>
      </c>
      <c r="B265" s="1">
        <v>43122</v>
      </c>
      <c r="C265" t="s">
        <v>183</v>
      </c>
      <c r="D265">
        <v>4044.5</v>
      </c>
      <c r="E265">
        <v>4045.65</v>
      </c>
      <c r="F265">
        <v>3985.1</v>
      </c>
      <c r="G265">
        <v>4006.15</v>
      </c>
      <c r="H265">
        <v>0</v>
      </c>
      <c r="I265" s="8">
        <f t="shared" si="17"/>
        <v>-6.7560866762532701E-3</v>
      </c>
      <c r="J265" s="8">
        <f t="shared" si="18"/>
        <v>-6.7790123467320719E-3</v>
      </c>
      <c r="K265" s="8">
        <f t="shared" si="15"/>
        <v>1.3714748415339262E-2</v>
      </c>
    </row>
    <row r="266" spans="1:11" x14ac:dyDescent="0.25">
      <c r="A266" t="str">
        <f t="shared" si="16"/>
        <v>12018</v>
      </c>
      <c r="B266" s="1">
        <v>43123</v>
      </c>
      <c r="C266" t="s">
        <v>184</v>
      </c>
      <c r="D266">
        <v>4015.25</v>
      </c>
      <c r="E266">
        <v>4218.7</v>
      </c>
      <c r="F266">
        <v>4015.25</v>
      </c>
      <c r="G266">
        <v>4169</v>
      </c>
      <c r="H266">
        <v>0</v>
      </c>
      <c r="I266" s="8">
        <f t="shared" si="17"/>
        <v>4.065000062404045E-2</v>
      </c>
      <c r="J266" s="8">
        <f t="shared" si="18"/>
        <v>3.9845518521787478E-2</v>
      </c>
      <c r="K266" s="8">
        <f t="shared" si="15"/>
        <v>5.6700377664562929E-2</v>
      </c>
    </row>
    <row r="267" spans="1:11" x14ac:dyDescent="0.25">
      <c r="A267" t="str">
        <f t="shared" si="16"/>
        <v>12018</v>
      </c>
      <c r="B267" s="1">
        <v>43124</v>
      </c>
      <c r="C267" t="s">
        <v>185</v>
      </c>
      <c r="D267">
        <v>4160.3999999999996</v>
      </c>
      <c r="E267">
        <v>4160.55</v>
      </c>
      <c r="F267">
        <v>4086.5</v>
      </c>
      <c r="G267">
        <v>4097.3500000000004</v>
      </c>
      <c r="H267">
        <v>0</v>
      </c>
      <c r="I267" s="8">
        <f t="shared" si="17"/>
        <v>-1.718637562964731E-2</v>
      </c>
      <c r="J267" s="8">
        <f t="shared" si="18"/>
        <v>-1.7335775620504201E-2</v>
      </c>
      <c r="K267" s="8">
        <f t="shared" si="15"/>
        <v>3.8868675599954328E-2</v>
      </c>
    </row>
    <row r="268" spans="1:11" x14ac:dyDescent="0.25">
      <c r="A268" t="str">
        <f t="shared" si="16"/>
        <v>12018</v>
      </c>
      <c r="B268" s="1">
        <v>43125</v>
      </c>
      <c r="C268" t="s">
        <v>186</v>
      </c>
      <c r="D268">
        <v>4108.3999999999996</v>
      </c>
      <c r="E268">
        <v>4184.2</v>
      </c>
      <c r="F268">
        <v>4107.1499999999996</v>
      </c>
      <c r="G268">
        <v>4135.1499999999996</v>
      </c>
      <c r="H268">
        <v>0</v>
      </c>
      <c r="I268" s="8">
        <f t="shared" si="17"/>
        <v>9.2254750021354415E-3</v>
      </c>
      <c r="J268" s="8">
        <f t="shared" si="18"/>
        <v>9.1831802348360404E-3</v>
      </c>
      <c r="K268" s="8">
        <f t="shared" si="15"/>
        <v>6.6708800350827158E-2</v>
      </c>
    </row>
    <row r="269" spans="1:11" x14ac:dyDescent="0.25">
      <c r="A269" t="str">
        <f t="shared" si="16"/>
        <v>12018</v>
      </c>
      <c r="B269" s="1">
        <v>43129</v>
      </c>
      <c r="C269" t="s">
        <v>187</v>
      </c>
      <c r="D269">
        <v>4154.45</v>
      </c>
      <c r="E269">
        <v>4216.6499999999996</v>
      </c>
      <c r="F269">
        <v>4122.1000000000004</v>
      </c>
      <c r="G269">
        <v>4140.8500000000004</v>
      </c>
      <c r="H269">
        <v>0</v>
      </c>
      <c r="I269" s="8">
        <f t="shared" si="17"/>
        <v>1.3784264174214744E-3</v>
      </c>
      <c r="J269" s="8">
        <f t="shared" si="18"/>
        <v>1.3774772598564747E-3</v>
      </c>
      <c r="K269" s="8">
        <f t="shared" si="15"/>
        <v>4.9272754915872685E-2</v>
      </c>
    </row>
    <row r="270" spans="1:11" x14ac:dyDescent="0.25">
      <c r="A270" t="str">
        <f t="shared" si="16"/>
        <v>12018</v>
      </c>
      <c r="B270" s="1">
        <v>43130</v>
      </c>
      <c r="C270" t="s">
        <v>188</v>
      </c>
      <c r="D270">
        <v>4130.6000000000004</v>
      </c>
      <c r="E270">
        <v>4137.8</v>
      </c>
      <c r="F270">
        <v>4091.1</v>
      </c>
      <c r="G270">
        <v>4116.25</v>
      </c>
      <c r="H270">
        <v>0</v>
      </c>
      <c r="I270" s="8">
        <f t="shared" si="17"/>
        <v>-5.9408092541387569E-3</v>
      </c>
      <c r="J270" s="8">
        <f t="shared" si="18"/>
        <v>-5.9585260644111782E-3</v>
      </c>
      <c r="K270" s="8">
        <f t="shared" si="15"/>
        <v>4.4468409033240341E-2</v>
      </c>
    </row>
    <row r="271" spans="1:11" x14ac:dyDescent="0.25">
      <c r="A271" t="str">
        <f t="shared" si="16"/>
        <v>12018</v>
      </c>
      <c r="B271" s="1">
        <v>43131</v>
      </c>
      <c r="C271" t="s">
        <v>189</v>
      </c>
      <c r="D271">
        <v>4117.6499999999996</v>
      </c>
      <c r="E271">
        <v>4144.8</v>
      </c>
      <c r="F271">
        <v>4043.45</v>
      </c>
      <c r="G271">
        <v>4065.85</v>
      </c>
      <c r="H271">
        <v>0</v>
      </c>
      <c r="I271" s="8">
        <f t="shared" si="17"/>
        <v>-1.2244154266626173E-2</v>
      </c>
      <c r="J271" s="8">
        <f t="shared" si="18"/>
        <v>-1.23197314764373E-2</v>
      </c>
      <c r="K271" s="8">
        <f t="shared" si="15"/>
        <v>3.2360857200893767E-2</v>
      </c>
    </row>
    <row r="272" spans="1:11" x14ac:dyDescent="0.25">
      <c r="A272" t="str">
        <f t="shared" si="16"/>
        <v>22018</v>
      </c>
      <c r="B272" s="1">
        <v>43132</v>
      </c>
      <c r="C272" s="10">
        <v>43102.645833333336</v>
      </c>
      <c r="D272">
        <v>4082.9</v>
      </c>
      <c r="E272">
        <v>4108.2</v>
      </c>
      <c r="F272">
        <v>3957.05</v>
      </c>
      <c r="G272">
        <v>4071.4</v>
      </c>
      <c r="H272">
        <v>0</v>
      </c>
      <c r="I272" s="8">
        <f t="shared" si="17"/>
        <v>1.3650282228807598E-3</v>
      </c>
      <c r="J272" s="8">
        <f t="shared" si="18"/>
        <v>1.3640974188090641E-3</v>
      </c>
      <c r="K272" s="8">
        <f t="shared" si="15"/>
        <v>3.0277725058518445E-2</v>
      </c>
    </row>
    <row r="273" spans="1:11" x14ac:dyDescent="0.25">
      <c r="A273" t="str">
        <f t="shared" si="16"/>
        <v>22018</v>
      </c>
      <c r="B273" s="1">
        <v>43133</v>
      </c>
      <c r="C273" s="10">
        <v>43133.645833333336</v>
      </c>
      <c r="D273">
        <v>4031.6</v>
      </c>
      <c r="E273">
        <v>4077</v>
      </c>
      <c r="F273">
        <v>3915.45</v>
      </c>
      <c r="G273">
        <v>3948.3</v>
      </c>
      <c r="H273">
        <v>0</v>
      </c>
      <c r="I273" s="8">
        <f t="shared" si="17"/>
        <v>-3.0235299896841372E-2</v>
      </c>
      <c r="J273" s="8">
        <f t="shared" si="18"/>
        <v>-3.0701814124558177E-2</v>
      </c>
      <c r="K273" s="8">
        <f t="shared" si="15"/>
        <v>1.6149579853560025E-2</v>
      </c>
    </row>
    <row r="274" spans="1:11" x14ac:dyDescent="0.25">
      <c r="A274" t="str">
        <f t="shared" si="16"/>
        <v>22018</v>
      </c>
      <c r="B274" s="1">
        <v>43136</v>
      </c>
      <c r="C274" s="10">
        <v>43222.645833333336</v>
      </c>
      <c r="D274">
        <v>3874.95</v>
      </c>
      <c r="E274">
        <v>3960.3</v>
      </c>
      <c r="F274">
        <v>3793.3</v>
      </c>
      <c r="G274">
        <v>3926.55</v>
      </c>
      <c r="H274">
        <v>0</v>
      </c>
      <c r="I274" s="8">
        <f t="shared" si="17"/>
        <v>-5.5086999468125786E-3</v>
      </c>
      <c r="J274" s="8">
        <f t="shared" si="18"/>
        <v>-5.5239287875235698E-3</v>
      </c>
      <c r="K274" s="8">
        <f t="shared" si="15"/>
        <v>2.4673799582463518E-2</v>
      </c>
    </row>
    <row r="275" spans="1:11" x14ac:dyDescent="0.25">
      <c r="A275" t="str">
        <f t="shared" si="16"/>
        <v>22018</v>
      </c>
      <c r="B275" s="1">
        <v>43137</v>
      </c>
      <c r="C275" s="10">
        <v>43253.645833333336</v>
      </c>
      <c r="D275">
        <v>3748.7</v>
      </c>
      <c r="E275">
        <v>3922.95</v>
      </c>
      <c r="F275">
        <v>3718.35</v>
      </c>
      <c r="G275">
        <v>3862</v>
      </c>
      <c r="H275">
        <v>0</v>
      </c>
      <c r="I275" s="8">
        <f t="shared" si="17"/>
        <v>-1.6439367892934098E-2</v>
      </c>
      <c r="J275" s="8">
        <f t="shared" si="18"/>
        <v>-1.6575993732404481E-2</v>
      </c>
      <c r="K275" s="8">
        <f t="shared" si="15"/>
        <v>3.1820248068057388E-3</v>
      </c>
    </row>
    <row r="276" spans="1:11" x14ac:dyDescent="0.25">
      <c r="A276" t="str">
        <f t="shared" si="16"/>
        <v>22018</v>
      </c>
      <c r="B276" s="1">
        <v>43138</v>
      </c>
      <c r="C276" s="10">
        <v>43283.645833333336</v>
      </c>
      <c r="D276">
        <v>3900.8</v>
      </c>
      <c r="E276">
        <v>3954.3</v>
      </c>
      <c r="F276">
        <v>3860.2</v>
      </c>
      <c r="G276">
        <v>3879.75</v>
      </c>
      <c r="H276">
        <v>0</v>
      </c>
      <c r="I276" s="8">
        <f t="shared" si="17"/>
        <v>4.5960642154323494E-3</v>
      </c>
      <c r="J276" s="8">
        <f t="shared" si="18"/>
        <v>4.5855345632743322E-3</v>
      </c>
      <c r="K276" s="8">
        <f t="shared" si="15"/>
        <v>3.6345293219857133E-3</v>
      </c>
    </row>
    <row r="277" spans="1:11" x14ac:dyDescent="0.25">
      <c r="A277" t="str">
        <f t="shared" si="16"/>
        <v>22018</v>
      </c>
      <c r="B277" s="1">
        <v>43139</v>
      </c>
      <c r="C277" s="10">
        <v>43314.645833333336</v>
      </c>
      <c r="D277">
        <v>3872.95</v>
      </c>
      <c r="E277">
        <v>3966.75</v>
      </c>
      <c r="F277">
        <v>3844.7</v>
      </c>
      <c r="G277">
        <v>3936.45</v>
      </c>
      <c r="H277">
        <v>0</v>
      </c>
      <c r="I277" s="8">
        <f t="shared" si="17"/>
        <v>1.4614343707713084E-2</v>
      </c>
      <c r="J277" s="8">
        <f t="shared" si="18"/>
        <v>1.4508583353609836E-2</v>
      </c>
      <c r="K277" s="8">
        <f t="shared" si="15"/>
        <v>3.7956493078444176E-2</v>
      </c>
    </row>
    <row r="278" spans="1:11" x14ac:dyDescent="0.25">
      <c r="A278" t="str">
        <f t="shared" si="16"/>
        <v>22018</v>
      </c>
      <c r="B278" s="1">
        <v>43140</v>
      </c>
      <c r="C278" s="10">
        <v>43345.645833333336</v>
      </c>
      <c r="D278">
        <v>3852.15</v>
      </c>
      <c r="E278">
        <v>4004.5</v>
      </c>
      <c r="F278">
        <v>3844.4</v>
      </c>
      <c r="G278">
        <v>3986.4</v>
      </c>
      <c r="H278">
        <v>0</v>
      </c>
      <c r="I278" s="8">
        <f t="shared" si="17"/>
        <v>1.2689098045193026E-2</v>
      </c>
      <c r="J278" s="8">
        <f t="shared" si="18"/>
        <v>1.2609266061850801E-2</v>
      </c>
      <c r="K278" s="8">
        <f t="shared" si="15"/>
        <v>5.6629779338678743E-2</v>
      </c>
    </row>
    <row r="279" spans="1:11" x14ac:dyDescent="0.25">
      <c r="A279" t="str">
        <f t="shared" si="16"/>
        <v>22018</v>
      </c>
      <c r="B279" s="1">
        <v>43143</v>
      </c>
      <c r="C279" s="10">
        <v>43436.645833333336</v>
      </c>
      <c r="D279">
        <v>4063.75</v>
      </c>
      <c r="E279">
        <v>4063.75</v>
      </c>
      <c r="F279">
        <v>4014.35</v>
      </c>
      <c r="G279">
        <v>4028.95</v>
      </c>
      <c r="H279">
        <v>0</v>
      </c>
      <c r="I279" s="8">
        <f t="shared" si="17"/>
        <v>1.067379088902265E-2</v>
      </c>
      <c r="J279" s="8">
        <f t="shared" si="18"/>
        <v>1.0617228119845345E-2</v>
      </c>
      <c r="K279" s="8">
        <f t="shared" si="15"/>
        <v>0.10052035673800508</v>
      </c>
    </row>
    <row r="280" spans="1:11" x14ac:dyDescent="0.25">
      <c r="A280" t="str">
        <f t="shared" si="16"/>
        <v>22018</v>
      </c>
      <c r="B280" s="1">
        <v>43145</v>
      </c>
      <c r="C280" t="s">
        <v>190</v>
      </c>
      <c r="D280">
        <v>4066.2</v>
      </c>
      <c r="E280">
        <v>4076.3</v>
      </c>
      <c r="F280">
        <v>4006.6</v>
      </c>
      <c r="G280">
        <v>4024.75</v>
      </c>
      <c r="H280">
        <v>0</v>
      </c>
      <c r="I280" s="8">
        <f t="shared" si="17"/>
        <v>-1.0424552302709111E-3</v>
      </c>
      <c r="J280" s="8">
        <f t="shared" si="18"/>
        <v>-1.0429989646364712E-3</v>
      </c>
      <c r="K280" s="8">
        <f t="shared" si="15"/>
        <v>8.8402720499749954E-2</v>
      </c>
    </row>
    <row r="281" spans="1:11" x14ac:dyDescent="0.25">
      <c r="A281" t="str">
        <f t="shared" si="16"/>
        <v>22018</v>
      </c>
      <c r="B281" s="1">
        <v>43146</v>
      </c>
      <c r="C281" t="s">
        <v>191</v>
      </c>
      <c r="D281">
        <v>4054.1</v>
      </c>
      <c r="E281">
        <v>4113.1000000000004</v>
      </c>
      <c r="F281">
        <v>4035.45</v>
      </c>
      <c r="G281">
        <v>4052.55</v>
      </c>
      <c r="H281">
        <v>0</v>
      </c>
      <c r="I281" s="8">
        <f t="shared" si="17"/>
        <v>6.9072613205789501E-3</v>
      </c>
      <c r="J281" s="8">
        <f t="shared" si="18"/>
        <v>6.8835154742383428E-3</v>
      </c>
      <c r="K281" s="8">
        <f t="shared" si="15"/>
        <v>7.5560332815796771E-2</v>
      </c>
    </row>
    <row r="282" spans="1:11" x14ac:dyDescent="0.25">
      <c r="A282" t="str">
        <f t="shared" si="16"/>
        <v>22018</v>
      </c>
      <c r="B282" s="1">
        <v>43147</v>
      </c>
      <c r="C282" t="s">
        <v>192</v>
      </c>
      <c r="D282">
        <v>4089.25</v>
      </c>
      <c r="E282">
        <v>4097.2</v>
      </c>
      <c r="F282">
        <v>3962.25</v>
      </c>
      <c r="G282">
        <v>3991.6</v>
      </c>
      <c r="H282">
        <v>0</v>
      </c>
      <c r="I282" s="8">
        <f t="shared" si="17"/>
        <v>-1.5039913141108752E-2</v>
      </c>
      <c r="J282" s="8">
        <f t="shared" si="18"/>
        <v>-1.5154159586484622E-2</v>
      </c>
      <c r="K282" s="8">
        <f t="shared" si="15"/>
        <v>4.5674241928089554E-2</v>
      </c>
    </row>
    <row r="283" spans="1:11" x14ac:dyDescent="0.25">
      <c r="A283" t="str">
        <f t="shared" si="16"/>
        <v>22018</v>
      </c>
      <c r="B283" s="1">
        <v>43150</v>
      </c>
      <c r="C283" t="s">
        <v>193</v>
      </c>
      <c r="D283">
        <v>4005.05</v>
      </c>
      <c r="E283">
        <v>4011.6</v>
      </c>
      <c r="F283">
        <v>3861.1</v>
      </c>
      <c r="G283">
        <v>3923.4</v>
      </c>
      <c r="H283">
        <v>0</v>
      </c>
      <c r="I283" s="8">
        <f t="shared" si="17"/>
        <v>-1.7085880348732263E-2</v>
      </c>
      <c r="J283" s="8">
        <f t="shared" si="18"/>
        <v>-1.7233528214872128E-2</v>
      </c>
      <c r="K283" s="8">
        <f t="shared" si="15"/>
        <v>2.6423189619087406E-2</v>
      </c>
    </row>
    <row r="284" spans="1:11" x14ac:dyDescent="0.25">
      <c r="A284" t="str">
        <f t="shared" si="16"/>
        <v>22018</v>
      </c>
      <c r="B284" s="1">
        <v>43151</v>
      </c>
      <c r="C284" t="s">
        <v>194</v>
      </c>
      <c r="D284">
        <v>3934.45</v>
      </c>
      <c r="E284">
        <v>3990.7</v>
      </c>
      <c r="F284">
        <v>3917.7</v>
      </c>
      <c r="G284">
        <v>3966.5</v>
      </c>
      <c r="H284">
        <v>0</v>
      </c>
      <c r="I284" s="8">
        <f t="shared" si="17"/>
        <v>1.0985369832288372E-2</v>
      </c>
      <c r="J284" s="8">
        <f t="shared" si="18"/>
        <v>1.0925468946772413E-2</v>
      </c>
      <c r="K284" s="8">
        <f t="shared" si="15"/>
        <v>4.4571729541115213E-2</v>
      </c>
    </row>
    <row r="285" spans="1:11" x14ac:dyDescent="0.25">
      <c r="A285" t="str">
        <f t="shared" si="16"/>
        <v>22018</v>
      </c>
      <c r="B285" s="1">
        <v>43152</v>
      </c>
      <c r="C285" t="s">
        <v>195</v>
      </c>
      <c r="D285">
        <v>3986.4</v>
      </c>
      <c r="E285">
        <v>3990.6</v>
      </c>
      <c r="F285">
        <v>3879.45</v>
      </c>
      <c r="G285">
        <v>3912.1</v>
      </c>
      <c r="H285">
        <v>0</v>
      </c>
      <c r="I285" s="8">
        <f t="shared" si="17"/>
        <v>-1.37148619689903E-2</v>
      </c>
      <c r="J285" s="8">
        <f t="shared" si="18"/>
        <v>-1.3809779541873405E-2</v>
      </c>
      <c r="K285" s="8">
        <f t="shared" si="15"/>
        <v>3.2924961715160794E-2</v>
      </c>
    </row>
    <row r="286" spans="1:11" x14ac:dyDescent="0.25">
      <c r="A286" t="str">
        <f t="shared" si="16"/>
        <v>22018</v>
      </c>
      <c r="B286" s="1">
        <v>43153</v>
      </c>
      <c r="C286" t="s">
        <v>196</v>
      </c>
      <c r="D286">
        <v>3891.45</v>
      </c>
      <c r="E286">
        <v>3931.3</v>
      </c>
      <c r="F286">
        <v>3863.35</v>
      </c>
      <c r="G286">
        <v>3904.3</v>
      </c>
      <c r="H286">
        <v>0</v>
      </c>
      <c r="I286" s="8">
        <f t="shared" si="17"/>
        <v>-1.9938140640576307E-3</v>
      </c>
      <c r="J286" s="8">
        <f t="shared" si="18"/>
        <v>-1.995804357275077E-3</v>
      </c>
      <c r="K286" s="8">
        <f t="shared" si="15"/>
        <v>3.6750843091956753E-2</v>
      </c>
    </row>
    <row r="287" spans="1:11" x14ac:dyDescent="0.25">
      <c r="A287" t="str">
        <f t="shared" si="16"/>
        <v>22018</v>
      </c>
      <c r="B287" s="1">
        <v>43154</v>
      </c>
      <c r="C287" t="s">
        <v>197</v>
      </c>
      <c r="D287">
        <v>3920.95</v>
      </c>
      <c r="E287">
        <v>4037.1</v>
      </c>
      <c r="F287">
        <v>3915.05</v>
      </c>
      <c r="G287">
        <v>4028.8</v>
      </c>
      <c r="H287">
        <v>0</v>
      </c>
      <c r="I287" s="8">
        <f t="shared" si="17"/>
        <v>3.1887918448889607E-2</v>
      </c>
      <c r="J287" s="8">
        <f t="shared" si="18"/>
        <v>3.139005500711884E-2</v>
      </c>
      <c r="K287" s="8">
        <f t="shared" si="15"/>
        <v>7.729126278494558E-2</v>
      </c>
    </row>
    <row r="288" spans="1:11" x14ac:dyDescent="0.25">
      <c r="A288" t="str">
        <f t="shared" si="16"/>
        <v>22018</v>
      </c>
      <c r="B288" s="1">
        <v>43157</v>
      </c>
      <c r="C288" t="s">
        <v>198</v>
      </c>
      <c r="D288">
        <v>4049.7</v>
      </c>
      <c r="E288">
        <v>4091.55</v>
      </c>
      <c r="F288">
        <v>4048.1</v>
      </c>
      <c r="G288">
        <v>4071.95</v>
      </c>
      <c r="H288">
        <v>0</v>
      </c>
      <c r="I288" s="8">
        <f t="shared" si="17"/>
        <v>1.0710385226370134E-2</v>
      </c>
      <c r="J288" s="8">
        <f t="shared" si="18"/>
        <v>1.065343532655437E-2</v>
      </c>
      <c r="K288" s="8">
        <f t="shared" si="15"/>
        <v>8.996613889743954E-2</v>
      </c>
    </row>
    <row r="289" spans="1:11" x14ac:dyDescent="0.25">
      <c r="A289" t="str">
        <f t="shared" si="16"/>
        <v>22018</v>
      </c>
      <c r="B289" s="1">
        <v>43158</v>
      </c>
      <c r="C289" t="s">
        <v>199</v>
      </c>
      <c r="D289">
        <v>4086.75</v>
      </c>
      <c r="E289">
        <v>4102.25</v>
      </c>
      <c r="F289">
        <v>4026.55</v>
      </c>
      <c r="G289">
        <v>4037.25</v>
      </c>
      <c r="H289">
        <v>0</v>
      </c>
      <c r="I289" s="8">
        <f t="shared" si="17"/>
        <v>-8.5217156399267635E-3</v>
      </c>
      <c r="J289" s="8">
        <f t="shared" si="18"/>
        <v>-8.5582330674059959E-3</v>
      </c>
      <c r="K289" s="8">
        <f t="shared" si="15"/>
        <v>8.4728230205002752E-2</v>
      </c>
    </row>
    <row r="290" spans="1:11" x14ac:dyDescent="0.25">
      <c r="A290" t="str">
        <f t="shared" si="16"/>
        <v>22018</v>
      </c>
      <c r="B290" s="1">
        <v>43159</v>
      </c>
      <c r="C290" t="s">
        <v>200</v>
      </c>
      <c r="D290">
        <v>3997.6</v>
      </c>
      <c r="E290">
        <v>4013.55</v>
      </c>
      <c r="F290">
        <v>3970.05</v>
      </c>
      <c r="G290">
        <v>3994.35</v>
      </c>
      <c r="H290">
        <v>0</v>
      </c>
      <c r="I290" s="8">
        <f t="shared" si="17"/>
        <v>-1.0626044956344116E-2</v>
      </c>
      <c r="J290" s="8">
        <f t="shared" si="18"/>
        <v>-1.0682904525656107E-2</v>
      </c>
      <c r="K290" s="8">
        <f t="shared" si="15"/>
        <v>8.5908083787567868E-2</v>
      </c>
    </row>
    <row r="291" spans="1:11" x14ac:dyDescent="0.25">
      <c r="A291" t="str">
        <f t="shared" si="16"/>
        <v>32018</v>
      </c>
      <c r="B291" s="1">
        <v>43160</v>
      </c>
      <c r="C291" s="10">
        <v>43103.645833333336</v>
      </c>
      <c r="D291">
        <v>3989.85</v>
      </c>
      <c r="E291">
        <v>4039.7</v>
      </c>
      <c r="F291">
        <v>3950.5</v>
      </c>
      <c r="G291">
        <v>3960.9</v>
      </c>
      <c r="H291">
        <v>0</v>
      </c>
      <c r="I291" s="8">
        <f t="shared" si="17"/>
        <v>-8.3743287393442944E-3</v>
      </c>
      <c r="J291" s="8">
        <f t="shared" si="18"/>
        <v>-8.4095904302551785E-3</v>
      </c>
      <c r="K291" s="8">
        <f t="shared" si="15"/>
        <v>9.4806379391359608E-2</v>
      </c>
    </row>
    <row r="292" spans="1:11" x14ac:dyDescent="0.25">
      <c r="A292" t="str">
        <f t="shared" si="16"/>
        <v>32018</v>
      </c>
      <c r="B292" s="1">
        <v>43164</v>
      </c>
      <c r="C292" s="10">
        <v>43223.645833333336</v>
      </c>
      <c r="D292">
        <v>3911.85</v>
      </c>
      <c r="E292">
        <v>3911.85</v>
      </c>
      <c r="F292">
        <v>3806.2</v>
      </c>
      <c r="G292">
        <v>3830.8</v>
      </c>
      <c r="H292">
        <v>0</v>
      </c>
      <c r="I292" s="8">
        <f t="shared" si="17"/>
        <v>-3.2846070337549493E-2</v>
      </c>
      <c r="J292" s="8">
        <f t="shared" si="18"/>
        <v>-3.3397613505800811E-2</v>
      </c>
      <c r="K292" s="8">
        <f t="shared" si="15"/>
        <v>5.5098808786063547E-2</v>
      </c>
    </row>
    <row r="293" spans="1:11" x14ac:dyDescent="0.25">
      <c r="A293" t="str">
        <f t="shared" si="16"/>
        <v>32018</v>
      </c>
      <c r="B293" s="1">
        <v>43165</v>
      </c>
      <c r="C293" s="10">
        <v>43254.645833333336</v>
      </c>
      <c r="D293">
        <v>3871.05</v>
      </c>
      <c r="E293">
        <v>3923.9</v>
      </c>
      <c r="F293">
        <v>3801.45</v>
      </c>
      <c r="G293">
        <v>3816.9</v>
      </c>
      <c r="H293">
        <v>0</v>
      </c>
      <c r="I293" s="8">
        <f t="shared" si="17"/>
        <v>-3.6284849117678153E-3</v>
      </c>
      <c r="J293" s="8">
        <f t="shared" si="18"/>
        <v>-3.6350838306998673E-3</v>
      </c>
      <c r="K293" s="8">
        <f t="shared" si="15"/>
        <v>5.9911417186176541E-2</v>
      </c>
    </row>
    <row r="294" spans="1:11" x14ac:dyDescent="0.25">
      <c r="A294" t="str">
        <f t="shared" si="16"/>
        <v>32018</v>
      </c>
      <c r="B294" s="1">
        <v>43166</v>
      </c>
      <c r="C294" s="10">
        <v>43284.645833333336</v>
      </c>
      <c r="D294">
        <v>3795.95</v>
      </c>
      <c r="E294">
        <v>3803.85</v>
      </c>
      <c r="F294">
        <v>3739.65</v>
      </c>
      <c r="G294">
        <v>3772.95</v>
      </c>
      <c r="H294">
        <v>0</v>
      </c>
      <c r="I294" s="8">
        <f t="shared" si="17"/>
        <v>-1.1514579894678967E-2</v>
      </c>
      <c r="J294" s="8">
        <f t="shared" si="18"/>
        <v>-1.1581385994331617E-2</v>
      </c>
      <c r="K294" s="8">
        <f t="shared" si="15"/>
        <v>6.859732351483383E-2</v>
      </c>
    </row>
    <row r="295" spans="1:11" x14ac:dyDescent="0.25">
      <c r="A295" t="str">
        <f t="shared" si="16"/>
        <v>32018</v>
      </c>
      <c r="B295" s="1">
        <v>43167</v>
      </c>
      <c r="C295" s="10">
        <v>43315.645833333336</v>
      </c>
      <c r="D295">
        <v>3814.45</v>
      </c>
      <c r="E295">
        <v>3831.45</v>
      </c>
      <c r="F295">
        <v>3707.3</v>
      </c>
      <c r="G295">
        <v>3756</v>
      </c>
      <c r="H295">
        <v>0</v>
      </c>
      <c r="I295" s="8">
        <f t="shared" si="17"/>
        <v>-4.4925058641115401E-3</v>
      </c>
      <c r="J295" s="8">
        <f t="shared" si="18"/>
        <v>-4.5026274942792108E-3</v>
      </c>
      <c r="K295" s="8">
        <f t="shared" si="15"/>
        <v>4.4813485771509676E-2</v>
      </c>
    </row>
    <row r="296" spans="1:11" x14ac:dyDescent="0.25">
      <c r="A296" t="str">
        <f t="shared" si="16"/>
        <v>32018</v>
      </c>
      <c r="B296" s="1">
        <v>43168</v>
      </c>
      <c r="C296" s="10">
        <v>43346.645833333336</v>
      </c>
      <c r="D296">
        <v>3777.9</v>
      </c>
      <c r="E296">
        <v>3798.2</v>
      </c>
      <c r="F296">
        <v>3677.7</v>
      </c>
      <c r="G296">
        <v>3688.15</v>
      </c>
      <c r="H296">
        <v>0</v>
      </c>
      <c r="I296" s="8">
        <f t="shared" si="17"/>
        <v>-1.8064430244941421E-2</v>
      </c>
      <c r="J296" s="8">
        <f t="shared" si="18"/>
        <v>-1.8229584027577732E-2</v>
      </c>
      <c r="K296" s="8">
        <f t="shared" si="15"/>
        <v>1.2254700150953868E-2</v>
      </c>
    </row>
    <row r="297" spans="1:11" x14ac:dyDescent="0.25">
      <c r="A297" t="str">
        <f t="shared" si="16"/>
        <v>32018</v>
      </c>
      <c r="B297" s="1">
        <v>43171</v>
      </c>
      <c r="C297" s="10">
        <v>43437.645833333336</v>
      </c>
      <c r="D297">
        <v>3722.85</v>
      </c>
      <c r="E297">
        <v>3775.7</v>
      </c>
      <c r="F297">
        <v>3691.2</v>
      </c>
      <c r="G297">
        <v>3766.9</v>
      </c>
      <c r="H297">
        <v>0</v>
      </c>
      <c r="I297" s="8">
        <f t="shared" si="17"/>
        <v>2.1352168431327367E-2</v>
      </c>
      <c r="J297" s="8">
        <f t="shared" si="18"/>
        <v>2.1127404715771191E-2</v>
      </c>
      <c r="K297" s="8">
        <f t="shared" si="15"/>
        <v>3.2098088910199385E-2</v>
      </c>
    </row>
    <row r="298" spans="1:11" x14ac:dyDescent="0.25">
      <c r="A298" t="str">
        <f t="shared" si="16"/>
        <v>32018</v>
      </c>
      <c r="B298" s="1">
        <v>43172</v>
      </c>
      <c r="C298" t="s">
        <v>201</v>
      </c>
      <c r="D298">
        <v>3752.95</v>
      </c>
      <c r="E298">
        <v>3798.5</v>
      </c>
      <c r="F298">
        <v>3717.35</v>
      </c>
      <c r="G298">
        <v>3786.9</v>
      </c>
      <c r="H298">
        <v>0</v>
      </c>
      <c r="I298" s="8">
        <f t="shared" si="17"/>
        <v>5.3094056120417399E-3</v>
      </c>
      <c r="J298" s="8">
        <f t="shared" si="18"/>
        <v>5.2953604105786889E-3</v>
      </c>
      <c r="K298" s="8">
        <f t="shared" si="15"/>
        <v>4.6307296991130897E-2</v>
      </c>
    </row>
    <row r="299" spans="1:11" x14ac:dyDescent="0.25">
      <c r="A299" t="str">
        <f t="shared" si="16"/>
        <v>32018</v>
      </c>
      <c r="B299" s="1">
        <v>43173</v>
      </c>
      <c r="C299" t="s">
        <v>202</v>
      </c>
      <c r="D299">
        <v>3757.05</v>
      </c>
      <c r="E299">
        <v>3790.7</v>
      </c>
      <c r="F299">
        <v>3742.4</v>
      </c>
      <c r="G299">
        <v>3765.35</v>
      </c>
      <c r="H299">
        <v>0</v>
      </c>
      <c r="I299" s="8">
        <f t="shared" si="17"/>
        <v>-5.6906704692493149E-3</v>
      </c>
      <c r="J299" s="8">
        <f t="shared" si="18"/>
        <v>-5.7069240261992662E-3</v>
      </c>
      <c r="K299" s="8">
        <f t="shared" si="15"/>
        <v>5.6703056155810616E-2</v>
      </c>
    </row>
    <row r="300" spans="1:11" x14ac:dyDescent="0.25">
      <c r="A300" t="str">
        <f t="shared" si="16"/>
        <v>32018</v>
      </c>
      <c r="B300" s="1">
        <v>43174</v>
      </c>
      <c r="C300" t="s">
        <v>203</v>
      </c>
      <c r="D300">
        <v>3765.45</v>
      </c>
      <c r="E300">
        <v>3782.7</v>
      </c>
      <c r="F300">
        <v>3739.7</v>
      </c>
      <c r="G300">
        <v>3753.6</v>
      </c>
      <c r="H300">
        <v>0</v>
      </c>
      <c r="I300" s="8">
        <f t="shared" si="17"/>
        <v>-3.1205598417145541E-3</v>
      </c>
      <c r="J300" s="8">
        <f t="shared" si="18"/>
        <v>-3.1254389415700961E-3</v>
      </c>
      <c r="K300" s="8">
        <f t="shared" si="15"/>
        <v>5.1148853946428874E-2</v>
      </c>
    </row>
    <row r="301" spans="1:11" x14ac:dyDescent="0.25">
      <c r="A301" t="str">
        <f t="shared" si="16"/>
        <v>32018</v>
      </c>
      <c r="B301" s="1">
        <v>43175</v>
      </c>
      <c r="C301" t="s">
        <v>204</v>
      </c>
      <c r="D301">
        <v>3721.1</v>
      </c>
      <c r="E301">
        <v>3732.9</v>
      </c>
      <c r="F301">
        <v>3648.95</v>
      </c>
      <c r="G301">
        <v>3664.5</v>
      </c>
      <c r="H301">
        <v>0</v>
      </c>
      <c r="I301" s="8">
        <f t="shared" si="17"/>
        <v>-2.3737212276214836E-2</v>
      </c>
      <c r="J301" s="8">
        <f t="shared" si="18"/>
        <v>-2.4023479093251476E-2</v>
      </c>
      <c r="K301" s="8">
        <f t="shared" si="15"/>
        <v>-3.81898033225192E-4</v>
      </c>
    </row>
    <row r="302" spans="1:11" x14ac:dyDescent="0.25">
      <c r="A302" t="str">
        <f t="shared" si="16"/>
        <v>32018</v>
      </c>
      <c r="B302" s="1">
        <v>43178</v>
      </c>
      <c r="C302" t="s">
        <v>205</v>
      </c>
      <c r="D302">
        <v>3672.85</v>
      </c>
      <c r="E302">
        <v>3676.9</v>
      </c>
      <c r="F302">
        <v>3546.9</v>
      </c>
      <c r="G302">
        <v>3566.8</v>
      </c>
      <c r="H302">
        <v>0</v>
      </c>
      <c r="I302" s="8">
        <f t="shared" si="17"/>
        <v>-2.6661208896165856E-2</v>
      </c>
      <c r="J302" s="8">
        <f t="shared" si="18"/>
        <v>-2.7023065105180412E-2</v>
      </c>
      <c r="K302" s="8">
        <f t="shared" si="15"/>
        <v>-4.2957954332018544E-2</v>
      </c>
    </row>
    <row r="303" spans="1:11" x14ac:dyDescent="0.25">
      <c r="A303" t="str">
        <f t="shared" si="16"/>
        <v>32018</v>
      </c>
      <c r="B303" s="1">
        <v>43179</v>
      </c>
      <c r="C303" t="s">
        <v>206</v>
      </c>
      <c r="D303">
        <v>3479.35</v>
      </c>
      <c r="E303">
        <v>3584.6</v>
      </c>
      <c r="F303">
        <v>3476.9</v>
      </c>
      <c r="G303">
        <v>3555.45</v>
      </c>
      <c r="H303">
        <v>0</v>
      </c>
      <c r="I303" s="8">
        <f t="shared" si="17"/>
        <v>-3.1821240327465361E-3</v>
      </c>
      <c r="J303" s="8">
        <f t="shared" si="18"/>
        <v>-3.1871977557628053E-3</v>
      </c>
      <c r="K303" s="8">
        <f t="shared" si="15"/>
        <v>-5.9728135826303208E-2</v>
      </c>
    </row>
    <row r="304" spans="1:11" x14ac:dyDescent="0.25">
      <c r="A304" t="str">
        <f t="shared" si="16"/>
        <v>32018</v>
      </c>
      <c r="B304" s="1">
        <v>43180</v>
      </c>
      <c r="C304" t="s">
        <v>207</v>
      </c>
      <c r="D304">
        <v>3582.7</v>
      </c>
      <c r="E304">
        <v>3596.9</v>
      </c>
      <c r="F304">
        <v>3522.9</v>
      </c>
      <c r="G304">
        <v>3539.1</v>
      </c>
      <c r="H304">
        <v>0</v>
      </c>
      <c r="I304" s="8">
        <f t="shared" si="17"/>
        <v>-4.5985740201661685E-3</v>
      </c>
      <c r="J304" s="8">
        <f t="shared" si="18"/>
        <v>-4.60917998905513E-3</v>
      </c>
      <c r="K304" s="8">
        <f t="shared" si="15"/>
        <v>-7.0223833543505698E-2</v>
      </c>
    </row>
    <row r="305" spans="1:11" x14ac:dyDescent="0.25">
      <c r="A305" t="str">
        <f t="shared" si="16"/>
        <v>32018</v>
      </c>
      <c r="B305" s="1">
        <v>43181</v>
      </c>
      <c r="C305" t="s">
        <v>208</v>
      </c>
      <c r="D305">
        <v>3547.95</v>
      </c>
      <c r="E305">
        <v>3572.35</v>
      </c>
      <c r="F305">
        <v>3518.05</v>
      </c>
      <c r="G305">
        <v>3550.4</v>
      </c>
      <c r="H305">
        <v>0</v>
      </c>
      <c r="I305" s="8">
        <f t="shared" si="17"/>
        <v>3.1929021502641319E-3</v>
      </c>
      <c r="J305" s="8">
        <f t="shared" si="18"/>
        <v>3.187815662422933E-3</v>
      </c>
      <c r="K305" s="8">
        <f t="shared" si="15"/>
        <v>-7.5380548719350959E-2</v>
      </c>
    </row>
    <row r="306" spans="1:11" x14ac:dyDescent="0.25">
      <c r="A306" t="str">
        <f t="shared" si="16"/>
        <v>32018</v>
      </c>
      <c r="B306" s="1">
        <v>43182</v>
      </c>
      <c r="C306" t="s">
        <v>209</v>
      </c>
      <c r="D306">
        <v>3454.7</v>
      </c>
      <c r="E306">
        <v>3470.85</v>
      </c>
      <c r="F306">
        <v>3409.7</v>
      </c>
      <c r="G306">
        <v>3447.55</v>
      </c>
      <c r="H306">
        <v>0</v>
      </c>
      <c r="I306" s="8">
        <f t="shared" si="17"/>
        <v>-2.8968566922036976E-2</v>
      </c>
      <c r="J306" s="8">
        <f t="shared" si="18"/>
        <v>-2.9396439352809698E-2</v>
      </c>
      <c r="K306" s="8">
        <f t="shared" si="15"/>
        <v>-0.10203682963040139</v>
      </c>
    </row>
    <row r="307" spans="1:11" x14ac:dyDescent="0.25">
      <c r="A307" t="str">
        <f t="shared" si="16"/>
        <v>32018</v>
      </c>
      <c r="B307" s="1">
        <v>43185</v>
      </c>
      <c r="C307" t="s">
        <v>210</v>
      </c>
      <c r="D307">
        <v>3451.85</v>
      </c>
      <c r="E307">
        <v>3540.05</v>
      </c>
      <c r="F307">
        <v>3415.45</v>
      </c>
      <c r="G307">
        <v>3521.35</v>
      </c>
      <c r="H307">
        <v>0</v>
      </c>
      <c r="I307" s="8">
        <f t="shared" si="17"/>
        <v>2.1406506069527653E-2</v>
      </c>
      <c r="J307" s="8">
        <f t="shared" si="18"/>
        <v>2.1180604967853223E-2</v>
      </c>
      <c r="K307" s="8">
        <f t="shared" si="15"/>
        <v>-9.3790210510062311E-2</v>
      </c>
    </row>
    <row r="308" spans="1:11" x14ac:dyDescent="0.25">
      <c r="A308" t="str">
        <f t="shared" si="16"/>
        <v>32018</v>
      </c>
      <c r="B308" s="1">
        <v>43186</v>
      </c>
      <c r="C308" t="s">
        <v>211</v>
      </c>
      <c r="D308">
        <v>3565.05</v>
      </c>
      <c r="E308">
        <v>3595.4</v>
      </c>
      <c r="F308">
        <v>3544.65</v>
      </c>
      <c r="G308">
        <v>3585.7</v>
      </c>
      <c r="H308">
        <v>0</v>
      </c>
      <c r="I308" s="8">
        <f t="shared" si="17"/>
        <v>1.8274241413094305E-2</v>
      </c>
      <c r="J308" s="8">
        <f t="shared" si="18"/>
        <v>1.8109274199507416E-2</v>
      </c>
      <c r="K308" s="8">
        <f t="shared" si="15"/>
        <v>-7.5707583646955734E-2</v>
      </c>
    </row>
    <row r="309" spans="1:11" x14ac:dyDescent="0.25">
      <c r="A309" t="str">
        <f t="shared" si="16"/>
        <v>32018</v>
      </c>
      <c r="B309" s="1">
        <v>43187</v>
      </c>
      <c r="C309" t="s">
        <v>212</v>
      </c>
      <c r="D309">
        <v>3550.3</v>
      </c>
      <c r="E309">
        <v>3552.9</v>
      </c>
      <c r="F309">
        <v>3501.6</v>
      </c>
      <c r="G309">
        <v>3512.55</v>
      </c>
      <c r="H309">
        <v>0</v>
      </c>
      <c r="I309" s="8">
        <f t="shared" si="17"/>
        <v>-2.0400479683185924E-2</v>
      </c>
      <c r="J309" s="8">
        <f t="shared" si="18"/>
        <v>-2.0611443576749294E-2</v>
      </c>
      <c r="K309" s="8">
        <f t="shared" si="15"/>
        <v>-0.11298122451041037</v>
      </c>
    </row>
    <row r="310" spans="1:11" x14ac:dyDescent="0.25">
      <c r="A310" t="str">
        <f t="shared" si="16"/>
        <v>42018</v>
      </c>
      <c r="B310" s="1">
        <v>43192</v>
      </c>
      <c r="C310" s="10">
        <v>43135.645833333336</v>
      </c>
      <c r="D310">
        <v>3543.45</v>
      </c>
      <c r="E310">
        <v>3548.45</v>
      </c>
      <c r="F310">
        <v>3499.05</v>
      </c>
      <c r="G310">
        <v>3539.55</v>
      </c>
      <c r="H310">
        <v>0</v>
      </c>
      <c r="I310" s="8">
        <f t="shared" si="17"/>
        <v>7.6867233206645569E-3</v>
      </c>
      <c r="J310" s="8">
        <f t="shared" si="18"/>
        <v>7.6573309873616442E-3</v>
      </c>
      <c r="K310" s="8">
        <f t="shared" si="15"/>
        <v>-0.10167125617045036</v>
      </c>
    </row>
    <row r="311" spans="1:11" x14ac:dyDescent="0.25">
      <c r="A311" t="str">
        <f t="shared" si="16"/>
        <v>42018</v>
      </c>
      <c r="B311" s="1">
        <v>43193</v>
      </c>
      <c r="C311" s="10">
        <v>43163.645833333336</v>
      </c>
      <c r="D311">
        <v>3508.15</v>
      </c>
      <c r="E311">
        <v>3567.9</v>
      </c>
      <c r="F311">
        <v>3499.3</v>
      </c>
      <c r="G311">
        <v>3559.85</v>
      </c>
      <c r="H311">
        <v>0</v>
      </c>
      <c r="I311" s="8">
        <f t="shared" si="17"/>
        <v>5.7351923267081606E-3</v>
      </c>
      <c r="J311" s="8">
        <f t="shared" si="18"/>
        <v>5.7188087234257548E-3</v>
      </c>
      <c r="K311" s="8">
        <f t="shared" si="15"/>
        <v>-9.1689630536844202E-2</v>
      </c>
    </row>
    <row r="312" spans="1:11" x14ac:dyDescent="0.25">
      <c r="A312" t="str">
        <f t="shared" si="16"/>
        <v>42018</v>
      </c>
      <c r="B312" s="1">
        <v>43194</v>
      </c>
      <c r="C312" s="10">
        <v>43194.645833333336</v>
      </c>
      <c r="D312">
        <v>3574.95</v>
      </c>
      <c r="E312">
        <v>3597.2</v>
      </c>
      <c r="F312">
        <v>3456.4</v>
      </c>
      <c r="G312">
        <v>3468.35</v>
      </c>
      <c r="H312">
        <v>0</v>
      </c>
      <c r="I312" s="8">
        <f t="shared" si="17"/>
        <v>-2.5703330196497065E-2</v>
      </c>
      <c r="J312" s="8">
        <f t="shared" si="18"/>
        <v>-2.6039432596811376E-2</v>
      </c>
      <c r="K312" s="8">
        <f t="shared" si="15"/>
        <v>-0.12034442091380604</v>
      </c>
    </row>
    <row r="313" spans="1:11" x14ac:dyDescent="0.25">
      <c r="A313" t="str">
        <f t="shared" si="16"/>
        <v>42018</v>
      </c>
      <c r="B313" s="1">
        <v>43195</v>
      </c>
      <c r="C313" s="10">
        <v>43224.645833333336</v>
      </c>
      <c r="D313">
        <v>3536.1</v>
      </c>
      <c r="E313">
        <v>3614</v>
      </c>
      <c r="F313">
        <v>3533.95</v>
      </c>
      <c r="G313">
        <v>3609.25</v>
      </c>
      <c r="H313">
        <v>0</v>
      </c>
      <c r="I313" s="8">
        <f t="shared" si="17"/>
        <v>4.0624504447359655E-2</v>
      </c>
      <c r="J313" s="8">
        <f t="shared" si="18"/>
        <v>3.9821017979816735E-2</v>
      </c>
      <c r="K313" s="8">
        <f t="shared" si="15"/>
        <v>-9.7732613369331478E-2</v>
      </c>
    </row>
    <row r="314" spans="1:11" x14ac:dyDescent="0.25">
      <c r="A314" t="str">
        <f t="shared" si="16"/>
        <v>42018</v>
      </c>
      <c r="B314" s="1">
        <v>43196</v>
      </c>
      <c r="C314" s="10">
        <v>43255.645833333336</v>
      </c>
      <c r="D314">
        <v>3577.35</v>
      </c>
      <c r="E314">
        <v>3617.25</v>
      </c>
      <c r="F314">
        <v>3567.15</v>
      </c>
      <c r="G314">
        <v>3604.05</v>
      </c>
      <c r="H314">
        <v>0</v>
      </c>
      <c r="I314" s="8">
        <f t="shared" si="17"/>
        <v>-1.4407425365380311E-3</v>
      </c>
      <c r="J314" s="8">
        <f t="shared" si="18"/>
        <v>-1.4417814040132602E-3</v>
      </c>
      <c r="K314" s="8">
        <f t="shared" si="15"/>
        <v>-0.12352869649805442</v>
      </c>
    </row>
    <row r="315" spans="1:11" x14ac:dyDescent="0.25">
      <c r="A315" t="str">
        <f t="shared" si="16"/>
        <v>42018</v>
      </c>
      <c r="B315" s="1">
        <v>43199</v>
      </c>
      <c r="C315" s="10">
        <v>43347.645833333336</v>
      </c>
      <c r="D315">
        <v>3607.9</v>
      </c>
      <c r="E315">
        <v>3654.15</v>
      </c>
      <c r="F315">
        <v>3602.45</v>
      </c>
      <c r="G315">
        <v>3609.55</v>
      </c>
      <c r="H315">
        <v>0</v>
      </c>
      <c r="I315" s="8">
        <f t="shared" si="17"/>
        <v>1.5260609591987162E-3</v>
      </c>
      <c r="J315" s="8">
        <f t="shared" si="18"/>
        <v>1.524897711480693E-3</v>
      </c>
      <c r="K315" s="8">
        <f t="shared" si="15"/>
        <v>-0.12610158822390072</v>
      </c>
    </row>
    <row r="316" spans="1:11" x14ac:dyDescent="0.25">
      <c r="A316" t="str">
        <f t="shared" si="16"/>
        <v>42018</v>
      </c>
      <c r="B316" s="1">
        <v>43200</v>
      </c>
      <c r="C316" s="10">
        <v>43377.645833333336</v>
      </c>
      <c r="D316">
        <v>3678.85</v>
      </c>
      <c r="E316">
        <v>3692.65</v>
      </c>
      <c r="F316">
        <v>3649.3</v>
      </c>
      <c r="G316">
        <v>3683.35</v>
      </c>
      <c r="H316">
        <v>0</v>
      </c>
      <c r="I316" s="8">
        <f t="shared" si="17"/>
        <v>2.0445761937083473E-2</v>
      </c>
      <c r="J316" s="8">
        <f t="shared" si="18"/>
        <v>2.0239553337038339E-2</v>
      </c>
      <c r="K316" s="8">
        <f t="shared" si="15"/>
        <v>-0.11592881058960491</v>
      </c>
    </row>
    <row r="317" spans="1:11" x14ac:dyDescent="0.25">
      <c r="A317" t="str">
        <f t="shared" si="16"/>
        <v>42018</v>
      </c>
      <c r="B317" s="1">
        <v>43201</v>
      </c>
      <c r="C317" s="10">
        <v>43408.645833333336</v>
      </c>
      <c r="D317">
        <v>3734.3</v>
      </c>
      <c r="E317">
        <v>3748.05</v>
      </c>
      <c r="F317">
        <v>3703.85</v>
      </c>
      <c r="G317">
        <v>3742</v>
      </c>
      <c r="H317">
        <v>0</v>
      </c>
      <c r="I317" s="8">
        <f t="shared" si="17"/>
        <v>1.5923004873281243E-2</v>
      </c>
      <c r="J317" s="8">
        <f t="shared" si="18"/>
        <v>1.579756367960531E-2</v>
      </c>
      <c r="K317" s="8">
        <f t="shared" si="15"/>
        <v>-0.10190563049008794</v>
      </c>
    </row>
    <row r="318" spans="1:11" x14ac:dyDescent="0.25">
      <c r="A318" t="str">
        <f t="shared" si="16"/>
        <v>42018</v>
      </c>
      <c r="B318" s="1">
        <v>43202</v>
      </c>
      <c r="C318" s="10">
        <v>43438.645833333336</v>
      </c>
      <c r="D318">
        <v>3732.6</v>
      </c>
      <c r="E318">
        <v>3733.5</v>
      </c>
      <c r="F318">
        <v>3681.2</v>
      </c>
      <c r="G318">
        <v>3690.45</v>
      </c>
      <c r="H318">
        <v>0</v>
      </c>
      <c r="I318" s="8">
        <f t="shared" si="17"/>
        <v>-1.3776055585248526E-2</v>
      </c>
      <c r="J318" s="8">
        <f t="shared" si="18"/>
        <v>-1.3871826015395322E-2</v>
      </c>
      <c r="K318" s="8">
        <f t="shared" si="15"/>
        <v>-0.11491509976976222</v>
      </c>
    </row>
    <row r="319" spans="1:11" x14ac:dyDescent="0.25">
      <c r="A319" t="str">
        <f t="shared" si="16"/>
        <v>42018</v>
      </c>
      <c r="B319" s="1">
        <v>43203</v>
      </c>
      <c r="C319" t="s">
        <v>213</v>
      </c>
      <c r="D319">
        <v>3710.05</v>
      </c>
      <c r="E319">
        <v>3745.7</v>
      </c>
      <c r="F319">
        <v>3698.75</v>
      </c>
      <c r="G319">
        <v>3725.45</v>
      </c>
      <c r="H319">
        <v>0</v>
      </c>
      <c r="I319" s="8">
        <f t="shared" si="17"/>
        <v>9.4839382731102262E-3</v>
      </c>
      <c r="J319" s="8">
        <f t="shared" si="18"/>
        <v>9.4392480677667288E-3</v>
      </c>
      <c r="K319" s="8">
        <f t="shared" si="15"/>
        <v>-0.10525494151836112</v>
      </c>
    </row>
    <row r="320" spans="1:11" x14ac:dyDescent="0.25">
      <c r="A320" t="str">
        <f t="shared" si="16"/>
        <v>42018</v>
      </c>
      <c r="B320" s="1">
        <v>43206</v>
      </c>
      <c r="C320" t="s">
        <v>214</v>
      </c>
      <c r="D320">
        <v>3707</v>
      </c>
      <c r="E320">
        <v>3739.2</v>
      </c>
      <c r="F320">
        <v>3696.5</v>
      </c>
      <c r="G320">
        <v>3731.5</v>
      </c>
      <c r="H320">
        <v>0</v>
      </c>
      <c r="I320" s="8">
        <f t="shared" si="17"/>
        <v>1.623964890147489E-3</v>
      </c>
      <c r="J320" s="8">
        <f t="shared" si="18"/>
        <v>1.6226476850356869E-3</v>
      </c>
      <c r="K320" s="8">
        <f t="shared" ref="K320:K383" si="19">+G320/G259-1</f>
        <v>-0.10932092135099658</v>
      </c>
    </row>
    <row r="321" spans="1:11" x14ac:dyDescent="0.25">
      <c r="A321" t="str">
        <f t="shared" si="16"/>
        <v>42018</v>
      </c>
      <c r="B321" s="1">
        <v>43207</v>
      </c>
      <c r="C321" t="s">
        <v>215</v>
      </c>
      <c r="D321">
        <v>3752.35</v>
      </c>
      <c r="E321">
        <v>3783.75</v>
      </c>
      <c r="F321">
        <v>3724.8</v>
      </c>
      <c r="G321">
        <v>3735.55</v>
      </c>
      <c r="H321">
        <v>0</v>
      </c>
      <c r="I321" s="8">
        <f t="shared" si="17"/>
        <v>1.0853544151145922E-3</v>
      </c>
      <c r="J321" s="8">
        <f t="shared" si="18"/>
        <v>1.0847658438451755E-3</v>
      </c>
      <c r="K321" s="8">
        <f t="shared" si="19"/>
        <v>-0.10968241673121604</v>
      </c>
    </row>
    <row r="322" spans="1:11" x14ac:dyDescent="0.25">
      <c r="A322" t="str">
        <f t="shared" si="16"/>
        <v>42018</v>
      </c>
      <c r="B322" s="1">
        <v>43208</v>
      </c>
      <c r="C322" t="s">
        <v>216</v>
      </c>
      <c r="D322">
        <v>3750.9</v>
      </c>
      <c r="E322">
        <v>3764.5</v>
      </c>
      <c r="F322">
        <v>3727.35</v>
      </c>
      <c r="G322">
        <v>3750.5</v>
      </c>
      <c r="H322">
        <v>0</v>
      </c>
      <c r="I322" s="8">
        <f t="shared" si="17"/>
        <v>4.0020880459370467E-3</v>
      </c>
      <c r="J322" s="8">
        <f t="shared" si="18"/>
        <v>3.9941009944037551E-3</v>
      </c>
      <c r="K322" s="8">
        <f t="shared" si="19"/>
        <v>-7.9947993327445843E-2</v>
      </c>
    </row>
    <row r="323" spans="1:11" x14ac:dyDescent="0.25">
      <c r="A323" t="str">
        <f t="shared" ref="A323:A386" si="20">+MONTH(B323)&amp;YEAR(B323)</f>
        <v>42018</v>
      </c>
      <c r="B323" s="1">
        <v>43209</v>
      </c>
      <c r="C323" t="s">
        <v>217</v>
      </c>
      <c r="D323">
        <v>3797</v>
      </c>
      <c r="E323">
        <v>3944.1</v>
      </c>
      <c r="F323">
        <v>3794.95</v>
      </c>
      <c r="G323">
        <v>3920.15</v>
      </c>
      <c r="H323">
        <v>0</v>
      </c>
      <c r="I323" s="8">
        <f t="shared" si="17"/>
        <v>4.5233968804159419E-2</v>
      </c>
      <c r="J323" s="8">
        <f t="shared" si="18"/>
        <v>4.4240753948841506E-2</v>
      </c>
      <c r="K323" s="8">
        <f t="shared" si="19"/>
        <v>-4.7964251454105988E-2</v>
      </c>
    </row>
    <row r="324" spans="1:11" x14ac:dyDescent="0.25">
      <c r="A324" t="str">
        <f t="shared" si="20"/>
        <v>42018</v>
      </c>
      <c r="B324" s="1">
        <v>43210</v>
      </c>
      <c r="C324" t="s">
        <v>218</v>
      </c>
      <c r="D324">
        <v>3869.35</v>
      </c>
      <c r="E324">
        <v>3902.05</v>
      </c>
      <c r="F324">
        <v>3831.85</v>
      </c>
      <c r="G324">
        <v>3891.45</v>
      </c>
      <c r="H324">
        <v>0</v>
      </c>
      <c r="I324" s="8">
        <f t="shared" ref="I324:I387" si="21">+G324/G323-1</f>
        <v>-7.3211484254429582E-3</v>
      </c>
      <c r="J324" s="8">
        <f t="shared" ref="J324:J387" si="22">+LN(1+I324)</f>
        <v>-7.3480795576290059E-3</v>
      </c>
      <c r="K324" s="8">
        <f t="shared" si="19"/>
        <v>-2.6857721594958583E-2</v>
      </c>
    </row>
    <row r="325" spans="1:11" x14ac:dyDescent="0.25">
      <c r="A325" t="str">
        <f t="shared" si="20"/>
        <v>42018</v>
      </c>
      <c r="B325" s="1">
        <v>43213</v>
      </c>
      <c r="C325" t="s">
        <v>219</v>
      </c>
      <c r="D325">
        <v>3893.2</v>
      </c>
      <c r="E325">
        <v>3907.1</v>
      </c>
      <c r="F325">
        <v>3854.65</v>
      </c>
      <c r="G325">
        <v>3861.55</v>
      </c>
      <c r="H325">
        <v>0</v>
      </c>
      <c r="I325" s="8">
        <f t="shared" si="21"/>
        <v>-7.6835112875662803E-3</v>
      </c>
      <c r="J325" s="8">
        <f t="shared" si="22"/>
        <v>-7.7131815392751319E-3</v>
      </c>
      <c r="K325" s="8">
        <f t="shared" si="19"/>
        <v>-4.2606733772995509E-2</v>
      </c>
    </row>
    <row r="326" spans="1:11" x14ac:dyDescent="0.25">
      <c r="A326" t="str">
        <f t="shared" si="20"/>
        <v>42018</v>
      </c>
      <c r="B326" s="1">
        <v>43214</v>
      </c>
      <c r="C326" t="s">
        <v>220</v>
      </c>
      <c r="D326">
        <v>3759.8</v>
      </c>
      <c r="E326">
        <v>3801.2</v>
      </c>
      <c r="F326">
        <v>3733.2</v>
      </c>
      <c r="G326">
        <v>3787.6</v>
      </c>
      <c r="H326">
        <v>0</v>
      </c>
      <c r="I326" s="8">
        <f t="shared" si="21"/>
        <v>-1.9150341184239528E-2</v>
      </c>
      <c r="J326" s="8">
        <f t="shared" si="22"/>
        <v>-1.9336084152283387E-2</v>
      </c>
      <c r="K326" s="8">
        <f t="shared" si="19"/>
        <v>-5.455362380340234E-2</v>
      </c>
    </row>
    <row r="327" spans="1:11" x14ac:dyDescent="0.25">
      <c r="A327" t="str">
        <f t="shared" si="20"/>
        <v>42018</v>
      </c>
      <c r="B327" s="1">
        <v>43215</v>
      </c>
      <c r="C327" t="s">
        <v>221</v>
      </c>
      <c r="D327">
        <v>3779.55</v>
      </c>
      <c r="E327">
        <v>3784.25</v>
      </c>
      <c r="F327">
        <v>3724.95</v>
      </c>
      <c r="G327">
        <v>3736.2</v>
      </c>
      <c r="H327">
        <v>0</v>
      </c>
      <c r="I327" s="8">
        <f t="shared" si="21"/>
        <v>-1.3570598796071365E-2</v>
      </c>
      <c r="J327" s="8">
        <f t="shared" si="22"/>
        <v>-1.3663521002883722E-2</v>
      </c>
      <c r="K327" s="8">
        <f t="shared" si="19"/>
        <v>-0.1038138642360279</v>
      </c>
    </row>
    <row r="328" spans="1:11" x14ac:dyDescent="0.25">
      <c r="A328" t="str">
        <f t="shared" si="20"/>
        <v>42018</v>
      </c>
      <c r="B328" s="1">
        <v>43216</v>
      </c>
      <c r="C328" t="s">
        <v>222</v>
      </c>
      <c r="D328">
        <v>3745.8</v>
      </c>
      <c r="E328">
        <v>3773.75</v>
      </c>
      <c r="F328">
        <v>3715.2</v>
      </c>
      <c r="G328">
        <v>3737.5</v>
      </c>
      <c r="H328">
        <v>0</v>
      </c>
      <c r="I328" s="8">
        <f t="shared" si="21"/>
        <v>3.4794711203911532E-4</v>
      </c>
      <c r="J328" s="8">
        <f t="shared" si="22"/>
        <v>3.4788659248072387E-4</v>
      </c>
      <c r="K328" s="8">
        <f t="shared" si="19"/>
        <v>-8.7825057659218886E-2</v>
      </c>
    </row>
    <row r="329" spans="1:11" x14ac:dyDescent="0.25">
      <c r="A329" t="str">
        <f t="shared" si="20"/>
        <v>42018</v>
      </c>
      <c r="B329" s="1">
        <v>43217</v>
      </c>
      <c r="C329" t="s">
        <v>223</v>
      </c>
      <c r="D329">
        <v>3759.1</v>
      </c>
      <c r="E329">
        <v>3781.4</v>
      </c>
      <c r="F329">
        <v>3740.15</v>
      </c>
      <c r="G329">
        <v>3763.85</v>
      </c>
      <c r="H329">
        <v>0</v>
      </c>
      <c r="I329" s="8">
        <f t="shared" si="21"/>
        <v>7.0501672240801394E-3</v>
      </c>
      <c r="J329" s="8">
        <f t="shared" si="22"/>
        <v>7.0254309901430665E-3</v>
      </c>
      <c r="K329" s="8">
        <f t="shared" si="19"/>
        <v>-8.9791180489220412E-2</v>
      </c>
    </row>
    <row r="330" spans="1:11" x14ac:dyDescent="0.25">
      <c r="A330" t="str">
        <f t="shared" si="20"/>
        <v>42018</v>
      </c>
      <c r="B330" s="1">
        <v>43220</v>
      </c>
      <c r="C330" t="s">
        <v>224</v>
      </c>
      <c r="D330">
        <v>3771.9</v>
      </c>
      <c r="E330">
        <v>3814.3</v>
      </c>
      <c r="F330">
        <v>3742</v>
      </c>
      <c r="G330">
        <v>3774.85</v>
      </c>
      <c r="H330">
        <v>0</v>
      </c>
      <c r="I330" s="8">
        <f t="shared" si="21"/>
        <v>2.9225394210714573E-3</v>
      </c>
      <c r="J330" s="8">
        <f t="shared" si="22"/>
        <v>2.9182771052422445E-3</v>
      </c>
      <c r="K330" s="8">
        <f t="shared" si="19"/>
        <v>-8.8387649878648222E-2</v>
      </c>
    </row>
    <row r="331" spans="1:11" x14ac:dyDescent="0.25">
      <c r="A331" t="str">
        <f t="shared" si="20"/>
        <v>52018</v>
      </c>
      <c r="B331" s="1">
        <v>43222</v>
      </c>
      <c r="C331" s="10">
        <v>43136.645833333336</v>
      </c>
      <c r="D331">
        <v>3770.1</v>
      </c>
      <c r="E331">
        <v>3771.25</v>
      </c>
      <c r="F331">
        <v>3637.8</v>
      </c>
      <c r="G331">
        <v>3645.25</v>
      </c>
      <c r="H331">
        <v>0</v>
      </c>
      <c r="I331" s="8">
        <f t="shared" si="21"/>
        <v>-3.4332490032716545E-2</v>
      </c>
      <c r="J331" s="8">
        <f t="shared" si="22"/>
        <v>-3.4935696597932692E-2</v>
      </c>
      <c r="K331" s="8">
        <f t="shared" si="19"/>
        <v>-0.11442453689644705</v>
      </c>
    </row>
    <row r="332" spans="1:11" x14ac:dyDescent="0.25">
      <c r="A332" t="str">
        <f t="shared" si="20"/>
        <v>52018</v>
      </c>
      <c r="B332" s="1">
        <v>43223</v>
      </c>
      <c r="C332" s="10">
        <v>43164.645833333336</v>
      </c>
      <c r="D332">
        <v>3645.5</v>
      </c>
      <c r="E332">
        <v>3682.4</v>
      </c>
      <c r="F332">
        <v>3611.4</v>
      </c>
      <c r="G332">
        <v>3673.05</v>
      </c>
      <c r="H332">
        <v>0</v>
      </c>
      <c r="I332" s="8">
        <f t="shared" si="21"/>
        <v>7.6263630752348988E-3</v>
      </c>
      <c r="J332" s="8">
        <f t="shared" si="22"/>
        <v>7.597429381149527E-3</v>
      </c>
      <c r="K332" s="8">
        <f t="shared" si="19"/>
        <v>-9.6609565035601364E-2</v>
      </c>
    </row>
    <row r="333" spans="1:11" x14ac:dyDescent="0.25">
      <c r="A333" t="str">
        <f t="shared" si="20"/>
        <v>52018</v>
      </c>
      <c r="B333" s="1">
        <v>43224</v>
      </c>
      <c r="C333" s="10">
        <v>43195.645833333336</v>
      </c>
      <c r="D333">
        <v>3680.1</v>
      </c>
      <c r="E333">
        <v>3684.05</v>
      </c>
      <c r="F333">
        <v>3628.55</v>
      </c>
      <c r="G333">
        <v>3633.6</v>
      </c>
      <c r="H333">
        <v>0</v>
      </c>
      <c r="I333" s="8">
        <f t="shared" si="21"/>
        <v>-1.07403928615184E-2</v>
      </c>
      <c r="J333" s="8">
        <f t="shared" si="22"/>
        <v>-1.0798487226250226E-2</v>
      </c>
      <c r="K333" s="8">
        <f t="shared" si="19"/>
        <v>-0.10753057916195907</v>
      </c>
    </row>
    <row r="334" spans="1:11" x14ac:dyDescent="0.25">
      <c r="A334" t="str">
        <f t="shared" si="20"/>
        <v>52018</v>
      </c>
      <c r="B334" s="1">
        <v>43227</v>
      </c>
      <c r="C334" s="10">
        <v>43286.645833333336</v>
      </c>
      <c r="D334">
        <v>3661.1</v>
      </c>
      <c r="E334">
        <v>3700.4</v>
      </c>
      <c r="F334">
        <v>3636.15</v>
      </c>
      <c r="G334">
        <v>3695.95</v>
      </c>
      <c r="H334">
        <v>0</v>
      </c>
      <c r="I334" s="8">
        <f t="shared" si="21"/>
        <v>1.7159291061206394E-2</v>
      </c>
      <c r="J334" s="8">
        <f t="shared" si="22"/>
        <v>1.7013733180246408E-2</v>
      </c>
      <c r="K334" s="8">
        <f t="shared" si="19"/>
        <v>-6.3913583061064316E-2</v>
      </c>
    </row>
    <row r="335" spans="1:11" x14ac:dyDescent="0.25">
      <c r="A335" t="str">
        <f t="shared" si="20"/>
        <v>52018</v>
      </c>
      <c r="B335" s="1">
        <v>43228</v>
      </c>
      <c r="C335" s="10">
        <v>43317.645833333336</v>
      </c>
      <c r="D335">
        <v>3708.9</v>
      </c>
      <c r="E335">
        <v>3725.7</v>
      </c>
      <c r="F335">
        <v>3665.65</v>
      </c>
      <c r="G335">
        <v>3689.1</v>
      </c>
      <c r="H335">
        <v>0</v>
      </c>
      <c r="I335" s="8">
        <f t="shared" si="21"/>
        <v>-1.8533800511369991E-3</v>
      </c>
      <c r="J335" s="8">
        <f t="shared" si="22"/>
        <v>-1.8550996850292328E-3</v>
      </c>
      <c r="K335" s="8">
        <f t="shared" si="19"/>
        <v>-6.0472934255262345E-2</v>
      </c>
    </row>
    <row r="336" spans="1:11" x14ac:dyDescent="0.25">
      <c r="A336" t="str">
        <f t="shared" si="20"/>
        <v>52018</v>
      </c>
      <c r="B336" s="1">
        <v>43229</v>
      </c>
      <c r="C336" s="10">
        <v>43348.645833333336</v>
      </c>
      <c r="D336">
        <v>3692.15</v>
      </c>
      <c r="E336">
        <v>3747.2</v>
      </c>
      <c r="F336">
        <v>3686.85</v>
      </c>
      <c r="G336">
        <v>3691.65</v>
      </c>
      <c r="H336">
        <v>0</v>
      </c>
      <c r="I336" s="8">
        <f t="shared" si="21"/>
        <v>6.9122550215494627E-4</v>
      </c>
      <c r="J336" s="8">
        <f t="shared" si="22"/>
        <v>6.9098671583799011E-4</v>
      </c>
      <c r="K336" s="8">
        <f t="shared" si="19"/>
        <v>-4.4109269808389362E-2</v>
      </c>
    </row>
    <row r="337" spans="1:11" x14ac:dyDescent="0.25">
      <c r="A337" t="str">
        <f t="shared" si="20"/>
        <v>52018</v>
      </c>
      <c r="B337" s="1">
        <v>43230</v>
      </c>
      <c r="C337" s="10">
        <v>43378.645833333336</v>
      </c>
      <c r="D337">
        <v>3705.95</v>
      </c>
      <c r="E337">
        <v>3710.9</v>
      </c>
      <c r="F337">
        <v>3640.85</v>
      </c>
      <c r="G337">
        <v>3655.7</v>
      </c>
      <c r="H337">
        <v>0</v>
      </c>
      <c r="I337" s="8">
        <f t="shared" si="21"/>
        <v>-9.7381929489523955E-3</v>
      </c>
      <c r="J337" s="8">
        <f t="shared" si="22"/>
        <v>-9.7859192479387066E-3</v>
      </c>
      <c r="K337" s="8">
        <f t="shared" si="19"/>
        <v>-5.7748566273600144E-2</v>
      </c>
    </row>
    <row r="338" spans="1:11" x14ac:dyDescent="0.25">
      <c r="A338" t="str">
        <f t="shared" si="20"/>
        <v>52018</v>
      </c>
      <c r="B338" s="1">
        <v>43231</v>
      </c>
      <c r="C338" s="10">
        <v>43409.645833333336</v>
      </c>
      <c r="D338">
        <v>3677.25</v>
      </c>
      <c r="E338">
        <v>3716.9</v>
      </c>
      <c r="F338">
        <v>3650.35</v>
      </c>
      <c r="G338">
        <v>3712.8</v>
      </c>
      <c r="H338">
        <v>0</v>
      </c>
      <c r="I338" s="8">
        <f t="shared" si="21"/>
        <v>1.5619443608611228E-2</v>
      </c>
      <c r="J338" s="8">
        <f t="shared" si="22"/>
        <v>1.5498715612555451E-2</v>
      </c>
      <c r="K338" s="8">
        <f t="shared" si="19"/>
        <v>-5.6815150706855055E-2</v>
      </c>
    </row>
    <row r="339" spans="1:11" x14ac:dyDescent="0.25">
      <c r="A339" t="str">
        <f t="shared" si="20"/>
        <v>52018</v>
      </c>
      <c r="B339" s="1">
        <v>43234</v>
      </c>
      <c r="C339" t="s">
        <v>225</v>
      </c>
      <c r="D339">
        <v>3717.9</v>
      </c>
      <c r="E339">
        <v>3730.5</v>
      </c>
      <c r="F339">
        <v>3684.2</v>
      </c>
      <c r="G339">
        <v>3702.05</v>
      </c>
      <c r="H339">
        <v>0</v>
      </c>
      <c r="I339" s="8">
        <f t="shared" si="21"/>
        <v>-2.8953889248006792E-3</v>
      </c>
      <c r="J339" s="8">
        <f t="shared" si="22"/>
        <v>-2.8995886718733888E-3</v>
      </c>
      <c r="K339" s="8">
        <f t="shared" si="19"/>
        <v>-7.1330022075055122E-2</v>
      </c>
    </row>
    <row r="340" spans="1:11" x14ac:dyDescent="0.25">
      <c r="A340" t="str">
        <f t="shared" si="20"/>
        <v>52018</v>
      </c>
      <c r="B340" s="1">
        <v>43235</v>
      </c>
      <c r="C340" t="s">
        <v>226</v>
      </c>
      <c r="D340">
        <v>3701.6</v>
      </c>
      <c r="E340">
        <v>3778.9</v>
      </c>
      <c r="F340">
        <v>3695.3</v>
      </c>
      <c r="G340">
        <v>3711.55</v>
      </c>
      <c r="H340">
        <v>0</v>
      </c>
      <c r="I340" s="8">
        <f t="shared" si="21"/>
        <v>2.5661457840926438E-3</v>
      </c>
      <c r="J340" s="8">
        <f t="shared" si="22"/>
        <v>2.5628588539604587E-3</v>
      </c>
      <c r="K340" s="8">
        <f t="shared" si="19"/>
        <v>-7.8779830973330411E-2</v>
      </c>
    </row>
    <row r="341" spans="1:11" x14ac:dyDescent="0.25">
      <c r="A341" t="str">
        <f t="shared" si="20"/>
        <v>52018</v>
      </c>
      <c r="B341" s="1">
        <v>43236</v>
      </c>
      <c r="C341" t="s">
        <v>227</v>
      </c>
      <c r="D341">
        <v>3706.45</v>
      </c>
      <c r="E341">
        <v>3732.25</v>
      </c>
      <c r="F341">
        <v>3664.2</v>
      </c>
      <c r="G341">
        <v>3696.15</v>
      </c>
      <c r="H341">
        <v>0</v>
      </c>
      <c r="I341" s="8">
        <f t="shared" si="21"/>
        <v>-4.1492098988293868E-3</v>
      </c>
      <c r="J341" s="8">
        <f t="shared" si="22"/>
        <v>-4.1578417554190457E-3</v>
      </c>
      <c r="K341" s="8">
        <f t="shared" si="19"/>
        <v>-8.164482265979256E-2</v>
      </c>
    </row>
    <row r="342" spans="1:11" x14ac:dyDescent="0.25">
      <c r="A342" t="str">
        <f t="shared" si="20"/>
        <v>52018</v>
      </c>
      <c r="B342" s="1">
        <v>43237</v>
      </c>
      <c r="C342" t="s">
        <v>228</v>
      </c>
      <c r="D342">
        <v>3734.05</v>
      </c>
      <c r="E342">
        <v>3734.45</v>
      </c>
      <c r="F342">
        <v>3642.8</v>
      </c>
      <c r="G342">
        <v>3679.35</v>
      </c>
      <c r="H342">
        <v>0</v>
      </c>
      <c r="I342" s="8">
        <f t="shared" si="21"/>
        <v>-4.5452700783248368E-3</v>
      </c>
      <c r="J342" s="8">
        <f t="shared" si="22"/>
        <v>-4.5556312264325169E-3</v>
      </c>
      <c r="K342" s="8">
        <f t="shared" si="19"/>
        <v>-9.2090165451382489E-2</v>
      </c>
    </row>
    <row r="343" spans="1:11" x14ac:dyDescent="0.25">
      <c r="A343" t="str">
        <f t="shared" si="20"/>
        <v>52018</v>
      </c>
      <c r="B343" s="1">
        <v>43238</v>
      </c>
      <c r="C343" t="s">
        <v>229</v>
      </c>
      <c r="D343">
        <v>3686.7</v>
      </c>
      <c r="E343">
        <v>3703.3</v>
      </c>
      <c r="F343">
        <v>3582.9</v>
      </c>
      <c r="G343">
        <v>3590.65</v>
      </c>
      <c r="H343">
        <v>0</v>
      </c>
      <c r="I343" s="8">
        <f t="shared" si="21"/>
        <v>-2.4107518991126065E-2</v>
      </c>
      <c r="J343" s="8">
        <f t="shared" si="22"/>
        <v>-2.4402861538166513E-2</v>
      </c>
      <c r="K343" s="8">
        <f t="shared" si="19"/>
        <v>-0.10044844172762801</v>
      </c>
    </row>
    <row r="344" spans="1:11" x14ac:dyDescent="0.25">
      <c r="A344" t="str">
        <f t="shared" si="20"/>
        <v>52018</v>
      </c>
      <c r="B344" s="1">
        <v>43241</v>
      </c>
      <c r="C344" t="s">
        <v>230</v>
      </c>
      <c r="D344">
        <v>3594.5</v>
      </c>
      <c r="E344">
        <v>3621.3</v>
      </c>
      <c r="F344">
        <v>3523.9</v>
      </c>
      <c r="G344">
        <v>3530.35</v>
      </c>
      <c r="H344">
        <v>0</v>
      </c>
      <c r="I344" s="8">
        <f t="shared" si="21"/>
        <v>-1.679361675462665E-2</v>
      </c>
      <c r="J344" s="8">
        <f t="shared" si="22"/>
        <v>-1.6936228435100009E-2</v>
      </c>
      <c r="K344" s="8">
        <f t="shared" si="19"/>
        <v>-0.10018096548911659</v>
      </c>
    </row>
    <row r="345" spans="1:11" x14ac:dyDescent="0.25">
      <c r="A345" t="str">
        <f t="shared" si="20"/>
        <v>52018</v>
      </c>
      <c r="B345" s="1">
        <v>43242</v>
      </c>
      <c r="C345" t="s">
        <v>231</v>
      </c>
      <c r="D345">
        <v>3539.95</v>
      </c>
      <c r="E345">
        <v>3596.85</v>
      </c>
      <c r="F345">
        <v>3506.45</v>
      </c>
      <c r="G345">
        <v>3592.9</v>
      </c>
      <c r="H345">
        <v>0</v>
      </c>
      <c r="I345" s="8">
        <f t="shared" si="21"/>
        <v>1.7717790020819413E-2</v>
      </c>
      <c r="J345" s="8">
        <f t="shared" si="22"/>
        <v>1.7562659676917121E-2</v>
      </c>
      <c r="K345" s="8">
        <f t="shared" si="19"/>
        <v>-9.4188831463506872E-2</v>
      </c>
    </row>
    <row r="346" spans="1:11" x14ac:dyDescent="0.25">
      <c r="A346" t="str">
        <f t="shared" si="20"/>
        <v>52018</v>
      </c>
      <c r="B346" s="1">
        <v>43243</v>
      </c>
      <c r="C346" t="s">
        <v>232</v>
      </c>
      <c r="D346">
        <v>3570.1</v>
      </c>
      <c r="E346">
        <v>3570.1</v>
      </c>
      <c r="F346">
        <v>3448.05</v>
      </c>
      <c r="G346">
        <v>3458.35</v>
      </c>
      <c r="H346">
        <v>0</v>
      </c>
      <c r="I346" s="8">
        <f t="shared" si="21"/>
        <v>-3.7448857468897034E-2</v>
      </c>
      <c r="J346" s="8">
        <f t="shared" si="22"/>
        <v>-3.8168079134567205E-2</v>
      </c>
      <c r="K346" s="8">
        <f t="shared" si="19"/>
        <v>-0.11598629891873935</v>
      </c>
    </row>
    <row r="347" spans="1:11" x14ac:dyDescent="0.25">
      <c r="A347" t="str">
        <f t="shared" si="20"/>
        <v>52018</v>
      </c>
      <c r="B347" s="1">
        <v>43244</v>
      </c>
      <c r="C347" t="s">
        <v>233</v>
      </c>
      <c r="D347">
        <v>3475.85</v>
      </c>
      <c r="E347">
        <v>3504.65</v>
      </c>
      <c r="F347">
        <v>3420.45</v>
      </c>
      <c r="G347">
        <v>3491.65</v>
      </c>
      <c r="H347">
        <v>0</v>
      </c>
      <c r="I347" s="8">
        <f t="shared" si="21"/>
        <v>9.6288692584614033E-3</v>
      </c>
      <c r="J347" s="8">
        <f t="shared" si="22"/>
        <v>9.5828071448618504E-3</v>
      </c>
      <c r="K347" s="8">
        <f t="shared" si="19"/>
        <v>-0.10569116102758502</v>
      </c>
    </row>
    <row r="348" spans="1:11" x14ac:dyDescent="0.25">
      <c r="A348" t="str">
        <f t="shared" si="20"/>
        <v>52018</v>
      </c>
      <c r="B348" s="1">
        <v>43245</v>
      </c>
      <c r="C348" t="s">
        <v>234</v>
      </c>
      <c r="D348">
        <v>3497.1</v>
      </c>
      <c r="E348">
        <v>3581.5</v>
      </c>
      <c r="F348">
        <v>3475.65</v>
      </c>
      <c r="G348">
        <v>3567.4</v>
      </c>
      <c r="H348">
        <v>0</v>
      </c>
      <c r="I348" s="8">
        <f t="shared" si="21"/>
        <v>2.1694614294101688E-2</v>
      </c>
      <c r="J348" s="8">
        <f t="shared" si="22"/>
        <v>2.1462635283056086E-2</v>
      </c>
      <c r="K348" s="8">
        <f t="shared" si="19"/>
        <v>-0.1145254169976172</v>
      </c>
    </row>
    <row r="349" spans="1:11" x14ac:dyDescent="0.25">
      <c r="A349" t="str">
        <f t="shared" si="20"/>
        <v>52018</v>
      </c>
      <c r="B349" s="1">
        <v>43248</v>
      </c>
      <c r="C349" t="s">
        <v>235</v>
      </c>
      <c r="D349">
        <v>3585.6</v>
      </c>
      <c r="E349">
        <v>3614.85</v>
      </c>
      <c r="F349">
        <v>3563.1</v>
      </c>
      <c r="G349">
        <v>3604.7</v>
      </c>
      <c r="H349">
        <v>0</v>
      </c>
      <c r="I349" s="8">
        <f t="shared" si="21"/>
        <v>1.0455794135785013E-2</v>
      </c>
      <c r="J349" s="8">
        <f t="shared" si="22"/>
        <v>1.0401510378936298E-2</v>
      </c>
      <c r="K349" s="8">
        <f t="shared" si="19"/>
        <v>-0.11474846203907219</v>
      </c>
    </row>
    <row r="350" spans="1:11" x14ac:dyDescent="0.25">
      <c r="A350" t="str">
        <f t="shared" si="20"/>
        <v>52018</v>
      </c>
      <c r="B350" s="1">
        <v>43249</v>
      </c>
      <c r="C350" t="s">
        <v>236</v>
      </c>
      <c r="D350">
        <v>3568.8</v>
      </c>
      <c r="E350">
        <v>3635.6</v>
      </c>
      <c r="F350">
        <v>3552.6</v>
      </c>
      <c r="G350">
        <v>3606.95</v>
      </c>
      <c r="H350">
        <v>0</v>
      </c>
      <c r="I350" s="8">
        <f t="shared" si="21"/>
        <v>6.2418509168593594E-4</v>
      </c>
      <c r="J350" s="8">
        <f t="shared" si="22"/>
        <v>6.2399036919596465E-4</v>
      </c>
      <c r="K350" s="8">
        <f t="shared" si="19"/>
        <v>-0.10658245092575391</v>
      </c>
    </row>
    <row r="351" spans="1:11" x14ac:dyDescent="0.25">
      <c r="A351" t="str">
        <f t="shared" si="20"/>
        <v>52018</v>
      </c>
      <c r="B351" s="1">
        <v>43250</v>
      </c>
      <c r="C351" t="s">
        <v>237</v>
      </c>
      <c r="D351">
        <v>3558.55</v>
      </c>
      <c r="E351">
        <v>3622.65</v>
      </c>
      <c r="F351">
        <v>3553</v>
      </c>
      <c r="G351">
        <v>3610.15</v>
      </c>
      <c r="H351">
        <v>0</v>
      </c>
      <c r="I351" s="8">
        <f t="shared" si="21"/>
        <v>8.8717614605138273E-4</v>
      </c>
      <c r="J351" s="8">
        <f t="shared" si="22"/>
        <v>8.867828378995384E-4</v>
      </c>
      <c r="K351" s="8">
        <f t="shared" si="19"/>
        <v>-9.6185862530824728E-2</v>
      </c>
    </row>
    <row r="352" spans="1:11" x14ac:dyDescent="0.25">
      <c r="A352" t="str">
        <f t="shared" si="20"/>
        <v>52018</v>
      </c>
      <c r="B352" s="1">
        <v>43251</v>
      </c>
      <c r="C352" t="s">
        <v>238</v>
      </c>
      <c r="D352">
        <v>3626.9</v>
      </c>
      <c r="E352">
        <v>3652.85</v>
      </c>
      <c r="F352">
        <v>3582.65</v>
      </c>
      <c r="G352">
        <v>3593.65</v>
      </c>
      <c r="H352">
        <v>0</v>
      </c>
      <c r="I352" s="8">
        <f t="shared" si="21"/>
        <v>-4.570447211334705E-3</v>
      </c>
      <c r="J352" s="8">
        <f t="shared" si="22"/>
        <v>-4.5809236386835546E-3</v>
      </c>
      <c r="K352" s="8">
        <f t="shared" si="19"/>
        <v>-9.2718826529324172E-2</v>
      </c>
    </row>
    <row r="353" spans="1:11" x14ac:dyDescent="0.25">
      <c r="A353" t="str">
        <f t="shared" si="20"/>
        <v>62018</v>
      </c>
      <c r="B353" s="1">
        <v>43252</v>
      </c>
      <c r="C353" s="10">
        <v>43106.645833333336</v>
      </c>
      <c r="D353">
        <v>3578.2</v>
      </c>
      <c r="E353">
        <v>3645.1</v>
      </c>
      <c r="F353">
        <v>3554.45</v>
      </c>
      <c r="G353">
        <v>3568.4</v>
      </c>
      <c r="H353">
        <v>0</v>
      </c>
      <c r="I353" s="8">
        <f t="shared" si="21"/>
        <v>-7.0262824704687699E-3</v>
      </c>
      <c r="J353" s="8">
        <f t="shared" si="22"/>
        <v>-7.0510830319229353E-3</v>
      </c>
      <c r="K353" s="8">
        <f t="shared" si="19"/>
        <v>-6.8497441787616187E-2</v>
      </c>
    </row>
    <row r="354" spans="1:11" x14ac:dyDescent="0.25">
      <c r="A354" t="str">
        <f t="shared" si="20"/>
        <v>62018</v>
      </c>
      <c r="B354" s="1">
        <v>43255</v>
      </c>
      <c r="C354" s="10">
        <v>43196.645833333336</v>
      </c>
      <c r="D354">
        <v>3583.75</v>
      </c>
      <c r="E354">
        <v>3588.7</v>
      </c>
      <c r="F354">
        <v>3556.25</v>
      </c>
      <c r="G354">
        <v>3574.15</v>
      </c>
      <c r="H354">
        <v>0</v>
      </c>
      <c r="I354" s="8">
        <f t="shared" si="21"/>
        <v>1.6113664387400473E-3</v>
      </c>
      <c r="J354" s="8">
        <f t="shared" si="22"/>
        <v>1.6100695807954324E-3</v>
      </c>
      <c r="K354" s="8">
        <f t="shared" si="19"/>
        <v>-6.3598731955251675E-2</v>
      </c>
    </row>
    <row r="355" spans="1:11" x14ac:dyDescent="0.25">
      <c r="A355" t="str">
        <f t="shared" si="20"/>
        <v>62018</v>
      </c>
      <c r="B355" s="1">
        <v>43256</v>
      </c>
      <c r="C355" s="10">
        <v>43226.645833333336</v>
      </c>
      <c r="D355">
        <v>3571.6</v>
      </c>
      <c r="E355">
        <v>3576.2</v>
      </c>
      <c r="F355">
        <v>3519.2</v>
      </c>
      <c r="G355">
        <v>3553.55</v>
      </c>
      <c r="H355">
        <v>0</v>
      </c>
      <c r="I355" s="8">
        <f t="shared" si="21"/>
        <v>-5.7636081306045028E-3</v>
      </c>
      <c r="J355" s="8">
        <f t="shared" si="22"/>
        <v>-5.7802818178788471E-3</v>
      </c>
      <c r="K355" s="8">
        <f t="shared" si="19"/>
        <v>-5.815078386938588E-2</v>
      </c>
    </row>
    <row r="356" spans="1:11" x14ac:dyDescent="0.25">
      <c r="A356" t="str">
        <f t="shared" si="20"/>
        <v>62018</v>
      </c>
      <c r="B356" s="1">
        <v>43257</v>
      </c>
      <c r="C356" s="10">
        <v>43257.645833333336</v>
      </c>
      <c r="D356">
        <v>3557.25</v>
      </c>
      <c r="E356">
        <v>3626.5</v>
      </c>
      <c r="F356">
        <v>3553.5</v>
      </c>
      <c r="G356">
        <v>3619.6</v>
      </c>
      <c r="H356">
        <v>0</v>
      </c>
      <c r="I356" s="8">
        <f t="shared" si="21"/>
        <v>1.858704675606071E-2</v>
      </c>
      <c r="J356" s="8">
        <f t="shared" si="22"/>
        <v>1.8416418674433034E-2</v>
      </c>
      <c r="K356" s="8">
        <f t="shared" si="19"/>
        <v>-3.6315228966986135E-2</v>
      </c>
    </row>
    <row r="357" spans="1:11" x14ac:dyDescent="0.25">
      <c r="A357" t="str">
        <f t="shared" si="20"/>
        <v>62018</v>
      </c>
      <c r="B357" s="1">
        <v>43258</v>
      </c>
      <c r="C357" s="10">
        <v>43287.645833333336</v>
      </c>
      <c r="D357">
        <v>3638.05</v>
      </c>
      <c r="E357">
        <v>3704.8</v>
      </c>
      <c r="F357">
        <v>3638</v>
      </c>
      <c r="G357">
        <v>3673.35</v>
      </c>
      <c r="H357">
        <v>0</v>
      </c>
      <c r="I357" s="8">
        <f t="shared" si="21"/>
        <v>1.4849707149961366E-2</v>
      </c>
      <c r="J357" s="8">
        <f t="shared" si="22"/>
        <v>1.4740529756606243E-2</v>
      </c>
      <c r="K357" s="8">
        <f t="shared" si="19"/>
        <v>-4.0128519718558575E-3</v>
      </c>
    </row>
    <row r="358" spans="1:11" x14ac:dyDescent="0.25">
      <c r="A358" t="str">
        <f t="shared" si="20"/>
        <v>62018</v>
      </c>
      <c r="B358" s="1">
        <v>43259</v>
      </c>
      <c r="C358" s="10">
        <v>43318.645833333336</v>
      </c>
      <c r="D358">
        <v>3658.05</v>
      </c>
      <c r="E358">
        <v>3681.45</v>
      </c>
      <c r="F358">
        <v>3623.2</v>
      </c>
      <c r="G358">
        <v>3658.55</v>
      </c>
      <c r="H358">
        <v>0</v>
      </c>
      <c r="I358" s="8">
        <f t="shared" si="21"/>
        <v>-4.0290198320334092E-3</v>
      </c>
      <c r="J358" s="8">
        <f t="shared" si="22"/>
        <v>-4.0371581995548951E-3</v>
      </c>
      <c r="K358" s="8">
        <f t="shared" si="19"/>
        <v>-2.8763704903236098E-2</v>
      </c>
    </row>
    <row r="359" spans="1:11" x14ac:dyDescent="0.25">
      <c r="A359" t="str">
        <f t="shared" si="20"/>
        <v>62018</v>
      </c>
      <c r="B359" s="1">
        <v>43262</v>
      </c>
      <c r="C359" s="10">
        <v>43410.645833333336</v>
      </c>
      <c r="D359">
        <v>3661.35</v>
      </c>
      <c r="E359">
        <v>3685.35</v>
      </c>
      <c r="F359">
        <v>3640.4</v>
      </c>
      <c r="G359">
        <v>3644.8</v>
      </c>
      <c r="H359">
        <v>0</v>
      </c>
      <c r="I359" s="8">
        <f t="shared" si="21"/>
        <v>-3.7583195528283486E-3</v>
      </c>
      <c r="J359" s="8">
        <f t="shared" si="22"/>
        <v>-3.7653997811664987E-3</v>
      </c>
      <c r="K359" s="8">
        <f t="shared" si="19"/>
        <v>-3.7524096226464909E-2</v>
      </c>
    </row>
    <row r="360" spans="1:11" x14ac:dyDescent="0.25">
      <c r="A360" t="str">
        <f t="shared" si="20"/>
        <v>62018</v>
      </c>
      <c r="B360" s="1">
        <v>43263</v>
      </c>
      <c r="C360" s="10">
        <v>43440.645833333336</v>
      </c>
      <c r="D360">
        <v>3646.3</v>
      </c>
      <c r="E360">
        <v>3650.05</v>
      </c>
      <c r="F360">
        <v>3611.75</v>
      </c>
      <c r="G360">
        <v>3628.95</v>
      </c>
      <c r="H360">
        <v>0</v>
      </c>
      <c r="I360" s="8">
        <f t="shared" si="21"/>
        <v>-4.3486611062336644E-3</v>
      </c>
      <c r="J360" s="8">
        <f t="shared" si="22"/>
        <v>-4.3581440349569388E-3</v>
      </c>
      <c r="K360" s="8">
        <f t="shared" si="19"/>
        <v>-3.6225052119988832E-2</v>
      </c>
    </row>
    <row r="361" spans="1:11" x14ac:dyDescent="0.25">
      <c r="A361" t="str">
        <f t="shared" si="20"/>
        <v>62018</v>
      </c>
      <c r="B361" s="1">
        <v>43264</v>
      </c>
      <c r="C361" t="s">
        <v>239</v>
      </c>
      <c r="D361">
        <v>3630.5</v>
      </c>
      <c r="E361">
        <v>3641.35</v>
      </c>
      <c r="F361">
        <v>3605.65</v>
      </c>
      <c r="G361">
        <v>3612.85</v>
      </c>
      <c r="H361">
        <v>0</v>
      </c>
      <c r="I361" s="8">
        <f t="shared" si="21"/>
        <v>-4.4365450061312206E-3</v>
      </c>
      <c r="J361" s="8">
        <f t="shared" si="22"/>
        <v>-4.4464156771970376E-3</v>
      </c>
      <c r="K361" s="8">
        <f t="shared" si="19"/>
        <v>-3.7497335890878114E-2</v>
      </c>
    </row>
    <row r="362" spans="1:11" x14ac:dyDescent="0.25">
      <c r="A362" t="str">
        <f t="shared" si="20"/>
        <v>62018</v>
      </c>
      <c r="B362" s="1">
        <v>43265</v>
      </c>
      <c r="C362" t="s">
        <v>240</v>
      </c>
      <c r="D362">
        <v>3603.65</v>
      </c>
      <c r="E362">
        <v>3636.65</v>
      </c>
      <c r="F362">
        <v>3583.7</v>
      </c>
      <c r="G362">
        <v>3597.1</v>
      </c>
      <c r="H362">
        <v>0</v>
      </c>
      <c r="I362" s="8">
        <f t="shared" si="21"/>
        <v>-4.3594392238813784E-3</v>
      </c>
      <c r="J362" s="8">
        <f t="shared" si="22"/>
        <v>-4.3689692862921205E-3</v>
      </c>
      <c r="K362" s="8">
        <f t="shared" si="19"/>
        <v>-1.8392686587529017E-2</v>
      </c>
    </row>
    <row r="363" spans="1:11" x14ac:dyDescent="0.25">
      <c r="A363" t="str">
        <f t="shared" si="20"/>
        <v>62018</v>
      </c>
      <c r="B363" s="1">
        <v>43266</v>
      </c>
      <c r="C363" t="s">
        <v>241</v>
      </c>
      <c r="D363">
        <v>3603.7</v>
      </c>
      <c r="E363">
        <v>3609.1</v>
      </c>
      <c r="F363">
        <v>3522.8</v>
      </c>
      <c r="G363">
        <v>3541.95</v>
      </c>
      <c r="H363">
        <v>0</v>
      </c>
      <c r="I363" s="8">
        <f t="shared" si="21"/>
        <v>-1.5331795057129338E-2</v>
      </c>
      <c r="J363" s="8">
        <f t="shared" si="22"/>
        <v>-1.5450542329738397E-2</v>
      </c>
      <c r="K363" s="8">
        <f t="shared" si="19"/>
        <v>-6.9670292699339775E-3</v>
      </c>
    </row>
    <row r="364" spans="1:11" x14ac:dyDescent="0.25">
      <c r="A364" t="str">
        <f t="shared" si="20"/>
        <v>62018</v>
      </c>
      <c r="B364" s="1">
        <v>43269</v>
      </c>
      <c r="C364" t="s">
        <v>242</v>
      </c>
      <c r="D364">
        <v>3524.05</v>
      </c>
      <c r="E364">
        <v>3524.05</v>
      </c>
      <c r="F364">
        <v>3442.1</v>
      </c>
      <c r="G364">
        <v>3480.45</v>
      </c>
      <c r="H364">
        <v>0</v>
      </c>
      <c r="I364" s="8">
        <f t="shared" si="21"/>
        <v>-1.7363316817007535E-2</v>
      </c>
      <c r="J364" s="8">
        <f t="shared" si="22"/>
        <v>-1.751582717119286E-2</v>
      </c>
      <c r="K364" s="8">
        <f t="shared" si="19"/>
        <v>-2.1094376239294554E-2</v>
      </c>
    </row>
    <row r="365" spans="1:11" x14ac:dyDescent="0.25">
      <c r="A365" t="str">
        <f t="shared" si="20"/>
        <v>62018</v>
      </c>
      <c r="B365" s="1">
        <v>43270</v>
      </c>
      <c r="C365" t="s">
        <v>243</v>
      </c>
      <c r="D365">
        <v>3457.4</v>
      </c>
      <c r="E365">
        <v>3490.65</v>
      </c>
      <c r="F365">
        <v>3400.6</v>
      </c>
      <c r="G365">
        <v>3425.7</v>
      </c>
      <c r="H365">
        <v>0</v>
      </c>
      <c r="I365" s="8">
        <f t="shared" si="21"/>
        <v>-1.5730724475283342E-2</v>
      </c>
      <c r="J365" s="8">
        <f t="shared" si="22"/>
        <v>-1.5855765377773563E-2</v>
      </c>
      <c r="K365" s="8">
        <f t="shared" si="19"/>
        <v>-3.2042044587607066E-2</v>
      </c>
    </row>
    <row r="366" spans="1:11" x14ac:dyDescent="0.25">
      <c r="A366" t="str">
        <f t="shared" si="20"/>
        <v>62018</v>
      </c>
      <c r="B366" s="1">
        <v>43271</v>
      </c>
      <c r="C366" t="s">
        <v>244</v>
      </c>
      <c r="D366">
        <v>3431.4</v>
      </c>
      <c r="E366">
        <v>3467.3</v>
      </c>
      <c r="F366">
        <v>3424.4</v>
      </c>
      <c r="G366">
        <v>3459.65</v>
      </c>
      <c r="H366">
        <v>0</v>
      </c>
      <c r="I366" s="8">
        <f t="shared" si="21"/>
        <v>9.9103832793299151E-3</v>
      </c>
      <c r="J366" s="8">
        <f t="shared" si="22"/>
        <v>9.8615974900736342E-3</v>
      </c>
      <c r="K366" s="8">
        <f t="shared" si="19"/>
        <v>-2.5560500225326743E-2</v>
      </c>
    </row>
    <row r="367" spans="1:11" x14ac:dyDescent="0.25">
      <c r="A367" t="str">
        <f t="shared" si="20"/>
        <v>62018</v>
      </c>
      <c r="B367" s="1">
        <v>43272</v>
      </c>
      <c r="C367" t="s">
        <v>245</v>
      </c>
      <c r="D367">
        <v>3472.55</v>
      </c>
      <c r="E367">
        <v>3472.6</v>
      </c>
      <c r="F367">
        <v>3412.3</v>
      </c>
      <c r="G367">
        <v>3422.45</v>
      </c>
      <c r="H367">
        <v>0</v>
      </c>
      <c r="I367" s="8">
        <f t="shared" si="21"/>
        <v>-1.075253277065602E-2</v>
      </c>
      <c r="J367" s="8">
        <f t="shared" si="22"/>
        <v>-1.0810759013695465E-2</v>
      </c>
      <c r="K367" s="8">
        <f t="shared" si="19"/>
        <v>-7.28053255210237E-3</v>
      </c>
    </row>
    <row r="368" spans="1:11" x14ac:dyDescent="0.25">
      <c r="A368" t="str">
        <f t="shared" si="20"/>
        <v>62018</v>
      </c>
      <c r="B368" s="1">
        <v>43273</v>
      </c>
      <c r="C368" t="s">
        <v>246</v>
      </c>
      <c r="D368">
        <v>3419.6</v>
      </c>
      <c r="E368">
        <v>3438.95</v>
      </c>
      <c r="F368">
        <v>3398.35</v>
      </c>
      <c r="G368">
        <v>3431.55</v>
      </c>
      <c r="H368">
        <v>0</v>
      </c>
      <c r="I368" s="8">
        <f t="shared" si="21"/>
        <v>2.6589139359232128E-3</v>
      </c>
      <c r="J368" s="8">
        <f t="shared" si="22"/>
        <v>2.6553852778120591E-3</v>
      </c>
      <c r="K368" s="8">
        <f t="shared" si="19"/>
        <v>-2.5501583199625033E-2</v>
      </c>
    </row>
    <row r="369" spans="1:11" x14ac:dyDescent="0.25">
      <c r="A369" t="str">
        <f t="shared" si="20"/>
        <v>62018</v>
      </c>
      <c r="B369" s="1">
        <v>43276</v>
      </c>
      <c r="C369" t="s">
        <v>247</v>
      </c>
      <c r="D369">
        <v>3424.6</v>
      </c>
      <c r="E369">
        <v>3465.35</v>
      </c>
      <c r="F369">
        <v>3386.85</v>
      </c>
      <c r="G369">
        <v>3397.45</v>
      </c>
      <c r="H369">
        <v>0</v>
      </c>
      <c r="I369" s="8">
        <f t="shared" si="21"/>
        <v>-9.9372003904941719E-3</v>
      </c>
      <c r="J369" s="8">
        <f t="shared" si="22"/>
        <v>-9.9869039163535192E-3</v>
      </c>
      <c r="K369" s="8">
        <f t="shared" si="19"/>
        <v>-5.2500209164179967E-2</v>
      </c>
    </row>
    <row r="370" spans="1:11" x14ac:dyDescent="0.25">
      <c r="A370" t="str">
        <f t="shared" si="20"/>
        <v>62018</v>
      </c>
      <c r="B370" s="1">
        <v>43277</v>
      </c>
      <c r="C370" t="s">
        <v>248</v>
      </c>
      <c r="D370">
        <v>3383.85</v>
      </c>
      <c r="E370">
        <v>3420.15</v>
      </c>
      <c r="F370">
        <v>3359.6</v>
      </c>
      <c r="G370">
        <v>3384.4</v>
      </c>
      <c r="H370">
        <v>0</v>
      </c>
      <c r="I370" s="8">
        <f t="shared" si="21"/>
        <v>-3.8411161312159603E-3</v>
      </c>
      <c r="J370" s="8">
        <f t="shared" si="22"/>
        <v>-3.8485121632026872E-3</v>
      </c>
      <c r="K370" s="8">
        <f t="shared" si="19"/>
        <v>-3.6483466427524203E-2</v>
      </c>
    </row>
    <row r="371" spans="1:11" x14ac:dyDescent="0.25">
      <c r="A371" t="str">
        <f t="shared" si="20"/>
        <v>62018</v>
      </c>
      <c r="B371" s="1">
        <v>43278</v>
      </c>
      <c r="C371" t="s">
        <v>249</v>
      </c>
      <c r="D371">
        <v>3394.15</v>
      </c>
      <c r="E371">
        <v>3394.7</v>
      </c>
      <c r="F371">
        <v>3329</v>
      </c>
      <c r="G371">
        <v>3341.8</v>
      </c>
      <c r="H371">
        <v>0</v>
      </c>
      <c r="I371" s="8">
        <f t="shared" si="21"/>
        <v>-1.258716463774967E-2</v>
      </c>
      <c r="J371" s="8">
        <f t="shared" si="22"/>
        <v>-1.2667054090302792E-2</v>
      </c>
      <c r="K371" s="8">
        <f t="shared" si="19"/>
        <v>-5.5868683872243641E-2</v>
      </c>
    </row>
    <row r="372" spans="1:11" x14ac:dyDescent="0.25">
      <c r="A372" t="str">
        <f t="shared" si="20"/>
        <v>62018</v>
      </c>
      <c r="B372" s="1">
        <v>43279</v>
      </c>
      <c r="C372" t="s">
        <v>250</v>
      </c>
      <c r="D372">
        <v>3345.35</v>
      </c>
      <c r="E372">
        <v>3368.75</v>
      </c>
      <c r="F372">
        <v>3317.6</v>
      </c>
      <c r="G372">
        <v>3346.5</v>
      </c>
      <c r="H372">
        <v>0</v>
      </c>
      <c r="I372" s="8">
        <f t="shared" si="21"/>
        <v>1.4064276737086878E-3</v>
      </c>
      <c r="J372" s="8">
        <f t="shared" si="22"/>
        <v>1.4054395806537775E-3</v>
      </c>
      <c r="K372" s="8">
        <f t="shared" si="19"/>
        <v>-5.9932300518280246E-2</v>
      </c>
    </row>
    <row r="373" spans="1:11" x14ac:dyDescent="0.25">
      <c r="A373" t="str">
        <f t="shared" si="20"/>
        <v>62018</v>
      </c>
      <c r="B373" s="1">
        <v>43280</v>
      </c>
      <c r="C373" t="s">
        <v>251</v>
      </c>
      <c r="D373">
        <v>3353.05</v>
      </c>
      <c r="E373">
        <v>3448.15</v>
      </c>
      <c r="F373">
        <v>3352.75</v>
      </c>
      <c r="G373">
        <v>3440.15</v>
      </c>
      <c r="H373">
        <v>0</v>
      </c>
      <c r="I373" s="8">
        <f t="shared" si="21"/>
        <v>2.7984461377558612E-2</v>
      </c>
      <c r="J373" s="8">
        <f t="shared" si="22"/>
        <v>2.7600051527254733E-2</v>
      </c>
      <c r="K373" s="8">
        <f t="shared" si="19"/>
        <v>-8.1306673201954061E-3</v>
      </c>
    </row>
    <row r="374" spans="1:11" x14ac:dyDescent="0.25">
      <c r="A374" t="str">
        <f t="shared" si="20"/>
        <v>72018</v>
      </c>
      <c r="B374" s="1">
        <v>43283</v>
      </c>
      <c r="C374" s="10">
        <v>43138.645833333336</v>
      </c>
      <c r="D374">
        <v>3448</v>
      </c>
      <c r="E374">
        <v>3450.8</v>
      </c>
      <c r="F374">
        <v>3328</v>
      </c>
      <c r="G374">
        <v>3378.6</v>
      </c>
      <c r="H374">
        <v>0</v>
      </c>
      <c r="I374" s="8">
        <f t="shared" si="21"/>
        <v>-1.7891661700798034E-2</v>
      </c>
      <c r="J374" s="8">
        <f t="shared" si="22"/>
        <v>-1.8053652579323939E-2</v>
      </c>
      <c r="K374" s="8">
        <f t="shared" si="19"/>
        <v>-6.3905243471635398E-2</v>
      </c>
    </row>
    <row r="375" spans="1:11" x14ac:dyDescent="0.25">
      <c r="A375" t="str">
        <f t="shared" si="20"/>
        <v>72018</v>
      </c>
      <c r="B375" s="1">
        <v>43284</v>
      </c>
      <c r="C375" s="10">
        <v>43166.645833333336</v>
      </c>
      <c r="D375">
        <v>3372.1</v>
      </c>
      <c r="E375">
        <v>3389</v>
      </c>
      <c r="F375">
        <v>3330.75</v>
      </c>
      <c r="G375">
        <v>3366.15</v>
      </c>
      <c r="H375">
        <v>0</v>
      </c>
      <c r="I375" s="8">
        <f t="shared" si="21"/>
        <v>-3.6849582667376479E-3</v>
      </c>
      <c r="J375" s="8">
        <f t="shared" si="22"/>
        <v>-3.6917644509325163E-3</v>
      </c>
      <c r="K375" s="8">
        <f t="shared" si="19"/>
        <v>-6.600907312606652E-2</v>
      </c>
    </row>
    <row r="376" spans="1:11" x14ac:dyDescent="0.25">
      <c r="A376" t="str">
        <f t="shared" si="20"/>
        <v>72018</v>
      </c>
      <c r="B376" s="1">
        <v>43285</v>
      </c>
      <c r="C376" s="10">
        <v>43197.645833333336</v>
      </c>
      <c r="D376">
        <v>3366.1</v>
      </c>
      <c r="E376">
        <v>3381.65</v>
      </c>
      <c r="F376">
        <v>3317.2</v>
      </c>
      <c r="G376">
        <v>3370.45</v>
      </c>
      <c r="H376">
        <v>0</v>
      </c>
      <c r="I376" s="8">
        <f t="shared" si="21"/>
        <v>1.2774237630526208E-3</v>
      </c>
      <c r="J376" s="8">
        <f t="shared" si="22"/>
        <v>1.2766085514906423E-3</v>
      </c>
      <c r="K376" s="8">
        <f t="shared" si="19"/>
        <v>-6.6240944162014759E-2</v>
      </c>
    </row>
    <row r="377" spans="1:11" x14ac:dyDescent="0.25">
      <c r="A377" t="str">
        <f t="shared" si="20"/>
        <v>72018</v>
      </c>
      <c r="B377" s="1">
        <v>43286</v>
      </c>
      <c r="C377" s="10">
        <v>43227.645833333336</v>
      </c>
      <c r="D377">
        <v>3358.1</v>
      </c>
      <c r="E377">
        <v>3358.1</v>
      </c>
      <c r="F377">
        <v>3302.3</v>
      </c>
      <c r="G377">
        <v>3322.45</v>
      </c>
      <c r="H377">
        <v>0</v>
      </c>
      <c r="I377" s="8">
        <f t="shared" si="21"/>
        <v>-1.4241421768606544E-2</v>
      </c>
      <c r="J377" s="8">
        <f t="shared" si="22"/>
        <v>-1.4343804023975674E-2</v>
      </c>
      <c r="K377" s="8">
        <f t="shared" si="19"/>
        <v>-9.7981457097479185E-2</v>
      </c>
    </row>
    <row r="378" spans="1:11" x14ac:dyDescent="0.25">
      <c r="A378" t="str">
        <f t="shared" si="20"/>
        <v>72018</v>
      </c>
      <c r="B378" s="1">
        <v>43287</v>
      </c>
      <c r="C378" s="10">
        <v>43258.645833333336</v>
      </c>
      <c r="D378">
        <v>3304.5</v>
      </c>
      <c r="E378">
        <v>3370.4</v>
      </c>
      <c r="F378">
        <v>3275.15</v>
      </c>
      <c r="G378">
        <v>3322.05</v>
      </c>
      <c r="H378">
        <v>0</v>
      </c>
      <c r="I378" s="8">
        <f t="shared" si="21"/>
        <v>-1.2039308341726951E-4</v>
      </c>
      <c r="J378" s="8">
        <f t="shared" si="22"/>
        <v>-1.2040033124626836E-4</v>
      </c>
      <c r="K378" s="8">
        <f t="shared" si="19"/>
        <v>-0.11222608230892561</v>
      </c>
    </row>
    <row r="379" spans="1:11" x14ac:dyDescent="0.25">
      <c r="A379" t="str">
        <f t="shared" si="20"/>
        <v>72018</v>
      </c>
      <c r="B379" s="1">
        <v>43290</v>
      </c>
      <c r="C379" s="10">
        <v>43350.645833333336</v>
      </c>
      <c r="D379">
        <v>3361.9</v>
      </c>
      <c r="E379">
        <v>3385.8</v>
      </c>
      <c r="F379">
        <v>3350.75</v>
      </c>
      <c r="G379">
        <v>3366.35</v>
      </c>
      <c r="H379">
        <v>0</v>
      </c>
      <c r="I379" s="8">
        <f t="shared" si="21"/>
        <v>1.3335139447028022E-2</v>
      </c>
      <c r="J379" s="8">
        <f t="shared" si="22"/>
        <v>1.3247009097473067E-2</v>
      </c>
      <c r="K379" s="8">
        <f t="shared" si="19"/>
        <v>-8.7821268409001618E-2</v>
      </c>
    </row>
    <row r="380" spans="1:11" x14ac:dyDescent="0.25">
      <c r="A380" t="str">
        <f t="shared" si="20"/>
        <v>72018</v>
      </c>
      <c r="B380" s="1">
        <v>43291</v>
      </c>
      <c r="C380" s="10">
        <v>43380.645833333336</v>
      </c>
      <c r="D380">
        <v>3378.7</v>
      </c>
      <c r="E380">
        <v>3427</v>
      </c>
      <c r="F380">
        <v>3372.65</v>
      </c>
      <c r="G380">
        <v>3422.35</v>
      </c>
      <c r="H380">
        <v>0</v>
      </c>
      <c r="I380" s="8">
        <f t="shared" si="21"/>
        <v>1.6635228066006258E-2</v>
      </c>
      <c r="J380" s="8">
        <f t="shared" si="22"/>
        <v>1.6498378259313797E-2</v>
      </c>
      <c r="K380" s="8">
        <f t="shared" si="19"/>
        <v>-8.1359298876645725E-2</v>
      </c>
    </row>
    <row r="381" spans="1:11" x14ac:dyDescent="0.25">
      <c r="A381" t="str">
        <f t="shared" si="20"/>
        <v>72018</v>
      </c>
      <c r="B381" s="1">
        <v>43292</v>
      </c>
      <c r="C381" s="10">
        <v>43411.645833333336</v>
      </c>
      <c r="D381">
        <v>3396.25</v>
      </c>
      <c r="E381">
        <v>3396.25</v>
      </c>
      <c r="F381">
        <v>3309.05</v>
      </c>
      <c r="G381">
        <v>3317.15</v>
      </c>
      <c r="H381">
        <v>0</v>
      </c>
      <c r="I381" s="8">
        <f t="shared" si="21"/>
        <v>-3.0739112013674741E-2</v>
      </c>
      <c r="J381" s="8">
        <f t="shared" si="22"/>
        <v>-3.1221469080393267E-2</v>
      </c>
      <c r="K381" s="8">
        <f t="shared" si="19"/>
        <v>-0.11104113627227652</v>
      </c>
    </row>
    <row r="382" spans="1:11" x14ac:dyDescent="0.25">
      <c r="A382" t="str">
        <f t="shared" si="20"/>
        <v>72018</v>
      </c>
      <c r="B382" s="1">
        <v>43293</v>
      </c>
      <c r="C382" s="10">
        <v>43441.645833333336</v>
      </c>
      <c r="D382">
        <v>3335.1</v>
      </c>
      <c r="E382">
        <v>3375.1</v>
      </c>
      <c r="F382">
        <v>3295.25</v>
      </c>
      <c r="G382">
        <v>3300.35</v>
      </c>
      <c r="H382">
        <v>0</v>
      </c>
      <c r="I382" s="8">
        <f t="shared" si="21"/>
        <v>-5.0645885775439936E-3</v>
      </c>
      <c r="J382" s="8">
        <f t="shared" si="22"/>
        <v>-5.0774570737538403E-3</v>
      </c>
      <c r="K382" s="8">
        <f t="shared" si="19"/>
        <v>-0.11650225535731018</v>
      </c>
    </row>
    <row r="383" spans="1:11" x14ac:dyDescent="0.25">
      <c r="A383" t="str">
        <f t="shared" si="20"/>
        <v>72018</v>
      </c>
      <c r="B383" s="1">
        <v>43294</v>
      </c>
      <c r="C383" t="s">
        <v>252</v>
      </c>
      <c r="D383">
        <v>3322.5</v>
      </c>
      <c r="E383">
        <v>3323.65</v>
      </c>
      <c r="F383">
        <v>3275.8</v>
      </c>
      <c r="G383">
        <v>3286.6</v>
      </c>
      <c r="H383">
        <v>0</v>
      </c>
      <c r="I383" s="8">
        <f t="shared" si="21"/>
        <v>-4.1662247943400343E-3</v>
      </c>
      <c r="J383" s="8">
        <f t="shared" si="22"/>
        <v>-4.1749276894142619E-3</v>
      </c>
      <c r="K383" s="8">
        <f t="shared" si="19"/>
        <v>-0.12369017464338095</v>
      </c>
    </row>
    <row r="384" spans="1:11" x14ac:dyDescent="0.25">
      <c r="A384" t="str">
        <f t="shared" si="20"/>
        <v>72018</v>
      </c>
      <c r="B384" s="1">
        <v>43297</v>
      </c>
      <c r="C384" t="s">
        <v>253</v>
      </c>
      <c r="D384">
        <v>3288.4</v>
      </c>
      <c r="E384">
        <v>3288.6</v>
      </c>
      <c r="F384">
        <v>3163.15</v>
      </c>
      <c r="G384">
        <v>3168.1</v>
      </c>
      <c r="H384">
        <v>0</v>
      </c>
      <c r="I384" s="8">
        <f t="shared" si="21"/>
        <v>-3.605549808312547E-2</v>
      </c>
      <c r="J384" s="8">
        <f t="shared" si="22"/>
        <v>-3.6721556654492338E-2</v>
      </c>
      <c r="K384" s="8">
        <f t="shared" ref="K384:K447" si="23">+G384/G323-1</f>
        <v>-0.19184214889736362</v>
      </c>
    </row>
    <row r="385" spans="1:11" x14ac:dyDescent="0.25">
      <c r="A385" t="str">
        <f t="shared" si="20"/>
        <v>72018</v>
      </c>
      <c r="B385" s="1">
        <v>43298</v>
      </c>
      <c r="C385" t="s">
        <v>254</v>
      </c>
      <c r="D385">
        <v>3163.65</v>
      </c>
      <c r="E385">
        <v>3240</v>
      </c>
      <c r="F385">
        <v>3135.65</v>
      </c>
      <c r="G385">
        <v>3222.65</v>
      </c>
      <c r="H385">
        <v>0</v>
      </c>
      <c r="I385" s="8">
        <f t="shared" si="21"/>
        <v>1.7218522142609105E-2</v>
      </c>
      <c r="J385" s="8">
        <f t="shared" si="22"/>
        <v>1.7071963348738235E-2</v>
      </c>
      <c r="K385" s="8">
        <f t="shared" si="23"/>
        <v>-0.17186395816469435</v>
      </c>
    </row>
    <row r="386" spans="1:11" x14ac:dyDescent="0.25">
      <c r="A386" t="str">
        <f t="shared" si="20"/>
        <v>72018</v>
      </c>
      <c r="B386" s="1">
        <v>43299</v>
      </c>
      <c r="C386" t="s">
        <v>255</v>
      </c>
      <c r="D386">
        <v>3239.6</v>
      </c>
      <c r="E386">
        <v>3244.4</v>
      </c>
      <c r="F386">
        <v>3116.8</v>
      </c>
      <c r="G386">
        <v>3121.1</v>
      </c>
      <c r="H386">
        <v>0</v>
      </c>
      <c r="I386" s="8">
        <f t="shared" si="21"/>
        <v>-3.1511333840162692E-2</v>
      </c>
      <c r="J386" s="8">
        <f t="shared" si="22"/>
        <v>-3.2018498671462489E-2</v>
      </c>
      <c r="K386" s="8">
        <f t="shared" si="23"/>
        <v>-0.19174942704354481</v>
      </c>
    </row>
    <row r="387" spans="1:11" x14ac:dyDescent="0.25">
      <c r="A387" t="str">
        <f t="shared" ref="A387:A450" si="24">+MONTH(B387)&amp;YEAR(B387)</f>
        <v>72018</v>
      </c>
      <c r="B387" s="1">
        <v>43300</v>
      </c>
      <c r="C387" t="s">
        <v>256</v>
      </c>
      <c r="D387">
        <v>3138.7</v>
      </c>
      <c r="E387">
        <v>3170.65</v>
      </c>
      <c r="F387">
        <v>3079.65</v>
      </c>
      <c r="G387">
        <v>3104.6</v>
      </c>
      <c r="H387">
        <v>0</v>
      </c>
      <c r="I387" s="8">
        <f t="shared" si="21"/>
        <v>-5.2865976738970533E-3</v>
      </c>
      <c r="J387" s="8">
        <f t="shared" si="22"/>
        <v>-5.3006211776302093E-3</v>
      </c>
      <c r="K387" s="8">
        <f t="shared" si="23"/>
        <v>-0.1803252719400148</v>
      </c>
    </row>
    <row r="388" spans="1:11" x14ac:dyDescent="0.25">
      <c r="A388" t="str">
        <f t="shared" si="24"/>
        <v>72018</v>
      </c>
      <c r="B388" s="1">
        <v>43301</v>
      </c>
      <c r="C388" t="s">
        <v>257</v>
      </c>
      <c r="D388">
        <v>3106.05</v>
      </c>
      <c r="E388">
        <v>3109.75</v>
      </c>
      <c r="F388">
        <v>3062.25</v>
      </c>
      <c r="G388">
        <v>3092.2</v>
      </c>
      <c r="H388">
        <v>0</v>
      </c>
      <c r="I388" s="8">
        <f t="shared" ref="I388:I451" si="25">+G388/G387-1</f>
        <v>-3.9940733105714443E-3</v>
      </c>
      <c r="J388" s="8">
        <f t="shared" ref="J388:J451" si="26">+LN(1+I388)</f>
        <v>-4.0020709238487899E-3</v>
      </c>
      <c r="K388" s="8">
        <f t="shared" si="23"/>
        <v>-0.17236764627161283</v>
      </c>
    </row>
    <row r="389" spans="1:11" x14ac:dyDescent="0.25">
      <c r="A389" t="str">
        <f t="shared" si="24"/>
        <v>72018</v>
      </c>
      <c r="B389" s="1">
        <v>43304</v>
      </c>
      <c r="C389" t="s">
        <v>258</v>
      </c>
      <c r="D389">
        <v>3102.9</v>
      </c>
      <c r="E389">
        <v>3151.65</v>
      </c>
      <c r="F389">
        <v>3068.8</v>
      </c>
      <c r="G389">
        <v>3139.35</v>
      </c>
      <c r="H389">
        <v>0</v>
      </c>
      <c r="I389" s="8">
        <f t="shared" si="25"/>
        <v>1.5248043464200167E-2</v>
      </c>
      <c r="J389" s="8">
        <f t="shared" si="26"/>
        <v>1.5132960435602204E-2</v>
      </c>
      <c r="K389" s="8">
        <f t="shared" si="23"/>
        <v>-0.16004013377926429</v>
      </c>
    </row>
    <row r="390" spans="1:11" x14ac:dyDescent="0.25">
      <c r="A390" t="str">
        <f t="shared" si="24"/>
        <v>72018</v>
      </c>
      <c r="B390" s="1">
        <v>43305</v>
      </c>
      <c r="C390" t="s">
        <v>259</v>
      </c>
      <c r="D390">
        <v>3137.6</v>
      </c>
      <c r="E390">
        <v>3245.6</v>
      </c>
      <c r="F390">
        <v>3135.05</v>
      </c>
      <c r="G390">
        <v>3233.3</v>
      </c>
      <c r="H390">
        <v>0</v>
      </c>
      <c r="I390" s="8">
        <f t="shared" si="25"/>
        <v>2.992657715769198E-2</v>
      </c>
      <c r="J390" s="8">
        <f t="shared" si="26"/>
        <v>2.9487515387776612E-2</v>
      </c>
      <c r="K390" s="8">
        <f t="shared" si="23"/>
        <v>-0.14095938998631719</v>
      </c>
    </row>
    <row r="391" spans="1:11" x14ac:dyDescent="0.25">
      <c r="A391" t="str">
        <f t="shared" si="24"/>
        <v>72018</v>
      </c>
      <c r="B391" s="1">
        <v>43306</v>
      </c>
      <c r="C391" t="s">
        <v>260</v>
      </c>
      <c r="D391">
        <v>3255.1</v>
      </c>
      <c r="E391">
        <v>3291.35</v>
      </c>
      <c r="F391">
        <v>3246.3</v>
      </c>
      <c r="G391">
        <v>3262.05</v>
      </c>
      <c r="H391">
        <v>0</v>
      </c>
      <c r="I391" s="8">
        <f t="shared" si="25"/>
        <v>8.8918442458170155E-3</v>
      </c>
      <c r="J391" s="8">
        <f t="shared" si="26"/>
        <v>8.852544591233193E-3</v>
      </c>
      <c r="K391" s="8">
        <f t="shared" si="23"/>
        <v>-0.13584645747513135</v>
      </c>
    </row>
    <row r="392" spans="1:11" x14ac:dyDescent="0.25">
      <c r="A392" t="str">
        <f t="shared" si="24"/>
        <v>72018</v>
      </c>
      <c r="B392" s="1">
        <v>43307</v>
      </c>
      <c r="C392" t="s">
        <v>261</v>
      </c>
      <c r="D392">
        <v>3272.7</v>
      </c>
      <c r="E392">
        <v>3276.9</v>
      </c>
      <c r="F392">
        <v>3230.65</v>
      </c>
      <c r="G392">
        <v>3235.35</v>
      </c>
      <c r="H392">
        <v>0</v>
      </c>
      <c r="I392" s="8">
        <f t="shared" si="25"/>
        <v>-8.1850370166001163E-3</v>
      </c>
      <c r="J392" s="8">
        <f t="shared" si="26"/>
        <v>-8.2187183466134982E-3</v>
      </c>
      <c r="K392" s="8">
        <f t="shared" si="23"/>
        <v>-0.11244770591866127</v>
      </c>
    </row>
    <row r="393" spans="1:11" x14ac:dyDescent="0.25">
      <c r="A393" t="str">
        <f t="shared" si="24"/>
        <v>72018</v>
      </c>
      <c r="B393" s="1">
        <v>43308</v>
      </c>
      <c r="C393" t="s">
        <v>262</v>
      </c>
      <c r="D393">
        <v>3263.65</v>
      </c>
      <c r="E393">
        <v>3309.8</v>
      </c>
      <c r="F393">
        <v>3259.85</v>
      </c>
      <c r="G393">
        <v>3297.7</v>
      </c>
      <c r="H393">
        <v>0</v>
      </c>
      <c r="I393" s="8">
        <f t="shared" si="25"/>
        <v>1.9271485310708325E-2</v>
      </c>
      <c r="J393" s="8">
        <f t="shared" si="26"/>
        <v>1.9088142024816002E-2</v>
      </c>
      <c r="K393" s="8">
        <f t="shared" si="23"/>
        <v>-0.1021902778344973</v>
      </c>
    </row>
    <row r="394" spans="1:11" x14ac:dyDescent="0.25">
      <c r="A394" t="str">
        <f t="shared" si="24"/>
        <v>72018</v>
      </c>
      <c r="B394" s="1">
        <v>43311</v>
      </c>
      <c r="C394" t="s">
        <v>263</v>
      </c>
      <c r="D394">
        <v>3307.95</v>
      </c>
      <c r="E394">
        <v>3334.15</v>
      </c>
      <c r="F394">
        <v>3298.2</v>
      </c>
      <c r="G394">
        <v>3320.3</v>
      </c>
      <c r="H394">
        <v>0</v>
      </c>
      <c r="I394" s="8">
        <f t="shared" si="25"/>
        <v>6.8532613639811224E-3</v>
      </c>
      <c r="J394" s="8">
        <f t="shared" si="26"/>
        <v>6.829884512659274E-3</v>
      </c>
      <c r="K394" s="8">
        <f t="shared" si="23"/>
        <v>-8.6223029502421777E-2</v>
      </c>
    </row>
    <row r="395" spans="1:11" x14ac:dyDescent="0.25">
      <c r="A395" t="str">
        <f t="shared" si="24"/>
        <v>72018</v>
      </c>
      <c r="B395" s="1">
        <v>43312</v>
      </c>
      <c r="C395" t="s">
        <v>264</v>
      </c>
      <c r="D395">
        <v>3319.05</v>
      </c>
      <c r="E395">
        <v>3345.55</v>
      </c>
      <c r="F395">
        <v>3282.15</v>
      </c>
      <c r="G395">
        <v>3335.1</v>
      </c>
      <c r="H395">
        <v>0</v>
      </c>
      <c r="I395" s="8">
        <f t="shared" si="25"/>
        <v>4.4574285456133733E-3</v>
      </c>
      <c r="J395" s="8">
        <f t="shared" si="26"/>
        <v>4.4475236337111791E-3</v>
      </c>
      <c r="K395" s="8">
        <f t="shared" si="23"/>
        <v>-9.763389656245347E-2</v>
      </c>
    </row>
    <row r="396" spans="1:11" x14ac:dyDescent="0.25">
      <c r="A396" t="str">
        <f t="shared" si="24"/>
        <v>82018</v>
      </c>
      <c r="B396" s="1">
        <v>43313</v>
      </c>
      <c r="C396" s="10">
        <v>43108.645833333336</v>
      </c>
      <c r="D396">
        <v>3337.55</v>
      </c>
      <c r="E396">
        <v>3374.25</v>
      </c>
      <c r="F396">
        <v>3295.75</v>
      </c>
      <c r="G396">
        <v>3320</v>
      </c>
      <c r="H396">
        <v>0</v>
      </c>
      <c r="I396" s="8">
        <f t="shared" si="25"/>
        <v>-4.5276003718028868E-3</v>
      </c>
      <c r="J396" s="8">
        <f t="shared" si="26"/>
        <v>-4.537880997144709E-3</v>
      </c>
      <c r="K396" s="8">
        <f t="shared" si="23"/>
        <v>-0.10005150307663113</v>
      </c>
    </row>
    <row r="397" spans="1:11" x14ac:dyDescent="0.25">
      <c r="A397" t="str">
        <f t="shared" si="24"/>
        <v>82018</v>
      </c>
      <c r="B397" s="1">
        <v>43314</v>
      </c>
      <c r="C397" s="10">
        <v>43139.645833333336</v>
      </c>
      <c r="D397">
        <v>3313.1</v>
      </c>
      <c r="E397">
        <v>3352.1</v>
      </c>
      <c r="F397">
        <v>3265.8</v>
      </c>
      <c r="G397">
        <v>3327.75</v>
      </c>
      <c r="H397">
        <v>0</v>
      </c>
      <c r="I397" s="8">
        <f t="shared" si="25"/>
        <v>2.3343373493975861E-3</v>
      </c>
      <c r="J397" s="8">
        <f t="shared" si="26"/>
        <v>2.331617016594332E-3</v>
      </c>
      <c r="K397" s="8">
        <f t="shared" si="23"/>
        <v>-9.8573808459631929E-2</v>
      </c>
    </row>
    <row r="398" spans="1:11" x14ac:dyDescent="0.25">
      <c r="A398" t="str">
        <f t="shared" si="24"/>
        <v>82018</v>
      </c>
      <c r="B398" s="1">
        <v>43315</v>
      </c>
      <c r="C398" s="10">
        <v>43167.645833333336</v>
      </c>
      <c r="D398">
        <v>3338.8</v>
      </c>
      <c r="E398">
        <v>3386.7</v>
      </c>
      <c r="F398">
        <v>3335.05</v>
      </c>
      <c r="G398">
        <v>3380.85</v>
      </c>
      <c r="H398">
        <v>0</v>
      </c>
      <c r="I398" s="8">
        <f t="shared" si="25"/>
        <v>1.5956727518593672E-2</v>
      </c>
      <c r="J398" s="8">
        <f t="shared" si="26"/>
        <v>1.5830757224260462E-2</v>
      </c>
      <c r="K398" s="8">
        <f t="shared" si="23"/>
        <v>-7.5183959296441172E-2</v>
      </c>
    </row>
    <row r="399" spans="1:11" x14ac:dyDescent="0.25">
      <c r="A399" t="str">
        <f t="shared" si="24"/>
        <v>82018</v>
      </c>
      <c r="B399" s="1">
        <v>43318</v>
      </c>
      <c r="C399" s="10">
        <v>43259.645833333336</v>
      </c>
      <c r="D399">
        <v>3399.9</v>
      </c>
      <c r="E399">
        <v>3423.7</v>
      </c>
      <c r="F399">
        <v>3387.8</v>
      </c>
      <c r="G399">
        <v>3405.7</v>
      </c>
      <c r="H399">
        <v>0</v>
      </c>
      <c r="I399" s="8">
        <f t="shared" si="25"/>
        <v>7.3502225771624463E-3</v>
      </c>
      <c r="J399" s="8">
        <f t="shared" si="26"/>
        <v>7.3233413329136876E-3</v>
      </c>
      <c r="K399" s="8">
        <f t="shared" si="23"/>
        <v>-8.2713854772678341E-2</v>
      </c>
    </row>
    <row r="400" spans="1:11" x14ac:dyDescent="0.25">
      <c r="A400" t="str">
        <f t="shared" si="24"/>
        <v>82018</v>
      </c>
      <c r="B400" s="1">
        <v>43319</v>
      </c>
      <c r="C400" s="10">
        <v>43289.645833333336</v>
      </c>
      <c r="D400">
        <v>3422.45</v>
      </c>
      <c r="E400">
        <v>3463</v>
      </c>
      <c r="F400">
        <v>3385.55</v>
      </c>
      <c r="G400">
        <v>3445.25</v>
      </c>
      <c r="H400">
        <v>0</v>
      </c>
      <c r="I400" s="8">
        <f t="shared" si="25"/>
        <v>1.1612884282232727E-2</v>
      </c>
      <c r="J400" s="8">
        <f t="shared" si="26"/>
        <v>1.1545972270951447E-2</v>
      </c>
      <c r="K400" s="8">
        <f t="shared" si="23"/>
        <v>-6.9366972353155698E-2</v>
      </c>
    </row>
    <row r="401" spans="1:11" x14ac:dyDescent="0.25">
      <c r="A401" t="str">
        <f t="shared" si="24"/>
        <v>82018</v>
      </c>
      <c r="B401" s="1">
        <v>43320</v>
      </c>
      <c r="C401" s="10">
        <v>43320.645833333336</v>
      </c>
      <c r="D401">
        <v>3469.55</v>
      </c>
      <c r="E401">
        <v>3487.35</v>
      </c>
      <c r="F401">
        <v>3440.25</v>
      </c>
      <c r="G401">
        <v>3453.6</v>
      </c>
      <c r="H401">
        <v>0</v>
      </c>
      <c r="I401" s="8">
        <f t="shared" si="25"/>
        <v>2.4236267324577732E-3</v>
      </c>
      <c r="J401" s="8">
        <f t="shared" si="26"/>
        <v>2.4206944860135607E-3</v>
      </c>
      <c r="K401" s="8">
        <f t="shared" si="23"/>
        <v>-6.9499265805391341E-2</v>
      </c>
    </row>
    <row r="402" spans="1:11" x14ac:dyDescent="0.25">
      <c r="A402" t="str">
        <f t="shared" si="24"/>
        <v>82018</v>
      </c>
      <c r="B402" s="1">
        <v>43321</v>
      </c>
      <c r="C402" s="10">
        <v>43351.645833333336</v>
      </c>
      <c r="D402">
        <v>3475.6</v>
      </c>
      <c r="E402">
        <v>3511.9</v>
      </c>
      <c r="F402">
        <v>3447.25</v>
      </c>
      <c r="G402">
        <v>3501.75</v>
      </c>
      <c r="H402">
        <v>0</v>
      </c>
      <c r="I402" s="8">
        <f t="shared" si="25"/>
        <v>1.3941973592772827E-2</v>
      </c>
      <c r="J402" s="8">
        <f t="shared" si="26"/>
        <v>1.384567827788841E-2</v>
      </c>
      <c r="K402" s="8">
        <f t="shared" si="23"/>
        <v>-5.259526804918635E-2</v>
      </c>
    </row>
    <row r="403" spans="1:11" x14ac:dyDescent="0.25">
      <c r="A403" t="str">
        <f t="shared" si="24"/>
        <v>82018</v>
      </c>
      <c r="B403" s="1">
        <v>43322</v>
      </c>
      <c r="C403" s="10">
        <v>43381.645833333336</v>
      </c>
      <c r="D403">
        <v>3511.15</v>
      </c>
      <c r="E403">
        <v>3512.75</v>
      </c>
      <c r="F403">
        <v>3423.5</v>
      </c>
      <c r="G403">
        <v>3434.75</v>
      </c>
      <c r="H403">
        <v>0</v>
      </c>
      <c r="I403" s="8">
        <f t="shared" si="25"/>
        <v>-1.9133290497608368E-2</v>
      </c>
      <c r="J403" s="8">
        <f t="shared" si="26"/>
        <v>-1.9318700715098527E-2</v>
      </c>
      <c r="K403" s="8">
        <f t="shared" si="23"/>
        <v>-6.647913354260937E-2</v>
      </c>
    </row>
    <row r="404" spans="1:11" x14ac:dyDescent="0.25">
      <c r="A404" t="str">
        <f t="shared" si="24"/>
        <v>82018</v>
      </c>
      <c r="B404" s="1">
        <v>43325</v>
      </c>
      <c r="C404" t="s">
        <v>265</v>
      </c>
      <c r="D404">
        <v>3412.45</v>
      </c>
      <c r="E404">
        <v>3443.35</v>
      </c>
      <c r="F404">
        <v>3379.4</v>
      </c>
      <c r="G404">
        <v>3405.8</v>
      </c>
      <c r="H404">
        <v>0</v>
      </c>
      <c r="I404" s="8">
        <f t="shared" si="25"/>
        <v>-8.4285610306426006E-3</v>
      </c>
      <c r="J404" s="8">
        <f t="shared" si="26"/>
        <v>-8.4642822115532403E-3</v>
      </c>
      <c r="K404" s="8">
        <f t="shared" si="23"/>
        <v>-5.1480929636695261E-2</v>
      </c>
    </row>
    <row r="405" spans="1:11" x14ac:dyDescent="0.25">
      <c r="A405" t="str">
        <f t="shared" si="24"/>
        <v>82018</v>
      </c>
      <c r="B405" s="1">
        <v>43326</v>
      </c>
      <c r="C405" t="s">
        <v>266</v>
      </c>
      <c r="D405">
        <v>3427.5</v>
      </c>
      <c r="E405">
        <v>3444</v>
      </c>
      <c r="F405">
        <v>3392.6</v>
      </c>
      <c r="G405">
        <v>3414.6</v>
      </c>
      <c r="H405">
        <v>0</v>
      </c>
      <c r="I405" s="8">
        <f t="shared" si="25"/>
        <v>2.5838275882317241E-3</v>
      </c>
      <c r="J405" s="8">
        <f t="shared" si="26"/>
        <v>2.580495244628834E-3</v>
      </c>
      <c r="K405" s="8">
        <f t="shared" si="23"/>
        <v>-3.2787117424617929E-2</v>
      </c>
    </row>
    <row r="406" spans="1:11" x14ac:dyDescent="0.25">
      <c r="A406" t="str">
        <f t="shared" si="24"/>
        <v>82018</v>
      </c>
      <c r="B406" s="1">
        <v>43328</v>
      </c>
      <c r="C406" t="s">
        <v>267</v>
      </c>
      <c r="D406">
        <v>3356.15</v>
      </c>
      <c r="E406">
        <v>3370.5</v>
      </c>
      <c r="F406">
        <v>3329.65</v>
      </c>
      <c r="G406">
        <v>3337.05</v>
      </c>
      <c r="H406">
        <v>0</v>
      </c>
      <c r="I406" s="8">
        <f t="shared" si="25"/>
        <v>-2.2711298541556735E-2</v>
      </c>
      <c r="J406" s="8">
        <f t="shared" si="26"/>
        <v>-2.2973172679880822E-2</v>
      </c>
      <c r="K406" s="8">
        <f t="shared" si="23"/>
        <v>-7.1209886164379732E-2</v>
      </c>
    </row>
    <row r="407" spans="1:11" x14ac:dyDescent="0.25">
      <c r="A407" t="str">
        <f t="shared" si="24"/>
        <v>82018</v>
      </c>
      <c r="B407" s="1">
        <v>43329</v>
      </c>
      <c r="C407" t="s">
        <v>268</v>
      </c>
      <c r="D407">
        <v>3368.65</v>
      </c>
      <c r="E407">
        <v>3412.05</v>
      </c>
      <c r="F407">
        <v>3365.25</v>
      </c>
      <c r="G407">
        <v>3394.1</v>
      </c>
      <c r="H407">
        <v>0</v>
      </c>
      <c r="I407" s="8">
        <f t="shared" si="25"/>
        <v>1.7095938029097368E-2</v>
      </c>
      <c r="J407" s="8">
        <f t="shared" si="26"/>
        <v>1.6951446962446846E-2</v>
      </c>
      <c r="K407" s="8">
        <f t="shared" si="23"/>
        <v>-1.8578223719403764E-2</v>
      </c>
    </row>
    <row r="408" spans="1:11" x14ac:dyDescent="0.25">
      <c r="A408" t="str">
        <f t="shared" si="24"/>
        <v>82018</v>
      </c>
      <c r="B408" s="1">
        <v>43332</v>
      </c>
      <c r="C408" t="s">
        <v>269</v>
      </c>
      <c r="D408">
        <v>3412.25</v>
      </c>
      <c r="E408">
        <v>3483.85</v>
      </c>
      <c r="F408">
        <v>3408.55</v>
      </c>
      <c r="G408">
        <v>3478.9</v>
      </c>
      <c r="H408">
        <v>0</v>
      </c>
      <c r="I408" s="8">
        <f t="shared" si="25"/>
        <v>2.4984531981968816E-2</v>
      </c>
      <c r="J408" s="8">
        <f t="shared" si="26"/>
        <v>2.4677521727206282E-2</v>
      </c>
      <c r="K408" s="8">
        <f t="shared" si="23"/>
        <v>-3.6515687425715537E-3</v>
      </c>
    </row>
    <row r="409" spans="1:11" x14ac:dyDescent="0.25">
      <c r="A409" t="str">
        <f t="shared" si="24"/>
        <v>82018</v>
      </c>
      <c r="B409" s="1">
        <v>43333</v>
      </c>
      <c r="C409" t="s">
        <v>270</v>
      </c>
      <c r="D409">
        <v>3498.05</v>
      </c>
      <c r="E409">
        <v>3498.15</v>
      </c>
      <c r="F409">
        <v>3456.95</v>
      </c>
      <c r="G409">
        <v>3466.95</v>
      </c>
      <c r="H409">
        <v>0</v>
      </c>
      <c r="I409" s="8">
        <f t="shared" si="25"/>
        <v>-3.4349938198856567E-3</v>
      </c>
      <c r="J409" s="8">
        <f t="shared" si="26"/>
        <v>-3.4409069560977839E-3</v>
      </c>
      <c r="K409" s="8">
        <f t="shared" si="23"/>
        <v>-2.8157761955485916E-2</v>
      </c>
    </row>
    <row r="410" spans="1:11" x14ac:dyDescent="0.25">
      <c r="A410" t="str">
        <f t="shared" si="24"/>
        <v>82018</v>
      </c>
      <c r="B410" s="1">
        <v>43335</v>
      </c>
      <c r="C410" t="s">
        <v>271</v>
      </c>
      <c r="D410">
        <v>3470.65</v>
      </c>
      <c r="E410">
        <v>3470.95</v>
      </c>
      <c r="F410">
        <v>3402.35</v>
      </c>
      <c r="G410">
        <v>3416.8</v>
      </c>
      <c r="H410">
        <v>0</v>
      </c>
      <c r="I410" s="8">
        <f t="shared" si="25"/>
        <v>-1.4465163904873068E-2</v>
      </c>
      <c r="J410" s="8">
        <f t="shared" si="26"/>
        <v>-1.4570804363550932E-2</v>
      </c>
      <c r="K410" s="8">
        <f t="shared" si="23"/>
        <v>-5.212639054567636E-2</v>
      </c>
    </row>
    <row r="411" spans="1:11" x14ac:dyDescent="0.25">
      <c r="A411" t="str">
        <f t="shared" si="24"/>
        <v>82018</v>
      </c>
      <c r="B411" s="1">
        <v>43336</v>
      </c>
      <c r="C411" t="s">
        <v>272</v>
      </c>
      <c r="D411">
        <v>3400.65</v>
      </c>
      <c r="E411">
        <v>3484.5</v>
      </c>
      <c r="F411">
        <v>3394.05</v>
      </c>
      <c r="G411">
        <v>3481.2</v>
      </c>
      <c r="H411">
        <v>0</v>
      </c>
      <c r="I411" s="8">
        <f t="shared" si="25"/>
        <v>1.8848044954343113E-2</v>
      </c>
      <c r="J411" s="8">
        <f t="shared" si="26"/>
        <v>1.8672621388101773E-2</v>
      </c>
      <c r="K411" s="8">
        <f t="shared" si="23"/>
        <v>-3.4863250114362532E-2</v>
      </c>
    </row>
    <row r="412" spans="1:11" x14ac:dyDescent="0.25">
      <c r="A412" t="str">
        <f t="shared" si="24"/>
        <v>82018</v>
      </c>
      <c r="B412" s="1">
        <v>43339</v>
      </c>
      <c r="C412" t="s">
        <v>273</v>
      </c>
      <c r="D412">
        <v>3515.6</v>
      </c>
      <c r="E412">
        <v>3554.2</v>
      </c>
      <c r="F412">
        <v>3510.25</v>
      </c>
      <c r="G412">
        <v>3532.85</v>
      </c>
      <c r="H412">
        <v>0</v>
      </c>
      <c r="I412" s="8">
        <f t="shared" si="25"/>
        <v>1.4836837871998299E-2</v>
      </c>
      <c r="J412" s="8">
        <f t="shared" si="26"/>
        <v>1.4727848706919231E-2</v>
      </c>
      <c r="K412" s="8">
        <f t="shared" si="23"/>
        <v>-2.1411852693101419E-2</v>
      </c>
    </row>
    <row r="413" spans="1:11" x14ac:dyDescent="0.25">
      <c r="A413" t="str">
        <f t="shared" si="24"/>
        <v>82018</v>
      </c>
      <c r="B413" s="1">
        <v>43340</v>
      </c>
      <c r="C413" t="s">
        <v>274</v>
      </c>
      <c r="D413">
        <v>3555</v>
      </c>
      <c r="E413">
        <v>3603.9</v>
      </c>
      <c r="F413">
        <v>3533.15</v>
      </c>
      <c r="G413">
        <v>3597.2</v>
      </c>
      <c r="H413">
        <v>0</v>
      </c>
      <c r="I413" s="8">
        <f t="shared" si="25"/>
        <v>1.8214755792065773E-2</v>
      </c>
      <c r="J413" s="8">
        <f t="shared" si="26"/>
        <v>1.8050854418082535E-2</v>
      </c>
      <c r="K413" s="8">
        <f t="shared" si="23"/>
        <v>9.8785357505581928E-4</v>
      </c>
    </row>
    <row r="414" spans="1:11" x14ac:dyDescent="0.25">
      <c r="A414" t="str">
        <f t="shared" si="24"/>
        <v>82018</v>
      </c>
      <c r="B414" s="1">
        <v>43341</v>
      </c>
      <c r="C414" t="s">
        <v>275</v>
      </c>
      <c r="D414">
        <v>3609.65</v>
      </c>
      <c r="E414">
        <v>3681.6</v>
      </c>
      <c r="F414">
        <v>3605.7</v>
      </c>
      <c r="G414">
        <v>3634.3</v>
      </c>
      <c r="H414">
        <v>0</v>
      </c>
      <c r="I414" s="8">
        <f t="shared" si="25"/>
        <v>1.0313577226731985E-2</v>
      </c>
      <c r="J414" s="8">
        <f t="shared" si="26"/>
        <v>1.0260755168269246E-2</v>
      </c>
      <c r="K414" s="8">
        <f t="shared" si="23"/>
        <v>1.8467660576168665E-2</v>
      </c>
    </row>
    <row r="415" spans="1:11" x14ac:dyDescent="0.25">
      <c r="A415" t="str">
        <f t="shared" si="24"/>
        <v>82018</v>
      </c>
      <c r="B415" s="1">
        <v>43342</v>
      </c>
      <c r="C415" t="s">
        <v>276</v>
      </c>
      <c r="D415">
        <v>3641.5</v>
      </c>
      <c r="E415">
        <v>3687.35</v>
      </c>
      <c r="F415">
        <v>3633.05</v>
      </c>
      <c r="G415">
        <v>3665.3</v>
      </c>
      <c r="H415">
        <v>0</v>
      </c>
      <c r="I415" s="8">
        <f t="shared" si="25"/>
        <v>8.5298406845883967E-3</v>
      </c>
      <c r="J415" s="8">
        <f t="shared" si="26"/>
        <v>8.4936671509657641E-3</v>
      </c>
      <c r="K415" s="8">
        <f t="shared" si="23"/>
        <v>2.5502567043912627E-2</v>
      </c>
    </row>
    <row r="416" spans="1:11" x14ac:dyDescent="0.25">
      <c r="A416" t="str">
        <f t="shared" si="24"/>
        <v>82018</v>
      </c>
      <c r="B416" s="1">
        <v>43343</v>
      </c>
      <c r="C416" t="s">
        <v>277</v>
      </c>
      <c r="D416">
        <v>3663.05</v>
      </c>
      <c r="E416">
        <v>3684.85</v>
      </c>
      <c r="F416">
        <v>3627.2</v>
      </c>
      <c r="G416">
        <v>3643.45</v>
      </c>
      <c r="H416">
        <v>0</v>
      </c>
      <c r="I416" s="8">
        <f t="shared" si="25"/>
        <v>-5.9613128529725223E-3</v>
      </c>
      <c r="J416" s="8">
        <f t="shared" si="26"/>
        <v>-5.9791524118988811E-3</v>
      </c>
      <c r="K416" s="8">
        <f t="shared" si="23"/>
        <v>2.5298645016954779E-2</v>
      </c>
    </row>
    <row r="417" spans="1:11" x14ac:dyDescent="0.25">
      <c r="A417" t="str">
        <f t="shared" si="24"/>
        <v>92018</v>
      </c>
      <c r="B417" s="1">
        <v>43346</v>
      </c>
      <c r="C417" s="10">
        <v>43168.645833333336</v>
      </c>
      <c r="D417">
        <v>3658.55</v>
      </c>
      <c r="E417">
        <v>3692.1</v>
      </c>
      <c r="F417">
        <v>3641.35</v>
      </c>
      <c r="G417">
        <v>3656.7</v>
      </c>
      <c r="H417">
        <v>0</v>
      </c>
      <c r="I417" s="8">
        <f t="shared" si="25"/>
        <v>3.6366630528756883E-3</v>
      </c>
      <c r="J417" s="8">
        <f t="shared" si="26"/>
        <v>3.6300663822038236E-3</v>
      </c>
      <c r="K417" s="8">
        <f t="shared" si="23"/>
        <v>1.0249751353740733E-2</v>
      </c>
    </row>
    <row r="418" spans="1:11" x14ac:dyDescent="0.25">
      <c r="A418" t="str">
        <f t="shared" si="24"/>
        <v>92018</v>
      </c>
      <c r="B418" s="1">
        <v>43347</v>
      </c>
      <c r="C418" s="10">
        <v>43199.645833333336</v>
      </c>
      <c r="D418">
        <v>3664.8</v>
      </c>
      <c r="E418">
        <v>3667.9</v>
      </c>
      <c r="F418">
        <v>3571.65</v>
      </c>
      <c r="G418">
        <v>3585.6</v>
      </c>
      <c r="H418">
        <v>0</v>
      </c>
      <c r="I418" s="8">
        <f t="shared" si="25"/>
        <v>-1.9443760767905438E-2</v>
      </c>
      <c r="J418" s="8">
        <f t="shared" si="26"/>
        <v>-1.9635277283237842E-2</v>
      </c>
      <c r="K418" s="8">
        <f t="shared" si="23"/>
        <v>-2.3888276368981942E-2</v>
      </c>
    </row>
    <row r="419" spans="1:11" x14ac:dyDescent="0.25">
      <c r="A419" t="str">
        <f t="shared" si="24"/>
        <v>92018</v>
      </c>
      <c r="B419" s="1">
        <v>43348</v>
      </c>
      <c r="C419" s="10">
        <v>43229.645833333336</v>
      </c>
      <c r="D419">
        <v>3567.2</v>
      </c>
      <c r="E419">
        <v>3629.1</v>
      </c>
      <c r="F419">
        <v>3538.3</v>
      </c>
      <c r="G419">
        <v>3623.2</v>
      </c>
      <c r="H419">
        <v>0</v>
      </c>
      <c r="I419" s="8">
        <f t="shared" si="25"/>
        <v>1.0486390004462276E-2</v>
      </c>
      <c r="J419" s="8">
        <f t="shared" si="26"/>
        <v>1.0431789195341545E-2</v>
      </c>
      <c r="K419" s="8">
        <f t="shared" si="23"/>
        <v>-9.6622979049078017E-3</v>
      </c>
    </row>
    <row r="420" spans="1:11" x14ac:dyDescent="0.25">
      <c r="A420" t="str">
        <f t="shared" si="24"/>
        <v>92018</v>
      </c>
      <c r="B420" s="1">
        <v>43349</v>
      </c>
      <c r="C420" s="10">
        <v>43260.645833333336</v>
      </c>
      <c r="D420">
        <v>3647.1</v>
      </c>
      <c r="E420">
        <v>3656.1</v>
      </c>
      <c r="F420">
        <v>3596.75</v>
      </c>
      <c r="G420">
        <v>3632.2</v>
      </c>
      <c r="H420">
        <v>0</v>
      </c>
      <c r="I420" s="8">
        <f t="shared" si="25"/>
        <v>2.4839920512254032E-3</v>
      </c>
      <c r="J420" s="8">
        <f t="shared" si="26"/>
        <v>2.4809120423940319E-3</v>
      </c>
      <c r="K420" s="8">
        <f t="shared" si="23"/>
        <v>-3.456979806848226E-3</v>
      </c>
    </row>
    <row r="421" spans="1:11" x14ac:dyDescent="0.25">
      <c r="A421" t="str">
        <f t="shared" si="24"/>
        <v>92018</v>
      </c>
      <c r="B421" s="1">
        <v>43350</v>
      </c>
      <c r="C421" s="10">
        <v>43290.645833333336</v>
      </c>
      <c r="D421">
        <v>3640.4</v>
      </c>
      <c r="E421">
        <v>3713.15</v>
      </c>
      <c r="F421">
        <v>3619.35</v>
      </c>
      <c r="G421">
        <v>3699.75</v>
      </c>
      <c r="H421">
        <v>0</v>
      </c>
      <c r="I421" s="8">
        <f t="shared" si="25"/>
        <v>1.859754418809545E-2</v>
      </c>
      <c r="J421" s="8">
        <f t="shared" si="26"/>
        <v>1.8426724497559221E-2</v>
      </c>
      <c r="K421" s="8">
        <f t="shared" si="23"/>
        <v>1.9509775554912734E-2</v>
      </c>
    </row>
    <row r="422" spans="1:11" x14ac:dyDescent="0.25">
      <c r="A422" t="str">
        <f t="shared" si="24"/>
        <v>92018</v>
      </c>
      <c r="B422" s="1">
        <v>43353</v>
      </c>
      <c r="C422" s="10">
        <v>43382.645833333336</v>
      </c>
      <c r="D422">
        <v>3716.55</v>
      </c>
      <c r="E422">
        <v>3727.4</v>
      </c>
      <c r="F422">
        <v>3627.55</v>
      </c>
      <c r="G422">
        <v>3636.85</v>
      </c>
      <c r="H422">
        <v>0</v>
      </c>
      <c r="I422" s="8">
        <f t="shared" si="25"/>
        <v>-1.7001148726265347E-2</v>
      </c>
      <c r="J422" s="8">
        <f t="shared" si="26"/>
        <v>-1.7147327427988347E-2</v>
      </c>
      <c r="K422" s="8">
        <f t="shared" si="23"/>
        <v>6.6429550078193067E-3</v>
      </c>
    </row>
    <row r="423" spans="1:11" x14ac:dyDescent="0.25">
      <c r="A423" t="str">
        <f t="shared" si="24"/>
        <v>92018</v>
      </c>
      <c r="B423" s="1">
        <v>43354</v>
      </c>
      <c r="C423" s="10">
        <v>43413.645833333336</v>
      </c>
      <c r="D423">
        <v>3656.8</v>
      </c>
      <c r="E423">
        <v>3663.75</v>
      </c>
      <c r="F423">
        <v>3559.25</v>
      </c>
      <c r="G423">
        <v>3578.3</v>
      </c>
      <c r="H423">
        <v>0</v>
      </c>
      <c r="I423" s="8">
        <f t="shared" si="25"/>
        <v>-1.6099096745810226E-2</v>
      </c>
      <c r="J423" s="8">
        <f t="shared" si="26"/>
        <v>-1.6230095076292698E-2</v>
      </c>
      <c r="K423" s="8">
        <f t="shared" si="23"/>
        <v>-5.2264324038808763E-3</v>
      </c>
    </row>
    <row r="424" spans="1:11" x14ac:dyDescent="0.25">
      <c r="A424" t="str">
        <f t="shared" si="24"/>
        <v>92018</v>
      </c>
      <c r="B424" s="1">
        <v>43355</v>
      </c>
      <c r="C424" s="10">
        <v>43443.645833333336</v>
      </c>
      <c r="D424">
        <v>3588</v>
      </c>
      <c r="E424">
        <v>3641.55</v>
      </c>
      <c r="F424">
        <v>3542.6</v>
      </c>
      <c r="G424">
        <v>3631.4</v>
      </c>
      <c r="H424">
        <v>0</v>
      </c>
      <c r="I424" s="8">
        <f t="shared" si="25"/>
        <v>1.4839448900315855E-2</v>
      </c>
      <c r="J424" s="8">
        <f t="shared" si="26"/>
        <v>1.473042155889033E-2</v>
      </c>
      <c r="K424" s="8">
        <f t="shared" si="23"/>
        <v>2.525445023221673E-2</v>
      </c>
    </row>
    <row r="425" spans="1:11" x14ac:dyDescent="0.25">
      <c r="A425" t="str">
        <f t="shared" si="24"/>
        <v>92018</v>
      </c>
      <c r="B425" s="1">
        <v>43357</v>
      </c>
      <c r="C425" t="s">
        <v>278</v>
      </c>
      <c r="D425">
        <v>3672</v>
      </c>
      <c r="E425">
        <v>3725.9</v>
      </c>
      <c r="F425">
        <v>3668.3</v>
      </c>
      <c r="G425">
        <v>3713.7</v>
      </c>
      <c r="H425">
        <v>0</v>
      </c>
      <c r="I425" s="8">
        <f t="shared" si="25"/>
        <v>2.2663435589579617E-2</v>
      </c>
      <c r="J425" s="8">
        <f t="shared" si="26"/>
        <v>2.2410435369307532E-2</v>
      </c>
      <c r="K425" s="8">
        <f t="shared" si="23"/>
        <v>6.7017196052234551E-2</v>
      </c>
    </row>
    <row r="426" spans="1:11" x14ac:dyDescent="0.25">
      <c r="A426" t="str">
        <f t="shared" si="24"/>
        <v>92018</v>
      </c>
      <c r="B426" s="1">
        <v>43360</v>
      </c>
      <c r="C426" t="s">
        <v>279</v>
      </c>
      <c r="D426">
        <v>3697.65</v>
      </c>
      <c r="E426">
        <v>3733.15</v>
      </c>
      <c r="F426">
        <v>3665.65</v>
      </c>
      <c r="G426">
        <v>3705.45</v>
      </c>
      <c r="H426">
        <v>0</v>
      </c>
      <c r="I426" s="8">
        <f t="shared" si="25"/>
        <v>-2.221504160271448E-3</v>
      </c>
      <c r="J426" s="8">
        <f t="shared" si="26"/>
        <v>-2.2239753611722236E-3</v>
      </c>
      <c r="K426" s="8">
        <f t="shared" si="23"/>
        <v>8.1662142043961827E-2</v>
      </c>
    </row>
    <row r="427" spans="1:11" x14ac:dyDescent="0.25">
      <c r="A427" t="str">
        <f t="shared" si="24"/>
        <v>92018</v>
      </c>
      <c r="B427" s="1">
        <v>43361</v>
      </c>
      <c r="C427" t="s">
        <v>280</v>
      </c>
      <c r="D427">
        <v>3710.35</v>
      </c>
      <c r="E427">
        <v>3728.05</v>
      </c>
      <c r="F427">
        <v>3634.25</v>
      </c>
      <c r="G427">
        <v>3648.1</v>
      </c>
      <c r="H427">
        <v>0</v>
      </c>
      <c r="I427" s="8">
        <f t="shared" si="25"/>
        <v>-1.5477202499021736E-2</v>
      </c>
      <c r="J427" s="8">
        <f t="shared" si="26"/>
        <v>-1.5598224745488033E-2</v>
      </c>
      <c r="K427" s="8">
        <f t="shared" si="23"/>
        <v>5.4470827973927882E-2</v>
      </c>
    </row>
    <row r="428" spans="1:11" x14ac:dyDescent="0.25">
      <c r="A428" t="str">
        <f t="shared" si="24"/>
        <v>92018</v>
      </c>
      <c r="B428" s="1">
        <v>43362</v>
      </c>
      <c r="C428" t="s">
        <v>281</v>
      </c>
      <c r="D428">
        <v>3673.4</v>
      </c>
      <c r="E428">
        <v>3727.45</v>
      </c>
      <c r="F428">
        <v>3672.05</v>
      </c>
      <c r="G428">
        <v>3691.8</v>
      </c>
      <c r="H428">
        <v>0</v>
      </c>
      <c r="I428" s="8">
        <f t="shared" si="25"/>
        <v>1.1978838299388839E-2</v>
      </c>
      <c r="J428" s="8">
        <f t="shared" si="26"/>
        <v>1.1907659875285671E-2</v>
      </c>
      <c r="K428" s="8">
        <f t="shared" si="23"/>
        <v>7.8700930619877596E-2</v>
      </c>
    </row>
    <row r="429" spans="1:11" x14ac:dyDescent="0.25">
      <c r="A429" t="str">
        <f t="shared" si="24"/>
        <v>92018</v>
      </c>
      <c r="B429" s="1">
        <v>43364</v>
      </c>
      <c r="C429" t="s">
        <v>282</v>
      </c>
      <c r="D429">
        <v>3724.4</v>
      </c>
      <c r="E429">
        <v>3776.05</v>
      </c>
      <c r="F429">
        <v>3519</v>
      </c>
      <c r="G429">
        <v>3673.25</v>
      </c>
      <c r="H429">
        <v>0</v>
      </c>
      <c r="I429" s="8">
        <f t="shared" si="25"/>
        <v>-5.0246492226014849E-3</v>
      </c>
      <c r="J429" s="8">
        <f t="shared" si="26"/>
        <v>-5.0373152184439891E-3</v>
      </c>
      <c r="K429" s="8">
        <f t="shared" si="23"/>
        <v>7.0434643237021088E-2</v>
      </c>
    </row>
    <row r="430" spans="1:11" x14ac:dyDescent="0.25">
      <c r="A430" t="str">
        <f t="shared" si="24"/>
        <v>92018</v>
      </c>
      <c r="B430" s="1">
        <v>43367</v>
      </c>
      <c r="C430" t="s">
        <v>283</v>
      </c>
      <c r="D430">
        <v>3683.65</v>
      </c>
      <c r="E430">
        <v>3723.65</v>
      </c>
      <c r="F430">
        <v>3612.7</v>
      </c>
      <c r="G430">
        <v>3631.7</v>
      </c>
      <c r="H430">
        <v>0</v>
      </c>
      <c r="I430" s="8">
        <f t="shared" si="25"/>
        <v>-1.1311508881780452E-2</v>
      </c>
      <c r="J430" s="8">
        <f t="shared" si="26"/>
        <v>-1.137597056530959E-2</v>
      </c>
      <c r="K430" s="8">
        <f t="shared" si="23"/>
        <v>6.8948770401330517E-2</v>
      </c>
    </row>
    <row r="431" spans="1:11" x14ac:dyDescent="0.25">
      <c r="A431" t="str">
        <f t="shared" si="24"/>
        <v>92018</v>
      </c>
      <c r="B431" s="1">
        <v>43368</v>
      </c>
      <c r="C431" t="s">
        <v>284</v>
      </c>
      <c r="D431">
        <v>3629.95</v>
      </c>
      <c r="E431">
        <v>3645.65</v>
      </c>
      <c r="F431">
        <v>3555.15</v>
      </c>
      <c r="G431">
        <v>3631.8</v>
      </c>
      <c r="H431">
        <v>0</v>
      </c>
      <c r="I431" s="8">
        <f t="shared" si="25"/>
        <v>2.753531404042775E-5</v>
      </c>
      <c r="J431" s="8">
        <f t="shared" si="26"/>
        <v>2.7534934950626987E-5</v>
      </c>
      <c r="K431" s="8">
        <f t="shared" si="23"/>
        <v>7.3100106370405316E-2</v>
      </c>
    </row>
    <row r="432" spans="1:11" x14ac:dyDescent="0.25">
      <c r="A432" t="str">
        <f t="shared" si="24"/>
        <v>92018</v>
      </c>
      <c r="B432" s="1">
        <v>43369</v>
      </c>
      <c r="C432" t="s">
        <v>285</v>
      </c>
      <c r="D432">
        <v>3658.55</v>
      </c>
      <c r="E432">
        <v>3714.25</v>
      </c>
      <c r="F432">
        <v>3621.4</v>
      </c>
      <c r="G432">
        <v>3693.95</v>
      </c>
      <c r="H432">
        <v>0</v>
      </c>
      <c r="I432" s="8">
        <f t="shared" si="25"/>
        <v>1.7112726471721906E-2</v>
      </c>
      <c r="J432" s="8">
        <f t="shared" si="26"/>
        <v>1.6967953078970578E-2</v>
      </c>
      <c r="K432" s="8">
        <f t="shared" si="23"/>
        <v>0.10537734155245659</v>
      </c>
    </row>
    <row r="433" spans="1:11" x14ac:dyDescent="0.25">
      <c r="A433" t="str">
        <f t="shared" si="24"/>
        <v>92018</v>
      </c>
      <c r="B433" s="1">
        <v>43370</v>
      </c>
      <c r="C433" t="s">
        <v>286</v>
      </c>
      <c r="D433">
        <v>3705.05</v>
      </c>
      <c r="E433">
        <v>3724.75</v>
      </c>
      <c r="F433">
        <v>3652.15</v>
      </c>
      <c r="G433">
        <v>3669.7</v>
      </c>
      <c r="H433">
        <v>0</v>
      </c>
      <c r="I433" s="8">
        <f t="shared" si="25"/>
        <v>-6.5647883701728249E-3</v>
      </c>
      <c r="J433" s="8">
        <f t="shared" si="26"/>
        <v>-6.5864313664732227E-3</v>
      </c>
      <c r="K433" s="8">
        <f t="shared" si="23"/>
        <v>9.6578514866278109E-2</v>
      </c>
    </row>
    <row r="434" spans="1:11" x14ac:dyDescent="0.25">
      <c r="A434" t="str">
        <f t="shared" si="24"/>
        <v>92018</v>
      </c>
      <c r="B434" s="1">
        <v>43371</v>
      </c>
      <c r="C434" t="s">
        <v>287</v>
      </c>
      <c r="D434">
        <v>3680.9</v>
      </c>
      <c r="E434">
        <v>3689.85</v>
      </c>
      <c r="F434">
        <v>3471.6</v>
      </c>
      <c r="G434">
        <v>3485.35</v>
      </c>
      <c r="H434">
        <v>0</v>
      </c>
      <c r="I434" s="8">
        <f t="shared" si="25"/>
        <v>-5.0235714091070083E-2</v>
      </c>
      <c r="J434" s="8">
        <f t="shared" si="26"/>
        <v>-5.1541445270297435E-2</v>
      </c>
      <c r="K434" s="8">
        <f t="shared" si="23"/>
        <v>1.3138961963867768E-2</v>
      </c>
    </row>
    <row r="435" spans="1:11" x14ac:dyDescent="0.25">
      <c r="A435" t="str">
        <f t="shared" si="24"/>
        <v>102018</v>
      </c>
      <c r="B435" s="1">
        <v>43374</v>
      </c>
      <c r="C435" s="10">
        <v>43110.645833333336</v>
      </c>
      <c r="D435">
        <v>3464.05</v>
      </c>
      <c r="E435">
        <v>3536.1</v>
      </c>
      <c r="F435">
        <v>3395.6</v>
      </c>
      <c r="G435">
        <v>3528.05</v>
      </c>
      <c r="H435">
        <v>0</v>
      </c>
      <c r="I435" s="8">
        <f t="shared" si="25"/>
        <v>1.2251280359217853E-2</v>
      </c>
      <c r="J435" s="8">
        <f t="shared" si="26"/>
        <v>1.2176840793959693E-2</v>
      </c>
      <c r="K435" s="8">
        <f t="shared" si="23"/>
        <v>4.4234298230036107E-2</v>
      </c>
    </row>
    <row r="436" spans="1:11" x14ac:dyDescent="0.25">
      <c r="A436" t="str">
        <f t="shared" si="24"/>
        <v>102018</v>
      </c>
      <c r="B436" s="1">
        <v>43376</v>
      </c>
      <c r="C436" s="10">
        <v>43169.645833333336</v>
      </c>
      <c r="D436">
        <v>3523.95</v>
      </c>
      <c r="E436">
        <v>3648.65</v>
      </c>
      <c r="F436">
        <v>3505.9</v>
      </c>
      <c r="G436">
        <v>3592</v>
      </c>
      <c r="H436">
        <v>0</v>
      </c>
      <c r="I436" s="8">
        <f t="shared" si="25"/>
        <v>1.8126160343532538E-2</v>
      </c>
      <c r="J436" s="8">
        <f t="shared" si="26"/>
        <v>1.7963840060233983E-2</v>
      </c>
      <c r="K436" s="8">
        <f t="shared" si="23"/>
        <v>6.7094455089642402E-2</v>
      </c>
    </row>
    <row r="437" spans="1:11" x14ac:dyDescent="0.25">
      <c r="A437" t="str">
        <f t="shared" si="24"/>
        <v>102018</v>
      </c>
      <c r="B437" s="1">
        <v>43377</v>
      </c>
      <c r="C437" s="10">
        <v>43200.645833333336</v>
      </c>
      <c r="D437">
        <v>3560.1</v>
      </c>
      <c r="E437">
        <v>3628.5</v>
      </c>
      <c r="F437">
        <v>3541.6</v>
      </c>
      <c r="G437">
        <v>3572.35</v>
      </c>
      <c r="H437">
        <v>0</v>
      </c>
      <c r="I437" s="8">
        <f t="shared" si="25"/>
        <v>-5.4704899777283655E-3</v>
      </c>
      <c r="J437" s="8">
        <f t="shared" si="26"/>
        <v>-5.4855079033424101E-3</v>
      </c>
      <c r="K437" s="8">
        <f t="shared" si="23"/>
        <v>5.9902980314201493E-2</v>
      </c>
    </row>
    <row r="438" spans="1:11" x14ac:dyDescent="0.25">
      <c r="A438" t="str">
        <f t="shared" si="24"/>
        <v>102018</v>
      </c>
      <c r="B438" s="1">
        <v>43378</v>
      </c>
      <c r="C438" s="10">
        <v>43230.645833333336</v>
      </c>
      <c r="D438">
        <v>3546.8</v>
      </c>
      <c r="E438">
        <v>3572.85</v>
      </c>
      <c r="F438">
        <v>3409.8</v>
      </c>
      <c r="G438">
        <v>3444.65</v>
      </c>
      <c r="H438">
        <v>0</v>
      </c>
      <c r="I438" s="8">
        <f t="shared" si="25"/>
        <v>-3.5746777331448487E-2</v>
      </c>
      <c r="J438" s="8">
        <f t="shared" si="26"/>
        <v>-3.6401339748955486E-2</v>
      </c>
      <c r="K438" s="8">
        <f t="shared" si="23"/>
        <v>3.6780086984002924E-2</v>
      </c>
    </row>
    <row r="439" spans="1:11" x14ac:dyDescent="0.25">
      <c r="A439" t="str">
        <f t="shared" si="24"/>
        <v>102018</v>
      </c>
      <c r="B439" s="1">
        <v>43381</v>
      </c>
      <c r="C439" s="10">
        <v>43322.645833333336</v>
      </c>
      <c r="D439">
        <v>3408.25</v>
      </c>
      <c r="E439">
        <v>3435.15</v>
      </c>
      <c r="F439">
        <v>3234.9</v>
      </c>
      <c r="G439">
        <v>3339.45</v>
      </c>
      <c r="H439">
        <v>0</v>
      </c>
      <c r="I439" s="8">
        <f t="shared" si="25"/>
        <v>-3.05401129287447E-2</v>
      </c>
      <c r="J439" s="8">
        <f t="shared" si="26"/>
        <v>-3.1016180017430596E-2</v>
      </c>
      <c r="K439" s="8">
        <f t="shared" si="23"/>
        <v>5.2377297150854041E-3</v>
      </c>
    </row>
    <row r="440" spans="1:11" x14ac:dyDescent="0.25">
      <c r="A440" t="str">
        <f t="shared" si="24"/>
        <v>102018</v>
      </c>
      <c r="B440" s="1">
        <v>43382</v>
      </c>
      <c r="C440" s="10">
        <v>43353.645833333336</v>
      </c>
      <c r="D440">
        <v>3354.4</v>
      </c>
      <c r="E440">
        <v>3423.65</v>
      </c>
      <c r="F440">
        <v>3331</v>
      </c>
      <c r="G440">
        <v>3373.75</v>
      </c>
      <c r="H440">
        <v>0</v>
      </c>
      <c r="I440" s="8">
        <f t="shared" si="25"/>
        <v>1.0271152435281206E-2</v>
      </c>
      <c r="J440" s="8">
        <f t="shared" si="26"/>
        <v>1.0218762579852417E-2</v>
      </c>
      <c r="K440" s="8">
        <f t="shared" si="23"/>
        <v>2.1982265658651023E-3</v>
      </c>
    </row>
    <row r="441" spans="1:11" x14ac:dyDescent="0.25">
      <c r="A441" t="str">
        <f t="shared" si="24"/>
        <v>102018</v>
      </c>
      <c r="B441" s="1">
        <v>43383</v>
      </c>
      <c r="C441" s="10">
        <v>43383.645833333336</v>
      </c>
      <c r="D441">
        <v>3380.45</v>
      </c>
      <c r="E441">
        <v>3455.9</v>
      </c>
      <c r="F441">
        <v>3380</v>
      </c>
      <c r="G441">
        <v>3438.65</v>
      </c>
      <c r="H441">
        <v>0</v>
      </c>
      <c r="I441" s="8">
        <f t="shared" si="25"/>
        <v>1.9236754353464169E-2</v>
      </c>
      <c r="J441" s="8">
        <f t="shared" si="26"/>
        <v>1.9054067149304844E-2</v>
      </c>
      <c r="K441" s="8">
        <f t="shared" si="23"/>
        <v>4.7628091808260553E-3</v>
      </c>
    </row>
    <row r="442" spans="1:11" x14ac:dyDescent="0.25">
      <c r="A442" t="str">
        <f t="shared" si="24"/>
        <v>102018</v>
      </c>
      <c r="B442" s="1">
        <v>43384</v>
      </c>
      <c r="C442" s="10">
        <v>43414.645833333336</v>
      </c>
      <c r="D442">
        <v>3321</v>
      </c>
      <c r="E442">
        <v>3376.45</v>
      </c>
      <c r="F442">
        <v>3275.3</v>
      </c>
      <c r="G442">
        <v>3306.5</v>
      </c>
      <c r="H442">
        <v>0</v>
      </c>
      <c r="I442" s="8">
        <f t="shared" si="25"/>
        <v>-3.8430779521033021E-2</v>
      </c>
      <c r="J442" s="8">
        <f t="shared" si="26"/>
        <v>-3.9188724366802326E-2</v>
      </c>
      <c r="K442" s="8">
        <f t="shared" si="23"/>
        <v>-3.2105874018359959E-3</v>
      </c>
    </row>
    <row r="443" spans="1:11" x14ac:dyDescent="0.25">
      <c r="A443" t="str">
        <f t="shared" si="24"/>
        <v>102018</v>
      </c>
      <c r="B443" s="1">
        <v>43385</v>
      </c>
      <c r="C443" s="10">
        <v>43444.645833333336</v>
      </c>
      <c r="D443">
        <v>3340.7</v>
      </c>
      <c r="E443">
        <v>3448.8</v>
      </c>
      <c r="F443">
        <v>3337.2</v>
      </c>
      <c r="G443">
        <v>3438.1</v>
      </c>
      <c r="H443">
        <v>0</v>
      </c>
      <c r="I443" s="8">
        <f t="shared" si="25"/>
        <v>3.9800393164977965E-2</v>
      </c>
      <c r="J443" s="8">
        <f t="shared" si="26"/>
        <v>3.9028765083369513E-2</v>
      </c>
      <c r="K443" s="8">
        <f t="shared" si="23"/>
        <v>4.1737997485115308E-2</v>
      </c>
    </row>
    <row r="444" spans="1:11" x14ac:dyDescent="0.25">
      <c r="A444" t="str">
        <f t="shared" si="24"/>
        <v>102018</v>
      </c>
      <c r="B444" s="1">
        <v>43388</v>
      </c>
      <c r="C444" t="s">
        <v>288</v>
      </c>
      <c r="D444">
        <v>3455.65</v>
      </c>
      <c r="E444">
        <v>3456.45</v>
      </c>
      <c r="F444">
        <v>3393.15</v>
      </c>
      <c r="G444">
        <v>3423.5</v>
      </c>
      <c r="H444">
        <v>0</v>
      </c>
      <c r="I444" s="8">
        <f t="shared" si="25"/>
        <v>-4.2465315144992744E-3</v>
      </c>
      <c r="J444" s="8">
        <f t="shared" si="26"/>
        <v>-4.2555736369690638E-3</v>
      </c>
      <c r="K444" s="8">
        <f t="shared" si="23"/>
        <v>4.1653988924724716E-2</v>
      </c>
    </row>
    <row r="445" spans="1:11" x14ac:dyDescent="0.25">
      <c r="A445" t="str">
        <f t="shared" si="24"/>
        <v>102018</v>
      </c>
      <c r="B445" s="1">
        <v>43389</v>
      </c>
      <c r="C445" t="s">
        <v>289</v>
      </c>
      <c r="D445">
        <v>3436.15</v>
      </c>
      <c r="E445">
        <v>3474.35</v>
      </c>
      <c r="F445">
        <v>3421.25</v>
      </c>
      <c r="G445">
        <v>3431.6</v>
      </c>
      <c r="H445">
        <v>0</v>
      </c>
      <c r="I445" s="8">
        <f t="shared" si="25"/>
        <v>2.3659997079013007E-3</v>
      </c>
      <c r="J445" s="8">
        <f t="shared" si="26"/>
        <v>2.3632051376925953E-3</v>
      </c>
      <c r="K445" s="8">
        <f t="shared" si="23"/>
        <v>8.3172879643950592E-2</v>
      </c>
    </row>
    <row r="446" spans="1:11" x14ac:dyDescent="0.25">
      <c r="A446" t="str">
        <f t="shared" si="24"/>
        <v>102018</v>
      </c>
      <c r="B446" s="1">
        <v>43390</v>
      </c>
      <c r="C446" t="s">
        <v>290</v>
      </c>
      <c r="D446">
        <v>3468.8</v>
      </c>
      <c r="E446">
        <v>3472.85</v>
      </c>
      <c r="F446">
        <v>3355.2</v>
      </c>
      <c r="G446">
        <v>3362.95</v>
      </c>
      <c r="H446">
        <v>0</v>
      </c>
      <c r="I446" s="8">
        <f t="shared" si="25"/>
        <v>-2.0005245366592872E-2</v>
      </c>
      <c r="J446" s="8">
        <f t="shared" si="26"/>
        <v>-2.0208059746734359E-2</v>
      </c>
      <c r="K446" s="8">
        <f t="shared" si="23"/>
        <v>4.3535599584193063E-2</v>
      </c>
    </row>
    <row r="447" spans="1:11" x14ac:dyDescent="0.25">
      <c r="A447" t="str">
        <f t="shared" si="24"/>
        <v>102018</v>
      </c>
      <c r="B447" s="1">
        <v>43392</v>
      </c>
      <c r="C447" t="s">
        <v>291</v>
      </c>
      <c r="D447">
        <v>3340.35</v>
      </c>
      <c r="E447">
        <v>3403.6</v>
      </c>
      <c r="F447">
        <v>3296.75</v>
      </c>
      <c r="G447">
        <v>3365</v>
      </c>
      <c r="H447">
        <v>0</v>
      </c>
      <c r="I447" s="8">
        <f t="shared" si="25"/>
        <v>6.0958384751486072E-4</v>
      </c>
      <c r="J447" s="8">
        <f t="shared" si="26"/>
        <v>6.0939812675237035E-4</v>
      </c>
      <c r="K447" s="8">
        <f t="shared" si="23"/>
        <v>7.8145525615968658E-2</v>
      </c>
    </row>
    <row r="448" spans="1:11" x14ac:dyDescent="0.25">
      <c r="A448" t="str">
        <f t="shared" si="24"/>
        <v>102018</v>
      </c>
      <c r="B448" s="1">
        <v>43395</v>
      </c>
      <c r="C448" t="s">
        <v>292</v>
      </c>
      <c r="D448">
        <v>3397</v>
      </c>
      <c r="E448">
        <v>3402.95</v>
      </c>
      <c r="F448">
        <v>3320.2</v>
      </c>
      <c r="G448">
        <v>3339.65</v>
      </c>
      <c r="H448">
        <v>0</v>
      </c>
      <c r="I448" s="8">
        <f t="shared" si="25"/>
        <v>-7.5334323922733315E-3</v>
      </c>
      <c r="J448" s="8">
        <f t="shared" si="26"/>
        <v>-7.5619520181432563E-3</v>
      </c>
      <c r="K448" s="8">
        <f t="shared" ref="K448:K511" si="27">+G448/G387-1</f>
        <v>7.5710236423371935E-2</v>
      </c>
    </row>
    <row r="449" spans="1:11" x14ac:dyDescent="0.25">
      <c r="A449" t="str">
        <f t="shared" si="24"/>
        <v>102018</v>
      </c>
      <c r="B449" s="1">
        <v>43396</v>
      </c>
      <c r="C449" t="s">
        <v>293</v>
      </c>
      <c r="D449">
        <v>3316.45</v>
      </c>
      <c r="E449">
        <v>3353.05</v>
      </c>
      <c r="F449">
        <v>3281.6</v>
      </c>
      <c r="G449">
        <v>3312.75</v>
      </c>
      <c r="H449">
        <v>0</v>
      </c>
      <c r="I449" s="8">
        <f t="shared" si="25"/>
        <v>-8.0547362747593887E-3</v>
      </c>
      <c r="J449" s="8">
        <f t="shared" si="26"/>
        <v>-8.0873509159393748E-3</v>
      </c>
      <c r="K449" s="8">
        <f t="shared" si="27"/>
        <v>7.132462324558575E-2</v>
      </c>
    </row>
    <row r="450" spans="1:11" x14ac:dyDescent="0.25">
      <c r="A450" t="str">
        <f t="shared" si="24"/>
        <v>102018</v>
      </c>
      <c r="B450" s="1">
        <v>43397</v>
      </c>
      <c r="C450" t="s">
        <v>294</v>
      </c>
      <c r="D450">
        <v>3346.85</v>
      </c>
      <c r="E450">
        <v>3360.6</v>
      </c>
      <c r="F450">
        <v>3300.85</v>
      </c>
      <c r="G450">
        <v>3347.85</v>
      </c>
      <c r="H450">
        <v>0</v>
      </c>
      <c r="I450" s="8">
        <f t="shared" si="25"/>
        <v>1.0595426760244386E-2</v>
      </c>
      <c r="J450" s="8">
        <f t="shared" si="26"/>
        <v>1.0539688593558328E-2</v>
      </c>
      <c r="K450" s="8">
        <f t="shared" si="27"/>
        <v>6.6415022217975128E-2</v>
      </c>
    </row>
    <row r="451" spans="1:11" x14ac:dyDescent="0.25">
      <c r="A451" t="str">
        <f t="shared" ref="A451:A514" si="28">+MONTH(B451)&amp;YEAR(B451)</f>
        <v>102018</v>
      </c>
      <c r="B451" s="1">
        <v>43398</v>
      </c>
      <c r="C451" t="s">
        <v>295</v>
      </c>
      <c r="D451">
        <v>3311.95</v>
      </c>
      <c r="E451">
        <v>3323.2</v>
      </c>
      <c r="F451">
        <v>3261.1</v>
      </c>
      <c r="G451">
        <v>3306.8</v>
      </c>
      <c r="H451">
        <v>0</v>
      </c>
      <c r="I451" s="8">
        <f t="shared" si="25"/>
        <v>-1.2261600728825872E-2</v>
      </c>
      <c r="J451" s="8">
        <f t="shared" si="26"/>
        <v>-1.2337394359783349E-2</v>
      </c>
      <c r="K451" s="8">
        <f t="shared" si="27"/>
        <v>2.2732193115392985E-2</v>
      </c>
    </row>
    <row r="452" spans="1:11" x14ac:dyDescent="0.25">
      <c r="A452" t="str">
        <f t="shared" si="28"/>
        <v>102018</v>
      </c>
      <c r="B452" s="1">
        <v>43399</v>
      </c>
      <c r="C452" t="s">
        <v>296</v>
      </c>
      <c r="D452">
        <v>3314.45</v>
      </c>
      <c r="E452">
        <v>3322.25</v>
      </c>
      <c r="F452">
        <v>3230.65</v>
      </c>
      <c r="G452">
        <v>3283.9</v>
      </c>
      <c r="H452">
        <v>0</v>
      </c>
      <c r="I452" s="8">
        <f t="shared" ref="I452:I515" si="29">+G452/G451-1</f>
        <v>-6.9251239869360104E-3</v>
      </c>
      <c r="J452" s="8">
        <f t="shared" ref="J452:J515" si="30">+LN(1+I452)</f>
        <v>-6.9492139397475039E-3</v>
      </c>
      <c r="K452" s="8">
        <f t="shared" si="27"/>
        <v>6.6982419030976459E-3</v>
      </c>
    </row>
    <row r="453" spans="1:11" x14ac:dyDescent="0.25">
      <c r="A453" t="str">
        <f t="shared" si="28"/>
        <v>102018</v>
      </c>
      <c r="B453" s="1">
        <v>43402</v>
      </c>
      <c r="C453" t="s">
        <v>297</v>
      </c>
      <c r="D453">
        <v>3302.45</v>
      </c>
      <c r="E453">
        <v>3379.6</v>
      </c>
      <c r="F453">
        <v>3266.95</v>
      </c>
      <c r="G453">
        <v>3369.5</v>
      </c>
      <c r="H453">
        <v>0</v>
      </c>
      <c r="I453" s="8">
        <f t="shared" si="29"/>
        <v>2.6066567191449064E-2</v>
      </c>
      <c r="J453" s="8">
        <f t="shared" si="30"/>
        <v>2.5732624947498523E-2</v>
      </c>
      <c r="K453" s="8">
        <f t="shared" si="27"/>
        <v>4.1463829261130902E-2</v>
      </c>
    </row>
    <row r="454" spans="1:11" x14ac:dyDescent="0.25">
      <c r="A454" t="str">
        <f t="shared" si="28"/>
        <v>102018</v>
      </c>
      <c r="B454" s="1">
        <v>43403</v>
      </c>
      <c r="C454" t="s">
        <v>298</v>
      </c>
      <c r="D454">
        <v>3377.05</v>
      </c>
      <c r="E454">
        <v>3380.75</v>
      </c>
      <c r="F454">
        <v>3327.75</v>
      </c>
      <c r="G454">
        <v>3333.05</v>
      </c>
      <c r="H454">
        <v>0</v>
      </c>
      <c r="I454" s="8">
        <f t="shared" si="29"/>
        <v>-1.0817628728297946E-2</v>
      </c>
      <c r="J454" s="8">
        <f t="shared" si="30"/>
        <v>-1.0876564690903342E-2</v>
      </c>
      <c r="K454" s="8">
        <f t="shared" si="27"/>
        <v>1.0719592443218184E-2</v>
      </c>
    </row>
    <row r="455" spans="1:11" x14ac:dyDescent="0.25">
      <c r="A455" t="str">
        <f t="shared" si="28"/>
        <v>102018</v>
      </c>
      <c r="B455" s="1">
        <v>43404</v>
      </c>
      <c r="C455" t="s">
        <v>299</v>
      </c>
      <c r="D455">
        <v>3303.95</v>
      </c>
      <c r="E455">
        <v>3317.5</v>
      </c>
      <c r="F455">
        <v>3221.8</v>
      </c>
      <c r="G455">
        <v>3296.95</v>
      </c>
      <c r="H455">
        <v>0</v>
      </c>
      <c r="I455" s="8">
        <f t="shared" si="29"/>
        <v>-1.0830920628253526E-2</v>
      </c>
      <c r="J455" s="8">
        <f t="shared" si="30"/>
        <v>-1.0890002040421252E-2</v>
      </c>
      <c r="K455" s="8">
        <f t="shared" si="27"/>
        <v>-7.0324970635184947E-3</v>
      </c>
    </row>
    <row r="456" spans="1:11" x14ac:dyDescent="0.25">
      <c r="A456" t="str">
        <f t="shared" si="28"/>
        <v>112018</v>
      </c>
      <c r="B456" s="1">
        <v>43405</v>
      </c>
      <c r="C456" s="10">
        <v>43111.645833333336</v>
      </c>
      <c r="D456">
        <v>3309.65</v>
      </c>
      <c r="E456">
        <v>3351.65</v>
      </c>
      <c r="F456">
        <v>3292.75</v>
      </c>
      <c r="G456">
        <v>3338.35</v>
      </c>
      <c r="H456">
        <v>0</v>
      </c>
      <c r="I456" s="8">
        <f t="shared" si="29"/>
        <v>1.2557060313319823E-2</v>
      </c>
      <c r="J456" s="8">
        <f t="shared" si="30"/>
        <v>1.2478874275632285E-2</v>
      </c>
      <c r="K456" s="8">
        <f t="shared" si="27"/>
        <v>9.7448352373241676E-4</v>
      </c>
    </row>
    <row r="457" spans="1:11" x14ac:dyDescent="0.25">
      <c r="A457" t="str">
        <f t="shared" si="28"/>
        <v>112018</v>
      </c>
      <c r="B457" s="1">
        <v>43406</v>
      </c>
      <c r="C457" s="10">
        <v>43142.645833333336</v>
      </c>
      <c r="D457">
        <v>3368.95</v>
      </c>
      <c r="E457">
        <v>3469.7</v>
      </c>
      <c r="F457">
        <v>3357.95</v>
      </c>
      <c r="G457">
        <v>3439.25</v>
      </c>
      <c r="H457">
        <v>0</v>
      </c>
      <c r="I457" s="8">
        <f t="shared" si="29"/>
        <v>3.0224512109275459E-2</v>
      </c>
      <c r="J457" s="8">
        <f t="shared" si="30"/>
        <v>2.977675141052534E-2</v>
      </c>
      <c r="K457" s="8">
        <f t="shared" si="27"/>
        <v>3.5918674698795172E-2</v>
      </c>
    </row>
    <row r="458" spans="1:11" x14ac:dyDescent="0.25">
      <c r="A458" t="str">
        <f t="shared" si="28"/>
        <v>112018</v>
      </c>
      <c r="B458" s="1">
        <v>43409</v>
      </c>
      <c r="C458" s="10">
        <v>43231.791666666664</v>
      </c>
      <c r="D458">
        <v>3438.4</v>
      </c>
      <c r="E458">
        <v>3478.25</v>
      </c>
      <c r="F458">
        <v>3411.4</v>
      </c>
      <c r="G458">
        <v>3441.9</v>
      </c>
      <c r="H458">
        <v>0</v>
      </c>
      <c r="I458" s="8">
        <f t="shared" si="29"/>
        <v>7.7051682779671893E-4</v>
      </c>
      <c r="J458" s="8">
        <f t="shared" si="30"/>
        <v>7.702201321019951E-4</v>
      </c>
      <c r="K458" s="8">
        <f t="shared" si="27"/>
        <v>3.4302456614829779E-2</v>
      </c>
    </row>
    <row r="459" spans="1:11" x14ac:dyDescent="0.25">
      <c r="A459" t="str">
        <f t="shared" si="28"/>
        <v>112018</v>
      </c>
      <c r="B459" s="1">
        <v>43410</v>
      </c>
      <c r="C459" s="10">
        <v>43262.645833333336</v>
      </c>
      <c r="D459">
        <v>3458.65</v>
      </c>
      <c r="E459">
        <v>3480.35</v>
      </c>
      <c r="F459">
        <v>3410.95</v>
      </c>
      <c r="G459">
        <v>3438.95</v>
      </c>
      <c r="H459">
        <v>0</v>
      </c>
      <c r="I459" s="8">
        <f t="shared" si="29"/>
        <v>-8.5708474970225268E-4</v>
      </c>
      <c r="J459" s="8">
        <f t="shared" si="30"/>
        <v>-8.5745225684118664E-4</v>
      </c>
      <c r="K459" s="8">
        <f t="shared" si="27"/>
        <v>1.7185027433929356E-2</v>
      </c>
    </row>
    <row r="460" spans="1:11" x14ac:dyDescent="0.25">
      <c r="A460" t="str">
        <f t="shared" si="28"/>
        <v>112018</v>
      </c>
      <c r="B460" s="1">
        <v>43413</v>
      </c>
      <c r="C460" s="10">
        <v>43354.645833333336</v>
      </c>
      <c r="D460">
        <v>3468.2</v>
      </c>
      <c r="E460">
        <v>3468.2</v>
      </c>
      <c r="F460">
        <v>3426</v>
      </c>
      <c r="G460">
        <v>3431.9</v>
      </c>
      <c r="H460">
        <v>0</v>
      </c>
      <c r="I460" s="8">
        <f t="shared" si="29"/>
        <v>-2.0500443449308348E-3</v>
      </c>
      <c r="J460" s="8">
        <f t="shared" si="30"/>
        <v>-2.0521485621565107E-3</v>
      </c>
      <c r="K460" s="8">
        <f t="shared" si="27"/>
        <v>7.692985289367904E-3</v>
      </c>
    </row>
    <row r="461" spans="1:11" x14ac:dyDescent="0.25">
      <c r="A461" t="str">
        <f t="shared" si="28"/>
        <v>112018</v>
      </c>
      <c r="B461" s="1">
        <v>43416</v>
      </c>
      <c r="C461" s="10">
        <v>43445.645833333336</v>
      </c>
      <c r="D461">
        <v>3438.45</v>
      </c>
      <c r="E461">
        <v>3463.4</v>
      </c>
      <c r="F461">
        <v>3377.1</v>
      </c>
      <c r="G461">
        <v>3384.5</v>
      </c>
      <c r="H461">
        <v>0</v>
      </c>
      <c r="I461" s="8">
        <f t="shared" si="29"/>
        <v>-1.3811591246831179E-2</v>
      </c>
      <c r="J461" s="8">
        <f t="shared" si="30"/>
        <v>-1.3907858705546977E-2</v>
      </c>
      <c r="K461" s="8">
        <f t="shared" si="27"/>
        <v>-1.7632972933749325E-2</v>
      </c>
    </row>
    <row r="462" spans="1:11" x14ac:dyDescent="0.25">
      <c r="A462" t="str">
        <f t="shared" si="28"/>
        <v>112018</v>
      </c>
      <c r="B462" s="1">
        <v>43417</v>
      </c>
      <c r="C462" t="s">
        <v>300</v>
      </c>
      <c r="D462">
        <v>3384.75</v>
      </c>
      <c r="E462">
        <v>3414.55</v>
      </c>
      <c r="F462">
        <v>3364.2</v>
      </c>
      <c r="G462">
        <v>3410.55</v>
      </c>
      <c r="H462">
        <v>0</v>
      </c>
      <c r="I462" s="8">
        <f t="shared" si="29"/>
        <v>7.6968533018171303E-3</v>
      </c>
      <c r="J462" s="8">
        <f t="shared" si="30"/>
        <v>7.6673836455952047E-3</v>
      </c>
      <c r="K462" s="8">
        <f t="shared" si="27"/>
        <v>-1.2465253648366814E-2</v>
      </c>
    </row>
    <row r="463" spans="1:11" x14ac:dyDescent="0.25">
      <c r="A463" t="str">
        <f t="shared" si="28"/>
        <v>112018</v>
      </c>
      <c r="B463" s="1">
        <v>43418</v>
      </c>
      <c r="C463" t="s">
        <v>301</v>
      </c>
      <c r="D463">
        <v>3444.5</v>
      </c>
      <c r="E463">
        <v>3450.55</v>
      </c>
      <c r="F463">
        <v>3369.75</v>
      </c>
      <c r="G463">
        <v>3382.15</v>
      </c>
      <c r="H463">
        <v>0</v>
      </c>
      <c r="I463" s="8">
        <f t="shared" si="29"/>
        <v>-8.3271026667253167E-3</v>
      </c>
      <c r="J463" s="8">
        <f t="shared" si="30"/>
        <v>-8.3619666651037882E-3</v>
      </c>
      <c r="K463" s="8">
        <f t="shared" si="27"/>
        <v>-3.4154351395730642E-2</v>
      </c>
    </row>
    <row r="464" spans="1:11" x14ac:dyDescent="0.25">
      <c r="A464" t="str">
        <f t="shared" si="28"/>
        <v>112018</v>
      </c>
      <c r="B464" s="1">
        <v>43419</v>
      </c>
      <c r="C464" t="s">
        <v>302</v>
      </c>
      <c r="D464">
        <v>3385.5</v>
      </c>
      <c r="E464">
        <v>3425.8</v>
      </c>
      <c r="F464">
        <v>3353.75</v>
      </c>
      <c r="G464">
        <v>3407.9</v>
      </c>
      <c r="H464">
        <v>0</v>
      </c>
      <c r="I464" s="8">
        <f t="shared" si="29"/>
        <v>7.6135002882782299E-3</v>
      </c>
      <c r="J464" s="8">
        <f t="shared" si="30"/>
        <v>7.5846638665418757E-3</v>
      </c>
      <c r="K464" s="8">
        <f t="shared" si="27"/>
        <v>-7.8171628211659572E-3</v>
      </c>
    </row>
    <row r="465" spans="1:11" x14ac:dyDescent="0.25">
      <c r="A465" t="str">
        <f t="shared" si="28"/>
        <v>112018</v>
      </c>
      <c r="B465" s="1">
        <v>43420</v>
      </c>
      <c r="C465" t="s">
        <v>303</v>
      </c>
      <c r="D465">
        <v>3410.55</v>
      </c>
      <c r="E465">
        <v>3414.2</v>
      </c>
      <c r="F465">
        <v>3345.1</v>
      </c>
      <c r="G465">
        <v>3354.6</v>
      </c>
      <c r="H465">
        <v>0</v>
      </c>
      <c r="I465" s="8">
        <f t="shared" si="29"/>
        <v>-1.5640130285513143E-2</v>
      </c>
      <c r="J465" s="8">
        <f t="shared" si="30"/>
        <v>-1.5763727535040982E-2</v>
      </c>
      <c r="K465" s="8">
        <f t="shared" si="27"/>
        <v>-1.5033178695167182E-2</v>
      </c>
    </row>
    <row r="466" spans="1:11" x14ac:dyDescent="0.25">
      <c r="A466" t="str">
        <f t="shared" si="28"/>
        <v>112018</v>
      </c>
      <c r="B466" s="1">
        <v>43423</v>
      </c>
      <c r="C466" t="s">
        <v>304</v>
      </c>
      <c r="D466">
        <v>3371.55</v>
      </c>
      <c r="E466">
        <v>3403.8</v>
      </c>
      <c r="F466">
        <v>3365.65</v>
      </c>
      <c r="G466">
        <v>3395.35</v>
      </c>
      <c r="H466">
        <v>0</v>
      </c>
      <c r="I466" s="8">
        <f t="shared" si="29"/>
        <v>1.2147498956656566E-2</v>
      </c>
      <c r="J466" s="8">
        <f t="shared" si="30"/>
        <v>1.2074310201951259E-2</v>
      </c>
      <c r="K466" s="8">
        <f t="shared" si="27"/>
        <v>-5.6375563755637348E-3</v>
      </c>
    </row>
    <row r="467" spans="1:11" x14ac:dyDescent="0.25">
      <c r="A467" t="str">
        <f t="shared" si="28"/>
        <v>112018</v>
      </c>
      <c r="B467" s="1">
        <v>43424</v>
      </c>
      <c r="C467" t="s">
        <v>305</v>
      </c>
      <c r="D467">
        <v>3379.8</v>
      </c>
      <c r="E467">
        <v>3381.3</v>
      </c>
      <c r="F467">
        <v>3290.7</v>
      </c>
      <c r="G467">
        <v>3299.2</v>
      </c>
      <c r="H467">
        <v>0</v>
      </c>
      <c r="I467" s="8">
        <f t="shared" si="29"/>
        <v>-2.8318140986938078E-2</v>
      </c>
      <c r="J467" s="8">
        <f t="shared" si="30"/>
        <v>-2.8726833639965123E-2</v>
      </c>
      <c r="K467" s="8">
        <f t="shared" si="27"/>
        <v>-1.1342353276097228E-2</v>
      </c>
    </row>
    <row r="468" spans="1:11" x14ac:dyDescent="0.25">
      <c r="A468" t="str">
        <f t="shared" si="28"/>
        <v>112018</v>
      </c>
      <c r="B468" s="1">
        <v>43425</v>
      </c>
      <c r="C468" t="s">
        <v>306</v>
      </c>
      <c r="D468">
        <v>3291.25</v>
      </c>
      <c r="E468">
        <v>3291.25</v>
      </c>
      <c r="F468">
        <v>3258.05</v>
      </c>
      <c r="G468">
        <v>3272.7</v>
      </c>
      <c r="H468">
        <v>0</v>
      </c>
      <c r="I468" s="8">
        <f t="shared" si="29"/>
        <v>-8.0322502424829967E-3</v>
      </c>
      <c r="J468" s="8">
        <f t="shared" si="30"/>
        <v>-8.0646825508199974E-3</v>
      </c>
      <c r="K468" s="8">
        <f t="shared" si="27"/>
        <v>-3.5767950266639148E-2</v>
      </c>
    </row>
    <row r="469" spans="1:11" x14ac:dyDescent="0.25">
      <c r="A469" t="str">
        <f t="shared" si="28"/>
        <v>112018</v>
      </c>
      <c r="B469" s="1">
        <v>43426</v>
      </c>
      <c r="C469" t="s">
        <v>307</v>
      </c>
      <c r="D469">
        <v>3281.4</v>
      </c>
      <c r="E469">
        <v>3286.45</v>
      </c>
      <c r="F469">
        <v>3207.5</v>
      </c>
      <c r="G469">
        <v>3214.75</v>
      </c>
      <c r="H469">
        <v>0</v>
      </c>
      <c r="I469" s="8">
        <f t="shared" si="29"/>
        <v>-1.7707092003544367E-2</v>
      </c>
      <c r="J469" s="8">
        <f t="shared" si="30"/>
        <v>-1.7865738121272314E-2</v>
      </c>
      <c r="K469" s="8">
        <f t="shared" si="27"/>
        <v>-7.5929173014458562E-2</v>
      </c>
    </row>
    <row r="470" spans="1:11" x14ac:dyDescent="0.25">
      <c r="A470" t="str">
        <f t="shared" si="28"/>
        <v>112018</v>
      </c>
      <c r="B470" s="1">
        <v>43430</v>
      </c>
      <c r="C470" t="s">
        <v>308</v>
      </c>
      <c r="D470">
        <v>3226.05</v>
      </c>
      <c r="E470">
        <v>3226.2</v>
      </c>
      <c r="F470">
        <v>3120.45</v>
      </c>
      <c r="G470">
        <v>3172.3</v>
      </c>
      <c r="H470">
        <v>0</v>
      </c>
      <c r="I470" s="8">
        <f t="shared" si="29"/>
        <v>-1.3204759312543723E-2</v>
      </c>
      <c r="J470" s="8">
        <f t="shared" si="30"/>
        <v>-1.3292717314390612E-2</v>
      </c>
      <c r="K470" s="8">
        <f t="shared" si="27"/>
        <v>-8.4988246152958524E-2</v>
      </c>
    </row>
    <row r="471" spans="1:11" x14ac:dyDescent="0.25">
      <c r="A471" t="str">
        <f t="shared" si="28"/>
        <v>112018</v>
      </c>
      <c r="B471" s="1">
        <v>43431</v>
      </c>
      <c r="C471" t="s">
        <v>309</v>
      </c>
      <c r="D471">
        <v>3157</v>
      </c>
      <c r="E471">
        <v>3189.85</v>
      </c>
      <c r="F471">
        <v>3092.2</v>
      </c>
      <c r="G471">
        <v>3148.95</v>
      </c>
      <c r="H471">
        <v>0</v>
      </c>
      <c r="I471" s="8">
        <f t="shared" si="29"/>
        <v>-7.3605901081235103E-3</v>
      </c>
      <c r="J471" s="8">
        <f t="shared" si="30"/>
        <v>-7.387812917716681E-3</v>
      </c>
      <c r="K471" s="8">
        <f t="shared" si="27"/>
        <v>-7.8392062748770863E-2</v>
      </c>
    </row>
    <row r="472" spans="1:11" x14ac:dyDescent="0.25">
      <c r="A472" t="str">
        <f t="shared" si="28"/>
        <v>112018</v>
      </c>
      <c r="B472" s="1">
        <v>43432</v>
      </c>
      <c r="C472" t="s">
        <v>310</v>
      </c>
      <c r="D472">
        <v>3156.95</v>
      </c>
      <c r="E472">
        <v>3165.55</v>
      </c>
      <c r="F472">
        <v>3109.1</v>
      </c>
      <c r="G472">
        <v>3117.4</v>
      </c>
      <c r="H472">
        <v>0</v>
      </c>
      <c r="I472" s="8">
        <f t="shared" si="29"/>
        <v>-1.0019212753457407E-2</v>
      </c>
      <c r="J472" s="8">
        <f t="shared" si="30"/>
        <v>-1.006974286349039E-2</v>
      </c>
      <c r="K472" s="8">
        <f t="shared" si="27"/>
        <v>-0.10450419395610699</v>
      </c>
    </row>
    <row r="473" spans="1:11" x14ac:dyDescent="0.25">
      <c r="A473" t="str">
        <f t="shared" si="28"/>
        <v>112018</v>
      </c>
      <c r="B473" s="1">
        <v>43433</v>
      </c>
      <c r="C473" t="s">
        <v>311</v>
      </c>
      <c r="D473">
        <v>3156.4</v>
      </c>
      <c r="E473">
        <v>3190.6</v>
      </c>
      <c r="F473">
        <v>3141.15</v>
      </c>
      <c r="G473">
        <v>3177.25</v>
      </c>
      <c r="H473">
        <v>0</v>
      </c>
      <c r="I473" s="8">
        <f t="shared" si="29"/>
        <v>1.9198691217039876E-2</v>
      </c>
      <c r="J473" s="8">
        <f t="shared" si="30"/>
        <v>1.9016721707229227E-2</v>
      </c>
      <c r="K473" s="8">
        <f t="shared" si="27"/>
        <v>-0.10065527831637344</v>
      </c>
    </row>
    <row r="474" spans="1:11" x14ac:dyDescent="0.25">
      <c r="A474" t="str">
        <f t="shared" si="28"/>
        <v>112018</v>
      </c>
      <c r="B474" s="1">
        <v>43434</v>
      </c>
      <c r="C474" t="s">
        <v>312</v>
      </c>
      <c r="D474">
        <v>3187.1</v>
      </c>
      <c r="E474">
        <v>3190.6</v>
      </c>
      <c r="F474">
        <v>3140.4</v>
      </c>
      <c r="G474">
        <v>3163.75</v>
      </c>
      <c r="H474">
        <v>0</v>
      </c>
      <c r="I474" s="8">
        <f t="shared" si="29"/>
        <v>-4.2489574317412515E-3</v>
      </c>
      <c r="J474" s="8">
        <f t="shared" si="30"/>
        <v>-4.2580099028459552E-3</v>
      </c>
      <c r="K474" s="8">
        <f t="shared" si="27"/>
        <v>-0.12049649727565881</v>
      </c>
    </row>
    <row r="475" spans="1:11" x14ac:dyDescent="0.25">
      <c r="A475" t="str">
        <f t="shared" si="28"/>
        <v>122018</v>
      </c>
      <c r="B475" s="1">
        <v>43437</v>
      </c>
      <c r="C475" s="10">
        <v>43171.645833333336</v>
      </c>
      <c r="D475">
        <v>3225.85</v>
      </c>
      <c r="E475">
        <v>3262.9</v>
      </c>
      <c r="F475">
        <v>3221.2</v>
      </c>
      <c r="G475">
        <v>3227.85</v>
      </c>
      <c r="H475">
        <v>0</v>
      </c>
      <c r="I475" s="8">
        <f t="shared" si="29"/>
        <v>2.0260766495456384E-2</v>
      </c>
      <c r="J475" s="8">
        <f t="shared" si="30"/>
        <v>2.0058248049329045E-2</v>
      </c>
      <c r="K475" s="8">
        <f t="shared" si="27"/>
        <v>-0.11183721762099996</v>
      </c>
    </row>
    <row r="476" spans="1:11" x14ac:dyDescent="0.25">
      <c r="A476" t="str">
        <f t="shared" si="28"/>
        <v>122018</v>
      </c>
      <c r="B476" s="1">
        <v>43438</v>
      </c>
      <c r="C476" s="10">
        <v>43202.645833333336</v>
      </c>
      <c r="D476">
        <v>3213.7</v>
      </c>
      <c r="E476">
        <v>3242.25</v>
      </c>
      <c r="F476">
        <v>3204.85</v>
      </c>
      <c r="G476">
        <v>3236.55</v>
      </c>
      <c r="H476">
        <v>0</v>
      </c>
      <c r="I476" s="8">
        <f t="shared" si="29"/>
        <v>2.6952925321810373E-3</v>
      </c>
      <c r="J476" s="8">
        <f t="shared" si="30"/>
        <v>2.6916667448411541E-3</v>
      </c>
      <c r="K476" s="8">
        <f t="shared" si="27"/>
        <v>-0.11697541811038659</v>
      </c>
    </row>
    <row r="477" spans="1:11" x14ac:dyDescent="0.25">
      <c r="A477" t="str">
        <f t="shared" si="28"/>
        <v>122018</v>
      </c>
      <c r="B477" s="1">
        <v>43439</v>
      </c>
      <c r="C477" s="10">
        <v>43232.645833333336</v>
      </c>
      <c r="D477">
        <v>3199.55</v>
      </c>
      <c r="E477">
        <v>3204.2</v>
      </c>
      <c r="F477">
        <v>3112</v>
      </c>
      <c r="G477">
        <v>3119.6</v>
      </c>
      <c r="H477">
        <v>0</v>
      </c>
      <c r="I477" s="8">
        <f t="shared" si="29"/>
        <v>-3.61341551961194E-2</v>
      </c>
      <c r="J477" s="8">
        <f t="shared" si="30"/>
        <v>-3.6803159197160894E-2</v>
      </c>
      <c r="K477" s="8">
        <f t="shared" si="27"/>
        <v>-0.14377856152822188</v>
      </c>
    </row>
    <row r="478" spans="1:11" x14ac:dyDescent="0.25">
      <c r="A478" t="str">
        <f t="shared" si="28"/>
        <v>122018</v>
      </c>
      <c r="B478" s="1">
        <v>43440</v>
      </c>
      <c r="C478" s="10">
        <v>43263.645833333336</v>
      </c>
      <c r="D478">
        <v>3090.2</v>
      </c>
      <c r="E478">
        <v>3119.4</v>
      </c>
      <c r="F478">
        <v>3041.85</v>
      </c>
      <c r="G478">
        <v>3085.4</v>
      </c>
      <c r="H478">
        <v>0</v>
      </c>
      <c r="I478" s="8">
        <f t="shared" si="29"/>
        <v>-1.0962943967175232E-2</v>
      </c>
      <c r="J478" s="8">
        <f t="shared" si="30"/>
        <v>-1.1023479878503804E-2</v>
      </c>
      <c r="K478" s="8">
        <f t="shared" si="27"/>
        <v>-0.15623376268219968</v>
      </c>
    </row>
    <row r="479" spans="1:11" x14ac:dyDescent="0.25">
      <c r="A479" t="str">
        <f t="shared" si="28"/>
        <v>122018</v>
      </c>
      <c r="B479" s="1">
        <v>43441</v>
      </c>
      <c r="C479" s="10">
        <v>43293.645833333336</v>
      </c>
      <c r="D479">
        <v>3102.8</v>
      </c>
      <c r="E479">
        <v>3110.1</v>
      </c>
      <c r="F479">
        <v>3042</v>
      </c>
      <c r="G479">
        <v>3071.2</v>
      </c>
      <c r="H479">
        <v>0</v>
      </c>
      <c r="I479" s="8">
        <f t="shared" si="29"/>
        <v>-4.6023206067286049E-3</v>
      </c>
      <c r="J479" s="8">
        <f t="shared" si="30"/>
        <v>-4.612943891251318E-3</v>
      </c>
      <c r="K479" s="8">
        <f t="shared" si="27"/>
        <v>-0.14346273984828206</v>
      </c>
    </row>
    <row r="480" spans="1:11" x14ac:dyDescent="0.25">
      <c r="A480" t="str">
        <f t="shared" si="28"/>
        <v>122018</v>
      </c>
      <c r="B480" s="1">
        <v>43444</v>
      </c>
      <c r="C480" s="10">
        <v>43385.645833333336</v>
      </c>
      <c r="D480">
        <v>3009.25</v>
      </c>
      <c r="E480">
        <v>3060.65</v>
      </c>
      <c r="F480">
        <v>2997.15</v>
      </c>
      <c r="G480">
        <v>3036.25</v>
      </c>
      <c r="H480">
        <v>0</v>
      </c>
      <c r="I480" s="8">
        <f t="shared" si="29"/>
        <v>-1.137991664495952E-2</v>
      </c>
      <c r="J480" s="8">
        <f t="shared" si="30"/>
        <v>-1.1445163370205593E-2</v>
      </c>
      <c r="K480" s="8">
        <f t="shared" si="27"/>
        <v>-0.16199768160741879</v>
      </c>
    </row>
    <row r="481" spans="1:11" x14ac:dyDescent="0.25">
      <c r="A481" t="str">
        <f t="shared" si="28"/>
        <v>122018</v>
      </c>
      <c r="B481" s="1">
        <v>43445</v>
      </c>
      <c r="C481" s="10">
        <v>43416.645833333336</v>
      </c>
      <c r="D481">
        <v>2993.3</v>
      </c>
      <c r="E481">
        <v>3064.6</v>
      </c>
      <c r="F481">
        <v>2985.05</v>
      </c>
      <c r="G481">
        <v>3055.35</v>
      </c>
      <c r="H481">
        <v>0</v>
      </c>
      <c r="I481" s="8">
        <f t="shared" si="29"/>
        <v>6.2906545903664846E-3</v>
      </c>
      <c r="J481" s="8">
        <f t="shared" si="30"/>
        <v>6.2709510118769702E-3</v>
      </c>
      <c r="K481" s="8">
        <f t="shared" si="27"/>
        <v>-0.15881559385496391</v>
      </c>
    </row>
    <row r="482" spans="1:11" x14ac:dyDescent="0.25">
      <c r="A482" t="str">
        <f t="shared" si="28"/>
        <v>122018</v>
      </c>
      <c r="B482" s="1">
        <v>43446</v>
      </c>
      <c r="C482" s="10">
        <v>43446.645833333336</v>
      </c>
      <c r="D482">
        <v>3072.25</v>
      </c>
      <c r="E482">
        <v>3139.65</v>
      </c>
      <c r="F482">
        <v>3068.35</v>
      </c>
      <c r="G482">
        <v>3133.05</v>
      </c>
      <c r="H482">
        <v>0</v>
      </c>
      <c r="I482" s="8">
        <f t="shared" si="29"/>
        <v>2.5430801708478556E-2</v>
      </c>
      <c r="J482" s="8">
        <f t="shared" si="30"/>
        <v>2.5112818641176631E-2</v>
      </c>
      <c r="K482" s="8">
        <f t="shared" si="27"/>
        <v>-0.15317251165619294</v>
      </c>
    </row>
    <row r="483" spans="1:11" x14ac:dyDescent="0.25">
      <c r="A483" t="str">
        <f t="shared" si="28"/>
        <v>122018</v>
      </c>
      <c r="B483" s="1">
        <v>43447</v>
      </c>
      <c r="C483" t="s">
        <v>313</v>
      </c>
      <c r="D483">
        <v>3164.3</v>
      </c>
      <c r="E483">
        <v>3164.3</v>
      </c>
      <c r="F483">
        <v>3094.05</v>
      </c>
      <c r="G483">
        <v>3114</v>
      </c>
      <c r="H483">
        <v>0</v>
      </c>
      <c r="I483" s="8">
        <f t="shared" si="29"/>
        <v>-6.0803370517547028E-3</v>
      </c>
      <c r="J483" s="8">
        <f t="shared" si="30"/>
        <v>-6.098897575492172E-3</v>
      </c>
      <c r="K483" s="8">
        <f t="shared" si="27"/>
        <v>-0.14376452149524999</v>
      </c>
    </row>
    <row r="484" spans="1:11" x14ac:dyDescent="0.25">
      <c r="A484" t="str">
        <f t="shared" si="28"/>
        <v>122018</v>
      </c>
      <c r="B484" s="1">
        <v>43448</v>
      </c>
      <c r="C484" t="s">
        <v>314</v>
      </c>
      <c r="D484">
        <v>3102.2</v>
      </c>
      <c r="E484">
        <v>3134.8</v>
      </c>
      <c r="F484">
        <v>3085.55</v>
      </c>
      <c r="G484">
        <v>3112.35</v>
      </c>
      <c r="H484">
        <v>0</v>
      </c>
      <c r="I484" s="8">
        <f t="shared" si="29"/>
        <v>-5.2986512524089147E-4</v>
      </c>
      <c r="J484" s="8">
        <f t="shared" si="30"/>
        <v>-5.3000555337386925E-4</v>
      </c>
      <c r="K484" s="8">
        <f t="shared" si="27"/>
        <v>-0.13021546544448492</v>
      </c>
    </row>
    <row r="485" spans="1:11" x14ac:dyDescent="0.25">
      <c r="A485" t="str">
        <f t="shared" si="28"/>
        <v>122018</v>
      </c>
      <c r="B485" s="1">
        <v>43451</v>
      </c>
      <c r="C485" t="s">
        <v>315</v>
      </c>
      <c r="D485">
        <v>3161.35</v>
      </c>
      <c r="E485">
        <v>3181.85</v>
      </c>
      <c r="F485">
        <v>3148.45</v>
      </c>
      <c r="G485">
        <v>3175.1</v>
      </c>
      <c r="H485">
        <v>0</v>
      </c>
      <c r="I485" s="8">
        <f t="shared" si="29"/>
        <v>2.0161614214339707E-2</v>
      </c>
      <c r="J485" s="8">
        <f t="shared" si="30"/>
        <v>1.9961060053223817E-2</v>
      </c>
      <c r="K485" s="8">
        <f t="shared" si="27"/>
        <v>-0.12565401773420726</v>
      </c>
    </row>
    <row r="486" spans="1:11" x14ac:dyDescent="0.25">
      <c r="A486" t="str">
        <f t="shared" si="28"/>
        <v>122018</v>
      </c>
      <c r="B486" s="1">
        <v>43452</v>
      </c>
      <c r="C486" t="s">
        <v>316</v>
      </c>
      <c r="D486">
        <v>3167.05</v>
      </c>
      <c r="E486">
        <v>3207.85</v>
      </c>
      <c r="F486">
        <v>3160.05</v>
      </c>
      <c r="G486">
        <v>3198.15</v>
      </c>
      <c r="H486">
        <v>0</v>
      </c>
      <c r="I486" s="8">
        <f t="shared" si="29"/>
        <v>7.2596138704292823E-3</v>
      </c>
      <c r="J486" s="8">
        <f t="shared" si="30"/>
        <v>7.2333897153299765E-3</v>
      </c>
      <c r="K486" s="8">
        <f t="shared" si="27"/>
        <v>-0.13882381452459802</v>
      </c>
    </row>
    <row r="487" spans="1:11" x14ac:dyDescent="0.25">
      <c r="A487" t="str">
        <f t="shared" si="28"/>
        <v>122018</v>
      </c>
      <c r="B487" s="1">
        <v>43453</v>
      </c>
      <c r="C487" t="s">
        <v>317</v>
      </c>
      <c r="D487">
        <v>3211.7</v>
      </c>
      <c r="E487">
        <v>3222.7</v>
      </c>
      <c r="F487">
        <v>3190.3</v>
      </c>
      <c r="G487">
        <v>3211.15</v>
      </c>
      <c r="H487">
        <v>0</v>
      </c>
      <c r="I487" s="8">
        <f t="shared" si="29"/>
        <v>4.0648499914013314E-3</v>
      </c>
      <c r="J487" s="8">
        <f t="shared" si="30"/>
        <v>4.0566108084899967E-3</v>
      </c>
      <c r="K487" s="8">
        <f t="shared" si="27"/>
        <v>-0.13339810279453235</v>
      </c>
    </row>
    <row r="488" spans="1:11" x14ac:dyDescent="0.25">
      <c r="A488" t="str">
        <f t="shared" si="28"/>
        <v>122018</v>
      </c>
      <c r="B488" s="1">
        <v>43454</v>
      </c>
      <c r="C488" t="s">
        <v>318</v>
      </c>
      <c r="D488">
        <v>3177</v>
      </c>
      <c r="E488">
        <v>3189.45</v>
      </c>
      <c r="F488">
        <v>3158.05</v>
      </c>
      <c r="G488">
        <v>3177.9</v>
      </c>
      <c r="H488">
        <v>0</v>
      </c>
      <c r="I488" s="8">
        <f t="shared" si="29"/>
        <v>-1.0354545879202148E-2</v>
      </c>
      <c r="J488" s="8">
        <f t="shared" si="30"/>
        <v>-1.0408527147053372E-2</v>
      </c>
      <c r="K488" s="8">
        <f t="shared" si="27"/>
        <v>-0.12888901071790793</v>
      </c>
    </row>
    <row r="489" spans="1:11" x14ac:dyDescent="0.25">
      <c r="A489" t="str">
        <f t="shared" si="28"/>
        <v>122018</v>
      </c>
      <c r="B489" s="1">
        <v>43455</v>
      </c>
      <c r="C489" t="s">
        <v>319</v>
      </c>
      <c r="D489">
        <v>3186.2</v>
      </c>
      <c r="E489">
        <v>3208.5</v>
      </c>
      <c r="F489">
        <v>3153.55</v>
      </c>
      <c r="G489">
        <v>3162.3</v>
      </c>
      <c r="H489">
        <v>0</v>
      </c>
      <c r="I489" s="8">
        <f t="shared" si="29"/>
        <v>-4.9089021051637038E-3</v>
      </c>
      <c r="J489" s="8">
        <f t="shared" si="30"/>
        <v>-4.9209903413068197E-3</v>
      </c>
      <c r="K489" s="8">
        <f t="shared" si="27"/>
        <v>-0.14342597107102228</v>
      </c>
    </row>
    <row r="490" spans="1:11" x14ac:dyDescent="0.25">
      <c r="A490" t="str">
        <f t="shared" si="28"/>
        <v>122018</v>
      </c>
      <c r="B490" s="1">
        <v>43458</v>
      </c>
      <c r="C490" t="s">
        <v>320</v>
      </c>
      <c r="D490">
        <v>3158.05</v>
      </c>
      <c r="E490">
        <v>3158.85</v>
      </c>
      <c r="F490">
        <v>3085.1</v>
      </c>
      <c r="G490">
        <v>3089.85</v>
      </c>
      <c r="H490">
        <v>0</v>
      </c>
      <c r="I490" s="8">
        <f t="shared" si="29"/>
        <v>-2.291053979698332E-2</v>
      </c>
      <c r="J490" s="8">
        <f t="shared" si="30"/>
        <v>-2.3177064905065579E-2</v>
      </c>
      <c r="K490" s="8">
        <f t="shared" si="27"/>
        <v>-0.15882392976247195</v>
      </c>
    </row>
    <row r="491" spans="1:11" x14ac:dyDescent="0.25">
      <c r="A491" t="str">
        <f t="shared" si="28"/>
        <v>122018</v>
      </c>
      <c r="B491" s="1">
        <v>43460</v>
      </c>
      <c r="C491" t="s">
        <v>321</v>
      </c>
      <c r="D491">
        <v>3070.25</v>
      </c>
      <c r="E491">
        <v>3110.5</v>
      </c>
      <c r="F491">
        <v>3049.6</v>
      </c>
      <c r="G491">
        <v>3098.45</v>
      </c>
      <c r="H491">
        <v>0</v>
      </c>
      <c r="I491" s="8">
        <f t="shared" si="29"/>
        <v>2.7833066330080758E-3</v>
      </c>
      <c r="J491" s="8">
        <f t="shared" si="30"/>
        <v>2.7794404073675778E-3</v>
      </c>
      <c r="K491" s="8">
        <f t="shared" si="27"/>
        <v>-0.14683206211966848</v>
      </c>
    </row>
    <row r="492" spans="1:11" x14ac:dyDescent="0.25">
      <c r="A492" t="str">
        <f t="shared" si="28"/>
        <v>122018</v>
      </c>
      <c r="B492" s="1">
        <v>43461</v>
      </c>
      <c r="C492" t="s">
        <v>322</v>
      </c>
      <c r="D492">
        <v>3133.55</v>
      </c>
      <c r="E492">
        <v>3144.55</v>
      </c>
      <c r="F492">
        <v>3080.3</v>
      </c>
      <c r="G492">
        <v>3089</v>
      </c>
      <c r="H492">
        <v>0</v>
      </c>
      <c r="I492" s="8">
        <f t="shared" si="29"/>
        <v>-3.0499120528005852E-3</v>
      </c>
      <c r="J492" s="8">
        <f t="shared" si="30"/>
        <v>-3.0545725129736013E-3</v>
      </c>
      <c r="K492" s="8">
        <f t="shared" si="27"/>
        <v>-0.14945756924940801</v>
      </c>
    </row>
    <row r="493" spans="1:11" x14ac:dyDescent="0.25">
      <c r="A493" t="str">
        <f t="shared" si="28"/>
        <v>122018</v>
      </c>
      <c r="B493" s="1">
        <v>43462</v>
      </c>
      <c r="C493" t="s">
        <v>323</v>
      </c>
      <c r="D493">
        <v>3083.15</v>
      </c>
      <c r="E493">
        <v>3121.1</v>
      </c>
      <c r="F493">
        <v>3082.6</v>
      </c>
      <c r="G493">
        <v>3112.2</v>
      </c>
      <c r="H493">
        <v>0</v>
      </c>
      <c r="I493" s="8">
        <f t="shared" si="29"/>
        <v>7.5105212042732017E-3</v>
      </c>
      <c r="J493" s="8">
        <f t="shared" si="30"/>
        <v>7.4824576668277775E-3</v>
      </c>
      <c r="K493" s="8">
        <f t="shared" si="27"/>
        <v>-0.15748724265352809</v>
      </c>
    </row>
    <row r="494" spans="1:11" x14ac:dyDescent="0.25">
      <c r="A494" t="str">
        <f t="shared" si="28"/>
        <v>122018</v>
      </c>
      <c r="B494" s="1">
        <v>43465</v>
      </c>
      <c r="C494" t="s">
        <v>324</v>
      </c>
      <c r="D494">
        <v>3137.25</v>
      </c>
      <c r="E494">
        <v>3167.25</v>
      </c>
      <c r="F494">
        <v>3133.75</v>
      </c>
      <c r="G494">
        <v>3154.6</v>
      </c>
      <c r="H494">
        <v>0</v>
      </c>
      <c r="I494" s="8">
        <f t="shared" si="29"/>
        <v>1.3623803097487341E-2</v>
      </c>
      <c r="J494" s="8">
        <f t="shared" si="30"/>
        <v>1.3531833467964197E-2</v>
      </c>
      <c r="K494" s="8">
        <f t="shared" si="27"/>
        <v>-0.14036569746845784</v>
      </c>
    </row>
    <row r="495" spans="1:11" x14ac:dyDescent="0.25">
      <c r="A495" t="str">
        <f t="shared" si="28"/>
        <v>12019</v>
      </c>
      <c r="B495" s="1">
        <v>43466</v>
      </c>
      <c r="C495" s="10">
        <v>43466.645833333336</v>
      </c>
      <c r="D495">
        <v>3162.25</v>
      </c>
      <c r="E495">
        <v>3164.05</v>
      </c>
      <c r="F495">
        <v>3122.4</v>
      </c>
      <c r="G495">
        <v>3135.25</v>
      </c>
      <c r="H495">
        <v>0</v>
      </c>
      <c r="I495" s="8">
        <f t="shared" si="29"/>
        <v>-6.1338997020223829E-3</v>
      </c>
      <c r="J495" s="8">
        <f t="shared" si="30"/>
        <v>-6.1527893492144782E-3</v>
      </c>
      <c r="K495" s="8">
        <f t="shared" si="27"/>
        <v>-0.10044902233635067</v>
      </c>
    </row>
    <row r="496" spans="1:11" x14ac:dyDescent="0.25">
      <c r="A496" t="str">
        <f t="shared" si="28"/>
        <v>12019</v>
      </c>
      <c r="B496" s="1">
        <v>43467</v>
      </c>
      <c r="C496" s="10">
        <v>43497.645833333336</v>
      </c>
      <c r="D496">
        <v>3095.55</v>
      </c>
      <c r="E496">
        <v>3097.1</v>
      </c>
      <c r="F496">
        <v>3021.65</v>
      </c>
      <c r="G496">
        <v>3028.45</v>
      </c>
      <c r="H496">
        <v>0</v>
      </c>
      <c r="I496" s="8">
        <f t="shared" si="29"/>
        <v>-3.4064269197033759E-2</v>
      </c>
      <c r="J496" s="8">
        <f t="shared" si="30"/>
        <v>-3.4657978242790807E-2</v>
      </c>
      <c r="K496" s="8">
        <f t="shared" si="27"/>
        <v>-0.14160797040858275</v>
      </c>
    </row>
    <row r="497" spans="1:11" x14ac:dyDescent="0.25">
      <c r="A497" t="str">
        <f t="shared" si="28"/>
        <v>12019</v>
      </c>
      <c r="B497" s="1">
        <v>43468</v>
      </c>
      <c r="C497" s="10">
        <v>43525.645833333336</v>
      </c>
      <c r="D497">
        <v>3030.9</v>
      </c>
      <c r="E497">
        <v>3031.15</v>
      </c>
      <c r="F497">
        <v>2956.2</v>
      </c>
      <c r="G497">
        <v>2960.4</v>
      </c>
      <c r="H497">
        <v>0</v>
      </c>
      <c r="I497" s="8">
        <f t="shared" si="29"/>
        <v>-2.2470240552097565E-2</v>
      </c>
      <c r="J497" s="8">
        <f t="shared" si="30"/>
        <v>-2.2726543138056984E-2</v>
      </c>
      <c r="K497" s="8">
        <f t="shared" si="27"/>
        <v>-0.17583518930957687</v>
      </c>
    </row>
    <row r="498" spans="1:11" x14ac:dyDescent="0.25">
      <c r="A498" t="str">
        <f t="shared" si="28"/>
        <v>12019</v>
      </c>
      <c r="B498" s="1">
        <v>43469</v>
      </c>
      <c r="C498" s="10">
        <v>43556.645833333336</v>
      </c>
      <c r="D498">
        <v>2959.25</v>
      </c>
      <c r="E498">
        <v>3013.35</v>
      </c>
      <c r="F498">
        <v>2949.3</v>
      </c>
      <c r="G498">
        <v>3001.7</v>
      </c>
      <c r="H498">
        <v>0</v>
      </c>
      <c r="I498" s="8">
        <f t="shared" si="29"/>
        <v>1.3950817457100362E-2</v>
      </c>
      <c r="J498" s="8">
        <f t="shared" si="30"/>
        <v>1.3854400498675055E-2</v>
      </c>
      <c r="K498" s="8">
        <f t="shared" si="27"/>
        <v>-0.15974078687698579</v>
      </c>
    </row>
    <row r="499" spans="1:11" x14ac:dyDescent="0.25">
      <c r="A499" t="str">
        <f t="shared" si="28"/>
        <v>12019</v>
      </c>
      <c r="B499" s="1">
        <v>43472</v>
      </c>
      <c r="C499" s="10">
        <v>43647.645833333336</v>
      </c>
      <c r="D499">
        <v>3040.65</v>
      </c>
      <c r="E499">
        <v>3055.3</v>
      </c>
      <c r="F499">
        <v>2991.45</v>
      </c>
      <c r="G499">
        <v>2997.1</v>
      </c>
      <c r="H499">
        <v>0</v>
      </c>
      <c r="I499" s="8">
        <f t="shared" si="29"/>
        <v>-1.5324649365359155E-3</v>
      </c>
      <c r="J499" s="8">
        <f t="shared" si="30"/>
        <v>-1.5336403619457381E-3</v>
      </c>
      <c r="K499" s="8">
        <f t="shared" si="27"/>
        <v>-0.12992611731235404</v>
      </c>
    </row>
    <row r="500" spans="1:11" x14ac:dyDescent="0.25">
      <c r="A500" t="str">
        <f t="shared" si="28"/>
        <v>12019</v>
      </c>
      <c r="B500" s="1">
        <v>43473</v>
      </c>
      <c r="C500" s="10">
        <v>43678.645833333336</v>
      </c>
      <c r="D500">
        <v>3000.55</v>
      </c>
      <c r="E500">
        <v>3021.35</v>
      </c>
      <c r="F500">
        <v>2987.6</v>
      </c>
      <c r="G500">
        <v>3010.3</v>
      </c>
      <c r="H500">
        <v>0</v>
      </c>
      <c r="I500" s="8">
        <f t="shared" si="29"/>
        <v>4.4042574488674102E-3</v>
      </c>
      <c r="J500" s="8">
        <f t="shared" si="30"/>
        <v>4.3945870904647409E-3</v>
      </c>
      <c r="K500" s="8">
        <f t="shared" si="27"/>
        <v>-9.856413481261872E-2</v>
      </c>
    </row>
    <row r="501" spans="1:11" x14ac:dyDescent="0.25">
      <c r="A501" t="str">
        <f t="shared" si="28"/>
        <v>12019</v>
      </c>
      <c r="B501" s="1">
        <v>43474</v>
      </c>
      <c r="C501" s="10">
        <v>43709.645833333336</v>
      </c>
      <c r="D501">
        <v>3020.4</v>
      </c>
      <c r="E501">
        <v>3031.7</v>
      </c>
      <c r="F501">
        <v>2951.9</v>
      </c>
      <c r="G501">
        <v>2975.5</v>
      </c>
      <c r="H501">
        <v>0</v>
      </c>
      <c r="I501" s="8">
        <f t="shared" si="29"/>
        <v>-1.156030960369403E-2</v>
      </c>
      <c r="J501" s="8">
        <f t="shared" si="30"/>
        <v>-1.1627649465598484E-2</v>
      </c>
      <c r="K501" s="8">
        <f t="shared" si="27"/>
        <v>-0.11804371989625784</v>
      </c>
    </row>
    <row r="502" spans="1:11" x14ac:dyDescent="0.25">
      <c r="A502" t="str">
        <f t="shared" si="28"/>
        <v>12019</v>
      </c>
      <c r="B502" s="1">
        <v>43475</v>
      </c>
      <c r="C502" s="10">
        <v>43739.645833333336</v>
      </c>
      <c r="D502">
        <v>2979.7</v>
      </c>
      <c r="E502">
        <v>2990.05</v>
      </c>
      <c r="F502">
        <v>2961.15</v>
      </c>
      <c r="G502">
        <v>2972.35</v>
      </c>
      <c r="H502">
        <v>0</v>
      </c>
      <c r="I502" s="8">
        <f t="shared" si="29"/>
        <v>-1.0586456057806171E-3</v>
      </c>
      <c r="J502" s="8">
        <f t="shared" si="30"/>
        <v>-1.0592063668396915E-3</v>
      </c>
      <c r="K502" s="8">
        <f t="shared" si="27"/>
        <v>-0.13560554287292981</v>
      </c>
    </row>
    <row r="503" spans="1:11" x14ac:dyDescent="0.25">
      <c r="A503" t="str">
        <f t="shared" si="28"/>
        <v>12019</v>
      </c>
      <c r="B503" s="1">
        <v>43476</v>
      </c>
      <c r="C503" s="10">
        <v>43770.645833333336</v>
      </c>
      <c r="D503">
        <v>2980.3</v>
      </c>
      <c r="E503">
        <v>3003.5</v>
      </c>
      <c r="F503">
        <v>2961.6</v>
      </c>
      <c r="G503">
        <v>2971.25</v>
      </c>
      <c r="H503">
        <v>0</v>
      </c>
      <c r="I503" s="8">
        <f t="shared" si="29"/>
        <v>-3.7007754806794857E-4</v>
      </c>
      <c r="J503" s="8">
        <f t="shared" si="30"/>
        <v>-3.7014604366338315E-4</v>
      </c>
      <c r="K503" s="8">
        <f t="shared" si="27"/>
        <v>-0.10139119915318318</v>
      </c>
    </row>
    <row r="504" spans="1:11" x14ac:dyDescent="0.25">
      <c r="A504" t="str">
        <f t="shared" si="28"/>
        <v>12019</v>
      </c>
      <c r="B504" s="1">
        <v>43479</v>
      </c>
      <c r="C504" t="s">
        <v>325</v>
      </c>
      <c r="D504">
        <v>2969.7</v>
      </c>
      <c r="E504">
        <v>2969.75</v>
      </c>
      <c r="F504">
        <v>2930.1</v>
      </c>
      <c r="G504">
        <v>2939.35</v>
      </c>
      <c r="H504">
        <v>0</v>
      </c>
      <c r="I504" s="8">
        <f t="shared" si="29"/>
        <v>-1.0736222128733708E-2</v>
      </c>
      <c r="J504" s="8">
        <f t="shared" si="30"/>
        <v>-1.0794271220701545E-2</v>
      </c>
      <c r="K504" s="8">
        <f t="shared" si="27"/>
        <v>-0.14506558855181639</v>
      </c>
    </row>
    <row r="505" spans="1:11" x14ac:dyDescent="0.25">
      <c r="A505" t="str">
        <f t="shared" si="28"/>
        <v>12019</v>
      </c>
      <c r="B505" s="1">
        <v>43480</v>
      </c>
      <c r="C505" t="s">
        <v>326</v>
      </c>
      <c r="D505">
        <v>2953.3</v>
      </c>
      <c r="E505">
        <v>2989.75</v>
      </c>
      <c r="F505">
        <v>2937</v>
      </c>
      <c r="G505">
        <v>2986.3</v>
      </c>
      <c r="H505">
        <v>0</v>
      </c>
      <c r="I505" s="8">
        <f t="shared" si="29"/>
        <v>1.5972919182812628E-2</v>
      </c>
      <c r="J505" s="8">
        <f t="shared" si="30"/>
        <v>1.5846694453431346E-2</v>
      </c>
      <c r="K505" s="8">
        <f t="shared" si="27"/>
        <v>-0.12770556448079451</v>
      </c>
    </row>
    <row r="506" spans="1:11" x14ac:dyDescent="0.25">
      <c r="A506" t="str">
        <f t="shared" si="28"/>
        <v>12019</v>
      </c>
      <c r="B506" s="1">
        <v>43481</v>
      </c>
      <c r="C506" t="s">
        <v>327</v>
      </c>
      <c r="D506">
        <v>2997.65</v>
      </c>
      <c r="E506">
        <v>3003.95</v>
      </c>
      <c r="F506">
        <v>2963.15</v>
      </c>
      <c r="G506">
        <v>2967.05</v>
      </c>
      <c r="H506">
        <v>0</v>
      </c>
      <c r="I506" s="8">
        <f t="shared" si="29"/>
        <v>-6.4461038743596211E-3</v>
      </c>
      <c r="J506" s="8">
        <f t="shared" si="30"/>
        <v>-6.4669697192089176E-3</v>
      </c>
      <c r="K506" s="8">
        <f t="shared" si="27"/>
        <v>-0.13537416948362269</v>
      </c>
    </row>
    <row r="507" spans="1:11" x14ac:dyDescent="0.25">
      <c r="A507" t="str">
        <f t="shared" si="28"/>
        <v>12019</v>
      </c>
      <c r="B507" s="1">
        <v>43482</v>
      </c>
      <c r="C507" t="s">
        <v>328</v>
      </c>
      <c r="D507">
        <v>2974.9</v>
      </c>
      <c r="E507">
        <v>2981.65</v>
      </c>
      <c r="F507">
        <v>2948.1</v>
      </c>
      <c r="G507">
        <v>2963.05</v>
      </c>
      <c r="H507">
        <v>0</v>
      </c>
      <c r="I507" s="8">
        <f t="shared" si="29"/>
        <v>-1.3481404088235838E-3</v>
      </c>
      <c r="J507" s="8">
        <f t="shared" si="30"/>
        <v>-1.349049967671799E-3</v>
      </c>
      <c r="K507" s="8">
        <f t="shared" si="27"/>
        <v>-0.11891345396155151</v>
      </c>
    </row>
    <row r="508" spans="1:11" x14ac:dyDescent="0.25">
      <c r="A508" t="str">
        <f t="shared" si="28"/>
        <v>12019</v>
      </c>
      <c r="B508" s="1">
        <v>43483</v>
      </c>
      <c r="C508" t="s">
        <v>329</v>
      </c>
      <c r="D508">
        <v>2969.75</v>
      </c>
      <c r="E508">
        <v>2980.3</v>
      </c>
      <c r="F508">
        <v>2940.75</v>
      </c>
      <c r="G508">
        <v>2957.1</v>
      </c>
      <c r="H508">
        <v>0</v>
      </c>
      <c r="I508" s="8">
        <f t="shared" si="29"/>
        <v>-2.0080660130609163E-3</v>
      </c>
      <c r="J508" s="8">
        <f t="shared" si="30"/>
        <v>-2.010084880749797E-3</v>
      </c>
      <c r="K508" s="8">
        <f t="shared" si="27"/>
        <v>-0.12121842496285296</v>
      </c>
    </row>
    <row r="509" spans="1:11" x14ac:dyDescent="0.25">
      <c r="A509" t="str">
        <f t="shared" si="28"/>
        <v>12019</v>
      </c>
      <c r="B509" s="1">
        <v>43486</v>
      </c>
      <c r="C509" t="s">
        <v>330</v>
      </c>
      <c r="D509">
        <v>2967.2</v>
      </c>
      <c r="E509">
        <v>2975.4</v>
      </c>
      <c r="F509">
        <v>2938.75</v>
      </c>
      <c r="G509">
        <v>2945.8</v>
      </c>
      <c r="H509">
        <v>0</v>
      </c>
      <c r="I509" s="8">
        <f t="shared" si="29"/>
        <v>-3.8213114199722176E-3</v>
      </c>
      <c r="J509" s="8">
        <f t="shared" si="30"/>
        <v>-3.8286312840602505E-3</v>
      </c>
      <c r="K509" s="8">
        <f t="shared" si="27"/>
        <v>-0.1179315197700358</v>
      </c>
    </row>
    <row r="510" spans="1:11" x14ac:dyDescent="0.25">
      <c r="A510" t="str">
        <f t="shared" si="28"/>
        <v>12019</v>
      </c>
      <c r="B510" s="1">
        <v>43487</v>
      </c>
      <c r="C510" t="s">
        <v>331</v>
      </c>
      <c r="D510">
        <v>2936.05</v>
      </c>
      <c r="E510">
        <v>2936.05</v>
      </c>
      <c r="F510">
        <v>2864.5</v>
      </c>
      <c r="G510">
        <v>2880.65</v>
      </c>
      <c r="H510">
        <v>0</v>
      </c>
      <c r="I510" s="8">
        <f t="shared" si="29"/>
        <v>-2.2116233281281872E-2</v>
      </c>
      <c r="J510" s="8">
        <f t="shared" si="30"/>
        <v>-2.2364463946166303E-2</v>
      </c>
      <c r="K510" s="8">
        <f t="shared" si="27"/>
        <v>-0.13043543883480491</v>
      </c>
    </row>
    <row r="511" spans="1:11" x14ac:dyDescent="0.25">
      <c r="A511" t="str">
        <f t="shared" si="28"/>
        <v>12019</v>
      </c>
      <c r="B511" s="1">
        <v>43488</v>
      </c>
      <c r="C511" t="s">
        <v>332</v>
      </c>
      <c r="D511">
        <v>2881.3</v>
      </c>
      <c r="E511">
        <v>2921.2</v>
      </c>
      <c r="F511">
        <v>2877.35</v>
      </c>
      <c r="G511">
        <v>2896.9</v>
      </c>
      <c r="H511">
        <v>0</v>
      </c>
      <c r="I511" s="8">
        <f t="shared" si="29"/>
        <v>5.6410879489003918E-3</v>
      </c>
      <c r="J511" s="8">
        <f t="shared" si="30"/>
        <v>5.6252365969178923E-3</v>
      </c>
      <c r="K511" s="8">
        <f t="shared" si="27"/>
        <v>-0.13469838851800409</v>
      </c>
    </row>
    <row r="512" spans="1:11" x14ac:dyDescent="0.25">
      <c r="A512" t="str">
        <f t="shared" si="28"/>
        <v>12019</v>
      </c>
      <c r="B512" s="1">
        <v>43489</v>
      </c>
      <c r="C512" t="s">
        <v>333</v>
      </c>
      <c r="D512">
        <v>2899.95</v>
      </c>
      <c r="E512">
        <v>2902.1</v>
      </c>
      <c r="F512">
        <v>2864.15</v>
      </c>
      <c r="G512">
        <v>2893.5</v>
      </c>
      <c r="H512">
        <v>0</v>
      </c>
      <c r="I512" s="8">
        <f t="shared" si="29"/>
        <v>-1.1736684041562251E-3</v>
      </c>
      <c r="J512" s="8">
        <f t="shared" si="30"/>
        <v>-1.1743576923009429E-3</v>
      </c>
      <c r="K512" s="8">
        <f t="shared" ref="K512:K575" si="31">+G512/G451-1</f>
        <v>-0.12498487964194993</v>
      </c>
    </row>
    <row r="513" spans="1:11" x14ac:dyDescent="0.25">
      <c r="A513" t="str">
        <f t="shared" si="28"/>
        <v>12019</v>
      </c>
      <c r="B513" s="1">
        <v>43490</v>
      </c>
      <c r="C513" t="s">
        <v>334</v>
      </c>
      <c r="D513">
        <v>2905.95</v>
      </c>
      <c r="E513">
        <v>2921.6</v>
      </c>
      <c r="F513">
        <v>2846.95</v>
      </c>
      <c r="G513">
        <v>2857.55</v>
      </c>
      <c r="H513">
        <v>0</v>
      </c>
      <c r="I513" s="8">
        <f t="shared" si="29"/>
        <v>-1.2424399516156814E-2</v>
      </c>
      <c r="J513" s="8">
        <f t="shared" si="30"/>
        <v>-1.2502227685239186E-2</v>
      </c>
      <c r="K513" s="8">
        <f t="shared" si="31"/>
        <v>-0.12983038460367247</v>
      </c>
    </row>
    <row r="514" spans="1:11" x14ac:dyDescent="0.25">
      <c r="A514" t="str">
        <f t="shared" si="28"/>
        <v>12019</v>
      </c>
      <c r="B514" s="1">
        <v>43493</v>
      </c>
      <c r="C514" t="s">
        <v>335</v>
      </c>
      <c r="D514">
        <v>2859.2</v>
      </c>
      <c r="E514">
        <v>2862.2</v>
      </c>
      <c r="F514">
        <v>2802.35</v>
      </c>
      <c r="G514">
        <v>2827.15</v>
      </c>
      <c r="H514">
        <v>0</v>
      </c>
      <c r="I514" s="8">
        <f t="shared" si="29"/>
        <v>-1.0638484016027738E-2</v>
      </c>
      <c r="J514" s="8">
        <f t="shared" si="30"/>
        <v>-1.0695477261997996E-2</v>
      </c>
      <c r="K514" s="8">
        <f t="shared" si="31"/>
        <v>-0.16095859919869415</v>
      </c>
    </row>
    <row r="515" spans="1:11" x14ac:dyDescent="0.25">
      <c r="A515" t="str">
        <f t="shared" ref="A515:A578" si="32">+MONTH(B515)&amp;YEAR(B515)</f>
        <v>12019</v>
      </c>
      <c r="B515" s="1">
        <v>43494</v>
      </c>
      <c r="C515" t="s">
        <v>336</v>
      </c>
      <c r="D515">
        <v>2823.75</v>
      </c>
      <c r="E515">
        <v>2846.35</v>
      </c>
      <c r="F515">
        <v>2803.75</v>
      </c>
      <c r="G515">
        <v>2828.35</v>
      </c>
      <c r="H515">
        <v>0</v>
      </c>
      <c r="I515" s="8">
        <f t="shared" si="29"/>
        <v>4.2445572396232478E-4</v>
      </c>
      <c r="J515" s="8">
        <f t="shared" si="30"/>
        <v>4.2436566811376836E-4</v>
      </c>
      <c r="K515" s="8">
        <f t="shared" si="31"/>
        <v>-0.15142287094403029</v>
      </c>
    </row>
    <row r="516" spans="1:11" x14ac:dyDescent="0.25">
      <c r="A516" t="str">
        <f t="shared" si="32"/>
        <v>12019</v>
      </c>
      <c r="B516" s="1">
        <v>43495</v>
      </c>
      <c r="C516" t="s">
        <v>337</v>
      </c>
      <c r="D516">
        <v>2835.05</v>
      </c>
      <c r="E516">
        <v>2892.35</v>
      </c>
      <c r="F516">
        <v>2830.8</v>
      </c>
      <c r="G516">
        <v>2882.05</v>
      </c>
      <c r="H516">
        <v>0</v>
      </c>
      <c r="I516" s="8">
        <f t="shared" ref="I516:I579" si="33">+G516/G515-1</f>
        <v>1.8986334788834602E-2</v>
      </c>
      <c r="J516" s="8">
        <f t="shared" ref="J516:J579" si="34">+LN(1+I516)</f>
        <v>1.8808343737354905E-2</v>
      </c>
      <c r="K516" s="8">
        <f t="shared" si="31"/>
        <v>-0.12584358270522744</v>
      </c>
    </row>
    <row r="517" spans="1:11" x14ac:dyDescent="0.25">
      <c r="A517" t="str">
        <f t="shared" si="32"/>
        <v>12019</v>
      </c>
      <c r="B517" s="1">
        <v>43496</v>
      </c>
      <c r="C517" t="s">
        <v>338</v>
      </c>
      <c r="D517">
        <v>2899.85</v>
      </c>
      <c r="E517">
        <v>2920.35</v>
      </c>
      <c r="F517">
        <v>2875.6</v>
      </c>
      <c r="G517">
        <v>2915.85</v>
      </c>
      <c r="H517">
        <v>0</v>
      </c>
      <c r="I517" s="8">
        <f t="shared" si="33"/>
        <v>1.1727763224093968E-2</v>
      </c>
      <c r="J517" s="8">
        <f t="shared" si="34"/>
        <v>1.1659526004106826E-2</v>
      </c>
      <c r="K517" s="8">
        <f t="shared" si="31"/>
        <v>-0.12655952791049474</v>
      </c>
    </row>
    <row r="518" spans="1:11" x14ac:dyDescent="0.25">
      <c r="A518" t="str">
        <f t="shared" si="32"/>
        <v>22019</v>
      </c>
      <c r="B518" s="1">
        <v>43497</v>
      </c>
      <c r="C518" s="10">
        <v>43467.645833333336</v>
      </c>
      <c r="D518">
        <v>2867.9</v>
      </c>
      <c r="E518">
        <v>2867.9</v>
      </c>
      <c r="F518">
        <v>2777.3</v>
      </c>
      <c r="G518">
        <v>2815.65</v>
      </c>
      <c r="H518">
        <v>0</v>
      </c>
      <c r="I518" s="8">
        <f t="shared" si="33"/>
        <v>-3.4363907608416011E-2</v>
      </c>
      <c r="J518" s="8">
        <f t="shared" si="34"/>
        <v>-3.4968231695639611E-2</v>
      </c>
      <c r="K518" s="8">
        <f t="shared" si="31"/>
        <v>-0.18131860143926726</v>
      </c>
    </row>
    <row r="519" spans="1:11" x14ac:dyDescent="0.25">
      <c r="A519" t="str">
        <f t="shared" si="32"/>
        <v>22019</v>
      </c>
      <c r="B519" s="1">
        <v>43500</v>
      </c>
      <c r="C519" s="10">
        <v>43557.645833333336</v>
      </c>
      <c r="D519">
        <v>2814.3</v>
      </c>
      <c r="E519">
        <v>2815.9</v>
      </c>
      <c r="F519">
        <v>2737.25</v>
      </c>
      <c r="G519">
        <v>2794.45</v>
      </c>
      <c r="H519">
        <v>0</v>
      </c>
      <c r="I519" s="8">
        <f t="shared" si="33"/>
        <v>-7.5293449114770539E-3</v>
      </c>
      <c r="J519" s="8">
        <f t="shared" si="34"/>
        <v>-7.5578335193317615E-3</v>
      </c>
      <c r="K519" s="8">
        <f t="shared" si="31"/>
        <v>-0.18810831226938618</v>
      </c>
    </row>
    <row r="520" spans="1:11" x14ac:dyDescent="0.25">
      <c r="A520" t="str">
        <f t="shared" si="32"/>
        <v>22019</v>
      </c>
      <c r="B520" s="1">
        <v>43501</v>
      </c>
      <c r="C520" s="10">
        <v>43587.645833333336</v>
      </c>
      <c r="D520">
        <v>2791.75</v>
      </c>
      <c r="E520">
        <v>2806.6</v>
      </c>
      <c r="F520">
        <v>2749.25</v>
      </c>
      <c r="G520">
        <v>2768.3</v>
      </c>
      <c r="H520">
        <v>0</v>
      </c>
      <c r="I520" s="8">
        <f t="shared" si="33"/>
        <v>-9.3578342786593272E-3</v>
      </c>
      <c r="J520" s="8">
        <f t="shared" si="34"/>
        <v>-9.4018938936604787E-3</v>
      </c>
      <c r="K520" s="8">
        <f t="shared" si="31"/>
        <v>-0.19501592055714667</v>
      </c>
    </row>
    <row r="521" spans="1:11" x14ac:dyDescent="0.25">
      <c r="A521" t="str">
        <f t="shared" si="32"/>
        <v>22019</v>
      </c>
      <c r="B521" s="1">
        <v>43502</v>
      </c>
      <c r="C521" s="10">
        <v>43618.645833333336</v>
      </c>
      <c r="D521">
        <v>2776.35</v>
      </c>
      <c r="E521">
        <v>2842.5</v>
      </c>
      <c r="F521">
        <v>2741.25</v>
      </c>
      <c r="G521">
        <v>2832.95</v>
      </c>
      <c r="H521">
        <v>0</v>
      </c>
      <c r="I521" s="8">
        <f t="shared" si="33"/>
        <v>2.3353682765596018E-2</v>
      </c>
      <c r="J521" s="8">
        <f t="shared" si="34"/>
        <v>2.3085158171976556E-2</v>
      </c>
      <c r="K521" s="8">
        <f t="shared" si="31"/>
        <v>-0.17452431597657281</v>
      </c>
    </row>
    <row r="522" spans="1:11" x14ac:dyDescent="0.25">
      <c r="A522" t="str">
        <f t="shared" si="32"/>
        <v>22019</v>
      </c>
      <c r="B522" s="1">
        <v>43503</v>
      </c>
      <c r="C522" s="10">
        <v>43648.645833333336</v>
      </c>
      <c r="D522">
        <v>2829.85</v>
      </c>
      <c r="E522">
        <v>2855.05</v>
      </c>
      <c r="F522">
        <v>2806.6</v>
      </c>
      <c r="G522">
        <v>2835.8</v>
      </c>
      <c r="H522">
        <v>0</v>
      </c>
      <c r="I522" s="8">
        <f t="shared" si="33"/>
        <v>1.0060184613214229E-3</v>
      </c>
      <c r="J522" s="8">
        <f t="shared" si="34"/>
        <v>1.0055127638813853E-3</v>
      </c>
      <c r="K522" s="8">
        <f t="shared" si="31"/>
        <v>-0.16212143595804396</v>
      </c>
    </row>
    <row r="523" spans="1:11" x14ac:dyDescent="0.25">
      <c r="A523" t="str">
        <f t="shared" si="32"/>
        <v>22019</v>
      </c>
      <c r="B523" s="1">
        <v>43504</v>
      </c>
      <c r="C523" s="10">
        <v>43679.645833333336</v>
      </c>
      <c r="D523">
        <v>2821.65</v>
      </c>
      <c r="E523">
        <v>2826.9</v>
      </c>
      <c r="F523">
        <v>2731.7</v>
      </c>
      <c r="G523">
        <v>2740.5</v>
      </c>
      <c r="H523">
        <v>0</v>
      </c>
      <c r="I523" s="8">
        <f t="shared" si="33"/>
        <v>-3.3606037097115515E-2</v>
      </c>
      <c r="J523" s="8">
        <f t="shared" si="34"/>
        <v>-3.4183698817286522E-2</v>
      </c>
      <c r="K523" s="8">
        <f t="shared" si="31"/>
        <v>-0.19646391344504555</v>
      </c>
    </row>
    <row r="524" spans="1:11" x14ac:dyDescent="0.25">
      <c r="A524" t="str">
        <f t="shared" si="32"/>
        <v>22019</v>
      </c>
      <c r="B524" s="1">
        <v>43507</v>
      </c>
      <c r="C524" s="10">
        <v>43771.645833333336</v>
      </c>
      <c r="D524">
        <v>2739.6</v>
      </c>
      <c r="E524">
        <v>2756.1</v>
      </c>
      <c r="F524">
        <v>2675.5</v>
      </c>
      <c r="G524">
        <v>2725.2</v>
      </c>
      <c r="H524">
        <v>0</v>
      </c>
      <c r="I524" s="8">
        <f t="shared" si="33"/>
        <v>-5.5829228243021722E-3</v>
      </c>
      <c r="J524" s="8">
        <f t="shared" si="34"/>
        <v>-5.5985655866580414E-3</v>
      </c>
      <c r="K524" s="8">
        <f t="shared" si="31"/>
        <v>-0.19424035007317841</v>
      </c>
    </row>
    <row r="525" spans="1:11" x14ac:dyDescent="0.25">
      <c r="A525" t="str">
        <f t="shared" si="32"/>
        <v>22019</v>
      </c>
      <c r="B525" s="1">
        <v>43508</v>
      </c>
      <c r="C525" s="10">
        <v>43801.645833333336</v>
      </c>
      <c r="D525">
        <v>2724.4</v>
      </c>
      <c r="E525">
        <v>2805.2</v>
      </c>
      <c r="F525">
        <v>2713</v>
      </c>
      <c r="G525">
        <v>2767.95</v>
      </c>
      <c r="H525">
        <v>0</v>
      </c>
      <c r="I525" s="8">
        <f t="shared" si="33"/>
        <v>1.5686922060766273E-2</v>
      </c>
      <c r="J525" s="8">
        <f t="shared" si="34"/>
        <v>1.5565154091083656E-2</v>
      </c>
      <c r="K525" s="8">
        <f t="shared" si="31"/>
        <v>-0.18778426597024567</v>
      </c>
    </row>
    <row r="526" spans="1:11" x14ac:dyDescent="0.25">
      <c r="A526" t="str">
        <f t="shared" si="32"/>
        <v>22019</v>
      </c>
      <c r="B526" s="1">
        <v>43509</v>
      </c>
      <c r="C526" t="s">
        <v>339</v>
      </c>
      <c r="D526">
        <v>2785.4</v>
      </c>
      <c r="E526">
        <v>2796.45</v>
      </c>
      <c r="F526">
        <v>2733.95</v>
      </c>
      <c r="G526">
        <v>2741.7</v>
      </c>
      <c r="H526">
        <v>0</v>
      </c>
      <c r="I526" s="8">
        <f t="shared" si="33"/>
        <v>-9.4835528098412558E-3</v>
      </c>
      <c r="J526" s="8">
        <f t="shared" si="34"/>
        <v>-9.5288080443310507E-3</v>
      </c>
      <c r="K526" s="8">
        <f t="shared" si="31"/>
        <v>-0.18270434627079235</v>
      </c>
    </row>
    <row r="527" spans="1:11" x14ac:dyDescent="0.25">
      <c r="A527" t="str">
        <f t="shared" si="32"/>
        <v>22019</v>
      </c>
      <c r="B527" s="1">
        <v>43510</v>
      </c>
      <c r="C527" t="s">
        <v>340</v>
      </c>
      <c r="D527">
        <v>2727</v>
      </c>
      <c r="E527">
        <v>2741.6</v>
      </c>
      <c r="F527">
        <v>2678</v>
      </c>
      <c r="G527">
        <v>2733.65</v>
      </c>
      <c r="H527">
        <v>0</v>
      </c>
      <c r="I527" s="8">
        <f t="shared" si="33"/>
        <v>-2.9361345150817897E-3</v>
      </c>
      <c r="J527" s="8">
        <f t="shared" si="34"/>
        <v>-2.9404534140109895E-3</v>
      </c>
      <c r="K527" s="8">
        <f t="shared" si="31"/>
        <v>-0.19488417983418493</v>
      </c>
    </row>
    <row r="528" spans="1:11" x14ac:dyDescent="0.25">
      <c r="A528" t="str">
        <f t="shared" si="32"/>
        <v>22019</v>
      </c>
      <c r="B528" s="1">
        <v>43511</v>
      </c>
      <c r="C528" t="s">
        <v>341</v>
      </c>
      <c r="D528">
        <v>2739.5</v>
      </c>
      <c r="E528">
        <v>2740.65</v>
      </c>
      <c r="F528">
        <v>2653.75</v>
      </c>
      <c r="G528">
        <v>2677.1</v>
      </c>
      <c r="H528">
        <v>0</v>
      </c>
      <c r="I528" s="8">
        <f t="shared" si="33"/>
        <v>-2.06866277687342E-2</v>
      </c>
      <c r="J528" s="8">
        <f t="shared" si="34"/>
        <v>-2.0903593461179662E-2</v>
      </c>
      <c r="K528" s="8">
        <f t="shared" si="31"/>
        <v>-0.18856086323957322</v>
      </c>
    </row>
    <row r="529" spans="1:11" x14ac:dyDescent="0.25">
      <c r="A529" t="str">
        <f t="shared" si="32"/>
        <v>22019</v>
      </c>
      <c r="B529" s="1">
        <v>43514</v>
      </c>
      <c r="C529" t="s">
        <v>342</v>
      </c>
      <c r="D529">
        <v>2681.6</v>
      </c>
      <c r="E529">
        <v>2696.25</v>
      </c>
      <c r="F529">
        <v>2649.25</v>
      </c>
      <c r="G529">
        <v>2652</v>
      </c>
      <c r="H529">
        <v>0</v>
      </c>
      <c r="I529" s="8">
        <f t="shared" si="33"/>
        <v>-9.3758171155354786E-3</v>
      </c>
      <c r="J529" s="8">
        <f t="shared" si="34"/>
        <v>-9.4200467653218784E-3</v>
      </c>
      <c r="K529" s="8">
        <f t="shared" si="31"/>
        <v>-0.18965991383261527</v>
      </c>
    </row>
    <row r="530" spans="1:11" x14ac:dyDescent="0.25">
      <c r="A530" t="str">
        <f t="shared" si="32"/>
        <v>22019</v>
      </c>
      <c r="B530" s="1">
        <v>43515</v>
      </c>
      <c r="C530" t="s">
        <v>343</v>
      </c>
      <c r="D530">
        <v>2654.45</v>
      </c>
      <c r="E530">
        <v>2725.25</v>
      </c>
      <c r="F530">
        <v>2654.2</v>
      </c>
      <c r="G530">
        <v>2689.7</v>
      </c>
      <c r="H530">
        <v>0</v>
      </c>
      <c r="I530" s="8">
        <f t="shared" si="33"/>
        <v>1.4215686274509753E-2</v>
      </c>
      <c r="J530" s="8">
        <f t="shared" si="34"/>
        <v>1.4115590907280906E-2</v>
      </c>
      <c r="K530" s="8">
        <f t="shared" si="31"/>
        <v>-0.16332529745703406</v>
      </c>
    </row>
    <row r="531" spans="1:11" x14ac:dyDescent="0.25">
      <c r="A531" t="str">
        <f t="shared" si="32"/>
        <v>22019</v>
      </c>
      <c r="B531" s="1">
        <v>43516</v>
      </c>
      <c r="C531" t="s">
        <v>344</v>
      </c>
      <c r="D531">
        <v>2701.15</v>
      </c>
      <c r="E531">
        <v>2772.55</v>
      </c>
      <c r="F531">
        <v>2701.15</v>
      </c>
      <c r="G531">
        <v>2765</v>
      </c>
      <c r="H531">
        <v>0</v>
      </c>
      <c r="I531" s="8">
        <f t="shared" si="33"/>
        <v>2.7995687251366475E-2</v>
      </c>
      <c r="J531" s="8">
        <f t="shared" si="34"/>
        <v>2.7610971743401238E-2</v>
      </c>
      <c r="K531" s="8">
        <f t="shared" si="31"/>
        <v>-0.12839264886675283</v>
      </c>
    </row>
    <row r="532" spans="1:11" x14ac:dyDescent="0.25">
      <c r="A532" t="str">
        <f t="shared" si="32"/>
        <v>22019</v>
      </c>
      <c r="B532" s="1">
        <v>43517</v>
      </c>
      <c r="C532" t="s">
        <v>345</v>
      </c>
      <c r="D532">
        <v>2775.5</v>
      </c>
      <c r="E532">
        <v>2805.6</v>
      </c>
      <c r="F532">
        <v>2760.65</v>
      </c>
      <c r="G532">
        <v>2796.15</v>
      </c>
      <c r="H532">
        <v>0</v>
      </c>
      <c r="I532" s="8">
        <f t="shared" si="33"/>
        <v>1.1265822784810142E-2</v>
      </c>
      <c r="J532" s="8">
        <f t="shared" si="34"/>
        <v>1.1202836026929076E-2</v>
      </c>
      <c r="K532" s="8">
        <f t="shared" si="31"/>
        <v>-0.11203734578192726</v>
      </c>
    </row>
    <row r="533" spans="1:11" x14ac:dyDescent="0.25">
      <c r="A533" t="str">
        <f t="shared" si="32"/>
        <v>22019</v>
      </c>
      <c r="B533" s="1">
        <v>43518</v>
      </c>
      <c r="C533" t="s">
        <v>346</v>
      </c>
      <c r="D533">
        <v>2796.75</v>
      </c>
      <c r="E533">
        <v>2846.7</v>
      </c>
      <c r="F533">
        <v>2774.6</v>
      </c>
      <c r="G533">
        <v>2842.2</v>
      </c>
      <c r="H533">
        <v>0</v>
      </c>
      <c r="I533" s="8">
        <f t="shared" si="33"/>
        <v>1.6469073547556334E-2</v>
      </c>
      <c r="J533" s="8">
        <f t="shared" si="34"/>
        <v>1.6334929174396738E-2</v>
      </c>
      <c r="K533" s="8">
        <f t="shared" si="31"/>
        <v>-8.8278693783281015E-2</v>
      </c>
    </row>
    <row r="534" spans="1:11" x14ac:dyDescent="0.25">
      <c r="A534" t="str">
        <f t="shared" si="32"/>
        <v>22019</v>
      </c>
      <c r="B534" s="1">
        <v>43521</v>
      </c>
      <c r="C534" t="s">
        <v>347</v>
      </c>
      <c r="D534">
        <v>2854.1</v>
      </c>
      <c r="E534">
        <v>2871.3</v>
      </c>
      <c r="F534">
        <v>2826.35</v>
      </c>
      <c r="G534">
        <v>2852.1</v>
      </c>
      <c r="H534">
        <v>0</v>
      </c>
      <c r="I534" s="8">
        <f t="shared" si="33"/>
        <v>3.483217226092572E-3</v>
      </c>
      <c r="J534" s="8">
        <f t="shared" si="34"/>
        <v>3.4771648753334538E-3</v>
      </c>
      <c r="K534" s="8">
        <f t="shared" si="31"/>
        <v>-0.10233692658745774</v>
      </c>
    </row>
    <row r="535" spans="1:11" x14ac:dyDescent="0.25">
      <c r="A535" t="str">
        <f t="shared" si="32"/>
        <v>22019</v>
      </c>
      <c r="B535" s="1">
        <v>43522</v>
      </c>
      <c r="C535" t="s">
        <v>348</v>
      </c>
      <c r="D535">
        <v>2808.75</v>
      </c>
      <c r="E535">
        <v>2871.05</v>
      </c>
      <c r="F535">
        <v>2777.3</v>
      </c>
      <c r="G535">
        <v>2854.9</v>
      </c>
      <c r="H535">
        <v>0</v>
      </c>
      <c r="I535" s="8">
        <f t="shared" si="33"/>
        <v>9.8173275831858753E-4</v>
      </c>
      <c r="J535" s="8">
        <f t="shared" si="34"/>
        <v>9.8125117387991658E-4</v>
      </c>
      <c r="K535" s="8">
        <f t="shared" si="31"/>
        <v>-9.7621493480837596E-2</v>
      </c>
    </row>
    <row r="536" spans="1:11" x14ac:dyDescent="0.25">
      <c r="A536" t="str">
        <f t="shared" si="32"/>
        <v>22019</v>
      </c>
      <c r="B536" s="1">
        <v>43523</v>
      </c>
      <c r="C536" t="s">
        <v>349</v>
      </c>
      <c r="D536">
        <v>2874.4</v>
      </c>
      <c r="E536">
        <v>2893.15</v>
      </c>
      <c r="F536">
        <v>2827.4</v>
      </c>
      <c r="G536">
        <v>2846.85</v>
      </c>
      <c r="H536">
        <v>0</v>
      </c>
      <c r="I536" s="8">
        <f t="shared" si="33"/>
        <v>-2.8197134750780339E-3</v>
      </c>
      <c r="J536" s="8">
        <f t="shared" si="34"/>
        <v>-2.8236963559359484E-3</v>
      </c>
      <c r="K536" s="8">
        <f t="shared" si="31"/>
        <v>-0.11803522468516192</v>
      </c>
    </row>
    <row r="537" spans="1:11" x14ac:dyDescent="0.25">
      <c r="A537" t="str">
        <f t="shared" si="32"/>
        <v>22019</v>
      </c>
      <c r="B537" s="1">
        <v>43524</v>
      </c>
      <c r="C537" t="s">
        <v>350</v>
      </c>
      <c r="D537">
        <v>2862.35</v>
      </c>
      <c r="E537">
        <v>2892.05</v>
      </c>
      <c r="F537">
        <v>2845.25</v>
      </c>
      <c r="G537">
        <v>2871.6</v>
      </c>
      <c r="H537">
        <v>0</v>
      </c>
      <c r="I537" s="8">
        <f t="shared" si="33"/>
        <v>8.6938194846934991E-3</v>
      </c>
      <c r="J537" s="8">
        <f t="shared" si="34"/>
        <v>8.656245851289485E-3</v>
      </c>
      <c r="K537" s="8">
        <f t="shared" si="31"/>
        <v>-0.11275895629605603</v>
      </c>
    </row>
    <row r="538" spans="1:11" x14ac:dyDescent="0.25">
      <c r="A538" t="str">
        <f t="shared" si="32"/>
        <v>32019</v>
      </c>
      <c r="B538" s="1">
        <v>43525</v>
      </c>
      <c r="C538" s="10">
        <v>43468.645833333336</v>
      </c>
      <c r="D538">
        <v>2899.5</v>
      </c>
      <c r="E538">
        <v>2925.65</v>
      </c>
      <c r="F538">
        <v>2895</v>
      </c>
      <c r="G538">
        <v>2922.7</v>
      </c>
      <c r="H538">
        <v>0</v>
      </c>
      <c r="I538" s="8">
        <f t="shared" si="33"/>
        <v>1.7794957514974286E-2</v>
      </c>
      <c r="J538" s="8">
        <f t="shared" si="34"/>
        <v>1.7638480861810468E-2</v>
      </c>
      <c r="K538" s="8">
        <f t="shared" si="31"/>
        <v>-6.3117066290550139E-2</v>
      </c>
    </row>
    <row r="539" spans="1:11" x14ac:dyDescent="0.25">
      <c r="A539" t="str">
        <f t="shared" si="32"/>
        <v>32019</v>
      </c>
      <c r="B539" s="1">
        <v>43529</v>
      </c>
      <c r="C539" s="10">
        <v>43588.645833333336</v>
      </c>
      <c r="D539">
        <v>2927.65</v>
      </c>
      <c r="E539">
        <v>3005.55</v>
      </c>
      <c r="F539">
        <v>2918.7</v>
      </c>
      <c r="G539">
        <v>3000.2</v>
      </c>
      <c r="H539">
        <v>0</v>
      </c>
      <c r="I539" s="8">
        <f t="shared" si="33"/>
        <v>2.6516577137578379E-2</v>
      </c>
      <c r="J539" s="8">
        <f t="shared" si="34"/>
        <v>2.6171106530651692E-2</v>
      </c>
      <c r="K539" s="8">
        <f t="shared" si="31"/>
        <v>-2.7613923640370852E-2</v>
      </c>
    </row>
    <row r="540" spans="1:11" x14ac:dyDescent="0.25">
      <c r="A540" t="str">
        <f t="shared" si="32"/>
        <v>32019</v>
      </c>
      <c r="B540" s="1">
        <v>43530</v>
      </c>
      <c r="C540" s="10">
        <v>43619.645833333336</v>
      </c>
      <c r="D540">
        <v>3018.45</v>
      </c>
      <c r="E540">
        <v>3035.7</v>
      </c>
      <c r="F540">
        <v>3004.05</v>
      </c>
      <c r="G540">
        <v>3021.3</v>
      </c>
      <c r="H540">
        <v>0</v>
      </c>
      <c r="I540" s="8">
        <f t="shared" si="33"/>
        <v>7.0328644757018388E-3</v>
      </c>
      <c r="J540" s="8">
        <f t="shared" si="34"/>
        <v>7.0082492274188921E-3</v>
      </c>
      <c r="K540" s="8">
        <f t="shared" si="31"/>
        <v>-1.6247720760614648E-2</v>
      </c>
    </row>
    <row r="541" spans="1:11" x14ac:dyDescent="0.25">
      <c r="A541" t="str">
        <f t="shared" si="32"/>
        <v>32019</v>
      </c>
      <c r="B541" s="1">
        <v>43531</v>
      </c>
      <c r="C541" s="10">
        <v>43649.645833333336</v>
      </c>
      <c r="D541">
        <v>3026.55</v>
      </c>
      <c r="E541">
        <v>3026.55</v>
      </c>
      <c r="F541">
        <v>2977.25</v>
      </c>
      <c r="G541">
        <v>2992.85</v>
      </c>
      <c r="H541">
        <v>0</v>
      </c>
      <c r="I541" s="8">
        <f t="shared" si="33"/>
        <v>-9.4164763512396554E-3</v>
      </c>
      <c r="J541" s="8">
        <f t="shared" si="34"/>
        <v>-9.4610916649311479E-3</v>
      </c>
      <c r="K541" s="8">
        <f t="shared" si="31"/>
        <v>-1.4293948126801181E-2</v>
      </c>
    </row>
    <row r="542" spans="1:11" x14ac:dyDescent="0.25">
      <c r="A542" t="str">
        <f t="shared" si="32"/>
        <v>32019</v>
      </c>
      <c r="B542" s="1">
        <v>43532</v>
      </c>
      <c r="C542" s="10">
        <v>43680.645833333336</v>
      </c>
      <c r="D542">
        <v>2967.85</v>
      </c>
      <c r="E542">
        <v>2975.6</v>
      </c>
      <c r="F542">
        <v>2938.05</v>
      </c>
      <c r="G542">
        <v>2947.95</v>
      </c>
      <c r="H542">
        <v>0</v>
      </c>
      <c r="I542" s="8">
        <f t="shared" si="33"/>
        <v>-1.5002422440149044E-2</v>
      </c>
      <c r="J542" s="8">
        <f t="shared" si="34"/>
        <v>-1.511609714317288E-2</v>
      </c>
      <c r="K542" s="8">
        <f t="shared" si="31"/>
        <v>-3.5151455643379625E-2</v>
      </c>
    </row>
    <row r="543" spans="1:11" x14ac:dyDescent="0.25">
      <c r="A543" t="str">
        <f t="shared" si="32"/>
        <v>32019</v>
      </c>
      <c r="B543" s="1">
        <v>43535</v>
      </c>
      <c r="C543" s="10">
        <v>43772.645833333336</v>
      </c>
      <c r="D543">
        <v>2967.6</v>
      </c>
      <c r="E543">
        <v>3033.95</v>
      </c>
      <c r="F543">
        <v>2961.9</v>
      </c>
      <c r="G543">
        <v>3028.85</v>
      </c>
      <c r="H543">
        <v>0</v>
      </c>
      <c r="I543" s="8">
        <f t="shared" si="33"/>
        <v>2.7442799233365678E-2</v>
      </c>
      <c r="J543" s="8">
        <f t="shared" si="34"/>
        <v>2.7072995992756418E-2</v>
      </c>
      <c r="K543" s="8">
        <f t="shared" si="31"/>
        <v>-3.3258326550805184E-2</v>
      </c>
    </row>
    <row r="544" spans="1:11" x14ac:dyDescent="0.25">
      <c r="A544" t="str">
        <f t="shared" si="32"/>
        <v>32019</v>
      </c>
      <c r="B544" s="1">
        <v>43536</v>
      </c>
      <c r="C544" s="10">
        <v>43802.645833333336</v>
      </c>
      <c r="D544">
        <v>3052.8</v>
      </c>
      <c r="E544">
        <v>3065.8</v>
      </c>
      <c r="F544">
        <v>3036.65</v>
      </c>
      <c r="G544">
        <v>3043.05</v>
      </c>
      <c r="H544">
        <v>0</v>
      </c>
      <c r="I544" s="8">
        <f t="shared" si="33"/>
        <v>4.6882480149232908E-3</v>
      </c>
      <c r="J544" s="8">
        <f t="shared" si="34"/>
        <v>4.6772924085872174E-3</v>
      </c>
      <c r="K544" s="8">
        <f t="shared" si="31"/>
        <v>-2.2784200385356446E-2</v>
      </c>
    </row>
    <row r="545" spans="1:11" x14ac:dyDescent="0.25">
      <c r="A545" t="str">
        <f t="shared" si="32"/>
        <v>32019</v>
      </c>
      <c r="B545" s="1">
        <v>43537</v>
      </c>
      <c r="C545" t="s">
        <v>351</v>
      </c>
      <c r="D545">
        <v>3041.4</v>
      </c>
      <c r="E545">
        <v>3042.45</v>
      </c>
      <c r="F545">
        <v>2977.4</v>
      </c>
      <c r="G545">
        <v>2985.75</v>
      </c>
      <c r="H545">
        <v>0</v>
      </c>
      <c r="I545" s="8">
        <f t="shared" si="33"/>
        <v>-1.8829792477941587E-2</v>
      </c>
      <c r="J545" s="8">
        <f t="shared" si="34"/>
        <v>-1.9009330366911902E-2</v>
      </c>
      <c r="K545" s="8">
        <f t="shared" si="31"/>
        <v>-4.0676659116101965E-2</v>
      </c>
    </row>
    <row r="546" spans="1:11" x14ac:dyDescent="0.25">
      <c r="A546" t="str">
        <f t="shared" si="32"/>
        <v>32019</v>
      </c>
      <c r="B546" s="1">
        <v>43538</v>
      </c>
      <c r="C546" t="s">
        <v>352</v>
      </c>
      <c r="D546">
        <v>2993</v>
      </c>
      <c r="E546">
        <v>3021.25</v>
      </c>
      <c r="F546">
        <v>2982.3</v>
      </c>
      <c r="G546">
        <v>3002.05</v>
      </c>
      <c r="H546">
        <v>0</v>
      </c>
      <c r="I546" s="8">
        <f t="shared" si="33"/>
        <v>5.4592648413296363E-3</v>
      </c>
      <c r="J546" s="8">
        <f t="shared" si="34"/>
        <v>5.4444170691266567E-3</v>
      </c>
      <c r="K546" s="8">
        <f t="shared" si="31"/>
        <v>-5.4502220402506962E-2</v>
      </c>
    </row>
    <row r="547" spans="1:11" x14ac:dyDescent="0.25">
      <c r="A547" t="str">
        <f t="shared" si="32"/>
        <v>32019</v>
      </c>
      <c r="B547" s="1">
        <v>43539</v>
      </c>
      <c r="C547" t="s">
        <v>353</v>
      </c>
      <c r="D547">
        <v>2996.9</v>
      </c>
      <c r="E547">
        <v>3015.15</v>
      </c>
      <c r="F547">
        <v>2973.35</v>
      </c>
      <c r="G547">
        <v>3008.25</v>
      </c>
      <c r="H547">
        <v>0</v>
      </c>
      <c r="I547" s="8">
        <f t="shared" si="33"/>
        <v>2.0652554088038677E-3</v>
      </c>
      <c r="J547" s="8">
        <f t="shared" si="34"/>
        <v>2.0631257006088828E-3</v>
      </c>
      <c r="K547" s="8">
        <f t="shared" si="31"/>
        <v>-5.9378077951315666E-2</v>
      </c>
    </row>
    <row r="548" spans="1:11" x14ac:dyDescent="0.25">
      <c r="A548" t="str">
        <f t="shared" si="32"/>
        <v>32019</v>
      </c>
      <c r="B548" s="1">
        <v>43542</v>
      </c>
      <c r="C548" t="s">
        <v>354</v>
      </c>
      <c r="D548">
        <v>3017.9</v>
      </c>
      <c r="E548">
        <v>3032.4</v>
      </c>
      <c r="F548">
        <v>2988.95</v>
      </c>
      <c r="G548">
        <v>3028.4</v>
      </c>
      <c r="H548">
        <v>0</v>
      </c>
      <c r="I548" s="8">
        <f t="shared" si="33"/>
        <v>6.6982464888223348E-3</v>
      </c>
      <c r="J548" s="8">
        <f t="shared" si="34"/>
        <v>6.6759129108795515E-3</v>
      </c>
      <c r="K548" s="8">
        <f t="shared" si="31"/>
        <v>-5.6911075471404282E-2</v>
      </c>
    </row>
    <row r="549" spans="1:11" x14ac:dyDescent="0.25">
      <c r="A549" t="str">
        <f t="shared" si="32"/>
        <v>32019</v>
      </c>
      <c r="B549" s="1">
        <v>43543</v>
      </c>
      <c r="C549" t="s">
        <v>355</v>
      </c>
      <c r="D549">
        <v>3033.65</v>
      </c>
      <c r="E549">
        <v>3055.2</v>
      </c>
      <c r="F549">
        <v>3014.65</v>
      </c>
      <c r="G549">
        <v>3027.4</v>
      </c>
      <c r="H549">
        <v>0</v>
      </c>
      <c r="I549" s="8">
        <f t="shared" si="33"/>
        <v>-3.3020737022848579E-4</v>
      </c>
      <c r="J549" s="8">
        <f t="shared" si="34"/>
        <v>-3.3026190068673227E-4</v>
      </c>
      <c r="K549" s="8">
        <f t="shared" si="31"/>
        <v>-4.7358318386355736E-2</v>
      </c>
    </row>
    <row r="550" spans="1:11" x14ac:dyDescent="0.25">
      <c r="A550" t="str">
        <f t="shared" si="32"/>
        <v>32019</v>
      </c>
      <c r="B550" s="1">
        <v>43544</v>
      </c>
      <c r="C550" t="s">
        <v>356</v>
      </c>
      <c r="D550">
        <v>3037.65</v>
      </c>
      <c r="E550">
        <v>3038.25</v>
      </c>
      <c r="F550">
        <v>2988</v>
      </c>
      <c r="G550">
        <v>2996.1</v>
      </c>
      <c r="H550">
        <v>0</v>
      </c>
      <c r="I550" s="8">
        <f t="shared" si="33"/>
        <v>-1.0338904670674554E-2</v>
      </c>
      <c r="J550" s="8">
        <f t="shared" si="34"/>
        <v>-1.0392722411266219E-2</v>
      </c>
      <c r="K550" s="8">
        <f t="shared" si="31"/>
        <v>-5.2556683426619899E-2</v>
      </c>
    </row>
    <row r="551" spans="1:11" x14ac:dyDescent="0.25">
      <c r="A551" t="str">
        <f t="shared" si="32"/>
        <v>32019</v>
      </c>
      <c r="B551" s="1">
        <v>43546</v>
      </c>
      <c r="C551" t="s">
        <v>357</v>
      </c>
      <c r="D551">
        <v>2986</v>
      </c>
      <c r="E551">
        <v>3009.8</v>
      </c>
      <c r="F551">
        <v>2976.15</v>
      </c>
      <c r="G551">
        <v>2983.2</v>
      </c>
      <c r="H551">
        <v>0</v>
      </c>
      <c r="I551" s="8">
        <f t="shared" si="33"/>
        <v>-4.3055972764594053E-3</v>
      </c>
      <c r="J551" s="8">
        <f t="shared" si="34"/>
        <v>-4.3148930525876011E-3</v>
      </c>
      <c r="K551" s="8">
        <f t="shared" si="31"/>
        <v>-3.4516238652361753E-2</v>
      </c>
    </row>
    <row r="552" spans="1:11" x14ac:dyDescent="0.25">
      <c r="A552" t="str">
        <f t="shared" si="32"/>
        <v>32019</v>
      </c>
      <c r="B552" s="1">
        <v>43549</v>
      </c>
      <c r="C552" t="s">
        <v>358</v>
      </c>
      <c r="D552">
        <v>2956</v>
      </c>
      <c r="E552">
        <v>2956.4</v>
      </c>
      <c r="F552">
        <v>2920.6</v>
      </c>
      <c r="G552">
        <v>2949.65</v>
      </c>
      <c r="H552">
        <v>0</v>
      </c>
      <c r="I552" s="8">
        <f t="shared" si="33"/>
        <v>-1.1246312684365711E-2</v>
      </c>
      <c r="J552" s="8">
        <f t="shared" si="34"/>
        <v>-1.1310030637306234E-2</v>
      </c>
      <c r="K552" s="8">
        <f t="shared" si="31"/>
        <v>-4.8024012006002925E-2</v>
      </c>
    </row>
    <row r="553" spans="1:11" x14ac:dyDescent="0.25">
      <c r="A553" t="str">
        <f t="shared" si="32"/>
        <v>32019</v>
      </c>
      <c r="B553" s="1">
        <v>43550</v>
      </c>
      <c r="C553" t="s">
        <v>359</v>
      </c>
      <c r="D553">
        <v>2957.45</v>
      </c>
      <c r="E553">
        <v>2989.9</v>
      </c>
      <c r="F553">
        <v>2956.6</v>
      </c>
      <c r="G553">
        <v>2980.6</v>
      </c>
      <c r="H553">
        <v>0</v>
      </c>
      <c r="I553" s="8">
        <f t="shared" si="33"/>
        <v>1.049277032868301E-2</v>
      </c>
      <c r="J553" s="8">
        <f t="shared" si="34"/>
        <v>1.0438103287387604E-2</v>
      </c>
      <c r="K553" s="8">
        <f t="shared" si="31"/>
        <v>-3.5092262868242186E-2</v>
      </c>
    </row>
    <row r="554" spans="1:11" x14ac:dyDescent="0.25">
      <c r="A554" t="str">
        <f t="shared" si="32"/>
        <v>32019</v>
      </c>
      <c r="B554" s="1">
        <v>43551</v>
      </c>
      <c r="C554" t="s">
        <v>360</v>
      </c>
      <c r="D554">
        <v>2992.85</v>
      </c>
      <c r="E554">
        <v>3006.2</v>
      </c>
      <c r="F554">
        <v>2972.75</v>
      </c>
      <c r="G554">
        <v>2982.1</v>
      </c>
      <c r="H554">
        <v>0</v>
      </c>
      <c r="I554" s="8">
        <f t="shared" si="33"/>
        <v>5.0325437831300057E-4</v>
      </c>
      <c r="J554" s="8">
        <f t="shared" si="34"/>
        <v>5.0312778829789389E-4</v>
      </c>
      <c r="K554" s="8">
        <f t="shared" si="31"/>
        <v>-4.1803226013752304E-2</v>
      </c>
    </row>
    <row r="555" spans="1:11" x14ac:dyDescent="0.25">
      <c r="A555" t="str">
        <f t="shared" si="32"/>
        <v>32019</v>
      </c>
      <c r="B555" s="1">
        <v>43552</v>
      </c>
      <c r="C555" t="s">
        <v>361</v>
      </c>
      <c r="D555">
        <v>2980.9</v>
      </c>
      <c r="E555">
        <v>2989.6</v>
      </c>
      <c r="F555">
        <v>2967.75</v>
      </c>
      <c r="G555">
        <v>2973.7</v>
      </c>
      <c r="H555">
        <v>0</v>
      </c>
      <c r="I555" s="8">
        <f t="shared" si="33"/>
        <v>-2.8168069481238067E-3</v>
      </c>
      <c r="J555" s="8">
        <f t="shared" si="34"/>
        <v>-2.8207816144818522E-3</v>
      </c>
      <c r="K555" s="8">
        <f t="shared" si="31"/>
        <v>-5.7344829772395856E-2</v>
      </c>
    </row>
    <row r="556" spans="1:11" x14ac:dyDescent="0.25">
      <c r="A556" t="str">
        <f t="shared" si="32"/>
        <v>32019</v>
      </c>
      <c r="B556" s="1">
        <v>43553</v>
      </c>
      <c r="C556" t="s">
        <v>362</v>
      </c>
      <c r="D556">
        <v>2995.15</v>
      </c>
      <c r="E556">
        <v>3053.15</v>
      </c>
      <c r="F556">
        <v>2990.15</v>
      </c>
      <c r="G556">
        <v>3044.15</v>
      </c>
      <c r="H556">
        <v>0</v>
      </c>
      <c r="I556" s="8">
        <f t="shared" si="33"/>
        <v>2.3691024649426629E-2</v>
      </c>
      <c r="J556" s="8">
        <f t="shared" si="34"/>
        <v>2.3414747345737553E-2</v>
      </c>
      <c r="K556" s="8">
        <f t="shared" si="31"/>
        <v>-2.9056694043537168E-2</v>
      </c>
    </row>
    <row r="557" spans="1:11" x14ac:dyDescent="0.25">
      <c r="A557" t="str">
        <f t="shared" si="32"/>
        <v>42019</v>
      </c>
      <c r="B557" s="1">
        <v>43556</v>
      </c>
      <c r="C557" s="10">
        <v>43469.645833333336</v>
      </c>
      <c r="D557">
        <v>3084.65</v>
      </c>
      <c r="E557">
        <v>3145.95</v>
      </c>
      <c r="F557">
        <v>3082.4</v>
      </c>
      <c r="G557">
        <v>3102.3</v>
      </c>
      <c r="H557">
        <v>0</v>
      </c>
      <c r="I557" s="8">
        <f t="shared" si="33"/>
        <v>1.9102212440254229E-2</v>
      </c>
      <c r="J557" s="8">
        <f t="shared" si="34"/>
        <v>1.8922055824792942E-2</v>
      </c>
      <c r="K557" s="8">
        <f t="shared" si="31"/>
        <v>2.4385411679241908E-2</v>
      </c>
    </row>
    <row r="558" spans="1:11" x14ac:dyDescent="0.25">
      <c r="A558" t="str">
        <f t="shared" si="32"/>
        <v>42019</v>
      </c>
      <c r="B558" s="1">
        <v>43557</v>
      </c>
      <c r="C558" s="10">
        <v>43500.645833333336</v>
      </c>
      <c r="D558">
        <v>3122.85</v>
      </c>
      <c r="E558">
        <v>3122.85</v>
      </c>
      <c r="F558">
        <v>3072.1</v>
      </c>
      <c r="G558">
        <v>3089.1</v>
      </c>
      <c r="H558">
        <v>0</v>
      </c>
      <c r="I558" s="8">
        <f t="shared" si="33"/>
        <v>-4.2549076491635862E-3</v>
      </c>
      <c r="J558" s="8">
        <f t="shared" si="34"/>
        <v>-4.2639855282243034E-3</v>
      </c>
      <c r="K558" s="8">
        <f t="shared" si="31"/>
        <v>4.3473854884475083E-2</v>
      </c>
    </row>
    <row r="559" spans="1:11" x14ac:dyDescent="0.25">
      <c r="A559" t="str">
        <f t="shared" si="32"/>
        <v>42019</v>
      </c>
      <c r="B559" s="1">
        <v>43558</v>
      </c>
      <c r="C559" s="10">
        <v>43528.645833333336</v>
      </c>
      <c r="D559">
        <v>3106.4</v>
      </c>
      <c r="E559">
        <v>3135.35</v>
      </c>
      <c r="F559">
        <v>3077.7</v>
      </c>
      <c r="G559">
        <v>3085</v>
      </c>
      <c r="H559">
        <v>0</v>
      </c>
      <c r="I559" s="8">
        <f t="shared" si="33"/>
        <v>-1.3272474183418925E-3</v>
      </c>
      <c r="J559" s="8">
        <f t="shared" si="34"/>
        <v>-1.3281289913266226E-3</v>
      </c>
      <c r="K559" s="8">
        <f t="shared" si="31"/>
        <v>2.7750941133357854E-2</v>
      </c>
    </row>
    <row r="560" spans="1:11" x14ac:dyDescent="0.25">
      <c r="A560" t="str">
        <f t="shared" si="32"/>
        <v>42019</v>
      </c>
      <c r="B560" s="1">
        <v>43559</v>
      </c>
      <c r="C560" s="10">
        <v>43559.645833333336</v>
      </c>
      <c r="D560">
        <v>3082.9</v>
      </c>
      <c r="E560">
        <v>3091.35</v>
      </c>
      <c r="F560">
        <v>3052.3</v>
      </c>
      <c r="G560">
        <v>3071.9</v>
      </c>
      <c r="H560">
        <v>0</v>
      </c>
      <c r="I560" s="8">
        <f t="shared" si="33"/>
        <v>-4.2463533225283179E-3</v>
      </c>
      <c r="J560" s="8">
        <f t="shared" si="34"/>
        <v>-4.2553946850892536E-3</v>
      </c>
      <c r="K560" s="8">
        <f t="shared" si="31"/>
        <v>2.4957458876914362E-2</v>
      </c>
    </row>
    <row r="561" spans="1:11" x14ac:dyDescent="0.25">
      <c r="A561" t="str">
        <f t="shared" si="32"/>
        <v>42019</v>
      </c>
      <c r="B561" s="1">
        <v>43560</v>
      </c>
      <c r="C561" s="10">
        <v>43589.645833333336</v>
      </c>
      <c r="D561">
        <v>3082.1</v>
      </c>
      <c r="E561">
        <v>3140.05</v>
      </c>
      <c r="F561">
        <v>3073.45</v>
      </c>
      <c r="G561">
        <v>3132.35</v>
      </c>
      <c r="H561">
        <v>0</v>
      </c>
      <c r="I561" s="8">
        <f t="shared" si="33"/>
        <v>1.9678374947101007E-2</v>
      </c>
      <c r="J561" s="8">
        <f t="shared" si="34"/>
        <v>1.9487258893479464E-2</v>
      </c>
      <c r="K561" s="8">
        <f t="shared" si="31"/>
        <v>4.0544131814104878E-2</v>
      </c>
    </row>
    <row r="562" spans="1:11" x14ac:dyDescent="0.25">
      <c r="A562" t="str">
        <f t="shared" si="32"/>
        <v>42019</v>
      </c>
      <c r="B562" s="1">
        <v>43563</v>
      </c>
      <c r="C562" s="10">
        <v>43681.645833333336</v>
      </c>
      <c r="D562">
        <v>3153.8</v>
      </c>
      <c r="E562">
        <v>3162.2</v>
      </c>
      <c r="F562">
        <v>3092.75</v>
      </c>
      <c r="G562">
        <v>3101.7</v>
      </c>
      <c r="H562">
        <v>0</v>
      </c>
      <c r="I562" s="8">
        <f t="shared" si="33"/>
        <v>-9.784985713601646E-3</v>
      </c>
      <c r="J562" s="8">
        <f t="shared" si="34"/>
        <v>-9.8331732871214089E-3</v>
      </c>
      <c r="K562" s="8">
        <f t="shared" si="31"/>
        <v>4.2413039825239363E-2</v>
      </c>
    </row>
    <row r="563" spans="1:11" x14ac:dyDescent="0.25">
      <c r="A563" t="str">
        <f t="shared" si="32"/>
        <v>42019</v>
      </c>
      <c r="B563" s="1">
        <v>43564</v>
      </c>
      <c r="C563" s="10">
        <v>43712.645833333336</v>
      </c>
      <c r="D563">
        <v>3105.25</v>
      </c>
      <c r="E563">
        <v>3139.7</v>
      </c>
      <c r="F563">
        <v>3069.65</v>
      </c>
      <c r="G563">
        <v>3133.65</v>
      </c>
      <c r="H563">
        <v>0</v>
      </c>
      <c r="I563" s="8">
        <f t="shared" si="33"/>
        <v>1.030080278556933E-2</v>
      </c>
      <c r="J563" s="8">
        <f t="shared" si="34"/>
        <v>1.0248111052411031E-2</v>
      </c>
      <c r="K563" s="8">
        <f t="shared" si="31"/>
        <v>5.4266825912157035E-2</v>
      </c>
    </row>
    <row r="564" spans="1:11" x14ac:dyDescent="0.25">
      <c r="A564" t="str">
        <f t="shared" si="32"/>
        <v>42019</v>
      </c>
      <c r="B564" s="1">
        <v>43565</v>
      </c>
      <c r="C564" s="10">
        <v>43742.645833333336</v>
      </c>
      <c r="D564">
        <v>3121.25</v>
      </c>
      <c r="E564">
        <v>3156.35</v>
      </c>
      <c r="F564">
        <v>3098.7</v>
      </c>
      <c r="G564">
        <v>3105.2</v>
      </c>
      <c r="H564">
        <v>0</v>
      </c>
      <c r="I564" s="8">
        <f t="shared" si="33"/>
        <v>-9.0788696887017517E-3</v>
      </c>
      <c r="J564" s="8">
        <f t="shared" si="34"/>
        <v>-9.1203337816428247E-3</v>
      </c>
      <c r="K564" s="8">
        <f t="shared" si="31"/>
        <v>4.5082036180058793E-2</v>
      </c>
    </row>
    <row r="565" spans="1:11" x14ac:dyDescent="0.25">
      <c r="A565" t="str">
        <f t="shared" si="32"/>
        <v>42019</v>
      </c>
      <c r="B565" s="1">
        <v>43566</v>
      </c>
      <c r="C565" s="10">
        <v>43773.645833333336</v>
      </c>
      <c r="D565">
        <v>3099.4</v>
      </c>
      <c r="E565">
        <v>3110.3</v>
      </c>
      <c r="F565">
        <v>3058.45</v>
      </c>
      <c r="G565">
        <v>3067.45</v>
      </c>
      <c r="H565">
        <v>0</v>
      </c>
      <c r="I565" s="8">
        <f t="shared" si="33"/>
        <v>-1.2157026922581471E-2</v>
      </c>
      <c r="J565" s="8">
        <f t="shared" si="34"/>
        <v>-1.223152799780429E-2</v>
      </c>
      <c r="K565" s="8">
        <f t="shared" si="31"/>
        <v>4.3581063840645085E-2</v>
      </c>
    </row>
    <row r="566" spans="1:11" x14ac:dyDescent="0.25">
      <c r="A566" t="str">
        <f t="shared" si="32"/>
        <v>42019</v>
      </c>
      <c r="B566" s="1">
        <v>43567</v>
      </c>
      <c r="C566" s="10">
        <v>43803.645833333336</v>
      </c>
      <c r="D566">
        <v>3072.55</v>
      </c>
      <c r="E566">
        <v>3083.8</v>
      </c>
      <c r="F566">
        <v>3050.7</v>
      </c>
      <c r="G566">
        <v>3071.6</v>
      </c>
      <c r="H566">
        <v>0</v>
      </c>
      <c r="I566" s="8">
        <f t="shared" si="33"/>
        <v>1.3529152879427908E-3</v>
      </c>
      <c r="J566" s="8">
        <f t="shared" si="34"/>
        <v>1.3520009226675432E-3</v>
      </c>
      <c r="K566" s="8">
        <f t="shared" si="31"/>
        <v>2.8563774570538714E-2</v>
      </c>
    </row>
    <row r="567" spans="1:11" x14ac:dyDescent="0.25">
      <c r="A567" t="str">
        <f t="shared" si="32"/>
        <v>42019</v>
      </c>
      <c r="B567" s="1">
        <v>43570</v>
      </c>
      <c r="C567" t="s">
        <v>363</v>
      </c>
      <c r="D567">
        <v>3090.7</v>
      </c>
      <c r="E567">
        <v>3152.95</v>
      </c>
      <c r="F567">
        <v>3087.8</v>
      </c>
      <c r="G567">
        <v>3141.35</v>
      </c>
      <c r="H567">
        <v>0</v>
      </c>
      <c r="I567" s="8">
        <f t="shared" si="33"/>
        <v>2.2708034900377649E-2</v>
      </c>
      <c r="J567" s="8">
        <f t="shared" si="34"/>
        <v>2.245404535551157E-2</v>
      </c>
      <c r="K567" s="8">
        <f t="shared" si="31"/>
        <v>5.8745218314487424E-2</v>
      </c>
    </row>
    <row r="568" spans="1:11" x14ac:dyDescent="0.25">
      <c r="A568" t="str">
        <f t="shared" si="32"/>
        <v>42019</v>
      </c>
      <c r="B568" s="1">
        <v>43571</v>
      </c>
      <c r="C568" t="s">
        <v>364</v>
      </c>
      <c r="D568">
        <v>3154.45</v>
      </c>
      <c r="E568">
        <v>3177.4</v>
      </c>
      <c r="F568">
        <v>3143.7</v>
      </c>
      <c r="G568">
        <v>3149.9</v>
      </c>
      <c r="H568">
        <v>0</v>
      </c>
      <c r="I568" s="8">
        <f t="shared" si="33"/>
        <v>2.7217597529725079E-3</v>
      </c>
      <c r="J568" s="8">
        <f t="shared" si="34"/>
        <v>2.718062472116783E-3</v>
      </c>
      <c r="K568" s="8">
        <f t="shared" si="31"/>
        <v>6.3060022611835853E-2</v>
      </c>
    </row>
    <row r="569" spans="1:11" x14ac:dyDescent="0.25">
      <c r="A569" t="str">
        <f t="shared" si="32"/>
        <v>42019</v>
      </c>
      <c r="B569" s="1">
        <v>43573</v>
      </c>
      <c r="C569" t="s">
        <v>365</v>
      </c>
      <c r="D569">
        <v>3155.55</v>
      </c>
      <c r="E569">
        <v>3158.3</v>
      </c>
      <c r="F569">
        <v>3085.4</v>
      </c>
      <c r="G569">
        <v>3109.85</v>
      </c>
      <c r="H569">
        <v>0</v>
      </c>
      <c r="I569" s="8">
        <f t="shared" si="33"/>
        <v>-1.271468935521769E-2</v>
      </c>
      <c r="J569" s="8">
        <f t="shared" si="34"/>
        <v>-1.279621278516779E-2</v>
      </c>
      <c r="K569" s="8">
        <f t="shared" si="31"/>
        <v>5.1655338000067719E-2</v>
      </c>
    </row>
    <row r="570" spans="1:11" x14ac:dyDescent="0.25">
      <c r="A570" t="str">
        <f t="shared" si="32"/>
        <v>42019</v>
      </c>
      <c r="B570" s="1">
        <v>43577</v>
      </c>
      <c r="C570" t="s">
        <v>366</v>
      </c>
      <c r="D570">
        <v>3105.65</v>
      </c>
      <c r="E570">
        <v>3113.05</v>
      </c>
      <c r="F570">
        <v>3048.25</v>
      </c>
      <c r="G570">
        <v>3054.1</v>
      </c>
      <c r="H570">
        <v>0</v>
      </c>
      <c r="I570" s="8">
        <f t="shared" si="33"/>
        <v>-1.7926909658022128E-2</v>
      </c>
      <c r="J570" s="8">
        <f t="shared" si="34"/>
        <v>-1.8089543313971869E-2</v>
      </c>
      <c r="K570" s="8">
        <f t="shared" si="31"/>
        <v>3.6764206667119215E-2</v>
      </c>
    </row>
    <row r="571" spans="1:11" x14ac:dyDescent="0.25">
      <c r="A571" t="str">
        <f t="shared" si="32"/>
        <v>42019</v>
      </c>
      <c r="B571" s="1">
        <v>43578</v>
      </c>
      <c r="C571" t="s">
        <v>367</v>
      </c>
      <c r="D571">
        <v>3054.75</v>
      </c>
      <c r="E571">
        <v>3077.85</v>
      </c>
      <c r="F571">
        <v>3038.65</v>
      </c>
      <c r="G571">
        <v>3042</v>
      </c>
      <c r="H571">
        <v>0</v>
      </c>
      <c r="I571" s="8">
        <f t="shared" si="33"/>
        <v>-3.9618872990405674E-3</v>
      </c>
      <c r="J571" s="8">
        <f t="shared" si="34"/>
        <v>-3.9697563656389953E-3</v>
      </c>
      <c r="K571" s="8">
        <f t="shared" si="31"/>
        <v>5.6011664034159026E-2</v>
      </c>
    </row>
    <row r="572" spans="1:11" x14ac:dyDescent="0.25">
      <c r="A572" t="str">
        <f t="shared" si="32"/>
        <v>42019</v>
      </c>
      <c r="B572" s="1">
        <v>43579</v>
      </c>
      <c r="C572" t="s">
        <v>368</v>
      </c>
      <c r="D572">
        <v>3050.35</v>
      </c>
      <c r="E572">
        <v>3057.3</v>
      </c>
      <c r="F572">
        <v>3009.3</v>
      </c>
      <c r="G572">
        <v>3047.75</v>
      </c>
      <c r="H572">
        <v>0</v>
      </c>
      <c r="I572" s="8">
        <f t="shared" si="33"/>
        <v>1.8902038132806442E-3</v>
      </c>
      <c r="J572" s="8">
        <f t="shared" si="34"/>
        <v>1.8884196260173613E-3</v>
      </c>
      <c r="K572" s="8">
        <f t="shared" si="31"/>
        <v>5.2072905519693347E-2</v>
      </c>
    </row>
    <row r="573" spans="1:11" x14ac:dyDescent="0.25">
      <c r="A573" t="str">
        <f t="shared" si="32"/>
        <v>42019</v>
      </c>
      <c r="B573" s="1">
        <v>43580</v>
      </c>
      <c r="C573" t="s">
        <v>369</v>
      </c>
      <c r="D573">
        <v>3044.4</v>
      </c>
      <c r="E573">
        <v>3060.9</v>
      </c>
      <c r="F573">
        <v>2985</v>
      </c>
      <c r="G573">
        <v>2991.1</v>
      </c>
      <c r="H573">
        <v>0</v>
      </c>
      <c r="I573" s="8">
        <f t="shared" si="33"/>
        <v>-1.858748256910836E-2</v>
      </c>
      <c r="J573" s="8">
        <f t="shared" si="34"/>
        <v>-1.8762400739963048E-2</v>
      </c>
      <c r="K573" s="8">
        <f t="shared" si="31"/>
        <v>3.3730775876965602E-2</v>
      </c>
    </row>
    <row r="574" spans="1:11" x14ac:dyDescent="0.25">
      <c r="A574" t="str">
        <f t="shared" si="32"/>
        <v>42019</v>
      </c>
      <c r="B574" s="1">
        <v>43581</v>
      </c>
      <c r="C574" t="s">
        <v>370</v>
      </c>
      <c r="D574">
        <v>3016.95</v>
      </c>
      <c r="E574">
        <v>3073</v>
      </c>
      <c r="F574">
        <v>3007.25</v>
      </c>
      <c r="G574">
        <v>3046.65</v>
      </c>
      <c r="H574">
        <v>0</v>
      </c>
      <c r="I574" s="8">
        <f t="shared" si="33"/>
        <v>1.8571762896593347E-2</v>
      </c>
      <c r="J574" s="8">
        <f t="shared" si="34"/>
        <v>1.8401413600311931E-2</v>
      </c>
      <c r="K574" s="8">
        <f t="shared" si="31"/>
        <v>6.6175569981277604E-2</v>
      </c>
    </row>
    <row r="575" spans="1:11" x14ac:dyDescent="0.25">
      <c r="A575" t="str">
        <f t="shared" si="32"/>
        <v>42019</v>
      </c>
      <c r="B575" s="1">
        <v>43585</v>
      </c>
      <c r="C575" t="s">
        <v>371</v>
      </c>
      <c r="D575">
        <v>3048.9</v>
      </c>
      <c r="E575">
        <v>3099.45</v>
      </c>
      <c r="F575">
        <v>2996.4</v>
      </c>
      <c r="G575">
        <v>3089.1</v>
      </c>
      <c r="H575">
        <v>0</v>
      </c>
      <c r="I575" s="8">
        <f t="shared" si="33"/>
        <v>1.3933336615626901E-2</v>
      </c>
      <c r="J575" s="8">
        <f t="shared" si="34"/>
        <v>1.3837160025210349E-2</v>
      </c>
      <c r="K575" s="8">
        <f t="shared" si="31"/>
        <v>9.2655147409935745E-2</v>
      </c>
    </row>
    <row r="576" spans="1:11" x14ac:dyDescent="0.25">
      <c r="A576" t="str">
        <f t="shared" si="32"/>
        <v>52019</v>
      </c>
      <c r="B576" s="1">
        <v>43587</v>
      </c>
      <c r="C576" s="10">
        <v>43501.645833333336</v>
      </c>
      <c r="D576">
        <v>3078.45</v>
      </c>
      <c r="E576">
        <v>3108.95</v>
      </c>
      <c r="F576">
        <v>3063.9</v>
      </c>
      <c r="G576">
        <v>3085.5</v>
      </c>
      <c r="H576">
        <v>0</v>
      </c>
      <c r="I576" s="8">
        <f t="shared" si="33"/>
        <v>-1.1653879770806563E-3</v>
      </c>
      <c r="J576" s="8">
        <f t="shared" si="34"/>
        <v>-1.1660675696932334E-3</v>
      </c>
      <c r="K576" s="8">
        <f t="shared" ref="K576:K639" si="35">+G576/G515-1</f>
        <v>9.0918733537221463E-2</v>
      </c>
    </row>
    <row r="577" spans="1:11" x14ac:dyDescent="0.25">
      <c r="A577" t="str">
        <f t="shared" si="32"/>
        <v>52019</v>
      </c>
      <c r="B577" s="1">
        <v>43588</v>
      </c>
      <c r="C577" s="10">
        <v>43529.645833333336</v>
      </c>
      <c r="D577">
        <v>3090.45</v>
      </c>
      <c r="E577">
        <v>3096.8</v>
      </c>
      <c r="F577">
        <v>3068.25</v>
      </c>
      <c r="G577">
        <v>3081.25</v>
      </c>
      <c r="H577">
        <v>0</v>
      </c>
      <c r="I577" s="8">
        <f t="shared" si="33"/>
        <v>-1.3774104683195176E-3</v>
      </c>
      <c r="J577" s="8">
        <f t="shared" si="34"/>
        <v>-1.3783599701212709E-3</v>
      </c>
      <c r="K577" s="8">
        <f t="shared" si="35"/>
        <v>6.9117468468624654E-2</v>
      </c>
    </row>
    <row r="578" spans="1:11" x14ac:dyDescent="0.25">
      <c r="A578" t="str">
        <f t="shared" si="32"/>
        <v>52019</v>
      </c>
      <c r="B578" s="1">
        <v>43591</v>
      </c>
      <c r="C578" s="10">
        <v>43621.645833333336</v>
      </c>
      <c r="D578">
        <v>3011.75</v>
      </c>
      <c r="E578">
        <v>3034.3</v>
      </c>
      <c r="F578">
        <v>3004.75</v>
      </c>
      <c r="G578">
        <v>3018.75</v>
      </c>
      <c r="H578">
        <v>0</v>
      </c>
      <c r="I578" s="8">
        <f t="shared" si="33"/>
        <v>-2.0283975659229236E-2</v>
      </c>
      <c r="J578" s="8">
        <f t="shared" si="34"/>
        <v>-2.0492520390117449E-2</v>
      </c>
      <c r="K578" s="8">
        <f t="shared" si="35"/>
        <v>3.5289881166726822E-2</v>
      </c>
    </row>
    <row r="579" spans="1:11" x14ac:dyDescent="0.25">
      <c r="A579" t="str">
        <f t="shared" ref="A579:A642" si="36">+MONTH(B579)&amp;YEAR(B579)</f>
        <v>52019</v>
      </c>
      <c r="B579" s="1">
        <v>43592</v>
      </c>
      <c r="C579" s="10">
        <v>43651.791666666664</v>
      </c>
      <c r="D579">
        <v>3042</v>
      </c>
      <c r="E579">
        <v>3061.85</v>
      </c>
      <c r="F579">
        <v>2972.25</v>
      </c>
      <c r="G579">
        <v>2980.4</v>
      </c>
      <c r="H579">
        <v>0</v>
      </c>
      <c r="I579" s="8">
        <f t="shared" si="33"/>
        <v>-1.2703933747411966E-2</v>
      </c>
      <c r="J579" s="8">
        <f t="shared" si="34"/>
        <v>-1.2785318721310336E-2</v>
      </c>
      <c r="K579" s="8">
        <f t="shared" si="35"/>
        <v>5.8512244064425678E-2</v>
      </c>
    </row>
    <row r="580" spans="1:11" x14ac:dyDescent="0.25">
      <c r="A580" t="str">
        <f t="shared" si="36"/>
        <v>52019</v>
      </c>
      <c r="B580" s="1">
        <v>43593</v>
      </c>
      <c r="C580" s="10">
        <v>43682.645833333336</v>
      </c>
      <c r="D580">
        <v>2968.9</v>
      </c>
      <c r="E580">
        <v>2991.1</v>
      </c>
      <c r="F580">
        <v>2949</v>
      </c>
      <c r="G580">
        <v>2959.5</v>
      </c>
      <c r="H580">
        <v>0</v>
      </c>
      <c r="I580" s="8">
        <f t="shared" ref="I580:I643" si="37">+G580/G579-1</f>
        <v>-7.0124815461012346E-3</v>
      </c>
      <c r="J580" s="8">
        <f t="shared" ref="J580:J643" si="38">+LN(1+I580)</f>
        <v>-7.0371845487927518E-3</v>
      </c>
      <c r="K580" s="8">
        <f t="shared" si="35"/>
        <v>5.9063500867791552E-2</v>
      </c>
    </row>
    <row r="581" spans="1:11" x14ac:dyDescent="0.25">
      <c r="A581" t="str">
        <f t="shared" si="36"/>
        <v>52019</v>
      </c>
      <c r="B581" s="1">
        <v>43594</v>
      </c>
      <c r="C581" s="10">
        <v>43713.645833333336</v>
      </c>
      <c r="D581">
        <v>2959.45</v>
      </c>
      <c r="E581">
        <v>2973</v>
      </c>
      <c r="F581">
        <v>2905.1</v>
      </c>
      <c r="G581">
        <v>2917.1</v>
      </c>
      <c r="H581">
        <v>0</v>
      </c>
      <c r="I581" s="8">
        <f t="shared" si="37"/>
        <v>-1.4326744382497036E-2</v>
      </c>
      <c r="J581" s="8">
        <f t="shared" si="38"/>
        <v>-1.4430363054299525E-2</v>
      </c>
      <c r="K581" s="8">
        <f t="shared" si="35"/>
        <v>5.3751399776035713E-2</v>
      </c>
    </row>
    <row r="582" spans="1:11" x14ac:dyDescent="0.25">
      <c r="A582" t="str">
        <f t="shared" si="36"/>
        <v>52019</v>
      </c>
      <c r="B582" s="1">
        <v>43595</v>
      </c>
      <c r="C582" s="10">
        <v>43743.645833333336</v>
      </c>
      <c r="D582">
        <v>2928.95</v>
      </c>
      <c r="E582">
        <v>2944.2</v>
      </c>
      <c r="F582">
        <v>2855.05</v>
      </c>
      <c r="G582">
        <v>2872.5</v>
      </c>
      <c r="H582">
        <v>0</v>
      </c>
      <c r="I582" s="8">
        <f t="shared" si="37"/>
        <v>-1.5289157039525492E-2</v>
      </c>
      <c r="J582" s="8">
        <f t="shared" si="38"/>
        <v>-1.5407241353569384E-2</v>
      </c>
      <c r="K582" s="8">
        <f t="shared" si="35"/>
        <v>1.3960712331668512E-2</v>
      </c>
    </row>
    <row r="583" spans="1:11" x14ac:dyDescent="0.25">
      <c r="A583" t="str">
        <f t="shared" si="36"/>
        <v>52019</v>
      </c>
      <c r="B583" s="1">
        <v>43598</v>
      </c>
      <c r="C583" t="s">
        <v>372</v>
      </c>
      <c r="D583">
        <v>2862.6</v>
      </c>
      <c r="E583">
        <v>2868.3</v>
      </c>
      <c r="F583">
        <v>2805.5</v>
      </c>
      <c r="G583">
        <v>2820.85</v>
      </c>
      <c r="H583">
        <v>0</v>
      </c>
      <c r="I583" s="8">
        <f t="shared" si="37"/>
        <v>-1.7980852915578827E-2</v>
      </c>
      <c r="J583" s="8">
        <f t="shared" si="38"/>
        <v>-1.8144472768446926E-2</v>
      </c>
      <c r="K583" s="8">
        <f t="shared" si="35"/>
        <v>-5.2718809507018571E-3</v>
      </c>
    </row>
    <row r="584" spans="1:11" x14ac:dyDescent="0.25">
      <c r="A584" t="str">
        <f t="shared" si="36"/>
        <v>52019</v>
      </c>
      <c r="B584" s="1">
        <v>43599</v>
      </c>
      <c r="C584" t="s">
        <v>373</v>
      </c>
      <c r="D584">
        <v>2801.5</v>
      </c>
      <c r="E584">
        <v>2852.15</v>
      </c>
      <c r="F584">
        <v>2787.95</v>
      </c>
      <c r="G584">
        <v>2837.9</v>
      </c>
      <c r="H584">
        <v>0</v>
      </c>
      <c r="I584" s="8">
        <f t="shared" si="37"/>
        <v>6.0442774341067373E-3</v>
      </c>
      <c r="J584" s="8">
        <f t="shared" si="38"/>
        <v>6.0260840629710591E-3</v>
      </c>
      <c r="K584" s="8">
        <f t="shared" si="35"/>
        <v>3.5540959678890705E-2</v>
      </c>
    </row>
    <row r="585" spans="1:11" x14ac:dyDescent="0.25">
      <c r="A585" t="str">
        <f t="shared" si="36"/>
        <v>52019</v>
      </c>
      <c r="B585" s="1">
        <v>43600</v>
      </c>
      <c r="C585" t="s">
        <v>374</v>
      </c>
      <c r="D585">
        <v>2845.2</v>
      </c>
      <c r="E585">
        <v>2863.3</v>
      </c>
      <c r="F585">
        <v>2767</v>
      </c>
      <c r="G585">
        <v>2778.4</v>
      </c>
      <c r="H585">
        <v>0</v>
      </c>
      <c r="I585" s="8">
        <f t="shared" si="37"/>
        <v>-2.0966207406885373E-2</v>
      </c>
      <c r="J585" s="8">
        <f t="shared" si="38"/>
        <v>-2.1189119587570682E-2</v>
      </c>
      <c r="K585" s="8">
        <f t="shared" si="35"/>
        <v>1.95215030089535E-2</v>
      </c>
    </row>
    <row r="586" spans="1:11" x14ac:dyDescent="0.25">
      <c r="A586" t="str">
        <f t="shared" si="36"/>
        <v>52019</v>
      </c>
      <c r="B586" s="1">
        <v>43601</v>
      </c>
      <c r="C586" t="s">
        <v>375</v>
      </c>
      <c r="D586">
        <v>2788.2</v>
      </c>
      <c r="E586">
        <v>2819.65</v>
      </c>
      <c r="F586">
        <v>2760.35</v>
      </c>
      <c r="G586">
        <v>2810.85</v>
      </c>
      <c r="H586">
        <v>0</v>
      </c>
      <c r="I586" s="8">
        <f t="shared" si="37"/>
        <v>1.1679383818024691E-2</v>
      </c>
      <c r="J586" s="8">
        <f t="shared" si="38"/>
        <v>1.1611706259920177E-2</v>
      </c>
      <c r="K586" s="8">
        <f t="shared" si="35"/>
        <v>1.5498834877797574E-2</v>
      </c>
    </row>
    <row r="587" spans="1:11" x14ac:dyDescent="0.25">
      <c r="A587" t="str">
        <f t="shared" si="36"/>
        <v>52019</v>
      </c>
      <c r="B587" s="1">
        <v>43602</v>
      </c>
      <c r="C587" t="s">
        <v>376</v>
      </c>
      <c r="D587">
        <v>2800.7</v>
      </c>
      <c r="E587">
        <v>2821.7</v>
      </c>
      <c r="F587">
        <v>2779.2</v>
      </c>
      <c r="G587">
        <v>2807.25</v>
      </c>
      <c r="H587">
        <v>0</v>
      </c>
      <c r="I587" s="8">
        <f t="shared" si="37"/>
        <v>-1.2807513741394105E-3</v>
      </c>
      <c r="J587" s="8">
        <f t="shared" si="38"/>
        <v>-1.2815722371363871E-3</v>
      </c>
      <c r="K587" s="8">
        <f t="shared" si="35"/>
        <v>2.3908523908523938E-2</v>
      </c>
    </row>
    <row r="588" spans="1:11" x14ac:dyDescent="0.25">
      <c r="A588" t="str">
        <f t="shared" si="36"/>
        <v>52019</v>
      </c>
      <c r="B588" s="1">
        <v>43605</v>
      </c>
      <c r="C588" t="s">
        <v>377</v>
      </c>
      <c r="D588">
        <v>2875</v>
      </c>
      <c r="E588">
        <v>2927.7</v>
      </c>
      <c r="F588">
        <v>2856.65</v>
      </c>
      <c r="G588">
        <v>2899.15</v>
      </c>
      <c r="H588">
        <v>0</v>
      </c>
      <c r="I588" s="8">
        <f t="shared" si="37"/>
        <v>3.2736663995012849E-2</v>
      </c>
      <c r="J588" s="8">
        <f t="shared" si="38"/>
        <v>3.2212234110430421E-2</v>
      </c>
      <c r="K588" s="8">
        <f t="shared" si="35"/>
        <v>6.0541766502661298E-2</v>
      </c>
    </row>
    <row r="589" spans="1:11" x14ac:dyDescent="0.25">
      <c r="A589" t="str">
        <f t="shared" si="36"/>
        <v>52019</v>
      </c>
      <c r="B589" s="1">
        <v>43606</v>
      </c>
      <c r="C589" t="s">
        <v>378</v>
      </c>
      <c r="D589">
        <v>2912.55</v>
      </c>
      <c r="E589">
        <v>2913</v>
      </c>
      <c r="F589">
        <v>2839.2</v>
      </c>
      <c r="G589">
        <v>2854.25</v>
      </c>
      <c r="H589">
        <v>0</v>
      </c>
      <c r="I589" s="8">
        <f t="shared" si="37"/>
        <v>-1.548729800113835E-2</v>
      </c>
      <c r="J589" s="8">
        <f t="shared" si="38"/>
        <v>-1.5608479006642053E-2</v>
      </c>
      <c r="K589" s="8">
        <f t="shared" si="35"/>
        <v>6.6172350677972558E-2</v>
      </c>
    </row>
    <row r="590" spans="1:11" x14ac:dyDescent="0.25">
      <c r="A590" t="str">
        <f t="shared" si="36"/>
        <v>52019</v>
      </c>
      <c r="B590" s="1">
        <v>43607</v>
      </c>
      <c r="C590" t="s">
        <v>379</v>
      </c>
      <c r="D590">
        <v>2852.2</v>
      </c>
      <c r="E590">
        <v>2879.15</v>
      </c>
      <c r="F590">
        <v>2826.4</v>
      </c>
      <c r="G590">
        <v>2864.45</v>
      </c>
      <c r="H590">
        <v>0</v>
      </c>
      <c r="I590" s="8">
        <f t="shared" si="37"/>
        <v>3.5736182885170997E-3</v>
      </c>
      <c r="J590" s="8">
        <f t="shared" si="38"/>
        <v>3.5672480866167878E-3</v>
      </c>
      <c r="K590" s="8">
        <f t="shared" si="35"/>
        <v>8.0109351432880782E-2</v>
      </c>
    </row>
    <row r="591" spans="1:11" x14ac:dyDescent="0.25">
      <c r="A591" t="str">
        <f t="shared" si="36"/>
        <v>52019</v>
      </c>
      <c r="B591" s="1">
        <v>43608</v>
      </c>
      <c r="C591" t="s">
        <v>380</v>
      </c>
      <c r="D591">
        <v>2904.8</v>
      </c>
      <c r="E591">
        <v>2910.35</v>
      </c>
      <c r="F591">
        <v>2811.15</v>
      </c>
      <c r="G591">
        <v>2822</v>
      </c>
      <c r="H591">
        <v>0</v>
      </c>
      <c r="I591" s="8">
        <f t="shared" si="37"/>
        <v>-1.4819598875874918E-2</v>
      </c>
      <c r="J591" s="8">
        <f t="shared" si="38"/>
        <v>-1.4930506230294023E-2</v>
      </c>
      <c r="K591" s="8">
        <f t="shared" si="35"/>
        <v>4.9187641744432575E-2</v>
      </c>
    </row>
    <row r="592" spans="1:11" x14ac:dyDescent="0.25">
      <c r="A592" t="str">
        <f t="shared" si="36"/>
        <v>52019</v>
      </c>
      <c r="B592" s="1">
        <v>43609</v>
      </c>
      <c r="C592" t="s">
        <v>381</v>
      </c>
      <c r="D592">
        <v>2839.45</v>
      </c>
      <c r="E592">
        <v>2910.6</v>
      </c>
      <c r="F592">
        <v>2804.35</v>
      </c>
      <c r="G592">
        <v>2904.3</v>
      </c>
      <c r="H592">
        <v>0</v>
      </c>
      <c r="I592" s="8">
        <f t="shared" si="37"/>
        <v>2.9163713678242553E-2</v>
      </c>
      <c r="J592" s="8">
        <f t="shared" si="38"/>
        <v>2.8746543981376375E-2</v>
      </c>
      <c r="K592" s="8">
        <f t="shared" si="35"/>
        <v>5.0379746835442996E-2</v>
      </c>
    </row>
    <row r="593" spans="1:11" x14ac:dyDescent="0.25">
      <c r="A593" t="str">
        <f t="shared" si="36"/>
        <v>52019</v>
      </c>
      <c r="B593" s="1">
        <v>43612</v>
      </c>
      <c r="C593" t="s">
        <v>382</v>
      </c>
      <c r="D593">
        <v>2898.45</v>
      </c>
      <c r="E593">
        <v>2972.55</v>
      </c>
      <c r="F593">
        <v>2887.4</v>
      </c>
      <c r="G593">
        <v>2965.7</v>
      </c>
      <c r="H593">
        <v>0</v>
      </c>
      <c r="I593" s="8">
        <f t="shared" si="37"/>
        <v>2.1141066694212007E-2</v>
      </c>
      <c r="J593" s="8">
        <f t="shared" si="38"/>
        <v>2.0920694863090516E-2</v>
      </c>
      <c r="K593" s="8">
        <f t="shared" si="35"/>
        <v>6.0636947231013982E-2</v>
      </c>
    </row>
    <row r="594" spans="1:11" x14ac:dyDescent="0.25">
      <c r="A594" t="str">
        <f t="shared" si="36"/>
        <v>52019</v>
      </c>
      <c r="B594" s="1">
        <v>43613</v>
      </c>
      <c r="C594" t="s">
        <v>383</v>
      </c>
      <c r="D594">
        <v>2972</v>
      </c>
      <c r="E594">
        <v>3020.85</v>
      </c>
      <c r="F594">
        <v>2969.3</v>
      </c>
      <c r="G594">
        <v>2992.95</v>
      </c>
      <c r="H594">
        <v>0</v>
      </c>
      <c r="I594" s="8">
        <f t="shared" si="37"/>
        <v>9.1883872272988665E-3</v>
      </c>
      <c r="J594" s="8">
        <f t="shared" si="38"/>
        <v>9.1464308094235686E-3</v>
      </c>
      <c r="K594" s="8">
        <f t="shared" si="35"/>
        <v>5.3039898670044439E-2</v>
      </c>
    </row>
    <row r="595" spans="1:11" x14ac:dyDescent="0.25">
      <c r="A595" t="str">
        <f t="shared" si="36"/>
        <v>52019</v>
      </c>
      <c r="B595" s="1">
        <v>43614</v>
      </c>
      <c r="C595" t="s">
        <v>384</v>
      </c>
      <c r="D595">
        <v>2985.1</v>
      </c>
      <c r="E595">
        <v>2986.85</v>
      </c>
      <c r="F595">
        <v>2927.85</v>
      </c>
      <c r="G595">
        <v>2937.3</v>
      </c>
      <c r="H595">
        <v>0</v>
      </c>
      <c r="I595" s="8">
        <f t="shared" si="37"/>
        <v>-1.859369518368148E-2</v>
      </c>
      <c r="J595" s="8">
        <f t="shared" si="38"/>
        <v>-1.8768731038514015E-2</v>
      </c>
      <c r="K595" s="8">
        <f t="shared" si="35"/>
        <v>2.9872725360260866E-2</v>
      </c>
    </row>
    <row r="596" spans="1:11" x14ac:dyDescent="0.25">
      <c r="A596" t="str">
        <f t="shared" si="36"/>
        <v>52019</v>
      </c>
      <c r="B596" s="1">
        <v>43615</v>
      </c>
      <c r="C596" t="s">
        <v>385</v>
      </c>
      <c r="D596">
        <v>2939.1</v>
      </c>
      <c r="E596">
        <v>2946.65</v>
      </c>
      <c r="F596">
        <v>2914.3</v>
      </c>
      <c r="G596">
        <v>2924.5</v>
      </c>
      <c r="H596">
        <v>0</v>
      </c>
      <c r="I596" s="8">
        <f t="shared" si="37"/>
        <v>-4.3577435059408698E-3</v>
      </c>
      <c r="J596" s="8">
        <f t="shared" si="38"/>
        <v>-4.3672661450549219E-3</v>
      </c>
      <c r="K596" s="8">
        <f t="shared" si="35"/>
        <v>2.4379137623034008E-2</v>
      </c>
    </row>
    <row r="597" spans="1:11" x14ac:dyDescent="0.25">
      <c r="A597" t="str">
        <f t="shared" si="36"/>
        <v>52019</v>
      </c>
      <c r="B597" s="1">
        <v>43616</v>
      </c>
      <c r="C597" t="s">
        <v>386</v>
      </c>
      <c r="D597">
        <v>2953.55</v>
      </c>
      <c r="E597">
        <v>2965.65</v>
      </c>
      <c r="F597">
        <v>2875.1</v>
      </c>
      <c r="G597">
        <v>2900.4</v>
      </c>
      <c r="H597">
        <v>0</v>
      </c>
      <c r="I597" s="8">
        <f t="shared" si="37"/>
        <v>-8.2407249102410818E-3</v>
      </c>
      <c r="J597" s="8">
        <f t="shared" si="38"/>
        <v>-8.2748673856428527E-3</v>
      </c>
      <c r="K597" s="8">
        <f t="shared" si="35"/>
        <v>1.8810263975973518E-2</v>
      </c>
    </row>
    <row r="598" spans="1:11" x14ac:dyDescent="0.25">
      <c r="A598" t="str">
        <f t="shared" si="36"/>
        <v>62019</v>
      </c>
      <c r="B598" s="1">
        <v>43619</v>
      </c>
      <c r="C598" s="10">
        <v>43530.645833333336</v>
      </c>
      <c r="D598">
        <v>2905</v>
      </c>
      <c r="E598">
        <v>2956.8</v>
      </c>
      <c r="F598">
        <v>2886.3</v>
      </c>
      <c r="G598">
        <v>2951.25</v>
      </c>
      <c r="H598">
        <v>0</v>
      </c>
      <c r="I598" s="8">
        <f t="shared" si="37"/>
        <v>1.7532064542821635E-2</v>
      </c>
      <c r="J598" s="8">
        <f t="shared" si="38"/>
        <v>1.7380150902284994E-2</v>
      </c>
      <c r="K598" s="8">
        <f t="shared" si="35"/>
        <v>2.7737150020894275E-2</v>
      </c>
    </row>
    <row r="599" spans="1:11" x14ac:dyDescent="0.25">
      <c r="A599" t="str">
        <f t="shared" si="36"/>
        <v>62019</v>
      </c>
      <c r="B599" s="1">
        <v>43620</v>
      </c>
      <c r="C599" s="10">
        <v>43561.645833333336</v>
      </c>
      <c r="D599">
        <v>2942.1</v>
      </c>
      <c r="E599">
        <v>2973.6</v>
      </c>
      <c r="F599">
        <v>2937.85</v>
      </c>
      <c r="G599">
        <v>2956.4</v>
      </c>
      <c r="H599">
        <v>0</v>
      </c>
      <c r="I599" s="8">
        <f t="shared" si="37"/>
        <v>1.7450232952138656E-3</v>
      </c>
      <c r="J599" s="8">
        <f t="shared" si="38"/>
        <v>1.7435025110089865E-3</v>
      </c>
      <c r="K599" s="8">
        <f t="shared" si="35"/>
        <v>1.1530434187566385E-2</v>
      </c>
    </row>
    <row r="600" spans="1:11" x14ac:dyDescent="0.25">
      <c r="A600" t="str">
        <f t="shared" si="36"/>
        <v>62019</v>
      </c>
      <c r="B600" s="1">
        <v>43622</v>
      </c>
      <c r="C600" s="10">
        <v>43622.645833333336</v>
      </c>
      <c r="D600">
        <v>2959.45</v>
      </c>
      <c r="E600">
        <v>2966.9</v>
      </c>
      <c r="F600">
        <v>2911.8</v>
      </c>
      <c r="G600">
        <v>2923.05</v>
      </c>
      <c r="H600">
        <v>0</v>
      </c>
      <c r="I600" s="8">
        <f t="shared" si="37"/>
        <v>-1.1280611554593367E-2</v>
      </c>
      <c r="J600" s="8">
        <f t="shared" si="38"/>
        <v>-1.1344720232478492E-2</v>
      </c>
      <c r="K600" s="8">
        <f t="shared" si="35"/>
        <v>-2.5714952336510777E-2</v>
      </c>
    </row>
    <row r="601" spans="1:11" x14ac:dyDescent="0.25">
      <c r="A601" t="str">
        <f t="shared" si="36"/>
        <v>62019</v>
      </c>
      <c r="B601" s="1">
        <v>43623</v>
      </c>
      <c r="C601" s="10">
        <v>43652.645833333336</v>
      </c>
      <c r="D601">
        <v>2921.25</v>
      </c>
      <c r="E601">
        <v>2952.15</v>
      </c>
      <c r="F601">
        <v>2892.7</v>
      </c>
      <c r="G601">
        <v>2906.95</v>
      </c>
      <c r="H601">
        <v>0</v>
      </c>
      <c r="I601" s="8">
        <f t="shared" si="37"/>
        <v>-5.5079454679188844E-3</v>
      </c>
      <c r="J601" s="8">
        <f t="shared" si="38"/>
        <v>-5.5231701296977465E-3</v>
      </c>
      <c r="K601" s="8">
        <f t="shared" si="35"/>
        <v>-3.7847946248303788E-2</v>
      </c>
    </row>
    <row r="602" spans="1:11" x14ac:dyDescent="0.25">
      <c r="A602" t="str">
        <f t="shared" si="36"/>
        <v>62019</v>
      </c>
      <c r="B602" s="1">
        <v>43626</v>
      </c>
      <c r="C602" s="10">
        <v>43744.645833333336</v>
      </c>
      <c r="D602">
        <v>2935.35</v>
      </c>
      <c r="E602">
        <v>2954.1</v>
      </c>
      <c r="F602">
        <v>2890.6</v>
      </c>
      <c r="G602">
        <v>2912.25</v>
      </c>
      <c r="H602">
        <v>0</v>
      </c>
      <c r="I602" s="8">
        <f t="shared" si="37"/>
        <v>1.8232167735943161E-3</v>
      </c>
      <c r="J602" s="8">
        <f t="shared" si="38"/>
        <v>1.8215567313308902E-3</v>
      </c>
      <c r="K602" s="8">
        <f t="shared" si="35"/>
        <v>-2.6930851863608218E-2</v>
      </c>
    </row>
    <row r="603" spans="1:11" x14ac:dyDescent="0.25">
      <c r="A603" t="str">
        <f t="shared" si="36"/>
        <v>62019</v>
      </c>
      <c r="B603" s="1">
        <v>43627</v>
      </c>
      <c r="C603" s="10">
        <v>43775.645833333336</v>
      </c>
      <c r="D603">
        <v>2926.35</v>
      </c>
      <c r="E603">
        <v>2955.95</v>
      </c>
      <c r="F603">
        <v>2906.7</v>
      </c>
      <c r="G603">
        <v>2950.65</v>
      </c>
      <c r="H603">
        <v>0</v>
      </c>
      <c r="I603" s="8">
        <f t="shared" si="37"/>
        <v>1.3185681174349817E-2</v>
      </c>
      <c r="J603" s="8">
        <f t="shared" si="38"/>
        <v>1.309950676596151E-2</v>
      </c>
      <c r="K603" s="8">
        <f t="shared" si="35"/>
        <v>9.1589070370945436E-4</v>
      </c>
    </row>
    <row r="604" spans="1:11" x14ac:dyDescent="0.25">
      <c r="A604" t="str">
        <f t="shared" si="36"/>
        <v>62019</v>
      </c>
      <c r="B604" s="1">
        <v>43628</v>
      </c>
      <c r="C604" s="10">
        <v>43805.645833333336</v>
      </c>
      <c r="D604">
        <v>2950.85</v>
      </c>
      <c r="E604">
        <v>2997.2</v>
      </c>
      <c r="F604">
        <v>2942.75</v>
      </c>
      <c r="G604">
        <v>2962.1</v>
      </c>
      <c r="H604">
        <v>0</v>
      </c>
      <c r="I604" s="8">
        <f t="shared" si="37"/>
        <v>3.8805009065798757E-3</v>
      </c>
      <c r="J604" s="8">
        <f t="shared" si="38"/>
        <v>3.8729911843234581E-3</v>
      </c>
      <c r="K604" s="8">
        <f t="shared" si="35"/>
        <v>-2.2038067253247973E-2</v>
      </c>
    </row>
    <row r="605" spans="1:11" x14ac:dyDescent="0.25">
      <c r="A605" t="str">
        <f t="shared" si="36"/>
        <v>62019</v>
      </c>
      <c r="B605" s="1">
        <v>43629</v>
      </c>
      <c r="C605" t="s">
        <v>387</v>
      </c>
      <c r="D605">
        <v>2956.6</v>
      </c>
      <c r="E605">
        <v>2960.65</v>
      </c>
      <c r="F605">
        <v>2914.8</v>
      </c>
      <c r="G605">
        <v>2955.95</v>
      </c>
      <c r="H605">
        <v>0</v>
      </c>
      <c r="I605" s="8">
        <f t="shared" si="37"/>
        <v>-2.0762297019006892E-3</v>
      </c>
      <c r="J605" s="8">
        <f t="shared" si="38"/>
        <v>-2.0783880547966091E-3</v>
      </c>
      <c r="K605" s="8">
        <f t="shared" si="35"/>
        <v>-2.8622599037150365E-2</v>
      </c>
    </row>
    <row r="606" spans="1:11" x14ac:dyDescent="0.25">
      <c r="A606" t="str">
        <f t="shared" si="36"/>
        <v>62019</v>
      </c>
      <c r="B606" s="1">
        <v>43630</v>
      </c>
      <c r="C606" t="s">
        <v>388</v>
      </c>
      <c r="D606">
        <v>2946.15</v>
      </c>
      <c r="E606">
        <v>2975.55</v>
      </c>
      <c r="F606">
        <v>2926.25</v>
      </c>
      <c r="G606">
        <v>2944.9</v>
      </c>
      <c r="H606">
        <v>0</v>
      </c>
      <c r="I606" s="8">
        <f t="shared" si="37"/>
        <v>-3.7382229063414041E-3</v>
      </c>
      <c r="J606" s="8">
        <f t="shared" si="38"/>
        <v>-3.7452275235861482E-3</v>
      </c>
      <c r="K606" s="8">
        <f t="shared" si="35"/>
        <v>-1.36816545256635E-2</v>
      </c>
    </row>
    <row r="607" spans="1:11" x14ac:dyDescent="0.25">
      <c r="A607" t="str">
        <f t="shared" si="36"/>
        <v>62019</v>
      </c>
      <c r="B607" s="1">
        <v>43633</v>
      </c>
      <c r="C607" t="s">
        <v>389</v>
      </c>
      <c r="D607">
        <v>2940.9</v>
      </c>
      <c r="E607">
        <v>2941.35</v>
      </c>
      <c r="F607">
        <v>2855.35</v>
      </c>
      <c r="G607">
        <v>2860.5</v>
      </c>
      <c r="H607">
        <v>0</v>
      </c>
      <c r="I607" s="8">
        <f t="shared" si="37"/>
        <v>-2.8659716798533075E-2</v>
      </c>
      <c r="J607" s="8">
        <f t="shared" si="38"/>
        <v>-2.9078425943205075E-2</v>
      </c>
      <c r="K607" s="8">
        <f t="shared" si="35"/>
        <v>-4.715111340583944E-2</v>
      </c>
    </row>
    <row r="608" spans="1:11" x14ac:dyDescent="0.25">
      <c r="A608" t="str">
        <f t="shared" si="36"/>
        <v>62019</v>
      </c>
      <c r="B608" s="1">
        <v>43634</v>
      </c>
      <c r="C608" t="s">
        <v>390</v>
      </c>
      <c r="D608">
        <v>2861.9</v>
      </c>
      <c r="E608">
        <v>2892.05</v>
      </c>
      <c r="F608">
        <v>2838.3</v>
      </c>
      <c r="G608">
        <v>2874.9</v>
      </c>
      <c r="H608">
        <v>0</v>
      </c>
      <c r="I608" s="8">
        <f t="shared" si="37"/>
        <v>5.0340849501835372E-3</v>
      </c>
      <c r="J608" s="8">
        <f t="shared" si="38"/>
        <v>5.0214563092427561E-3</v>
      </c>
      <c r="K608" s="8">
        <f t="shared" si="35"/>
        <v>-4.4328097731239025E-2</v>
      </c>
    </row>
    <row r="609" spans="1:11" x14ac:dyDescent="0.25">
      <c r="A609" t="str">
        <f t="shared" si="36"/>
        <v>62019</v>
      </c>
      <c r="B609" s="1">
        <v>43635</v>
      </c>
      <c r="C609" t="s">
        <v>391</v>
      </c>
      <c r="D609">
        <v>2906.85</v>
      </c>
      <c r="E609">
        <v>2935.4</v>
      </c>
      <c r="F609">
        <v>2856.8</v>
      </c>
      <c r="G609">
        <v>2886.3</v>
      </c>
      <c r="H609">
        <v>0</v>
      </c>
      <c r="I609" s="8">
        <f t="shared" si="37"/>
        <v>3.9653553167067201E-3</v>
      </c>
      <c r="J609" s="8">
        <f t="shared" si="38"/>
        <v>3.9575140175024661E-3</v>
      </c>
      <c r="K609" s="8">
        <f t="shared" si="35"/>
        <v>-4.6922467309470361E-2</v>
      </c>
    </row>
    <row r="610" spans="1:11" x14ac:dyDescent="0.25">
      <c r="A610" t="str">
        <f t="shared" si="36"/>
        <v>62019</v>
      </c>
      <c r="B610" s="1">
        <v>43636</v>
      </c>
      <c r="C610" t="s">
        <v>392</v>
      </c>
      <c r="D610">
        <v>2884.1</v>
      </c>
      <c r="E610">
        <v>2944.1</v>
      </c>
      <c r="F610">
        <v>2870.35</v>
      </c>
      <c r="G610">
        <v>2940.1</v>
      </c>
      <c r="H610">
        <v>0</v>
      </c>
      <c r="I610" s="8">
        <f t="shared" si="37"/>
        <v>1.8639781034542446E-2</v>
      </c>
      <c r="J610" s="8">
        <f t="shared" si="38"/>
        <v>1.8468189324391249E-2</v>
      </c>
      <c r="K610" s="8">
        <f t="shared" si="35"/>
        <v>-2.8836625487216772E-2</v>
      </c>
    </row>
    <row r="611" spans="1:11" x14ac:dyDescent="0.25">
      <c r="A611" t="str">
        <f t="shared" si="36"/>
        <v>62019</v>
      </c>
      <c r="B611" s="1">
        <v>43637</v>
      </c>
      <c r="C611" t="s">
        <v>393</v>
      </c>
      <c r="D611">
        <v>2932.7</v>
      </c>
      <c r="E611">
        <v>2952.6</v>
      </c>
      <c r="F611">
        <v>2919.65</v>
      </c>
      <c r="G611">
        <v>2930.2</v>
      </c>
      <c r="H611">
        <v>0</v>
      </c>
      <c r="I611" s="8">
        <f t="shared" si="37"/>
        <v>-3.3672324070610493E-3</v>
      </c>
      <c r="J611" s="8">
        <f t="shared" si="38"/>
        <v>-3.3729142925073138E-3</v>
      </c>
      <c r="K611" s="8">
        <f t="shared" si="35"/>
        <v>-2.1995260505323633E-2</v>
      </c>
    </row>
    <row r="612" spans="1:11" x14ac:dyDescent="0.25">
      <c r="A612" t="str">
        <f t="shared" si="36"/>
        <v>62019</v>
      </c>
      <c r="B612" s="1">
        <v>43640</v>
      </c>
      <c r="C612" t="s">
        <v>394</v>
      </c>
      <c r="D612">
        <v>2932.85</v>
      </c>
      <c r="E612">
        <v>2949.6</v>
      </c>
      <c r="F612">
        <v>2887.05</v>
      </c>
      <c r="G612">
        <v>2892.45</v>
      </c>
      <c r="H612">
        <v>0</v>
      </c>
      <c r="I612" s="8">
        <f t="shared" si="37"/>
        <v>-1.2883079653265961E-2</v>
      </c>
      <c r="J612" s="8">
        <f t="shared" si="38"/>
        <v>-1.2966786233488894E-2</v>
      </c>
      <c r="K612" s="8">
        <f t="shared" si="35"/>
        <v>-3.0420353982300918E-2</v>
      </c>
    </row>
    <row r="613" spans="1:11" x14ac:dyDescent="0.25">
      <c r="A613" t="str">
        <f t="shared" si="36"/>
        <v>62019</v>
      </c>
      <c r="B613" s="1">
        <v>43641</v>
      </c>
      <c r="C613" t="s">
        <v>395</v>
      </c>
      <c r="D613">
        <v>2862.55</v>
      </c>
      <c r="E613">
        <v>2946.6</v>
      </c>
      <c r="F613">
        <v>2854.9</v>
      </c>
      <c r="G613">
        <v>2942.65</v>
      </c>
      <c r="H613">
        <v>0</v>
      </c>
      <c r="I613" s="8">
        <f t="shared" si="37"/>
        <v>1.735552904976756E-2</v>
      </c>
      <c r="J613" s="8">
        <f t="shared" si="38"/>
        <v>1.7206642061744774E-2</v>
      </c>
      <c r="K613" s="8">
        <f t="shared" si="35"/>
        <v>-2.3731629176343416E-3</v>
      </c>
    </row>
    <row r="614" spans="1:11" x14ac:dyDescent="0.25">
      <c r="A614" t="str">
        <f t="shared" si="36"/>
        <v>62019</v>
      </c>
      <c r="B614" s="1">
        <v>43642</v>
      </c>
      <c r="C614" t="s">
        <v>396</v>
      </c>
      <c r="D614">
        <v>2927.25</v>
      </c>
      <c r="E614">
        <v>3028.9</v>
      </c>
      <c r="F614">
        <v>2924.15</v>
      </c>
      <c r="G614">
        <v>3022.95</v>
      </c>
      <c r="H614">
        <v>0</v>
      </c>
      <c r="I614" s="8">
        <f t="shared" si="37"/>
        <v>2.7288328547397711E-2</v>
      </c>
      <c r="J614" s="8">
        <f t="shared" si="38"/>
        <v>2.6922639886139379E-2</v>
      </c>
      <c r="K614" s="8">
        <f t="shared" si="35"/>
        <v>1.4208548614372818E-2</v>
      </c>
    </row>
    <row r="615" spans="1:11" x14ac:dyDescent="0.25">
      <c r="A615" t="str">
        <f t="shared" si="36"/>
        <v>62019</v>
      </c>
      <c r="B615" s="1">
        <v>43643</v>
      </c>
      <c r="C615" t="s">
        <v>397</v>
      </c>
      <c r="D615">
        <v>3027.5</v>
      </c>
      <c r="E615">
        <v>3044.5</v>
      </c>
      <c r="F615">
        <v>3004.65</v>
      </c>
      <c r="G615">
        <v>3014.2</v>
      </c>
      <c r="H615">
        <v>0</v>
      </c>
      <c r="I615" s="8">
        <f t="shared" si="37"/>
        <v>-2.8945235614218356E-3</v>
      </c>
      <c r="J615" s="8">
        <f t="shared" si="38"/>
        <v>-2.89872079603196E-3</v>
      </c>
      <c r="K615" s="8">
        <f t="shared" si="35"/>
        <v>1.0764226551758904E-2</v>
      </c>
    </row>
    <row r="616" spans="1:11" x14ac:dyDescent="0.25">
      <c r="A616" t="str">
        <f t="shared" si="36"/>
        <v>62019</v>
      </c>
      <c r="B616" s="1">
        <v>43644</v>
      </c>
      <c r="C616" t="s">
        <v>398</v>
      </c>
      <c r="D616">
        <v>3014.7</v>
      </c>
      <c r="E616">
        <v>3024.55</v>
      </c>
      <c r="F616">
        <v>2960.35</v>
      </c>
      <c r="G616">
        <v>2980.2</v>
      </c>
      <c r="H616">
        <v>0</v>
      </c>
      <c r="I616" s="8">
        <f t="shared" si="37"/>
        <v>-1.1279941609714017E-2</v>
      </c>
      <c r="J616" s="8">
        <f t="shared" si="38"/>
        <v>-1.1344042644216134E-2</v>
      </c>
      <c r="K616" s="8">
        <f t="shared" si="35"/>
        <v>2.1858291017924358E-3</v>
      </c>
    </row>
    <row r="617" spans="1:11" x14ac:dyDescent="0.25">
      <c r="A617" t="str">
        <f t="shared" si="36"/>
        <v>72019</v>
      </c>
      <c r="B617" s="1">
        <v>43647</v>
      </c>
      <c r="C617" s="10">
        <v>43472.645833333336</v>
      </c>
      <c r="D617">
        <v>3002.6</v>
      </c>
      <c r="E617">
        <v>3022.45</v>
      </c>
      <c r="F617">
        <v>2959.5</v>
      </c>
      <c r="G617">
        <v>2977.95</v>
      </c>
      <c r="H617">
        <v>0</v>
      </c>
      <c r="I617" s="8">
        <f t="shared" si="37"/>
        <v>-7.5498288705455607E-4</v>
      </c>
      <c r="J617" s="8">
        <f t="shared" si="38"/>
        <v>-7.5526803016223959E-4</v>
      </c>
      <c r="K617" s="8">
        <f t="shared" si="35"/>
        <v>-2.1746628779790833E-2</v>
      </c>
    </row>
    <row r="618" spans="1:11" x14ac:dyDescent="0.25">
      <c r="A618" t="str">
        <f t="shared" si="36"/>
        <v>72019</v>
      </c>
      <c r="B618" s="1">
        <v>43648</v>
      </c>
      <c r="C618" s="10">
        <v>43503.645833333336</v>
      </c>
      <c r="D618">
        <v>2978.35</v>
      </c>
      <c r="E618">
        <v>2998.85</v>
      </c>
      <c r="F618">
        <v>2958.4</v>
      </c>
      <c r="G618">
        <v>2993.35</v>
      </c>
      <c r="H618">
        <v>0</v>
      </c>
      <c r="I618" s="8">
        <f t="shared" si="37"/>
        <v>5.1713427021944369E-3</v>
      </c>
      <c r="J618" s="8">
        <f t="shared" si="38"/>
        <v>5.1580172301676436E-3</v>
      </c>
      <c r="K618" s="8">
        <f t="shared" si="35"/>
        <v>-3.511910518002781E-2</v>
      </c>
    </row>
    <row r="619" spans="1:11" x14ac:dyDescent="0.25">
      <c r="A619" t="str">
        <f t="shared" si="36"/>
        <v>72019</v>
      </c>
      <c r="B619" s="1">
        <v>43649</v>
      </c>
      <c r="C619" s="10">
        <v>43531.645833333336</v>
      </c>
      <c r="D619">
        <v>2991.1</v>
      </c>
      <c r="E619">
        <v>3007.55</v>
      </c>
      <c r="F619">
        <v>2968.15</v>
      </c>
      <c r="G619">
        <v>2992.15</v>
      </c>
      <c r="H619">
        <v>0</v>
      </c>
      <c r="I619" s="8">
        <f t="shared" si="37"/>
        <v>-4.0088863647746997E-4</v>
      </c>
      <c r="J619" s="8">
        <f t="shared" si="38"/>
        <v>-4.0096901380918875E-4</v>
      </c>
      <c r="K619" s="8">
        <f t="shared" si="35"/>
        <v>-3.1384545660548269E-2</v>
      </c>
    </row>
    <row r="620" spans="1:11" x14ac:dyDescent="0.25">
      <c r="A620" t="str">
        <f t="shared" si="36"/>
        <v>72019</v>
      </c>
      <c r="B620" s="1">
        <v>43650</v>
      </c>
      <c r="C620" s="10">
        <v>43562.645833333336</v>
      </c>
      <c r="D620">
        <v>2983.55</v>
      </c>
      <c r="E620">
        <v>2991.5</v>
      </c>
      <c r="F620">
        <v>2957.35</v>
      </c>
      <c r="G620">
        <v>2962.5</v>
      </c>
      <c r="H620">
        <v>0</v>
      </c>
      <c r="I620" s="8">
        <f t="shared" si="37"/>
        <v>-9.9092625703925963E-3</v>
      </c>
      <c r="J620" s="8">
        <f t="shared" si="38"/>
        <v>-9.9586860841694505E-3</v>
      </c>
      <c r="K620" s="8">
        <f t="shared" si="35"/>
        <v>-3.9708265802269049E-2</v>
      </c>
    </row>
    <row r="621" spans="1:11" x14ac:dyDescent="0.25">
      <c r="A621" t="str">
        <f t="shared" si="36"/>
        <v>72019</v>
      </c>
      <c r="B621" s="1">
        <v>43651</v>
      </c>
      <c r="C621" s="10">
        <v>43592.645833333336</v>
      </c>
      <c r="D621">
        <v>2966.75</v>
      </c>
      <c r="E621">
        <v>2971.05</v>
      </c>
      <c r="F621">
        <v>2843.9</v>
      </c>
      <c r="G621">
        <v>2851.25</v>
      </c>
      <c r="H621">
        <v>0</v>
      </c>
      <c r="I621" s="8">
        <f t="shared" si="37"/>
        <v>-3.7552742616033807E-2</v>
      </c>
      <c r="J621" s="8">
        <f t="shared" si="38"/>
        <v>-3.827601184478889E-2</v>
      </c>
      <c r="K621" s="8">
        <f t="shared" si="35"/>
        <v>-7.1828510042644678E-2</v>
      </c>
    </row>
    <row r="622" spans="1:11" x14ac:dyDescent="0.25">
      <c r="A622" t="str">
        <f t="shared" si="36"/>
        <v>72019</v>
      </c>
      <c r="B622" s="1">
        <v>43654</v>
      </c>
      <c r="C622" s="10">
        <v>43684.645833333336</v>
      </c>
      <c r="D622">
        <v>2831.55</v>
      </c>
      <c r="E622">
        <v>2854.25</v>
      </c>
      <c r="F622">
        <v>2782.1</v>
      </c>
      <c r="G622">
        <v>2791.2</v>
      </c>
      <c r="H622">
        <v>0</v>
      </c>
      <c r="I622" s="8">
        <f t="shared" si="37"/>
        <v>-2.106093818500665E-2</v>
      </c>
      <c r="J622" s="8">
        <f t="shared" si="38"/>
        <v>-2.1285883726033503E-2</v>
      </c>
      <c r="K622" s="8">
        <f t="shared" si="35"/>
        <v>-0.10891183935383975</v>
      </c>
    </row>
    <row r="623" spans="1:11" x14ac:dyDescent="0.25">
      <c r="A623" t="str">
        <f t="shared" si="36"/>
        <v>72019</v>
      </c>
      <c r="B623" s="1">
        <v>43655</v>
      </c>
      <c r="C623" s="10">
        <v>43715.645833333336</v>
      </c>
      <c r="D623">
        <v>2791.65</v>
      </c>
      <c r="E623">
        <v>2811.55</v>
      </c>
      <c r="F623">
        <v>2770.75</v>
      </c>
      <c r="G623">
        <v>2788.05</v>
      </c>
      <c r="H623">
        <v>0</v>
      </c>
      <c r="I623" s="8">
        <f t="shared" si="37"/>
        <v>-1.1285468615648275E-3</v>
      </c>
      <c r="J623" s="8">
        <f t="shared" si="38"/>
        <v>-1.1291841500926329E-3</v>
      </c>
      <c r="K623" s="8">
        <f t="shared" si="35"/>
        <v>-0.10112196537382712</v>
      </c>
    </row>
    <row r="624" spans="1:11" x14ac:dyDescent="0.25">
      <c r="A624" t="str">
        <f t="shared" si="36"/>
        <v>72019</v>
      </c>
      <c r="B624" s="1">
        <v>43656</v>
      </c>
      <c r="C624" s="10">
        <v>43745.645833333336</v>
      </c>
      <c r="D624">
        <v>2791.7</v>
      </c>
      <c r="E624">
        <v>2812.45</v>
      </c>
      <c r="F624">
        <v>2736.6</v>
      </c>
      <c r="G624">
        <v>2756.45</v>
      </c>
      <c r="H624">
        <v>0</v>
      </c>
      <c r="I624" s="8">
        <f t="shared" si="37"/>
        <v>-1.1334086547945876E-2</v>
      </c>
      <c r="J624" s="8">
        <f t="shared" si="38"/>
        <v>-1.1398806801559623E-2</v>
      </c>
      <c r="K624" s="8">
        <f t="shared" si="35"/>
        <v>-0.12037081358798851</v>
      </c>
    </row>
    <row r="625" spans="1:11" x14ac:dyDescent="0.25">
      <c r="A625" t="str">
        <f t="shared" si="36"/>
        <v>72019</v>
      </c>
      <c r="B625" s="1">
        <v>43657</v>
      </c>
      <c r="C625" s="10">
        <v>43776.645833333336</v>
      </c>
      <c r="D625">
        <v>2792.15</v>
      </c>
      <c r="E625">
        <v>2812.25</v>
      </c>
      <c r="F625">
        <v>2765.7</v>
      </c>
      <c r="G625">
        <v>2805.25</v>
      </c>
      <c r="H625">
        <v>0</v>
      </c>
      <c r="I625" s="8">
        <f t="shared" si="37"/>
        <v>1.7703930780532895E-2</v>
      </c>
      <c r="J625" s="8">
        <f t="shared" si="38"/>
        <v>1.754904162406341E-2</v>
      </c>
      <c r="K625" s="8">
        <f t="shared" si="35"/>
        <v>-9.6596032461677139E-2</v>
      </c>
    </row>
    <row r="626" spans="1:11" x14ac:dyDescent="0.25">
      <c r="A626" t="str">
        <f t="shared" si="36"/>
        <v>72019</v>
      </c>
      <c r="B626" s="1">
        <v>43658</v>
      </c>
      <c r="C626" s="10">
        <v>43806.645833333336</v>
      </c>
      <c r="D626">
        <v>2811</v>
      </c>
      <c r="E626">
        <v>2859.55</v>
      </c>
      <c r="F626">
        <v>2785.4</v>
      </c>
      <c r="G626">
        <v>2826.3</v>
      </c>
      <c r="H626">
        <v>0</v>
      </c>
      <c r="I626" s="8">
        <f t="shared" si="37"/>
        <v>7.5037875412173882E-3</v>
      </c>
      <c r="J626" s="8">
        <f t="shared" si="38"/>
        <v>7.4757741777561485E-3</v>
      </c>
      <c r="K626" s="8">
        <f t="shared" si="35"/>
        <v>-7.8615788358408323E-2</v>
      </c>
    </row>
    <row r="627" spans="1:11" x14ac:dyDescent="0.25">
      <c r="A627" t="str">
        <f t="shared" si="36"/>
        <v>72019</v>
      </c>
      <c r="B627" s="1">
        <v>43661</v>
      </c>
      <c r="C627" t="s">
        <v>399</v>
      </c>
      <c r="D627">
        <v>2831</v>
      </c>
      <c r="E627">
        <v>2833.5</v>
      </c>
      <c r="F627">
        <v>2783</v>
      </c>
      <c r="G627">
        <v>2823</v>
      </c>
      <c r="H627">
        <v>0</v>
      </c>
      <c r="I627" s="8">
        <f t="shared" si="37"/>
        <v>-1.1676042882922122E-3</v>
      </c>
      <c r="J627" s="8">
        <f t="shared" si="38"/>
        <v>-1.1682864692425332E-3</v>
      </c>
      <c r="K627" s="8">
        <f t="shared" si="35"/>
        <v>-8.0935017580414104E-2</v>
      </c>
    </row>
    <row r="628" spans="1:11" x14ac:dyDescent="0.25">
      <c r="A628" t="str">
        <f t="shared" si="36"/>
        <v>72019</v>
      </c>
      <c r="B628" s="1">
        <v>43662</v>
      </c>
      <c r="C628" t="s">
        <v>400</v>
      </c>
      <c r="D628">
        <v>2814.2</v>
      </c>
      <c r="E628">
        <v>2851.7</v>
      </c>
      <c r="F628">
        <v>2810.55</v>
      </c>
      <c r="G628">
        <v>2847.35</v>
      </c>
      <c r="H628">
        <v>0</v>
      </c>
      <c r="I628" s="8">
        <f t="shared" si="37"/>
        <v>8.6255756287636487E-3</v>
      </c>
      <c r="J628" s="8">
        <f t="shared" si="38"/>
        <v>8.5885878927915004E-3</v>
      </c>
      <c r="K628" s="8">
        <f t="shared" si="35"/>
        <v>-9.3590335365368427E-2</v>
      </c>
    </row>
    <row r="629" spans="1:11" x14ac:dyDescent="0.25">
      <c r="A629" t="str">
        <f t="shared" si="36"/>
        <v>72019</v>
      </c>
      <c r="B629" s="1">
        <v>43663</v>
      </c>
      <c r="C629" t="s">
        <v>401</v>
      </c>
      <c r="D629">
        <v>2842.5</v>
      </c>
      <c r="E629">
        <v>2859.4</v>
      </c>
      <c r="F629">
        <v>2827.9</v>
      </c>
      <c r="G629">
        <v>2848.8</v>
      </c>
      <c r="H629">
        <v>0</v>
      </c>
      <c r="I629" s="8">
        <f t="shared" si="37"/>
        <v>5.0924543874142358E-4</v>
      </c>
      <c r="J629" s="8">
        <f t="shared" si="38"/>
        <v>5.0911581728720664E-4</v>
      </c>
      <c r="K629" s="8">
        <f t="shared" si="35"/>
        <v>-9.5590336201149206E-2</v>
      </c>
    </row>
    <row r="630" spans="1:11" x14ac:dyDescent="0.25">
      <c r="A630" t="str">
        <f t="shared" si="36"/>
        <v>72019</v>
      </c>
      <c r="B630" s="1">
        <v>43664</v>
      </c>
      <c r="C630" t="s">
        <v>402</v>
      </c>
      <c r="D630">
        <v>2837.85</v>
      </c>
      <c r="E630">
        <v>2840.4</v>
      </c>
      <c r="F630">
        <v>2772</v>
      </c>
      <c r="G630">
        <v>2778.6</v>
      </c>
      <c r="H630">
        <v>0</v>
      </c>
      <c r="I630" s="8">
        <f t="shared" si="37"/>
        <v>-2.4641954507161001E-2</v>
      </c>
      <c r="J630" s="8">
        <f t="shared" si="38"/>
        <v>-2.4950649248806789E-2</v>
      </c>
      <c r="K630" s="8">
        <f t="shared" si="35"/>
        <v>-0.10651639146582637</v>
      </c>
    </row>
    <row r="631" spans="1:11" x14ac:dyDescent="0.25">
      <c r="A631" t="str">
        <f t="shared" si="36"/>
        <v>72019</v>
      </c>
      <c r="B631" s="1">
        <v>43665</v>
      </c>
      <c r="C631" t="s">
        <v>403</v>
      </c>
      <c r="D631">
        <v>2795.4</v>
      </c>
      <c r="E631">
        <v>2807.9</v>
      </c>
      <c r="F631">
        <v>2734</v>
      </c>
      <c r="G631">
        <v>2741.85</v>
      </c>
      <c r="H631">
        <v>0</v>
      </c>
      <c r="I631" s="8">
        <f t="shared" si="37"/>
        <v>-1.3226085078816618E-2</v>
      </c>
      <c r="J631" s="8">
        <f t="shared" si="38"/>
        <v>-1.331432868403846E-2</v>
      </c>
      <c r="K631" s="8">
        <f t="shared" si="35"/>
        <v>-0.10223961232441636</v>
      </c>
    </row>
    <row r="632" spans="1:11" x14ac:dyDescent="0.25">
      <c r="A632" t="str">
        <f t="shared" si="36"/>
        <v>72019</v>
      </c>
      <c r="B632" s="1">
        <v>43668</v>
      </c>
      <c r="C632" t="s">
        <v>404</v>
      </c>
      <c r="D632">
        <v>2743.65</v>
      </c>
      <c r="E632">
        <v>2795.7</v>
      </c>
      <c r="F632">
        <v>2734.85</v>
      </c>
      <c r="G632">
        <v>2788.1</v>
      </c>
      <c r="H632">
        <v>0</v>
      </c>
      <c r="I632" s="8">
        <f t="shared" si="37"/>
        <v>1.6868172948921289E-2</v>
      </c>
      <c r="J632" s="8">
        <f t="shared" si="38"/>
        <v>1.6727485212189024E-2</v>
      </c>
      <c r="K632" s="8">
        <f t="shared" si="35"/>
        <v>-8.3464825772518125E-2</v>
      </c>
    </row>
    <row r="633" spans="1:11" x14ac:dyDescent="0.25">
      <c r="A633" t="str">
        <f t="shared" si="36"/>
        <v>72019</v>
      </c>
      <c r="B633" s="1">
        <v>43669</v>
      </c>
      <c r="C633" t="s">
        <v>405</v>
      </c>
      <c r="D633">
        <v>2792.25</v>
      </c>
      <c r="E633">
        <v>2796.95</v>
      </c>
      <c r="F633">
        <v>2765.9</v>
      </c>
      <c r="G633">
        <v>2778.75</v>
      </c>
      <c r="H633">
        <v>0</v>
      </c>
      <c r="I633" s="8">
        <f t="shared" si="37"/>
        <v>-3.3535382518560253E-3</v>
      </c>
      <c r="J633" s="8">
        <f t="shared" si="38"/>
        <v>-3.3591739645054347E-3</v>
      </c>
      <c r="K633" s="8">
        <f t="shared" si="35"/>
        <v>-8.8261832499384796E-2</v>
      </c>
    </row>
    <row r="634" spans="1:11" x14ac:dyDescent="0.25">
      <c r="A634" t="str">
        <f t="shared" si="36"/>
        <v>72019</v>
      </c>
      <c r="B634" s="1">
        <v>43670</v>
      </c>
      <c r="C634" t="s">
        <v>406</v>
      </c>
      <c r="D634">
        <v>2780.4</v>
      </c>
      <c r="E634">
        <v>2786.1</v>
      </c>
      <c r="F634">
        <v>2691.45</v>
      </c>
      <c r="G634">
        <v>2712.95</v>
      </c>
      <c r="H634">
        <v>0</v>
      </c>
      <c r="I634" s="8">
        <f t="shared" si="37"/>
        <v>-2.3679712100764805E-2</v>
      </c>
      <c r="J634" s="8">
        <f t="shared" si="38"/>
        <v>-2.3964582571833759E-2</v>
      </c>
      <c r="K634" s="8">
        <f t="shared" si="35"/>
        <v>-9.2992544548828215E-2</v>
      </c>
    </row>
    <row r="635" spans="1:11" x14ac:dyDescent="0.25">
      <c r="A635" t="str">
        <f t="shared" si="36"/>
        <v>72019</v>
      </c>
      <c r="B635" s="1">
        <v>43671</v>
      </c>
      <c r="C635" t="s">
        <v>407</v>
      </c>
      <c r="D635">
        <v>2718</v>
      </c>
      <c r="E635">
        <v>2736.25</v>
      </c>
      <c r="F635">
        <v>2678.05</v>
      </c>
      <c r="G635">
        <v>2686.4</v>
      </c>
      <c r="H635">
        <v>0</v>
      </c>
      <c r="I635" s="8">
        <f t="shared" si="37"/>
        <v>-9.7863948837979553E-3</v>
      </c>
      <c r="J635" s="8">
        <f t="shared" si="38"/>
        <v>-9.834596383296151E-3</v>
      </c>
      <c r="K635" s="8">
        <f t="shared" si="35"/>
        <v>-0.11824462934698765</v>
      </c>
    </row>
    <row r="636" spans="1:11" x14ac:dyDescent="0.25">
      <c r="A636" t="str">
        <f t="shared" si="36"/>
        <v>72019</v>
      </c>
      <c r="B636" s="1">
        <v>43672</v>
      </c>
      <c r="C636" t="s">
        <v>408</v>
      </c>
      <c r="D636">
        <v>2694.95</v>
      </c>
      <c r="E636">
        <v>2708.4</v>
      </c>
      <c r="F636">
        <v>2662.35</v>
      </c>
      <c r="G636">
        <v>2692.45</v>
      </c>
      <c r="H636">
        <v>0</v>
      </c>
      <c r="I636" s="8">
        <f t="shared" si="37"/>
        <v>2.2520845741511586E-3</v>
      </c>
      <c r="J636" s="8">
        <f t="shared" si="38"/>
        <v>2.2495524327050915E-3</v>
      </c>
      <c r="K636" s="8">
        <f t="shared" si="35"/>
        <v>-0.12840309475251699</v>
      </c>
    </row>
    <row r="637" spans="1:11" x14ac:dyDescent="0.25">
      <c r="A637" t="str">
        <f t="shared" si="36"/>
        <v>72019</v>
      </c>
      <c r="B637" s="1">
        <v>43675</v>
      </c>
      <c r="C637" t="s">
        <v>409</v>
      </c>
      <c r="D637">
        <v>2686.85</v>
      </c>
      <c r="E637">
        <v>2689.15</v>
      </c>
      <c r="F637">
        <v>2603.3000000000002</v>
      </c>
      <c r="G637">
        <v>2611.9</v>
      </c>
      <c r="H637">
        <v>0</v>
      </c>
      <c r="I637" s="8">
        <f t="shared" si="37"/>
        <v>-2.9916990101951701E-2</v>
      </c>
      <c r="J637" s="8">
        <f t="shared" si="38"/>
        <v>-3.0373633931746691E-2</v>
      </c>
      <c r="K637" s="8">
        <f t="shared" si="35"/>
        <v>-0.15349214065791605</v>
      </c>
    </row>
    <row r="638" spans="1:11" x14ac:dyDescent="0.25">
      <c r="A638" t="str">
        <f t="shared" si="36"/>
        <v>72019</v>
      </c>
      <c r="B638" s="1">
        <v>43676</v>
      </c>
      <c r="C638" t="s">
        <v>410</v>
      </c>
      <c r="D638">
        <v>2614</v>
      </c>
      <c r="E638">
        <v>2646.2</v>
      </c>
      <c r="F638">
        <v>2510.35</v>
      </c>
      <c r="G638">
        <v>2527</v>
      </c>
      <c r="H638">
        <v>0</v>
      </c>
      <c r="I638" s="8">
        <f t="shared" si="37"/>
        <v>-3.250507293541105E-2</v>
      </c>
      <c r="J638" s="8">
        <f t="shared" si="38"/>
        <v>-3.3045097436040664E-2</v>
      </c>
      <c r="K638" s="8">
        <f t="shared" si="35"/>
        <v>-0.17987829614604467</v>
      </c>
    </row>
    <row r="639" spans="1:11" x14ac:dyDescent="0.25">
      <c r="A639" t="str">
        <f t="shared" si="36"/>
        <v>72019</v>
      </c>
      <c r="B639" s="1">
        <v>43677</v>
      </c>
      <c r="C639" t="s">
        <v>411</v>
      </c>
      <c r="D639">
        <v>2513.5500000000002</v>
      </c>
      <c r="E639">
        <v>2595.9</v>
      </c>
      <c r="F639">
        <v>2495.4</v>
      </c>
      <c r="G639">
        <v>2588.15</v>
      </c>
      <c r="H639">
        <v>0</v>
      </c>
      <c r="I639" s="8">
        <f t="shared" si="37"/>
        <v>2.4198654531064623E-2</v>
      </c>
      <c r="J639" s="8">
        <f t="shared" si="38"/>
        <v>2.3910506367520519E-2</v>
      </c>
      <c r="K639" s="8">
        <f t="shared" si="35"/>
        <v>-0.1426418219461697</v>
      </c>
    </row>
    <row r="640" spans="1:11" x14ac:dyDescent="0.25">
      <c r="A640" t="str">
        <f t="shared" si="36"/>
        <v>82019</v>
      </c>
      <c r="B640" s="1">
        <v>43678</v>
      </c>
      <c r="C640" s="10">
        <v>43473.645833333336</v>
      </c>
      <c r="D640">
        <v>2571.1999999999998</v>
      </c>
      <c r="E640">
        <v>2572.0500000000002</v>
      </c>
      <c r="F640">
        <v>2486.6999999999998</v>
      </c>
      <c r="G640">
        <v>2507.0500000000002</v>
      </c>
      <c r="H640">
        <v>0</v>
      </c>
      <c r="I640" s="8">
        <f t="shared" si="37"/>
        <v>-3.1335123543844046E-2</v>
      </c>
      <c r="J640" s="8">
        <f t="shared" si="38"/>
        <v>-3.183657163994108E-2</v>
      </c>
      <c r="K640" s="8">
        <f t="shared" ref="K640:K703" si="39">+G640/G579-1</f>
        <v>-0.15882096362904308</v>
      </c>
    </row>
    <row r="641" spans="1:11" x14ac:dyDescent="0.25">
      <c r="A641" t="str">
        <f t="shared" si="36"/>
        <v>82019</v>
      </c>
      <c r="B641" s="1">
        <v>43679</v>
      </c>
      <c r="C641" s="10">
        <v>43504.645833333336</v>
      </c>
      <c r="D641">
        <v>2474.6999999999998</v>
      </c>
      <c r="E641">
        <v>2494.9499999999998</v>
      </c>
      <c r="F641">
        <v>2430.35</v>
      </c>
      <c r="G641">
        <v>2459.1</v>
      </c>
      <c r="H641">
        <v>0</v>
      </c>
      <c r="I641" s="8">
        <f t="shared" si="37"/>
        <v>-1.912606449811538E-2</v>
      </c>
      <c r="J641" s="8">
        <f t="shared" si="38"/>
        <v>-1.9311333788678949E-2</v>
      </c>
      <c r="K641" s="8">
        <f t="shared" si="39"/>
        <v>-0.16908261530663971</v>
      </c>
    </row>
    <row r="642" spans="1:11" x14ac:dyDescent="0.25">
      <c r="A642" t="str">
        <f t="shared" si="36"/>
        <v>82019</v>
      </c>
      <c r="B642" s="1">
        <v>43682</v>
      </c>
      <c r="C642" s="10">
        <v>43593.645833333336</v>
      </c>
      <c r="D642">
        <v>2428.1999999999998</v>
      </c>
      <c r="E642">
        <v>2439.4499999999998</v>
      </c>
      <c r="F642">
        <v>2362.75</v>
      </c>
      <c r="G642">
        <v>2415.35</v>
      </c>
      <c r="H642">
        <v>0</v>
      </c>
      <c r="I642" s="8">
        <f t="shared" si="37"/>
        <v>-1.7791061770566441E-2</v>
      </c>
      <c r="J642" s="8">
        <f t="shared" si="38"/>
        <v>-1.7951225205170486E-2</v>
      </c>
      <c r="K642" s="8">
        <f t="shared" si="39"/>
        <v>-0.17200301669466256</v>
      </c>
    </row>
    <row r="643" spans="1:11" x14ac:dyDescent="0.25">
      <c r="A643" t="str">
        <f t="shared" ref="A643:A706" si="40">+MONTH(B643)&amp;YEAR(B643)</f>
        <v>82019</v>
      </c>
      <c r="B643" s="1">
        <v>43683</v>
      </c>
      <c r="C643" s="10">
        <v>43624.645833333336</v>
      </c>
      <c r="D643">
        <v>2385.5</v>
      </c>
      <c r="E643">
        <v>2466.5</v>
      </c>
      <c r="F643">
        <v>2385.1</v>
      </c>
      <c r="G643">
        <v>2448.0500000000002</v>
      </c>
      <c r="H643">
        <v>0</v>
      </c>
      <c r="I643" s="8">
        <f t="shared" si="37"/>
        <v>1.3538410582317306E-2</v>
      </c>
      <c r="J643" s="8">
        <f t="shared" si="38"/>
        <v>1.3447585138309775E-2</v>
      </c>
      <c r="K643" s="8">
        <f t="shared" si="39"/>
        <v>-0.1477632724107919</v>
      </c>
    </row>
    <row r="644" spans="1:11" x14ac:dyDescent="0.25">
      <c r="A644" t="str">
        <f t="shared" si="40"/>
        <v>82019</v>
      </c>
      <c r="B644" s="1">
        <v>43684</v>
      </c>
      <c r="C644" s="10">
        <v>43654.645833333336</v>
      </c>
      <c r="D644">
        <v>2441.85</v>
      </c>
      <c r="E644">
        <v>2445.15</v>
      </c>
      <c r="F644">
        <v>2378.1999999999998</v>
      </c>
      <c r="G644">
        <v>2389.4499999999998</v>
      </c>
      <c r="H644">
        <v>0</v>
      </c>
      <c r="I644" s="8">
        <f t="shared" ref="I644:I707" si="41">+G644/G643-1</f>
        <v>-2.3937419578848651E-2</v>
      </c>
      <c r="J644" s="8">
        <f t="shared" ref="J644:J707" si="42">+LN(1+I644)</f>
        <v>-2.4228575340631442E-2</v>
      </c>
      <c r="K644" s="8">
        <f t="shared" si="39"/>
        <v>-0.15293262669053653</v>
      </c>
    </row>
    <row r="645" spans="1:11" x14ac:dyDescent="0.25">
      <c r="A645" t="str">
        <f t="shared" si="40"/>
        <v>82019</v>
      </c>
      <c r="B645" s="1">
        <v>43685</v>
      </c>
      <c r="C645" s="10">
        <v>43685.645833333336</v>
      </c>
      <c r="D645">
        <v>2391.25</v>
      </c>
      <c r="E645">
        <v>2425.15</v>
      </c>
      <c r="F645">
        <v>2355.75</v>
      </c>
      <c r="G645">
        <v>2418.8000000000002</v>
      </c>
      <c r="H645">
        <v>0</v>
      </c>
      <c r="I645" s="8">
        <f t="shared" si="41"/>
        <v>1.2283161396974274E-2</v>
      </c>
      <c r="J645" s="8">
        <f t="shared" si="42"/>
        <v>1.2208335479455289E-2</v>
      </c>
      <c r="K645" s="8">
        <f t="shared" si="39"/>
        <v>-0.14767962225589337</v>
      </c>
    </row>
    <row r="646" spans="1:11" x14ac:dyDescent="0.25">
      <c r="A646" t="str">
        <f t="shared" si="40"/>
        <v>82019</v>
      </c>
      <c r="B646" s="1">
        <v>43686</v>
      </c>
      <c r="C646" s="10">
        <v>43716.645833333336</v>
      </c>
      <c r="D646">
        <v>2430.6999999999998</v>
      </c>
      <c r="E646">
        <v>2453.5</v>
      </c>
      <c r="F646">
        <v>2390.1</v>
      </c>
      <c r="G646">
        <v>2398</v>
      </c>
      <c r="H646">
        <v>0</v>
      </c>
      <c r="I646" s="8">
        <f t="shared" si="41"/>
        <v>-8.599305440714522E-3</v>
      </c>
      <c r="J646" s="8">
        <f t="shared" si="42"/>
        <v>-8.6364928115983952E-3</v>
      </c>
      <c r="K646" s="8">
        <f t="shared" si="39"/>
        <v>-0.13691333141376338</v>
      </c>
    </row>
    <row r="647" spans="1:11" x14ac:dyDescent="0.25">
      <c r="A647" t="str">
        <f t="shared" si="40"/>
        <v>82019</v>
      </c>
      <c r="B647" s="1">
        <v>43690</v>
      </c>
      <c r="C647" t="s">
        <v>412</v>
      </c>
      <c r="D647">
        <v>2381.85</v>
      </c>
      <c r="E647">
        <v>2410.75</v>
      </c>
      <c r="F647">
        <v>2350.0500000000002</v>
      </c>
      <c r="G647">
        <v>2355.9</v>
      </c>
      <c r="H647">
        <v>0</v>
      </c>
      <c r="I647" s="8">
        <f t="shared" si="41"/>
        <v>-1.7556296914094993E-2</v>
      </c>
      <c r="J647" s="8">
        <f t="shared" si="42"/>
        <v>-1.7712236538520824E-2</v>
      </c>
      <c r="K647" s="8">
        <f t="shared" si="39"/>
        <v>-0.16185495490687862</v>
      </c>
    </row>
    <row r="648" spans="1:11" x14ac:dyDescent="0.25">
      <c r="A648" t="str">
        <f t="shared" si="40"/>
        <v>82019</v>
      </c>
      <c r="B648" s="1">
        <v>43691</v>
      </c>
      <c r="C648" t="s">
        <v>413</v>
      </c>
      <c r="D648">
        <v>2381.6999999999998</v>
      </c>
      <c r="E648">
        <v>2423.65</v>
      </c>
      <c r="F648">
        <v>2367.75</v>
      </c>
      <c r="G648">
        <v>2411.0500000000002</v>
      </c>
      <c r="H648">
        <v>0</v>
      </c>
      <c r="I648" s="8">
        <f t="shared" si="41"/>
        <v>2.3409312789167691E-2</v>
      </c>
      <c r="J648" s="8">
        <f t="shared" si="42"/>
        <v>2.313951720006744E-2</v>
      </c>
      <c r="K648" s="8">
        <f t="shared" si="39"/>
        <v>-0.14113456229405996</v>
      </c>
    </row>
    <row r="649" spans="1:11" x14ac:dyDescent="0.25">
      <c r="A649" t="str">
        <f t="shared" si="40"/>
        <v>82019</v>
      </c>
      <c r="B649" s="1">
        <v>43693</v>
      </c>
      <c r="C649" t="s">
        <v>414</v>
      </c>
      <c r="D649">
        <v>2391.9499999999998</v>
      </c>
      <c r="E649">
        <v>2411.1999999999998</v>
      </c>
      <c r="F649">
        <v>2356.5</v>
      </c>
      <c r="G649">
        <v>2402.0500000000002</v>
      </c>
      <c r="H649">
        <v>0</v>
      </c>
      <c r="I649" s="8">
        <f t="shared" si="41"/>
        <v>-3.7328135044897293E-3</v>
      </c>
      <c r="J649" s="8">
        <f t="shared" si="42"/>
        <v>-3.7397978390490221E-3</v>
      </c>
      <c r="K649" s="8">
        <f t="shared" si="39"/>
        <v>-0.17146404980770225</v>
      </c>
    </row>
    <row r="650" spans="1:11" x14ac:dyDescent="0.25">
      <c r="A650" t="str">
        <f t="shared" si="40"/>
        <v>82019</v>
      </c>
      <c r="B650" s="1">
        <v>43696</v>
      </c>
      <c r="C650" t="s">
        <v>415</v>
      </c>
      <c r="D650">
        <v>2413.6999999999998</v>
      </c>
      <c r="E650">
        <v>2420.6999999999998</v>
      </c>
      <c r="F650">
        <v>2384.9</v>
      </c>
      <c r="G650">
        <v>2391.35</v>
      </c>
      <c r="H650">
        <v>0</v>
      </c>
      <c r="I650" s="8">
        <f t="shared" si="41"/>
        <v>-4.4545284236382487E-3</v>
      </c>
      <c r="J650" s="8">
        <f t="shared" si="42"/>
        <v>-4.4644793976369784E-3</v>
      </c>
      <c r="K650" s="8">
        <f t="shared" si="39"/>
        <v>-0.16217920644652717</v>
      </c>
    </row>
    <row r="651" spans="1:11" x14ac:dyDescent="0.25">
      <c r="A651" t="str">
        <f t="shared" si="40"/>
        <v>82019</v>
      </c>
      <c r="B651" s="1">
        <v>43697</v>
      </c>
      <c r="C651" t="s">
        <v>416</v>
      </c>
      <c r="D651">
        <v>2391.65</v>
      </c>
      <c r="E651">
        <v>2393.0500000000002</v>
      </c>
      <c r="F651">
        <v>2337.1999999999998</v>
      </c>
      <c r="G651">
        <v>2351.15</v>
      </c>
      <c r="H651">
        <v>0</v>
      </c>
      <c r="I651" s="8">
        <f t="shared" si="41"/>
        <v>-1.6810588161498607E-2</v>
      </c>
      <c r="J651" s="8">
        <f t="shared" si="42"/>
        <v>-1.6953489870376478E-2</v>
      </c>
      <c r="K651" s="8">
        <f t="shared" si="39"/>
        <v>-0.17919670442842417</v>
      </c>
    </row>
    <row r="652" spans="1:11" x14ac:dyDescent="0.25">
      <c r="A652" t="str">
        <f t="shared" si="40"/>
        <v>82019</v>
      </c>
      <c r="B652" s="1">
        <v>43698</v>
      </c>
      <c r="C652" t="s">
        <v>417</v>
      </c>
      <c r="D652">
        <v>2340.35</v>
      </c>
      <c r="E652">
        <v>2342.4</v>
      </c>
      <c r="F652">
        <v>2277.25</v>
      </c>
      <c r="G652">
        <v>2283.1999999999998</v>
      </c>
      <c r="H652">
        <v>0</v>
      </c>
      <c r="I652" s="8">
        <f t="shared" si="41"/>
        <v>-2.8900750696467803E-2</v>
      </c>
      <c r="J652" s="8">
        <f t="shared" si="42"/>
        <v>-2.9326602419371645E-2</v>
      </c>
      <c r="K652" s="8">
        <f t="shared" si="39"/>
        <v>-0.19092841956059536</v>
      </c>
    </row>
    <row r="653" spans="1:11" x14ac:dyDescent="0.25">
      <c r="A653" t="str">
        <f t="shared" si="40"/>
        <v>82019</v>
      </c>
      <c r="B653" s="1">
        <v>43699</v>
      </c>
      <c r="C653" t="s">
        <v>418</v>
      </c>
      <c r="D653">
        <v>2263.1999999999998</v>
      </c>
      <c r="E653">
        <v>2272.5500000000002</v>
      </c>
      <c r="F653">
        <v>2189.85</v>
      </c>
      <c r="G653">
        <v>2203.6</v>
      </c>
      <c r="H653">
        <v>0</v>
      </c>
      <c r="I653" s="8">
        <f t="shared" si="41"/>
        <v>-3.48633496846531E-2</v>
      </c>
      <c r="J653" s="8">
        <f t="shared" si="42"/>
        <v>-3.5485581124010485E-2</v>
      </c>
      <c r="K653" s="8">
        <f t="shared" si="39"/>
        <v>-0.2412629549288986</v>
      </c>
    </row>
    <row r="654" spans="1:11" x14ac:dyDescent="0.25">
      <c r="A654" t="str">
        <f t="shared" si="40"/>
        <v>82019</v>
      </c>
      <c r="B654" s="1">
        <v>43700</v>
      </c>
      <c r="C654" t="s">
        <v>419</v>
      </c>
      <c r="D654">
        <v>2191.4</v>
      </c>
      <c r="E654">
        <v>2290.15</v>
      </c>
      <c r="F654">
        <v>2183.25</v>
      </c>
      <c r="G654">
        <v>2278.65</v>
      </c>
      <c r="H654">
        <v>0</v>
      </c>
      <c r="I654" s="8">
        <f t="shared" si="41"/>
        <v>3.4057905245961306E-2</v>
      </c>
      <c r="J654" s="8">
        <f t="shared" si="42"/>
        <v>3.349077572322004E-2</v>
      </c>
      <c r="K654" s="8">
        <f t="shared" si="39"/>
        <v>-0.23166537411066523</v>
      </c>
    </row>
    <row r="655" spans="1:11" x14ac:dyDescent="0.25">
      <c r="A655" t="str">
        <f t="shared" si="40"/>
        <v>82019</v>
      </c>
      <c r="B655" s="1">
        <v>43703</v>
      </c>
      <c r="C655" t="s">
        <v>420</v>
      </c>
      <c r="D655">
        <v>2297.3000000000002</v>
      </c>
      <c r="E655">
        <v>2305.25</v>
      </c>
      <c r="F655">
        <v>2174.1</v>
      </c>
      <c r="G655">
        <v>2256.65</v>
      </c>
      <c r="H655">
        <v>0</v>
      </c>
      <c r="I655" s="8">
        <f t="shared" si="41"/>
        <v>-9.6548394882934874E-3</v>
      </c>
      <c r="J655" s="8">
        <f t="shared" si="42"/>
        <v>-9.7017496352157038E-3</v>
      </c>
      <c r="K655" s="8">
        <f t="shared" si="39"/>
        <v>-0.24601146026495591</v>
      </c>
    </row>
    <row r="656" spans="1:11" x14ac:dyDescent="0.25">
      <c r="A656" t="str">
        <f t="shared" si="40"/>
        <v>82019</v>
      </c>
      <c r="B656" s="1">
        <v>43704</v>
      </c>
      <c r="C656" t="s">
        <v>421</v>
      </c>
      <c r="D656">
        <v>2275.85</v>
      </c>
      <c r="E656">
        <v>2314.1999999999998</v>
      </c>
      <c r="F656">
        <v>2262.65</v>
      </c>
      <c r="G656">
        <v>2303.9</v>
      </c>
      <c r="H656">
        <v>0</v>
      </c>
      <c r="I656" s="8">
        <f t="shared" si="41"/>
        <v>2.0938116234241022E-2</v>
      </c>
      <c r="J656" s="8">
        <f t="shared" si="42"/>
        <v>2.0721926409510632E-2</v>
      </c>
      <c r="K656" s="8">
        <f t="shared" si="39"/>
        <v>-0.21564021380179077</v>
      </c>
    </row>
    <row r="657" spans="1:11" x14ac:dyDescent="0.25">
      <c r="A657" t="str">
        <f t="shared" si="40"/>
        <v>82019</v>
      </c>
      <c r="B657" s="1">
        <v>43705</v>
      </c>
      <c r="C657" t="s">
        <v>422</v>
      </c>
      <c r="D657">
        <v>2297.8000000000002</v>
      </c>
      <c r="E657">
        <v>2299.6999999999998</v>
      </c>
      <c r="F657">
        <v>2211.9</v>
      </c>
      <c r="G657">
        <v>2226.4499999999998</v>
      </c>
      <c r="H657">
        <v>0</v>
      </c>
      <c r="I657" s="8">
        <f t="shared" si="41"/>
        <v>-3.3616910456183091E-2</v>
      </c>
      <c r="J657" s="8">
        <f t="shared" si="42"/>
        <v>-3.4194950357192722E-2</v>
      </c>
      <c r="K657" s="8">
        <f t="shared" si="39"/>
        <v>-0.23869037442297836</v>
      </c>
    </row>
    <row r="658" spans="1:11" x14ac:dyDescent="0.25">
      <c r="A658" t="str">
        <f t="shared" si="40"/>
        <v>82019</v>
      </c>
      <c r="B658" s="1">
        <v>43706</v>
      </c>
      <c r="C658" t="s">
        <v>423</v>
      </c>
      <c r="D658">
        <v>2212.9499999999998</v>
      </c>
      <c r="E658">
        <v>2274.75</v>
      </c>
      <c r="F658">
        <v>2196.1</v>
      </c>
      <c r="G658">
        <v>2254.35</v>
      </c>
      <c r="H658">
        <v>0</v>
      </c>
      <c r="I658" s="8">
        <f t="shared" si="41"/>
        <v>1.2531159469109987E-2</v>
      </c>
      <c r="J658" s="8">
        <f t="shared" si="42"/>
        <v>1.2453294309329354E-2</v>
      </c>
      <c r="K658" s="8">
        <f t="shared" si="39"/>
        <v>-0.2227451386015723</v>
      </c>
    </row>
    <row r="659" spans="1:11" x14ac:dyDescent="0.25">
      <c r="A659" t="str">
        <f t="shared" si="40"/>
        <v>82019</v>
      </c>
      <c r="B659" s="1">
        <v>43707</v>
      </c>
      <c r="C659" t="s">
        <v>424</v>
      </c>
      <c r="D659">
        <v>2282.15</v>
      </c>
      <c r="E659">
        <v>2310.9</v>
      </c>
      <c r="F659">
        <v>2243</v>
      </c>
      <c r="G659">
        <v>2289.9499999999998</v>
      </c>
      <c r="H659">
        <v>0</v>
      </c>
      <c r="I659" s="8">
        <f t="shared" si="41"/>
        <v>1.579169161842664E-2</v>
      </c>
      <c r="J659" s="8">
        <f t="shared" si="42"/>
        <v>1.566830020057039E-2</v>
      </c>
      <c r="K659" s="8">
        <f t="shared" si="39"/>
        <v>-0.22407454468445576</v>
      </c>
    </row>
    <row r="660" spans="1:11" x14ac:dyDescent="0.25">
      <c r="A660" t="str">
        <f t="shared" si="40"/>
        <v>92019</v>
      </c>
      <c r="B660" s="1">
        <v>43711</v>
      </c>
      <c r="C660" s="10">
        <v>43533.645833333336</v>
      </c>
      <c r="D660">
        <v>2269.6999999999998</v>
      </c>
      <c r="E660">
        <v>2270.4</v>
      </c>
      <c r="F660">
        <v>2211.1</v>
      </c>
      <c r="G660">
        <v>2218.9499999999998</v>
      </c>
      <c r="H660">
        <v>0</v>
      </c>
      <c r="I660" s="8">
        <f t="shared" si="41"/>
        <v>-3.100504377824842E-2</v>
      </c>
      <c r="J660" s="8">
        <f t="shared" si="42"/>
        <v>-3.1495872242428863E-2</v>
      </c>
      <c r="K660" s="8">
        <f t="shared" si="39"/>
        <v>-0.24944188878365592</v>
      </c>
    </row>
    <row r="661" spans="1:11" x14ac:dyDescent="0.25">
      <c r="A661" t="str">
        <f t="shared" si="40"/>
        <v>92019</v>
      </c>
      <c r="B661" s="1">
        <v>43712</v>
      </c>
      <c r="C661" s="10">
        <v>43564.645833333336</v>
      </c>
      <c r="D661">
        <v>2219.9499999999998</v>
      </c>
      <c r="E661">
        <v>2259.4</v>
      </c>
      <c r="F661">
        <v>2198.85</v>
      </c>
      <c r="G661">
        <v>2254.65</v>
      </c>
      <c r="H661">
        <v>0</v>
      </c>
      <c r="I661" s="8">
        <f t="shared" si="41"/>
        <v>1.6088690596903987E-2</v>
      </c>
      <c r="J661" s="8">
        <f t="shared" si="42"/>
        <v>1.596063924099039E-2</v>
      </c>
      <c r="K661" s="8">
        <f t="shared" si="39"/>
        <v>-0.22866526402216869</v>
      </c>
    </row>
    <row r="662" spans="1:11" x14ac:dyDescent="0.25">
      <c r="A662" t="str">
        <f t="shared" si="40"/>
        <v>92019</v>
      </c>
      <c r="B662" s="1">
        <v>43713</v>
      </c>
      <c r="C662" s="10">
        <v>43594.645833333336</v>
      </c>
      <c r="D662">
        <v>2280.1</v>
      </c>
      <c r="E662">
        <v>2341.35</v>
      </c>
      <c r="F662">
        <v>2280.1</v>
      </c>
      <c r="G662">
        <v>2313.6</v>
      </c>
      <c r="H662">
        <v>0</v>
      </c>
      <c r="I662" s="8">
        <f t="shared" si="41"/>
        <v>2.6145965005654803E-2</v>
      </c>
      <c r="J662" s="8">
        <f t="shared" si="42"/>
        <v>2.5810002717100534E-2</v>
      </c>
      <c r="K662" s="8">
        <f t="shared" si="39"/>
        <v>-0.20411427785135616</v>
      </c>
    </row>
    <row r="663" spans="1:11" x14ac:dyDescent="0.25">
      <c r="A663" t="str">
        <f t="shared" si="40"/>
        <v>92019</v>
      </c>
      <c r="B663" s="1">
        <v>43714</v>
      </c>
      <c r="C663" s="10">
        <v>43625.645833333336</v>
      </c>
      <c r="D663">
        <v>2324.65</v>
      </c>
      <c r="E663">
        <v>2366.5</v>
      </c>
      <c r="F663">
        <v>2295.5</v>
      </c>
      <c r="G663">
        <v>2357.6999999999998</v>
      </c>
      <c r="H663">
        <v>0</v>
      </c>
      <c r="I663" s="8">
        <f t="shared" si="41"/>
        <v>1.9061203319502118E-2</v>
      </c>
      <c r="J663" s="8">
        <f t="shared" si="42"/>
        <v>1.8881814575793427E-2</v>
      </c>
      <c r="K663" s="8">
        <f t="shared" si="39"/>
        <v>-0.19041977852176162</v>
      </c>
    </row>
    <row r="664" spans="1:11" x14ac:dyDescent="0.25">
      <c r="A664" t="str">
        <f t="shared" si="40"/>
        <v>92019</v>
      </c>
      <c r="B664" s="1">
        <v>43717</v>
      </c>
      <c r="C664" s="10">
        <v>43717.645833333336</v>
      </c>
      <c r="D664">
        <v>2356.85</v>
      </c>
      <c r="E664">
        <v>2382.9</v>
      </c>
      <c r="F664">
        <v>2322.6</v>
      </c>
      <c r="G664">
        <v>2360.0500000000002</v>
      </c>
      <c r="H664">
        <v>0</v>
      </c>
      <c r="I664" s="8">
        <f t="shared" si="41"/>
        <v>9.9673410527234552E-4</v>
      </c>
      <c r="J664" s="8">
        <f t="shared" si="42"/>
        <v>9.9623769566557861E-4</v>
      </c>
      <c r="K664" s="8">
        <f t="shared" si="39"/>
        <v>-0.20015928693677665</v>
      </c>
    </row>
    <row r="665" spans="1:11" x14ac:dyDescent="0.25">
      <c r="A665" t="str">
        <f t="shared" si="40"/>
        <v>92019</v>
      </c>
      <c r="B665" s="1">
        <v>43719</v>
      </c>
      <c r="C665" s="10">
        <v>43778.645833333336</v>
      </c>
      <c r="D665">
        <v>2373.1</v>
      </c>
      <c r="E665">
        <v>2419.1</v>
      </c>
      <c r="F665">
        <v>2371.4499999999998</v>
      </c>
      <c r="G665">
        <v>2414.5500000000002</v>
      </c>
      <c r="H665">
        <v>0</v>
      </c>
      <c r="I665" s="8">
        <f t="shared" si="41"/>
        <v>2.3092731086205909E-2</v>
      </c>
      <c r="J665" s="8">
        <f t="shared" si="42"/>
        <v>2.2830129084443984E-2</v>
      </c>
      <c r="K665" s="8">
        <f t="shared" si="39"/>
        <v>-0.18485196313426278</v>
      </c>
    </row>
    <row r="666" spans="1:11" x14ac:dyDescent="0.25">
      <c r="A666" t="str">
        <f t="shared" si="40"/>
        <v>92019</v>
      </c>
      <c r="B666" s="1">
        <v>43720</v>
      </c>
      <c r="C666" s="10">
        <v>43808.645833333336</v>
      </c>
      <c r="D666">
        <v>2423.6</v>
      </c>
      <c r="E666">
        <v>2452.5500000000002</v>
      </c>
      <c r="F666">
        <v>2403.85</v>
      </c>
      <c r="G666">
        <v>2410.6</v>
      </c>
      <c r="H666">
        <v>0</v>
      </c>
      <c r="I666" s="8">
        <f t="shared" si="41"/>
        <v>-1.6359155950385063E-3</v>
      </c>
      <c r="J666" s="8">
        <f t="shared" si="42"/>
        <v>-1.6372551661050234E-3</v>
      </c>
      <c r="K666" s="8">
        <f t="shared" si="39"/>
        <v>-0.18449229520120436</v>
      </c>
    </row>
    <row r="667" spans="1:11" x14ac:dyDescent="0.25">
      <c r="A667" t="str">
        <f t="shared" si="40"/>
        <v>92019</v>
      </c>
      <c r="B667" s="1">
        <v>43721</v>
      </c>
      <c r="C667" t="s">
        <v>425</v>
      </c>
      <c r="D667">
        <v>2417.35</v>
      </c>
      <c r="E667">
        <v>2450.35</v>
      </c>
      <c r="F667">
        <v>2384.8000000000002</v>
      </c>
      <c r="G667">
        <v>2444.1</v>
      </c>
      <c r="H667">
        <v>0</v>
      </c>
      <c r="I667" s="8">
        <f t="shared" si="41"/>
        <v>1.3896955114909071E-2</v>
      </c>
      <c r="J667" s="8">
        <f t="shared" si="42"/>
        <v>1.3801277830462498E-2</v>
      </c>
      <c r="K667" s="8">
        <f t="shared" si="39"/>
        <v>-0.17005670820740948</v>
      </c>
    </row>
    <row r="668" spans="1:11" x14ac:dyDescent="0.25">
      <c r="A668" t="str">
        <f t="shared" si="40"/>
        <v>92019</v>
      </c>
      <c r="B668" s="1">
        <v>43724</v>
      </c>
      <c r="C668" t="s">
        <v>426</v>
      </c>
      <c r="D668">
        <v>2418.8000000000002</v>
      </c>
      <c r="E668">
        <v>2447.65</v>
      </c>
      <c r="F668">
        <v>2414.5500000000002</v>
      </c>
      <c r="G668">
        <v>2440.5500000000002</v>
      </c>
      <c r="H668">
        <v>0</v>
      </c>
      <c r="I668" s="8">
        <f t="shared" si="41"/>
        <v>-1.4524773945417957E-3</v>
      </c>
      <c r="J668" s="8">
        <f t="shared" si="42"/>
        <v>-1.453533262372576E-3</v>
      </c>
      <c r="K668" s="8">
        <f t="shared" si="39"/>
        <v>-0.14680999825205376</v>
      </c>
    </row>
    <row r="669" spans="1:11" x14ac:dyDescent="0.25">
      <c r="A669" t="str">
        <f t="shared" si="40"/>
        <v>92019</v>
      </c>
      <c r="B669" s="1">
        <v>43725</v>
      </c>
      <c r="C669" t="s">
        <v>427</v>
      </c>
      <c r="D669">
        <v>2441.35</v>
      </c>
      <c r="E669">
        <v>2468.6999999999998</v>
      </c>
      <c r="F669">
        <v>2369.6999999999998</v>
      </c>
      <c r="G669">
        <v>2375.85</v>
      </c>
      <c r="H669">
        <v>0</v>
      </c>
      <c r="I669" s="8">
        <f t="shared" si="41"/>
        <v>-2.6510417733707659E-2</v>
      </c>
      <c r="J669" s="8">
        <f t="shared" si="42"/>
        <v>-2.686815554579413E-2</v>
      </c>
      <c r="K669" s="8">
        <f t="shared" si="39"/>
        <v>-0.17358864656161954</v>
      </c>
    </row>
    <row r="670" spans="1:11" x14ac:dyDescent="0.25">
      <c r="A670" t="str">
        <f t="shared" si="40"/>
        <v>92019</v>
      </c>
      <c r="B670" s="1">
        <v>43726</v>
      </c>
      <c r="C670" t="s">
        <v>428</v>
      </c>
      <c r="D670">
        <v>2387.8000000000002</v>
      </c>
      <c r="E670">
        <v>2415.75</v>
      </c>
      <c r="F670">
        <v>2373.4499999999998</v>
      </c>
      <c r="G670">
        <v>2402.65</v>
      </c>
      <c r="H670">
        <v>0</v>
      </c>
      <c r="I670" s="8">
        <f t="shared" si="41"/>
        <v>1.1280173411621242E-2</v>
      </c>
      <c r="J670" s="8">
        <f t="shared" si="42"/>
        <v>1.1217026682507073E-2</v>
      </c>
      <c r="K670" s="8">
        <f t="shared" si="39"/>
        <v>-0.16756747392855909</v>
      </c>
    </row>
    <row r="671" spans="1:11" x14ac:dyDescent="0.25">
      <c r="A671" t="str">
        <f t="shared" si="40"/>
        <v>92019</v>
      </c>
      <c r="B671" s="1">
        <v>43727</v>
      </c>
      <c r="C671" t="s">
        <v>429</v>
      </c>
      <c r="D671">
        <v>2395.65</v>
      </c>
      <c r="E671">
        <v>2395.9499999999998</v>
      </c>
      <c r="F671">
        <v>2335.9</v>
      </c>
      <c r="G671">
        <v>2363.4499999999998</v>
      </c>
      <c r="H671">
        <v>0</v>
      </c>
      <c r="I671" s="8">
        <f t="shared" si="41"/>
        <v>-1.6315318502486909E-2</v>
      </c>
      <c r="J671" s="8">
        <f t="shared" si="42"/>
        <v>-1.6449878916165003E-2</v>
      </c>
      <c r="K671" s="8">
        <f t="shared" si="39"/>
        <v>-0.19613278459916328</v>
      </c>
    </row>
    <row r="672" spans="1:11" x14ac:dyDescent="0.25">
      <c r="A672" t="str">
        <f t="shared" si="40"/>
        <v>92019</v>
      </c>
      <c r="B672" s="1">
        <v>43728</v>
      </c>
      <c r="C672" t="s">
        <v>430</v>
      </c>
      <c r="D672">
        <v>2374.75</v>
      </c>
      <c r="E672">
        <v>2519.4</v>
      </c>
      <c r="F672">
        <v>2338.9499999999998</v>
      </c>
      <c r="G672">
        <v>2497.65</v>
      </c>
      <c r="H672">
        <v>0</v>
      </c>
      <c r="I672" s="8">
        <f t="shared" si="41"/>
        <v>5.6781400071928889E-2</v>
      </c>
      <c r="J672" s="8">
        <f t="shared" si="42"/>
        <v>5.5227873836354573E-2</v>
      </c>
      <c r="K672" s="8">
        <f t="shared" si="39"/>
        <v>-0.14761791004027025</v>
      </c>
    </row>
    <row r="673" spans="1:11" x14ac:dyDescent="0.25">
      <c r="A673" t="str">
        <f t="shared" si="40"/>
        <v>92019</v>
      </c>
      <c r="B673" s="1">
        <v>43731</v>
      </c>
      <c r="C673" t="s">
        <v>431</v>
      </c>
      <c r="D673">
        <v>2569.25</v>
      </c>
      <c r="E673">
        <v>2576.25</v>
      </c>
      <c r="F673">
        <v>2496.85</v>
      </c>
      <c r="G673">
        <v>2526.1999999999998</v>
      </c>
      <c r="H673">
        <v>0</v>
      </c>
      <c r="I673" s="8">
        <f t="shared" si="41"/>
        <v>1.1430744900206014E-2</v>
      </c>
      <c r="J673" s="8">
        <f t="shared" si="42"/>
        <v>1.1365907560639243E-2</v>
      </c>
      <c r="K673" s="8">
        <f t="shared" si="39"/>
        <v>-0.12662275925253674</v>
      </c>
    </row>
    <row r="674" spans="1:11" x14ac:dyDescent="0.25">
      <c r="A674" t="str">
        <f t="shared" si="40"/>
        <v>92019</v>
      </c>
      <c r="B674" s="1">
        <v>43732</v>
      </c>
      <c r="C674" t="s">
        <v>432</v>
      </c>
      <c r="D674">
        <v>2528.4</v>
      </c>
      <c r="E674">
        <v>2528.4</v>
      </c>
      <c r="F674">
        <v>2481.15</v>
      </c>
      <c r="G674">
        <v>2485.1</v>
      </c>
      <c r="H674">
        <v>0</v>
      </c>
      <c r="I674" s="8">
        <f t="shared" si="41"/>
        <v>-1.6269495685218849E-2</v>
      </c>
      <c r="J674" s="8">
        <f t="shared" si="42"/>
        <v>-1.6403297170118934E-2</v>
      </c>
      <c r="K674" s="8">
        <f t="shared" si="39"/>
        <v>-0.15548909996091964</v>
      </c>
    </row>
    <row r="675" spans="1:11" x14ac:dyDescent="0.25">
      <c r="A675" t="str">
        <f t="shared" si="40"/>
        <v>92019</v>
      </c>
      <c r="B675" s="1">
        <v>43733</v>
      </c>
      <c r="C675" t="s">
        <v>433</v>
      </c>
      <c r="D675">
        <v>2455.1999999999998</v>
      </c>
      <c r="E675">
        <v>2461.6</v>
      </c>
      <c r="F675">
        <v>2404.5</v>
      </c>
      <c r="G675">
        <v>2419.75</v>
      </c>
      <c r="H675">
        <v>0</v>
      </c>
      <c r="I675" s="8">
        <f t="shared" si="41"/>
        <v>-2.6296728501871147E-2</v>
      </c>
      <c r="J675" s="8">
        <f t="shared" si="42"/>
        <v>-2.6648671140557904E-2</v>
      </c>
      <c r="K675" s="8">
        <f t="shared" si="39"/>
        <v>-0.19954018425709985</v>
      </c>
    </row>
    <row r="676" spans="1:11" x14ac:dyDescent="0.25">
      <c r="A676" t="str">
        <f t="shared" si="40"/>
        <v>92019</v>
      </c>
      <c r="B676" s="1">
        <v>43734</v>
      </c>
      <c r="C676" t="s">
        <v>434</v>
      </c>
      <c r="D676">
        <v>2427.85</v>
      </c>
      <c r="E676">
        <v>2529.9499999999998</v>
      </c>
      <c r="F676">
        <v>2422.5500000000002</v>
      </c>
      <c r="G676">
        <v>2520.4499999999998</v>
      </c>
      <c r="H676">
        <v>0</v>
      </c>
      <c r="I676" s="8">
        <f t="shared" si="41"/>
        <v>4.1615869407996664E-2</v>
      </c>
      <c r="J676" s="8">
        <f t="shared" si="42"/>
        <v>4.0773227962862695E-2</v>
      </c>
      <c r="K676" s="8">
        <f t="shared" si="39"/>
        <v>-0.16380797558224403</v>
      </c>
    </row>
    <row r="677" spans="1:11" x14ac:dyDescent="0.25">
      <c r="A677" t="str">
        <f t="shared" si="40"/>
        <v>92019</v>
      </c>
      <c r="B677" s="1">
        <v>43735</v>
      </c>
      <c r="C677" t="s">
        <v>435</v>
      </c>
      <c r="D677">
        <v>2514</v>
      </c>
      <c r="E677">
        <v>2515.8000000000002</v>
      </c>
      <c r="F677">
        <v>2446.1</v>
      </c>
      <c r="G677">
        <v>2453.9499999999998</v>
      </c>
      <c r="H677">
        <v>0</v>
      </c>
      <c r="I677" s="8">
        <f t="shared" si="41"/>
        <v>-2.6384177428633748E-2</v>
      </c>
      <c r="J677" s="8">
        <f t="shared" si="42"/>
        <v>-2.6738485826900485E-2</v>
      </c>
      <c r="K677" s="8">
        <f t="shared" si="39"/>
        <v>-0.17658210858331658</v>
      </c>
    </row>
    <row r="678" spans="1:11" x14ac:dyDescent="0.25">
      <c r="A678" t="str">
        <f t="shared" si="40"/>
        <v>92019</v>
      </c>
      <c r="B678" s="1">
        <v>43738</v>
      </c>
      <c r="C678" t="s">
        <v>436</v>
      </c>
      <c r="D678">
        <v>2428.65</v>
      </c>
      <c r="E678">
        <v>2444.0500000000002</v>
      </c>
      <c r="F678">
        <v>2385.1</v>
      </c>
      <c r="G678">
        <v>2439.85</v>
      </c>
      <c r="H678">
        <v>0</v>
      </c>
      <c r="I678" s="8">
        <f t="shared" si="41"/>
        <v>-5.7458383422644976E-3</v>
      </c>
      <c r="J678" s="8">
        <f t="shared" si="42"/>
        <v>-5.7624091774391342E-3</v>
      </c>
      <c r="K678" s="8">
        <f t="shared" si="39"/>
        <v>-0.18069477325005456</v>
      </c>
    </row>
    <row r="679" spans="1:11" x14ac:dyDescent="0.25">
      <c r="A679" t="str">
        <f t="shared" si="40"/>
        <v>102019</v>
      </c>
      <c r="B679" s="1">
        <v>43739</v>
      </c>
      <c r="C679" s="10">
        <v>43475.645833333336</v>
      </c>
      <c r="D679">
        <v>2441.5500000000002</v>
      </c>
      <c r="E679">
        <v>2449.75</v>
      </c>
      <c r="F679">
        <v>2352.5500000000002</v>
      </c>
      <c r="G679">
        <v>2397.0500000000002</v>
      </c>
      <c r="H679">
        <v>0</v>
      </c>
      <c r="I679" s="8">
        <f t="shared" si="41"/>
        <v>-1.7542062012008808E-2</v>
      </c>
      <c r="J679" s="8">
        <f t="shared" si="42"/>
        <v>-1.7697747363298138E-2</v>
      </c>
      <c r="K679" s="8">
        <f t="shared" si="39"/>
        <v>-0.19920824494295686</v>
      </c>
    </row>
    <row r="680" spans="1:11" x14ac:dyDescent="0.25">
      <c r="A680" t="str">
        <f t="shared" si="40"/>
        <v>102019</v>
      </c>
      <c r="B680" s="1">
        <v>43741</v>
      </c>
      <c r="C680" s="10">
        <v>43534.645833333336</v>
      </c>
      <c r="D680">
        <v>2368.9499999999998</v>
      </c>
      <c r="E680">
        <v>2370.9</v>
      </c>
      <c r="F680">
        <v>2316.5</v>
      </c>
      <c r="G680">
        <v>2326.5500000000002</v>
      </c>
      <c r="H680">
        <v>0</v>
      </c>
      <c r="I680" s="8">
        <f t="shared" si="41"/>
        <v>-2.9411151206691577E-2</v>
      </c>
      <c r="J680" s="8">
        <f t="shared" si="42"/>
        <v>-2.9852331059805576E-2</v>
      </c>
      <c r="K680" s="8">
        <f t="shared" si="39"/>
        <v>-0.22244874087194821</v>
      </c>
    </row>
    <row r="681" spans="1:11" x14ac:dyDescent="0.25">
      <c r="A681" t="str">
        <f t="shared" si="40"/>
        <v>102019</v>
      </c>
      <c r="B681" s="1">
        <v>43742</v>
      </c>
      <c r="C681" s="10">
        <v>43565.645833333336</v>
      </c>
      <c r="D681">
        <v>2344.85</v>
      </c>
      <c r="E681">
        <v>2349</v>
      </c>
      <c r="F681">
        <v>2290</v>
      </c>
      <c r="G681">
        <v>2297.1999999999998</v>
      </c>
      <c r="H681">
        <v>0</v>
      </c>
      <c r="I681" s="8">
        <f t="shared" si="41"/>
        <v>-1.2615245750145165E-2</v>
      </c>
      <c r="J681" s="8">
        <f t="shared" si="42"/>
        <v>-1.2695493574475854E-2</v>
      </c>
      <c r="K681" s="8">
        <f t="shared" si="39"/>
        <v>-0.22457383966244737</v>
      </c>
    </row>
    <row r="682" spans="1:11" x14ac:dyDescent="0.25">
      <c r="A682" t="str">
        <f t="shared" si="40"/>
        <v>102019</v>
      </c>
      <c r="B682" s="1">
        <v>43745</v>
      </c>
      <c r="C682" s="10">
        <v>43656.645833333336</v>
      </c>
      <c r="D682">
        <v>2305.6999999999998</v>
      </c>
      <c r="E682">
        <v>2316.75</v>
      </c>
      <c r="F682">
        <v>2264.9499999999998</v>
      </c>
      <c r="G682">
        <v>2269.9499999999998</v>
      </c>
      <c r="H682">
        <v>0</v>
      </c>
      <c r="I682" s="8">
        <f t="shared" si="41"/>
        <v>-1.1862267107783375E-2</v>
      </c>
      <c r="J682" s="8">
        <f t="shared" si="42"/>
        <v>-1.1933185188996553E-2</v>
      </c>
      <c r="K682" s="8">
        <f t="shared" si="39"/>
        <v>-0.20387549320473486</v>
      </c>
    </row>
    <row r="683" spans="1:11" x14ac:dyDescent="0.25">
      <c r="A683" t="str">
        <f t="shared" si="40"/>
        <v>102019</v>
      </c>
      <c r="B683" s="1">
        <v>43747</v>
      </c>
      <c r="C683" s="10">
        <v>43718.645833333336</v>
      </c>
      <c r="D683">
        <v>2262.8000000000002</v>
      </c>
      <c r="E683">
        <v>2325.65</v>
      </c>
      <c r="F683">
        <v>2252.35</v>
      </c>
      <c r="G683">
        <v>2317.6999999999998</v>
      </c>
      <c r="H683">
        <v>0</v>
      </c>
      <c r="I683" s="8">
        <f t="shared" si="41"/>
        <v>2.1035705632282742E-2</v>
      </c>
      <c r="J683" s="8">
        <f t="shared" si="42"/>
        <v>2.0817509807369097E-2</v>
      </c>
      <c r="K683" s="8">
        <f t="shared" si="39"/>
        <v>-0.16964029807967895</v>
      </c>
    </row>
    <row r="684" spans="1:11" x14ac:dyDescent="0.25">
      <c r="A684" t="str">
        <f t="shared" si="40"/>
        <v>102019</v>
      </c>
      <c r="B684" s="1">
        <v>43748</v>
      </c>
      <c r="C684" s="10">
        <v>43748.645833333336</v>
      </c>
      <c r="D684">
        <v>2300.65</v>
      </c>
      <c r="E684">
        <v>2309.9</v>
      </c>
      <c r="F684">
        <v>2278.6999999999998</v>
      </c>
      <c r="G684">
        <v>2283.35</v>
      </c>
      <c r="H684">
        <v>0</v>
      </c>
      <c r="I684" s="8">
        <f t="shared" si="41"/>
        <v>-1.4820727445312154E-2</v>
      </c>
      <c r="J684" s="8">
        <f t="shared" si="42"/>
        <v>-1.4931651776919151E-2</v>
      </c>
      <c r="K684" s="8">
        <f t="shared" si="39"/>
        <v>-0.18102257850468972</v>
      </c>
    </row>
    <row r="685" spans="1:11" x14ac:dyDescent="0.25">
      <c r="A685" t="str">
        <f t="shared" si="40"/>
        <v>102019</v>
      </c>
      <c r="B685" s="1">
        <v>43749</v>
      </c>
      <c r="C685" s="10">
        <v>43779.645833333336</v>
      </c>
      <c r="D685">
        <v>2300.75</v>
      </c>
      <c r="E685">
        <v>2357.5</v>
      </c>
      <c r="F685">
        <v>2300</v>
      </c>
      <c r="G685">
        <v>2337.1</v>
      </c>
      <c r="H685">
        <v>0</v>
      </c>
      <c r="I685" s="8">
        <f t="shared" si="41"/>
        <v>2.353997416077247E-2</v>
      </c>
      <c r="J685" s="8">
        <f t="shared" si="42"/>
        <v>2.3267181693384646E-2</v>
      </c>
      <c r="K685" s="8">
        <f t="shared" si="39"/>
        <v>-0.15213408550853447</v>
      </c>
    </row>
    <row r="686" spans="1:11" x14ac:dyDescent="0.25">
      <c r="A686" t="str">
        <f t="shared" si="40"/>
        <v>102019</v>
      </c>
      <c r="B686" s="1">
        <v>43752</v>
      </c>
      <c r="C686" t="s">
        <v>437</v>
      </c>
      <c r="D686">
        <v>2360.65</v>
      </c>
      <c r="E686">
        <v>2386.5</v>
      </c>
      <c r="F686">
        <v>2352</v>
      </c>
      <c r="G686">
        <v>2360.1999999999998</v>
      </c>
      <c r="H686">
        <v>0</v>
      </c>
      <c r="I686" s="8">
        <f t="shared" si="41"/>
        <v>9.8840443284411439E-3</v>
      </c>
      <c r="J686" s="8">
        <f t="shared" si="42"/>
        <v>9.8355166666687886E-3</v>
      </c>
      <c r="K686" s="8">
        <f t="shared" si="39"/>
        <v>-0.15864896176811338</v>
      </c>
    </row>
    <row r="687" spans="1:11" x14ac:dyDescent="0.25">
      <c r="A687" t="str">
        <f t="shared" si="40"/>
        <v>102019</v>
      </c>
      <c r="B687" s="1">
        <v>43753</v>
      </c>
      <c r="C687" t="s">
        <v>438</v>
      </c>
      <c r="D687">
        <v>2354.4499999999998</v>
      </c>
      <c r="E687">
        <v>2425.85</v>
      </c>
      <c r="F687">
        <v>2331.4499999999998</v>
      </c>
      <c r="G687">
        <v>2397.0500000000002</v>
      </c>
      <c r="H687">
        <v>0</v>
      </c>
      <c r="I687" s="8">
        <f t="shared" si="41"/>
        <v>1.5613083636980107E-2</v>
      </c>
      <c r="J687" s="8">
        <f t="shared" si="42"/>
        <v>1.549245343277462E-2</v>
      </c>
      <c r="K687" s="8">
        <f t="shared" si="39"/>
        <v>-0.15187701234829987</v>
      </c>
    </row>
    <row r="688" spans="1:11" x14ac:dyDescent="0.25">
      <c r="A688" t="str">
        <f t="shared" si="40"/>
        <v>102019</v>
      </c>
      <c r="B688" s="1">
        <v>43754</v>
      </c>
      <c r="C688" t="s">
        <v>439</v>
      </c>
      <c r="D688">
        <v>2411.8000000000002</v>
      </c>
      <c r="E688">
        <v>2416.25</v>
      </c>
      <c r="F688">
        <v>2379.5500000000002</v>
      </c>
      <c r="G688">
        <v>2388.3000000000002</v>
      </c>
      <c r="H688">
        <v>0</v>
      </c>
      <c r="I688" s="8">
        <f t="shared" si="41"/>
        <v>-3.6503201852277067E-3</v>
      </c>
      <c r="J688" s="8">
        <f t="shared" si="42"/>
        <v>-3.6569988617805986E-3</v>
      </c>
      <c r="K688" s="8">
        <f t="shared" si="39"/>
        <v>-0.15398512221041438</v>
      </c>
    </row>
    <row r="689" spans="1:11" x14ac:dyDescent="0.25">
      <c r="A689" t="str">
        <f t="shared" si="40"/>
        <v>102019</v>
      </c>
      <c r="B689" s="1">
        <v>43755</v>
      </c>
      <c r="C689" t="s">
        <v>440</v>
      </c>
      <c r="D689">
        <v>2369.5500000000002</v>
      </c>
      <c r="E689">
        <v>2424.75</v>
      </c>
      <c r="F689">
        <v>2352.1</v>
      </c>
      <c r="G689">
        <v>2410.9499999999998</v>
      </c>
      <c r="H689">
        <v>0</v>
      </c>
      <c r="I689" s="8">
        <f t="shared" si="41"/>
        <v>9.4837331993467E-3</v>
      </c>
      <c r="J689" s="8">
        <f t="shared" si="42"/>
        <v>9.4390449206173972E-3</v>
      </c>
      <c r="K689" s="8">
        <f t="shared" si="39"/>
        <v>-0.15326531687358425</v>
      </c>
    </row>
    <row r="690" spans="1:11" x14ac:dyDescent="0.25">
      <c r="A690" t="str">
        <f t="shared" si="40"/>
        <v>102019</v>
      </c>
      <c r="B690" s="1">
        <v>43756</v>
      </c>
      <c r="C690" t="s">
        <v>441</v>
      </c>
      <c r="D690">
        <v>2413.25</v>
      </c>
      <c r="E690">
        <v>2463.25</v>
      </c>
      <c r="F690">
        <v>2398.65</v>
      </c>
      <c r="G690">
        <v>2456</v>
      </c>
      <c r="H690">
        <v>0</v>
      </c>
      <c r="I690" s="8">
        <f t="shared" si="41"/>
        <v>1.8685580372882038E-2</v>
      </c>
      <c r="J690" s="8">
        <f t="shared" si="42"/>
        <v>1.8513149583773352E-2</v>
      </c>
      <c r="K690" s="8">
        <f t="shared" si="39"/>
        <v>-0.13788261724234774</v>
      </c>
    </row>
    <row r="691" spans="1:11" x14ac:dyDescent="0.25">
      <c r="A691" t="str">
        <f t="shared" si="40"/>
        <v>102019</v>
      </c>
      <c r="B691" s="1">
        <v>43760</v>
      </c>
      <c r="C691" t="s">
        <v>442</v>
      </c>
      <c r="D691">
        <v>2453</v>
      </c>
      <c r="E691">
        <v>2478.4</v>
      </c>
      <c r="F691">
        <v>2430.1</v>
      </c>
      <c r="G691">
        <v>2442.85</v>
      </c>
      <c r="H691">
        <v>0</v>
      </c>
      <c r="I691" s="8">
        <f t="shared" si="41"/>
        <v>-5.3542345276873515E-3</v>
      </c>
      <c r="J691" s="8">
        <f t="shared" si="42"/>
        <v>-5.3686198124782468E-3</v>
      </c>
      <c r="K691" s="8">
        <f t="shared" si="39"/>
        <v>-0.12083423306701213</v>
      </c>
    </row>
    <row r="692" spans="1:11" x14ac:dyDescent="0.25">
      <c r="A692" t="str">
        <f t="shared" si="40"/>
        <v>102019</v>
      </c>
      <c r="B692" s="1">
        <v>43761</v>
      </c>
      <c r="C692" t="s">
        <v>443</v>
      </c>
      <c r="D692">
        <v>2436.5</v>
      </c>
      <c r="E692">
        <v>2458.1</v>
      </c>
      <c r="F692">
        <v>2420.75</v>
      </c>
      <c r="G692">
        <v>2436.85</v>
      </c>
      <c r="H692">
        <v>0</v>
      </c>
      <c r="I692" s="8">
        <f t="shared" si="41"/>
        <v>-2.4561475325951543E-3</v>
      </c>
      <c r="J692" s="8">
        <f t="shared" si="42"/>
        <v>-2.4591688110971528E-3</v>
      </c>
      <c r="K692" s="8">
        <f t="shared" si="39"/>
        <v>-0.11123876214964346</v>
      </c>
    </row>
    <row r="693" spans="1:11" x14ac:dyDescent="0.25">
      <c r="A693" t="str">
        <f t="shared" si="40"/>
        <v>102019</v>
      </c>
      <c r="B693" s="1">
        <v>43762</v>
      </c>
      <c r="C693" t="s">
        <v>444</v>
      </c>
      <c r="D693">
        <v>2435.1999999999998</v>
      </c>
      <c r="E693">
        <v>2453.4499999999998</v>
      </c>
      <c r="F693">
        <v>2414.85</v>
      </c>
      <c r="G693">
        <v>2419.5500000000002</v>
      </c>
      <c r="H693">
        <v>0</v>
      </c>
      <c r="I693" s="8">
        <f t="shared" si="41"/>
        <v>-7.0993290518496233E-3</v>
      </c>
      <c r="J693" s="8">
        <f t="shared" si="42"/>
        <v>-7.1246491968703501E-3</v>
      </c>
      <c r="K693" s="8">
        <f t="shared" si="39"/>
        <v>-0.13218679387396426</v>
      </c>
    </row>
    <row r="694" spans="1:11" x14ac:dyDescent="0.25">
      <c r="A694" t="str">
        <f t="shared" si="40"/>
        <v>102019</v>
      </c>
      <c r="B694" s="1">
        <v>43763</v>
      </c>
      <c r="C694" t="s">
        <v>445</v>
      </c>
      <c r="D694">
        <v>2419.0500000000002</v>
      </c>
      <c r="E694">
        <v>2437</v>
      </c>
      <c r="F694">
        <v>2404.9</v>
      </c>
      <c r="G694">
        <v>2410.85</v>
      </c>
      <c r="H694">
        <v>0</v>
      </c>
      <c r="I694" s="8">
        <f t="shared" si="41"/>
        <v>-3.595709946064507E-3</v>
      </c>
      <c r="J694" s="8">
        <f t="shared" si="42"/>
        <v>-3.6021900494509272E-3</v>
      </c>
      <c r="K694" s="8">
        <f t="shared" si="39"/>
        <v>-0.13239766081871351</v>
      </c>
    </row>
    <row r="695" spans="1:11" x14ac:dyDescent="0.25">
      <c r="A695" t="str">
        <f t="shared" si="40"/>
        <v>102019</v>
      </c>
      <c r="B695" s="1">
        <v>43765</v>
      </c>
      <c r="C695" t="s">
        <v>446</v>
      </c>
      <c r="D695">
        <v>2425.15</v>
      </c>
      <c r="E695">
        <v>2436.5</v>
      </c>
      <c r="F695">
        <v>2416.15</v>
      </c>
      <c r="G695">
        <v>2421.9499999999998</v>
      </c>
      <c r="H695">
        <v>0</v>
      </c>
      <c r="I695" s="8">
        <f t="shared" si="41"/>
        <v>4.6041852458675869E-3</v>
      </c>
      <c r="J695" s="8">
        <f t="shared" si="42"/>
        <v>4.5936184070200798E-3</v>
      </c>
      <c r="K695" s="8">
        <f t="shared" si="39"/>
        <v>-0.10726331115575294</v>
      </c>
    </row>
    <row r="696" spans="1:11" x14ac:dyDescent="0.25">
      <c r="A696" t="str">
        <f t="shared" si="40"/>
        <v>102019</v>
      </c>
      <c r="B696" s="1">
        <v>43767</v>
      </c>
      <c r="C696" t="s">
        <v>447</v>
      </c>
      <c r="D696">
        <v>2434.5</v>
      </c>
      <c r="E696">
        <v>2528.1</v>
      </c>
      <c r="F696">
        <v>2428.4</v>
      </c>
      <c r="G696">
        <v>2518.3000000000002</v>
      </c>
      <c r="H696">
        <v>0</v>
      </c>
      <c r="I696" s="8">
        <f t="shared" si="41"/>
        <v>3.9781993847932684E-2</v>
      </c>
      <c r="J696" s="8">
        <f t="shared" si="42"/>
        <v>3.9011069879601033E-2</v>
      </c>
      <c r="K696" s="8">
        <f t="shared" si="39"/>
        <v>-6.2574449076831407E-2</v>
      </c>
    </row>
    <row r="697" spans="1:11" x14ac:dyDescent="0.25">
      <c r="A697" t="str">
        <f t="shared" si="40"/>
        <v>102019</v>
      </c>
      <c r="B697" s="1">
        <v>43768</v>
      </c>
      <c r="C697" t="s">
        <v>448</v>
      </c>
      <c r="D697">
        <v>2534.4</v>
      </c>
      <c r="E697">
        <v>2534.4</v>
      </c>
      <c r="F697">
        <v>2502.6</v>
      </c>
      <c r="G697">
        <v>2514.25</v>
      </c>
      <c r="H697">
        <v>0</v>
      </c>
      <c r="I697" s="8">
        <f t="shared" si="41"/>
        <v>-1.608227772703863E-3</v>
      </c>
      <c r="J697" s="8">
        <f t="shared" si="42"/>
        <v>-1.6095223591677584E-3</v>
      </c>
      <c r="K697" s="8">
        <f t="shared" si="39"/>
        <v>-6.6185073074708889E-2</v>
      </c>
    </row>
    <row r="698" spans="1:11" x14ac:dyDescent="0.25">
      <c r="A698" t="str">
        <f t="shared" si="40"/>
        <v>102019</v>
      </c>
      <c r="B698" s="1">
        <v>43769</v>
      </c>
      <c r="C698" t="s">
        <v>449</v>
      </c>
      <c r="D698">
        <v>2525.8000000000002</v>
      </c>
      <c r="E698">
        <v>2539.3000000000002</v>
      </c>
      <c r="F698">
        <v>2492</v>
      </c>
      <c r="G698">
        <v>2500.75</v>
      </c>
      <c r="H698">
        <v>0</v>
      </c>
      <c r="I698" s="8">
        <f t="shared" si="41"/>
        <v>-5.3693944516257641E-3</v>
      </c>
      <c r="J698" s="8">
        <f t="shared" si="42"/>
        <v>-5.3838614592997261E-3</v>
      </c>
      <c r="K698" s="8">
        <f t="shared" si="39"/>
        <v>-4.2555227994946265E-2</v>
      </c>
    </row>
    <row r="699" spans="1:11" x14ac:dyDescent="0.25">
      <c r="A699" t="str">
        <f t="shared" si="40"/>
        <v>112019</v>
      </c>
      <c r="B699" s="1">
        <v>43770</v>
      </c>
      <c r="C699" s="10">
        <v>43476.645833333336</v>
      </c>
      <c r="D699">
        <v>2494.85</v>
      </c>
      <c r="E699">
        <v>2568.35</v>
      </c>
      <c r="F699">
        <v>2483.5</v>
      </c>
      <c r="G699">
        <v>2561.75</v>
      </c>
      <c r="H699">
        <v>0</v>
      </c>
      <c r="I699" s="8">
        <f t="shared" si="41"/>
        <v>2.4392682195341298E-2</v>
      </c>
      <c r="J699" s="8">
        <f t="shared" si="42"/>
        <v>2.4099931814537102E-2</v>
      </c>
      <c r="K699" s="8">
        <f t="shared" si="39"/>
        <v>1.3751483973090561E-2</v>
      </c>
    </row>
    <row r="700" spans="1:11" x14ac:dyDescent="0.25">
      <c r="A700" t="str">
        <f t="shared" si="40"/>
        <v>112019</v>
      </c>
      <c r="B700" s="1">
        <v>43773</v>
      </c>
      <c r="C700" s="10">
        <v>43566.645833333336</v>
      </c>
      <c r="D700">
        <v>2578.85</v>
      </c>
      <c r="E700">
        <v>2660.1</v>
      </c>
      <c r="F700">
        <v>2578.35</v>
      </c>
      <c r="G700">
        <v>2642.15</v>
      </c>
      <c r="H700">
        <v>0</v>
      </c>
      <c r="I700" s="8">
        <f t="shared" si="41"/>
        <v>3.1384795549917133E-2</v>
      </c>
      <c r="J700" s="8">
        <f t="shared" si="42"/>
        <v>3.0902360961119948E-2</v>
      </c>
      <c r="K700" s="8">
        <f t="shared" si="39"/>
        <v>2.0864323937948015E-2</v>
      </c>
    </row>
    <row r="701" spans="1:11" x14ac:dyDescent="0.25">
      <c r="A701" t="str">
        <f t="shared" si="40"/>
        <v>112019</v>
      </c>
      <c r="B701" s="1">
        <v>43774</v>
      </c>
      <c r="C701" s="10">
        <v>43596.645833333336</v>
      </c>
      <c r="D701">
        <v>2667</v>
      </c>
      <c r="E701">
        <v>2673.75</v>
      </c>
      <c r="F701">
        <v>2609.1999999999998</v>
      </c>
      <c r="G701">
        <v>2616.9499999999998</v>
      </c>
      <c r="H701">
        <v>0</v>
      </c>
      <c r="I701" s="8">
        <f t="shared" si="41"/>
        <v>-9.5376871108757699E-3</v>
      </c>
      <c r="J701" s="8">
        <f t="shared" si="42"/>
        <v>-9.5834621397094619E-3</v>
      </c>
      <c r="K701" s="8">
        <f t="shared" si="39"/>
        <v>4.3836381404439351E-2</v>
      </c>
    </row>
    <row r="702" spans="1:11" x14ac:dyDescent="0.25">
      <c r="A702" t="str">
        <f t="shared" si="40"/>
        <v>112019</v>
      </c>
      <c r="B702" s="1">
        <v>43775</v>
      </c>
      <c r="C702" s="10">
        <v>43627.645833333336</v>
      </c>
      <c r="D702">
        <v>2613.9</v>
      </c>
      <c r="E702">
        <v>2656.7</v>
      </c>
      <c r="F702">
        <v>2608.8000000000002</v>
      </c>
      <c r="G702">
        <v>2633.45</v>
      </c>
      <c r="H702">
        <v>0</v>
      </c>
      <c r="I702" s="8">
        <f t="shared" si="41"/>
        <v>6.3050497716807818E-3</v>
      </c>
      <c r="J702" s="8">
        <f t="shared" si="42"/>
        <v>6.2852561018494303E-3</v>
      </c>
      <c r="K702" s="8">
        <f t="shared" si="39"/>
        <v>7.0899922735960352E-2</v>
      </c>
    </row>
    <row r="703" spans="1:11" x14ac:dyDescent="0.25">
      <c r="A703" t="str">
        <f t="shared" si="40"/>
        <v>112019</v>
      </c>
      <c r="B703" s="1">
        <v>43776</v>
      </c>
      <c r="C703" s="10">
        <v>43657.645833333336</v>
      </c>
      <c r="D703">
        <v>2645.35</v>
      </c>
      <c r="E703">
        <v>2677.85</v>
      </c>
      <c r="F703">
        <v>2596.6999999999998</v>
      </c>
      <c r="G703">
        <v>2659.05</v>
      </c>
      <c r="H703">
        <v>0</v>
      </c>
      <c r="I703" s="8">
        <f t="shared" si="41"/>
        <v>9.7210883062144315E-3</v>
      </c>
      <c r="J703" s="8">
        <f t="shared" si="42"/>
        <v>9.6741425248158559E-3</v>
      </c>
      <c r="K703" s="8">
        <f t="shared" si="39"/>
        <v>0.10089635042540435</v>
      </c>
    </row>
    <row r="704" spans="1:11" x14ac:dyDescent="0.25">
      <c r="A704" t="str">
        <f t="shared" si="40"/>
        <v>112019</v>
      </c>
      <c r="B704" s="1">
        <v>43777</v>
      </c>
      <c r="C704" s="10">
        <v>43688.645833333336</v>
      </c>
      <c r="D704">
        <v>2652.15</v>
      </c>
      <c r="E704">
        <v>2669.95</v>
      </c>
      <c r="F704">
        <v>2607.25</v>
      </c>
      <c r="G704">
        <v>2612.9499999999998</v>
      </c>
      <c r="H704">
        <v>0</v>
      </c>
      <c r="I704" s="8">
        <f t="shared" si="41"/>
        <v>-1.7337018860119402E-2</v>
      </c>
      <c r="J704" s="8">
        <f t="shared" si="42"/>
        <v>-1.7489064884130889E-2</v>
      </c>
      <c r="K704" s="8">
        <f t="shared" ref="K704:K767" si="43">+G704/G643-1</f>
        <v>6.7359735299523882E-2</v>
      </c>
    </row>
    <row r="705" spans="1:11" x14ac:dyDescent="0.25">
      <c r="A705" t="str">
        <f t="shared" si="40"/>
        <v>112019</v>
      </c>
      <c r="B705" s="1">
        <v>43780</v>
      </c>
      <c r="C705" s="10">
        <v>43780.645833333336</v>
      </c>
      <c r="D705">
        <v>2610.15</v>
      </c>
      <c r="E705">
        <v>2622.45</v>
      </c>
      <c r="F705">
        <v>2598.5500000000002</v>
      </c>
      <c r="G705">
        <v>2610.1</v>
      </c>
      <c r="H705">
        <v>0</v>
      </c>
      <c r="I705" s="8">
        <f t="shared" si="41"/>
        <v>-1.0907212154843693E-3</v>
      </c>
      <c r="J705" s="8">
        <f t="shared" si="42"/>
        <v>-1.0913164847572391E-3</v>
      </c>
      <c r="K705" s="8">
        <f t="shared" si="43"/>
        <v>9.2343426311494392E-2</v>
      </c>
    </row>
    <row r="706" spans="1:11" x14ac:dyDescent="0.25">
      <c r="A706" t="str">
        <f t="shared" si="40"/>
        <v>112019</v>
      </c>
      <c r="B706" s="1">
        <v>43782</v>
      </c>
      <c r="C706" t="s">
        <v>450</v>
      </c>
      <c r="D706">
        <v>2617.9499999999998</v>
      </c>
      <c r="E706">
        <v>2637.8</v>
      </c>
      <c r="F706">
        <v>2546.8000000000002</v>
      </c>
      <c r="G706">
        <v>2556.65</v>
      </c>
      <c r="H706">
        <v>0</v>
      </c>
      <c r="I706" s="8">
        <f t="shared" si="41"/>
        <v>-2.0478142599900329E-2</v>
      </c>
      <c r="J706" s="8">
        <f t="shared" si="42"/>
        <v>-2.0690726991894906E-2</v>
      </c>
      <c r="K706" s="8">
        <f t="shared" si="43"/>
        <v>5.6991069952042395E-2</v>
      </c>
    </row>
    <row r="707" spans="1:11" x14ac:dyDescent="0.25">
      <c r="A707" t="str">
        <f t="shared" ref="A707:A770" si="44">+MONTH(B707)&amp;YEAR(B707)</f>
        <v>112019</v>
      </c>
      <c r="B707" s="1">
        <v>43783</v>
      </c>
      <c r="C707" t="s">
        <v>451</v>
      </c>
      <c r="D707">
        <v>2560.1999999999998</v>
      </c>
      <c r="E707">
        <v>2562.1</v>
      </c>
      <c r="F707">
        <v>2499.5</v>
      </c>
      <c r="G707">
        <v>2506.6</v>
      </c>
      <c r="H707">
        <v>0</v>
      </c>
      <c r="I707" s="8">
        <f t="shared" si="41"/>
        <v>-1.9576398803121342E-2</v>
      </c>
      <c r="J707" s="8">
        <f t="shared" si="42"/>
        <v>-1.977055458969823E-2</v>
      </c>
      <c r="K707" s="8">
        <f t="shared" si="43"/>
        <v>4.5287739783152592E-2</v>
      </c>
    </row>
    <row r="708" spans="1:11" x14ac:dyDescent="0.25">
      <c r="A708" t="str">
        <f t="shared" si="44"/>
        <v>112019</v>
      </c>
      <c r="B708" s="1">
        <v>43784</v>
      </c>
      <c r="C708" t="s">
        <v>452</v>
      </c>
      <c r="D708">
        <v>2512.65</v>
      </c>
      <c r="E708">
        <v>2529.0500000000002</v>
      </c>
      <c r="F708">
        <v>2491</v>
      </c>
      <c r="G708">
        <v>2498.8000000000002</v>
      </c>
      <c r="H708">
        <v>0</v>
      </c>
      <c r="I708" s="8">
        <f t="shared" ref="I708:I771" si="45">+G708/G707-1</f>
        <v>-3.1117848878958743E-3</v>
      </c>
      <c r="J708" s="8">
        <f t="shared" ref="J708:J771" si="46">+LN(1+I708)</f>
        <v>-3.1166365580069561E-3</v>
      </c>
      <c r="K708" s="8">
        <f t="shared" si="43"/>
        <v>6.0656224797317471E-2</v>
      </c>
    </row>
    <row r="709" spans="1:11" x14ac:dyDescent="0.25">
      <c r="A709" t="str">
        <f t="shared" si="44"/>
        <v>112019</v>
      </c>
      <c r="B709" s="1">
        <v>43787</v>
      </c>
      <c r="C709" t="s">
        <v>453</v>
      </c>
      <c r="D709">
        <v>2511.35</v>
      </c>
      <c r="E709">
        <v>2550.3000000000002</v>
      </c>
      <c r="F709">
        <v>2495.6</v>
      </c>
      <c r="G709">
        <v>2539.65</v>
      </c>
      <c r="H709">
        <v>0</v>
      </c>
      <c r="I709" s="8">
        <f t="shared" si="45"/>
        <v>1.63478469665439E-2</v>
      </c>
      <c r="J709" s="8">
        <f t="shared" si="46"/>
        <v>1.6215659622935624E-2</v>
      </c>
      <c r="K709" s="8">
        <f t="shared" si="43"/>
        <v>5.3337757408597808E-2</v>
      </c>
    </row>
    <row r="710" spans="1:11" x14ac:dyDescent="0.25">
      <c r="A710" t="str">
        <f t="shared" si="44"/>
        <v>112019</v>
      </c>
      <c r="B710" s="1">
        <v>43788</v>
      </c>
      <c r="C710" t="s">
        <v>454</v>
      </c>
      <c r="D710">
        <v>2547.1</v>
      </c>
      <c r="E710">
        <v>2549.25</v>
      </c>
      <c r="F710">
        <v>2512.4499999999998</v>
      </c>
      <c r="G710">
        <v>2517.9499999999998</v>
      </c>
      <c r="H710">
        <v>0</v>
      </c>
      <c r="I710" s="8">
        <f t="shared" si="45"/>
        <v>-8.5444844762074812E-3</v>
      </c>
      <c r="J710" s="8">
        <f t="shared" si="46"/>
        <v>-8.5811978645999824E-3</v>
      </c>
      <c r="K710" s="8">
        <f t="shared" si="43"/>
        <v>4.8250452738285876E-2</v>
      </c>
    </row>
    <row r="711" spans="1:11" x14ac:dyDescent="0.25">
      <c r="A711" t="str">
        <f t="shared" si="44"/>
        <v>112019</v>
      </c>
      <c r="B711" s="1">
        <v>43789</v>
      </c>
      <c r="C711" t="s">
        <v>455</v>
      </c>
      <c r="D711">
        <v>2520.1</v>
      </c>
      <c r="E711">
        <v>2549.85</v>
      </c>
      <c r="F711">
        <v>2509.75</v>
      </c>
      <c r="G711">
        <v>2524.9</v>
      </c>
      <c r="H711">
        <v>0</v>
      </c>
      <c r="I711" s="8">
        <f t="shared" si="45"/>
        <v>2.7601818940012901E-3</v>
      </c>
      <c r="J711" s="8">
        <f t="shared" si="46"/>
        <v>2.7563795870561773E-3</v>
      </c>
      <c r="K711" s="8">
        <f t="shared" si="43"/>
        <v>5.584711564597411E-2</v>
      </c>
    </row>
    <row r="712" spans="1:11" x14ac:dyDescent="0.25">
      <c r="A712" t="str">
        <f t="shared" si="44"/>
        <v>112019</v>
      </c>
      <c r="B712" s="1">
        <v>43790</v>
      </c>
      <c r="C712" t="s">
        <v>456</v>
      </c>
      <c r="D712">
        <v>2524.65</v>
      </c>
      <c r="E712">
        <v>2524.65</v>
      </c>
      <c r="F712">
        <v>2466.65</v>
      </c>
      <c r="G712">
        <v>2470.4499999999998</v>
      </c>
      <c r="H712">
        <v>0</v>
      </c>
      <c r="I712" s="8">
        <f t="shared" si="45"/>
        <v>-2.1565210503386334E-2</v>
      </c>
      <c r="J712" s="8">
        <f t="shared" si="46"/>
        <v>-2.1801137701862639E-2</v>
      </c>
      <c r="K712" s="8">
        <f t="shared" si="43"/>
        <v>5.0741126682687154E-2</v>
      </c>
    </row>
    <row r="713" spans="1:11" x14ac:dyDescent="0.25">
      <c r="A713" t="str">
        <f t="shared" si="44"/>
        <v>112019</v>
      </c>
      <c r="B713" s="1">
        <v>43791</v>
      </c>
      <c r="C713" t="s">
        <v>457</v>
      </c>
      <c r="D713">
        <v>2472.9</v>
      </c>
      <c r="E713">
        <v>2529.6999999999998</v>
      </c>
      <c r="F713">
        <v>2468</v>
      </c>
      <c r="G713">
        <v>2521.15</v>
      </c>
      <c r="H713">
        <v>0</v>
      </c>
      <c r="I713" s="8">
        <f t="shared" si="45"/>
        <v>2.0522576858467145E-2</v>
      </c>
      <c r="J713" s="8">
        <f t="shared" si="46"/>
        <v>2.0314826353243255E-2</v>
      </c>
      <c r="K713" s="8">
        <f t="shared" si="43"/>
        <v>0.10421776454099518</v>
      </c>
    </row>
    <row r="714" spans="1:11" x14ac:dyDescent="0.25">
      <c r="A714" t="str">
        <f t="shared" si="44"/>
        <v>112019</v>
      </c>
      <c r="B714" s="1">
        <v>43794</v>
      </c>
      <c r="C714" t="s">
        <v>458</v>
      </c>
      <c r="D714">
        <v>2535.0500000000002</v>
      </c>
      <c r="E714">
        <v>2608.9499999999998</v>
      </c>
      <c r="F714">
        <v>2533.3000000000002</v>
      </c>
      <c r="G714">
        <v>2602</v>
      </c>
      <c r="H714">
        <v>0</v>
      </c>
      <c r="I714" s="8">
        <f t="shared" si="45"/>
        <v>3.2068698808083607E-2</v>
      </c>
      <c r="J714" s="8">
        <f t="shared" si="46"/>
        <v>3.1565233456263345E-2</v>
      </c>
      <c r="K714" s="8">
        <f t="shared" si="43"/>
        <v>0.18079506262479583</v>
      </c>
    </row>
    <row r="715" spans="1:11" x14ac:dyDescent="0.25">
      <c r="A715" t="str">
        <f t="shared" si="44"/>
        <v>112019</v>
      </c>
      <c r="B715" s="1">
        <v>43795</v>
      </c>
      <c r="C715" t="s">
        <v>459</v>
      </c>
      <c r="D715">
        <v>2614.6</v>
      </c>
      <c r="E715">
        <v>2627.9</v>
      </c>
      <c r="F715">
        <v>2565.65</v>
      </c>
      <c r="G715">
        <v>2580.5500000000002</v>
      </c>
      <c r="H715">
        <v>0</v>
      </c>
      <c r="I715" s="8">
        <f t="shared" si="45"/>
        <v>-8.2436587240583004E-3</v>
      </c>
      <c r="J715" s="8">
        <f t="shared" si="46"/>
        <v>-8.2778255814775752E-3</v>
      </c>
      <c r="K715" s="8">
        <f t="shared" si="43"/>
        <v>0.13249072915980964</v>
      </c>
    </row>
    <row r="716" spans="1:11" x14ac:dyDescent="0.25">
      <c r="A716" t="str">
        <f t="shared" si="44"/>
        <v>112019</v>
      </c>
      <c r="B716" s="1">
        <v>43796</v>
      </c>
      <c r="C716" t="s">
        <v>460</v>
      </c>
      <c r="D716">
        <v>2585.15</v>
      </c>
      <c r="E716">
        <v>2616.85</v>
      </c>
      <c r="F716">
        <v>2583.4</v>
      </c>
      <c r="G716">
        <v>2602.85</v>
      </c>
      <c r="H716">
        <v>0</v>
      </c>
      <c r="I716" s="8">
        <f t="shared" si="45"/>
        <v>8.6415686578440454E-3</v>
      </c>
      <c r="J716" s="8">
        <f t="shared" si="46"/>
        <v>8.6044440267953951E-3</v>
      </c>
      <c r="K716" s="8">
        <f t="shared" si="43"/>
        <v>0.15341324529723255</v>
      </c>
    </row>
    <row r="717" spans="1:11" x14ac:dyDescent="0.25">
      <c r="A717" t="str">
        <f t="shared" si="44"/>
        <v>112019</v>
      </c>
      <c r="B717" s="1">
        <v>43797</v>
      </c>
      <c r="C717" t="s">
        <v>461</v>
      </c>
      <c r="D717">
        <v>2604</v>
      </c>
      <c r="E717">
        <v>2662.8</v>
      </c>
      <c r="F717">
        <v>2597.9</v>
      </c>
      <c r="G717">
        <v>2656.85</v>
      </c>
      <c r="H717">
        <v>0</v>
      </c>
      <c r="I717" s="8">
        <f t="shared" si="45"/>
        <v>2.0746489425053305E-2</v>
      </c>
      <c r="J717" s="8">
        <f t="shared" si="46"/>
        <v>2.053421200032202E-2</v>
      </c>
      <c r="K717" s="8">
        <f t="shared" si="43"/>
        <v>0.15319675333130767</v>
      </c>
    </row>
    <row r="718" spans="1:11" x14ac:dyDescent="0.25">
      <c r="A718" t="str">
        <f t="shared" si="44"/>
        <v>112019</v>
      </c>
      <c r="B718" s="1">
        <v>43798</v>
      </c>
      <c r="C718" t="s">
        <v>462</v>
      </c>
      <c r="D718">
        <v>2644.95</v>
      </c>
      <c r="E718">
        <v>2668.35</v>
      </c>
      <c r="F718">
        <v>2608.4499999999998</v>
      </c>
      <c r="G718">
        <v>2625.5</v>
      </c>
      <c r="H718">
        <v>0</v>
      </c>
      <c r="I718" s="8">
        <f t="shared" si="45"/>
        <v>-1.1799687599977404E-2</v>
      </c>
      <c r="J718" s="8">
        <f t="shared" si="46"/>
        <v>-1.1869856440176527E-2</v>
      </c>
      <c r="K718" s="8">
        <f t="shared" si="43"/>
        <v>0.1792315120483281</v>
      </c>
    </row>
    <row r="719" spans="1:11" x14ac:dyDescent="0.25">
      <c r="A719" t="str">
        <f t="shared" si="44"/>
        <v>122019</v>
      </c>
      <c r="B719" s="1">
        <v>43801</v>
      </c>
      <c r="C719" s="10">
        <v>43508.645833333336</v>
      </c>
      <c r="D719">
        <v>2631.85</v>
      </c>
      <c r="E719">
        <v>2637.1</v>
      </c>
      <c r="F719">
        <v>2612.15</v>
      </c>
      <c r="G719">
        <v>2629</v>
      </c>
      <c r="H719">
        <v>0</v>
      </c>
      <c r="I719" s="8">
        <f t="shared" si="45"/>
        <v>1.3330794134449597E-3</v>
      </c>
      <c r="J719" s="8">
        <f t="shared" si="46"/>
        <v>1.3321916519671332E-3</v>
      </c>
      <c r="K719" s="8">
        <f t="shared" si="43"/>
        <v>0.16618981081021134</v>
      </c>
    </row>
    <row r="720" spans="1:11" x14ac:dyDescent="0.25">
      <c r="A720" t="str">
        <f t="shared" si="44"/>
        <v>122019</v>
      </c>
      <c r="B720" s="1">
        <v>43802</v>
      </c>
      <c r="C720" s="10">
        <v>43536.645833333336</v>
      </c>
      <c r="D720">
        <v>2627.85</v>
      </c>
      <c r="E720">
        <v>2629.25</v>
      </c>
      <c r="F720">
        <v>2555.4499999999998</v>
      </c>
      <c r="G720">
        <v>2564.1999999999998</v>
      </c>
      <c r="H720">
        <v>0</v>
      </c>
      <c r="I720" s="8">
        <f t="shared" si="45"/>
        <v>-2.4648155192088295E-2</v>
      </c>
      <c r="J720" s="8">
        <f t="shared" si="46"/>
        <v>-2.4957006611280978E-2</v>
      </c>
      <c r="K720" s="8">
        <f t="shared" si="43"/>
        <v>0.11976244022795268</v>
      </c>
    </row>
    <row r="721" spans="1:11" x14ac:dyDescent="0.25">
      <c r="A721" t="str">
        <f t="shared" si="44"/>
        <v>122019</v>
      </c>
      <c r="B721" s="1">
        <v>43803</v>
      </c>
      <c r="C721" s="10">
        <v>43567.645833333336</v>
      </c>
      <c r="D721">
        <v>2536.8000000000002</v>
      </c>
      <c r="E721">
        <v>2613.15</v>
      </c>
      <c r="F721">
        <v>2514</v>
      </c>
      <c r="G721">
        <v>2604</v>
      </c>
      <c r="H721">
        <v>0</v>
      </c>
      <c r="I721" s="8">
        <f t="shared" si="45"/>
        <v>1.5521410186412954E-2</v>
      </c>
      <c r="J721" s="8">
        <f t="shared" si="46"/>
        <v>1.5402185209859616E-2</v>
      </c>
      <c r="K721" s="8">
        <f t="shared" si="43"/>
        <v>0.17352802000946399</v>
      </c>
    </row>
    <row r="722" spans="1:11" x14ac:dyDescent="0.25">
      <c r="A722" t="str">
        <f t="shared" si="44"/>
        <v>122019</v>
      </c>
      <c r="B722" s="1">
        <v>43804</v>
      </c>
      <c r="C722" s="10">
        <v>43597.645833333336</v>
      </c>
      <c r="D722">
        <v>2605.6999999999998</v>
      </c>
      <c r="E722">
        <v>2611.1999999999998</v>
      </c>
      <c r="F722">
        <v>2535.85</v>
      </c>
      <c r="G722">
        <v>2543.9499999999998</v>
      </c>
      <c r="H722">
        <v>0</v>
      </c>
      <c r="I722" s="8">
        <f t="shared" si="45"/>
        <v>-2.3060675883256554E-2</v>
      </c>
      <c r="J722" s="8">
        <f t="shared" si="46"/>
        <v>-2.3330733149641559E-2</v>
      </c>
      <c r="K722" s="8">
        <f t="shared" si="43"/>
        <v>0.1283125984077349</v>
      </c>
    </row>
    <row r="723" spans="1:11" x14ac:dyDescent="0.25">
      <c r="A723" t="str">
        <f t="shared" si="44"/>
        <v>122019</v>
      </c>
      <c r="B723" s="1">
        <v>43805</v>
      </c>
      <c r="C723" s="10">
        <v>43628.645833333336</v>
      </c>
      <c r="D723">
        <v>2551.0500000000002</v>
      </c>
      <c r="E723">
        <v>2571.5</v>
      </c>
      <c r="F723">
        <v>2516.5500000000002</v>
      </c>
      <c r="G723">
        <v>2535.85</v>
      </c>
      <c r="H723">
        <v>0</v>
      </c>
      <c r="I723" s="8">
        <f t="shared" si="45"/>
        <v>-3.1840248432555285E-3</v>
      </c>
      <c r="J723" s="8">
        <f t="shared" si="46"/>
        <v>-3.1891046360135807E-3</v>
      </c>
      <c r="K723" s="8">
        <f t="shared" si="43"/>
        <v>9.6062413554633519E-2</v>
      </c>
    </row>
    <row r="724" spans="1:11" x14ac:dyDescent="0.25">
      <c r="A724" t="str">
        <f t="shared" si="44"/>
        <v>122019</v>
      </c>
      <c r="B724" s="1">
        <v>43808</v>
      </c>
      <c r="C724" s="10">
        <v>43720.645833333336</v>
      </c>
      <c r="D724">
        <v>2539</v>
      </c>
      <c r="E724">
        <v>2577.0500000000002</v>
      </c>
      <c r="F724">
        <v>2528.4499999999998</v>
      </c>
      <c r="G724">
        <v>2551.6999999999998</v>
      </c>
      <c r="H724">
        <v>0</v>
      </c>
      <c r="I724" s="8">
        <f t="shared" si="45"/>
        <v>6.2503696985232171E-3</v>
      </c>
      <c r="J724" s="8">
        <f t="shared" si="46"/>
        <v>6.2309171528276801E-3</v>
      </c>
      <c r="K724" s="8">
        <f t="shared" si="43"/>
        <v>8.2283581456504162E-2</v>
      </c>
    </row>
    <row r="725" spans="1:11" x14ac:dyDescent="0.25">
      <c r="A725" t="str">
        <f t="shared" si="44"/>
        <v>122019</v>
      </c>
      <c r="B725" s="1">
        <v>43809</v>
      </c>
      <c r="C725" s="10">
        <v>43750.645833333336</v>
      </c>
      <c r="D725">
        <v>2549</v>
      </c>
      <c r="E725">
        <v>2556.6</v>
      </c>
      <c r="F725">
        <v>2510.75</v>
      </c>
      <c r="G725">
        <v>2515.9</v>
      </c>
      <c r="H725">
        <v>0</v>
      </c>
      <c r="I725" s="8">
        <f t="shared" si="45"/>
        <v>-1.4029862444644658E-2</v>
      </c>
      <c r="J725" s="8">
        <f t="shared" si="46"/>
        <v>-1.4129211293160441E-2</v>
      </c>
      <c r="K725" s="8">
        <f t="shared" si="43"/>
        <v>6.603673650981956E-2</v>
      </c>
    </row>
    <row r="726" spans="1:11" x14ac:dyDescent="0.25">
      <c r="A726" t="str">
        <f t="shared" si="44"/>
        <v>122019</v>
      </c>
      <c r="B726" s="1">
        <v>43810</v>
      </c>
      <c r="C726" s="10">
        <v>43781.645833333336</v>
      </c>
      <c r="D726">
        <v>2524.65</v>
      </c>
      <c r="E726">
        <v>2533.6</v>
      </c>
      <c r="F726">
        <v>2484</v>
      </c>
      <c r="G726">
        <v>2509.5500000000002</v>
      </c>
      <c r="H726">
        <v>0</v>
      </c>
      <c r="I726" s="8">
        <f t="shared" si="45"/>
        <v>-2.5239476926744997E-3</v>
      </c>
      <c r="J726" s="8">
        <f t="shared" si="46"/>
        <v>-2.5271382182626453E-3</v>
      </c>
      <c r="K726" s="8">
        <f t="shared" si="43"/>
        <v>3.9344805450290954E-2</v>
      </c>
    </row>
    <row r="727" spans="1:11" x14ac:dyDescent="0.25">
      <c r="A727" t="str">
        <f t="shared" si="44"/>
        <v>122019</v>
      </c>
      <c r="B727" s="1">
        <v>43811</v>
      </c>
      <c r="C727" s="10">
        <v>43811.645833333336</v>
      </c>
      <c r="D727">
        <v>2525.4</v>
      </c>
      <c r="E727">
        <v>2580.5500000000002</v>
      </c>
      <c r="F727">
        <v>2518.5</v>
      </c>
      <c r="G727">
        <v>2568.8000000000002</v>
      </c>
      <c r="H727">
        <v>0</v>
      </c>
      <c r="I727" s="8">
        <f t="shared" si="45"/>
        <v>2.360981052379918E-2</v>
      </c>
      <c r="J727" s="8">
        <f t="shared" si="46"/>
        <v>2.3335409591095181E-2</v>
      </c>
      <c r="K727" s="8">
        <f t="shared" si="43"/>
        <v>6.5626814900854757E-2</v>
      </c>
    </row>
    <row r="728" spans="1:11" x14ac:dyDescent="0.25">
      <c r="A728" t="str">
        <f t="shared" si="44"/>
        <v>122019</v>
      </c>
      <c r="B728" s="1">
        <v>43812</v>
      </c>
      <c r="C728" t="s">
        <v>463</v>
      </c>
      <c r="D728">
        <v>2620.3000000000002</v>
      </c>
      <c r="E728">
        <v>2645.3</v>
      </c>
      <c r="F728">
        <v>2607.5500000000002</v>
      </c>
      <c r="G728">
        <v>2626.75</v>
      </c>
      <c r="H728">
        <v>0</v>
      </c>
      <c r="I728" s="8">
        <f t="shared" si="45"/>
        <v>2.2559171597632988E-2</v>
      </c>
      <c r="J728" s="8">
        <f t="shared" si="46"/>
        <v>2.230847679358032E-2</v>
      </c>
      <c r="K728" s="8">
        <f t="shared" si="43"/>
        <v>7.4730984820588375E-2</v>
      </c>
    </row>
    <row r="729" spans="1:11" x14ac:dyDescent="0.25">
      <c r="A729" t="str">
        <f t="shared" si="44"/>
        <v>122019</v>
      </c>
      <c r="B729" s="1">
        <v>43815</v>
      </c>
      <c r="C729" t="s">
        <v>464</v>
      </c>
      <c r="D729">
        <v>2640.55</v>
      </c>
      <c r="E729">
        <v>2642.5</v>
      </c>
      <c r="F729">
        <v>2586.65</v>
      </c>
      <c r="G729">
        <v>2591.1</v>
      </c>
      <c r="H729">
        <v>0</v>
      </c>
      <c r="I729" s="8">
        <f t="shared" si="45"/>
        <v>-1.3571904444655947E-2</v>
      </c>
      <c r="J729" s="8">
        <f t="shared" si="46"/>
        <v>-1.3664844614535073E-2</v>
      </c>
      <c r="K729" s="8">
        <f t="shared" si="43"/>
        <v>6.1686914834770734E-2</v>
      </c>
    </row>
    <row r="730" spans="1:11" x14ac:dyDescent="0.25">
      <c r="A730" t="str">
        <f t="shared" si="44"/>
        <v>122019</v>
      </c>
      <c r="B730" s="1">
        <v>43816</v>
      </c>
      <c r="C730" t="s">
        <v>465</v>
      </c>
      <c r="D730">
        <v>2603.9</v>
      </c>
      <c r="E730">
        <v>2677.25</v>
      </c>
      <c r="F730">
        <v>2600.9499999999998</v>
      </c>
      <c r="G730">
        <v>2665.75</v>
      </c>
      <c r="H730">
        <v>0</v>
      </c>
      <c r="I730" s="8">
        <f t="shared" si="45"/>
        <v>2.8810157848018214E-2</v>
      </c>
      <c r="J730" s="8">
        <f t="shared" si="46"/>
        <v>2.8402947943939341E-2</v>
      </c>
      <c r="K730" s="8">
        <f t="shared" si="43"/>
        <v>0.12201948776227467</v>
      </c>
    </row>
    <row r="731" spans="1:11" x14ac:dyDescent="0.25">
      <c r="A731" t="str">
        <f t="shared" si="44"/>
        <v>122019</v>
      </c>
      <c r="B731" s="1">
        <v>43817</v>
      </c>
      <c r="C731" t="s">
        <v>466</v>
      </c>
      <c r="D731">
        <v>2667.75</v>
      </c>
      <c r="E731">
        <v>2704.6</v>
      </c>
      <c r="F731">
        <v>2648.85</v>
      </c>
      <c r="G731">
        <v>2687.65</v>
      </c>
      <c r="H731">
        <v>0</v>
      </c>
      <c r="I731" s="8">
        <f t="shared" si="45"/>
        <v>8.2153240176310316E-3</v>
      </c>
      <c r="J731" s="8">
        <f t="shared" si="46"/>
        <v>8.1817619335769181E-3</v>
      </c>
      <c r="K731" s="8">
        <f t="shared" si="43"/>
        <v>0.11861902482675379</v>
      </c>
    </row>
    <row r="732" spans="1:11" x14ac:dyDescent="0.25">
      <c r="A732" t="str">
        <f t="shared" si="44"/>
        <v>122019</v>
      </c>
      <c r="B732" s="1">
        <v>43818</v>
      </c>
      <c r="C732" t="s">
        <v>467</v>
      </c>
      <c r="D732">
        <v>2678.85</v>
      </c>
      <c r="E732">
        <v>2697.65</v>
      </c>
      <c r="F732">
        <v>2667.75</v>
      </c>
      <c r="G732">
        <v>2691.1</v>
      </c>
      <c r="H732">
        <v>0</v>
      </c>
      <c r="I732" s="8">
        <f t="shared" si="45"/>
        <v>1.2836492846910463E-3</v>
      </c>
      <c r="J732" s="8">
        <f t="shared" si="46"/>
        <v>1.2828261113166412E-3</v>
      </c>
      <c r="K732" s="8">
        <f t="shared" si="43"/>
        <v>0.13863208445281261</v>
      </c>
    </row>
    <row r="733" spans="1:11" x14ac:dyDescent="0.25">
      <c r="A733" t="str">
        <f t="shared" si="44"/>
        <v>122019</v>
      </c>
      <c r="B733" s="1">
        <v>43819</v>
      </c>
      <c r="C733" t="s">
        <v>468</v>
      </c>
      <c r="D733">
        <v>2693.35</v>
      </c>
      <c r="E733">
        <v>2724.65</v>
      </c>
      <c r="F733">
        <v>2684.3</v>
      </c>
      <c r="G733">
        <v>2707.5</v>
      </c>
      <c r="H733">
        <v>0</v>
      </c>
      <c r="I733" s="8">
        <f t="shared" si="45"/>
        <v>6.0941622384897975E-3</v>
      </c>
      <c r="J733" s="8">
        <f t="shared" si="46"/>
        <v>6.0756679319630934E-3</v>
      </c>
      <c r="K733" s="8">
        <f t="shared" si="43"/>
        <v>8.4018977839168674E-2</v>
      </c>
    </row>
    <row r="734" spans="1:11" x14ac:dyDescent="0.25">
      <c r="A734" t="str">
        <f t="shared" si="44"/>
        <v>122019</v>
      </c>
      <c r="B734" s="1">
        <v>43822</v>
      </c>
      <c r="C734" t="s">
        <v>469</v>
      </c>
      <c r="D734">
        <v>2711</v>
      </c>
      <c r="E734">
        <v>2738</v>
      </c>
      <c r="F734">
        <v>2694.55</v>
      </c>
      <c r="G734">
        <v>2706.35</v>
      </c>
      <c r="H734">
        <v>0</v>
      </c>
      <c r="I734" s="8">
        <f t="shared" si="45"/>
        <v>-4.2474607571563183E-4</v>
      </c>
      <c r="J734" s="8">
        <f t="shared" si="46"/>
        <v>-4.2483630588089336E-4</v>
      </c>
      <c r="K734" s="8">
        <f t="shared" si="43"/>
        <v>7.1312643496160177E-2</v>
      </c>
    </row>
    <row r="735" spans="1:11" x14ac:dyDescent="0.25">
      <c r="A735" t="str">
        <f t="shared" si="44"/>
        <v>122019</v>
      </c>
      <c r="B735" s="1">
        <v>43823</v>
      </c>
      <c r="C735" t="s">
        <v>470</v>
      </c>
      <c r="D735">
        <v>2716.5</v>
      </c>
      <c r="E735">
        <v>2734.15</v>
      </c>
      <c r="F735">
        <v>2709.6</v>
      </c>
      <c r="G735">
        <v>2723.15</v>
      </c>
      <c r="H735">
        <v>0</v>
      </c>
      <c r="I735" s="8">
        <f t="shared" si="45"/>
        <v>6.2076228130139022E-3</v>
      </c>
      <c r="J735" s="8">
        <f t="shared" si="46"/>
        <v>6.1884348891731765E-3</v>
      </c>
      <c r="K735" s="8">
        <f t="shared" si="43"/>
        <v>9.5790913846525383E-2</v>
      </c>
    </row>
    <row r="736" spans="1:11" x14ac:dyDescent="0.25">
      <c r="A736" t="str">
        <f t="shared" si="44"/>
        <v>122019</v>
      </c>
      <c r="B736" s="1">
        <v>43825</v>
      </c>
      <c r="C736" t="s">
        <v>471</v>
      </c>
      <c r="D736">
        <v>2725.1</v>
      </c>
      <c r="E736">
        <v>2754.95</v>
      </c>
      <c r="F736">
        <v>2721.1</v>
      </c>
      <c r="G736">
        <v>2739</v>
      </c>
      <c r="H736">
        <v>0</v>
      </c>
      <c r="I736" s="8">
        <f t="shared" si="45"/>
        <v>5.8204652699997972E-3</v>
      </c>
      <c r="J736" s="8">
        <f t="shared" si="46"/>
        <v>5.8035918046402167E-3</v>
      </c>
      <c r="K736" s="8">
        <f t="shared" si="43"/>
        <v>0.13193511726418028</v>
      </c>
    </row>
    <row r="737" spans="1:11" x14ac:dyDescent="0.25">
      <c r="A737" t="str">
        <f t="shared" si="44"/>
        <v>122019</v>
      </c>
      <c r="B737" s="1">
        <v>43826</v>
      </c>
      <c r="C737" t="s">
        <v>472</v>
      </c>
      <c r="D737">
        <v>2750.8</v>
      </c>
      <c r="E737">
        <v>2768.75</v>
      </c>
      <c r="F737">
        <v>2724.65</v>
      </c>
      <c r="G737">
        <v>2760.35</v>
      </c>
      <c r="H737">
        <v>0</v>
      </c>
      <c r="I737" s="8">
        <f t="shared" si="45"/>
        <v>7.7948156261409274E-3</v>
      </c>
      <c r="J737" s="8">
        <f t="shared" si="46"/>
        <v>7.7645930024099075E-3</v>
      </c>
      <c r="K737" s="8">
        <f t="shared" si="43"/>
        <v>9.5181416016981046E-2</v>
      </c>
    </row>
    <row r="738" spans="1:11" x14ac:dyDescent="0.25">
      <c r="A738" t="str">
        <f t="shared" si="44"/>
        <v>122019</v>
      </c>
      <c r="B738" s="1">
        <v>43829</v>
      </c>
      <c r="C738" t="s">
        <v>473</v>
      </c>
      <c r="D738">
        <v>2765.2</v>
      </c>
      <c r="E738">
        <v>2801.6</v>
      </c>
      <c r="F738">
        <v>2737.7</v>
      </c>
      <c r="G738">
        <v>2796.5</v>
      </c>
      <c r="H738">
        <v>0</v>
      </c>
      <c r="I738" s="8">
        <f t="shared" si="45"/>
        <v>1.3096165341351718E-2</v>
      </c>
      <c r="J738" s="8">
        <f t="shared" si="46"/>
        <v>1.3011151996154673E-2</v>
      </c>
      <c r="K738" s="8">
        <f t="shared" si="43"/>
        <v>0.13959127121579495</v>
      </c>
    </row>
    <row r="739" spans="1:11" x14ac:dyDescent="0.25">
      <c r="A739" t="str">
        <f t="shared" si="44"/>
        <v>122019</v>
      </c>
      <c r="B739" s="1">
        <v>43830</v>
      </c>
      <c r="C739" t="s">
        <v>474</v>
      </c>
      <c r="D739">
        <v>2788.1</v>
      </c>
      <c r="E739">
        <v>2813.6</v>
      </c>
      <c r="F739">
        <v>2783.8</v>
      </c>
      <c r="G739">
        <v>2801.3</v>
      </c>
      <c r="H739">
        <v>0</v>
      </c>
      <c r="I739" s="8">
        <f t="shared" si="45"/>
        <v>1.7164312533524129E-3</v>
      </c>
      <c r="J739" s="8">
        <f t="shared" si="46"/>
        <v>1.7149598686751601E-3</v>
      </c>
      <c r="K739" s="8">
        <f t="shared" si="43"/>
        <v>0.14814435313646346</v>
      </c>
    </row>
    <row r="740" spans="1:11" x14ac:dyDescent="0.25">
      <c r="A740" t="str">
        <f t="shared" si="44"/>
        <v>12020</v>
      </c>
      <c r="B740" s="1">
        <v>43831</v>
      </c>
      <c r="C740" s="10">
        <v>43831.645833333336</v>
      </c>
      <c r="D740">
        <v>2805.45</v>
      </c>
      <c r="E740">
        <v>2818</v>
      </c>
      <c r="F740">
        <v>2773.75</v>
      </c>
      <c r="G740">
        <v>2796.05</v>
      </c>
      <c r="H740">
        <v>0</v>
      </c>
      <c r="I740" s="8">
        <f t="shared" si="45"/>
        <v>-1.8741298682753982E-3</v>
      </c>
      <c r="J740" s="8">
        <f t="shared" si="46"/>
        <v>-1.8758882469537711E-3</v>
      </c>
      <c r="K740" s="8">
        <f t="shared" si="43"/>
        <v>0.16645460044638205</v>
      </c>
    </row>
    <row r="741" spans="1:11" x14ac:dyDescent="0.25">
      <c r="A741" t="str">
        <f t="shared" si="44"/>
        <v>12020</v>
      </c>
      <c r="B741" s="1">
        <v>43832</v>
      </c>
      <c r="C741" s="10">
        <v>43862.645833333336</v>
      </c>
      <c r="D741">
        <v>2818.4</v>
      </c>
      <c r="E741">
        <v>2873.1</v>
      </c>
      <c r="F741">
        <v>2818.2</v>
      </c>
      <c r="G741">
        <v>2869.9</v>
      </c>
      <c r="H741">
        <v>0</v>
      </c>
      <c r="I741" s="8">
        <f t="shared" si="45"/>
        <v>2.6412260152715472E-2</v>
      </c>
      <c r="J741" s="8">
        <f t="shared" si="46"/>
        <v>2.6069479057689329E-2</v>
      </c>
      <c r="K741" s="8">
        <f t="shared" si="43"/>
        <v>0.23354322924501947</v>
      </c>
    </row>
    <row r="742" spans="1:11" x14ac:dyDescent="0.25">
      <c r="A742" t="str">
        <f t="shared" si="44"/>
        <v>12020</v>
      </c>
      <c r="B742" s="1">
        <v>43833</v>
      </c>
      <c r="C742" s="10">
        <v>43891.645833333336</v>
      </c>
      <c r="D742">
        <v>2860.65</v>
      </c>
      <c r="E742">
        <v>2867.75</v>
      </c>
      <c r="F742">
        <v>2835.55</v>
      </c>
      <c r="G742">
        <v>2848.35</v>
      </c>
      <c r="H742">
        <v>0</v>
      </c>
      <c r="I742" s="8">
        <f t="shared" si="45"/>
        <v>-7.5089724380641432E-3</v>
      </c>
      <c r="J742" s="8">
        <f t="shared" si="46"/>
        <v>-7.5373067015179051E-3</v>
      </c>
      <c r="K742" s="8">
        <f t="shared" si="43"/>
        <v>0.23992251436531431</v>
      </c>
    </row>
    <row r="743" spans="1:11" x14ac:dyDescent="0.25">
      <c r="A743" t="str">
        <f t="shared" si="44"/>
        <v>12020</v>
      </c>
      <c r="B743" s="1">
        <v>43836</v>
      </c>
      <c r="C743" s="10">
        <v>43983.645833333336</v>
      </c>
      <c r="D743">
        <v>2828.25</v>
      </c>
      <c r="E743">
        <v>2829</v>
      </c>
      <c r="F743">
        <v>2761.45</v>
      </c>
      <c r="G743">
        <v>2765.75</v>
      </c>
      <c r="H743">
        <v>0</v>
      </c>
      <c r="I743" s="8">
        <f t="shared" si="45"/>
        <v>-2.899924517703234E-2</v>
      </c>
      <c r="J743" s="8">
        <f t="shared" si="46"/>
        <v>-2.9428033324515258E-2</v>
      </c>
      <c r="K743" s="8">
        <f t="shared" si="43"/>
        <v>0.21841890790546059</v>
      </c>
    </row>
    <row r="744" spans="1:11" x14ac:dyDescent="0.25">
      <c r="A744" t="str">
        <f t="shared" si="44"/>
        <v>12020</v>
      </c>
      <c r="B744" s="1">
        <v>43837</v>
      </c>
      <c r="C744" s="10">
        <v>44013.645833333336</v>
      </c>
      <c r="D744">
        <v>2785.25</v>
      </c>
      <c r="E744">
        <v>2815.25</v>
      </c>
      <c r="F744">
        <v>2763.3</v>
      </c>
      <c r="G744">
        <v>2785.9</v>
      </c>
      <c r="H744">
        <v>0</v>
      </c>
      <c r="I744" s="8">
        <f t="shared" si="45"/>
        <v>7.2855464159813366E-3</v>
      </c>
      <c r="J744" s="8">
        <f t="shared" si="46"/>
        <v>7.2591350260479545E-3</v>
      </c>
      <c r="K744" s="8">
        <f t="shared" si="43"/>
        <v>0.20201061397074693</v>
      </c>
    </row>
    <row r="745" spans="1:11" x14ac:dyDescent="0.25">
      <c r="A745" t="str">
        <f t="shared" si="44"/>
        <v>12020</v>
      </c>
      <c r="B745" s="1">
        <v>43838</v>
      </c>
      <c r="C745" s="10">
        <v>44044.645833333336</v>
      </c>
      <c r="D745">
        <v>2751.2</v>
      </c>
      <c r="E745">
        <v>2777.2</v>
      </c>
      <c r="F745">
        <v>2736.4</v>
      </c>
      <c r="G745">
        <v>2767.25</v>
      </c>
      <c r="H745">
        <v>0</v>
      </c>
      <c r="I745" s="8">
        <f t="shared" si="45"/>
        <v>-6.6944254998384523E-3</v>
      </c>
      <c r="J745" s="8">
        <f t="shared" si="46"/>
        <v>-6.7169336753346983E-3</v>
      </c>
      <c r="K745" s="8">
        <f t="shared" si="43"/>
        <v>0.21192546039809934</v>
      </c>
    </row>
    <row r="746" spans="1:11" x14ac:dyDescent="0.25">
      <c r="A746" t="str">
        <f t="shared" si="44"/>
        <v>12020</v>
      </c>
      <c r="B746" s="1">
        <v>43839</v>
      </c>
      <c r="C746" s="10">
        <v>44075.645833333336</v>
      </c>
      <c r="D746">
        <v>2814.95</v>
      </c>
      <c r="E746">
        <v>2820.45</v>
      </c>
      <c r="F746">
        <v>2787.25</v>
      </c>
      <c r="G746">
        <v>2806.8</v>
      </c>
      <c r="H746">
        <v>0</v>
      </c>
      <c r="I746" s="8">
        <f t="shared" si="45"/>
        <v>1.429216731412053E-2</v>
      </c>
      <c r="J746" s="8">
        <f t="shared" si="46"/>
        <v>1.4190997112400313E-2</v>
      </c>
      <c r="K746" s="8">
        <f t="shared" si="43"/>
        <v>0.20097556801163852</v>
      </c>
    </row>
    <row r="747" spans="1:11" x14ac:dyDescent="0.25">
      <c r="A747" t="str">
        <f t="shared" si="44"/>
        <v>12020</v>
      </c>
      <c r="B747" s="1">
        <v>43840</v>
      </c>
      <c r="C747" s="10">
        <v>44105.645833333336</v>
      </c>
      <c r="D747">
        <v>2820.6</v>
      </c>
      <c r="E747">
        <v>2864.55</v>
      </c>
      <c r="F747">
        <v>2803.2</v>
      </c>
      <c r="G747">
        <v>2840.75</v>
      </c>
      <c r="H747">
        <v>0</v>
      </c>
      <c r="I747" s="8">
        <f t="shared" si="45"/>
        <v>1.2095624910930525E-2</v>
      </c>
      <c r="J747" s="8">
        <f t="shared" si="46"/>
        <v>1.2023057419984749E-2</v>
      </c>
      <c r="K747" s="8">
        <f t="shared" si="43"/>
        <v>0.20360562664181003</v>
      </c>
    </row>
    <row r="748" spans="1:11" x14ac:dyDescent="0.25">
      <c r="A748" t="str">
        <f t="shared" si="44"/>
        <v>12020</v>
      </c>
      <c r="B748" s="1">
        <v>43843</v>
      </c>
      <c r="C748" t="s">
        <v>475</v>
      </c>
      <c r="D748">
        <v>2851.85</v>
      </c>
      <c r="E748">
        <v>2877.35</v>
      </c>
      <c r="F748">
        <v>2846.15</v>
      </c>
      <c r="G748">
        <v>2874.1</v>
      </c>
      <c r="H748">
        <v>0</v>
      </c>
      <c r="I748" s="8">
        <f t="shared" si="45"/>
        <v>1.1739857432016221E-2</v>
      </c>
      <c r="J748" s="8">
        <f t="shared" si="46"/>
        <v>1.1671479946733766E-2</v>
      </c>
      <c r="K748" s="8">
        <f t="shared" si="43"/>
        <v>0.19901545649861285</v>
      </c>
    </row>
    <row r="749" spans="1:11" x14ac:dyDescent="0.25">
      <c r="A749" t="str">
        <f t="shared" si="44"/>
        <v>12020</v>
      </c>
      <c r="B749" s="1">
        <v>43844</v>
      </c>
      <c r="C749" t="s">
        <v>476</v>
      </c>
      <c r="D749">
        <v>2880.5</v>
      </c>
      <c r="E749">
        <v>2917.1</v>
      </c>
      <c r="F749">
        <v>2876.85</v>
      </c>
      <c r="G749">
        <v>2900.65</v>
      </c>
      <c r="H749">
        <v>0</v>
      </c>
      <c r="I749" s="8">
        <f t="shared" si="45"/>
        <v>9.2376744024216251E-3</v>
      </c>
      <c r="J749" s="8">
        <f t="shared" si="46"/>
        <v>9.1952680455943698E-3</v>
      </c>
      <c r="K749" s="8">
        <f t="shared" si="43"/>
        <v>0.21452497592429753</v>
      </c>
    </row>
    <row r="750" spans="1:11" x14ac:dyDescent="0.25">
      <c r="A750" t="str">
        <f t="shared" si="44"/>
        <v>12020</v>
      </c>
      <c r="B750" s="1">
        <v>43845</v>
      </c>
      <c r="C750" t="s">
        <v>477</v>
      </c>
      <c r="D750">
        <v>2888.8</v>
      </c>
      <c r="E750">
        <v>2927.95</v>
      </c>
      <c r="F750">
        <v>2870.8</v>
      </c>
      <c r="G750">
        <v>2921.45</v>
      </c>
      <c r="H750">
        <v>0</v>
      </c>
      <c r="I750" s="8">
        <f t="shared" si="45"/>
        <v>7.1708065433608859E-3</v>
      </c>
      <c r="J750" s="8">
        <f t="shared" si="46"/>
        <v>7.1452185616123036E-3</v>
      </c>
      <c r="K750" s="8">
        <f t="shared" si="43"/>
        <v>0.21174225927538948</v>
      </c>
    </row>
    <row r="751" spans="1:11" x14ac:dyDescent="0.25">
      <c r="A751" t="str">
        <f t="shared" si="44"/>
        <v>12020</v>
      </c>
      <c r="B751" s="1">
        <v>43846</v>
      </c>
      <c r="C751" t="s">
        <v>478</v>
      </c>
      <c r="D751">
        <v>2920.1</v>
      </c>
      <c r="E751">
        <v>2924.1</v>
      </c>
      <c r="F751">
        <v>2872.5</v>
      </c>
      <c r="G751">
        <v>2884.8</v>
      </c>
      <c r="H751">
        <v>0</v>
      </c>
      <c r="I751" s="8">
        <f t="shared" si="45"/>
        <v>-1.2545140255694864E-2</v>
      </c>
      <c r="J751" s="8">
        <f t="shared" si="46"/>
        <v>-1.2624494903006064E-2</v>
      </c>
      <c r="K751" s="8">
        <f t="shared" si="43"/>
        <v>0.17459283387622149</v>
      </c>
    </row>
    <row r="752" spans="1:11" x14ac:dyDescent="0.25">
      <c r="A752" t="str">
        <f t="shared" si="44"/>
        <v>12020</v>
      </c>
      <c r="B752" s="1">
        <v>43847</v>
      </c>
      <c r="C752" t="s">
        <v>479</v>
      </c>
      <c r="D752">
        <v>2882.9</v>
      </c>
      <c r="E752">
        <v>2895</v>
      </c>
      <c r="F752">
        <v>2860.6</v>
      </c>
      <c r="G752">
        <v>2864.65</v>
      </c>
      <c r="H752">
        <v>0</v>
      </c>
      <c r="I752" s="8">
        <f t="shared" si="45"/>
        <v>-6.9848863006101158E-3</v>
      </c>
      <c r="J752" s="8">
        <f t="shared" si="46"/>
        <v>-7.0093948117137279E-3</v>
      </c>
      <c r="K752" s="8">
        <f t="shared" si="43"/>
        <v>0.1726671715414374</v>
      </c>
    </row>
    <row r="753" spans="1:11" x14ac:dyDescent="0.25">
      <c r="A753" t="str">
        <f t="shared" si="44"/>
        <v>12020</v>
      </c>
      <c r="B753" s="1">
        <v>43850</v>
      </c>
      <c r="C753" t="s">
        <v>480</v>
      </c>
      <c r="D753">
        <v>2872.7</v>
      </c>
      <c r="E753">
        <v>2882.35</v>
      </c>
      <c r="F753">
        <v>2832.25</v>
      </c>
      <c r="G753">
        <v>2835.85</v>
      </c>
      <c r="H753">
        <v>0</v>
      </c>
      <c r="I753" s="8">
        <f t="shared" si="45"/>
        <v>-1.0053584207494914E-2</v>
      </c>
      <c r="J753" s="8">
        <f t="shared" si="46"/>
        <v>-1.0104462780453198E-2</v>
      </c>
      <c r="K753" s="8">
        <f t="shared" si="43"/>
        <v>0.16373597061780587</v>
      </c>
    </row>
    <row r="754" spans="1:11" x14ac:dyDescent="0.25">
      <c r="A754" t="str">
        <f t="shared" si="44"/>
        <v>12020</v>
      </c>
      <c r="B754" s="1">
        <v>43851</v>
      </c>
      <c r="C754" t="s">
        <v>481</v>
      </c>
      <c r="D754">
        <v>2823.65</v>
      </c>
      <c r="E754">
        <v>2845.75</v>
      </c>
      <c r="F754">
        <v>2794.35</v>
      </c>
      <c r="G754">
        <v>2799.95</v>
      </c>
      <c r="H754">
        <v>0</v>
      </c>
      <c r="I754" s="8">
        <f t="shared" si="45"/>
        <v>-1.2659343759366726E-2</v>
      </c>
      <c r="J754" s="8">
        <f t="shared" si="46"/>
        <v>-1.2740155995888599E-2</v>
      </c>
      <c r="K754" s="8">
        <f t="shared" si="43"/>
        <v>0.15721931764171004</v>
      </c>
    </row>
    <row r="755" spans="1:11" x14ac:dyDescent="0.25">
      <c r="A755" t="str">
        <f t="shared" si="44"/>
        <v>12020</v>
      </c>
      <c r="B755" s="1">
        <v>43852</v>
      </c>
      <c r="C755" t="s">
        <v>482</v>
      </c>
      <c r="D755">
        <v>2804.8</v>
      </c>
      <c r="E755">
        <v>2806.15</v>
      </c>
      <c r="F755">
        <v>2749.5</v>
      </c>
      <c r="G755">
        <v>2756.75</v>
      </c>
      <c r="H755">
        <v>0</v>
      </c>
      <c r="I755" s="8">
        <f t="shared" si="45"/>
        <v>-1.5428846943695396E-2</v>
      </c>
      <c r="J755" s="8">
        <f t="shared" si="46"/>
        <v>-1.5549110222209573E-2</v>
      </c>
      <c r="K755" s="8">
        <f t="shared" si="43"/>
        <v>0.14347636725636193</v>
      </c>
    </row>
    <row r="756" spans="1:11" x14ac:dyDescent="0.25">
      <c r="A756" t="str">
        <f t="shared" si="44"/>
        <v>12020</v>
      </c>
      <c r="B756" s="1">
        <v>43853</v>
      </c>
      <c r="C756" t="s">
        <v>483</v>
      </c>
      <c r="D756">
        <v>2759.05</v>
      </c>
      <c r="E756">
        <v>2779.35</v>
      </c>
      <c r="F756">
        <v>2750.95</v>
      </c>
      <c r="G756">
        <v>2769.25</v>
      </c>
      <c r="H756">
        <v>0</v>
      </c>
      <c r="I756" s="8">
        <f t="shared" si="45"/>
        <v>4.5343248390314894E-3</v>
      </c>
      <c r="J756" s="8">
        <f t="shared" si="46"/>
        <v>4.5240757582543662E-3</v>
      </c>
      <c r="K756" s="8">
        <f t="shared" si="43"/>
        <v>0.14339684964594657</v>
      </c>
    </row>
    <row r="757" spans="1:11" x14ac:dyDescent="0.25">
      <c r="A757" t="str">
        <f t="shared" si="44"/>
        <v>12020</v>
      </c>
      <c r="B757" s="1">
        <v>43854</v>
      </c>
      <c r="C757" t="s">
        <v>484</v>
      </c>
      <c r="D757">
        <v>2772.4</v>
      </c>
      <c r="E757">
        <v>2808</v>
      </c>
      <c r="F757">
        <v>2756.9</v>
      </c>
      <c r="G757">
        <v>2796.2</v>
      </c>
      <c r="H757">
        <v>0</v>
      </c>
      <c r="I757" s="8">
        <f t="shared" si="45"/>
        <v>9.7318768619660823E-3</v>
      </c>
      <c r="J757" s="8">
        <f t="shared" si="46"/>
        <v>9.6848271566818481E-3</v>
      </c>
      <c r="K757" s="8">
        <f t="shared" si="43"/>
        <v>0.11035222173688575</v>
      </c>
    </row>
    <row r="758" spans="1:11" x14ac:dyDescent="0.25">
      <c r="A758" t="str">
        <f t="shared" si="44"/>
        <v>12020</v>
      </c>
      <c r="B758" s="1">
        <v>43857</v>
      </c>
      <c r="C758" t="s">
        <v>485</v>
      </c>
      <c r="D758">
        <v>2766.7</v>
      </c>
      <c r="E758">
        <v>2767.65</v>
      </c>
      <c r="F758">
        <v>2698.5</v>
      </c>
      <c r="G758">
        <v>2709.75</v>
      </c>
      <c r="H758">
        <v>0</v>
      </c>
      <c r="I758" s="8">
        <f t="shared" si="45"/>
        <v>-3.0916958729704569E-2</v>
      </c>
      <c r="J758" s="8">
        <f t="shared" si="46"/>
        <v>-3.1404972857864893E-2</v>
      </c>
      <c r="K758" s="8">
        <f t="shared" si="43"/>
        <v>7.7756786317987547E-2</v>
      </c>
    </row>
    <row r="759" spans="1:11" x14ac:dyDescent="0.25">
      <c r="A759" t="str">
        <f t="shared" si="44"/>
        <v>12020</v>
      </c>
      <c r="B759" s="1">
        <v>43858</v>
      </c>
      <c r="C759" t="s">
        <v>486</v>
      </c>
      <c r="D759">
        <v>2705.75</v>
      </c>
      <c r="E759">
        <v>2706.95</v>
      </c>
      <c r="F759">
        <v>2625.2</v>
      </c>
      <c r="G759">
        <v>2642.25</v>
      </c>
      <c r="H759">
        <v>0</v>
      </c>
      <c r="I759" s="8">
        <f t="shared" si="45"/>
        <v>-2.4910047052311146E-2</v>
      </c>
      <c r="J759" s="8">
        <f t="shared" si="46"/>
        <v>-2.5225552806402637E-2</v>
      </c>
      <c r="K759" s="8">
        <f t="shared" si="43"/>
        <v>5.658302509247215E-2</v>
      </c>
    </row>
    <row r="760" spans="1:11" x14ac:dyDescent="0.25">
      <c r="A760" t="str">
        <f t="shared" si="44"/>
        <v>12020</v>
      </c>
      <c r="B760" s="1">
        <v>43859</v>
      </c>
      <c r="C760" t="s">
        <v>487</v>
      </c>
      <c r="D760">
        <v>2673.1</v>
      </c>
      <c r="E760">
        <v>2700.4</v>
      </c>
      <c r="F760">
        <v>2662.35</v>
      </c>
      <c r="G760">
        <v>2665.85</v>
      </c>
      <c r="H760">
        <v>0</v>
      </c>
      <c r="I760" s="8">
        <f t="shared" si="45"/>
        <v>8.9317816255085614E-3</v>
      </c>
      <c r="J760" s="8">
        <f t="shared" si="46"/>
        <v>8.8921292002988282E-3</v>
      </c>
      <c r="K760" s="8">
        <f t="shared" si="43"/>
        <v>4.0636283790377536E-2</v>
      </c>
    </row>
    <row r="761" spans="1:11" x14ac:dyDescent="0.25">
      <c r="A761" t="str">
        <f t="shared" si="44"/>
        <v>12020</v>
      </c>
      <c r="B761" s="1">
        <v>43860</v>
      </c>
      <c r="C761" t="s">
        <v>488</v>
      </c>
      <c r="D761">
        <v>2667.4</v>
      </c>
      <c r="E761">
        <v>2669.55</v>
      </c>
      <c r="F761">
        <v>2621.0500000000002</v>
      </c>
      <c r="G761">
        <v>2628.9</v>
      </c>
      <c r="H761">
        <v>0</v>
      </c>
      <c r="I761" s="8">
        <f t="shared" si="45"/>
        <v>-1.3860494776525289E-2</v>
      </c>
      <c r="J761" s="8">
        <f t="shared" si="46"/>
        <v>-1.3957448359840854E-2</v>
      </c>
      <c r="K761" s="8">
        <f t="shared" si="43"/>
        <v>-5.0148553261548656E-3</v>
      </c>
    </row>
    <row r="762" spans="1:11" x14ac:dyDescent="0.25">
      <c r="A762" t="str">
        <f t="shared" si="44"/>
        <v>12020</v>
      </c>
      <c r="B762" s="1">
        <v>43861</v>
      </c>
      <c r="C762" t="s">
        <v>489</v>
      </c>
      <c r="D762">
        <v>2642.25</v>
      </c>
      <c r="E762">
        <v>2645.7</v>
      </c>
      <c r="F762">
        <v>2559.85</v>
      </c>
      <c r="G762">
        <v>2569</v>
      </c>
      <c r="H762">
        <v>0</v>
      </c>
      <c r="I762" s="8">
        <f t="shared" si="45"/>
        <v>-2.2785195328844821E-2</v>
      </c>
      <c r="J762" s="8">
        <f t="shared" si="46"/>
        <v>-2.3048789620031145E-2</v>
      </c>
      <c r="K762" s="8">
        <f t="shared" si="43"/>
        <v>-1.8322856760732864E-2</v>
      </c>
    </row>
    <row r="763" spans="1:11" x14ac:dyDescent="0.25">
      <c r="A763" t="str">
        <f t="shared" si="44"/>
        <v>22020</v>
      </c>
      <c r="B763" s="1">
        <v>43862</v>
      </c>
      <c r="C763" s="10">
        <v>43832.708333333336</v>
      </c>
      <c r="D763">
        <v>2557.4</v>
      </c>
      <c r="E763">
        <v>2575.9</v>
      </c>
      <c r="F763">
        <v>2460</v>
      </c>
      <c r="G763">
        <v>2464.35</v>
      </c>
      <c r="H763">
        <v>0</v>
      </c>
      <c r="I763" s="8">
        <f t="shared" si="45"/>
        <v>-4.0735694822888302E-2</v>
      </c>
      <c r="J763" s="8">
        <f t="shared" si="46"/>
        <v>-4.1588637089428081E-2</v>
      </c>
      <c r="K763" s="8">
        <f t="shared" si="43"/>
        <v>-6.4212345022688799E-2</v>
      </c>
    </row>
    <row r="764" spans="1:11" x14ac:dyDescent="0.25">
      <c r="A764" t="str">
        <f t="shared" si="44"/>
        <v>22020</v>
      </c>
      <c r="B764" s="1">
        <v>43864</v>
      </c>
      <c r="C764" s="10">
        <v>43892.645833333336</v>
      </c>
      <c r="D764">
        <v>2475.4499999999998</v>
      </c>
      <c r="E764">
        <v>2522.6999999999998</v>
      </c>
      <c r="F764">
        <v>2458.4499999999998</v>
      </c>
      <c r="G764">
        <v>2510.9499999999998</v>
      </c>
      <c r="H764">
        <v>0</v>
      </c>
      <c r="I764" s="8">
        <f t="shared" si="45"/>
        <v>1.8909651632276203E-2</v>
      </c>
      <c r="J764" s="8">
        <f t="shared" si="46"/>
        <v>1.8733086553371477E-2</v>
      </c>
      <c r="K764" s="8">
        <f t="shared" si="43"/>
        <v>-5.5696583366239949E-2</v>
      </c>
    </row>
    <row r="765" spans="1:11" x14ac:dyDescent="0.25">
      <c r="A765" t="str">
        <f t="shared" si="44"/>
        <v>22020</v>
      </c>
      <c r="B765" s="1">
        <v>43865</v>
      </c>
      <c r="C765" s="10">
        <v>43923.645833333336</v>
      </c>
      <c r="D765">
        <v>2537.6</v>
      </c>
      <c r="E765">
        <v>2598.85</v>
      </c>
      <c r="F765">
        <v>2523.6999999999998</v>
      </c>
      <c r="G765">
        <v>2594.25</v>
      </c>
      <c r="H765">
        <v>0</v>
      </c>
      <c r="I765" s="8">
        <f t="shared" si="45"/>
        <v>3.3174694836615615E-2</v>
      </c>
      <c r="J765" s="8">
        <f t="shared" si="46"/>
        <v>3.2636289911560735E-2</v>
      </c>
      <c r="K765" s="8">
        <f t="shared" si="43"/>
        <v>-7.1566620103713507E-3</v>
      </c>
    </row>
    <row r="766" spans="1:11" x14ac:dyDescent="0.25">
      <c r="A766" t="str">
        <f t="shared" si="44"/>
        <v>22020</v>
      </c>
      <c r="B766" s="1">
        <v>43866</v>
      </c>
      <c r="C766" s="10">
        <v>43953.645833333336</v>
      </c>
      <c r="D766">
        <v>2605.6999999999998</v>
      </c>
      <c r="E766">
        <v>2677.8</v>
      </c>
      <c r="F766">
        <v>2585.8000000000002</v>
      </c>
      <c r="G766">
        <v>2665.4</v>
      </c>
      <c r="H766">
        <v>0</v>
      </c>
      <c r="I766" s="8">
        <f t="shared" si="45"/>
        <v>2.7426038354052329E-2</v>
      </c>
      <c r="J766" s="8">
        <f t="shared" si="46"/>
        <v>2.7056682660238904E-2</v>
      </c>
      <c r="K766" s="8">
        <f t="shared" si="43"/>
        <v>2.1186927703919389E-2</v>
      </c>
    </row>
    <row r="767" spans="1:11" x14ac:dyDescent="0.25">
      <c r="A767" t="str">
        <f t="shared" si="44"/>
        <v>22020</v>
      </c>
      <c r="B767" s="1">
        <v>43867</v>
      </c>
      <c r="C767" s="10">
        <v>43984.645833333336</v>
      </c>
      <c r="D767">
        <v>2684.75</v>
      </c>
      <c r="E767">
        <v>2708.65</v>
      </c>
      <c r="F767">
        <v>2662.75</v>
      </c>
      <c r="G767">
        <v>2688.75</v>
      </c>
      <c r="H767">
        <v>0</v>
      </c>
      <c r="I767" s="8">
        <f t="shared" si="45"/>
        <v>8.7604111953176744E-3</v>
      </c>
      <c r="J767" s="8">
        <f t="shared" si="46"/>
        <v>8.7222614363131057E-3</v>
      </c>
      <c r="K767" s="8">
        <f t="shared" si="43"/>
        <v>5.1669176461385025E-2</v>
      </c>
    </row>
    <row r="768" spans="1:11" x14ac:dyDescent="0.25">
      <c r="A768" t="str">
        <f t="shared" si="44"/>
        <v>22020</v>
      </c>
      <c r="B768" s="1">
        <v>43868</v>
      </c>
      <c r="C768" s="10">
        <v>44014.645833333336</v>
      </c>
      <c r="D768">
        <v>2684.2</v>
      </c>
      <c r="E768">
        <v>2715.85</v>
      </c>
      <c r="F768">
        <v>2660.8</v>
      </c>
      <c r="G768">
        <v>2710.8</v>
      </c>
      <c r="H768">
        <v>0</v>
      </c>
      <c r="I768" s="8">
        <f t="shared" si="45"/>
        <v>8.2008368200836568E-3</v>
      </c>
      <c r="J768" s="8">
        <f t="shared" si="46"/>
        <v>8.1673926800180652E-3</v>
      </c>
      <c r="K768" s="8">
        <f t="shared" ref="K768:K831" si="47">+G768/G707-1</f>
        <v>8.1464932577994142E-2</v>
      </c>
    </row>
    <row r="769" spans="1:11" x14ac:dyDescent="0.25">
      <c r="A769" t="str">
        <f t="shared" si="44"/>
        <v>22020</v>
      </c>
      <c r="B769" s="1">
        <v>43871</v>
      </c>
      <c r="C769" s="10">
        <v>44106.645833333336</v>
      </c>
      <c r="D769">
        <v>2687.65</v>
      </c>
      <c r="E769">
        <v>2692.85</v>
      </c>
      <c r="F769">
        <v>2616.75</v>
      </c>
      <c r="G769">
        <v>2628.9</v>
      </c>
      <c r="H769">
        <v>0</v>
      </c>
      <c r="I769" s="8">
        <f t="shared" si="45"/>
        <v>-3.021248339973448E-2</v>
      </c>
      <c r="J769" s="8">
        <f t="shared" si="46"/>
        <v>-3.0678286532043318E-2</v>
      </c>
      <c r="K769" s="8">
        <f t="shared" si="47"/>
        <v>5.2064991195774013E-2</v>
      </c>
    </row>
    <row r="770" spans="1:11" x14ac:dyDescent="0.25">
      <c r="A770" t="str">
        <f t="shared" si="44"/>
        <v>22020</v>
      </c>
      <c r="B770" s="1">
        <v>43872</v>
      </c>
      <c r="C770" s="10">
        <v>44137.645833333336</v>
      </c>
      <c r="D770">
        <v>2650.85</v>
      </c>
      <c r="E770">
        <v>2683.1</v>
      </c>
      <c r="F770">
        <v>2648.2</v>
      </c>
      <c r="G770">
        <v>2651.75</v>
      </c>
      <c r="H770">
        <v>0</v>
      </c>
      <c r="I770" s="8">
        <f t="shared" si="45"/>
        <v>8.6918483015709924E-3</v>
      </c>
      <c r="J770" s="8">
        <f t="shared" si="46"/>
        <v>8.654291655664937E-3</v>
      </c>
      <c r="K770" s="8">
        <f t="shared" si="47"/>
        <v>4.4139940542988088E-2</v>
      </c>
    </row>
    <row r="771" spans="1:11" x14ac:dyDescent="0.25">
      <c r="A771" t="str">
        <f t="shared" ref="A771:A834" si="48">+MONTH(B771)&amp;YEAR(B771)</f>
        <v>22020</v>
      </c>
      <c r="B771" s="1">
        <v>43873</v>
      </c>
      <c r="C771" s="10">
        <v>44167.645833333336</v>
      </c>
      <c r="D771">
        <v>2669</v>
      </c>
      <c r="E771">
        <v>2691.05</v>
      </c>
      <c r="F771">
        <v>2653.05</v>
      </c>
      <c r="G771">
        <v>2668.25</v>
      </c>
      <c r="H771">
        <v>0</v>
      </c>
      <c r="I771" s="8">
        <f t="shared" si="45"/>
        <v>6.2223060243236095E-3</v>
      </c>
      <c r="J771" s="8">
        <f t="shared" si="46"/>
        <v>6.2030274084947821E-3</v>
      </c>
      <c r="K771" s="8">
        <f t="shared" si="47"/>
        <v>5.9691415635735545E-2</v>
      </c>
    </row>
    <row r="772" spans="1:11" x14ac:dyDescent="0.25">
      <c r="A772" t="str">
        <f t="shared" si="48"/>
        <v>22020</v>
      </c>
      <c r="B772" s="1">
        <v>43874</v>
      </c>
      <c r="C772" t="s">
        <v>490</v>
      </c>
      <c r="D772">
        <v>2671.4</v>
      </c>
      <c r="E772">
        <v>2674.85</v>
      </c>
      <c r="F772">
        <v>2635.1</v>
      </c>
      <c r="G772">
        <v>2651.6</v>
      </c>
      <c r="H772">
        <v>0</v>
      </c>
      <c r="I772" s="8">
        <f t="shared" ref="I772:I835" si="49">+G772/G771-1</f>
        <v>-6.2400449732971097E-3</v>
      </c>
      <c r="J772" s="8">
        <f t="shared" ref="J772:J835" si="50">+LN(1+I772)</f>
        <v>-6.2595954268378599E-3</v>
      </c>
      <c r="K772" s="8">
        <f t="shared" si="47"/>
        <v>5.018020515663979E-2</v>
      </c>
    </row>
    <row r="773" spans="1:11" x14ac:dyDescent="0.25">
      <c r="A773" t="str">
        <f t="shared" si="48"/>
        <v>22020</v>
      </c>
      <c r="B773" s="1">
        <v>43875</v>
      </c>
      <c r="C773" t="s">
        <v>491</v>
      </c>
      <c r="D773">
        <v>2649.5</v>
      </c>
      <c r="E773">
        <v>2663.25</v>
      </c>
      <c r="F773">
        <v>2608.85</v>
      </c>
      <c r="G773">
        <v>2613.6</v>
      </c>
      <c r="H773">
        <v>0</v>
      </c>
      <c r="I773" s="8">
        <f t="shared" si="49"/>
        <v>-1.4330969980389185E-2</v>
      </c>
      <c r="J773" s="8">
        <f t="shared" si="50"/>
        <v>-1.4434650080376064E-2</v>
      </c>
      <c r="K773" s="8">
        <f t="shared" si="47"/>
        <v>5.7944908822279428E-2</v>
      </c>
    </row>
    <row r="774" spans="1:11" x14ac:dyDescent="0.25">
      <c r="A774" t="str">
        <f t="shared" si="48"/>
        <v>22020</v>
      </c>
      <c r="B774" s="1">
        <v>43878</v>
      </c>
      <c r="C774" t="s">
        <v>492</v>
      </c>
      <c r="D774">
        <v>2614.35</v>
      </c>
      <c r="E774">
        <v>2622.35</v>
      </c>
      <c r="F774">
        <v>2581.75</v>
      </c>
      <c r="G774">
        <v>2586.6999999999998</v>
      </c>
      <c r="H774">
        <v>0</v>
      </c>
      <c r="I774" s="8">
        <f t="shared" si="49"/>
        <v>-1.0292317110498939E-2</v>
      </c>
      <c r="J774" s="8">
        <f t="shared" si="50"/>
        <v>-1.0345649262799019E-2</v>
      </c>
      <c r="K774" s="8">
        <f t="shared" si="47"/>
        <v>2.6000039664438646E-2</v>
      </c>
    </row>
    <row r="775" spans="1:11" x14ac:dyDescent="0.25">
      <c r="A775" t="str">
        <f t="shared" si="48"/>
        <v>22020</v>
      </c>
      <c r="B775" s="1">
        <v>43879</v>
      </c>
      <c r="C775" t="s">
        <v>493</v>
      </c>
      <c r="D775">
        <v>2572.4</v>
      </c>
      <c r="E775">
        <v>2573.3000000000002</v>
      </c>
      <c r="F775">
        <v>2514</v>
      </c>
      <c r="G775">
        <v>2556.0500000000002</v>
      </c>
      <c r="H775">
        <v>0</v>
      </c>
      <c r="I775" s="8">
        <f t="shared" si="49"/>
        <v>-1.1849074109869573E-2</v>
      </c>
      <c r="J775" s="8">
        <f t="shared" si="50"/>
        <v>-1.1919833902629179E-2</v>
      </c>
      <c r="K775" s="8">
        <f t="shared" si="47"/>
        <v>-1.765949269792455E-2</v>
      </c>
    </row>
    <row r="776" spans="1:11" x14ac:dyDescent="0.25">
      <c r="A776" t="str">
        <f t="shared" si="48"/>
        <v>22020</v>
      </c>
      <c r="B776" s="1">
        <v>43880</v>
      </c>
      <c r="C776" t="s">
        <v>494</v>
      </c>
      <c r="D776">
        <v>2588.3000000000002</v>
      </c>
      <c r="E776">
        <v>2606.8000000000002</v>
      </c>
      <c r="F776">
        <v>2569.6</v>
      </c>
      <c r="G776">
        <v>2591.0500000000002</v>
      </c>
      <c r="H776">
        <v>0</v>
      </c>
      <c r="I776" s="8">
        <f t="shared" si="49"/>
        <v>1.3693002875530658E-2</v>
      </c>
      <c r="J776" s="8">
        <f t="shared" si="50"/>
        <v>1.3600100822988641E-2</v>
      </c>
      <c r="K776" s="8">
        <f t="shared" si="47"/>
        <v>4.0689000406890496E-3</v>
      </c>
    </row>
    <row r="777" spans="1:11" x14ac:dyDescent="0.25">
      <c r="A777" t="str">
        <f t="shared" si="48"/>
        <v>22020</v>
      </c>
      <c r="B777" s="1">
        <v>43881</v>
      </c>
      <c r="C777" t="s">
        <v>495</v>
      </c>
      <c r="D777">
        <v>2582.9499999999998</v>
      </c>
      <c r="E777">
        <v>2627.25</v>
      </c>
      <c r="F777">
        <v>2568.25</v>
      </c>
      <c r="G777">
        <v>2612.25</v>
      </c>
      <c r="H777">
        <v>0</v>
      </c>
      <c r="I777" s="8">
        <f t="shared" si="49"/>
        <v>8.1820111537793672E-3</v>
      </c>
      <c r="J777" s="8">
        <f t="shared" si="50"/>
        <v>8.1487199697996126E-3</v>
      </c>
      <c r="K777" s="8">
        <f t="shared" si="47"/>
        <v>3.6114259369537383E-3</v>
      </c>
    </row>
    <row r="778" spans="1:11" x14ac:dyDescent="0.25">
      <c r="A778" t="str">
        <f t="shared" si="48"/>
        <v>22020</v>
      </c>
      <c r="B778" s="1">
        <v>43885</v>
      </c>
      <c r="C778" t="s">
        <v>496</v>
      </c>
      <c r="D778">
        <v>2578.8000000000002</v>
      </c>
      <c r="E778">
        <v>2578.8000000000002</v>
      </c>
      <c r="F778">
        <v>2463.25</v>
      </c>
      <c r="G778">
        <v>2469.6</v>
      </c>
      <c r="H778">
        <v>0</v>
      </c>
      <c r="I778" s="8">
        <f t="shared" si="49"/>
        <v>-5.4608096468561573E-2</v>
      </c>
      <c r="J778" s="8">
        <f t="shared" si="50"/>
        <v>-5.6155724726270707E-2</v>
      </c>
      <c r="K778" s="8">
        <f t="shared" si="47"/>
        <v>-7.0478197865893821E-2</v>
      </c>
    </row>
    <row r="779" spans="1:11" x14ac:dyDescent="0.25">
      <c r="A779" t="str">
        <f t="shared" si="48"/>
        <v>22020</v>
      </c>
      <c r="B779" s="1">
        <v>43886</v>
      </c>
      <c r="C779" t="s">
        <v>497</v>
      </c>
      <c r="D779">
        <v>2495.25</v>
      </c>
      <c r="E779">
        <v>2510.75</v>
      </c>
      <c r="F779">
        <v>2462.0500000000002</v>
      </c>
      <c r="G779">
        <v>2470.35</v>
      </c>
      <c r="H779">
        <v>0</v>
      </c>
      <c r="I779" s="8">
        <f t="shared" si="49"/>
        <v>3.0369290573362129E-4</v>
      </c>
      <c r="J779" s="8">
        <f t="shared" si="50"/>
        <v>3.0364680037746832E-4</v>
      </c>
      <c r="K779" s="8">
        <f t="shared" si="47"/>
        <v>-5.9093505998857432E-2</v>
      </c>
    </row>
    <row r="780" spans="1:11" x14ac:dyDescent="0.25">
      <c r="A780" t="str">
        <f t="shared" si="48"/>
        <v>22020</v>
      </c>
      <c r="B780" s="1">
        <v>43887</v>
      </c>
      <c r="C780" t="s">
        <v>498</v>
      </c>
      <c r="D780">
        <v>2431.6</v>
      </c>
      <c r="E780">
        <v>2456.5500000000002</v>
      </c>
      <c r="F780">
        <v>2416.4</v>
      </c>
      <c r="G780">
        <v>2430</v>
      </c>
      <c r="H780">
        <v>0</v>
      </c>
      <c r="I780" s="8">
        <f t="shared" si="49"/>
        <v>-1.6333717894225441E-2</v>
      </c>
      <c r="J780" s="8">
        <f t="shared" si="50"/>
        <v>-1.6468583653732896E-2</v>
      </c>
      <c r="K780" s="8">
        <f t="shared" si="47"/>
        <v>-7.5694180296690727E-2</v>
      </c>
    </row>
    <row r="781" spans="1:11" x14ac:dyDescent="0.25">
      <c r="A781" t="str">
        <f t="shared" si="48"/>
        <v>22020</v>
      </c>
      <c r="B781" s="1">
        <v>43888</v>
      </c>
      <c r="C781" t="s">
        <v>499</v>
      </c>
      <c r="D781">
        <v>2424.1999999999998</v>
      </c>
      <c r="E781">
        <v>2425.3000000000002</v>
      </c>
      <c r="F781">
        <v>2367.8000000000002</v>
      </c>
      <c r="G781">
        <v>2410.0500000000002</v>
      </c>
      <c r="H781">
        <v>0</v>
      </c>
      <c r="I781" s="8">
        <f t="shared" si="49"/>
        <v>-8.2098765432098153E-3</v>
      </c>
      <c r="J781" s="8">
        <f t="shared" si="50"/>
        <v>-8.2437631771402984E-3</v>
      </c>
      <c r="K781" s="8">
        <f t="shared" si="47"/>
        <v>-6.0116215583807642E-2</v>
      </c>
    </row>
    <row r="782" spans="1:11" x14ac:dyDescent="0.25">
      <c r="A782" t="str">
        <f t="shared" si="48"/>
        <v>22020</v>
      </c>
      <c r="B782" s="1">
        <v>43889</v>
      </c>
      <c r="C782" t="s">
        <v>500</v>
      </c>
      <c r="D782">
        <v>2333.1999999999998</v>
      </c>
      <c r="E782">
        <v>2335.0500000000002</v>
      </c>
      <c r="F782">
        <v>2230.6</v>
      </c>
      <c r="G782">
        <v>2246.0500000000002</v>
      </c>
      <c r="H782">
        <v>0</v>
      </c>
      <c r="I782" s="8">
        <f t="shared" si="49"/>
        <v>-6.8048380738988778E-2</v>
      </c>
      <c r="J782" s="8">
        <f t="shared" si="50"/>
        <v>-7.0474376308102077E-2</v>
      </c>
      <c r="K782" s="8">
        <f t="shared" si="47"/>
        <v>-0.13746159754224263</v>
      </c>
    </row>
    <row r="783" spans="1:11" x14ac:dyDescent="0.25">
      <c r="A783" t="str">
        <f t="shared" si="48"/>
        <v>32020</v>
      </c>
      <c r="B783" s="1">
        <v>43892</v>
      </c>
      <c r="C783" s="10">
        <v>43864.645833333336</v>
      </c>
      <c r="D783">
        <v>2307.6</v>
      </c>
      <c r="E783">
        <v>2326.5500000000002</v>
      </c>
      <c r="F783">
        <v>2169.0500000000002</v>
      </c>
      <c r="G783">
        <v>2197.6</v>
      </c>
      <c r="H783">
        <v>0</v>
      </c>
      <c r="I783" s="8">
        <f t="shared" si="49"/>
        <v>-2.1571202778210785E-2</v>
      </c>
      <c r="J783" s="8">
        <f t="shared" si="50"/>
        <v>-2.180726206828771E-2</v>
      </c>
      <c r="K783" s="8">
        <f t="shared" si="47"/>
        <v>-0.13614654376068713</v>
      </c>
    </row>
    <row r="784" spans="1:11" x14ac:dyDescent="0.25">
      <c r="A784" t="str">
        <f t="shared" si="48"/>
        <v>32020</v>
      </c>
      <c r="B784" s="1">
        <v>43893</v>
      </c>
      <c r="C784" s="10">
        <v>43893.645833333336</v>
      </c>
      <c r="D784">
        <v>2238.9499999999998</v>
      </c>
      <c r="E784">
        <v>2339.4499999999998</v>
      </c>
      <c r="F784">
        <v>2238.0500000000002</v>
      </c>
      <c r="G784">
        <v>2320.75</v>
      </c>
      <c r="H784">
        <v>0</v>
      </c>
      <c r="I784" s="8">
        <f t="shared" si="49"/>
        <v>5.6038405533309188E-2</v>
      </c>
      <c r="J784" s="8">
        <f t="shared" si="50"/>
        <v>5.4524553498977946E-2</v>
      </c>
      <c r="K784" s="8">
        <f t="shared" si="47"/>
        <v>-8.4823629157876002E-2</v>
      </c>
    </row>
    <row r="785" spans="1:11" x14ac:dyDescent="0.25">
      <c r="A785" t="str">
        <f t="shared" si="48"/>
        <v>32020</v>
      </c>
      <c r="B785" s="1">
        <v>43894</v>
      </c>
      <c r="C785" s="10">
        <v>43924.645833333336</v>
      </c>
      <c r="D785">
        <v>2321.9499999999998</v>
      </c>
      <c r="E785">
        <v>2323.9499999999998</v>
      </c>
      <c r="F785">
        <v>2247.25</v>
      </c>
      <c r="G785">
        <v>2304.3000000000002</v>
      </c>
      <c r="H785">
        <v>0</v>
      </c>
      <c r="I785" s="8">
        <f t="shared" si="49"/>
        <v>-7.0882257890767519E-3</v>
      </c>
      <c r="J785" s="8">
        <f t="shared" si="50"/>
        <v>-7.1134666072959372E-3</v>
      </c>
      <c r="K785" s="8">
        <f t="shared" si="47"/>
        <v>-9.6954971195673312E-2</v>
      </c>
    </row>
    <row r="786" spans="1:11" x14ac:dyDescent="0.25">
      <c r="A786" t="str">
        <f t="shared" si="48"/>
        <v>32020</v>
      </c>
      <c r="B786" s="1">
        <v>43895</v>
      </c>
      <c r="C786" s="10">
        <v>43954.645833333336</v>
      </c>
      <c r="D786">
        <v>2327.65</v>
      </c>
      <c r="E786">
        <v>2351.4499999999998</v>
      </c>
      <c r="F786">
        <v>2278</v>
      </c>
      <c r="G786">
        <v>2284.85</v>
      </c>
      <c r="H786">
        <v>0</v>
      </c>
      <c r="I786" s="8">
        <f t="shared" si="49"/>
        <v>-8.4407412229311474E-3</v>
      </c>
      <c r="J786" s="8">
        <f t="shared" si="50"/>
        <v>-8.4765660134252414E-3</v>
      </c>
      <c r="K786" s="8">
        <f t="shared" si="47"/>
        <v>-9.1835923526372376E-2</v>
      </c>
    </row>
    <row r="787" spans="1:11" x14ac:dyDescent="0.25">
      <c r="A787" t="str">
        <f t="shared" si="48"/>
        <v>32020</v>
      </c>
      <c r="B787" s="1">
        <v>43896</v>
      </c>
      <c r="C787" s="10">
        <v>43985.645833333336</v>
      </c>
      <c r="D787">
        <v>2171.0500000000002</v>
      </c>
      <c r="E787">
        <v>2201.65</v>
      </c>
      <c r="F787">
        <v>2133.8000000000002</v>
      </c>
      <c r="G787">
        <v>2183.9</v>
      </c>
      <c r="H787">
        <v>0</v>
      </c>
      <c r="I787" s="8">
        <f t="shared" si="49"/>
        <v>-4.4182331444077239E-2</v>
      </c>
      <c r="J787" s="8">
        <f t="shared" si="50"/>
        <v>-4.5188107388594315E-2</v>
      </c>
      <c r="K787" s="8">
        <f t="shared" si="47"/>
        <v>-0.1297643003725768</v>
      </c>
    </row>
    <row r="788" spans="1:11" x14ac:dyDescent="0.25">
      <c r="A788" t="str">
        <f t="shared" si="48"/>
        <v>32020</v>
      </c>
      <c r="B788" s="1">
        <v>43899</v>
      </c>
      <c r="C788" s="10">
        <v>44077.645833333336</v>
      </c>
      <c r="D788">
        <v>2101.9499999999998</v>
      </c>
      <c r="E788">
        <v>2107.9499999999998</v>
      </c>
      <c r="F788">
        <v>2004</v>
      </c>
      <c r="G788">
        <v>2020.05</v>
      </c>
      <c r="H788">
        <v>0</v>
      </c>
      <c r="I788" s="8">
        <f t="shared" si="49"/>
        <v>-7.5026329044370232E-2</v>
      </c>
      <c r="J788" s="8">
        <f t="shared" si="50"/>
        <v>-7.7990005706566001E-2</v>
      </c>
      <c r="K788" s="8">
        <f t="shared" si="47"/>
        <v>-0.21362114606041738</v>
      </c>
    </row>
    <row r="789" spans="1:11" x14ac:dyDescent="0.25">
      <c r="A789" t="str">
        <f t="shared" si="48"/>
        <v>32020</v>
      </c>
      <c r="B789" s="1">
        <v>43901</v>
      </c>
      <c r="C789" s="10">
        <v>44138.645833333336</v>
      </c>
      <c r="D789">
        <v>2010.3</v>
      </c>
      <c r="E789">
        <v>2032.95</v>
      </c>
      <c r="F789">
        <v>1968.35</v>
      </c>
      <c r="G789">
        <v>1986.95</v>
      </c>
      <c r="H789">
        <v>0</v>
      </c>
      <c r="I789" s="8">
        <f t="shared" si="49"/>
        <v>-1.6385733026410221E-2</v>
      </c>
      <c r="J789" s="8">
        <f t="shared" si="50"/>
        <v>-1.6521463892111954E-2</v>
      </c>
      <c r="K789" s="8">
        <f t="shared" si="47"/>
        <v>-0.24357095269820117</v>
      </c>
    </row>
    <row r="790" spans="1:11" x14ac:dyDescent="0.25">
      <c r="A790" t="str">
        <f t="shared" si="48"/>
        <v>32020</v>
      </c>
      <c r="B790" s="1">
        <v>43902</v>
      </c>
      <c r="C790" s="10">
        <v>44168.645833333336</v>
      </c>
      <c r="D790">
        <v>1869.8</v>
      </c>
      <c r="E790">
        <v>1875.6</v>
      </c>
      <c r="F790">
        <v>1768.25</v>
      </c>
      <c r="G790">
        <v>1800.6</v>
      </c>
      <c r="H790">
        <v>0</v>
      </c>
      <c r="I790" s="8">
        <f t="shared" si="49"/>
        <v>-9.3786959913435219E-2</v>
      </c>
      <c r="J790" s="8">
        <f t="shared" si="50"/>
        <v>-9.8480856997672173E-2</v>
      </c>
      <c r="K790" s="8">
        <f t="shared" si="47"/>
        <v>-0.30508278337385664</v>
      </c>
    </row>
    <row r="791" spans="1:11" x14ac:dyDescent="0.25">
      <c r="A791" t="str">
        <f t="shared" si="48"/>
        <v>32020</v>
      </c>
      <c r="B791" s="1">
        <v>43903</v>
      </c>
      <c r="C791" t="s">
        <v>501</v>
      </c>
      <c r="D791">
        <v>1677.65</v>
      </c>
      <c r="E791">
        <v>1922.9</v>
      </c>
      <c r="F791">
        <v>1546.15</v>
      </c>
      <c r="G791">
        <v>1903.35</v>
      </c>
      <c r="H791">
        <v>0</v>
      </c>
      <c r="I791" s="8">
        <f t="shared" si="49"/>
        <v>5.7064311896034559E-2</v>
      </c>
      <c r="J791" s="8">
        <f t="shared" si="50"/>
        <v>5.5495548836656743E-2</v>
      </c>
      <c r="K791" s="8">
        <f t="shared" si="47"/>
        <v>-0.28599831191972247</v>
      </c>
    </row>
    <row r="792" spans="1:11" x14ac:dyDescent="0.25">
      <c r="A792" t="str">
        <f t="shared" si="48"/>
        <v>32020</v>
      </c>
      <c r="B792" s="1">
        <v>43906</v>
      </c>
      <c r="C792" t="s">
        <v>502</v>
      </c>
      <c r="D792">
        <v>1807.6</v>
      </c>
      <c r="E792">
        <v>1852.45</v>
      </c>
      <c r="F792">
        <v>1722.5</v>
      </c>
      <c r="G792">
        <v>1730.6</v>
      </c>
      <c r="H792">
        <v>0</v>
      </c>
      <c r="I792" s="8">
        <f t="shared" si="49"/>
        <v>-9.0761026610975404E-2</v>
      </c>
      <c r="J792" s="8">
        <f t="shared" si="50"/>
        <v>-9.5147322338394832E-2</v>
      </c>
      <c r="K792" s="8">
        <f t="shared" si="47"/>
        <v>-0.35609175301843621</v>
      </c>
    </row>
    <row r="793" spans="1:11" x14ac:dyDescent="0.25">
      <c r="A793" t="str">
        <f t="shared" si="48"/>
        <v>32020</v>
      </c>
      <c r="B793" s="1">
        <v>43907</v>
      </c>
      <c r="C793" t="s">
        <v>503</v>
      </c>
      <c r="D793">
        <v>1757.65</v>
      </c>
      <c r="E793">
        <v>1816</v>
      </c>
      <c r="F793">
        <v>1699.85</v>
      </c>
      <c r="G793">
        <v>1710.45</v>
      </c>
      <c r="H793">
        <v>0</v>
      </c>
      <c r="I793" s="8">
        <f t="shared" si="49"/>
        <v>-1.1643360684155724E-2</v>
      </c>
      <c r="J793" s="8">
        <f t="shared" si="50"/>
        <v>-1.1711675401161255E-2</v>
      </c>
      <c r="K793" s="8">
        <f t="shared" si="47"/>
        <v>-0.36440489019360112</v>
      </c>
    </row>
    <row r="794" spans="1:11" x14ac:dyDescent="0.25">
      <c r="A794" t="str">
        <f t="shared" si="48"/>
        <v>32020</v>
      </c>
      <c r="B794" s="1">
        <v>43908</v>
      </c>
      <c r="C794" t="s">
        <v>504</v>
      </c>
      <c r="D794">
        <v>1761.6</v>
      </c>
      <c r="E794">
        <v>1763.1</v>
      </c>
      <c r="F794">
        <v>1640.15</v>
      </c>
      <c r="G794">
        <v>1664.2</v>
      </c>
      <c r="H794">
        <v>0</v>
      </c>
      <c r="I794" s="8">
        <f t="shared" si="49"/>
        <v>-2.7039667923645871E-2</v>
      </c>
      <c r="J794" s="8">
        <f t="shared" si="50"/>
        <v>-2.7411966305147663E-2</v>
      </c>
      <c r="K794" s="8">
        <f t="shared" si="47"/>
        <v>-0.38533702677746995</v>
      </c>
    </row>
    <row r="795" spans="1:11" x14ac:dyDescent="0.25">
      <c r="A795" t="str">
        <f t="shared" si="48"/>
        <v>32020</v>
      </c>
      <c r="B795" s="1">
        <v>43909</v>
      </c>
      <c r="C795" t="s">
        <v>505</v>
      </c>
      <c r="D795">
        <v>1584</v>
      </c>
      <c r="E795">
        <v>1649.7</v>
      </c>
      <c r="F795">
        <v>1558.05</v>
      </c>
      <c r="G795">
        <v>1574.2</v>
      </c>
      <c r="H795">
        <v>0</v>
      </c>
      <c r="I795" s="8">
        <f t="shared" si="49"/>
        <v>-5.4080038456916224E-2</v>
      </c>
      <c r="J795" s="8">
        <f t="shared" si="50"/>
        <v>-5.5597320757979726E-2</v>
      </c>
      <c r="K795" s="8">
        <f t="shared" si="47"/>
        <v>-0.41833096236628664</v>
      </c>
    </row>
    <row r="796" spans="1:11" x14ac:dyDescent="0.25">
      <c r="A796" t="str">
        <f t="shared" si="48"/>
        <v>32020</v>
      </c>
      <c r="B796" s="1">
        <v>43910</v>
      </c>
      <c r="C796" t="s">
        <v>506</v>
      </c>
      <c r="D796">
        <v>1605.05</v>
      </c>
      <c r="E796">
        <v>1714.9</v>
      </c>
      <c r="F796">
        <v>1582.4</v>
      </c>
      <c r="G796">
        <v>1692.85</v>
      </c>
      <c r="H796">
        <v>0</v>
      </c>
      <c r="I796" s="8">
        <f t="shared" si="49"/>
        <v>7.537161732943698E-2</v>
      </c>
      <c r="J796" s="8">
        <f t="shared" si="50"/>
        <v>7.2666292381429548E-2</v>
      </c>
      <c r="K796" s="8">
        <f t="shared" si="47"/>
        <v>-0.37834860363916789</v>
      </c>
    </row>
    <row r="797" spans="1:11" x14ac:dyDescent="0.25">
      <c r="A797" t="str">
        <f t="shared" si="48"/>
        <v>32020</v>
      </c>
      <c r="B797" s="1">
        <v>43913</v>
      </c>
      <c r="C797" t="s">
        <v>507</v>
      </c>
      <c r="D797">
        <v>1538.25</v>
      </c>
      <c r="E797">
        <v>1587.45</v>
      </c>
      <c r="F797">
        <v>1480.7</v>
      </c>
      <c r="G797">
        <v>1496.45</v>
      </c>
      <c r="H797">
        <v>0</v>
      </c>
      <c r="I797" s="8">
        <f t="shared" si="49"/>
        <v>-0.11601736716188671</v>
      </c>
      <c r="J797" s="8">
        <f t="shared" si="50"/>
        <v>-0.12331786264821255</v>
      </c>
      <c r="K797" s="8">
        <f t="shared" si="47"/>
        <v>-0.45365096750638922</v>
      </c>
    </row>
    <row r="798" spans="1:11" x14ac:dyDescent="0.25">
      <c r="A798" t="str">
        <f t="shared" si="48"/>
        <v>32020</v>
      </c>
      <c r="B798" s="1">
        <v>43914</v>
      </c>
      <c r="C798" t="s">
        <v>508</v>
      </c>
      <c r="D798">
        <v>1539.5</v>
      </c>
      <c r="E798">
        <v>1579.7</v>
      </c>
      <c r="F798">
        <v>1485.2</v>
      </c>
      <c r="G798">
        <v>1502.4</v>
      </c>
      <c r="H798">
        <v>0</v>
      </c>
      <c r="I798" s="8">
        <f t="shared" si="49"/>
        <v>3.976076714891974E-3</v>
      </c>
      <c r="J798" s="8">
        <f t="shared" si="50"/>
        <v>3.9681930124316244E-3</v>
      </c>
      <c r="K798" s="8">
        <f t="shared" si="47"/>
        <v>-0.45572119477602469</v>
      </c>
    </row>
    <row r="799" spans="1:11" x14ac:dyDescent="0.25">
      <c r="A799" t="str">
        <f t="shared" si="48"/>
        <v>32020</v>
      </c>
      <c r="B799" s="1">
        <v>43915</v>
      </c>
      <c r="C799" t="s">
        <v>509</v>
      </c>
      <c r="D799">
        <v>1485.25</v>
      </c>
      <c r="E799">
        <v>1557.05</v>
      </c>
      <c r="F799">
        <v>1483.8</v>
      </c>
      <c r="G799">
        <v>1541.2</v>
      </c>
      <c r="H799">
        <v>0</v>
      </c>
      <c r="I799" s="8">
        <f t="shared" si="49"/>
        <v>2.5825346112886116E-2</v>
      </c>
      <c r="J799" s="8">
        <f t="shared" si="50"/>
        <v>2.5497504298004126E-2</v>
      </c>
      <c r="K799" s="8">
        <f t="shared" si="47"/>
        <v>-0.44888253173609871</v>
      </c>
    </row>
    <row r="800" spans="1:11" x14ac:dyDescent="0.25">
      <c r="A800" t="str">
        <f t="shared" si="48"/>
        <v>32020</v>
      </c>
      <c r="B800" s="1">
        <v>43916</v>
      </c>
      <c r="C800" t="s">
        <v>510</v>
      </c>
      <c r="D800">
        <v>1561.6</v>
      </c>
      <c r="E800">
        <v>1596.3</v>
      </c>
      <c r="F800">
        <v>1523.85</v>
      </c>
      <c r="G800">
        <v>1542.95</v>
      </c>
      <c r="H800">
        <v>0</v>
      </c>
      <c r="I800" s="8">
        <f t="shared" si="49"/>
        <v>1.1354788476511946E-3</v>
      </c>
      <c r="J800" s="8">
        <f t="shared" si="50"/>
        <v>1.1348346791248407E-3</v>
      </c>
      <c r="K800" s="8">
        <f t="shared" si="47"/>
        <v>-0.44920215614179138</v>
      </c>
    </row>
    <row r="801" spans="1:11" x14ac:dyDescent="0.25">
      <c r="A801" t="str">
        <f t="shared" si="48"/>
        <v>32020</v>
      </c>
      <c r="B801" s="1">
        <v>43917</v>
      </c>
      <c r="C801" t="s">
        <v>511</v>
      </c>
      <c r="D801">
        <v>1580.7</v>
      </c>
      <c r="E801">
        <v>1606.75</v>
      </c>
      <c r="F801">
        <v>1528.55</v>
      </c>
      <c r="G801">
        <v>1554.85</v>
      </c>
      <c r="H801">
        <v>0</v>
      </c>
      <c r="I801" s="8">
        <f t="shared" si="49"/>
        <v>7.7124987847951854E-3</v>
      </c>
      <c r="J801" s="8">
        <f t="shared" si="50"/>
        <v>7.6829095068423718E-3</v>
      </c>
      <c r="K801" s="8">
        <f t="shared" si="47"/>
        <v>-0.4439119472112445</v>
      </c>
    </row>
    <row r="802" spans="1:11" x14ac:dyDescent="0.25">
      <c r="A802" t="str">
        <f t="shared" si="48"/>
        <v>32020</v>
      </c>
      <c r="B802" s="1">
        <v>43920</v>
      </c>
      <c r="C802" t="s">
        <v>512</v>
      </c>
      <c r="D802">
        <v>1506.4</v>
      </c>
      <c r="E802">
        <v>1527.6</v>
      </c>
      <c r="F802">
        <v>1483.5</v>
      </c>
      <c r="G802">
        <v>1507.7</v>
      </c>
      <c r="H802">
        <v>0</v>
      </c>
      <c r="I802" s="8">
        <f t="shared" si="49"/>
        <v>-3.0324468598256993E-2</v>
      </c>
      <c r="J802" s="8">
        <f t="shared" si="50"/>
        <v>-3.0793767153096997E-2</v>
      </c>
      <c r="K802" s="8">
        <f t="shared" si="47"/>
        <v>-0.47465068469284644</v>
      </c>
    </row>
    <row r="803" spans="1:11" x14ac:dyDescent="0.25">
      <c r="A803" t="str">
        <f t="shared" si="48"/>
        <v>32020</v>
      </c>
      <c r="B803" s="1">
        <v>43921</v>
      </c>
      <c r="C803" t="s">
        <v>513</v>
      </c>
      <c r="D803">
        <v>1544.5</v>
      </c>
      <c r="E803">
        <v>1601</v>
      </c>
      <c r="F803">
        <v>1539.25</v>
      </c>
      <c r="G803">
        <v>1585.9</v>
      </c>
      <c r="H803">
        <v>0</v>
      </c>
      <c r="I803" s="8">
        <f t="shared" si="49"/>
        <v>5.1867082310804502E-2</v>
      </c>
      <c r="J803" s="8">
        <f t="shared" si="50"/>
        <v>5.0566758719682331E-2</v>
      </c>
      <c r="K803" s="8">
        <f t="shared" si="47"/>
        <v>-0.44322151420998113</v>
      </c>
    </row>
    <row r="804" spans="1:11" x14ac:dyDescent="0.25">
      <c r="A804" t="str">
        <f t="shared" si="48"/>
        <v>42020</v>
      </c>
      <c r="B804" s="1">
        <v>43922</v>
      </c>
      <c r="C804" s="10">
        <v>43834.645833333336</v>
      </c>
      <c r="D804">
        <v>1575.75</v>
      </c>
      <c r="E804">
        <v>1578.4</v>
      </c>
      <c r="F804">
        <v>1535.25</v>
      </c>
      <c r="G804">
        <v>1553.55</v>
      </c>
      <c r="H804">
        <v>0</v>
      </c>
      <c r="I804" s="8">
        <f t="shared" si="49"/>
        <v>-2.0398511885995396E-2</v>
      </c>
      <c r="J804" s="8">
        <f t="shared" si="50"/>
        <v>-2.0609434801557712E-2</v>
      </c>
      <c r="K804" s="8">
        <f t="shared" si="47"/>
        <v>-0.43828979481153396</v>
      </c>
    </row>
    <row r="805" spans="1:11" x14ac:dyDescent="0.25">
      <c r="A805" t="str">
        <f t="shared" si="48"/>
        <v>42020</v>
      </c>
      <c r="B805" s="1">
        <v>43924</v>
      </c>
      <c r="C805" s="10">
        <v>43894.645833333336</v>
      </c>
      <c r="D805">
        <v>1563.55</v>
      </c>
      <c r="E805">
        <v>1568.75</v>
      </c>
      <c r="F805">
        <v>1496.65</v>
      </c>
      <c r="G805">
        <v>1522.9</v>
      </c>
      <c r="H805">
        <v>0</v>
      </c>
      <c r="I805" s="8">
        <f t="shared" si="49"/>
        <v>-1.9729007756428718E-2</v>
      </c>
      <c r="J805" s="8">
        <f t="shared" si="50"/>
        <v>-1.9926222845352233E-2</v>
      </c>
      <c r="K805" s="8">
        <f t="shared" si="47"/>
        <v>-0.45335439175849812</v>
      </c>
    </row>
    <row r="806" spans="1:11" x14ac:dyDescent="0.25">
      <c r="A806" t="str">
        <f t="shared" si="48"/>
        <v>42020</v>
      </c>
      <c r="B806" s="1">
        <v>43928</v>
      </c>
      <c r="C806" s="10">
        <v>44016.645833333336</v>
      </c>
      <c r="D806">
        <v>1579.7</v>
      </c>
      <c r="E806">
        <v>1648.5</v>
      </c>
      <c r="F806">
        <v>1559.15</v>
      </c>
      <c r="G806">
        <v>1637</v>
      </c>
      <c r="H806">
        <v>0</v>
      </c>
      <c r="I806" s="8">
        <f t="shared" si="49"/>
        <v>7.4922844572854252E-2</v>
      </c>
      <c r="J806" s="8">
        <f t="shared" si="50"/>
        <v>7.2248886513489555E-2</v>
      </c>
      <c r="K806" s="8">
        <f t="shared" si="47"/>
        <v>-0.40843797994398767</v>
      </c>
    </row>
    <row r="807" spans="1:11" x14ac:dyDescent="0.25">
      <c r="A807" t="str">
        <f t="shared" si="48"/>
        <v>42020</v>
      </c>
      <c r="B807" s="1">
        <v>43929</v>
      </c>
      <c r="C807" s="10">
        <v>44047.645833333336</v>
      </c>
      <c r="D807">
        <v>1613.4</v>
      </c>
      <c r="E807">
        <v>1726.4</v>
      </c>
      <c r="F807">
        <v>1597.05</v>
      </c>
      <c r="G807">
        <v>1624.85</v>
      </c>
      <c r="H807">
        <v>0</v>
      </c>
      <c r="I807" s="8">
        <f t="shared" si="49"/>
        <v>-7.422113622480242E-3</v>
      </c>
      <c r="J807" s="8">
        <f t="shared" si="50"/>
        <v>-7.4497945602220554E-3</v>
      </c>
      <c r="K807" s="8">
        <f t="shared" si="47"/>
        <v>-0.42110232293002714</v>
      </c>
    </row>
    <row r="808" spans="1:11" x14ac:dyDescent="0.25">
      <c r="A808" t="str">
        <f t="shared" si="48"/>
        <v>42020</v>
      </c>
      <c r="B808" s="1">
        <v>43930</v>
      </c>
      <c r="C808" s="10">
        <v>44078.645833333336</v>
      </c>
      <c r="D808">
        <v>1665.3</v>
      </c>
      <c r="E808">
        <v>1709.55</v>
      </c>
      <c r="F808">
        <v>1660.1</v>
      </c>
      <c r="G808">
        <v>1705.45</v>
      </c>
      <c r="H808">
        <v>0</v>
      </c>
      <c r="I808" s="8">
        <f t="shared" si="49"/>
        <v>4.9604578884204775E-2</v>
      </c>
      <c r="J808" s="8">
        <f t="shared" si="50"/>
        <v>4.8413501702177925E-2</v>
      </c>
      <c r="K808" s="8">
        <f t="shared" si="47"/>
        <v>-0.39964798028689608</v>
      </c>
    </row>
    <row r="809" spans="1:11" x14ac:dyDescent="0.25">
      <c r="A809" t="str">
        <f t="shared" si="48"/>
        <v>42020</v>
      </c>
      <c r="B809" s="1">
        <v>43934</v>
      </c>
      <c r="C809" t="s">
        <v>514</v>
      </c>
      <c r="D809">
        <v>1714.5</v>
      </c>
      <c r="E809">
        <v>1745.2</v>
      </c>
      <c r="F809">
        <v>1659.95</v>
      </c>
      <c r="G809">
        <v>1738.4</v>
      </c>
      <c r="H809">
        <v>0</v>
      </c>
      <c r="I809" s="8">
        <f t="shared" si="49"/>
        <v>1.9320413966988248E-2</v>
      </c>
      <c r="J809" s="8">
        <f t="shared" si="50"/>
        <v>1.9136144429129153E-2</v>
      </c>
      <c r="K809" s="8">
        <f t="shared" si="47"/>
        <v>-0.39514978601997142</v>
      </c>
    </row>
    <row r="810" spans="1:11" x14ac:dyDescent="0.25">
      <c r="A810" t="str">
        <f t="shared" si="48"/>
        <v>42020</v>
      </c>
      <c r="B810" s="1">
        <v>43936</v>
      </c>
      <c r="C810" t="s">
        <v>515</v>
      </c>
      <c r="D810">
        <v>1771.2</v>
      </c>
      <c r="E810">
        <v>1814.45</v>
      </c>
      <c r="F810">
        <v>1735.3</v>
      </c>
      <c r="G810">
        <v>1752.9</v>
      </c>
      <c r="H810">
        <v>0</v>
      </c>
      <c r="I810" s="8">
        <f t="shared" si="49"/>
        <v>8.341003221352894E-3</v>
      </c>
      <c r="J810" s="8">
        <f t="shared" si="50"/>
        <v>8.3064092862810829E-3</v>
      </c>
      <c r="K810" s="8">
        <f t="shared" si="47"/>
        <v>-0.39568717356454586</v>
      </c>
    </row>
    <row r="811" spans="1:11" x14ac:dyDescent="0.25">
      <c r="A811" t="str">
        <f t="shared" si="48"/>
        <v>42020</v>
      </c>
      <c r="B811" s="1">
        <v>43937</v>
      </c>
      <c r="C811" t="s">
        <v>516</v>
      </c>
      <c r="D811">
        <v>1738.55</v>
      </c>
      <c r="E811">
        <v>1798.75</v>
      </c>
      <c r="F811">
        <v>1724.35</v>
      </c>
      <c r="G811">
        <v>1779.75</v>
      </c>
      <c r="H811">
        <v>0</v>
      </c>
      <c r="I811" s="8">
        <f t="shared" si="49"/>
        <v>1.5317473900393619E-2</v>
      </c>
      <c r="J811" s="8">
        <f t="shared" si="50"/>
        <v>1.5201345755481585E-2</v>
      </c>
      <c r="K811" s="8">
        <f t="shared" si="47"/>
        <v>-0.39079908949323106</v>
      </c>
    </row>
    <row r="812" spans="1:11" x14ac:dyDescent="0.25">
      <c r="A812" t="str">
        <f t="shared" si="48"/>
        <v>42020</v>
      </c>
      <c r="B812" s="1">
        <v>43938</v>
      </c>
      <c r="C812" t="s">
        <v>517</v>
      </c>
      <c r="D812">
        <v>1837.2</v>
      </c>
      <c r="E812">
        <v>1842.15</v>
      </c>
      <c r="F812">
        <v>1784.05</v>
      </c>
      <c r="G812">
        <v>1816.5</v>
      </c>
      <c r="H812">
        <v>0</v>
      </c>
      <c r="I812" s="8">
        <f t="shared" si="49"/>
        <v>2.0648967551622377E-2</v>
      </c>
      <c r="J812" s="8">
        <f t="shared" si="50"/>
        <v>2.0438667677273956E-2</v>
      </c>
      <c r="K812" s="8">
        <f t="shared" si="47"/>
        <v>-0.37032029950083201</v>
      </c>
    </row>
    <row r="813" spans="1:11" x14ac:dyDescent="0.25">
      <c r="A813" t="str">
        <f t="shared" si="48"/>
        <v>42020</v>
      </c>
      <c r="B813" s="1">
        <v>43941</v>
      </c>
      <c r="C813" t="s">
        <v>518</v>
      </c>
      <c r="D813">
        <v>1842.4</v>
      </c>
      <c r="E813">
        <v>1842.9</v>
      </c>
      <c r="F813">
        <v>1750.25</v>
      </c>
      <c r="G813">
        <v>1756.45</v>
      </c>
      <c r="H813">
        <v>0</v>
      </c>
      <c r="I813" s="8">
        <f t="shared" si="49"/>
        <v>-3.3058078722818629E-2</v>
      </c>
      <c r="J813" s="8">
        <f t="shared" si="50"/>
        <v>-3.3616846059363534E-2</v>
      </c>
      <c r="K813" s="8">
        <f t="shared" si="47"/>
        <v>-0.38685354231756064</v>
      </c>
    </row>
    <row r="814" spans="1:11" x14ac:dyDescent="0.25">
      <c r="A814" t="str">
        <f t="shared" si="48"/>
        <v>42020</v>
      </c>
      <c r="B814" s="1">
        <v>43942</v>
      </c>
      <c r="C814" t="s">
        <v>519</v>
      </c>
      <c r="D814">
        <v>1712.6</v>
      </c>
      <c r="E814">
        <v>1714.5</v>
      </c>
      <c r="F814">
        <v>1649.25</v>
      </c>
      <c r="G814">
        <v>1666.6</v>
      </c>
      <c r="H814">
        <v>0</v>
      </c>
      <c r="I814" s="8">
        <f t="shared" si="49"/>
        <v>-5.1154316946112943E-2</v>
      </c>
      <c r="J814" s="8">
        <f t="shared" si="50"/>
        <v>-5.2509103653786769E-2</v>
      </c>
      <c r="K814" s="8">
        <f t="shared" si="47"/>
        <v>-0.4123102420790945</v>
      </c>
    </row>
    <row r="815" spans="1:11" x14ac:dyDescent="0.25">
      <c r="A815" t="str">
        <f t="shared" si="48"/>
        <v>42020</v>
      </c>
      <c r="B815" s="1">
        <v>43943</v>
      </c>
      <c r="C815" t="s">
        <v>520</v>
      </c>
      <c r="D815">
        <v>1651.75</v>
      </c>
      <c r="E815">
        <v>1680.2</v>
      </c>
      <c r="F815">
        <v>1616.65</v>
      </c>
      <c r="G815">
        <v>1673.3</v>
      </c>
      <c r="H815">
        <v>0</v>
      </c>
      <c r="I815" s="8">
        <f t="shared" si="49"/>
        <v>4.0201608064323047E-3</v>
      </c>
      <c r="J815" s="8">
        <f t="shared" si="50"/>
        <v>4.0121015524215509E-3</v>
      </c>
      <c r="K815" s="8">
        <f t="shared" si="47"/>
        <v>-0.40238218539616777</v>
      </c>
    </row>
    <row r="816" spans="1:11" x14ac:dyDescent="0.25">
      <c r="A816" t="str">
        <f t="shared" si="48"/>
        <v>42020</v>
      </c>
      <c r="B816" s="1">
        <v>43944</v>
      </c>
      <c r="C816" t="s">
        <v>521</v>
      </c>
      <c r="D816">
        <v>1685.55</v>
      </c>
      <c r="E816">
        <v>1725.5</v>
      </c>
      <c r="F816">
        <v>1679.95</v>
      </c>
      <c r="G816">
        <v>1694.75</v>
      </c>
      <c r="H816">
        <v>0</v>
      </c>
      <c r="I816" s="8">
        <f t="shared" si="49"/>
        <v>1.2818980457778073E-2</v>
      </c>
      <c r="J816" s="8">
        <f t="shared" si="50"/>
        <v>1.2737512810547118E-2</v>
      </c>
      <c r="K816" s="8">
        <f t="shared" si="47"/>
        <v>-0.38523623832411358</v>
      </c>
    </row>
    <row r="817" spans="1:11" x14ac:dyDescent="0.25">
      <c r="A817" t="str">
        <f t="shared" si="48"/>
        <v>42020</v>
      </c>
      <c r="B817" s="1">
        <v>43945</v>
      </c>
      <c r="C817" t="s">
        <v>522</v>
      </c>
      <c r="D817">
        <v>1680.45</v>
      </c>
      <c r="E817">
        <v>1709.6</v>
      </c>
      <c r="F817">
        <v>1641.45</v>
      </c>
      <c r="G817">
        <v>1645.2</v>
      </c>
      <c r="H817">
        <v>0</v>
      </c>
      <c r="I817" s="8">
        <f t="shared" si="49"/>
        <v>-2.9237350641687532E-2</v>
      </c>
      <c r="J817" s="8">
        <f t="shared" si="50"/>
        <v>-2.9673279954805943E-2</v>
      </c>
      <c r="K817" s="8">
        <f t="shared" si="47"/>
        <v>-0.40590412566579392</v>
      </c>
    </row>
    <row r="818" spans="1:11" x14ac:dyDescent="0.25">
      <c r="A818" t="str">
        <f t="shared" si="48"/>
        <v>42020</v>
      </c>
      <c r="B818" s="1">
        <v>43948</v>
      </c>
      <c r="C818" t="s">
        <v>523</v>
      </c>
      <c r="D818">
        <v>1672.6</v>
      </c>
      <c r="E818">
        <v>1687.45</v>
      </c>
      <c r="F818">
        <v>1664.1</v>
      </c>
      <c r="G818">
        <v>1666.6</v>
      </c>
      <c r="H818">
        <v>0</v>
      </c>
      <c r="I818" s="8">
        <f t="shared" si="49"/>
        <v>1.3007537077558862E-2</v>
      </c>
      <c r="J818" s="8">
        <f t="shared" si="50"/>
        <v>1.2923665591837288E-2</v>
      </c>
      <c r="K818" s="8">
        <f t="shared" si="47"/>
        <v>-0.40397682569201054</v>
      </c>
    </row>
    <row r="819" spans="1:11" x14ac:dyDescent="0.25">
      <c r="A819" t="str">
        <f t="shared" si="48"/>
        <v>42020</v>
      </c>
      <c r="B819" s="1">
        <v>43949</v>
      </c>
      <c r="C819" t="s">
        <v>524</v>
      </c>
      <c r="D819">
        <v>1678.3</v>
      </c>
      <c r="E819">
        <v>1685.95</v>
      </c>
      <c r="F819">
        <v>1653.8</v>
      </c>
      <c r="G819">
        <v>1661.65</v>
      </c>
      <c r="H819">
        <v>0</v>
      </c>
      <c r="I819" s="8">
        <f t="shared" si="49"/>
        <v>-2.9701188047520644E-3</v>
      </c>
      <c r="J819" s="8">
        <f t="shared" si="50"/>
        <v>-2.974538360849766E-3</v>
      </c>
      <c r="K819" s="8">
        <f t="shared" si="47"/>
        <v>-0.38678844911892241</v>
      </c>
    </row>
    <row r="820" spans="1:11" x14ac:dyDescent="0.25">
      <c r="A820" t="str">
        <f t="shared" si="48"/>
        <v>42020</v>
      </c>
      <c r="B820" s="1">
        <v>43950</v>
      </c>
      <c r="C820" t="s">
        <v>525</v>
      </c>
      <c r="D820">
        <v>1666.35</v>
      </c>
      <c r="E820">
        <v>1730.8</v>
      </c>
      <c r="F820">
        <v>1662.2</v>
      </c>
      <c r="G820">
        <v>1723.8</v>
      </c>
      <c r="H820">
        <v>0</v>
      </c>
      <c r="I820" s="8">
        <f t="shared" si="49"/>
        <v>3.7402581771130983E-2</v>
      </c>
      <c r="J820" s="8">
        <f t="shared" si="50"/>
        <v>3.6720071626042246E-2</v>
      </c>
      <c r="K820" s="8">
        <f t="shared" si="47"/>
        <v>-0.34760147601476021</v>
      </c>
    </row>
    <row r="821" spans="1:11" x14ac:dyDescent="0.25">
      <c r="A821" t="str">
        <f t="shared" si="48"/>
        <v>42020</v>
      </c>
      <c r="B821" s="1">
        <v>43951</v>
      </c>
      <c r="C821" t="s">
        <v>526</v>
      </c>
      <c r="D821">
        <v>1763.5</v>
      </c>
      <c r="E821">
        <v>1871.95</v>
      </c>
      <c r="F821">
        <v>1761.05</v>
      </c>
      <c r="G821">
        <v>1859.9</v>
      </c>
      <c r="H821">
        <v>0</v>
      </c>
      <c r="I821" s="8">
        <f t="shared" si="49"/>
        <v>7.8953474881076735E-2</v>
      </c>
      <c r="J821" s="8">
        <f t="shared" si="50"/>
        <v>7.5991566607782293E-2</v>
      </c>
      <c r="K821" s="8">
        <f t="shared" si="47"/>
        <v>-0.30232383667498164</v>
      </c>
    </row>
    <row r="822" spans="1:11" x14ac:dyDescent="0.25">
      <c r="A822" t="str">
        <f t="shared" si="48"/>
        <v>52020</v>
      </c>
      <c r="B822" s="1">
        <v>43955</v>
      </c>
      <c r="C822" s="10">
        <v>43926.645833333336</v>
      </c>
      <c r="D822">
        <v>1769.25</v>
      </c>
      <c r="E822">
        <v>1772.3</v>
      </c>
      <c r="F822">
        <v>1704.55</v>
      </c>
      <c r="G822">
        <v>1713.8</v>
      </c>
      <c r="H822">
        <v>0</v>
      </c>
      <c r="I822" s="8">
        <f t="shared" si="49"/>
        <v>-7.8552610355395514E-2</v>
      </c>
      <c r="J822" s="8">
        <f t="shared" si="50"/>
        <v>-8.1809595586062767E-2</v>
      </c>
      <c r="K822" s="8">
        <f t="shared" si="47"/>
        <v>-0.3480923580204649</v>
      </c>
    </row>
    <row r="823" spans="1:11" x14ac:dyDescent="0.25">
      <c r="A823" t="str">
        <f t="shared" si="48"/>
        <v>52020</v>
      </c>
      <c r="B823" s="1">
        <v>43956</v>
      </c>
      <c r="C823" s="10">
        <v>43956.645833333336</v>
      </c>
      <c r="D823">
        <v>1748.8</v>
      </c>
      <c r="E823">
        <v>1755.5</v>
      </c>
      <c r="F823">
        <v>1685.45</v>
      </c>
      <c r="G823">
        <v>1693.65</v>
      </c>
      <c r="H823">
        <v>0</v>
      </c>
      <c r="I823" s="8">
        <f t="shared" si="49"/>
        <v>-1.1757497957754603E-2</v>
      </c>
      <c r="J823" s="8">
        <f t="shared" si="50"/>
        <v>-1.1827163940377474E-2</v>
      </c>
      <c r="K823" s="8">
        <f t="shared" si="47"/>
        <v>-0.34073569482288824</v>
      </c>
    </row>
    <row r="824" spans="1:11" x14ac:dyDescent="0.25">
      <c r="A824" t="str">
        <f t="shared" si="48"/>
        <v>52020</v>
      </c>
      <c r="B824" s="1">
        <v>43957</v>
      </c>
      <c r="C824" s="10">
        <v>43987.645833333336</v>
      </c>
      <c r="D824">
        <v>1707.8</v>
      </c>
      <c r="E824">
        <v>1719.8</v>
      </c>
      <c r="F824">
        <v>1681</v>
      </c>
      <c r="G824">
        <v>1697.95</v>
      </c>
      <c r="H824">
        <v>0</v>
      </c>
      <c r="I824" s="8">
        <f t="shared" si="49"/>
        <v>2.5388952853304669E-3</v>
      </c>
      <c r="J824" s="8">
        <f t="shared" si="50"/>
        <v>2.5356777355594788E-3</v>
      </c>
      <c r="K824" s="8">
        <f t="shared" si="47"/>
        <v>-0.31099478564327299</v>
      </c>
    </row>
    <row r="825" spans="1:11" x14ac:dyDescent="0.25">
      <c r="A825" t="str">
        <f t="shared" si="48"/>
        <v>52020</v>
      </c>
      <c r="B825" s="1">
        <v>43958</v>
      </c>
      <c r="C825" s="10">
        <v>44017.645833333336</v>
      </c>
      <c r="D825">
        <v>1676.35</v>
      </c>
      <c r="E825">
        <v>1717.65</v>
      </c>
      <c r="F825">
        <v>1672.05</v>
      </c>
      <c r="G825">
        <v>1695.55</v>
      </c>
      <c r="H825">
        <v>0</v>
      </c>
      <c r="I825" s="8">
        <f t="shared" si="49"/>
        <v>-1.4134691834271074E-3</v>
      </c>
      <c r="J825" s="8">
        <f t="shared" si="50"/>
        <v>-1.4144690733134495E-3</v>
      </c>
      <c r="K825" s="8">
        <f t="shared" si="47"/>
        <v>-0.32473764909695535</v>
      </c>
    </row>
    <row r="826" spans="1:11" x14ac:dyDescent="0.25">
      <c r="A826" t="str">
        <f t="shared" si="48"/>
        <v>52020</v>
      </c>
      <c r="B826" s="1">
        <v>43959</v>
      </c>
      <c r="C826" s="10">
        <v>44048.645833333336</v>
      </c>
      <c r="D826">
        <v>1734.85</v>
      </c>
      <c r="E826">
        <v>1737</v>
      </c>
      <c r="F826">
        <v>1671</v>
      </c>
      <c r="G826">
        <v>1676.55</v>
      </c>
      <c r="H826">
        <v>0</v>
      </c>
      <c r="I826" s="8">
        <f t="shared" si="49"/>
        <v>-1.1205803426616701E-2</v>
      </c>
      <c r="J826" s="8">
        <f t="shared" si="50"/>
        <v>-1.1269061457156712E-2</v>
      </c>
      <c r="K826" s="8">
        <f t="shared" si="47"/>
        <v>-0.35374385660595553</v>
      </c>
    </row>
    <row r="827" spans="1:11" x14ac:dyDescent="0.25">
      <c r="A827" t="str">
        <f t="shared" si="48"/>
        <v>52020</v>
      </c>
      <c r="B827" s="1">
        <v>43962</v>
      </c>
      <c r="C827" s="10">
        <v>44140.645833333336</v>
      </c>
      <c r="D827">
        <v>1695.3</v>
      </c>
      <c r="E827">
        <v>1720.1</v>
      </c>
      <c r="F827">
        <v>1688.3</v>
      </c>
      <c r="G827">
        <v>1697.9</v>
      </c>
      <c r="H827">
        <v>0</v>
      </c>
      <c r="I827" s="8">
        <f t="shared" si="49"/>
        <v>1.2734484506874422E-2</v>
      </c>
      <c r="J827" s="8">
        <f t="shared" si="50"/>
        <v>1.265408282223611E-2</v>
      </c>
      <c r="K827" s="8">
        <f t="shared" si="47"/>
        <v>-0.36298491783597209</v>
      </c>
    </row>
    <row r="828" spans="1:11" x14ac:dyDescent="0.25">
      <c r="A828" t="str">
        <f t="shared" si="48"/>
        <v>52020</v>
      </c>
      <c r="B828" s="1">
        <v>43963</v>
      </c>
      <c r="C828" s="10">
        <v>44170.645833333336</v>
      </c>
      <c r="D828">
        <v>1687.2</v>
      </c>
      <c r="E828">
        <v>1727.3</v>
      </c>
      <c r="F828">
        <v>1657.4</v>
      </c>
      <c r="G828">
        <v>1717.55</v>
      </c>
      <c r="H828">
        <v>0</v>
      </c>
      <c r="I828" s="8">
        <f t="shared" si="49"/>
        <v>1.157311973614461E-2</v>
      </c>
      <c r="J828" s="8">
        <f t="shared" si="50"/>
        <v>1.1506663432303632E-2</v>
      </c>
      <c r="K828" s="8">
        <f t="shared" si="47"/>
        <v>-0.36120874012087401</v>
      </c>
    </row>
    <row r="829" spans="1:11" x14ac:dyDescent="0.25">
      <c r="A829" t="str">
        <f t="shared" si="48"/>
        <v>52020</v>
      </c>
      <c r="B829" s="1">
        <v>43964</v>
      </c>
      <c r="C829" t="s">
        <v>527</v>
      </c>
      <c r="D829">
        <v>1812.2</v>
      </c>
      <c r="E829">
        <v>1813.55</v>
      </c>
      <c r="F829">
        <v>1750.8</v>
      </c>
      <c r="G829">
        <v>1760.6</v>
      </c>
      <c r="H829">
        <v>0</v>
      </c>
      <c r="I829" s="8">
        <f t="shared" si="49"/>
        <v>2.5064772495706045E-2</v>
      </c>
      <c r="J829" s="8">
        <f t="shared" si="50"/>
        <v>2.4755803272535893E-2</v>
      </c>
      <c r="K829" s="8">
        <f t="shared" si="47"/>
        <v>-0.350523830603512</v>
      </c>
    </row>
    <row r="830" spans="1:11" x14ac:dyDescent="0.25">
      <c r="A830" t="str">
        <f t="shared" si="48"/>
        <v>52020</v>
      </c>
      <c r="B830" s="1">
        <v>43965</v>
      </c>
      <c r="C830" t="s">
        <v>528</v>
      </c>
      <c r="D830">
        <v>1732.15</v>
      </c>
      <c r="E830">
        <v>1753.25</v>
      </c>
      <c r="F830">
        <v>1710.3</v>
      </c>
      <c r="G830">
        <v>1715.05</v>
      </c>
      <c r="H830">
        <v>0</v>
      </c>
      <c r="I830" s="8">
        <f t="shared" si="49"/>
        <v>-2.5871861865273127E-2</v>
      </c>
      <c r="J830" s="8">
        <f t="shared" si="50"/>
        <v>-2.6212425332799678E-2</v>
      </c>
      <c r="K830" s="8">
        <f t="shared" si="47"/>
        <v>-0.34761687397770935</v>
      </c>
    </row>
    <row r="831" spans="1:11" x14ac:dyDescent="0.25">
      <c r="A831" t="str">
        <f t="shared" si="48"/>
        <v>52020</v>
      </c>
      <c r="B831" s="1">
        <v>43966</v>
      </c>
      <c r="C831" t="s">
        <v>529</v>
      </c>
      <c r="D831">
        <v>1728.8</v>
      </c>
      <c r="E831">
        <v>1763.85</v>
      </c>
      <c r="F831">
        <v>1714.15</v>
      </c>
      <c r="G831">
        <v>1742.6</v>
      </c>
      <c r="H831">
        <v>0</v>
      </c>
      <c r="I831" s="8">
        <f t="shared" si="49"/>
        <v>1.6063671613072428E-2</v>
      </c>
      <c r="J831" s="8">
        <f t="shared" si="50"/>
        <v>1.5936016103180375E-2</v>
      </c>
      <c r="K831" s="8">
        <f t="shared" si="47"/>
        <v>-0.34284906194022824</v>
      </c>
    </row>
    <row r="832" spans="1:11" x14ac:dyDescent="0.25">
      <c r="A832" t="str">
        <f t="shared" si="48"/>
        <v>52020</v>
      </c>
      <c r="B832" s="1">
        <v>43969</v>
      </c>
      <c r="C832" t="s">
        <v>530</v>
      </c>
      <c r="D832">
        <v>1746.2</v>
      </c>
      <c r="E832">
        <v>1746.4</v>
      </c>
      <c r="F832">
        <v>1667.8</v>
      </c>
      <c r="G832">
        <v>1673.5</v>
      </c>
      <c r="H832">
        <v>0</v>
      </c>
      <c r="I832" s="8">
        <f t="shared" si="49"/>
        <v>-3.9653391483989386E-2</v>
      </c>
      <c r="J832" s="8">
        <f t="shared" si="50"/>
        <v>-4.0461009145805089E-2</v>
      </c>
      <c r="K832" s="8">
        <f t="shared" ref="K832:K895" si="51">+G832/G771-1</f>
        <v>-0.37280989412536303</v>
      </c>
    </row>
    <row r="833" spans="1:11" x14ac:dyDescent="0.25">
      <c r="A833" t="str">
        <f t="shared" si="48"/>
        <v>52020</v>
      </c>
      <c r="B833" s="1">
        <v>43970</v>
      </c>
      <c r="C833" t="s">
        <v>531</v>
      </c>
      <c r="D833">
        <v>1701.4</v>
      </c>
      <c r="E833">
        <v>1722.15</v>
      </c>
      <c r="F833">
        <v>1683.1</v>
      </c>
      <c r="G833">
        <v>1693.55</v>
      </c>
      <c r="H833">
        <v>0</v>
      </c>
      <c r="I833" s="8">
        <f t="shared" si="49"/>
        <v>1.1980878398565764E-2</v>
      </c>
      <c r="J833" s="8">
        <f t="shared" si="50"/>
        <v>1.190967582368632E-2</v>
      </c>
      <c r="K833" s="8">
        <f t="shared" si="51"/>
        <v>-0.36131015236083874</v>
      </c>
    </row>
    <row r="834" spans="1:11" x14ac:dyDescent="0.25">
      <c r="A834" t="str">
        <f t="shared" si="48"/>
        <v>52020</v>
      </c>
      <c r="B834" s="1">
        <v>43971</v>
      </c>
      <c r="C834" t="s">
        <v>532</v>
      </c>
      <c r="D834">
        <v>1690.95</v>
      </c>
      <c r="E834">
        <v>1716.05</v>
      </c>
      <c r="F834">
        <v>1681.55</v>
      </c>
      <c r="G834">
        <v>1711.5</v>
      </c>
      <c r="H834">
        <v>0</v>
      </c>
      <c r="I834" s="8">
        <f t="shared" si="49"/>
        <v>1.059903752472624E-2</v>
      </c>
      <c r="J834" s="8">
        <f t="shared" si="50"/>
        <v>1.054326149517236E-2</v>
      </c>
      <c r="K834" s="8">
        <f t="shared" si="51"/>
        <v>-0.34515610651974282</v>
      </c>
    </row>
    <row r="835" spans="1:11" x14ac:dyDescent="0.25">
      <c r="A835" t="str">
        <f t="shared" ref="A835:A898" si="52">+MONTH(B835)&amp;YEAR(B835)</f>
        <v>52020</v>
      </c>
      <c r="B835" s="1">
        <v>43972</v>
      </c>
      <c r="C835" t="s">
        <v>533</v>
      </c>
      <c r="D835">
        <v>1718.15</v>
      </c>
      <c r="E835">
        <v>1759.45</v>
      </c>
      <c r="F835">
        <v>1707.75</v>
      </c>
      <c r="G835">
        <v>1742.9</v>
      </c>
      <c r="H835">
        <v>0</v>
      </c>
      <c r="I835" s="8">
        <f t="shared" si="49"/>
        <v>1.8346479696172979E-2</v>
      </c>
      <c r="J835" s="8">
        <f t="shared" si="50"/>
        <v>1.8180213557395932E-2</v>
      </c>
      <c r="K835" s="8">
        <f t="shared" si="51"/>
        <v>-0.32620713650597277</v>
      </c>
    </row>
    <row r="836" spans="1:11" x14ac:dyDescent="0.25">
      <c r="A836" t="str">
        <f t="shared" si="52"/>
        <v>52020</v>
      </c>
      <c r="B836" s="1">
        <v>43973</v>
      </c>
      <c r="C836" t="s">
        <v>534</v>
      </c>
      <c r="D836">
        <v>1725.65</v>
      </c>
      <c r="E836">
        <v>1726.6</v>
      </c>
      <c r="F836">
        <v>1697.7</v>
      </c>
      <c r="G836">
        <v>1710.45</v>
      </c>
      <c r="H836">
        <v>0</v>
      </c>
      <c r="I836" s="8">
        <f t="shared" ref="I836:I899" si="53">+G836/G835-1</f>
        <v>-1.8618394629640322E-2</v>
      </c>
      <c r="J836" s="8">
        <f t="shared" ref="J836:J899" si="54">+LN(1+I836)</f>
        <v>-1.8793898756158858E-2</v>
      </c>
      <c r="K836" s="8">
        <f t="shared" si="51"/>
        <v>-0.33082294947281943</v>
      </c>
    </row>
    <row r="837" spans="1:11" x14ac:dyDescent="0.25">
      <c r="A837" t="str">
        <f t="shared" si="52"/>
        <v>52020</v>
      </c>
      <c r="B837" s="1">
        <v>43977</v>
      </c>
      <c r="C837" t="s">
        <v>535</v>
      </c>
      <c r="D837">
        <v>1724.95</v>
      </c>
      <c r="E837">
        <v>1763.95</v>
      </c>
      <c r="F837">
        <v>1724.35</v>
      </c>
      <c r="G837">
        <v>1756.35</v>
      </c>
      <c r="H837">
        <v>0</v>
      </c>
      <c r="I837" s="8">
        <f t="shared" si="53"/>
        <v>2.6835043409628945E-2</v>
      </c>
      <c r="J837" s="8">
        <f t="shared" si="54"/>
        <v>2.6481298191366125E-2</v>
      </c>
      <c r="K837" s="8">
        <f t="shared" si="51"/>
        <v>-0.32214739198394482</v>
      </c>
    </row>
    <row r="838" spans="1:11" x14ac:dyDescent="0.25">
      <c r="A838" t="str">
        <f t="shared" si="52"/>
        <v>52020</v>
      </c>
      <c r="B838" s="1">
        <v>43978</v>
      </c>
      <c r="C838" t="s">
        <v>536</v>
      </c>
      <c r="D838">
        <v>1763.55</v>
      </c>
      <c r="E838">
        <v>1813.4</v>
      </c>
      <c r="F838">
        <v>1756</v>
      </c>
      <c r="G838">
        <v>1801.25</v>
      </c>
      <c r="H838">
        <v>0</v>
      </c>
      <c r="I838" s="8">
        <f t="shared" si="53"/>
        <v>2.5564380675833442E-2</v>
      </c>
      <c r="J838" s="8">
        <f t="shared" si="54"/>
        <v>2.5243076350888526E-2</v>
      </c>
      <c r="K838" s="8">
        <f t="shared" si="51"/>
        <v>-0.31046033113216576</v>
      </c>
    </row>
    <row r="839" spans="1:11" x14ac:dyDescent="0.25">
      <c r="A839" t="str">
        <f t="shared" si="52"/>
        <v>52020</v>
      </c>
      <c r="B839" s="1">
        <v>43979</v>
      </c>
      <c r="C839" t="s">
        <v>537</v>
      </c>
      <c r="D839">
        <v>1813.7</v>
      </c>
      <c r="E839">
        <v>1852.75</v>
      </c>
      <c r="F839">
        <v>1804.1</v>
      </c>
      <c r="G839">
        <v>1844.5</v>
      </c>
      <c r="H839">
        <v>0</v>
      </c>
      <c r="I839" s="8">
        <f t="shared" si="53"/>
        <v>2.4011103400416456E-2</v>
      </c>
      <c r="J839" s="8">
        <f t="shared" si="54"/>
        <v>2.3727369722998555E-2</v>
      </c>
      <c r="K839" s="8">
        <f t="shared" si="51"/>
        <v>-0.2531179138321995</v>
      </c>
    </row>
    <row r="840" spans="1:11" x14ac:dyDescent="0.25">
      <c r="A840" t="str">
        <f t="shared" si="52"/>
        <v>52020</v>
      </c>
      <c r="B840" s="1">
        <v>43980</v>
      </c>
      <c r="C840" t="s">
        <v>538</v>
      </c>
      <c r="D840">
        <v>1823.05</v>
      </c>
      <c r="E840">
        <v>1890.75</v>
      </c>
      <c r="F840">
        <v>1814.75</v>
      </c>
      <c r="G840">
        <v>1879.85</v>
      </c>
      <c r="H840">
        <v>0</v>
      </c>
      <c r="I840" s="8">
        <f t="shared" si="53"/>
        <v>1.9165085388994196E-2</v>
      </c>
      <c r="J840" s="8">
        <f t="shared" si="54"/>
        <v>1.8983748370051227E-2</v>
      </c>
      <c r="K840" s="8">
        <f t="shared" si="51"/>
        <v>-0.23903495456109458</v>
      </c>
    </row>
    <row r="841" spans="1:11" x14ac:dyDescent="0.25">
      <c r="A841" t="str">
        <f t="shared" si="52"/>
        <v>62020</v>
      </c>
      <c r="B841" s="1">
        <v>43983</v>
      </c>
      <c r="C841" s="10">
        <v>43836.645833333336</v>
      </c>
      <c r="D841">
        <v>1909.8</v>
      </c>
      <c r="E841">
        <v>1968.2</v>
      </c>
      <c r="F841">
        <v>1907</v>
      </c>
      <c r="G841">
        <v>1952.5</v>
      </c>
      <c r="H841">
        <v>0</v>
      </c>
      <c r="I841" s="8">
        <f t="shared" si="53"/>
        <v>3.8646700534617162E-2</v>
      </c>
      <c r="J841" s="8">
        <f t="shared" si="54"/>
        <v>3.7918616307059408E-2</v>
      </c>
      <c r="K841" s="8">
        <f t="shared" si="51"/>
        <v>-0.19650205761316875</v>
      </c>
    </row>
    <row r="842" spans="1:11" x14ac:dyDescent="0.25">
      <c r="A842" t="str">
        <f t="shared" si="52"/>
        <v>62020</v>
      </c>
      <c r="B842" s="1">
        <v>43984</v>
      </c>
      <c r="C842" s="10">
        <v>43867.645833333336</v>
      </c>
      <c r="D842">
        <v>1967.85</v>
      </c>
      <c r="E842">
        <v>1976.05</v>
      </c>
      <c r="F842">
        <v>1936</v>
      </c>
      <c r="G842">
        <v>1956.1</v>
      </c>
      <c r="H842">
        <v>0</v>
      </c>
      <c r="I842" s="8">
        <f t="shared" si="53"/>
        <v>1.8437900128041029E-3</v>
      </c>
      <c r="J842" s="8">
        <f t="shared" si="54"/>
        <v>1.8420923184726942E-3</v>
      </c>
      <c r="K842" s="8">
        <f t="shared" si="51"/>
        <v>-0.1883570880272194</v>
      </c>
    </row>
    <row r="843" spans="1:11" x14ac:dyDescent="0.25">
      <c r="A843" t="str">
        <f t="shared" si="52"/>
        <v>62020</v>
      </c>
      <c r="B843" s="1">
        <v>43985</v>
      </c>
      <c r="C843" s="10">
        <v>43896.645833333336</v>
      </c>
      <c r="D843">
        <v>1980.85</v>
      </c>
      <c r="E843">
        <v>1995.6</v>
      </c>
      <c r="F843">
        <v>1943.85</v>
      </c>
      <c r="G843">
        <v>1952.7</v>
      </c>
      <c r="H843">
        <v>0</v>
      </c>
      <c r="I843" s="8">
        <f t="shared" si="53"/>
        <v>-1.738152446193908E-3</v>
      </c>
      <c r="J843" s="8">
        <f t="shared" si="54"/>
        <v>-1.7396647858623469E-3</v>
      </c>
      <c r="K843" s="8">
        <f t="shared" si="51"/>
        <v>-0.13060706573762837</v>
      </c>
    </row>
    <row r="844" spans="1:11" x14ac:dyDescent="0.25">
      <c r="A844" t="str">
        <f t="shared" si="52"/>
        <v>62020</v>
      </c>
      <c r="B844" s="1">
        <v>43986</v>
      </c>
      <c r="C844" s="10">
        <v>43927.645833333336</v>
      </c>
      <c r="D844">
        <v>1951.75</v>
      </c>
      <c r="E844">
        <v>1979.3</v>
      </c>
      <c r="F844">
        <v>1939.3</v>
      </c>
      <c r="G844">
        <v>1972.9</v>
      </c>
      <c r="H844">
        <v>0</v>
      </c>
      <c r="I844" s="8">
        <f t="shared" si="53"/>
        <v>1.0344650996056748E-2</v>
      </c>
      <c r="J844" s="8">
        <f t="shared" si="54"/>
        <v>1.0291511254472446E-2</v>
      </c>
      <c r="K844" s="8">
        <f t="shared" si="51"/>
        <v>-0.10224790680742624</v>
      </c>
    </row>
    <row r="845" spans="1:11" x14ac:dyDescent="0.25">
      <c r="A845" t="str">
        <f t="shared" si="52"/>
        <v>62020</v>
      </c>
      <c r="B845" s="1">
        <v>43987</v>
      </c>
      <c r="C845" s="10">
        <v>43957.645833333336</v>
      </c>
      <c r="D845">
        <v>1995.9</v>
      </c>
      <c r="E845">
        <v>2057.0500000000002</v>
      </c>
      <c r="F845">
        <v>1990.15</v>
      </c>
      <c r="G845">
        <v>2049.6999999999998</v>
      </c>
      <c r="H845">
        <v>0</v>
      </c>
      <c r="I845" s="8">
        <f t="shared" si="53"/>
        <v>3.892746718029283E-2</v>
      </c>
      <c r="J845" s="8">
        <f t="shared" si="54"/>
        <v>3.8188899459158585E-2</v>
      </c>
      <c r="K845" s="8">
        <f t="shared" si="51"/>
        <v>-0.11679413982548748</v>
      </c>
    </row>
    <row r="846" spans="1:11" x14ac:dyDescent="0.25">
      <c r="A846" t="str">
        <f t="shared" si="52"/>
        <v>62020</v>
      </c>
      <c r="B846" s="1">
        <v>43990</v>
      </c>
      <c r="C846" s="10">
        <v>44049.645833333336</v>
      </c>
      <c r="D846">
        <v>2088.25</v>
      </c>
      <c r="E846">
        <v>2105.65</v>
      </c>
      <c r="F846">
        <v>2029.7</v>
      </c>
      <c r="G846">
        <v>2044.85</v>
      </c>
      <c r="H846">
        <v>0</v>
      </c>
      <c r="I846" s="8">
        <f t="shared" si="53"/>
        <v>-2.3661999316972882E-3</v>
      </c>
      <c r="J846" s="8">
        <f t="shared" si="54"/>
        <v>-2.3690038066480627E-3</v>
      </c>
      <c r="K846" s="8">
        <f t="shared" si="51"/>
        <v>-0.1125938462873759</v>
      </c>
    </row>
    <row r="847" spans="1:11" x14ac:dyDescent="0.25">
      <c r="A847" t="str">
        <f t="shared" si="52"/>
        <v>62020</v>
      </c>
      <c r="B847" s="1">
        <v>43991</v>
      </c>
      <c r="C847" s="10">
        <v>44080.645833333336</v>
      </c>
      <c r="D847">
        <v>2060.4499999999998</v>
      </c>
      <c r="E847">
        <v>2076.5500000000002</v>
      </c>
      <c r="F847">
        <v>2013.85</v>
      </c>
      <c r="G847">
        <v>2022.5</v>
      </c>
      <c r="H847">
        <v>0</v>
      </c>
      <c r="I847" s="8">
        <f t="shared" si="53"/>
        <v>-1.0929897058463922E-2</v>
      </c>
      <c r="J847" s="8">
        <f t="shared" si="54"/>
        <v>-1.0990067220787606E-2</v>
      </c>
      <c r="K847" s="8">
        <f t="shared" si="51"/>
        <v>-0.11482154189552918</v>
      </c>
    </row>
    <row r="848" spans="1:11" x14ac:dyDescent="0.25">
      <c r="A848" t="str">
        <f t="shared" si="52"/>
        <v>62020</v>
      </c>
      <c r="B848" s="1">
        <v>43992</v>
      </c>
      <c r="C848" s="10">
        <v>44110.645833333336</v>
      </c>
      <c r="D848">
        <v>2020.3</v>
      </c>
      <c r="E848">
        <v>2029.8</v>
      </c>
      <c r="F848">
        <v>1995.05</v>
      </c>
      <c r="G848">
        <v>2010.8</v>
      </c>
      <c r="H848">
        <v>0</v>
      </c>
      <c r="I848" s="8">
        <f t="shared" si="53"/>
        <v>-5.7849196538937164E-3</v>
      </c>
      <c r="J848" s="8">
        <f t="shared" si="54"/>
        <v>-5.8017171142265974E-3</v>
      </c>
      <c r="K848" s="8">
        <f t="shared" si="51"/>
        <v>-7.9261870964787873E-2</v>
      </c>
    </row>
    <row r="849" spans="1:11" x14ac:dyDescent="0.25">
      <c r="A849" t="str">
        <f t="shared" si="52"/>
        <v>62020</v>
      </c>
      <c r="B849" s="1">
        <v>43993</v>
      </c>
      <c r="C849" s="10">
        <v>44141.645833333336</v>
      </c>
      <c r="D849">
        <v>2000.75</v>
      </c>
      <c r="E849">
        <v>2019.35</v>
      </c>
      <c r="F849">
        <v>1948.3</v>
      </c>
      <c r="G849">
        <v>1954.85</v>
      </c>
      <c r="H849">
        <v>0</v>
      </c>
      <c r="I849" s="8">
        <f t="shared" si="53"/>
        <v>-2.7824746369604192E-2</v>
      </c>
      <c r="J849" s="8">
        <f t="shared" si="54"/>
        <v>-2.8219188685281487E-2</v>
      </c>
      <c r="K849" s="8">
        <f t="shared" si="51"/>
        <v>-3.2276428801267354E-2</v>
      </c>
    </row>
    <row r="850" spans="1:11" x14ac:dyDescent="0.25">
      <c r="A850" t="str">
        <f t="shared" si="52"/>
        <v>62020</v>
      </c>
      <c r="B850" s="1">
        <v>43994</v>
      </c>
      <c r="C850" s="10">
        <v>44171.645833333336</v>
      </c>
      <c r="D850">
        <v>1873.4</v>
      </c>
      <c r="E850">
        <v>1972.75</v>
      </c>
      <c r="F850">
        <v>1872.4</v>
      </c>
      <c r="G850">
        <v>1966.1</v>
      </c>
      <c r="H850">
        <v>0</v>
      </c>
      <c r="I850" s="8">
        <f t="shared" si="53"/>
        <v>5.7549172570785512E-3</v>
      </c>
      <c r="J850" s="8">
        <f t="shared" si="54"/>
        <v>5.7384209803064056E-3</v>
      </c>
      <c r="K850" s="8">
        <f t="shared" si="51"/>
        <v>-1.0493469891039053E-2</v>
      </c>
    </row>
    <row r="851" spans="1:11" x14ac:dyDescent="0.25">
      <c r="A851" t="str">
        <f t="shared" si="52"/>
        <v>62020</v>
      </c>
      <c r="B851" s="1">
        <v>43997</v>
      </c>
      <c r="C851" t="s">
        <v>539</v>
      </c>
      <c r="D851">
        <v>1966.3</v>
      </c>
      <c r="E851">
        <v>1967</v>
      </c>
      <c r="F851">
        <v>1915.95</v>
      </c>
      <c r="G851">
        <v>1928.55</v>
      </c>
      <c r="H851">
        <v>0</v>
      </c>
      <c r="I851" s="8">
        <f t="shared" si="53"/>
        <v>-1.9098723360968406E-2</v>
      </c>
      <c r="J851" s="8">
        <f t="shared" si="54"/>
        <v>-1.9283459915077593E-2</v>
      </c>
      <c r="K851" s="8">
        <f t="shared" si="51"/>
        <v>7.1059646784405128E-2</v>
      </c>
    </row>
    <row r="852" spans="1:11" x14ac:dyDescent="0.25">
      <c r="A852" t="str">
        <f t="shared" si="52"/>
        <v>62020</v>
      </c>
      <c r="B852" s="1">
        <v>43998</v>
      </c>
      <c r="C852" t="s">
        <v>540</v>
      </c>
      <c r="D852">
        <v>1976.85</v>
      </c>
      <c r="E852">
        <v>2001.05</v>
      </c>
      <c r="F852">
        <v>1918.05</v>
      </c>
      <c r="G852">
        <v>1955.9</v>
      </c>
      <c r="H852">
        <v>0</v>
      </c>
      <c r="I852" s="8">
        <f t="shared" si="53"/>
        <v>1.418163905524894E-2</v>
      </c>
      <c r="J852" s="8">
        <f t="shared" si="54"/>
        <v>1.4082020345104706E-2</v>
      </c>
      <c r="K852" s="8">
        <f t="shared" si="51"/>
        <v>2.7609215330864023E-2</v>
      </c>
    </row>
    <row r="853" spans="1:11" x14ac:dyDescent="0.25">
      <c r="A853" t="str">
        <f t="shared" si="52"/>
        <v>62020</v>
      </c>
      <c r="B853" s="1">
        <v>43999</v>
      </c>
      <c r="C853" t="s">
        <v>541</v>
      </c>
      <c r="D853">
        <v>1947.5</v>
      </c>
      <c r="E853">
        <v>1974.85</v>
      </c>
      <c r="F853">
        <v>1935.3</v>
      </c>
      <c r="G853">
        <v>1940.45</v>
      </c>
      <c r="H853">
        <v>0</v>
      </c>
      <c r="I853" s="8">
        <f t="shared" si="53"/>
        <v>-7.8991768495322301E-3</v>
      </c>
      <c r="J853" s="8">
        <f t="shared" si="54"/>
        <v>-7.9305406214861037E-3</v>
      </c>
      <c r="K853" s="8">
        <f t="shared" si="51"/>
        <v>0.12125852305558782</v>
      </c>
    </row>
    <row r="854" spans="1:11" x14ac:dyDescent="0.25">
      <c r="A854" t="str">
        <f t="shared" si="52"/>
        <v>62020</v>
      </c>
      <c r="B854" s="1">
        <v>44000</v>
      </c>
      <c r="C854" t="s">
        <v>542</v>
      </c>
      <c r="D854">
        <v>1937.25</v>
      </c>
      <c r="E854">
        <v>2005.45</v>
      </c>
      <c r="F854">
        <v>1931.65</v>
      </c>
      <c r="G854">
        <v>1998.65</v>
      </c>
      <c r="H854">
        <v>0</v>
      </c>
      <c r="I854" s="8">
        <f t="shared" si="53"/>
        <v>2.9993042850885221E-2</v>
      </c>
      <c r="J854" s="8">
        <f t="shared" si="54"/>
        <v>2.9552047705028905E-2</v>
      </c>
      <c r="K854" s="8">
        <f t="shared" si="51"/>
        <v>0.16849367125610226</v>
      </c>
    </row>
    <row r="855" spans="1:11" x14ac:dyDescent="0.25">
      <c r="A855" t="str">
        <f t="shared" si="52"/>
        <v>62020</v>
      </c>
      <c r="B855" s="1">
        <v>44001</v>
      </c>
      <c r="C855" t="s">
        <v>543</v>
      </c>
      <c r="D855">
        <v>2021.4</v>
      </c>
      <c r="E855">
        <v>2026.45</v>
      </c>
      <c r="F855">
        <v>1988.1</v>
      </c>
      <c r="G855">
        <v>1997.55</v>
      </c>
      <c r="H855">
        <v>0</v>
      </c>
      <c r="I855" s="8">
        <f t="shared" si="53"/>
        <v>-5.503715007630916E-4</v>
      </c>
      <c r="J855" s="8">
        <f t="shared" si="54"/>
        <v>-5.5052301075125452E-4</v>
      </c>
      <c r="K855" s="8">
        <f t="shared" si="51"/>
        <v>0.20030645355125576</v>
      </c>
    </row>
    <row r="856" spans="1:11" x14ac:dyDescent="0.25">
      <c r="A856" t="str">
        <f t="shared" si="52"/>
        <v>62020</v>
      </c>
      <c r="B856" s="1">
        <v>44004</v>
      </c>
      <c r="C856" t="s">
        <v>544</v>
      </c>
      <c r="D856">
        <v>2001.05</v>
      </c>
      <c r="E856">
        <v>2056.35</v>
      </c>
      <c r="F856">
        <v>1995.7</v>
      </c>
      <c r="G856">
        <v>2049.8000000000002</v>
      </c>
      <c r="H856">
        <v>0</v>
      </c>
      <c r="I856" s="8">
        <f t="shared" si="53"/>
        <v>2.6157042376911743E-2</v>
      </c>
      <c r="J856" s="8">
        <f t="shared" si="54"/>
        <v>2.5820797781198963E-2</v>
      </c>
      <c r="K856" s="8">
        <f t="shared" si="51"/>
        <v>0.3021217126159319</v>
      </c>
    </row>
    <row r="857" spans="1:11" x14ac:dyDescent="0.25">
      <c r="A857" t="str">
        <f t="shared" si="52"/>
        <v>62020</v>
      </c>
      <c r="B857" s="1">
        <v>44005</v>
      </c>
      <c r="C857" t="s">
        <v>545</v>
      </c>
      <c r="D857">
        <v>2064.1</v>
      </c>
      <c r="E857">
        <v>2096.4499999999998</v>
      </c>
      <c r="F857">
        <v>2056.65</v>
      </c>
      <c r="G857">
        <v>2085.8000000000002</v>
      </c>
      <c r="H857">
        <v>0</v>
      </c>
      <c r="I857" s="8">
        <f t="shared" si="53"/>
        <v>1.7562689042833535E-2</v>
      </c>
      <c r="J857" s="8">
        <f t="shared" si="54"/>
        <v>1.7410247289650006E-2</v>
      </c>
      <c r="K857" s="8">
        <f t="shared" si="51"/>
        <v>0.23212334229258369</v>
      </c>
    </row>
    <row r="858" spans="1:11" x14ac:dyDescent="0.25">
      <c r="A858" t="str">
        <f t="shared" si="52"/>
        <v>62020</v>
      </c>
      <c r="B858" s="1">
        <v>44006</v>
      </c>
      <c r="C858" t="s">
        <v>546</v>
      </c>
      <c r="D858">
        <v>2114.5</v>
      </c>
      <c r="E858">
        <v>2123.6</v>
      </c>
      <c r="F858">
        <v>2034.55</v>
      </c>
      <c r="G858">
        <v>2042.35</v>
      </c>
      <c r="H858">
        <v>0</v>
      </c>
      <c r="I858" s="8">
        <f t="shared" si="53"/>
        <v>-2.0831335698533016E-2</v>
      </c>
      <c r="J858" s="8">
        <f t="shared" si="54"/>
        <v>-2.1051369062245012E-2</v>
      </c>
      <c r="K858" s="8">
        <f t="shared" si="51"/>
        <v>0.36479668548899058</v>
      </c>
    </row>
    <row r="859" spans="1:11" x14ac:dyDescent="0.25">
      <c r="A859" t="str">
        <f t="shared" si="52"/>
        <v>62020</v>
      </c>
      <c r="B859" s="1">
        <v>44007</v>
      </c>
      <c r="C859" t="s">
        <v>547</v>
      </c>
      <c r="D859">
        <v>2020.05</v>
      </c>
      <c r="E859">
        <v>2055.9499999999998</v>
      </c>
      <c r="F859">
        <v>2013.25</v>
      </c>
      <c r="G859">
        <v>2030.8</v>
      </c>
      <c r="H859">
        <v>0</v>
      </c>
      <c r="I859" s="8">
        <f t="shared" si="53"/>
        <v>-5.6552500795651328E-3</v>
      </c>
      <c r="J859" s="8">
        <f t="shared" si="54"/>
        <v>-5.6713015516282215E-3</v>
      </c>
      <c r="K859" s="8">
        <f t="shared" si="51"/>
        <v>0.35170394036208719</v>
      </c>
    </row>
    <row r="860" spans="1:11" x14ac:dyDescent="0.25">
      <c r="A860" t="str">
        <f t="shared" si="52"/>
        <v>62020</v>
      </c>
      <c r="B860" s="1">
        <v>44008</v>
      </c>
      <c r="C860" t="s">
        <v>548</v>
      </c>
      <c r="D860">
        <v>2052.3000000000002</v>
      </c>
      <c r="E860">
        <v>2066.4499999999998</v>
      </c>
      <c r="F860">
        <v>2037</v>
      </c>
      <c r="G860">
        <v>2043.35</v>
      </c>
      <c r="H860">
        <v>0</v>
      </c>
      <c r="I860" s="8">
        <f t="shared" si="53"/>
        <v>6.1798306086271459E-3</v>
      </c>
      <c r="J860" s="8">
        <f t="shared" si="54"/>
        <v>6.1608137624947447E-3</v>
      </c>
      <c r="K860" s="8">
        <f t="shared" si="51"/>
        <v>0.32581754477030866</v>
      </c>
    </row>
    <row r="861" spans="1:11" x14ac:dyDescent="0.25">
      <c r="A861" t="str">
        <f t="shared" si="52"/>
        <v>62020</v>
      </c>
      <c r="B861" s="1">
        <v>44011</v>
      </c>
      <c r="C861" t="s">
        <v>549</v>
      </c>
      <c r="D861">
        <v>2034.35</v>
      </c>
      <c r="E861">
        <v>2036.7</v>
      </c>
      <c r="F861">
        <v>1964.35</v>
      </c>
      <c r="G861">
        <v>1989.5</v>
      </c>
      <c r="H861">
        <v>0</v>
      </c>
      <c r="I861" s="8">
        <f t="shared" si="53"/>
        <v>-2.6353781779920205E-2</v>
      </c>
      <c r="J861" s="8">
        <f t="shared" si="54"/>
        <v>-2.6707266968750653E-2</v>
      </c>
      <c r="K861" s="8">
        <f t="shared" si="51"/>
        <v>0.28941313717229988</v>
      </c>
    </row>
    <row r="862" spans="1:11" x14ac:dyDescent="0.25">
      <c r="A862" t="str">
        <f t="shared" si="52"/>
        <v>62020</v>
      </c>
      <c r="B862" s="1">
        <v>44012</v>
      </c>
      <c r="C862" t="s">
        <v>550</v>
      </c>
      <c r="D862">
        <v>2007.2</v>
      </c>
      <c r="E862">
        <v>2041.3</v>
      </c>
      <c r="F862">
        <v>1985.35</v>
      </c>
      <c r="G862">
        <v>1991.35</v>
      </c>
      <c r="H862">
        <v>0</v>
      </c>
      <c r="I862" s="8">
        <f t="shared" si="53"/>
        <v>9.2988187986930981E-4</v>
      </c>
      <c r="J862" s="8">
        <f t="shared" si="54"/>
        <v>9.29449807544127E-4</v>
      </c>
      <c r="K862" s="8">
        <f t="shared" si="51"/>
        <v>0.28073447599446899</v>
      </c>
    </row>
    <row r="863" spans="1:11" x14ac:dyDescent="0.25">
      <c r="A863" t="str">
        <f t="shared" si="52"/>
        <v>72020</v>
      </c>
      <c r="B863" s="1">
        <v>44013</v>
      </c>
      <c r="C863" s="10">
        <v>43837.645833333336</v>
      </c>
      <c r="D863">
        <v>1999.6</v>
      </c>
      <c r="E863">
        <v>2006.95</v>
      </c>
      <c r="F863">
        <v>1976.05</v>
      </c>
      <c r="G863">
        <v>1997.35</v>
      </c>
      <c r="H863">
        <v>0</v>
      </c>
      <c r="I863" s="8">
        <f t="shared" si="53"/>
        <v>3.0130313606346881E-3</v>
      </c>
      <c r="J863" s="8">
        <f t="shared" si="54"/>
        <v>3.0085012788824308E-3</v>
      </c>
      <c r="K863" s="8">
        <f t="shared" si="51"/>
        <v>0.32476620017244806</v>
      </c>
    </row>
    <row r="864" spans="1:11" x14ac:dyDescent="0.25">
      <c r="A864" t="str">
        <f t="shared" si="52"/>
        <v>72020</v>
      </c>
      <c r="B864" s="1">
        <v>44014</v>
      </c>
      <c r="C864" s="10">
        <v>43868.645833333336</v>
      </c>
      <c r="D864">
        <v>2011.15</v>
      </c>
      <c r="E864">
        <v>2020.8</v>
      </c>
      <c r="F864">
        <v>1995.45</v>
      </c>
      <c r="G864">
        <v>2017</v>
      </c>
      <c r="H864">
        <v>0</v>
      </c>
      <c r="I864" s="8">
        <f t="shared" si="53"/>
        <v>9.8380353969009793E-3</v>
      </c>
      <c r="J864" s="8">
        <f t="shared" si="54"/>
        <v>9.7899570008019091E-3</v>
      </c>
      <c r="K864" s="8">
        <f t="shared" si="51"/>
        <v>0.27183302856422209</v>
      </c>
    </row>
    <row r="865" spans="1:11" x14ac:dyDescent="0.25">
      <c r="A865" t="str">
        <f t="shared" si="52"/>
        <v>72020</v>
      </c>
      <c r="B865" s="1">
        <v>44015</v>
      </c>
      <c r="C865" s="10">
        <v>43897.645833333336</v>
      </c>
      <c r="D865">
        <v>2027.7</v>
      </c>
      <c r="E865">
        <v>2031.25</v>
      </c>
      <c r="F865">
        <v>1999.3</v>
      </c>
      <c r="G865">
        <v>2008.5</v>
      </c>
      <c r="H865">
        <v>0</v>
      </c>
      <c r="I865" s="8">
        <f t="shared" si="53"/>
        <v>-4.2141794744670058E-3</v>
      </c>
      <c r="J865" s="8">
        <f t="shared" si="54"/>
        <v>-4.2230841548748588E-3</v>
      </c>
      <c r="K865" s="8">
        <f t="shared" si="51"/>
        <v>0.29284541855749735</v>
      </c>
    </row>
    <row r="866" spans="1:11" x14ac:dyDescent="0.25">
      <c r="A866" t="str">
        <f t="shared" si="52"/>
        <v>72020</v>
      </c>
      <c r="B866" s="1">
        <v>44018</v>
      </c>
      <c r="C866" s="10">
        <v>43989.645833333336</v>
      </c>
      <c r="D866">
        <v>2024.35</v>
      </c>
      <c r="E866">
        <v>2069.9499999999998</v>
      </c>
      <c r="F866">
        <v>2013.7</v>
      </c>
      <c r="G866">
        <v>2058.15</v>
      </c>
      <c r="H866">
        <v>0</v>
      </c>
      <c r="I866" s="8">
        <f t="shared" si="53"/>
        <v>2.471994025392088E-2</v>
      </c>
      <c r="J866" s="8">
        <f t="shared" si="54"/>
        <v>2.4419346235957051E-2</v>
      </c>
      <c r="K866" s="8">
        <f t="shared" si="51"/>
        <v>0.35146759472059874</v>
      </c>
    </row>
    <row r="867" spans="1:11" x14ac:dyDescent="0.25">
      <c r="A867" t="str">
        <f t="shared" si="52"/>
        <v>72020</v>
      </c>
      <c r="B867" s="1">
        <v>44019</v>
      </c>
      <c r="C867" s="10">
        <v>44019.645833333336</v>
      </c>
      <c r="D867">
        <v>2065.1</v>
      </c>
      <c r="E867">
        <v>2065.1</v>
      </c>
      <c r="F867">
        <v>2019.3</v>
      </c>
      <c r="G867">
        <v>2022.6</v>
      </c>
      <c r="H867">
        <v>0</v>
      </c>
      <c r="I867" s="8">
        <f t="shared" si="53"/>
        <v>-1.7272793528168573E-2</v>
      </c>
      <c r="J867" s="8">
        <f t="shared" si="54"/>
        <v>-1.7423708567223927E-2</v>
      </c>
      <c r="K867" s="8">
        <f t="shared" si="51"/>
        <v>0.23555284056200354</v>
      </c>
    </row>
    <row r="868" spans="1:11" x14ac:dyDescent="0.25">
      <c r="A868" t="str">
        <f t="shared" si="52"/>
        <v>72020</v>
      </c>
      <c r="B868" s="1">
        <v>44020</v>
      </c>
      <c r="C868" s="10">
        <v>44050.645833333336</v>
      </c>
      <c r="D868">
        <v>2031.65</v>
      </c>
      <c r="E868">
        <v>2101.1</v>
      </c>
      <c r="F868">
        <v>2027.5</v>
      </c>
      <c r="G868">
        <v>2054.3000000000002</v>
      </c>
      <c r="H868">
        <v>0</v>
      </c>
      <c r="I868" s="8">
        <f t="shared" si="53"/>
        <v>1.5672896272125092E-2</v>
      </c>
      <c r="J868" s="8">
        <f t="shared" si="54"/>
        <v>1.5551344830395499E-2</v>
      </c>
      <c r="K868" s="8">
        <f t="shared" si="51"/>
        <v>0.26430132012185759</v>
      </c>
    </row>
    <row r="869" spans="1:11" x14ac:dyDescent="0.25">
      <c r="A869" t="str">
        <f t="shared" si="52"/>
        <v>72020</v>
      </c>
      <c r="B869" s="1">
        <v>44021</v>
      </c>
      <c r="C869" s="10">
        <v>44081.645833333336</v>
      </c>
      <c r="D869">
        <v>2072.1</v>
      </c>
      <c r="E869">
        <v>2121.75</v>
      </c>
      <c r="F869">
        <v>2071.35</v>
      </c>
      <c r="G869">
        <v>2094.3000000000002</v>
      </c>
      <c r="H869">
        <v>0</v>
      </c>
      <c r="I869" s="8">
        <f t="shared" si="53"/>
        <v>1.9471352772233885E-2</v>
      </c>
      <c r="J869" s="8">
        <f t="shared" si="54"/>
        <v>1.9284211346000026E-2</v>
      </c>
      <c r="K869" s="8">
        <f t="shared" si="51"/>
        <v>0.22800433903075445</v>
      </c>
    </row>
    <row r="870" spans="1:11" x14ac:dyDescent="0.25">
      <c r="A870" t="str">
        <f t="shared" si="52"/>
        <v>72020</v>
      </c>
      <c r="B870" s="1">
        <v>44022</v>
      </c>
      <c r="C870" s="10">
        <v>44111.645833333336</v>
      </c>
      <c r="D870">
        <v>2081.4499999999998</v>
      </c>
      <c r="E870">
        <v>2086.15</v>
      </c>
      <c r="F870">
        <v>2054.6</v>
      </c>
      <c r="G870">
        <v>2078.1999999999998</v>
      </c>
      <c r="H870">
        <v>0</v>
      </c>
      <c r="I870" s="8">
        <f t="shared" si="53"/>
        <v>-7.6875328271978072E-3</v>
      </c>
      <c r="J870" s="8">
        <f t="shared" si="54"/>
        <v>-7.7172342259192589E-3</v>
      </c>
      <c r="K870" s="8">
        <f t="shared" si="51"/>
        <v>0.19546709618039571</v>
      </c>
    </row>
    <row r="871" spans="1:11" x14ac:dyDescent="0.25">
      <c r="A871" t="str">
        <f t="shared" si="52"/>
        <v>72020</v>
      </c>
      <c r="B871" s="1">
        <v>44025</v>
      </c>
      <c r="C871" t="s">
        <v>551</v>
      </c>
      <c r="D871">
        <v>2098.1999999999998</v>
      </c>
      <c r="E871">
        <v>2118.65</v>
      </c>
      <c r="F871">
        <v>2087.6</v>
      </c>
      <c r="G871">
        <v>2105.15</v>
      </c>
      <c r="H871">
        <v>0</v>
      </c>
      <c r="I871" s="8">
        <f t="shared" si="53"/>
        <v>1.2967953036281621E-2</v>
      </c>
      <c r="J871" s="8">
        <f t="shared" si="54"/>
        <v>1.2884589066503752E-2</v>
      </c>
      <c r="K871" s="8">
        <f t="shared" si="51"/>
        <v>0.20095270694278056</v>
      </c>
    </row>
    <row r="872" spans="1:11" x14ac:dyDescent="0.25">
      <c r="A872" t="str">
        <f t="shared" si="52"/>
        <v>72020</v>
      </c>
      <c r="B872" s="1">
        <v>44026</v>
      </c>
      <c r="C872" t="s">
        <v>552</v>
      </c>
      <c r="D872">
        <v>2094.65</v>
      </c>
      <c r="E872">
        <v>2094.65</v>
      </c>
      <c r="F872">
        <v>2042.8</v>
      </c>
      <c r="G872">
        <v>2052.4499999999998</v>
      </c>
      <c r="H872">
        <v>0</v>
      </c>
      <c r="I872" s="8">
        <f t="shared" si="53"/>
        <v>-2.503384556919952E-2</v>
      </c>
      <c r="J872" s="8">
        <f t="shared" si="54"/>
        <v>-2.535252199112124E-2</v>
      </c>
      <c r="K872" s="8">
        <f t="shared" si="51"/>
        <v>0.15322376738305921</v>
      </c>
    </row>
    <row r="873" spans="1:11" x14ac:dyDescent="0.25">
      <c r="A873" t="str">
        <f t="shared" si="52"/>
        <v>72020</v>
      </c>
      <c r="B873" s="1">
        <v>44027</v>
      </c>
      <c r="C873" t="s">
        <v>553</v>
      </c>
      <c r="D873">
        <v>2069.65</v>
      </c>
      <c r="E873">
        <v>2091.1999999999998</v>
      </c>
      <c r="F873">
        <v>2048</v>
      </c>
      <c r="G873">
        <v>2055.75</v>
      </c>
      <c r="H873">
        <v>0</v>
      </c>
      <c r="I873" s="8">
        <f t="shared" si="53"/>
        <v>1.6078345392094295E-3</v>
      </c>
      <c r="J873" s="8">
        <f t="shared" si="54"/>
        <v>1.6065433570762336E-3</v>
      </c>
      <c r="K873" s="8">
        <f t="shared" si="51"/>
        <v>0.13170933113129646</v>
      </c>
    </row>
    <row r="874" spans="1:11" x14ac:dyDescent="0.25">
      <c r="A874" t="str">
        <f t="shared" si="52"/>
        <v>72020</v>
      </c>
      <c r="B874" s="1">
        <v>44028</v>
      </c>
      <c r="C874" t="s">
        <v>554</v>
      </c>
      <c r="D874">
        <v>2054.5</v>
      </c>
      <c r="E874">
        <v>2077.8000000000002</v>
      </c>
      <c r="F874">
        <v>2018.55</v>
      </c>
      <c r="G874">
        <v>2070.65</v>
      </c>
      <c r="H874">
        <v>0</v>
      </c>
      <c r="I874" s="8">
        <f t="shared" si="53"/>
        <v>7.2479630305242182E-3</v>
      </c>
      <c r="J874" s="8">
        <f t="shared" si="54"/>
        <v>7.2218227795300943E-3</v>
      </c>
      <c r="K874" s="8">
        <f t="shared" si="51"/>
        <v>0.17888354351105917</v>
      </c>
    </row>
    <row r="875" spans="1:11" x14ac:dyDescent="0.25">
      <c r="A875" t="str">
        <f t="shared" si="52"/>
        <v>72020</v>
      </c>
      <c r="B875" s="1">
        <v>44029</v>
      </c>
      <c r="C875" t="s">
        <v>555</v>
      </c>
      <c r="D875">
        <v>2087.5</v>
      </c>
      <c r="E875">
        <v>2130.5</v>
      </c>
      <c r="F875">
        <v>2083.6999999999998</v>
      </c>
      <c r="G875">
        <v>2103</v>
      </c>
      <c r="H875">
        <v>0</v>
      </c>
      <c r="I875" s="8">
        <f t="shared" si="53"/>
        <v>1.5623113515079723E-2</v>
      </c>
      <c r="J875" s="8">
        <f t="shared" si="54"/>
        <v>1.550232907216482E-2</v>
      </c>
      <c r="K875" s="8">
        <f t="shared" si="51"/>
        <v>0.26185047401896089</v>
      </c>
    </row>
    <row r="876" spans="1:11" x14ac:dyDescent="0.25">
      <c r="A876" t="str">
        <f t="shared" si="52"/>
        <v>72020</v>
      </c>
      <c r="B876" s="1">
        <v>44032</v>
      </c>
      <c r="C876" t="s">
        <v>556</v>
      </c>
      <c r="D876">
        <v>2115.4499999999998</v>
      </c>
      <c r="E876">
        <v>2122.8000000000002</v>
      </c>
      <c r="F876">
        <v>2094.6</v>
      </c>
      <c r="G876">
        <v>2106</v>
      </c>
      <c r="H876">
        <v>0</v>
      </c>
      <c r="I876" s="8">
        <f t="shared" si="53"/>
        <v>1.4265335235377208E-3</v>
      </c>
      <c r="J876" s="8">
        <f t="shared" si="54"/>
        <v>1.4255169912209468E-3</v>
      </c>
      <c r="K876" s="8">
        <f t="shared" si="51"/>
        <v>0.25859080858184424</v>
      </c>
    </row>
    <row r="877" spans="1:11" x14ac:dyDescent="0.25">
      <c r="A877" t="str">
        <f t="shared" si="52"/>
        <v>72020</v>
      </c>
      <c r="B877" s="1">
        <v>44033</v>
      </c>
      <c r="C877" t="s">
        <v>557</v>
      </c>
      <c r="D877">
        <v>2122.6</v>
      </c>
      <c r="E877">
        <v>2126.1</v>
      </c>
      <c r="F877">
        <v>2090.3000000000002</v>
      </c>
      <c r="G877">
        <v>2118.6</v>
      </c>
      <c r="H877">
        <v>0</v>
      </c>
      <c r="I877" s="8">
        <f t="shared" si="53"/>
        <v>5.9829059829059617E-3</v>
      </c>
      <c r="J877" s="8">
        <f t="shared" si="54"/>
        <v>5.9650794684748933E-3</v>
      </c>
      <c r="K877" s="8">
        <f t="shared" si="51"/>
        <v>0.25009588434872398</v>
      </c>
    </row>
    <row r="878" spans="1:11" x14ac:dyDescent="0.25">
      <c r="A878" t="str">
        <f t="shared" si="52"/>
        <v>72020</v>
      </c>
      <c r="B878" s="1">
        <v>44034</v>
      </c>
      <c r="C878" t="s">
        <v>558</v>
      </c>
      <c r="D878">
        <v>2128.5500000000002</v>
      </c>
      <c r="E878">
        <v>2168.6999999999998</v>
      </c>
      <c r="F878">
        <v>2092.75</v>
      </c>
      <c r="G878">
        <v>2113.9499999999998</v>
      </c>
      <c r="H878">
        <v>0</v>
      </c>
      <c r="I878" s="8">
        <f t="shared" si="53"/>
        <v>-2.194845652789601E-3</v>
      </c>
      <c r="J878" s="8">
        <f t="shared" si="54"/>
        <v>-2.1972578567659956E-3</v>
      </c>
      <c r="K878" s="8">
        <f t="shared" si="51"/>
        <v>0.28491976659372709</v>
      </c>
    </row>
    <row r="879" spans="1:11" x14ac:dyDescent="0.25">
      <c r="A879" t="str">
        <f t="shared" si="52"/>
        <v>72020</v>
      </c>
      <c r="B879" s="1">
        <v>44035</v>
      </c>
      <c r="C879" t="s">
        <v>559</v>
      </c>
      <c r="D879">
        <v>2120.9</v>
      </c>
      <c r="E879">
        <v>2138.35</v>
      </c>
      <c r="F879">
        <v>2113.0500000000002</v>
      </c>
      <c r="G879">
        <v>2131.4</v>
      </c>
      <c r="H879">
        <v>0</v>
      </c>
      <c r="I879" s="8">
        <f t="shared" si="53"/>
        <v>8.2546890891459501E-3</v>
      </c>
      <c r="J879" s="8">
        <f t="shared" si="54"/>
        <v>8.2208054812260793E-3</v>
      </c>
      <c r="K879" s="8">
        <f t="shared" si="51"/>
        <v>0.27889115564622591</v>
      </c>
    </row>
    <row r="880" spans="1:11" x14ac:dyDescent="0.25">
      <c r="A880" t="str">
        <f t="shared" si="52"/>
        <v>72020</v>
      </c>
      <c r="B880" s="1">
        <v>44036</v>
      </c>
      <c r="C880" t="s">
        <v>560</v>
      </c>
      <c r="D880">
        <v>2112.4</v>
      </c>
      <c r="E880">
        <v>2117.15</v>
      </c>
      <c r="F880">
        <v>2071.25</v>
      </c>
      <c r="G880">
        <v>2087.5</v>
      </c>
      <c r="H880">
        <v>0</v>
      </c>
      <c r="I880" s="8">
        <f t="shared" si="53"/>
        <v>-2.0596790841700297E-2</v>
      </c>
      <c r="J880" s="8">
        <f t="shared" si="54"/>
        <v>-2.0811863061845255E-2</v>
      </c>
      <c r="K880" s="8">
        <f t="shared" si="51"/>
        <v>0.25628140703517577</v>
      </c>
    </row>
    <row r="881" spans="1:11" x14ac:dyDescent="0.25">
      <c r="A881" t="str">
        <f t="shared" si="52"/>
        <v>72020</v>
      </c>
      <c r="B881" s="1">
        <v>44039</v>
      </c>
      <c r="C881" t="s">
        <v>561</v>
      </c>
      <c r="D881">
        <v>2094.35</v>
      </c>
      <c r="E881">
        <v>2107.0500000000002</v>
      </c>
      <c r="F881">
        <v>2064.5</v>
      </c>
      <c r="G881">
        <v>2094.4</v>
      </c>
      <c r="H881">
        <v>0</v>
      </c>
      <c r="I881" s="8">
        <f t="shared" si="53"/>
        <v>3.3053892215568759E-3</v>
      </c>
      <c r="J881" s="8">
        <f t="shared" si="54"/>
        <v>3.2999384306249256E-3</v>
      </c>
      <c r="K881" s="8">
        <f t="shared" si="51"/>
        <v>0.21499013806706113</v>
      </c>
    </row>
    <row r="882" spans="1:11" x14ac:dyDescent="0.25">
      <c r="A882" t="str">
        <f t="shared" si="52"/>
        <v>72020</v>
      </c>
      <c r="B882" s="1">
        <v>44040</v>
      </c>
      <c r="C882" t="s">
        <v>562</v>
      </c>
      <c r="D882">
        <v>2101.6999999999998</v>
      </c>
      <c r="E882">
        <v>2144.5500000000002</v>
      </c>
      <c r="F882">
        <v>2101.6</v>
      </c>
      <c r="G882">
        <v>2141.3000000000002</v>
      </c>
      <c r="H882">
        <v>0</v>
      </c>
      <c r="I882" s="8">
        <f t="shared" si="53"/>
        <v>2.2393048128342308E-2</v>
      </c>
      <c r="J882" s="8">
        <f t="shared" si="54"/>
        <v>2.2146005056535654E-2</v>
      </c>
      <c r="K882" s="8">
        <f t="shared" si="51"/>
        <v>0.15129845690628541</v>
      </c>
    </row>
    <row r="883" spans="1:11" x14ac:dyDescent="0.25">
      <c r="A883" t="str">
        <f t="shared" si="52"/>
        <v>72020</v>
      </c>
      <c r="B883" s="1">
        <v>44041</v>
      </c>
      <c r="C883" t="s">
        <v>563</v>
      </c>
      <c r="D883">
        <v>2138.75</v>
      </c>
      <c r="E883">
        <v>2192.3000000000002</v>
      </c>
      <c r="F883">
        <v>2131.9499999999998</v>
      </c>
      <c r="G883">
        <v>2160.75</v>
      </c>
      <c r="H883">
        <v>0</v>
      </c>
      <c r="I883" s="8">
        <f t="shared" si="53"/>
        <v>9.0832671741465365E-3</v>
      </c>
      <c r="J883" s="8">
        <f t="shared" si="54"/>
        <v>9.0422624205764683E-3</v>
      </c>
      <c r="K883" s="8">
        <f t="shared" si="51"/>
        <v>0.26079472517213209</v>
      </c>
    </row>
    <row r="884" spans="1:11" x14ac:dyDescent="0.25">
      <c r="A884" t="str">
        <f t="shared" si="52"/>
        <v>72020</v>
      </c>
      <c r="B884" s="1">
        <v>44042</v>
      </c>
      <c r="C884" t="s">
        <v>564</v>
      </c>
      <c r="D884">
        <v>2170.1999999999998</v>
      </c>
      <c r="E884">
        <v>2178.4499999999998</v>
      </c>
      <c r="F884">
        <v>2123.4</v>
      </c>
      <c r="G884">
        <v>2135.15</v>
      </c>
      <c r="H884">
        <v>0</v>
      </c>
      <c r="I884" s="8">
        <f t="shared" si="53"/>
        <v>-1.1847738053916368E-2</v>
      </c>
      <c r="J884" s="8">
        <f t="shared" si="54"/>
        <v>-1.1918481826731686E-2</v>
      </c>
      <c r="K884" s="8">
        <f t="shared" si="51"/>
        <v>0.26067959731939894</v>
      </c>
    </row>
    <row r="885" spans="1:11" x14ac:dyDescent="0.25">
      <c r="A885" t="str">
        <f t="shared" si="52"/>
        <v>72020</v>
      </c>
      <c r="B885" s="1">
        <v>44043</v>
      </c>
      <c r="C885" t="s">
        <v>565</v>
      </c>
      <c r="D885">
        <v>2137.0500000000002</v>
      </c>
      <c r="E885">
        <v>2158.3000000000002</v>
      </c>
      <c r="F885">
        <v>2122.1</v>
      </c>
      <c r="G885">
        <v>2147.3000000000002</v>
      </c>
      <c r="H885">
        <v>0</v>
      </c>
      <c r="I885" s="8">
        <f t="shared" si="53"/>
        <v>5.6904667119406227E-3</v>
      </c>
      <c r="J885" s="8">
        <f t="shared" si="54"/>
        <v>5.6743371670707607E-3</v>
      </c>
      <c r="K885" s="8">
        <f t="shared" si="51"/>
        <v>0.26464265732206482</v>
      </c>
    </row>
    <row r="886" spans="1:11" x14ac:dyDescent="0.25">
      <c r="A886" t="str">
        <f t="shared" si="52"/>
        <v>82020</v>
      </c>
      <c r="B886" s="1">
        <v>44046</v>
      </c>
      <c r="C886" s="10">
        <v>43898.645833333336</v>
      </c>
      <c r="D886">
        <v>2149.1</v>
      </c>
      <c r="E886">
        <v>2181.5500000000002</v>
      </c>
      <c r="F886">
        <v>2133.4</v>
      </c>
      <c r="G886">
        <v>2156.15</v>
      </c>
      <c r="H886">
        <v>0</v>
      </c>
      <c r="I886" s="8">
        <f t="shared" si="53"/>
        <v>4.1214548502770398E-3</v>
      </c>
      <c r="J886" s="8">
        <f t="shared" si="54"/>
        <v>4.1129849195515322E-3</v>
      </c>
      <c r="K886" s="8">
        <f t="shared" si="51"/>
        <v>0.27165226622629834</v>
      </c>
    </row>
    <row r="887" spans="1:11" x14ac:dyDescent="0.25">
      <c r="A887" t="str">
        <f t="shared" si="52"/>
        <v>82020</v>
      </c>
      <c r="B887" s="1">
        <v>44047</v>
      </c>
      <c r="C887" s="10">
        <v>43929.645833333336</v>
      </c>
      <c r="D887">
        <v>2168.8000000000002</v>
      </c>
      <c r="E887">
        <v>2185.75</v>
      </c>
      <c r="F887">
        <v>2155.4</v>
      </c>
      <c r="G887">
        <v>2177.35</v>
      </c>
      <c r="H887">
        <v>0</v>
      </c>
      <c r="I887" s="8">
        <f t="shared" si="53"/>
        <v>9.8323400505528902E-3</v>
      </c>
      <c r="J887" s="8">
        <f t="shared" si="54"/>
        <v>9.7843171237038049E-3</v>
      </c>
      <c r="K887" s="8">
        <f t="shared" si="51"/>
        <v>0.2987086576600757</v>
      </c>
    </row>
    <row r="888" spans="1:11" x14ac:dyDescent="0.25">
      <c r="A888" t="str">
        <f t="shared" si="52"/>
        <v>82020</v>
      </c>
      <c r="B888" s="1">
        <v>44048</v>
      </c>
      <c r="C888" s="10">
        <v>43959.645833333336</v>
      </c>
      <c r="D888">
        <v>2190.6999999999998</v>
      </c>
      <c r="E888">
        <v>2272.75</v>
      </c>
      <c r="F888">
        <v>2190.35</v>
      </c>
      <c r="G888">
        <v>2263.8000000000002</v>
      </c>
      <c r="H888">
        <v>0</v>
      </c>
      <c r="I888" s="8">
        <f t="shared" si="53"/>
        <v>3.970422761613901E-2</v>
      </c>
      <c r="J888" s="8">
        <f t="shared" si="54"/>
        <v>3.8936276181977807E-2</v>
      </c>
      <c r="K888" s="8">
        <f t="shared" si="51"/>
        <v>0.33329406914423698</v>
      </c>
    </row>
    <row r="889" spans="1:11" x14ac:dyDescent="0.25">
      <c r="A889" t="str">
        <f t="shared" si="52"/>
        <v>82020</v>
      </c>
      <c r="B889" s="1">
        <v>44049</v>
      </c>
      <c r="C889" s="10">
        <v>43990.645833333336</v>
      </c>
      <c r="D889">
        <v>2268.0500000000002</v>
      </c>
      <c r="E889">
        <v>2301.4</v>
      </c>
      <c r="F889">
        <v>2255.6</v>
      </c>
      <c r="G889">
        <v>2294.75</v>
      </c>
      <c r="H889">
        <v>0</v>
      </c>
      <c r="I889" s="8">
        <f t="shared" si="53"/>
        <v>1.3671702447212608E-2</v>
      </c>
      <c r="J889" s="8">
        <f t="shared" si="54"/>
        <v>1.3579087900880537E-2</v>
      </c>
      <c r="K889" s="8">
        <f t="shared" si="51"/>
        <v>0.33606008558702816</v>
      </c>
    </row>
    <row r="890" spans="1:11" x14ac:dyDescent="0.25">
      <c r="A890" t="str">
        <f t="shared" si="52"/>
        <v>82020</v>
      </c>
      <c r="B890" s="1">
        <v>44050</v>
      </c>
      <c r="C890" s="10">
        <v>44020.645833333336</v>
      </c>
      <c r="D890">
        <v>2286.4499999999998</v>
      </c>
      <c r="E890">
        <v>2319.9</v>
      </c>
      <c r="F890">
        <v>2280.5</v>
      </c>
      <c r="G890">
        <v>2314.35</v>
      </c>
      <c r="H890">
        <v>0</v>
      </c>
      <c r="I890" s="8">
        <f t="shared" si="53"/>
        <v>8.5412354286960035E-3</v>
      </c>
      <c r="J890" s="8">
        <f t="shared" si="54"/>
        <v>8.504965457944302E-3</v>
      </c>
      <c r="K890" s="8">
        <f t="shared" si="51"/>
        <v>0.31452345791207548</v>
      </c>
    </row>
    <row r="891" spans="1:11" x14ac:dyDescent="0.25">
      <c r="A891" t="str">
        <f t="shared" si="52"/>
        <v>82020</v>
      </c>
      <c r="B891" s="1">
        <v>44053</v>
      </c>
      <c r="C891" s="10">
        <v>44112.645833333336</v>
      </c>
      <c r="D891">
        <v>2322.4499999999998</v>
      </c>
      <c r="E891">
        <v>2337.1999999999998</v>
      </c>
      <c r="F891">
        <v>2295.65</v>
      </c>
      <c r="G891">
        <v>2332</v>
      </c>
      <c r="H891">
        <v>0</v>
      </c>
      <c r="I891" s="8">
        <f t="shared" si="53"/>
        <v>7.6263313673385902E-3</v>
      </c>
      <c r="J891" s="8">
        <f t="shared" si="54"/>
        <v>7.5973979132384342E-3</v>
      </c>
      <c r="K891" s="8">
        <f t="shared" si="51"/>
        <v>0.35972712165826071</v>
      </c>
    </row>
    <row r="892" spans="1:11" x14ac:dyDescent="0.25">
      <c r="A892" t="str">
        <f t="shared" si="52"/>
        <v>82020</v>
      </c>
      <c r="B892" s="1">
        <v>44054</v>
      </c>
      <c r="C892" s="10">
        <v>44143.645833333336</v>
      </c>
      <c r="D892">
        <v>2349.65</v>
      </c>
      <c r="E892">
        <v>2407.9499999999998</v>
      </c>
      <c r="F892">
        <v>2349.65</v>
      </c>
      <c r="G892">
        <v>2370.65</v>
      </c>
      <c r="H892">
        <v>0</v>
      </c>
      <c r="I892" s="8">
        <f t="shared" si="53"/>
        <v>1.6573756432247011E-2</v>
      </c>
      <c r="J892" s="8">
        <f t="shared" si="54"/>
        <v>1.6437910659331055E-2</v>
      </c>
      <c r="K892" s="8">
        <f t="shared" si="51"/>
        <v>0.36040973258349607</v>
      </c>
    </row>
    <row r="893" spans="1:11" x14ac:dyDescent="0.25">
      <c r="A893" t="str">
        <f t="shared" si="52"/>
        <v>82020</v>
      </c>
      <c r="B893" s="1">
        <v>44055</v>
      </c>
      <c r="C893" s="10">
        <v>44173.645833333336</v>
      </c>
      <c r="D893">
        <v>2352.0500000000002</v>
      </c>
      <c r="E893">
        <v>2359.15</v>
      </c>
      <c r="F893">
        <v>2320.9</v>
      </c>
      <c r="G893">
        <v>2354.8000000000002</v>
      </c>
      <c r="H893">
        <v>0</v>
      </c>
      <c r="I893" s="8">
        <f t="shared" si="53"/>
        <v>-6.6859300191930426E-3</v>
      </c>
      <c r="J893" s="8">
        <f t="shared" si="54"/>
        <v>-6.7083809756077403E-3</v>
      </c>
      <c r="K893" s="8">
        <f t="shared" si="51"/>
        <v>0.40711084553331345</v>
      </c>
    </row>
    <row r="894" spans="1:11" x14ac:dyDescent="0.25">
      <c r="A894" t="str">
        <f t="shared" si="52"/>
        <v>82020</v>
      </c>
      <c r="B894" s="1">
        <v>44056</v>
      </c>
      <c r="C894" t="s">
        <v>566</v>
      </c>
      <c r="D894">
        <v>2370.6999999999998</v>
      </c>
      <c r="E894">
        <v>2403.0500000000002</v>
      </c>
      <c r="F894">
        <v>2359.85</v>
      </c>
      <c r="G894">
        <v>2380.65</v>
      </c>
      <c r="H894">
        <v>0</v>
      </c>
      <c r="I894" s="8">
        <f t="shared" si="53"/>
        <v>1.0977577713606301E-2</v>
      </c>
      <c r="J894" s="8">
        <f t="shared" si="54"/>
        <v>1.0917761467571009E-2</v>
      </c>
      <c r="K894" s="8">
        <f t="shared" si="51"/>
        <v>0.4057158040801867</v>
      </c>
    </row>
    <row r="895" spans="1:11" x14ac:dyDescent="0.25">
      <c r="A895" t="str">
        <f t="shared" si="52"/>
        <v>82020</v>
      </c>
      <c r="B895" s="1">
        <v>44057</v>
      </c>
      <c r="C895" t="s">
        <v>567</v>
      </c>
      <c r="D895">
        <v>2384.85</v>
      </c>
      <c r="E895">
        <v>2454.3000000000002</v>
      </c>
      <c r="F895">
        <v>2377.6999999999998</v>
      </c>
      <c r="G895">
        <v>2405.8000000000002</v>
      </c>
      <c r="H895">
        <v>0</v>
      </c>
      <c r="I895" s="8">
        <f t="shared" si="53"/>
        <v>1.0564341671392308E-2</v>
      </c>
      <c r="J895" s="8">
        <f t="shared" si="54"/>
        <v>1.0508928938295003E-2</v>
      </c>
      <c r="K895" s="8">
        <f t="shared" si="51"/>
        <v>0.40566754309085606</v>
      </c>
    </row>
    <row r="896" spans="1:11" x14ac:dyDescent="0.25">
      <c r="A896" t="str">
        <f t="shared" si="52"/>
        <v>82020</v>
      </c>
      <c r="B896" s="1">
        <v>44060</v>
      </c>
      <c r="C896" t="s">
        <v>568</v>
      </c>
      <c r="D896">
        <v>2420</v>
      </c>
      <c r="E896">
        <v>2470.3000000000002</v>
      </c>
      <c r="F896">
        <v>2414.6999999999998</v>
      </c>
      <c r="G896">
        <v>2464.25</v>
      </c>
      <c r="H896">
        <v>0</v>
      </c>
      <c r="I896" s="8">
        <f t="shared" si="53"/>
        <v>2.4295452656081018E-2</v>
      </c>
      <c r="J896" s="8">
        <f t="shared" si="54"/>
        <v>2.4005012985576019E-2</v>
      </c>
      <c r="K896" s="8">
        <f t="shared" ref="K896:K959" si="55">+G896/G835-1</f>
        <v>0.41387916690573179</v>
      </c>
    </row>
    <row r="897" spans="1:11" x14ac:dyDescent="0.25">
      <c r="A897" t="str">
        <f t="shared" si="52"/>
        <v>82020</v>
      </c>
      <c r="B897" s="1">
        <v>44061</v>
      </c>
      <c r="C897" t="s">
        <v>569</v>
      </c>
      <c r="D897">
        <v>2469.4499999999998</v>
      </c>
      <c r="E897">
        <v>2515.75</v>
      </c>
      <c r="F897">
        <v>2455.1</v>
      </c>
      <c r="G897">
        <v>2507.5</v>
      </c>
      <c r="H897">
        <v>0</v>
      </c>
      <c r="I897" s="8">
        <f t="shared" si="53"/>
        <v>1.755097899969571E-2</v>
      </c>
      <c r="J897" s="8">
        <f t="shared" si="54"/>
        <v>1.7398739290542305E-2</v>
      </c>
      <c r="K897" s="8">
        <f t="shared" si="55"/>
        <v>0.46598848256306824</v>
      </c>
    </row>
    <row r="898" spans="1:11" x14ac:dyDescent="0.25">
      <c r="A898" t="str">
        <f t="shared" si="52"/>
        <v>82020</v>
      </c>
      <c r="B898" s="1">
        <v>44062</v>
      </c>
      <c r="C898" t="s">
        <v>570</v>
      </c>
      <c r="D898">
        <v>2518.15</v>
      </c>
      <c r="E898">
        <v>2521.75</v>
      </c>
      <c r="F898">
        <v>2498.9499999999998</v>
      </c>
      <c r="G898">
        <v>2513.15</v>
      </c>
      <c r="H898">
        <v>0</v>
      </c>
      <c r="I898" s="8">
        <f t="shared" si="53"/>
        <v>2.2532402791626271E-3</v>
      </c>
      <c r="J898" s="8">
        <f t="shared" si="54"/>
        <v>2.2507055401547343E-3</v>
      </c>
      <c r="K898" s="8">
        <f t="shared" si="55"/>
        <v>0.43089361459845721</v>
      </c>
    </row>
    <row r="899" spans="1:11" x14ac:dyDescent="0.25">
      <c r="A899" t="str">
        <f t="shared" ref="A899:A962" si="56">+MONTH(B899)&amp;YEAR(B899)</f>
        <v>82020</v>
      </c>
      <c r="B899" s="1">
        <v>44063</v>
      </c>
      <c r="C899" t="s">
        <v>571</v>
      </c>
      <c r="D899">
        <v>2479.3000000000002</v>
      </c>
      <c r="E899">
        <v>2545</v>
      </c>
      <c r="F899">
        <v>2471.9499999999998</v>
      </c>
      <c r="G899">
        <v>2538.9</v>
      </c>
      <c r="H899">
        <v>0</v>
      </c>
      <c r="I899" s="8">
        <f t="shared" si="53"/>
        <v>1.0246105485148149E-2</v>
      </c>
      <c r="J899" s="8">
        <f t="shared" si="54"/>
        <v>1.0193969967924798E-2</v>
      </c>
      <c r="K899" s="8">
        <f t="shared" si="55"/>
        <v>0.40952116585704368</v>
      </c>
    </row>
    <row r="900" spans="1:11" x14ac:dyDescent="0.25">
      <c r="A900" t="str">
        <f t="shared" si="56"/>
        <v>82020</v>
      </c>
      <c r="B900" s="1">
        <v>44064</v>
      </c>
      <c r="C900" t="s">
        <v>572</v>
      </c>
      <c r="D900">
        <v>2562.35</v>
      </c>
      <c r="E900">
        <v>2579.4499999999998</v>
      </c>
      <c r="F900">
        <v>2517.0500000000002</v>
      </c>
      <c r="G900">
        <v>2523.6</v>
      </c>
      <c r="H900">
        <v>0</v>
      </c>
      <c r="I900" s="8">
        <f t="shared" ref="I900:I963" si="57">+G900/G899-1</f>
        <v>-6.0262318326834707E-3</v>
      </c>
      <c r="J900" s="8">
        <f t="shared" ref="J900:J963" si="58">+LN(1+I900)</f>
        <v>-6.0444628475156033E-3</v>
      </c>
      <c r="K900" s="8">
        <f t="shared" si="55"/>
        <v>0.36817565735971813</v>
      </c>
    </row>
    <row r="901" spans="1:11" x14ac:dyDescent="0.25">
      <c r="A901" t="str">
        <f t="shared" si="56"/>
        <v>82020</v>
      </c>
      <c r="B901" s="1">
        <v>44067</v>
      </c>
      <c r="C901" t="s">
        <v>573</v>
      </c>
      <c r="D901">
        <v>2545.75</v>
      </c>
      <c r="E901">
        <v>2552.25</v>
      </c>
      <c r="F901">
        <v>2521.1999999999998</v>
      </c>
      <c r="G901">
        <v>2526.1</v>
      </c>
      <c r="H901">
        <v>0</v>
      </c>
      <c r="I901" s="8">
        <f t="shared" si="57"/>
        <v>9.9064828023465168E-4</v>
      </c>
      <c r="J901" s="8">
        <f t="shared" si="58"/>
        <v>9.9015791205529346E-4</v>
      </c>
      <c r="K901" s="8">
        <f t="shared" si="55"/>
        <v>0.34377742905019026</v>
      </c>
    </row>
    <row r="902" spans="1:11" x14ac:dyDescent="0.25">
      <c r="A902" t="str">
        <f t="shared" si="56"/>
        <v>82020</v>
      </c>
      <c r="B902" s="1">
        <v>44068</v>
      </c>
      <c r="C902" t="s">
        <v>574</v>
      </c>
      <c r="D902">
        <v>2541.85</v>
      </c>
      <c r="E902">
        <v>2542.4499999999998</v>
      </c>
      <c r="F902">
        <v>2493.4</v>
      </c>
      <c r="G902">
        <v>2507.5</v>
      </c>
      <c r="H902">
        <v>0</v>
      </c>
      <c r="I902" s="8">
        <f t="shared" si="57"/>
        <v>-7.3631289339297634E-3</v>
      </c>
      <c r="J902" s="8">
        <f t="shared" si="58"/>
        <v>-7.3903705726190297E-3</v>
      </c>
      <c r="K902" s="8">
        <f t="shared" si="55"/>
        <v>0.28425096030729824</v>
      </c>
    </row>
    <row r="903" spans="1:11" x14ac:dyDescent="0.25">
      <c r="A903" t="str">
        <f t="shared" si="56"/>
        <v>82020</v>
      </c>
      <c r="B903" s="1">
        <v>44069</v>
      </c>
      <c r="C903" t="s">
        <v>575</v>
      </c>
      <c r="D903">
        <v>2513.25</v>
      </c>
      <c r="E903">
        <v>2540.75</v>
      </c>
      <c r="F903">
        <v>2505.4499999999998</v>
      </c>
      <c r="G903">
        <v>2527.8000000000002</v>
      </c>
      <c r="H903">
        <v>0</v>
      </c>
      <c r="I903" s="8">
        <f t="shared" si="57"/>
        <v>8.0957128614158602E-3</v>
      </c>
      <c r="J903" s="8">
        <f t="shared" si="58"/>
        <v>8.0631183769353607E-3</v>
      </c>
      <c r="K903" s="8">
        <f t="shared" si="55"/>
        <v>0.29226522161443702</v>
      </c>
    </row>
    <row r="904" spans="1:11" x14ac:dyDescent="0.25">
      <c r="A904" t="str">
        <f t="shared" si="56"/>
        <v>82020</v>
      </c>
      <c r="B904" s="1">
        <v>44070</v>
      </c>
      <c r="C904" t="s">
        <v>576</v>
      </c>
      <c r="D904">
        <v>2531.9499999999998</v>
      </c>
      <c r="E904">
        <v>2551.5</v>
      </c>
      <c r="F904">
        <v>2513.5500000000002</v>
      </c>
      <c r="G904">
        <v>2531.0500000000002</v>
      </c>
      <c r="H904">
        <v>0</v>
      </c>
      <c r="I904" s="8">
        <f t="shared" si="57"/>
        <v>1.2857029828308164E-3</v>
      </c>
      <c r="J904" s="8">
        <f t="shared" si="58"/>
        <v>1.2848771745044858E-3</v>
      </c>
      <c r="K904" s="8">
        <f t="shared" si="55"/>
        <v>0.29617964869155533</v>
      </c>
    </row>
    <row r="905" spans="1:11" x14ac:dyDescent="0.25">
      <c r="A905" t="str">
        <f t="shared" si="56"/>
        <v>82020</v>
      </c>
      <c r="B905" s="1">
        <v>44071</v>
      </c>
      <c r="C905" t="s">
        <v>577</v>
      </c>
      <c r="D905">
        <v>2539.4</v>
      </c>
      <c r="E905">
        <v>2570.65</v>
      </c>
      <c r="F905">
        <v>2517.35</v>
      </c>
      <c r="G905">
        <v>2520.35</v>
      </c>
      <c r="H905">
        <v>0</v>
      </c>
      <c r="I905" s="8">
        <f t="shared" si="57"/>
        <v>-4.2274945180854617E-3</v>
      </c>
      <c r="J905" s="8">
        <f t="shared" si="58"/>
        <v>-4.2364556373414028E-3</v>
      </c>
      <c r="K905" s="8">
        <f t="shared" si="55"/>
        <v>0.27748492067514818</v>
      </c>
    </row>
    <row r="906" spans="1:11" x14ac:dyDescent="0.25">
      <c r="A906" t="str">
        <f t="shared" si="56"/>
        <v>82020</v>
      </c>
      <c r="B906" s="1">
        <v>44074</v>
      </c>
      <c r="C906" t="s">
        <v>578</v>
      </c>
      <c r="D906">
        <v>2524.6999999999998</v>
      </c>
      <c r="E906">
        <v>2533.1</v>
      </c>
      <c r="F906">
        <v>2410.5</v>
      </c>
      <c r="G906">
        <v>2420.6</v>
      </c>
      <c r="H906">
        <v>0</v>
      </c>
      <c r="I906" s="8">
        <f t="shared" si="57"/>
        <v>-3.9577836411609502E-2</v>
      </c>
      <c r="J906" s="8">
        <f t="shared" si="58"/>
        <v>-4.0382337445685694E-2</v>
      </c>
      <c r="K906" s="8">
        <f t="shared" si="55"/>
        <v>0.18095331024052297</v>
      </c>
    </row>
    <row r="907" spans="1:11" x14ac:dyDescent="0.25">
      <c r="A907" t="str">
        <f t="shared" si="56"/>
        <v>92020</v>
      </c>
      <c r="B907" s="1">
        <v>44075</v>
      </c>
      <c r="C907" s="10">
        <v>43839.645833333336</v>
      </c>
      <c r="D907">
        <v>2424.6999999999998</v>
      </c>
      <c r="E907">
        <v>2507</v>
      </c>
      <c r="F907">
        <v>2421.15</v>
      </c>
      <c r="G907">
        <v>2496.75</v>
      </c>
      <c r="H907">
        <v>0</v>
      </c>
      <c r="I907" s="8">
        <f t="shared" si="57"/>
        <v>3.1459142361398129E-2</v>
      </c>
      <c r="J907" s="8">
        <f t="shared" si="58"/>
        <v>3.0974442818740709E-2</v>
      </c>
      <c r="K907" s="8">
        <f t="shared" si="55"/>
        <v>0.22099420495390865</v>
      </c>
    </row>
    <row r="908" spans="1:11" x14ac:dyDescent="0.25">
      <c r="A908" t="str">
        <f t="shared" si="56"/>
        <v>92020</v>
      </c>
      <c r="B908" s="1">
        <v>44076</v>
      </c>
      <c r="C908" s="10">
        <v>43870.645833333336</v>
      </c>
      <c r="D908">
        <v>2512.8000000000002</v>
      </c>
      <c r="E908">
        <v>2548.25</v>
      </c>
      <c r="F908">
        <v>2500.6999999999998</v>
      </c>
      <c r="G908">
        <v>2541.35</v>
      </c>
      <c r="H908">
        <v>0</v>
      </c>
      <c r="I908" s="8">
        <f t="shared" si="57"/>
        <v>1.7863222188845507E-2</v>
      </c>
      <c r="J908" s="8">
        <f t="shared" si="58"/>
        <v>1.7705549758325053E-2</v>
      </c>
      <c r="K908" s="8">
        <f t="shared" si="55"/>
        <v>0.25653893695920882</v>
      </c>
    </row>
    <row r="909" spans="1:11" x14ac:dyDescent="0.25">
      <c r="A909" t="str">
        <f t="shared" si="56"/>
        <v>92020</v>
      </c>
      <c r="B909" s="1">
        <v>44077</v>
      </c>
      <c r="C909" s="10">
        <v>43899.645833333336</v>
      </c>
      <c r="D909">
        <v>2551.9</v>
      </c>
      <c r="E909">
        <v>2556.35</v>
      </c>
      <c r="F909">
        <v>2518.5</v>
      </c>
      <c r="G909">
        <v>2527.3000000000002</v>
      </c>
      <c r="H909">
        <v>0</v>
      </c>
      <c r="I909" s="8">
        <f t="shared" si="57"/>
        <v>-5.5285576563636196E-3</v>
      </c>
      <c r="J909" s="8">
        <f t="shared" si="58"/>
        <v>-5.5438966925309523E-3</v>
      </c>
      <c r="K909" s="8">
        <f t="shared" si="55"/>
        <v>0.25686294012333422</v>
      </c>
    </row>
    <row r="910" spans="1:11" x14ac:dyDescent="0.25">
      <c r="A910" t="str">
        <f t="shared" si="56"/>
        <v>92020</v>
      </c>
      <c r="B910" s="1">
        <v>44078</v>
      </c>
      <c r="C910" s="10">
        <v>43930.645833333336</v>
      </c>
      <c r="D910">
        <v>2476.5500000000002</v>
      </c>
      <c r="E910">
        <v>2511.9499999999998</v>
      </c>
      <c r="F910">
        <v>2442.0500000000002</v>
      </c>
      <c r="G910">
        <v>2451.35</v>
      </c>
      <c r="H910">
        <v>0</v>
      </c>
      <c r="I910" s="8">
        <f t="shared" si="57"/>
        <v>-3.0051833973014808E-2</v>
      </c>
      <c r="J910" s="8">
        <f t="shared" si="58"/>
        <v>-3.0512645998102744E-2</v>
      </c>
      <c r="K910" s="8">
        <f t="shared" si="55"/>
        <v>0.25398368161239993</v>
      </c>
    </row>
    <row r="911" spans="1:11" x14ac:dyDescent="0.25">
      <c r="A911" t="str">
        <f t="shared" si="56"/>
        <v>92020</v>
      </c>
      <c r="B911" s="1">
        <v>44081</v>
      </c>
      <c r="C911" s="10">
        <v>44021.645833333336</v>
      </c>
      <c r="D911">
        <v>2456.75</v>
      </c>
      <c r="E911">
        <v>2480.15</v>
      </c>
      <c r="F911">
        <v>2433.4499999999998</v>
      </c>
      <c r="G911">
        <v>2450.0500000000002</v>
      </c>
      <c r="H911">
        <v>0</v>
      </c>
      <c r="I911" s="8">
        <f t="shared" si="57"/>
        <v>-5.3032002773967246E-4</v>
      </c>
      <c r="J911" s="8">
        <f t="shared" si="58"/>
        <v>-5.3046069714098238E-4</v>
      </c>
      <c r="K911" s="8">
        <f t="shared" si="55"/>
        <v>0.24614719495447845</v>
      </c>
    </row>
    <row r="912" spans="1:11" x14ac:dyDescent="0.25">
      <c r="A912" t="str">
        <f t="shared" si="56"/>
        <v>92020</v>
      </c>
      <c r="B912" s="1">
        <v>44082</v>
      </c>
      <c r="C912" s="10">
        <v>44052.645833333336</v>
      </c>
      <c r="D912">
        <v>2456.85</v>
      </c>
      <c r="E912">
        <v>2457.3000000000002</v>
      </c>
      <c r="F912">
        <v>2365.25</v>
      </c>
      <c r="G912">
        <v>2376.85</v>
      </c>
      <c r="H912">
        <v>0</v>
      </c>
      <c r="I912" s="8">
        <f t="shared" si="57"/>
        <v>-2.987694128691265E-2</v>
      </c>
      <c r="J912" s="8">
        <f t="shared" si="58"/>
        <v>-3.0332350878680674E-2</v>
      </c>
      <c r="K912" s="8">
        <f t="shared" si="55"/>
        <v>0.23245443467890392</v>
      </c>
    </row>
    <row r="913" spans="1:11" x14ac:dyDescent="0.25">
      <c r="A913" t="str">
        <f t="shared" si="56"/>
        <v>92020</v>
      </c>
      <c r="B913" s="1">
        <v>44083</v>
      </c>
      <c r="C913" s="10">
        <v>44083.645833333336</v>
      </c>
      <c r="D913">
        <v>2339.35</v>
      </c>
      <c r="E913">
        <v>2407.5</v>
      </c>
      <c r="F913">
        <v>2302.4</v>
      </c>
      <c r="G913">
        <v>2397.1999999999998</v>
      </c>
      <c r="H913">
        <v>0</v>
      </c>
      <c r="I913" s="8">
        <f t="shared" si="57"/>
        <v>8.5617518985210417E-3</v>
      </c>
      <c r="J913" s="8">
        <f t="shared" si="58"/>
        <v>8.5253079689163683E-3</v>
      </c>
      <c r="K913" s="8">
        <f t="shared" si="55"/>
        <v>0.22562503195459871</v>
      </c>
    </row>
    <row r="914" spans="1:11" x14ac:dyDescent="0.25">
      <c r="A914" t="str">
        <f t="shared" si="56"/>
        <v>92020</v>
      </c>
      <c r="B914" s="1">
        <v>44084</v>
      </c>
      <c r="C914" s="10">
        <v>44113.645833333336</v>
      </c>
      <c r="D914">
        <v>2423.1999999999998</v>
      </c>
      <c r="E914">
        <v>2426.65</v>
      </c>
      <c r="F914">
        <v>2336.1</v>
      </c>
      <c r="G914">
        <v>2369.8000000000002</v>
      </c>
      <c r="H914">
        <v>0</v>
      </c>
      <c r="I914" s="8">
        <f t="shared" si="57"/>
        <v>-1.1430001668613188E-2</v>
      </c>
      <c r="J914" s="8">
        <f t="shared" si="58"/>
        <v>-1.1495826201390403E-2</v>
      </c>
      <c r="K914" s="8">
        <f t="shared" si="55"/>
        <v>0.2212631090726378</v>
      </c>
    </row>
    <row r="915" spans="1:11" x14ac:dyDescent="0.25">
      <c r="A915" t="str">
        <f t="shared" si="56"/>
        <v>92020</v>
      </c>
      <c r="B915" s="1">
        <v>44085</v>
      </c>
      <c r="C915" s="10">
        <v>44144.645833333336</v>
      </c>
      <c r="D915">
        <v>2376.8000000000002</v>
      </c>
      <c r="E915">
        <v>2389.65</v>
      </c>
      <c r="F915">
        <v>2353.9499999999998</v>
      </c>
      <c r="G915">
        <v>2384.3000000000002</v>
      </c>
      <c r="H915">
        <v>0</v>
      </c>
      <c r="I915" s="8">
        <f t="shared" si="57"/>
        <v>6.1186598025149141E-3</v>
      </c>
      <c r="J915" s="8">
        <f t="shared" si="58"/>
        <v>6.1000168117217252E-3</v>
      </c>
      <c r="K915" s="8">
        <f t="shared" si="55"/>
        <v>0.1929552447902334</v>
      </c>
    </row>
    <row r="916" spans="1:11" x14ac:dyDescent="0.25">
      <c r="A916" t="str">
        <f t="shared" si="56"/>
        <v>92020</v>
      </c>
      <c r="B916" s="1">
        <v>44088</v>
      </c>
      <c r="C916" t="s">
        <v>579</v>
      </c>
      <c r="D916">
        <v>2401.4499999999998</v>
      </c>
      <c r="E916">
        <v>2416.5</v>
      </c>
      <c r="F916">
        <v>2375.5</v>
      </c>
      <c r="G916">
        <v>2387.0500000000002</v>
      </c>
      <c r="H916">
        <v>0</v>
      </c>
      <c r="I916" s="8">
        <f t="shared" si="57"/>
        <v>1.1533783500399242E-3</v>
      </c>
      <c r="J916" s="8">
        <f t="shared" si="58"/>
        <v>1.1527137202280886E-3</v>
      </c>
      <c r="K916" s="8">
        <f t="shared" si="55"/>
        <v>0.19498886135516025</v>
      </c>
    </row>
    <row r="917" spans="1:11" x14ac:dyDescent="0.25">
      <c r="A917" t="str">
        <f t="shared" si="56"/>
        <v>92020</v>
      </c>
      <c r="B917" s="1">
        <v>44089</v>
      </c>
      <c r="C917" t="s">
        <v>580</v>
      </c>
      <c r="D917">
        <v>2402.4</v>
      </c>
      <c r="E917">
        <v>2411.1999999999998</v>
      </c>
      <c r="F917">
        <v>2380.9499999999998</v>
      </c>
      <c r="G917">
        <v>2385.5500000000002</v>
      </c>
      <c r="H917">
        <v>0</v>
      </c>
      <c r="I917" s="8">
        <f t="shared" si="57"/>
        <v>-6.283906914392734E-4</v>
      </c>
      <c r="J917" s="8">
        <f t="shared" si="58"/>
        <v>-6.2858821162071392E-4</v>
      </c>
      <c r="K917" s="8">
        <f t="shared" si="55"/>
        <v>0.16379646794809255</v>
      </c>
    </row>
    <row r="918" spans="1:11" x14ac:dyDescent="0.25">
      <c r="A918" t="str">
        <f t="shared" si="56"/>
        <v>92020</v>
      </c>
      <c r="B918" s="1">
        <v>44090</v>
      </c>
      <c r="C918" t="s">
        <v>581</v>
      </c>
      <c r="D918">
        <v>2389.85</v>
      </c>
      <c r="E918">
        <v>2405.5</v>
      </c>
      <c r="F918">
        <v>2381.8000000000002</v>
      </c>
      <c r="G918">
        <v>2396.35</v>
      </c>
      <c r="H918">
        <v>0</v>
      </c>
      <c r="I918" s="8">
        <f t="shared" si="57"/>
        <v>4.5272578650623618E-3</v>
      </c>
      <c r="J918" s="8">
        <f t="shared" si="58"/>
        <v>4.5170406588527388E-3</v>
      </c>
      <c r="K918" s="8">
        <f t="shared" si="55"/>
        <v>0.14888771694313907</v>
      </c>
    </row>
    <row r="919" spans="1:11" x14ac:dyDescent="0.25">
      <c r="A919" t="str">
        <f t="shared" si="56"/>
        <v>92020</v>
      </c>
      <c r="B919" s="1">
        <v>44091</v>
      </c>
      <c r="C919" t="s">
        <v>582</v>
      </c>
      <c r="D919">
        <v>2382.9499999999998</v>
      </c>
      <c r="E919">
        <v>2397.5500000000002</v>
      </c>
      <c r="F919">
        <v>2352.8000000000002</v>
      </c>
      <c r="G919">
        <v>2363.3000000000002</v>
      </c>
      <c r="H919">
        <v>0</v>
      </c>
      <c r="I919" s="8">
        <f t="shared" si="57"/>
        <v>-1.3791808375237191E-2</v>
      </c>
      <c r="J919" s="8">
        <f t="shared" si="58"/>
        <v>-1.3887798975581046E-2</v>
      </c>
      <c r="K919" s="8">
        <f t="shared" si="55"/>
        <v>0.15714740372610003</v>
      </c>
    </row>
    <row r="920" spans="1:11" x14ac:dyDescent="0.25">
      <c r="A920" t="str">
        <f t="shared" si="56"/>
        <v>92020</v>
      </c>
      <c r="B920" s="1">
        <v>44092</v>
      </c>
      <c r="C920" t="s">
        <v>583</v>
      </c>
      <c r="D920">
        <v>2374.1999999999998</v>
      </c>
      <c r="E920">
        <v>2389.15</v>
      </c>
      <c r="F920">
        <v>2354.1999999999998</v>
      </c>
      <c r="G920">
        <v>2362.1999999999998</v>
      </c>
      <c r="H920">
        <v>0</v>
      </c>
      <c r="I920" s="8">
        <f t="shared" si="57"/>
        <v>-4.6545085262150732E-4</v>
      </c>
      <c r="J920" s="8">
        <f t="shared" si="58"/>
        <v>-4.6555920849380359E-4</v>
      </c>
      <c r="K920" s="8">
        <f t="shared" si="55"/>
        <v>0.16318692141028168</v>
      </c>
    </row>
    <row r="921" spans="1:11" x14ac:dyDescent="0.25">
      <c r="A921" t="str">
        <f t="shared" si="56"/>
        <v>92020</v>
      </c>
      <c r="B921" s="1">
        <v>44095</v>
      </c>
      <c r="C921" t="s">
        <v>584</v>
      </c>
      <c r="D921">
        <v>2367.1999999999998</v>
      </c>
      <c r="E921">
        <v>2368.3000000000002</v>
      </c>
      <c r="F921">
        <v>2229.15</v>
      </c>
      <c r="G921">
        <v>2240.35</v>
      </c>
      <c r="H921">
        <v>0</v>
      </c>
      <c r="I921" s="8">
        <f t="shared" si="57"/>
        <v>-5.1583269833206269E-2</v>
      </c>
      <c r="J921" s="8">
        <f t="shared" si="58"/>
        <v>-5.2961284534421067E-2</v>
      </c>
      <c r="K921" s="8">
        <f t="shared" si="55"/>
        <v>9.6410306604350682E-2</v>
      </c>
    </row>
    <row r="922" spans="1:11" x14ac:dyDescent="0.25">
      <c r="A922" t="str">
        <f t="shared" si="56"/>
        <v>92020</v>
      </c>
      <c r="B922" s="1">
        <v>44096</v>
      </c>
      <c r="C922" t="s">
        <v>585</v>
      </c>
      <c r="D922">
        <v>2239.65</v>
      </c>
      <c r="E922">
        <v>2242.3000000000002</v>
      </c>
      <c r="F922">
        <v>2163.4</v>
      </c>
      <c r="G922">
        <v>2213.9499999999998</v>
      </c>
      <c r="H922">
        <v>0</v>
      </c>
      <c r="I922" s="8">
        <f t="shared" si="57"/>
        <v>-1.1783873055549399E-2</v>
      </c>
      <c r="J922" s="8">
        <f t="shared" si="58"/>
        <v>-1.1853853188924896E-2</v>
      </c>
      <c r="K922" s="8">
        <f t="shared" si="55"/>
        <v>0.11281729077657698</v>
      </c>
    </row>
    <row r="923" spans="1:11" x14ac:dyDescent="0.25">
      <c r="A923" t="str">
        <f t="shared" si="56"/>
        <v>92020</v>
      </c>
      <c r="B923" s="1">
        <v>44097</v>
      </c>
      <c r="C923" t="s">
        <v>586</v>
      </c>
      <c r="D923">
        <v>2232.1999999999998</v>
      </c>
      <c r="E923">
        <v>2239.9</v>
      </c>
      <c r="F923">
        <v>2168.9</v>
      </c>
      <c r="G923">
        <v>2205.25</v>
      </c>
      <c r="H923">
        <v>0</v>
      </c>
      <c r="I923" s="8">
        <f t="shared" si="57"/>
        <v>-3.9296280403802175E-3</v>
      </c>
      <c r="J923" s="8">
        <f t="shared" si="58"/>
        <v>-3.9373693155244369E-3</v>
      </c>
      <c r="K923" s="8">
        <f t="shared" si="55"/>
        <v>0.10741456800662874</v>
      </c>
    </row>
    <row r="924" spans="1:11" x14ac:dyDescent="0.25">
      <c r="A924" t="str">
        <f t="shared" si="56"/>
        <v>92020</v>
      </c>
      <c r="B924" s="1">
        <v>44098</v>
      </c>
      <c r="C924" t="s">
        <v>587</v>
      </c>
      <c r="D924">
        <v>2165.5</v>
      </c>
      <c r="E924">
        <v>2172.15</v>
      </c>
      <c r="F924">
        <v>2107.5500000000002</v>
      </c>
      <c r="G924">
        <v>2111.85</v>
      </c>
      <c r="H924">
        <v>0</v>
      </c>
      <c r="I924" s="8">
        <f t="shared" si="57"/>
        <v>-4.2353474662736645E-2</v>
      </c>
      <c r="J924" s="8">
        <f t="shared" si="58"/>
        <v>-4.3276540562230265E-2</v>
      </c>
      <c r="K924" s="8">
        <f t="shared" si="55"/>
        <v>5.7325956892883001E-2</v>
      </c>
    </row>
    <row r="925" spans="1:11" x14ac:dyDescent="0.25">
      <c r="A925" t="str">
        <f t="shared" si="56"/>
        <v>92020</v>
      </c>
      <c r="B925" s="1">
        <v>44099</v>
      </c>
      <c r="C925" t="s">
        <v>588</v>
      </c>
      <c r="D925">
        <v>2134.9499999999998</v>
      </c>
      <c r="E925">
        <v>2180.65</v>
      </c>
      <c r="F925">
        <v>2112.4</v>
      </c>
      <c r="G925">
        <v>2172.65</v>
      </c>
      <c r="H925">
        <v>0</v>
      </c>
      <c r="I925" s="8">
        <f t="shared" si="57"/>
        <v>2.8789923526765682E-2</v>
      </c>
      <c r="J925" s="8">
        <f t="shared" si="58"/>
        <v>2.838328005858461E-2</v>
      </c>
      <c r="K925" s="8">
        <f t="shared" si="55"/>
        <v>7.7169062964799195E-2</v>
      </c>
    </row>
    <row r="926" spans="1:11" x14ac:dyDescent="0.25">
      <c r="A926" t="str">
        <f t="shared" si="56"/>
        <v>92020</v>
      </c>
      <c r="B926" s="1">
        <v>44102</v>
      </c>
      <c r="C926" t="s">
        <v>589</v>
      </c>
      <c r="D926">
        <v>2198.4</v>
      </c>
      <c r="E926">
        <v>2249.1</v>
      </c>
      <c r="F926">
        <v>2189.5500000000002</v>
      </c>
      <c r="G926">
        <v>2237</v>
      </c>
      <c r="H926">
        <v>0</v>
      </c>
      <c r="I926" s="8">
        <f t="shared" si="57"/>
        <v>2.9618208178951999E-2</v>
      </c>
      <c r="J926" s="8">
        <f t="shared" si="58"/>
        <v>2.9188061854899028E-2</v>
      </c>
      <c r="K926" s="8">
        <f t="shared" si="55"/>
        <v>0.11376649240726922</v>
      </c>
    </row>
    <row r="927" spans="1:11" x14ac:dyDescent="0.25">
      <c r="A927" t="str">
        <f t="shared" si="56"/>
        <v>92020</v>
      </c>
      <c r="B927" s="1">
        <v>44103</v>
      </c>
      <c r="C927" t="s">
        <v>590</v>
      </c>
      <c r="D927">
        <v>2253.9499999999998</v>
      </c>
      <c r="E927">
        <v>2293.35</v>
      </c>
      <c r="F927">
        <v>2244.9499999999998</v>
      </c>
      <c r="G927">
        <v>2280.9</v>
      </c>
      <c r="H927">
        <v>0</v>
      </c>
      <c r="I927" s="8">
        <f t="shared" si="57"/>
        <v>1.9624497094322901E-2</v>
      </c>
      <c r="J927" s="8">
        <f t="shared" si="58"/>
        <v>1.9434419412371187E-2</v>
      </c>
      <c r="K927" s="8">
        <f t="shared" si="55"/>
        <v>0.10822826324611912</v>
      </c>
    </row>
    <row r="928" spans="1:11" x14ac:dyDescent="0.25">
      <c r="A928" t="str">
        <f t="shared" si="56"/>
        <v>92020</v>
      </c>
      <c r="B928" s="1">
        <v>44104</v>
      </c>
      <c r="C928" t="s">
        <v>591</v>
      </c>
      <c r="D928">
        <v>2284.75</v>
      </c>
      <c r="E928">
        <v>2285.6999999999998</v>
      </c>
      <c r="F928">
        <v>2228.1999999999998</v>
      </c>
      <c r="G928">
        <v>2242.5500000000002</v>
      </c>
      <c r="H928">
        <v>0</v>
      </c>
      <c r="I928" s="8">
        <f t="shared" si="57"/>
        <v>-1.6813538515498272E-2</v>
      </c>
      <c r="J928" s="8">
        <f t="shared" si="58"/>
        <v>-1.6956490674078041E-2</v>
      </c>
      <c r="K928" s="8">
        <f t="shared" si="55"/>
        <v>0.10874616829823025</v>
      </c>
    </row>
    <row r="929" spans="1:11" x14ac:dyDescent="0.25">
      <c r="A929" t="str">
        <f t="shared" si="56"/>
        <v>102020</v>
      </c>
      <c r="B929" s="1">
        <v>44105</v>
      </c>
      <c r="C929" s="10">
        <v>43840.645833333336</v>
      </c>
      <c r="D929">
        <v>2266.0500000000002</v>
      </c>
      <c r="E929">
        <v>2291.4</v>
      </c>
      <c r="F929">
        <v>2256.65</v>
      </c>
      <c r="G929">
        <v>2261.25</v>
      </c>
      <c r="H929">
        <v>0</v>
      </c>
      <c r="I929" s="8">
        <f t="shared" si="57"/>
        <v>8.3387215446699692E-3</v>
      </c>
      <c r="J929" s="8">
        <f t="shared" si="58"/>
        <v>8.3041464810821152E-3</v>
      </c>
      <c r="K929" s="8">
        <f t="shared" si="55"/>
        <v>0.10073991140534488</v>
      </c>
    </row>
    <row r="930" spans="1:11" x14ac:dyDescent="0.25">
      <c r="A930" t="str">
        <f t="shared" si="56"/>
        <v>102020</v>
      </c>
      <c r="B930" s="1">
        <v>44109</v>
      </c>
      <c r="C930" s="10">
        <v>43961.645833333336</v>
      </c>
      <c r="D930">
        <v>2280.1</v>
      </c>
      <c r="E930">
        <v>2328.1</v>
      </c>
      <c r="F930">
        <v>2276</v>
      </c>
      <c r="G930">
        <v>2318.85</v>
      </c>
      <c r="H930">
        <v>0</v>
      </c>
      <c r="I930" s="8">
        <f t="shared" si="57"/>
        <v>2.547263681592038E-2</v>
      </c>
      <c r="J930" s="8">
        <f t="shared" si="58"/>
        <v>2.5153615400947755E-2</v>
      </c>
      <c r="K930" s="8">
        <f t="shared" si="55"/>
        <v>0.10721959604641151</v>
      </c>
    </row>
    <row r="931" spans="1:11" x14ac:dyDescent="0.25">
      <c r="A931" t="str">
        <f t="shared" si="56"/>
        <v>102020</v>
      </c>
      <c r="B931" s="1">
        <v>44110</v>
      </c>
      <c r="C931" s="10">
        <v>43992.645833333336</v>
      </c>
      <c r="D931">
        <v>2340.0500000000002</v>
      </c>
      <c r="E931">
        <v>2345.65</v>
      </c>
      <c r="F931">
        <v>2290.0500000000002</v>
      </c>
      <c r="G931">
        <v>2302.6999999999998</v>
      </c>
      <c r="H931">
        <v>0</v>
      </c>
      <c r="I931" s="8">
        <f t="shared" si="57"/>
        <v>-6.9646592060720325E-3</v>
      </c>
      <c r="J931" s="8">
        <f t="shared" si="58"/>
        <v>-6.989025646879048E-3</v>
      </c>
      <c r="K931" s="8">
        <f t="shared" si="55"/>
        <v>0.10802617649889323</v>
      </c>
    </row>
    <row r="932" spans="1:11" x14ac:dyDescent="0.25">
      <c r="A932" t="str">
        <f t="shared" si="56"/>
        <v>102020</v>
      </c>
      <c r="B932" s="1">
        <v>44111</v>
      </c>
      <c r="C932" s="10">
        <v>44022.645833333336</v>
      </c>
      <c r="D932">
        <v>2300.3000000000002</v>
      </c>
      <c r="E932">
        <v>2303.9</v>
      </c>
      <c r="F932">
        <v>2256.1999999999998</v>
      </c>
      <c r="G932">
        <v>2267.75</v>
      </c>
      <c r="H932">
        <v>0</v>
      </c>
      <c r="I932" s="8">
        <f t="shared" si="57"/>
        <v>-1.517783471576839E-2</v>
      </c>
      <c r="J932" s="8">
        <f t="shared" si="58"/>
        <v>-1.5294196968520093E-2</v>
      </c>
      <c r="K932" s="8">
        <f t="shared" si="55"/>
        <v>7.7239151604398648E-2</v>
      </c>
    </row>
    <row r="933" spans="1:11" x14ac:dyDescent="0.25">
      <c r="A933" t="str">
        <f t="shared" si="56"/>
        <v>102020</v>
      </c>
      <c r="B933" s="1">
        <v>44112</v>
      </c>
      <c r="C933" s="10">
        <v>44053.645833333336</v>
      </c>
      <c r="D933">
        <v>2276.5</v>
      </c>
      <c r="E933">
        <v>2305.75</v>
      </c>
      <c r="F933">
        <v>2260.1999999999998</v>
      </c>
      <c r="G933">
        <v>2272.4</v>
      </c>
      <c r="H933">
        <v>0</v>
      </c>
      <c r="I933" s="8">
        <f t="shared" si="57"/>
        <v>2.0504905743579105E-3</v>
      </c>
      <c r="J933" s="8">
        <f t="shared" si="58"/>
        <v>2.0483911879183685E-3</v>
      </c>
      <c r="K933" s="8">
        <f t="shared" si="55"/>
        <v>0.10716460815123408</v>
      </c>
    </row>
    <row r="934" spans="1:11" x14ac:dyDescent="0.25">
      <c r="A934" t="str">
        <f t="shared" si="56"/>
        <v>102020</v>
      </c>
      <c r="B934" s="1">
        <v>44113</v>
      </c>
      <c r="C934" s="10">
        <v>44084.645833333336</v>
      </c>
      <c r="D934">
        <v>2286.3000000000002</v>
      </c>
      <c r="E934">
        <v>2322.65</v>
      </c>
      <c r="F934">
        <v>2255.6999999999998</v>
      </c>
      <c r="G934">
        <v>2260.85</v>
      </c>
      <c r="H934">
        <v>0</v>
      </c>
      <c r="I934" s="8">
        <f t="shared" si="57"/>
        <v>-5.0827319133955884E-3</v>
      </c>
      <c r="J934" s="8">
        <f t="shared" si="58"/>
        <v>-5.0956929321557543E-3</v>
      </c>
      <c r="K934" s="8">
        <f t="shared" si="55"/>
        <v>9.9768940775872617E-2</v>
      </c>
    </row>
    <row r="935" spans="1:11" x14ac:dyDescent="0.25">
      <c r="A935" t="str">
        <f t="shared" si="56"/>
        <v>102020</v>
      </c>
      <c r="B935" s="1">
        <v>44116</v>
      </c>
      <c r="C935" s="10">
        <v>44175.645833333336</v>
      </c>
      <c r="D935">
        <v>2279.6</v>
      </c>
      <c r="E935">
        <v>2287.8000000000002</v>
      </c>
      <c r="F935">
        <v>2218.1999999999998</v>
      </c>
      <c r="G935">
        <v>2240.85</v>
      </c>
      <c r="H935">
        <v>0</v>
      </c>
      <c r="I935" s="8">
        <f t="shared" si="57"/>
        <v>-8.8462304000708203E-3</v>
      </c>
      <c r="J935" s="8">
        <f t="shared" si="58"/>
        <v>-8.8855905943801862E-3</v>
      </c>
      <c r="K935" s="8">
        <f t="shared" si="55"/>
        <v>8.2196411754762888E-2</v>
      </c>
    </row>
    <row r="936" spans="1:11" x14ac:dyDescent="0.25">
      <c r="A936" t="str">
        <f t="shared" si="56"/>
        <v>102020</v>
      </c>
      <c r="B936" s="1">
        <v>44117</v>
      </c>
      <c r="C936" t="s">
        <v>592</v>
      </c>
      <c r="D936">
        <v>2238.5</v>
      </c>
      <c r="E936">
        <v>2262.0500000000002</v>
      </c>
      <c r="F936">
        <v>2234</v>
      </c>
      <c r="G936">
        <v>2249.65</v>
      </c>
      <c r="H936">
        <v>0</v>
      </c>
      <c r="I936" s="8">
        <f t="shared" si="57"/>
        <v>3.9270812414933243E-3</v>
      </c>
      <c r="J936" s="8">
        <f t="shared" si="58"/>
        <v>3.919390386454143E-3</v>
      </c>
      <c r="K936" s="8">
        <f t="shared" si="55"/>
        <v>6.9733713742272885E-2</v>
      </c>
    </row>
    <row r="937" spans="1:11" x14ac:dyDescent="0.25">
      <c r="A937" t="str">
        <f t="shared" si="56"/>
        <v>102020</v>
      </c>
      <c r="B937" s="1">
        <v>44118</v>
      </c>
      <c r="C937" t="s">
        <v>593</v>
      </c>
      <c r="D937">
        <v>2247.5</v>
      </c>
      <c r="E937">
        <v>2257.8000000000002</v>
      </c>
      <c r="F937">
        <v>2223.15</v>
      </c>
      <c r="G937">
        <v>2251.9499999999998</v>
      </c>
      <c r="H937">
        <v>0</v>
      </c>
      <c r="I937" s="8">
        <f t="shared" si="57"/>
        <v>1.0223812593068704E-3</v>
      </c>
      <c r="J937" s="8">
        <f t="shared" si="58"/>
        <v>1.0218589835335092E-3</v>
      </c>
      <c r="K937" s="8">
        <f t="shared" si="55"/>
        <v>6.930199430199413E-2</v>
      </c>
    </row>
    <row r="938" spans="1:11" x14ac:dyDescent="0.25">
      <c r="A938" t="str">
        <f t="shared" si="56"/>
        <v>102020</v>
      </c>
      <c r="B938" s="1">
        <v>44119</v>
      </c>
      <c r="C938" t="s">
        <v>594</v>
      </c>
      <c r="D938">
        <v>2266.4</v>
      </c>
      <c r="E938">
        <v>2292.6</v>
      </c>
      <c r="F938">
        <v>2232.6999999999998</v>
      </c>
      <c r="G938">
        <v>2240.9499999999998</v>
      </c>
      <c r="H938">
        <v>0</v>
      </c>
      <c r="I938" s="8">
        <f t="shared" si="57"/>
        <v>-4.8846555207708864E-3</v>
      </c>
      <c r="J938" s="8">
        <f t="shared" si="58"/>
        <v>-4.8966244424957454E-3</v>
      </c>
      <c r="K938" s="8">
        <f t="shared" si="55"/>
        <v>5.7750401208345181E-2</v>
      </c>
    </row>
    <row r="939" spans="1:11" x14ac:dyDescent="0.25">
      <c r="A939" t="str">
        <f t="shared" si="56"/>
        <v>102020</v>
      </c>
      <c r="B939" s="1">
        <v>44120</v>
      </c>
      <c r="C939" t="s">
        <v>595</v>
      </c>
      <c r="D939">
        <v>2252.9</v>
      </c>
      <c r="E939">
        <v>2339.65</v>
      </c>
      <c r="F939">
        <v>2239.75</v>
      </c>
      <c r="G939">
        <v>2329.85</v>
      </c>
      <c r="H939">
        <v>0</v>
      </c>
      <c r="I939" s="8">
        <f t="shared" si="57"/>
        <v>3.967067538320812E-2</v>
      </c>
      <c r="J939" s="8">
        <f t="shared" si="58"/>
        <v>3.8904004721083088E-2</v>
      </c>
      <c r="K939" s="8">
        <f t="shared" si="55"/>
        <v>0.10213108162444717</v>
      </c>
    </row>
    <row r="940" spans="1:11" x14ac:dyDescent="0.25">
      <c r="A940" t="str">
        <f t="shared" si="56"/>
        <v>102020</v>
      </c>
      <c r="B940" s="1">
        <v>44123</v>
      </c>
      <c r="C940" t="s">
        <v>596</v>
      </c>
      <c r="D940">
        <v>2350.6</v>
      </c>
      <c r="E940">
        <v>2374.8000000000002</v>
      </c>
      <c r="F940">
        <v>2323.6</v>
      </c>
      <c r="G940">
        <v>2367.85</v>
      </c>
      <c r="H940">
        <v>0</v>
      </c>
      <c r="I940" s="8">
        <f t="shared" si="57"/>
        <v>1.6310062879584475E-2</v>
      </c>
      <c r="J940" s="8">
        <f t="shared" si="58"/>
        <v>1.6178482597937222E-2</v>
      </c>
      <c r="K940" s="8">
        <f t="shared" si="55"/>
        <v>0.11093647367927173</v>
      </c>
    </row>
    <row r="941" spans="1:11" x14ac:dyDescent="0.25">
      <c r="A941" t="str">
        <f t="shared" si="56"/>
        <v>102020</v>
      </c>
      <c r="B941" s="1">
        <v>44124</v>
      </c>
      <c r="C941" t="s">
        <v>597</v>
      </c>
      <c r="D941">
        <v>2356.25</v>
      </c>
      <c r="E941">
        <v>2374.75</v>
      </c>
      <c r="F941">
        <v>2344.0500000000002</v>
      </c>
      <c r="G941">
        <v>2363.35</v>
      </c>
      <c r="H941">
        <v>0</v>
      </c>
      <c r="I941" s="8">
        <f t="shared" si="57"/>
        <v>-1.9004582215934596E-3</v>
      </c>
      <c r="J941" s="8">
        <f t="shared" si="58"/>
        <v>-1.9022663835735181E-3</v>
      </c>
      <c r="K941" s="8">
        <f t="shared" si="55"/>
        <v>0.13214371257485036</v>
      </c>
    </row>
    <row r="942" spans="1:11" x14ac:dyDescent="0.25">
      <c r="A942" t="str">
        <f t="shared" si="56"/>
        <v>102020</v>
      </c>
      <c r="B942" s="1">
        <v>44125</v>
      </c>
      <c r="C942" t="s">
        <v>598</v>
      </c>
      <c r="D942">
        <v>2376.65</v>
      </c>
      <c r="E942">
        <v>2429.1999999999998</v>
      </c>
      <c r="F942">
        <v>2372.85</v>
      </c>
      <c r="G942">
        <v>2416.0500000000002</v>
      </c>
      <c r="H942">
        <v>0</v>
      </c>
      <c r="I942" s="8">
        <f t="shared" si="57"/>
        <v>2.229885543825505E-2</v>
      </c>
      <c r="J942" s="8">
        <f t="shared" si="58"/>
        <v>2.2053871185423252E-2</v>
      </c>
      <c r="K942" s="8">
        <f t="shared" si="55"/>
        <v>0.15357620320855614</v>
      </c>
    </row>
    <row r="943" spans="1:11" x14ac:dyDescent="0.25">
      <c r="A943" t="str">
        <f t="shared" si="56"/>
        <v>102020</v>
      </c>
      <c r="B943" s="1">
        <v>44126</v>
      </c>
      <c r="C943" t="s">
        <v>599</v>
      </c>
      <c r="D943">
        <v>2409.4</v>
      </c>
      <c r="E943">
        <v>2440.85</v>
      </c>
      <c r="F943">
        <v>2394.75</v>
      </c>
      <c r="G943">
        <v>2432.5</v>
      </c>
      <c r="H943">
        <v>0</v>
      </c>
      <c r="I943" s="8">
        <f t="shared" si="57"/>
        <v>6.8086339272779295E-3</v>
      </c>
      <c r="J943" s="8">
        <f t="shared" si="58"/>
        <v>6.7855598553621813E-3</v>
      </c>
      <c r="K943" s="8">
        <f t="shared" si="55"/>
        <v>0.1359921542987903</v>
      </c>
    </row>
    <row r="944" spans="1:11" x14ac:dyDescent="0.25">
      <c r="A944" t="str">
        <f t="shared" si="56"/>
        <v>102020</v>
      </c>
      <c r="B944" s="1">
        <v>44127</v>
      </c>
      <c r="C944" t="s">
        <v>600</v>
      </c>
      <c r="D944">
        <v>2447.0500000000002</v>
      </c>
      <c r="E944">
        <v>2462.1</v>
      </c>
      <c r="F944">
        <v>2431.5500000000002</v>
      </c>
      <c r="G944">
        <v>2443</v>
      </c>
      <c r="H944">
        <v>0</v>
      </c>
      <c r="I944" s="8">
        <f t="shared" si="57"/>
        <v>4.3165467625898568E-3</v>
      </c>
      <c r="J944" s="8">
        <f t="shared" si="58"/>
        <v>4.30725719758027E-3</v>
      </c>
      <c r="K944" s="8">
        <f t="shared" si="55"/>
        <v>0.13062594006710637</v>
      </c>
    </row>
    <row r="945" spans="1:11" x14ac:dyDescent="0.25">
      <c r="A945" t="str">
        <f t="shared" si="56"/>
        <v>102020</v>
      </c>
      <c r="B945" s="1">
        <v>44130</v>
      </c>
      <c r="C945" t="s">
        <v>601</v>
      </c>
      <c r="D945">
        <v>2432.8000000000002</v>
      </c>
      <c r="E945">
        <v>2434.75</v>
      </c>
      <c r="F945">
        <v>2331.4</v>
      </c>
      <c r="G945">
        <v>2357.5500000000002</v>
      </c>
      <c r="H945">
        <v>0</v>
      </c>
      <c r="I945" s="8">
        <f t="shared" si="57"/>
        <v>-3.4977486696684323E-2</v>
      </c>
      <c r="J945" s="8">
        <f t="shared" si="58"/>
        <v>-3.5603848067292276E-2</v>
      </c>
      <c r="K945" s="8">
        <f t="shared" si="55"/>
        <v>0.10416130014284719</v>
      </c>
    </row>
    <row r="946" spans="1:11" x14ac:dyDescent="0.25">
      <c r="A946" t="str">
        <f t="shared" si="56"/>
        <v>102020</v>
      </c>
      <c r="B946" s="1">
        <v>44131</v>
      </c>
      <c r="C946" t="s">
        <v>602</v>
      </c>
      <c r="D946">
        <v>2355.9</v>
      </c>
      <c r="E946">
        <v>2376.85</v>
      </c>
      <c r="F946">
        <v>2328.75</v>
      </c>
      <c r="G946">
        <v>2359.6</v>
      </c>
      <c r="H946">
        <v>0</v>
      </c>
      <c r="I946" s="8">
        <f t="shared" si="57"/>
        <v>8.695467752537489E-4</v>
      </c>
      <c r="J946" s="8">
        <f t="shared" si="58"/>
        <v>8.6916893847187782E-4</v>
      </c>
      <c r="K946" s="8">
        <f t="shared" si="55"/>
        <v>9.8868346295347465E-2</v>
      </c>
    </row>
    <row r="947" spans="1:11" x14ac:dyDescent="0.25">
      <c r="A947" t="str">
        <f t="shared" si="56"/>
        <v>102020</v>
      </c>
      <c r="B947" s="1">
        <v>44132</v>
      </c>
      <c r="C947" t="s">
        <v>603</v>
      </c>
      <c r="D947">
        <v>2360.9499999999998</v>
      </c>
      <c r="E947">
        <v>2385.6999999999998</v>
      </c>
      <c r="F947">
        <v>2315.75</v>
      </c>
      <c r="G947">
        <v>2325.4</v>
      </c>
      <c r="H947">
        <v>0</v>
      </c>
      <c r="I947" s="8">
        <f t="shared" si="57"/>
        <v>-1.4493982030852615E-2</v>
      </c>
      <c r="J947" s="8">
        <f t="shared" si="58"/>
        <v>-1.4600045894412331E-2</v>
      </c>
      <c r="K947" s="8">
        <f t="shared" si="55"/>
        <v>7.8496394035665329E-2</v>
      </c>
    </row>
    <row r="948" spans="1:11" x14ac:dyDescent="0.25">
      <c r="A948" t="str">
        <f t="shared" si="56"/>
        <v>102020</v>
      </c>
      <c r="B948" s="1">
        <v>44133</v>
      </c>
      <c r="C948" t="s">
        <v>604</v>
      </c>
      <c r="D948">
        <v>2305.5</v>
      </c>
      <c r="E948">
        <v>2323.15</v>
      </c>
      <c r="F948">
        <v>2279.4499999999998</v>
      </c>
      <c r="G948">
        <v>2307.6999999999998</v>
      </c>
      <c r="H948">
        <v>0</v>
      </c>
      <c r="I948" s="8">
        <f t="shared" si="57"/>
        <v>-7.6115937043090831E-3</v>
      </c>
      <c r="J948" s="8">
        <f t="shared" si="58"/>
        <v>-7.6407097239744697E-3</v>
      </c>
      <c r="K948" s="8">
        <f t="shared" si="55"/>
        <v>5.9866351298596854E-2</v>
      </c>
    </row>
    <row r="949" spans="1:11" x14ac:dyDescent="0.25">
      <c r="A949" t="str">
        <f t="shared" si="56"/>
        <v>102020</v>
      </c>
      <c r="B949" s="1">
        <v>44134</v>
      </c>
      <c r="C949" t="s">
        <v>605</v>
      </c>
      <c r="D949">
        <v>2315.5</v>
      </c>
      <c r="E949">
        <v>2354.4</v>
      </c>
      <c r="F949">
        <v>2295.65</v>
      </c>
      <c r="G949">
        <v>2343.6</v>
      </c>
      <c r="H949">
        <v>0</v>
      </c>
      <c r="I949" s="8">
        <f t="shared" si="57"/>
        <v>1.5556614811284009E-2</v>
      </c>
      <c r="J949" s="8">
        <f t="shared" si="58"/>
        <v>1.5436851160100124E-2</v>
      </c>
      <c r="K949" s="8">
        <f t="shared" si="55"/>
        <v>3.5250463821892231E-2</v>
      </c>
    </row>
    <row r="950" spans="1:11" x14ac:dyDescent="0.25">
      <c r="A950" t="str">
        <f t="shared" si="56"/>
        <v>112020</v>
      </c>
      <c r="B950" s="1">
        <v>44137</v>
      </c>
      <c r="C950" s="10">
        <v>43872.645833333336</v>
      </c>
      <c r="D950">
        <v>2350.8000000000002</v>
      </c>
      <c r="E950">
        <v>2354.85</v>
      </c>
      <c r="F950">
        <v>2325.1999999999998</v>
      </c>
      <c r="G950">
        <v>2338.9</v>
      </c>
      <c r="H950">
        <v>0</v>
      </c>
      <c r="I950" s="8">
        <f t="shared" si="57"/>
        <v>-2.0054616828809602E-3</v>
      </c>
      <c r="J950" s="8">
        <f t="shared" si="58"/>
        <v>-2.0074753137851961E-3</v>
      </c>
      <c r="K950" s="8">
        <f t="shared" si="55"/>
        <v>1.9239568580455391E-2</v>
      </c>
    </row>
    <row r="951" spans="1:11" x14ac:dyDescent="0.25">
      <c r="A951" t="str">
        <f t="shared" si="56"/>
        <v>112020</v>
      </c>
      <c r="B951" s="1">
        <v>44138</v>
      </c>
      <c r="C951" s="10">
        <v>43901.645833333336</v>
      </c>
      <c r="D951">
        <v>2355.6</v>
      </c>
      <c r="E951">
        <v>2396.35</v>
      </c>
      <c r="F951">
        <v>2354.9499999999998</v>
      </c>
      <c r="G951">
        <v>2391.1999999999998</v>
      </c>
      <c r="H951">
        <v>0</v>
      </c>
      <c r="I951" s="8">
        <f t="shared" si="57"/>
        <v>2.2360938902902916E-2</v>
      </c>
      <c r="J951" s="8">
        <f t="shared" si="58"/>
        <v>2.2114598612879663E-2</v>
      </c>
      <c r="K951" s="8">
        <f t="shared" si="55"/>
        <v>3.3205867738241857E-2</v>
      </c>
    </row>
    <row r="952" spans="1:11" x14ac:dyDescent="0.25">
      <c r="A952" t="str">
        <f t="shared" si="56"/>
        <v>112020</v>
      </c>
      <c r="B952" s="1">
        <v>44139</v>
      </c>
      <c r="C952" s="10">
        <v>43932.645833333336</v>
      </c>
      <c r="D952">
        <v>2389.3000000000002</v>
      </c>
      <c r="E952">
        <v>2413.5</v>
      </c>
      <c r="F952">
        <v>2362.65</v>
      </c>
      <c r="G952">
        <v>2383.8000000000002</v>
      </c>
      <c r="H952">
        <v>0</v>
      </c>
      <c r="I952" s="8">
        <f t="shared" si="57"/>
        <v>-3.0946804951487161E-3</v>
      </c>
      <c r="J952" s="8">
        <f t="shared" si="58"/>
        <v>-3.0994789211196802E-3</v>
      </c>
      <c r="K952" s="8">
        <f t="shared" si="55"/>
        <v>2.2212692967410019E-2</v>
      </c>
    </row>
    <row r="953" spans="1:11" x14ac:dyDescent="0.25">
      <c r="A953" t="str">
        <f t="shared" si="56"/>
        <v>112020</v>
      </c>
      <c r="B953" s="1">
        <v>44140</v>
      </c>
      <c r="C953" s="10">
        <v>43962.645833333336</v>
      </c>
      <c r="D953">
        <v>2416</v>
      </c>
      <c r="E953">
        <v>2497.15</v>
      </c>
      <c r="F953">
        <v>2402.3000000000002</v>
      </c>
      <c r="G953">
        <v>2488.65</v>
      </c>
      <c r="H953">
        <v>0</v>
      </c>
      <c r="I953" s="8">
        <f t="shared" si="57"/>
        <v>4.3984394663981741E-2</v>
      </c>
      <c r="J953" s="8">
        <f t="shared" si="58"/>
        <v>4.3044541708865659E-2</v>
      </c>
      <c r="K953" s="8">
        <f t="shared" si="55"/>
        <v>4.9775378060869402E-2</v>
      </c>
    </row>
    <row r="954" spans="1:11" x14ac:dyDescent="0.25">
      <c r="A954" t="str">
        <f t="shared" si="56"/>
        <v>112020</v>
      </c>
      <c r="B954" s="1">
        <v>44141</v>
      </c>
      <c r="C954" s="10">
        <v>43993.645833333336</v>
      </c>
      <c r="D954">
        <v>2486.35</v>
      </c>
      <c r="E954">
        <v>2512.5</v>
      </c>
      <c r="F954">
        <v>2475</v>
      </c>
      <c r="G954">
        <v>2500.35</v>
      </c>
      <c r="H954">
        <v>0</v>
      </c>
      <c r="I954" s="8">
        <f t="shared" si="57"/>
        <v>4.7013441022241143E-3</v>
      </c>
      <c r="J954" s="8">
        <f t="shared" si="58"/>
        <v>4.6903272997326521E-3</v>
      </c>
      <c r="K954" s="8">
        <f t="shared" si="55"/>
        <v>6.1809920163071075E-2</v>
      </c>
    </row>
    <row r="955" spans="1:11" x14ac:dyDescent="0.25">
      <c r="A955" t="str">
        <f t="shared" si="56"/>
        <v>112020</v>
      </c>
      <c r="B955" s="1">
        <v>44144</v>
      </c>
      <c r="C955" s="10">
        <v>44085.645833333336</v>
      </c>
      <c r="D955">
        <v>2525.65</v>
      </c>
      <c r="E955">
        <v>2551.4499999999998</v>
      </c>
      <c r="F955">
        <v>2502.1999999999998</v>
      </c>
      <c r="G955">
        <v>2545.25</v>
      </c>
      <c r="H955">
        <v>0</v>
      </c>
      <c r="I955" s="8">
        <f t="shared" si="57"/>
        <v>1.7957485951966667E-2</v>
      </c>
      <c r="J955" s="8">
        <f t="shared" si="58"/>
        <v>1.7798154930098366E-2</v>
      </c>
      <c r="K955" s="8">
        <f t="shared" si="55"/>
        <v>6.9140780879171526E-2</v>
      </c>
    </row>
    <row r="956" spans="1:11" x14ac:dyDescent="0.25">
      <c r="A956" t="str">
        <f t="shared" si="56"/>
        <v>112020</v>
      </c>
      <c r="B956" s="1">
        <v>44145</v>
      </c>
      <c r="C956" s="10">
        <v>44115.645833333336</v>
      </c>
      <c r="D956">
        <v>2560.85</v>
      </c>
      <c r="E956">
        <v>2577.0500000000002</v>
      </c>
      <c r="F956">
        <v>2531.1999999999998</v>
      </c>
      <c r="G956">
        <v>2556.6999999999998</v>
      </c>
      <c r="H956">
        <v>0</v>
      </c>
      <c r="I956" s="8">
        <f t="shared" si="57"/>
        <v>4.4985757784106184E-3</v>
      </c>
      <c r="J956" s="8">
        <f t="shared" si="58"/>
        <v>4.4884874305433989E-3</v>
      </c>
      <c r="K956" s="8">
        <f t="shared" si="55"/>
        <v>6.2723418405519871E-2</v>
      </c>
    </row>
    <row r="957" spans="1:11" x14ac:dyDescent="0.25">
      <c r="A957" t="str">
        <f t="shared" si="56"/>
        <v>112020</v>
      </c>
      <c r="B957" s="1">
        <v>44146</v>
      </c>
      <c r="C957" s="10">
        <v>44146.645833333336</v>
      </c>
      <c r="D957">
        <v>2562.6</v>
      </c>
      <c r="E957">
        <v>2662.1</v>
      </c>
      <c r="F957">
        <v>2547.85</v>
      </c>
      <c r="G957">
        <v>2645.05</v>
      </c>
      <c r="H957">
        <v>0</v>
      </c>
      <c r="I957" s="8">
        <f t="shared" si="57"/>
        <v>3.4556263933977593E-2</v>
      </c>
      <c r="J957" s="8">
        <f t="shared" si="58"/>
        <v>3.3972604287563074E-2</v>
      </c>
      <c r="K957" s="8">
        <f t="shared" si="55"/>
        <v>7.3369179263467643E-2</v>
      </c>
    </row>
    <row r="958" spans="1:11" x14ac:dyDescent="0.25">
      <c r="A958" t="str">
        <f t="shared" si="56"/>
        <v>112020</v>
      </c>
      <c r="B958" s="1">
        <v>44147</v>
      </c>
      <c r="C958" s="10">
        <v>44176.645833333336</v>
      </c>
      <c r="D958">
        <v>2649.9</v>
      </c>
      <c r="E958">
        <v>2658.15</v>
      </c>
      <c r="F958">
        <v>2614.4</v>
      </c>
      <c r="G958">
        <v>2636.9</v>
      </c>
      <c r="H958">
        <v>0</v>
      </c>
      <c r="I958" s="8">
        <f t="shared" si="57"/>
        <v>-3.0812271979736572E-3</v>
      </c>
      <c r="J958" s="8">
        <f t="shared" si="58"/>
        <v>-3.0859839521029326E-3</v>
      </c>
      <c r="K958" s="8">
        <f t="shared" si="55"/>
        <v>5.1605184446660068E-2</v>
      </c>
    </row>
    <row r="959" spans="1:11" x14ac:dyDescent="0.25">
      <c r="A959" t="str">
        <f t="shared" si="56"/>
        <v>112020</v>
      </c>
      <c r="B959" s="1">
        <v>44148</v>
      </c>
      <c r="C959" t="s">
        <v>606</v>
      </c>
      <c r="D959">
        <v>2626.45</v>
      </c>
      <c r="E959">
        <v>2684.45</v>
      </c>
      <c r="F959">
        <v>2606.25</v>
      </c>
      <c r="G959">
        <v>2681</v>
      </c>
      <c r="H959">
        <v>0</v>
      </c>
      <c r="I959" s="8">
        <f t="shared" si="57"/>
        <v>1.6724183700557393E-2</v>
      </c>
      <c r="J959" s="8">
        <f t="shared" si="58"/>
        <v>1.6585874482650528E-2</v>
      </c>
      <c r="K959" s="8">
        <f t="shared" si="55"/>
        <v>6.6788691482800422E-2</v>
      </c>
    </row>
    <row r="960" spans="1:11" x14ac:dyDescent="0.25">
      <c r="A960" t="str">
        <f t="shared" si="56"/>
        <v>112020</v>
      </c>
      <c r="B960" s="1">
        <v>44152</v>
      </c>
      <c r="C960" t="s">
        <v>607</v>
      </c>
      <c r="D960">
        <v>2723.15</v>
      </c>
      <c r="E960">
        <v>2777.55</v>
      </c>
      <c r="F960">
        <v>2718.8</v>
      </c>
      <c r="G960">
        <v>2761.35</v>
      </c>
      <c r="H960">
        <v>0</v>
      </c>
      <c r="I960" s="8">
        <f t="shared" si="57"/>
        <v>2.9970160387915001E-2</v>
      </c>
      <c r="J960" s="8">
        <f t="shared" si="58"/>
        <v>2.9529831324721544E-2</v>
      </c>
      <c r="K960" s="8">
        <f t="shared" ref="K960:K1023" si="59">+G960/G899-1</f>
        <v>8.7616684390877886E-2</v>
      </c>
    </row>
    <row r="961" spans="1:11" x14ac:dyDescent="0.25">
      <c r="A961" t="str">
        <f t="shared" si="56"/>
        <v>112020</v>
      </c>
      <c r="B961" s="1">
        <v>44153</v>
      </c>
      <c r="C961" t="s">
        <v>608</v>
      </c>
      <c r="D961">
        <v>2749.45</v>
      </c>
      <c r="E961">
        <v>2776.8</v>
      </c>
      <c r="F961">
        <v>2732.85</v>
      </c>
      <c r="G961">
        <v>2772.5</v>
      </c>
      <c r="H961">
        <v>0</v>
      </c>
      <c r="I961" s="8">
        <f t="shared" si="57"/>
        <v>4.0378800224527556E-3</v>
      </c>
      <c r="J961" s="8">
        <f t="shared" si="58"/>
        <v>4.0297496638412745E-3</v>
      </c>
      <c r="K961" s="8">
        <f t="shared" si="59"/>
        <v>9.8628942780155437E-2</v>
      </c>
    </row>
    <row r="962" spans="1:11" x14ac:dyDescent="0.25">
      <c r="A962" t="str">
        <f t="shared" si="56"/>
        <v>112020</v>
      </c>
      <c r="B962" s="1">
        <v>44154</v>
      </c>
      <c r="C962" t="s">
        <v>609</v>
      </c>
      <c r="D962">
        <v>2757.1</v>
      </c>
      <c r="E962">
        <v>2828.2</v>
      </c>
      <c r="F962">
        <v>2743.55</v>
      </c>
      <c r="G962">
        <v>2752.65</v>
      </c>
      <c r="H962">
        <v>0</v>
      </c>
      <c r="I962" s="8">
        <f t="shared" si="57"/>
        <v>-7.1596032461677117E-3</v>
      </c>
      <c r="J962" s="8">
        <f t="shared" si="58"/>
        <v>-7.1853561997288363E-3</v>
      </c>
      <c r="K962" s="8">
        <f t="shared" si="59"/>
        <v>8.9683702149558675E-2</v>
      </c>
    </row>
    <row r="963" spans="1:11" x14ac:dyDescent="0.25">
      <c r="A963" t="str">
        <f t="shared" ref="A963:A1026" si="60">+MONTH(B963)&amp;YEAR(B963)</f>
        <v>112020</v>
      </c>
      <c r="B963" s="1">
        <v>44155</v>
      </c>
      <c r="C963" t="s">
        <v>610</v>
      </c>
      <c r="D963">
        <v>2765.65</v>
      </c>
      <c r="E963">
        <v>2809.9</v>
      </c>
      <c r="F963">
        <v>2732.85</v>
      </c>
      <c r="G963">
        <v>2774.75</v>
      </c>
      <c r="H963">
        <v>0</v>
      </c>
      <c r="I963" s="8">
        <f t="shared" si="57"/>
        <v>8.0286269594753712E-3</v>
      </c>
      <c r="J963" s="8">
        <f t="shared" si="58"/>
        <v>7.9965690072955828E-3</v>
      </c>
      <c r="K963" s="8">
        <f t="shared" si="59"/>
        <v>0.10658025922233305</v>
      </c>
    </row>
    <row r="964" spans="1:11" x14ac:dyDescent="0.25">
      <c r="A964" t="str">
        <f t="shared" si="60"/>
        <v>112020</v>
      </c>
      <c r="B964" s="1">
        <v>44158</v>
      </c>
      <c r="C964" t="s">
        <v>611</v>
      </c>
      <c r="D964">
        <v>2792.9</v>
      </c>
      <c r="E964">
        <v>2820</v>
      </c>
      <c r="F964">
        <v>2779.5</v>
      </c>
      <c r="G964">
        <v>2808.6</v>
      </c>
      <c r="H964">
        <v>0</v>
      </c>
      <c r="I964" s="8">
        <f t="shared" ref="I964:I1027" si="61">+G964/G963-1</f>
        <v>1.2199297233985051E-2</v>
      </c>
      <c r="J964" s="8">
        <f t="shared" ref="J964:J1027" si="62">+LN(1+I964)</f>
        <v>1.2125485501991017E-2</v>
      </c>
      <c r="K964" s="8">
        <f t="shared" si="59"/>
        <v>0.11108473771659133</v>
      </c>
    </row>
    <row r="965" spans="1:11" x14ac:dyDescent="0.25">
      <c r="A965" t="str">
        <f t="shared" si="60"/>
        <v>112020</v>
      </c>
      <c r="B965" s="1">
        <v>44159</v>
      </c>
      <c r="C965" t="s">
        <v>612</v>
      </c>
      <c r="D965">
        <v>2827.5</v>
      </c>
      <c r="E965">
        <v>2846.75</v>
      </c>
      <c r="F965">
        <v>2803.25</v>
      </c>
      <c r="G965">
        <v>2839.15</v>
      </c>
      <c r="H965">
        <v>0</v>
      </c>
      <c r="I965" s="8">
        <f t="shared" si="61"/>
        <v>1.087730541907006E-2</v>
      </c>
      <c r="J965" s="8">
        <f t="shared" si="62"/>
        <v>1.081857304860487E-2</v>
      </c>
      <c r="K965" s="8">
        <f t="shared" si="59"/>
        <v>0.12172813654412207</v>
      </c>
    </row>
    <row r="966" spans="1:11" x14ac:dyDescent="0.25">
      <c r="A966" t="str">
        <f t="shared" si="60"/>
        <v>112020</v>
      </c>
      <c r="B966" s="1">
        <v>44160</v>
      </c>
      <c r="C966" t="s">
        <v>613</v>
      </c>
      <c r="D966">
        <v>2850.65</v>
      </c>
      <c r="E966">
        <v>2873.65</v>
      </c>
      <c r="F966">
        <v>2808.4</v>
      </c>
      <c r="G966">
        <v>2816.55</v>
      </c>
      <c r="H966">
        <v>0</v>
      </c>
      <c r="I966" s="8">
        <f t="shared" si="61"/>
        <v>-7.9601289118221841E-3</v>
      </c>
      <c r="J966" s="8">
        <f t="shared" si="62"/>
        <v>-7.9919798757548295E-3</v>
      </c>
      <c r="K966" s="8">
        <f t="shared" si="59"/>
        <v>0.11752335985081452</v>
      </c>
    </row>
    <row r="967" spans="1:11" x14ac:dyDescent="0.25">
      <c r="A967" t="str">
        <f t="shared" si="60"/>
        <v>112020</v>
      </c>
      <c r="B967" s="1">
        <v>44161</v>
      </c>
      <c r="C967" t="s">
        <v>614</v>
      </c>
      <c r="D967">
        <v>2829</v>
      </c>
      <c r="E967">
        <v>2933.7</v>
      </c>
      <c r="F967">
        <v>2804.3</v>
      </c>
      <c r="G967">
        <v>2925.05</v>
      </c>
      <c r="H967">
        <v>0</v>
      </c>
      <c r="I967" s="8">
        <f t="shared" si="61"/>
        <v>3.8522305657630707E-2</v>
      </c>
      <c r="J967" s="8">
        <f t="shared" si="62"/>
        <v>3.7798842830019906E-2</v>
      </c>
      <c r="K967" s="8">
        <f t="shared" si="59"/>
        <v>0.20839874411302994</v>
      </c>
    </row>
    <row r="968" spans="1:11" x14ac:dyDescent="0.25">
      <c r="A968" t="str">
        <f t="shared" si="60"/>
        <v>112020</v>
      </c>
      <c r="B968" s="1">
        <v>44162</v>
      </c>
      <c r="C968" t="s">
        <v>615</v>
      </c>
      <c r="D968">
        <v>2934.75</v>
      </c>
      <c r="E968">
        <v>2963.75</v>
      </c>
      <c r="F968">
        <v>2903.35</v>
      </c>
      <c r="G968">
        <v>2925.75</v>
      </c>
      <c r="H968">
        <v>0</v>
      </c>
      <c r="I968" s="8">
        <f t="shared" si="61"/>
        <v>2.3931214851025118E-4</v>
      </c>
      <c r="J968" s="8">
        <f t="shared" si="62"/>
        <v>2.3928351792571227E-4</v>
      </c>
      <c r="K968" s="8">
        <f t="shared" si="59"/>
        <v>0.17182337038149598</v>
      </c>
    </row>
    <row r="969" spans="1:11" x14ac:dyDescent="0.25">
      <c r="A969" t="str">
        <f t="shared" si="60"/>
        <v>122020</v>
      </c>
      <c r="B969" s="1">
        <v>44166</v>
      </c>
      <c r="C969" s="10">
        <v>43842.645833333336</v>
      </c>
      <c r="D969">
        <v>2968.85</v>
      </c>
      <c r="E969">
        <v>2982.4</v>
      </c>
      <c r="F969">
        <v>2935.7</v>
      </c>
      <c r="G969">
        <v>2974.05</v>
      </c>
      <c r="H969">
        <v>0</v>
      </c>
      <c r="I969" s="8">
        <f t="shared" si="61"/>
        <v>1.6508587541655961E-2</v>
      </c>
      <c r="J969" s="8">
        <f t="shared" si="62"/>
        <v>1.6373802197805598E-2</v>
      </c>
      <c r="K969" s="8">
        <f t="shared" si="59"/>
        <v>0.1702638361500779</v>
      </c>
    </row>
    <row r="970" spans="1:11" x14ac:dyDescent="0.25">
      <c r="A970" t="str">
        <f t="shared" si="60"/>
        <v>122020</v>
      </c>
      <c r="B970" s="1">
        <v>44167</v>
      </c>
      <c r="C970" s="10">
        <v>43873.645833333336</v>
      </c>
      <c r="D970">
        <v>2978.75</v>
      </c>
      <c r="E970">
        <v>3061.55</v>
      </c>
      <c r="F970">
        <v>2977.8</v>
      </c>
      <c r="G970">
        <v>3050.2</v>
      </c>
      <c r="H970">
        <v>0</v>
      </c>
      <c r="I970" s="8">
        <f t="shared" si="61"/>
        <v>2.5604814982935542E-2</v>
      </c>
      <c r="J970" s="8">
        <f t="shared" si="62"/>
        <v>2.5282501969402019E-2</v>
      </c>
      <c r="K970" s="8">
        <f t="shared" si="59"/>
        <v>0.20690064495706872</v>
      </c>
    </row>
    <row r="971" spans="1:11" x14ac:dyDescent="0.25">
      <c r="A971" t="str">
        <f t="shared" si="60"/>
        <v>122020</v>
      </c>
      <c r="B971" s="1">
        <v>44168</v>
      </c>
      <c r="C971" s="10">
        <v>43902.645833333336</v>
      </c>
      <c r="D971">
        <v>3076.05</v>
      </c>
      <c r="E971">
        <v>3132</v>
      </c>
      <c r="F971">
        <v>3070.7</v>
      </c>
      <c r="G971">
        <v>3126.1</v>
      </c>
      <c r="H971">
        <v>0</v>
      </c>
      <c r="I971" s="8">
        <f t="shared" si="61"/>
        <v>2.4883614189233461E-2</v>
      </c>
      <c r="J971" s="8">
        <f t="shared" si="62"/>
        <v>2.457905901095267E-2</v>
      </c>
      <c r="K971" s="8">
        <f t="shared" si="59"/>
        <v>0.27525649132110885</v>
      </c>
    </row>
    <row r="972" spans="1:11" x14ac:dyDescent="0.25">
      <c r="A972" t="str">
        <f t="shared" si="60"/>
        <v>122020</v>
      </c>
      <c r="B972" s="1">
        <v>44169</v>
      </c>
      <c r="C972" s="10">
        <v>43933.645833333336</v>
      </c>
      <c r="D972">
        <v>3144.7</v>
      </c>
      <c r="E972">
        <v>3193.55</v>
      </c>
      <c r="F972">
        <v>3100.55</v>
      </c>
      <c r="G972">
        <v>3161.35</v>
      </c>
      <c r="H972">
        <v>0</v>
      </c>
      <c r="I972" s="8">
        <f t="shared" si="61"/>
        <v>1.1276030837145345E-2</v>
      </c>
      <c r="J972" s="8">
        <f t="shared" si="62"/>
        <v>1.1212930307368325E-2</v>
      </c>
      <c r="K972" s="8">
        <f t="shared" si="59"/>
        <v>0.29032060570192431</v>
      </c>
    </row>
    <row r="973" spans="1:11" x14ac:dyDescent="0.25">
      <c r="A973" t="str">
        <f t="shared" si="60"/>
        <v>122020</v>
      </c>
      <c r="B973" s="1">
        <v>44172</v>
      </c>
      <c r="C973" s="10">
        <v>44024.645833333336</v>
      </c>
      <c r="D973">
        <v>3168.25</v>
      </c>
      <c r="E973">
        <v>3202.35</v>
      </c>
      <c r="F973">
        <v>3142.95</v>
      </c>
      <c r="G973">
        <v>3161.2</v>
      </c>
      <c r="H973">
        <v>0</v>
      </c>
      <c r="I973" s="8">
        <f t="shared" si="61"/>
        <v>-4.7448083888235182E-5</v>
      </c>
      <c r="J973" s="8">
        <f t="shared" si="62"/>
        <v>-4.7449209584175731E-5</v>
      </c>
      <c r="K973" s="8">
        <f t="shared" si="59"/>
        <v>0.32999558238845528</v>
      </c>
    </row>
    <row r="974" spans="1:11" x14ac:dyDescent="0.25">
      <c r="A974" t="str">
        <f t="shared" si="60"/>
        <v>122020</v>
      </c>
      <c r="B974" s="1">
        <v>44173</v>
      </c>
      <c r="C974" s="10">
        <v>44055.645833333336</v>
      </c>
      <c r="D974">
        <v>3173.35</v>
      </c>
      <c r="E974">
        <v>3182.05</v>
      </c>
      <c r="F974">
        <v>3083.1</v>
      </c>
      <c r="G974">
        <v>3122.35</v>
      </c>
      <c r="H974">
        <v>0</v>
      </c>
      <c r="I974" s="8">
        <f t="shared" si="61"/>
        <v>-1.2289636846766983E-2</v>
      </c>
      <c r="J974" s="8">
        <f t="shared" si="62"/>
        <v>-1.2365778915714411E-2</v>
      </c>
      <c r="K974" s="8">
        <f t="shared" si="59"/>
        <v>0.30249874853996328</v>
      </c>
    </row>
    <row r="975" spans="1:11" x14ac:dyDescent="0.25">
      <c r="A975" t="str">
        <f t="shared" si="60"/>
        <v>122020</v>
      </c>
      <c r="B975" s="1">
        <v>44174</v>
      </c>
      <c r="C975" s="10">
        <v>44086.645833333336</v>
      </c>
      <c r="D975">
        <v>3146.9</v>
      </c>
      <c r="E975">
        <v>3152.95</v>
      </c>
      <c r="F975">
        <v>3101.85</v>
      </c>
      <c r="G975">
        <v>3105.9</v>
      </c>
      <c r="H975">
        <v>0</v>
      </c>
      <c r="I975" s="8">
        <f t="shared" si="61"/>
        <v>-5.2684676605760927E-3</v>
      </c>
      <c r="J975" s="8">
        <f t="shared" si="62"/>
        <v>-5.2823949749285894E-3</v>
      </c>
      <c r="K975" s="8">
        <f t="shared" si="59"/>
        <v>0.31061692969870869</v>
      </c>
    </row>
    <row r="976" spans="1:11" x14ac:dyDescent="0.25">
      <c r="A976" t="str">
        <f t="shared" si="60"/>
        <v>122020</v>
      </c>
      <c r="B976" s="1">
        <v>44175</v>
      </c>
      <c r="C976" s="10">
        <v>44116.645833333336</v>
      </c>
      <c r="D976">
        <v>3099.9</v>
      </c>
      <c r="E976">
        <v>3123.95</v>
      </c>
      <c r="F976">
        <v>3056.7</v>
      </c>
      <c r="G976">
        <v>3113.05</v>
      </c>
      <c r="H976">
        <v>0</v>
      </c>
      <c r="I976" s="8">
        <f t="shared" si="61"/>
        <v>2.3020702533886883E-3</v>
      </c>
      <c r="J976" s="8">
        <f t="shared" si="62"/>
        <v>2.2994245492827456E-3</v>
      </c>
      <c r="K976" s="8">
        <f t="shared" si="59"/>
        <v>0.30564526276055859</v>
      </c>
    </row>
    <row r="977" spans="1:11" x14ac:dyDescent="0.25">
      <c r="A977" t="str">
        <f t="shared" si="60"/>
        <v>122020</v>
      </c>
      <c r="B977" s="1">
        <v>44176</v>
      </c>
      <c r="C977" s="10">
        <v>44147.645833333336</v>
      </c>
      <c r="D977">
        <v>3127.45</v>
      </c>
      <c r="E977">
        <v>3178.75</v>
      </c>
      <c r="F977">
        <v>3126.75</v>
      </c>
      <c r="G977">
        <v>3146.1</v>
      </c>
      <c r="H977">
        <v>0</v>
      </c>
      <c r="I977" s="8">
        <f t="shared" si="61"/>
        <v>1.0616597870255706E-2</v>
      </c>
      <c r="J977" s="8">
        <f t="shared" si="62"/>
        <v>1.0560637519009099E-2</v>
      </c>
      <c r="K977" s="8">
        <f t="shared" si="59"/>
        <v>0.31798663622462864</v>
      </c>
    </row>
    <row r="978" spans="1:11" x14ac:dyDescent="0.25">
      <c r="A978" t="str">
        <f t="shared" si="60"/>
        <v>122020</v>
      </c>
      <c r="B978" s="1">
        <v>44179</v>
      </c>
      <c r="C978" t="s">
        <v>616</v>
      </c>
      <c r="D978">
        <v>3178.05</v>
      </c>
      <c r="E978">
        <v>3220.65</v>
      </c>
      <c r="F978">
        <v>3173.5</v>
      </c>
      <c r="G978">
        <v>3189.5</v>
      </c>
      <c r="H978">
        <v>0</v>
      </c>
      <c r="I978" s="8">
        <f t="shared" si="61"/>
        <v>1.3794857124694193E-2</v>
      </c>
      <c r="J978" s="8">
        <f t="shared" si="62"/>
        <v>1.3700574173540992E-2</v>
      </c>
      <c r="K978" s="8">
        <f t="shared" si="59"/>
        <v>0.33700823709417116</v>
      </c>
    </row>
    <row r="979" spans="1:11" x14ac:dyDescent="0.25">
      <c r="A979" t="str">
        <f t="shared" si="60"/>
        <v>122020</v>
      </c>
      <c r="B979" s="1">
        <v>44180</v>
      </c>
      <c r="C979" t="s">
        <v>617</v>
      </c>
      <c r="D979">
        <v>3188.7</v>
      </c>
      <c r="E979">
        <v>3219.55</v>
      </c>
      <c r="F979">
        <v>3150.6</v>
      </c>
      <c r="G979">
        <v>3214.15</v>
      </c>
      <c r="H979">
        <v>0</v>
      </c>
      <c r="I979" s="8">
        <f t="shared" si="61"/>
        <v>7.7284840884150885E-3</v>
      </c>
      <c r="J979" s="8">
        <f t="shared" si="62"/>
        <v>7.6987723415828354E-3</v>
      </c>
      <c r="K979" s="8">
        <f t="shared" si="59"/>
        <v>0.34126901329104697</v>
      </c>
    </row>
    <row r="980" spans="1:11" x14ac:dyDescent="0.25">
      <c r="A980" t="str">
        <f t="shared" si="60"/>
        <v>122020</v>
      </c>
      <c r="B980" s="1">
        <v>44181</v>
      </c>
      <c r="C980" t="s">
        <v>618</v>
      </c>
      <c r="D980">
        <v>3248.45</v>
      </c>
      <c r="E980">
        <v>3277.95</v>
      </c>
      <c r="F980">
        <v>3236.45</v>
      </c>
      <c r="G980">
        <v>3271.75</v>
      </c>
      <c r="H980">
        <v>0</v>
      </c>
      <c r="I980" s="8">
        <f t="shared" si="61"/>
        <v>1.7920756654169923E-2</v>
      </c>
      <c r="J980" s="8">
        <f t="shared" si="62"/>
        <v>1.7762072911997214E-2</v>
      </c>
      <c r="K980" s="8">
        <f t="shared" si="59"/>
        <v>0.38439893369441025</v>
      </c>
    </row>
    <row r="981" spans="1:11" x14ac:dyDescent="0.25">
      <c r="A981" t="str">
        <f t="shared" si="60"/>
        <v>122020</v>
      </c>
      <c r="B981" s="1">
        <v>44182</v>
      </c>
      <c r="C981" t="s">
        <v>619</v>
      </c>
      <c r="D981">
        <v>3272.15</v>
      </c>
      <c r="E981">
        <v>3289.3</v>
      </c>
      <c r="F981">
        <v>3213.6</v>
      </c>
      <c r="G981">
        <v>3227.7</v>
      </c>
      <c r="H981">
        <v>0</v>
      </c>
      <c r="I981" s="8">
        <f t="shared" si="61"/>
        <v>-1.3463742645373311E-2</v>
      </c>
      <c r="J981" s="8">
        <f t="shared" si="62"/>
        <v>-1.3555200667616859E-2</v>
      </c>
      <c r="K981" s="8">
        <f t="shared" si="59"/>
        <v>0.36639573279146553</v>
      </c>
    </row>
    <row r="982" spans="1:11" x14ac:dyDescent="0.25">
      <c r="A982" t="str">
        <f t="shared" si="60"/>
        <v>122020</v>
      </c>
      <c r="B982" s="1">
        <v>44183</v>
      </c>
      <c r="C982" t="s">
        <v>620</v>
      </c>
      <c r="D982">
        <v>3237.85</v>
      </c>
      <c r="E982">
        <v>3244.9</v>
      </c>
      <c r="F982">
        <v>3181.7</v>
      </c>
      <c r="G982">
        <v>3216.6</v>
      </c>
      <c r="H982">
        <v>0</v>
      </c>
      <c r="I982" s="8">
        <f t="shared" si="61"/>
        <v>-3.438981317966272E-3</v>
      </c>
      <c r="J982" s="8">
        <f t="shared" si="62"/>
        <v>-3.4449082064260429E-3</v>
      </c>
      <c r="K982" s="8">
        <f t="shared" si="59"/>
        <v>0.43575780570000222</v>
      </c>
    </row>
    <row r="983" spans="1:11" x14ac:dyDescent="0.25">
      <c r="A983" t="str">
        <f t="shared" si="60"/>
        <v>122020</v>
      </c>
      <c r="B983" s="1">
        <v>44186</v>
      </c>
      <c r="C983" t="s">
        <v>621</v>
      </c>
      <c r="D983">
        <v>3188.85</v>
      </c>
      <c r="E983">
        <v>3214.75</v>
      </c>
      <c r="F983">
        <v>2981.15</v>
      </c>
      <c r="G983">
        <v>3038.25</v>
      </c>
      <c r="H983">
        <v>0</v>
      </c>
      <c r="I983" s="8">
        <f t="shared" si="61"/>
        <v>-5.5446745010259257E-2</v>
      </c>
      <c r="J983" s="8">
        <f t="shared" si="62"/>
        <v>-5.7043209310637395E-2</v>
      </c>
      <c r="K983" s="8">
        <f t="shared" si="59"/>
        <v>0.37232096479143628</v>
      </c>
    </row>
    <row r="984" spans="1:11" x14ac:dyDescent="0.25">
      <c r="A984" t="str">
        <f t="shared" si="60"/>
        <v>122020</v>
      </c>
      <c r="B984" s="1">
        <v>44187</v>
      </c>
      <c r="C984" t="s">
        <v>622</v>
      </c>
      <c r="D984">
        <v>3040.45</v>
      </c>
      <c r="E984">
        <v>3107.7</v>
      </c>
      <c r="F984">
        <v>2980.25</v>
      </c>
      <c r="G984">
        <v>3079.65</v>
      </c>
      <c r="H984">
        <v>0</v>
      </c>
      <c r="I984" s="8">
        <f t="shared" si="61"/>
        <v>1.3626265119723646E-2</v>
      </c>
      <c r="J984" s="8">
        <f t="shared" si="62"/>
        <v>1.3534262395973528E-2</v>
      </c>
      <c r="K984" s="8">
        <f t="shared" si="59"/>
        <v>0.39650833238861805</v>
      </c>
    </row>
    <row r="985" spans="1:11" x14ac:dyDescent="0.25">
      <c r="A985" t="str">
        <f t="shared" si="60"/>
        <v>122020</v>
      </c>
      <c r="B985" s="1">
        <v>44188</v>
      </c>
      <c r="C985" t="s">
        <v>623</v>
      </c>
      <c r="D985">
        <v>3078.25</v>
      </c>
      <c r="E985">
        <v>3143.3</v>
      </c>
      <c r="F985">
        <v>3051.95</v>
      </c>
      <c r="G985">
        <v>3134.1</v>
      </c>
      <c r="H985">
        <v>0</v>
      </c>
      <c r="I985" s="8">
        <f t="shared" si="61"/>
        <v>1.7680580585456074E-2</v>
      </c>
      <c r="J985" s="8">
        <f t="shared" si="62"/>
        <v>1.7526097364688874E-2</v>
      </c>
      <c r="K985" s="8">
        <f t="shared" si="59"/>
        <v>0.48405426521770023</v>
      </c>
    </row>
    <row r="986" spans="1:11" x14ac:dyDescent="0.25">
      <c r="A986" t="str">
        <f t="shared" si="60"/>
        <v>122020</v>
      </c>
      <c r="B986" s="1">
        <v>44189</v>
      </c>
      <c r="C986" t="s">
        <v>624</v>
      </c>
      <c r="D986">
        <v>3158.05</v>
      </c>
      <c r="E986">
        <v>3223.9</v>
      </c>
      <c r="F986">
        <v>3134.25</v>
      </c>
      <c r="G986">
        <v>3144.3</v>
      </c>
      <c r="H986">
        <v>0</v>
      </c>
      <c r="I986" s="8">
        <f t="shared" si="61"/>
        <v>3.2545228295204343E-3</v>
      </c>
      <c r="J986" s="8">
        <f t="shared" si="62"/>
        <v>3.2492383326693727E-3</v>
      </c>
      <c r="K986" s="8">
        <f t="shared" si="59"/>
        <v>0.44721883414263686</v>
      </c>
    </row>
    <row r="987" spans="1:11" x14ac:dyDescent="0.25">
      <c r="A987" t="str">
        <f t="shared" si="60"/>
        <v>122020</v>
      </c>
      <c r="B987" s="1">
        <v>44193</v>
      </c>
      <c r="C987" t="s">
        <v>625</v>
      </c>
      <c r="D987">
        <v>3181.4</v>
      </c>
      <c r="E987">
        <v>3232.5</v>
      </c>
      <c r="F987">
        <v>3173.75</v>
      </c>
      <c r="G987">
        <v>3224.85</v>
      </c>
      <c r="H987">
        <v>0</v>
      </c>
      <c r="I987" s="8">
        <f t="shared" si="61"/>
        <v>2.5617784562541601E-2</v>
      </c>
      <c r="J987" s="8">
        <f t="shared" si="62"/>
        <v>2.5295147676025091E-2</v>
      </c>
      <c r="K987" s="8">
        <f t="shared" si="59"/>
        <v>0.44159588734912836</v>
      </c>
    </row>
    <row r="988" spans="1:11" x14ac:dyDescent="0.25">
      <c r="A988" t="str">
        <f t="shared" si="60"/>
        <v>122020</v>
      </c>
      <c r="B988" s="1">
        <v>44194</v>
      </c>
      <c r="C988" t="s">
        <v>626</v>
      </c>
      <c r="D988">
        <v>3252.6</v>
      </c>
      <c r="E988">
        <v>3255.2</v>
      </c>
      <c r="F988">
        <v>3170.35</v>
      </c>
      <c r="G988">
        <v>3189.85</v>
      </c>
      <c r="H988">
        <v>0</v>
      </c>
      <c r="I988" s="8">
        <f t="shared" si="61"/>
        <v>-1.0853217979130858E-2</v>
      </c>
      <c r="J988" s="8">
        <f t="shared" si="62"/>
        <v>-1.0912543790516286E-2</v>
      </c>
      <c r="K988" s="8">
        <f t="shared" si="59"/>
        <v>0.39850497610592295</v>
      </c>
    </row>
    <row r="989" spans="1:11" x14ac:dyDescent="0.25">
      <c r="A989" t="str">
        <f t="shared" si="60"/>
        <v>122020</v>
      </c>
      <c r="B989" s="1">
        <v>44195</v>
      </c>
      <c r="C989" t="s">
        <v>627</v>
      </c>
      <c r="D989">
        <v>3204.9</v>
      </c>
      <c r="E989">
        <v>3243.7</v>
      </c>
      <c r="F989">
        <v>3163.7</v>
      </c>
      <c r="G989">
        <v>3230.9</v>
      </c>
      <c r="H989">
        <v>0</v>
      </c>
      <c r="I989" s="8">
        <f t="shared" si="61"/>
        <v>1.2868943680737432E-2</v>
      </c>
      <c r="J989" s="8">
        <f t="shared" si="62"/>
        <v>1.278684244555567E-2</v>
      </c>
      <c r="K989" s="8">
        <f t="shared" si="59"/>
        <v>0.4407259592874182</v>
      </c>
    </row>
    <row r="990" spans="1:11" x14ac:dyDescent="0.25">
      <c r="A990" t="str">
        <f t="shared" si="60"/>
        <v>122020</v>
      </c>
      <c r="B990" s="1">
        <v>44196</v>
      </c>
      <c r="C990" t="s">
        <v>628</v>
      </c>
      <c r="D990">
        <v>3224</v>
      </c>
      <c r="E990">
        <v>3284.5</v>
      </c>
      <c r="F990">
        <v>3212.2</v>
      </c>
      <c r="G990">
        <v>3254.65</v>
      </c>
      <c r="H990">
        <v>0</v>
      </c>
      <c r="I990" s="8">
        <f t="shared" si="61"/>
        <v>7.3508929400476486E-3</v>
      </c>
      <c r="J990" s="8">
        <f t="shared" si="62"/>
        <v>7.3240068042136628E-3</v>
      </c>
      <c r="K990" s="8">
        <f t="shared" si="59"/>
        <v>0.43931453841901602</v>
      </c>
    </row>
    <row r="991" spans="1:11" x14ac:dyDescent="0.25">
      <c r="A991" t="str">
        <f t="shared" si="60"/>
        <v>12021</v>
      </c>
      <c r="B991" s="1">
        <v>44197</v>
      </c>
      <c r="C991" s="10">
        <v>44197.645833333336</v>
      </c>
      <c r="D991">
        <v>3255.35</v>
      </c>
      <c r="E991">
        <v>3270.45</v>
      </c>
      <c r="F991">
        <v>3242.1</v>
      </c>
      <c r="G991">
        <v>3258.85</v>
      </c>
      <c r="H991">
        <v>0</v>
      </c>
      <c r="I991" s="8">
        <f t="shared" si="61"/>
        <v>1.2904613399289389E-3</v>
      </c>
      <c r="J991" s="8">
        <f t="shared" si="62"/>
        <v>1.2896294103324204E-3</v>
      </c>
      <c r="K991" s="8">
        <f t="shared" si="59"/>
        <v>0.40537335317075285</v>
      </c>
    </row>
    <row r="992" spans="1:11" x14ac:dyDescent="0.25">
      <c r="A992" t="str">
        <f t="shared" si="60"/>
        <v>12021</v>
      </c>
      <c r="B992" s="1">
        <v>44200</v>
      </c>
      <c r="C992" s="10">
        <v>44287.645833333336</v>
      </c>
      <c r="D992">
        <v>3291.5</v>
      </c>
      <c r="E992">
        <v>3442</v>
      </c>
      <c r="F992">
        <v>3287.1</v>
      </c>
      <c r="G992">
        <v>3424.6</v>
      </c>
      <c r="H992">
        <v>0</v>
      </c>
      <c r="I992" s="8">
        <f t="shared" si="61"/>
        <v>5.0861500222471046E-2</v>
      </c>
      <c r="J992" s="8">
        <f t="shared" si="62"/>
        <v>4.9610304165018604E-2</v>
      </c>
      <c r="K992" s="8">
        <f t="shared" si="59"/>
        <v>0.48721066574021799</v>
      </c>
    </row>
    <row r="993" spans="1:11" x14ac:dyDescent="0.25">
      <c r="A993" t="str">
        <f t="shared" si="60"/>
        <v>12021</v>
      </c>
      <c r="B993" s="1">
        <v>44201</v>
      </c>
      <c r="C993" s="10">
        <v>44317.645833333336</v>
      </c>
      <c r="D993">
        <v>3400.25</v>
      </c>
      <c r="E993">
        <v>3406.9</v>
      </c>
      <c r="F993">
        <v>3351.1</v>
      </c>
      <c r="G993">
        <v>3376.25</v>
      </c>
      <c r="H993">
        <v>0</v>
      </c>
      <c r="I993" s="8">
        <f t="shared" si="61"/>
        <v>-1.4118437189744815E-2</v>
      </c>
      <c r="J993" s="8">
        <f t="shared" si="62"/>
        <v>-1.4219050448045474E-2</v>
      </c>
      <c r="K993" s="8">
        <f t="shared" si="59"/>
        <v>0.48881049498401508</v>
      </c>
    </row>
    <row r="994" spans="1:11" x14ac:dyDescent="0.25">
      <c r="A994" t="str">
        <f t="shared" si="60"/>
        <v>12021</v>
      </c>
      <c r="B994" s="1">
        <v>44202</v>
      </c>
      <c r="C994" s="10">
        <v>44348.645833333336</v>
      </c>
      <c r="D994">
        <v>3390.2</v>
      </c>
      <c r="E994">
        <v>3455.1</v>
      </c>
      <c r="F994">
        <v>3368.5</v>
      </c>
      <c r="G994">
        <v>3419.8</v>
      </c>
      <c r="H994">
        <v>0</v>
      </c>
      <c r="I994" s="8">
        <f t="shared" si="61"/>
        <v>1.2898926323583915E-2</v>
      </c>
      <c r="J994" s="8">
        <f t="shared" si="62"/>
        <v>1.2816443707667312E-2</v>
      </c>
      <c r="K994" s="8">
        <f t="shared" si="59"/>
        <v>0.50492870973420168</v>
      </c>
    </row>
    <row r="995" spans="1:11" x14ac:dyDescent="0.25">
      <c r="A995" t="str">
        <f t="shared" si="60"/>
        <v>12021</v>
      </c>
      <c r="B995" s="1">
        <v>44203</v>
      </c>
      <c r="C995" s="10">
        <v>44378.645833333336</v>
      </c>
      <c r="D995">
        <v>3457.65</v>
      </c>
      <c r="E995">
        <v>3571.55</v>
      </c>
      <c r="F995">
        <v>3455.3</v>
      </c>
      <c r="G995">
        <v>3550.45</v>
      </c>
      <c r="H995">
        <v>0</v>
      </c>
      <c r="I995" s="8">
        <f t="shared" si="61"/>
        <v>3.8203988537341305E-2</v>
      </c>
      <c r="J995" s="8">
        <f t="shared" si="62"/>
        <v>3.7492286184907776E-2</v>
      </c>
      <c r="K995" s="8">
        <f t="shared" si="59"/>
        <v>0.57040493619656329</v>
      </c>
    </row>
    <row r="996" spans="1:11" x14ac:dyDescent="0.25">
      <c r="A996" t="str">
        <f t="shared" si="60"/>
        <v>12021</v>
      </c>
      <c r="B996" s="1">
        <v>44204</v>
      </c>
      <c r="C996" s="10">
        <v>44409.645833333336</v>
      </c>
      <c r="D996">
        <v>3577.5</v>
      </c>
      <c r="E996">
        <v>3581.85</v>
      </c>
      <c r="F996">
        <v>3498.6</v>
      </c>
      <c r="G996">
        <v>3529.2</v>
      </c>
      <c r="H996">
        <v>0</v>
      </c>
      <c r="I996" s="8">
        <f t="shared" si="61"/>
        <v>-5.9851568111084497E-3</v>
      </c>
      <c r="J996" s="8">
        <f t="shared" si="62"/>
        <v>-6.0031396514507677E-3</v>
      </c>
      <c r="K996" s="8">
        <f t="shared" si="59"/>
        <v>0.57493808153156167</v>
      </c>
    </row>
    <row r="997" spans="1:11" x14ac:dyDescent="0.25">
      <c r="A997" t="str">
        <f t="shared" si="60"/>
        <v>12021</v>
      </c>
      <c r="B997" s="1">
        <v>44207</v>
      </c>
      <c r="C997" s="10">
        <v>44501.645833333336</v>
      </c>
      <c r="D997">
        <v>3532.7</v>
      </c>
      <c r="E997">
        <v>3537.4</v>
      </c>
      <c r="F997">
        <v>3451.85</v>
      </c>
      <c r="G997">
        <v>3493.9</v>
      </c>
      <c r="H997">
        <v>0</v>
      </c>
      <c r="I997" s="8">
        <f t="shared" si="61"/>
        <v>-1.0002266802674797E-2</v>
      </c>
      <c r="J997" s="8">
        <f t="shared" si="62"/>
        <v>-1.0052625555794319E-2</v>
      </c>
      <c r="K997" s="8">
        <f t="shared" si="59"/>
        <v>0.55308603560553871</v>
      </c>
    </row>
    <row r="998" spans="1:11" x14ac:dyDescent="0.25">
      <c r="A998" t="str">
        <f t="shared" si="60"/>
        <v>12021</v>
      </c>
      <c r="B998" s="1">
        <v>44208</v>
      </c>
      <c r="C998" s="10">
        <v>44531.645833333336</v>
      </c>
      <c r="D998">
        <v>3485.5</v>
      </c>
      <c r="E998">
        <v>3586.9</v>
      </c>
      <c r="F998">
        <v>3473.25</v>
      </c>
      <c r="G998">
        <v>3509.9</v>
      </c>
      <c r="H998">
        <v>0</v>
      </c>
      <c r="I998" s="8">
        <f t="shared" si="61"/>
        <v>4.5794098285583118E-3</v>
      </c>
      <c r="J998" s="8">
        <f t="shared" si="62"/>
        <v>4.5689562334175595E-3</v>
      </c>
      <c r="K998" s="8">
        <f t="shared" si="59"/>
        <v>0.55860476475943077</v>
      </c>
    </row>
    <row r="999" spans="1:11" x14ac:dyDescent="0.25">
      <c r="A999" t="str">
        <f t="shared" si="60"/>
        <v>12021</v>
      </c>
      <c r="B999" s="1">
        <v>44209</v>
      </c>
      <c r="C999" t="s">
        <v>629</v>
      </c>
      <c r="D999">
        <v>3539.35</v>
      </c>
      <c r="E999">
        <v>3575.6</v>
      </c>
      <c r="F999">
        <v>3460.25</v>
      </c>
      <c r="G999">
        <v>3523.25</v>
      </c>
      <c r="H999">
        <v>0</v>
      </c>
      <c r="I999" s="8">
        <f t="shared" si="61"/>
        <v>3.803527166016174E-3</v>
      </c>
      <c r="J999" s="8">
        <f t="shared" si="62"/>
        <v>3.7963120460475885E-3</v>
      </c>
      <c r="K999" s="8">
        <f t="shared" si="59"/>
        <v>0.57221267765902861</v>
      </c>
    </row>
    <row r="1000" spans="1:11" x14ac:dyDescent="0.25">
      <c r="A1000" t="str">
        <f t="shared" si="60"/>
        <v>12021</v>
      </c>
      <c r="B1000" s="1">
        <v>44210</v>
      </c>
      <c r="C1000" t="s">
        <v>630</v>
      </c>
      <c r="D1000">
        <v>3521.05</v>
      </c>
      <c r="E1000">
        <v>3533.95</v>
      </c>
      <c r="F1000">
        <v>3471.1</v>
      </c>
      <c r="G1000">
        <v>3487.4</v>
      </c>
      <c r="H1000">
        <v>0</v>
      </c>
      <c r="I1000" s="8">
        <f t="shared" si="61"/>
        <v>-1.017526431561766E-2</v>
      </c>
      <c r="J1000" s="8">
        <f t="shared" si="62"/>
        <v>-1.0227386188227062E-2</v>
      </c>
      <c r="K1000" s="8">
        <f t="shared" si="59"/>
        <v>0.49683456016481764</v>
      </c>
    </row>
    <row r="1001" spans="1:11" x14ac:dyDescent="0.25">
      <c r="A1001" t="str">
        <f t="shared" si="60"/>
        <v>12021</v>
      </c>
      <c r="B1001" s="1">
        <v>44211</v>
      </c>
      <c r="C1001" t="s">
        <v>631</v>
      </c>
      <c r="D1001">
        <v>3501.1</v>
      </c>
      <c r="E1001">
        <v>3528.1</v>
      </c>
      <c r="F1001">
        <v>3420.4</v>
      </c>
      <c r="G1001">
        <v>3449.15</v>
      </c>
      <c r="H1001">
        <v>0</v>
      </c>
      <c r="I1001" s="8">
        <f t="shared" si="61"/>
        <v>-1.0968056431725604E-2</v>
      </c>
      <c r="J1001" s="8">
        <f t="shared" si="62"/>
        <v>-1.1028649025334793E-2</v>
      </c>
      <c r="K1001" s="8">
        <f t="shared" si="59"/>
        <v>0.45665899444643876</v>
      </c>
    </row>
    <row r="1002" spans="1:11" x14ac:dyDescent="0.25">
      <c r="A1002" t="str">
        <f t="shared" si="60"/>
        <v>12021</v>
      </c>
      <c r="B1002" s="1">
        <v>44214</v>
      </c>
      <c r="C1002" t="s">
        <v>632</v>
      </c>
      <c r="D1002">
        <v>3449.9</v>
      </c>
      <c r="E1002">
        <v>3453.8</v>
      </c>
      <c r="F1002">
        <v>3283.55</v>
      </c>
      <c r="G1002">
        <v>3308.5</v>
      </c>
      <c r="H1002">
        <v>0</v>
      </c>
      <c r="I1002" s="8">
        <f t="shared" si="61"/>
        <v>-4.0778162735746526E-2</v>
      </c>
      <c r="J1002" s="8">
        <f t="shared" si="62"/>
        <v>-4.1632909405944392E-2</v>
      </c>
      <c r="K1002" s="8">
        <f t="shared" si="59"/>
        <v>0.39991960564453</v>
      </c>
    </row>
    <row r="1003" spans="1:11" x14ac:dyDescent="0.25">
      <c r="A1003" t="str">
        <f t="shared" si="60"/>
        <v>12021</v>
      </c>
      <c r="B1003" s="1">
        <v>44215</v>
      </c>
      <c r="C1003" t="s">
        <v>633</v>
      </c>
      <c r="D1003">
        <v>3342.15</v>
      </c>
      <c r="E1003">
        <v>3416.95</v>
      </c>
      <c r="F1003">
        <v>3309.95</v>
      </c>
      <c r="G1003">
        <v>3405.2</v>
      </c>
      <c r="H1003">
        <v>0</v>
      </c>
      <c r="I1003" s="8">
        <f t="shared" si="61"/>
        <v>2.9227746713011982E-2</v>
      </c>
      <c r="J1003" s="8">
        <f t="shared" si="62"/>
        <v>2.8808760557787853E-2</v>
      </c>
      <c r="K1003" s="8">
        <f t="shared" si="59"/>
        <v>0.40940791788249387</v>
      </c>
    </row>
    <row r="1004" spans="1:11" x14ac:dyDescent="0.25">
      <c r="A1004" t="str">
        <f t="shared" si="60"/>
        <v>12021</v>
      </c>
      <c r="B1004" s="1">
        <v>44216</v>
      </c>
      <c r="C1004" t="s">
        <v>634</v>
      </c>
      <c r="D1004">
        <v>3420.85</v>
      </c>
      <c r="E1004">
        <v>3456.7</v>
      </c>
      <c r="F1004">
        <v>3399.1</v>
      </c>
      <c r="G1004">
        <v>3437</v>
      </c>
      <c r="H1004">
        <v>0</v>
      </c>
      <c r="I1004" s="8">
        <f t="shared" si="61"/>
        <v>9.3386585222601237E-3</v>
      </c>
      <c r="J1004" s="8">
        <f t="shared" si="62"/>
        <v>9.2953228399319521E-3</v>
      </c>
      <c r="K1004" s="8">
        <f t="shared" si="59"/>
        <v>0.4129496402877697</v>
      </c>
    </row>
    <row r="1005" spans="1:11" x14ac:dyDescent="0.25">
      <c r="A1005" t="str">
        <f t="shared" si="60"/>
        <v>12021</v>
      </c>
      <c r="B1005" s="1">
        <v>44217</v>
      </c>
      <c r="C1005" t="s">
        <v>635</v>
      </c>
      <c r="D1005">
        <v>3448.95</v>
      </c>
      <c r="E1005">
        <v>3462.7</v>
      </c>
      <c r="F1005">
        <v>3338.3</v>
      </c>
      <c r="G1005">
        <v>3362.15</v>
      </c>
      <c r="H1005">
        <v>0</v>
      </c>
      <c r="I1005" s="8">
        <f t="shared" si="61"/>
        <v>-2.1777713121908571E-2</v>
      </c>
      <c r="J1005" s="8">
        <f t="shared" si="62"/>
        <v>-2.201834757672886E-2</v>
      </c>
      <c r="K1005" s="8">
        <f t="shared" si="59"/>
        <v>0.37623823168235782</v>
      </c>
    </row>
    <row r="1006" spans="1:11" x14ac:dyDescent="0.25">
      <c r="A1006" t="str">
        <f t="shared" si="60"/>
        <v>12021</v>
      </c>
      <c r="B1006" s="1">
        <v>44218</v>
      </c>
      <c r="C1006" t="s">
        <v>636</v>
      </c>
      <c r="D1006">
        <v>3372.05</v>
      </c>
      <c r="E1006">
        <v>3382.75</v>
      </c>
      <c r="F1006">
        <v>3212.2</v>
      </c>
      <c r="G1006">
        <v>3231.45</v>
      </c>
      <c r="H1006">
        <v>0</v>
      </c>
      <c r="I1006" s="8">
        <f t="shared" si="61"/>
        <v>-3.8873934833365653E-2</v>
      </c>
      <c r="J1006" s="8">
        <f t="shared" si="62"/>
        <v>-3.964969738055913E-2</v>
      </c>
      <c r="K1006" s="8">
        <f t="shared" si="59"/>
        <v>0.37068142775338786</v>
      </c>
    </row>
    <row r="1007" spans="1:11" x14ac:dyDescent="0.25">
      <c r="A1007" t="str">
        <f t="shared" si="60"/>
        <v>12021</v>
      </c>
      <c r="B1007" s="1">
        <v>44221</v>
      </c>
      <c r="C1007" t="s">
        <v>637</v>
      </c>
      <c r="D1007">
        <v>3276</v>
      </c>
      <c r="E1007">
        <v>3304</v>
      </c>
      <c r="F1007">
        <v>3165.15</v>
      </c>
      <c r="G1007">
        <v>3236.35</v>
      </c>
      <c r="H1007">
        <v>0</v>
      </c>
      <c r="I1007" s="8">
        <f t="shared" si="61"/>
        <v>1.5163471506598469E-3</v>
      </c>
      <c r="J1007" s="8">
        <f t="shared" si="62"/>
        <v>1.5151986571824753E-3</v>
      </c>
      <c r="K1007" s="8">
        <f t="shared" si="59"/>
        <v>0.37156721478216648</v>
      </c>
    </row>
    <row r="1008" spans="1:11" x14ac:dyDescent="0.25">
      <c r="A1008" t="str">
        <f t="shared" si="60"/>
        <v>12021</v>
      </c>
      <c r="B1008" s="1">
        <v>44223</v>
      </c>
      <c r="C1008" t="s">
        <v>638</v>
      </c>
      <c r="D1008">
        <v>3230.9</v>
      </c>
      <c r="E1008">
        <v>3230.9</v>
      </c>
      <c r="F1008">
        <v>3146.5</v>
      </c>
      <c r="G1008">
        <v>3154.8</v>
      </c>
      <c r="H1008">
        <v>0</v>
      </c>
      <c r="I1008" s="8">
        <f t="shared" si="61"/>
        <v>-2.5198139879802794E-2</v>
      </c>
      <c r="J1008" s="8">
        <f t="shared" si="62"/>
        <v>-2.5521049025892559E-2</v>
      </c>
      <c r="K1008" s="8">
        <f t="shared" si="59"/>
        <v>0.35666982024597926</v>
      </c>
    </row>
    <row r="1009" spans="1:11" x14ac:dyDescent="0.25">
      <c r="A1009" t="str">
        <f t="shared" si="60"/>
        <v>12021</v>
      </c>
      <c r="B1009" s="1">
        <v>44224</v>
      </c>
      <c r="C1009" t="s">
        <v>639</v>
      </c>
      <c r="D1009">
        <v>3105.85</v>
      </c>
      <c r="E1009">
        <v>3155.1</v>
      </c>
      <c r="F1009">
        <v>3104.2</v>
      </c>
      <c r="G1009">
        <v>3138.1</v>
      </c>
      <c r="H1009">
        <v>0</v>
      </c>
      <c r="I1009" s="8">
        <f t="shared" si="61"/>
        <v>-5.2935209838976816E-3</v>
      </c>
      <c r="J1009" s="8">
        <f t="shared" si="62"/>
        <v>-5.3075813071288497E-3</v>
      </c>
      <c r="K1009" s="8">
        <f t="shared" si="59"/>
        <v>0.35983880053733164</v>
      </c>
    </row>
    <row r="1010" spans="1:11" x14ac:dyDescent="0.25">
      <c r="A1010" t="str">
        <f t="shared" si="60"/>
        <v>12021</v>
      </c>
      <c r="B1010" s="1">
        <v>44225</v>
      </c>
      <c r="C1010" t="s">
        <v>640</v>
      </c>
      <c r="D1010">
        <v>3175.6</v>
      </c>
      <c r="E1010">
        <v>3183.6</v>
      </c>
      <c r="F1010">
        <v>3062.7</v>
      </c>
      <c r="G1010">
        <v>3077.45</v>
      </c>
      <c r="H1010">
        <v>0</v>
      </c>
      <c r="I1010" s="8">
        <f t="shared" si="61"/>
        <v>-1.9326981294413792E-2</v>
      </c>
      <c r="J1010" s="8">
        <f t="shared" si="62"/>
        <v>-1.951618924377788E-2</v>
      </c>
      <c r="K1010" s="8">
        <f t="shared" si="59"/>
        <v>0.31312937361324455</v>
      </c>
    </row>
    <row r="1011" spans="1:11" x14ac:dyDescent="0.25">
      <c r="A1011" t="str">
        <f t="shared" si="60"/>
        <v>22021</v>
      </c>
      <c r="B1011" s="1">
        <v>44228</v>
      </c>
      <c r="C1011" s="10">
        <v>44198.645833333336</v>
      </c>
      <c r="D1011">
        <v>3096.25</v>
      </c>
      <c r="E1011">
        <v>3245.7</v>
      </c>
      <c r="F1011">
        <v>3071.95</v>
      </c>
      <c r="G1011">
        <v>3227.25</v>
      </c>
      <c r="H1011">
        <v>0</v>
      </c>
      <c r="I1011" s="8">
        <f t="shared" si="61"/>
        <v>4.8676664121269253E-2</v>
      </c>
      <c r="J1011" s="8">
        <f t="shared" si="62"/>
        <v>4.7529049413889517E-2</v>
      </c>
      <c r="K1011" s="8">
        <f t="shared" si="59"/>
        <v>0.37981529778955925</v>
      </c>
    </row>
    <row r="1012" spans="1:11" x14ac:dyDescent="0.25">
      <c r="A1012" t="str">
        <f t="shared" si="60"/>
        <v>22021</v>
      </c>
      <c r="B1012" s="1">
        <v>44229</v>
      </c>
      <c r="C1012" s="10">
        <v>44229.645833333336</v>
      </c>
      <c r="D1012">
        <v>3264.2</v>
      </c>
      <c r="E1012">
        <v>3301.25</v>
      </c>
      <c r="F1012">
        <v>3226.05</v>
      </c>
      <c r="G1012">
        <v>3289.1</v>
      </c>
      <c r="H1012">
        <v>0</v>
      </c>
      <c r="I1012" s="8">
        <f t="shared" si="61"/>
        <v>1.9164923696645797E-2</v>
      </c>
      <c r="J1012" s="8">
        <f t="shared" si="62"/>
        <v>1.8983589718265033E-2</v>
      </c>
      <c r="K1012" s="8">
        <f t="shared" si="59"/>
        <v>0.37550184008029452</v>
      </c>
    </row>
    <row r="1013" spans="1:11" x14ac:dyDescent="0.25">
      <c r="A1013" t="str">
        <f t="shared" si="60"/>
        <v>22021</v>
      </c>
      <c r="B1013" s="1">
        <v>44230</v>
      </c>
      <c r="C1013" s="10">
        <v>44257.645833333336</v>
      </c>
      <c r="D1013">
        <v>3288.65</v>
      </c>
      <c r="E1013">
        <v>3388.95</v>
      </c>
      <c r="F1013">
        <v>3278.9</v>
      </c>
      <c r="G1013">
        <v>3344.4</v>
      </c>
      <c r="H1013">
        <v>0</v>
      </c>
      <c r="I1013" s="8">
        <f t="shared" si="61"/>
        <v>1.6813109969292528E-2</v>
      </c>
      <c r="J1013" s="8">
        <f t="shared" si="62"/>
        <v>1.6673334170819155E-2</v>
      </c>
      <c r="K1013" s="8">
        <f t="shared" si="59"/>
        <v>0.40297004782280377</v>
      </c>
    </row>
    <row r="1014" spans="1:11" x14ac:dyDescent="0.25">
      <c r="A1014" t="str">
        <f t="shared" si="60"/>
        <v>22021</v>
      </c>
      <c r="B1014" s="1">
        <v>44231</v>
      </c>
      <c r="C1014" s="10">
        <v>44288.645833333336</v>
      </c>
      <c r="D1014">
        <v>3356</v>
      </c>
      <c r="E1014">
        <v>3426.6</v>
      </c>
      <c r="F1014">
        <v>3337.7</v>
      </c>
      <c r="G1014">
        <v>3409.55</v>
      </c>
      <c r="H1014">
        <v>0</v>
      </c>
      <c r="I1014" s="8">
        <f t="shared" si="61"/>
        <v>1.9480325319937819E-2</v>
      </c>
      <c r="J1014" s="8">
        <f t="shared" si="62"/>
        <v>1.929301248415391E-2</v>
      </c>
      <c r="K1014" s="8">
        <f t="shared" si="59"/>
        <v>0.37003998151608308</v>
      </c>
    </row>
    <row r="1015" spans="1:11" x14ac:dyDescent="0.25">
      <c r="A1015" t="str">
        <f t="shared" si="60"/>
        <v>22021</v>
      </c>
      <c r="B1015" s="1">
        <v>44232</v>
      </c>
      <c r="C1015" s="10">
        <v>44318.645833333336</v>
      </c>
      <c r="D1015">
        <v>3427.8</v>
      </c>
      <c r="E1015">
        <v>3466.8</v>
      </c>
      <c r="F1015">
        <v>3345.3</v>
      </c>
      <c r="G1015">
        <v>3443.15</v>
      </c>
      <c r="H1015">
        <v>0</v>
      </c>
      <c r="I1015" s="8">
        <f t="shared" si="61"/>
        <v>9.8546729040489556E-3</v>
      </c>
      <c r="J1015" s="8">
        <f t="shared" si="62"/>
        <v>9.806432286453011E-3</v>
      </c>
      <c r="K1015" s="8">
        <f t="shared" si="59"/>
        <v>0.37706721059051751</v>
      </c>
    </row>
    <row r="1016" spans="1:11" x14ac:dyDescent="0.25">
      <c r="A1016" t="str">
        <f t="shared" si="60"/>
        <v>22021</v>
      </c>
      <c r="B1016" s="1">
        <v>44235</v>
      </c>
      <c r="C1016" s="10">
        <v>44410.645833333336</v>
      </c>
      <c r="D1016">
        <v>3467.1</v>
      </c>
      <c r="E1016">
        <v>3558.85</v>
      </c>
      <c r="F1016">
        <v>3450.3</v>
      </c>
      <c r="G1016">
        <v>3552.45</v>
      </c>
      <c r="H1016">
        <v>0</v>
      </c>
      <c r="I1016" s="8">
        <f t="shared" si="61"/>
        <v>3.1744187735068152E-2</v>
      </c>
      <c r="J1016" s="8">
        <f t="shared" si="62"/>
        <v>3.1250756230342534E-2</v>
      </c>
      <c r="K1016" s="8">
        <f t="shared" si="59"/>
        <v>0.39571751301443858</v>
      </c>
    </row>
    <row r="1017" spans="1:11" x14ac:dyDescent="0.25">
      <c r="A1017" t="str">
        <f t="shared" si="60"/>
        <v>22021</v>
      </c>
      <c r="B1017" s="1">
        <v>44236</v>
      </c>
      <c r="C1017" s="10">
        <v>44441.645833333336</v>
      </c>
      <c r="D1017">
        <v>3564.45</v>
      </c>
      <c r="E1017">
        <v>3593.15</v>
      </c>
      <c r="F1017">
        <v>3484.95</v>
      </c>
      <c r="G1017">
        <v>3513.65</v>
      </c>
      <c r="H1017">
        <v>0</v>
      </c>
      <c r="I1017" s="8">
        <f t="shared" si="61"/>
        <v>-1.0922039719067023E-2</v>
      </c>
      <c r="J1017" s="8">
        <f t="shared" si="62"/>
        <v>-1.0982123084003285E-2</v>
      </c>
      <c r="K1017" s="8">
        <f t="shared" si="59"/>
        <v>0.37429107834317699</v>
      </c>
    </row>
    <row r="1018" spans="1:11" x14ac:dyDescent="0.25">
      <c r="A1018" t="str">
        <f t="shared" si="60"/>
        <v>22021</v>
      </c>
      <c r="B1018" s="1">
        <v>44237</v>
      </c>
      <c r="C1018" s="10">
        <v>44471.645833333336</v>
      </c>
      <c r="D1018">
        <v>3548.55</v>
      </c>
      <c r="E1018">
        <v>3573.95</v>
      </c>
      <c r="F1018">
        <v>3464.95</v>
      </c>
      <c r="G1018">
        <v>3510.85</v>
      </c>
      <c r="H1018">
        <v>0</v>
      </c>
      <c r="I1018" s="8">
        <f t="shared" si="61"/>
        <v>-7.9689212072919791E-4</v>
      </c>
      <c r="J1018" s="8">
        <f t="shared" si="62"/>
        <v>-7.9720980804146144E-4</v>
      </c>
      <c r="K1018" s="8">
        <f t="shared" si="59"/>
        <v>0.3273284058902477</v>
      </c>
    </row>
    <row r="1019" spans="1:11" x14ac:dyDescent="0.25">
      <c r="A1019" t="str">
        <f t="shared" si="60"/>
        <v>22021</v>
      </c>
      <c r="B1019" s="1">
        <v>44238</v>
      </c>
      <c r="C1019" s="10">
        <v>44502.645833333336</v>
      </c>
      <c r="D1019">
        <v>3502.35</v>
      </c>
      <c r="E1019">
        <v>3569.15</v>
      </c>
      <c r="F1019">
        <v>3488.3</v>
      </c>
      <c r="G1019">
        <v>3546.7</v>
      </c>
      <c r="H1019">
        <v>0</v>
      </c>
      <c r="I1019" s="8">
        <f t="shared" si="61"/>
        <v>1.0211202415369547E-2</v>
      </c>
      <c r="J1019" s="8">
        <f t="shared" si="62"/>
        <v>1.0159420294793281E-2</v>
      </c>
      <c r="K1019" s="8">
        <f t="shared" si="59"/>
        <v>0.34502635670673887</v>
      </c>
    </row>
    <row r="1020" spans="1:11" x14ac:dyDescent="0.25">
      <c r="A1020" t="str">
        <f t="shared" si="60"/>
        <v>22021</v>
      </c>
      <c r="B1020" s="1">
        <v>44239</v>
      </c>
      <c r="C1020" s="10">
        <v>44532.645833333336</v>
      </c>
      <c r="D1020">
        <v>3549.05</v>
      </c>
      <c r="E1020">
        <v>3549.2</v>
      </c>
      <c r="F1020">
        <v>3474.35</v>
      </c>
      <c r="G1020">
        <v>3486.25</v>
      </c>
      <c r="H1020">
        <v>0</v>
      </c>
      <c r="I1020" s="8">
        <f t="shared" si="61"/>
        <v>-1.7044012744241055E-2</v>
      </c>
      <c r="J1020" s="8">
        <f t="shared" si="62"/>
        <v>-1.7190933737901919E-2</v>
      </c>
      <c r="K1020" s="8">
        <f t="shared" si="59"/>
        <v>0.3003543453935098</v>
      </c>
    </row>
    <row r="1021" spans="1:11" x14ac:dyDescent="0.25">
      <c r="A1021" t="str">
        <f t="shared" si="60"/>
        <v>22021</v>
      </c>
      <c r="B1021" s="1">
        <v>44242</v>
      </c>
      <c r="C1021" t="s">
        <v>641</v>
      </c>
      <c r="D1021">
        <v>3508.25</v>
      </c>
      <c r="E1021">
        <v>3513.4</v>
      </c>
      <c r="F1021">
        <v>3463.15</v>
      </c>
      <c r="G1021">
        <v>3469.95</v>
      </c>
      <c r="H1021">
        <v>0</v>
      </c>
      <c r="I1021" s="8">
        <f t="shared" si="61"/>
        <v>-4.6755109358193048E-3</v>
      </c>
      <c r="J1021" s="8">
        <f t="shared" si="62"/>
        <v>-4.6864753265097002E-3</v>
      </c>
      <c r="K1021" s="8">
        <f t="shared" si="59"/>
        <v>0.25661361290673046</v>
      </c>
    </row>
    <row r="1022" spans="1:11" x14ac:dyDescent="0.25">
      <c r="A1022" t="str">
        <f t="shared" si="60"/>
        <v>22021</v>
      </c>
      <c r="B1022" s="1">
        <v>44243</v>
      </c>
      <c r="C1022" t="s">
        <v>642</v>
      </c>
      <c r="D1022">
        <v>3479.4</v>
      </c>
      <c r="E1022">
        <v>3615.25</v>
      </c>
      <c r="F1022">
        <v>3477.35</v>
      </c>
      <c r="G1022">
        <v>3570.15</v>
      </c>
      <c r="H1022">
        <v>0</v>
      </c>
      <c r="I1022" s="8">
        <f t="shared" si="61"/>
        <v>2.8876496779492555E-2</v>
      </c>
      <c r="J1022" s="8">
        <f t="shared" si="62"/>
        <v>2.8467427082537182E-2</v>
      </c>
      <c r="K1022" s="8">
        <f t="shared" si="59"/>
        <v>0.28770063119927869</v>
      </c>
    </row>
    <row r="1023" spans="1:11" x14ac:dyDescent="0.25">
      <c r="A1023" t="str">
        <f t="shared" si="60"/>
        <v>22021</v>
      </c>
      <c r="B1023" s="1">
        <v>44244</v>
      </c>
      <c r="C1023" t="s">
        <v>643</v>
      </c>
      <c r="D1023">
        <v>3561.5</v>
      </c>
      <c r="E1023">
        <v>3590.85</v>
      </c>
      <c r="F1023">
        <v>3533.75</v>
      </c>
      <c r="G1023">
        <v>3576.05</v>
      </c>
      <c r="H1023">
        <v>0</v>
      </c>
      <c r="I1023" s="8">
        <f t="shared" si="61"/>
        <v>1.6525916278027353E-3</v>
      </c>
      <c r="J1023" s="8">
        <f t="shared" si="62"/>
        <v>1.651227600838179E-3</v>
      </c>
      <c r="K1023" s="8">
        <f t="shared" si="59"/>
        <v>0.29912992934081695</v>
      </c>
    </row>
    <row r="1024" spans="1:11" x14ac:dyDescent="0.25">
      <c r="A1024" t="str">
        <f t="shared" si="60"/>
        <v>22021</v>
      </c>
      <c r="B1024" s="1">
        <v>44245</v>
      </c>
      <c r="C1024" t="s">
        <v>644</v>
      </c>
      <c r="D1024">
        <v>3590.35</v>
      </c>
      <c r="E1024">
        <v>3644.8</v>
      </c>
      <c r="F1024">
        <v>3578.9</v>
      </c>
      <c r="G1024">
        <v>3623.05</v>
      </c>
      <c r="H1024">
        <v>0</v>
      </c>
      <c r="I1024" s="8">
        <f t="shared" si="61"/>
        <v>1.3142992967100531E-2</v>
      </c>
      <c r="J1024" s="8">
        <f t="shared" si="62"/>
        <v>1.3057373218921132E-2</v>
      </c>
      <c r="K1024" s="8">
        <f t="shared" ref="K1024:K1087" si="63">+G1024/G963-1</f>
        <v>0.30572123614740065</v>
      </c>
    </row>
    <row r="1025" spans="1:11" x14ac:dyDescent="0.25">
      <c r="A1025" t="str">
        <f t="shared" si="60"/>
        <v>22021</v>
      </c>
      <c r="B1025" s="1">
        <v>44246</v>
      </c>
      <c r="C1025" t="s">
        <v>645</v>
      </c>
      <c r="D1025">
        <v>3620.05</v>
      </c>
      <c r="E1025">
        <v>3629.05</v>
      </c>
      <c r="F1025">
        <v>3499</v>
      </c>
      <c r="G1025">
        <v>3552.1</v>
      </c>
      <c r="H1025">
        <v>0</v>
      </c>
      <c r="I1025" s="8">
        <f t="shared" si="61"/>
        <v>-1.9582948068616268E-2</v>
      </c>
      <c r="J1025" s="8">
        <f t="shared" si="62"/>
        <v>-1.9777234648564311E-2</v>
      </c>
      <c r="K1025" s="8">
        <f t="shared" si="63"/>
        <v>0.2647226376130456</v>
      </c>
    </row>
    <row r="1026" spans="1:11" x14ac:dyDescent="0.25">
      <c r="A1026" t="str">
        <f t="shared" si="60"/>
        <v>22021</v>
      </c>
      <c r="B1026" s="1">
        <v>44249</v>
      </c>
      <c r="C1026" t="s">
        <v>646</v>
      </c>
      <c r="D1026">
        <v>3561.55</v>
      </c>
      <c r="E1026">
        <v>3682.05</v>
      </c>
      <c r="F1026">
        <v>3558.85</v>
      </c>
      <c r="G1026">
        <v>3609.1</v>
      </c>
      <c r="H1026">
        <v>0</v>
      </c>
      <c r="I1026" s="8">
        <f t="shared" si="61"/>
        <v>1.6046845527997622E-2</v>
      </c>
      <c r="J1026" s="8">
        <f t="shared" si="62"/>
        <v>1.5919455896505331E-2</v>
      </c>
      <c r="K1026" s="8">
        <f t="shared" si="63"/>
        <v>0.27119032104679208</v>
      </c>
    </row>
    <row r="1027" spans="1:11" x14ac:dyDescent="0.25">
      <c r="A1027" t="str">
        <f t="shared" ref="A1027:A1090" si="64">+MONTH(B1027)&amp;YEAR(B1027)</f>
        <v>22021</v>
      </c>
      <c r="B1027" s="1">
        <v>44250</v>
      </c>
      <c r="C1027" t="s">
        <v>647</v>
      </c>
      <c r="D1027">
        <v>3648.2</v>
      </c>
      <c r="E1027">
        <v>3769.5</v>
      </c>
      <c r="F1027">
        <v>3609.75</v>
      </c>
      <c r="G1027">
        <v>3749.55</v>
      </c>
      <c r="H1027">
        <v>0</v>
      </c>
      <c r="I1027" s="8">
        <f t="shared" si="61"/>
        <v>3.8915519104485874E-2</v>
      </c>
      <c r="J1027" s="8">
        <f t="shared" si="62"/>
        <v>3.8177398998453946E-2</v>
      </c>
      <c r="K1027" s="8">
        <f t="shared" si="63"/>
        <v>0.33125632422644724</v>
      </c>
    </row>
    <row r="1028" spans="1:11" x14ac:dyDescent="0.25">
      <c r="A1028" t="str">
        <f t="shared" si="64"/>
        <v>22021</v>
      </c>
      <c r="B1028" s="1">
        <v>44251</v>
      </c>
      <c r="C1028" t="s">
        <v>648</v>
      </c>
      <c r="D1028">
        <v>3781.8</v>
      </c>
      <c r="E1028">
        <v>3832.05</v>
      </c>
      <c r="F1028">
        <v>3740.9</v>
      </c>
      <c r="G1028">
        <v>3778.65</v>
      </c>
      <c r="H1028">
        <v>0</v>
      </c>
      <c r="I1028" s="8">
        <f t="shared" ref="I1028:I1079" si="65">+G1028/G1027-1</f>
        <v>7.7609313117574796E-3</v>
      </c>
      <c r="J1028" s="8">
        <f t="shared" ref="J1028:J1091" si="66">+LN(1+I1028)</f>
        <v>7.7309702019112189E-3</v>
      </c>
      <c r="K1028" s="8">
        <f t="shared" si="63"/>
        <v>0.29182407138339506</v>
      </c>
    </row>
    <row r="1029" spans="1:11" x14ac:dyDescent="0.25">
      <c r="A1029" t="str">
        <f t="shared" si="64"/>
        <v>22021</v>
      </c>
      <c r="B1029" s="1">
        <v>44252</v>
      </c>
      <c r="C1029" t="s">
        <v>649</v>
      </c>
      <c r="D1029">
        <v>3825.6</v>
      </c>
      <c r="E1029">
        <v>3945.8</v>
      </c>
      <c r="F1029">
        <v>3821.65</v>
      </c>
      <c r="G1029">
        <v>3928.6</v>
      </c>
      <c r="H1029">
        <v>0</v>
      </c>
      <c r="I1029" s="8">
        <f t="shared" si="65"/>
        <v>3.9683484842470085E-2</v>
      </c>
      <c r="J1029" s="8">
        <f t="shared" si="66"/>
        <v>3.891632533438423E-2</v>
      </c>
      <c r="K1029" s="8">
        <f t="shared" si="63"/>
        <v>0.3427668119285654</v>
      </c>
    </row>
    <row r="1030" spans="1:11" x14ac:dyDescent="0.25">
      <c r="A1030" t="str">
        <f t="shared" si="64"/>
        <v>22021</v>
      </c>
      <c r="B1030" s="1">
        <v>44253</v>
      </c>
      <c r="C1030" t="s">
        <v>650</v>
      </c>
      <c r="D1030">
        <v>3859.65</v>
      </c>
      <c r="E1030">
        <v>3939.6</v>
      </c>
      <c r="F1030">
        <v>3795.6</v>
      </c>
      <c r="G1030">
        <v>3822.65</v>
      </c>
      <c r="H1030">
        <v>0</v>
      </c>
      <c r="I1030" s="8">
        <f t="shared" si="65"/>
        <v>-2.6968894771674301E-2</v>
      </c>
      <c r="J1030" s="8">
        <f t="shared" si="66"/>
        <v>-2.7339228932674126E-2</v>
      </c>
      <c r="K1030" s="8">
        <f t="shared" si="63"/>
        <v>0.28533481279736383</v>
      </c>
    </row>
    <row r="1031" spans="1:11" x14ac:dyDescent="0.25">
      <c r="A1031" t="str">
        <f t="shared" si="64"/>
        <v>32021</v>
      </c>
      <c r="B1031" s="1">
        <v>44256</v>
      </c>
      <c r="C1031" s="10">
        <v>44199.645833333336</v>
      </c>
      <c r="D1031">
        <v>3877.25</v>
      </c>
      <c r="E1031">
        <v>3917.6</v>
      </c>
      <c r="F1031">
        <v>3811.35</v>
      </c>
      <c r="G1031">
        <v>3896.95</v>
      </c>
      <c r="H1031">
        <v>0</v>
      </c>
      <c r="I1031" s="8">
        <f t="shared" si="65"/>
        <v>1.9436778151282308E-2</v>
      </c>
      <c r="J1031" s="8">
        <f t="shared" si="66"/>
        <v>1.9250296506551884E-2</v>
      </c>
      <c r="K1031" s="8">
        <f t="shared" si="63"/>
        <v>0.27760474722968986</v>
      </c>
    </row>
    <row r="1032" spans="1:11" x14ac:dyDescent="0.25">
      <c r="A1032" t="str">
        <f t="shared" si="64"/>
        <v>32021</v>
      </c>
      <c r="B1032" s="1">
        <v>44257</v>
      </c>
      <c r="C1032" s="10">
        <v>44230.645833333336</v>
      </c>
      <c r="D1032">
        <v>3911.95</v>
      </c>
      <c r="E1032">
        <v>3939.8</v>
      </c>
      <c r="F1032">
        <v>3875.3</v>
      </c>
      <c r="G1032">
        <v>3927.6</v>
      </c>
      <c r="H1032">
        <v>0</v>
      </c>
      <c r="I1032" s="8">
        <f t="shared" si="65"/>
        <v>7.8651252902910418E-3</v>
      </c>
      <c r="J1032" s="8">
        <f t="shared" si="66"/>
        <v>7.8343564210812781E-3</v>
      </c>
      <c r="K1032" s="8">
        <f t="shared" si="63"/>
        <v>0.25638975080771575</v>
      </c>
    </row>
    <row r="1033" spans="1:11" x14ac:dyDescent="0.25">
      <c r="A1033" t="str">
        <f t="shared" si="64"/>
        <v>32021</v>
      </c>
      <c r="B1033" s="1">
        <v>44258</v>
      </c>
      <c r="C1033" s="10">
        <v>44258.645833333336</v>
      </c>
      <c r="D1033">
        <v>3964.5</v>
      </c>
      <c r="E1033">
        <v>4075.4</v>
      </c>
      <c r="F1033">
        <v>3964.1</v>
      </c>
      <c r="G1033">
        <v>4058.6</v>
      </c>
      <c r="H1033">
        <v>0</v>
      </c>
      <c r="I1033" s="8">
        <f t="shared" si="65"/>
        <v>3.3353702006314379E-2</v>
      </c>
      <c r="J1033" s="8">
        <f t="shared" si="66"/>
        <v>3.2809534247733377E-2</v>
      </c>
      <c r="K1033" s="8">
        <f t="shared" si="63"/>
        <v>0.28381862179132344</v>
      </c>
    </row>
    <row r="1034" spans="1:11" x14ac:dyDescent="0.25">
      <c r="A1034" t="str">
        <f t="shared" si="64"/>
        <v>32021</v>
      </c>
      <c r="B1034" s="1">
        <v>44259</v>
      </c>
      <c r="C1034" s="10">
        <v>44289.645833333336</v>
      </c>
      <c r="D1034">
        <v>3964.85</v>
      </c>
      <c r="E1034">
        <v>4014.95</v>
      </c>
      <c r="F1034">
        <v>3934.6</v>
      </c>
      <c r="G1034">
        <v>3976.85</v>
      </c>
      <c r="H1034">
        <v>0</v>
      </c>
      <c r="I1034" s="8">
        <f t="shared" si="65"/>
        <v>-2.0142413640171442E-2</v>
      </c>
      <c r="J1034" s="8">
        <f t="shared" si="66"/>
        <v>-2.0348037918490935E-2</v>
      </c>
      <c r="K1034" s="8">
        <f t="shared" si="63"/>
        <v>0.25801910666835393</v>
      </c>
    </row>
    <row r="1035" spans="1:11" x14ac:dyDescent="0.25">
      <c r="A1035" t="str">
        <f t="shared" si="64"/>
        <v>32021</v>
      </c>
      <c r="B1035" s="1">
        <v>44260</v>
      </c>
      <c r="C1035" s="10">
        <v>44319.645833333336</v>
      </c>
      <c r="D1035">
        <v>3947.55</v>
      </c>
      <c r="E1035">
        <v>3955.4</v>
      </c>
      <c r="F1035">
        <v>3827.65</v>
      </c>
      <c r="G1035">
        <v>3869.4</v>
      </c>
      <c r="H1035">
        <v>0</v>
      </c>
      <c r="I1035" s="8">
        <f t="shared" si="65"/>
        <v>-2.7018871720079884E-2</v>
      </c>
      <c r="J1035" s="8">
        <f t="shared" si="66"/>
        <v>-2.7390592379990666E-2</v>
      </c>
      <c r="K1035" s="8">
        <f t="shared" si="63"/>
        <v>0.239258891540026</v>
      </c>
    </row>
    <row r="1036" spans="1:11" x14ac:dyDescent="0.25">
      <c r="A1036" t="str">
        <f t="shared" si="64"/>
        <v>32021</v>
      </c>
      <c r="B1036" s="1">
        <v>44263</v>
      </c>
      <c r="C1036" s="10">
        <v>44411.645833333336</v>
      </c>
      <c r="D1036">
        <v>3922.15</v>
      </c>
      <c r="E1036">
        <v>3947.35</v>
      </c>
      <c r="F1036">
        <v>3891.7</v>
      </c>
      <c r="G1036">
        <v>3900.8</v>
      </c>
      <c r="H1036">
        <v>0</v>
      </c>
      <c r="I1036" s="8">
        <f t="shared" si="65"/>
        <v>8.1149532227218213E-3</v>
      </c>
      <c r="J1036" s="8">
        <f t="shared" si="66"/>
        <v>8.0822040425656428E-3</v>
      </c>
      <c r="K1036" s="8">
        <f t="shared" si="63"/>
        <v>0.25593225796065555</v>
      </c>
    </row>
    <row r="1037" spans="1:11" x14ac:dyDescent="0.25">
      <c r="A1037" t="str">
        <f t="shared" si="64"/>
        <v>32021</v>
      </c>
      <c r="B1037" s="1">
        <v>44264</v>
      </c>
      <c r="C1037" s="10">
        <v>44442.645833333336</v>
      </c>
      <c r="D1037">
        <v>3938.2</v>
      </c>
      <c r="E1037">
        <v>3953.75</v>
      </c>
      <c r="F1037">
        <v>3760.85</v>
      </c>
      <c r="G1037">
        <v>3802.7</v>
      </c>
      <c r="H1037">
        <v>0</v>
      </c>
      <c r="I1037" s="8">
        <f t="shared" si="65"/>
        <v>-2.5148687448728557E-2</v>
      </c>
      <c r="J1037" s="8">
        <f t="shared" si="66"/>
        <v>-2.5470319561003086E-2</v>
      </c>
      <c r="K1037" s="8">
        <f t="shared" si="63"/>
        <v>0.22153515041518745</v>
      </c>
    </row>
    <row r="1038" spans="1:11" x14ac:dyDescent="0.25">
      <c r="A1038" t="str">
        <f t="shared" si="64"/>
        <v>32021</v>
      </c>
      <c r="B1038" s="1">
        <v>44265</v>
      </c>
      <c r="C1038" s="10">
        <v>44472.645833333336</v>
      </c>
      <c r="D1038">
        <v>3838</v>
      </c>
      <c r="E1038">
        <v>3886.25</v>
      </c>
      <c r="F1038">
        <v>3786.6</v>
      </c>
      <c r="G1038">
        <v>3873.65</v>
      </c>
      <c r="H1038">
        <v>0</v>
      </c>
      <c r="I1038" s="8">
        <f t="shared" si="65"/>
        <v>1.8657795776685138E-2</v>
      </c>
      <c r="J1038" s="8">
        <f t="shared" si="66"/>
        <v>1.848587426384065E-2</v>
      </c>
      <c r="K1038" s="8">
        <f t="shared" si="63"/>
        <v>0.23125456914910525</v>
      </c>
    </row>
    <row r="1039" spans="1:11" x14ac:dyDescent="0.25">
      <c r="A1039" t="str">
        <f t="shared" si="64"/>
        <v>32021</v>
      </c>
      <c r="B1039" s="1">
        <v>44267</v>
      </c>
      <c r="C1039" s="10">
        <v>44533.645833333336</v>
      </c>
      <c r="D1039">
        <v>3924.25</v>
      </c>
      <c r="E1039">
        <v>3950.55</v>
      </c>
      <c r="F1039">
        <v>3806.3</v>
      </c>
      <c r="G1039">
        <v>3840.2</v>
      </c>
      <c r="H1039">
        <v>0</v>
      </c>
      <c r="I1039" s="8">
        <f t="shared" si="65"/>
        <v>-8.6352664799350665E-3</v>
      </c>
      <c r="J1039" s="8">
        <f t="shared" si="66"/>
        <v>-8.6727664309738575E-3</v>
      </c>
      <c r="K1039" s="8">
        <f t="shared" si="63"/>
        <v>0.20401316820818294</v>
      </c>
    </row>
    <row r="1040" spans="1:11" x14ac:dyDescent="0.25">
      <c r="A1040" t="str">
        <f t="shared" si="64"/>
        <v>32021</v>
      </c>
      <c r="B1040" s="1">
        <v>44270</v>
      </c>
      <c r="C1040" t="s">
        <v>651</v>
      </c>
      <c r="D1040">
        <v>3845.5</v>
      </c>
      <c r="E1040">
        <v>3890.35</v>
      </c>
      <c r="F1040">
        <v>3785.05</v>
      </c>
      <c r="G1040">
        <v>3880.05</v>
      </c>
      <c r="H1040">
        <v>0</v>
      </c>
      <c r="I1040" s="8">
        <f t="shared" si="65"/>
        <v>1.0377063694599231E-2</v>
      </c>
      <c r="J1040" s="8">
        <f t="shared" si="66"/>
        <v>1.0323591573409608E-2</v>
      </c>
      <c r="K1040" s="8">
        <f t="shared" si="63"/>
        <v>0.20717763638909203</v>
      </c>
    </row>
    <row r="1041" spans="1:11" x14ac:dyDescent="0.25">
      <c r="A1041" t="str">
        <f t="shared" si="64"/>
        <v>32021</v>
      </c>
      <c r="B1041" s="1">
        <v>44271</v>
      </c>
      <c r="C1041" t="s">
        <v>652</v>
      </c>
      <c r="D1041">
        <v>3900.95</v>
      </c>
      <c r="E1041">
        <v>3903.55</v>
      </c>
      <c r="F1041">
        <v>3814.95</v>
      </c>
      <c r="G1041">
        <v>3847.25</v>
      </c>
      <c r="H1041">
        <v>0</v>
      </c>
      <c r="I1041" s="8">
        <f t="shared" si="65"/>
        <v>-8.4534993105759293E-3</v>
      </c>
      <c r="J1041" s="8">
        <f t="shared" si="66"/>
        <v>-8.4894327882647138E-3</v>
      </c>
      <c r="K1041" s="8">
        <f t="shared" si="63"/>
        <v>0.1758997478413693</v>
      </c>
    </row>
    <row r="1042" spans="1:11" x14ac:dyDescent="0.25">
      <c r="A1042" t="str">
        <f t="shared" si="64"/>
        <v>32021</v>
      </c>
      <c r="B1042" s="1">
        <v>44272</v>
      </c>
      <c r="C1042" t="s">
        <v>653</v>
      </c>
      <c r="D1042">
        <v>3842.75</v>
      </c>
      <c r="E1042">
        <v>3844.4</v>
      </c>
      <c r="F1042">
        <v>3737.8</v>
      </c>
      <c r="G1042">
        <v>3752.7</v>
      </c>
      <c r="H1042">
        <v>0</v>
      </c>
      <c r="I1042" s="8">
        <f t="shared" si="65"/>
        <v>-2.4575995841185305E-2</v>
      </c>
      <c r="J1042" s="8">
        <f t="shared" si="66"/>
        <v>-2.4883026455155791E-2</v>
      </c>
      <c r="K1042" s="8">
        <f t="shared" si="63"/>
        <v>0.16265452179570583</v>
      </c>
    </row>
    <row r="1043" spans="1:11" x14ac:dyDescent="0.25">
      <c r="A1043" t="str">
        <f t="shared" si="64"/>
        <v>32021</v>
      </c>
      <c r="B1043" s="1">
        <v>44273</v>
      </c>
      <c r="C1043" t="s">
        <v>654</v>
      </c>
      <c r="D1043">
        <v>3795.65</v>
      </c>
      <c r="E1043">
        <v>3837.65</v>
      </c>
      <c r="F1043">
        <v>3722.6</v>
      </c>
      <c r="G1043">
        <v>3754.35</v>
      </c>
      <c r="H1043">
        <v>0</v>
      </c>
      <c r="I1043" s="8">
        <f t="shared" si="65"/>
        <v>4.3968342793188064E-4</v>
      </c>
      <c r="J1043" s="8">
        <f t="shared" si="66"/>
        <v>4.3958679549756404E-4</v>
      </c>
      <c r="K1043" s="8">
        <f t="shared" si="63"/>
        <v>0.16717963066592056</v>
      </c>
    </row>
    <row r="1044" spans="1:11" x14ac:dyDescent="0.25">
      <c r="A1044" t="str">
        <f t="shared" si="64"/>
        <v>32021</v>
      </c>
      <c r="B1044" s="1">
        <v>44274</v>
      </c>
      <c r="C1044" t="s">
        <v>655</v>
      </c>
      <c r="D1044">
        <v>3733.95</v>
      </c>
      <c r="E1044">
        <v>3860</v>
      </c>
      <c r="F1044">
        <v>3631.15</v>
      </c>
      <c r="G1044">
        <v>3832.5</v>
      </c>
      <c r="H1044">
        <v>0</v>
      </c>
      <c r="I1044" s="8">
        <f t="shared" si="65"/>
        <v>2.081585360981264E-2</v>
      </c>
      <c r="J1044" s="8">
        <f t="shared" si="66"/>
        <v>2.0602164061666286E-2</v>
      </c>
      <c r="K1044" s="8">
        <f t="shared" si="63"/>
        <v>0.26141693409034805</v>
      </c>
    </row>
    <row r="1045" spans="1:11" x14ac:dyDescent="0.25">
      <c r="A1045" t="str">
        <f t="shared" si="64"/>
        <v>32021</v>
      </c>
      <c r="B1045" s="1">
        <v>44277</v>
      </c>
      <c r="C1045" t="s">
        <v>656</v>
      </c>
      <c r="D1045">
        <v>3835</v>
      </c>
      <c r="E1045">
        <v>3877.1</v>
      </c>
      <c r="F1045">
        <v>3803.2</v>
      </c>
      <c r="G1045">
        <v>3867.45</v>
      </c>
      <c r="H1045">
        <v>0</v>
      </c>
      <c r="I1045" s="8">
        <f t="shared" si="65"/>
        <v>9.1193737769079686E-3</v>
      </c>
      <c r="J1045" s="8">
        <f t="shared" si="66"/>
        <v>9.0780433694590545E-3</v>
      </c>
      <c r="K1045" s="8">
        <f t="shared" si="63"/>
        <v>0.25580828990307336</v>
      </c>
    </row>
    <row r="1046" spans="1:11" x14ac:dyDescent="0.25">
      <c r="A1046" t="str">
        <f t="shared" si="64"/>
        <v>32021</v>
      </c>
      <c r="B1046" s="1">
        <v>44278</v>
      </c>
      <c r="C1046" t="s">
        <v>657</v>
      </c>
      <c r="D1046">
        <v>3877.25</v>
      </c>
      <c r="E1046">
        <v>3894.9</v>
      </c>
      <c r="F1046">
        <v>3828.7</v>
      </c>
      <c r="G1046">
        <v>3841.95</v>
      </c>
      <c r="H1046">
        <v>0</v>
      </c>
      <c r="I1046" s="8">
        <f t="shared" si="65"/>
        <v>-6.5934918357056782E-3</v>
      </c>
      <c r="J1046" s="8">
        <f t="shared" si="66"/>
        <v>-6.615324926789466E-3</v>
      </c>
      <c r="K1046" s="8">
        <f t="shared" si="63"/>
        <v>0.22585431224274899</v>
      </c>
    </row>
    <row r="1047" spans="1:11" x14ac:dyDescent="0.25">
      <c r="A1047" t="str">
        <f t="shared" si="64"/>
        <v>32021</v>
      </c>
      <c r="B1047" s="1">
        <v>44279</v>
      </c>
      <c r="C1047" t="s">
        <v>658</v>
      </c>
      <c r="D1047">
        <v>3803.75</v>
      </c>
      <c r="E1047">
        <v>3810.45</v>
      </c>
      <c r="F1047">
        <v>3706.65</v>
      </c>
      <c r="G1047">
        <v>3717.55</v>
      </c>
      <c r="H1047">
        <v>0</v>
      </c>
      <c r="I1047" s="8">
        <f t="shared" si="65"/>
        <v>-3.2379390674006636E-2</v>
      </c>
      <c r="J1047" s="8">
        <f t="shared" si="66"/>
        <v>-3.2915201045651946E-2</v>
      </c>
      <c r="K1047" s="8">
        <f t="shared" si="63"/>
        <v>0.18231402855961587</v>
      </c>
    </row>
    <row r="1048" spans="1:11" x14ac:dyDescent="0.25">
      <c r="A1048" t="str">
        <f t="shared" si="64"/>
        <v>32021</v>
      </c>
      <c r="B1048" s="1">
        <v>44280</v>
      </c>
      <c r="C1048" t="s">
        <v>659</v>
      </c>
      <c r="D1048">
        <v>3729.35</v>
      </c>
      <c r="E1048">
        <v>3751.55</v>
      </c>
      <c r="F1048">
        <v>3614.4</v>
      </c>
      <c r="G1048">
        <v>3718.3</v>
      </c>
      <c r="H1048">
        <v>0</v>
      </c>
      <c r="I1048" s="8">
        <f t="shared" si="65"/>
        <v>2.0174577342602085E-4</v>
      </c>
      <c r="J1048" s="8">
        <f t="shared" si="66"/>
        <v>2.0172542548416806E-4</v>
      </c>
      <c r="K1048" s="8">
        <f t="shared" si="63"/>
        <v>0.15301486890863147</v>
      </c>
    </row>
    <row r="1049" spans="1:11" x14ac:dyDescent="0.25">
      <c r="A1049" t="str">
        <f t="shared" si="64"/>
        <v>32021</v>
      </c>
      <c r="B1049" s="1">
        <v>44281</v>
      </c>
      <c r="C1049" t="s">
        <v>660</v>
      </c>
      <c r="D1049">
        <v>3764.05</v>
      </c>
      <c r="E1049">
        <v>3878.4</v>
      </c>
      <c r="F1049">
        <v>3755.7</v>
      </c>
      <c r="G1049">
        <v>3855.3</v>
      </c>
      <c r="H1049">
        <v>0</v>
      </c>
      <c r="I1049" s="8">
        <f t="shared" si="65"/>
        <v>3.6844794664228298E-2</v>
      </c>
      <c r="J1049" s="8">
        <f t="shared" si="66"/>
        <v>3.6182250412734186E-2</v>
      </c>
      <c r="K1049" s="8">
        <f t="shared" si="63"/>
        <v>0.20861482514851803</v>
      </c>
    </row>
    <row r="1050" spans="1:11" x14ac:dyDescent="0.25">
      <c r="A1050" t="str">
        <f t="shared" si="64"/>
        <v>32021</v>
      </c>
      <c r="B1050" s="1">
        <v>44285</v>
      </c>
      <c r="C1050" t="s">
        <v>661</v>
      </c>
      <c r="D1050">
        <v>3914.25</v>
      </c>
      <c r="E1050">
        <v>3984.65</v>
      </c>
      <c r="F1050">
        <v>3907.75</v>
      </c>
      <c r="G1050">
        <v>3963</v>
      </c>
      <c r="H1050">
        <v>0</v>
      </c>
      <c r="I1050" s="8">
        <f t="shared" si="65"/>
        <v>2.7935569216403389E-2</v>
      </c>
      <c r="J1050" s="8">
        <f t="shared" si="66"/>
        <v>2.7552489209229831E-2</v>
      </c>
      <c r="K1050" s="8">
        <f t="shared" si="63"/>
        <v>0.22659320932247984</v>
      </c>
    </row>
    <row r="1051" spans="1:11" x14ac:dyDescent="0.25">
      <c r="A1051" t="str">
        <f t="shared" si="64"/>
        <v>32021</v>
      </c>
      <c r="B1051" s="1">
        <v>44286</v>
      </c>
      <c r="C1051" t="s">
        <v>662</v>
      </c>
      <c r="D1051">
        <v>3954.8</v>
      </c>
      <c r="E1051">
        <v>4025.4</v>
      </c>
      <c r="F1051">
        <v>3931.75</v>
      </c>
      <c r="G1051">
        <v>3977.2</v>
      </c>
      <c r="H1051">
        <v>0</v>
      </c>
      <c r="I1051" s="8">
        <f t="shared" si="65"/>
        <v>3.5831440827656102E-3</v>
      </c>
      <c r="J1051" s="8">
        <f t="shared" si="66"/>
        <v>3.576739915483536E-3</v>
      </c>
      <c r="K1051" s="8">
        <f t="shared" si="63"/>
        <v>0.22200543837278963</v>
      </c>
    </row>
    <row r="1052" spans="1:11" x14ac:dyDescent="0.25">
      <c r="A1052" t="str">
        <f t="shared" si="64"/>
        <v>42021</v>
      </c>
      <c r="B1052" s="1">
        <v>44287</v>
      </c>
      <c r="C1052" s="10">
        <v>44200.645833333336</v>
      </c>
      <c r="D1052">
        <v>4010.5</v>
      </c>
      <c r="E1052">
        <v>4204.3999999999996</v>
      </c>
      <c r="F1052">
        <v>4008.75</v>
      </c>
      <c r="G1052">
        <v>4189.1499999999996</v>
      </c>
      <c r="H1052">
        <v>0</v>
      </c>
      <c r="I1052" s="8">
        <f t="shared" si="65"/>
        <v>5.329126018304331E-2</v>
      </c>
      <c r="J1052" s="8">
        <f t="shared" si="66"/>
        <v>5.1919795268774223E-2</v>
      </c>
      <c r="K1052" s="8">
        <f t="shared" si="63"/>
        <v>0.28546880034367939</v>
      </c>
    </row>
    <row r="1053" spans="1:11" x14ac:dyDescent="0.25">
      <c r="A1053" t="str">
        <f t="shared" si="64"/>
        <v>42021</v>
      </c>
      <c r="B1053" s="1">
        <v>44291</v>
      </c>
      <c r="C1053" s="10">
        <v>44320.645833333336</v>
      </c>
      <c r="D1053">
        <v>4206.1000000000004</v>
      </c>
      <c r="E1053">
        <v>4241.8500000000004</v>
      </c>
      <c r="F1053">
        <v>4101.1499999999996</v>
      </c>
      <c r="G1053">
        <v>4226.3999999999996</v>
      </c>
      <c r="H1053">
        <v>0</v>
      </c>
      <c r="I1053" s="8">
        <f t="shared" si="65"/>
        <v>8.8920186672714063E-3</v>
      </c>
      <c r="J1053" s="8">
        <f t="shared" si="66"/>
        <v>8.8527174754133037E-3</v>
      </c>
      <c r="K1053" s="8">
        <f t="shared" si="63"/>
        <v>0.2341295333761606</v>
      </c>
    </row>
    <row r="1054" spans="1:11" x14ac:dyDescent="0.25">
      <c r="A1054" t="str">
        <f t="shared" si="64"/>
        <v>42021</v>
      </c>
      <c r="B1054" s="1">
        <v>44292</v>
      </c>
      <c r="C1054" s="10">
        <v>44351.645833333336</v>
      </c>
      <c r="D1054">
        <v>4266.3500000000004</v>
      </c>
      <c r="E1054">
        <v>4305.5</v>
      </c>
      <c r="F1054">
        <v>4231.45</v>
      </c>
      <c r="G1054">
        <v>4286.95</v>
      </c>
      <c r="H1054">
        <v>0</v>
      </c>
      <c r="I1054" s="8">
        <f t="shared" si="65"/>
        <v>1.4326613666477472E-2</v>
      </c>
      <c r="J1054" s="8">
        <f t="shared" si="66"/>
        <v>1.4224957512139492E-2</v>
      </c>
      <c r="K1054" s="8">
        <f t="shared" si="63"/>
        <v>0.26973713439466862</v>
      </c>
    </row>
    <row r="1055" spans="1:11" x14ac:dyDescent="0.25">
      <c r="A1055" t="str">
        <f t="shared" si="64"/>
        <v>42021</v>
      </c>
      <c r="B1055" s="1">
        <v>44293</v>
      </c>
      <c r="C1055" s="10">
        <v>44381.645833333336</v>
      </c>
      <c r="D1055">
        <v>4306.7</v>
      </c>
      <c r="E1055">
        <v>4363.5</v>
      </c>
      <c r="F1055">
        <v>4296.1000000000004</v>
      </c>
      <c r="G1055">
        <v>4325.45</v>
      </c>
      <c r="H1055">
        <v>0</v>
      </c>
      <c r="I1055" s="8">
        <f t="shared" si="65"/>
        <v>8.980743885512954E-3</v>
      </c>
      <c r="J1055" s="8">
        <f t="shared" si="66"/>
        <v>8.9406568340738377E-3</v>
      </c>
      <c r="K1055" s="8">
        <f t="shared" si="63"/>
        <v>0.26482542838762479</v>
      </c>
    </row>
    <row r="1056" spans="1:11" x14ac:dyDescent="0.25">
      <c r="A1056" t="str">
        <f t="shared" si="64"/>
        <v>42021</v>
      </c>
      <c r="B1056" s="1">
        <v>44294</v>
      </c>
      <c r="C1056" s="10">
        <v>44412.645833333336</v>
      </c>
      <c r="D1056">
        <v>4365.3500000000004</v>
      </c>
      <c r="E1056">
        <v>4588.8500000000004</v>
      </c>
      <c r="F1056">
        <v>4363.05</v>
      </c>
      <c r="G1056">
        <v>4494.95</v>
      </c>
      <c r="H1056">
        <v>0</v>
      </c>
      <c r="I1056" s="8">
        <f t="shared" si="65"/>
        <v>3.9186674218867346E-2</v>
      </c>
      <c r="J1056" s="8">
        <f t="shared" si="66"/>
        <v>3.8438363177012165E-2</v>
      </c>
      <c r="K1056" s="8">
        <f t="shared" si="63"/>
        <v>0.26602261685138506</v>
      </c>
    </row>
    <row r="1057" spans="1:11" x14ac:dyDescent="0.25">
      <c r="A1057" t="str">
        <f t="shared" si="64"/>
        <v>42021</v>
      </c>
      <c r="B1057" s="1">
        <v>44295</v>
      </c>
      <c r="C1057" s="10">
        <v>44443.645833333336</v>
      </c>
      <c r="D1057">
        <v>4510.2</v>
      </c>
      <c r="E1057">
        <v>4550.45</v>
      </c>
      <c r="F1057">
        <v>4399.3</v>
      </c>
      <c r="G1057">
        <v>4467.3</v>
      </c>
      <c r="H1057">
        <v>0</v>
      </c>
      <c r="I1057" s="8">
        <f t="shared" si="65"/>
        <v>-6.1513476234440478E-3</v>
      </c>
      <c r="J1057" s="8">
        <f t="shared" si="66"/>
        <v>-6.1703451090624507E-3</v>
      </c>
      <c r="K1057" s="8">
        <f t="shared" si="63"/>
        <v>0.26581094865691957</v>
      </c>
    </row>
    <row r="1058" spans="1:11" x14ac:dyDescent="0.25">
      <c r="A1058" t="str">
        <f t="shared" si="64"/>
        <v>42021</v>
      </c>
      <c r="B1058" s="1">
        <v>44298</v>
      </c>
      <c r="C1058" s="10">
        <v>44534.645833333336</v>
      </c>
      <c r="D1058">
        <v>4372.6499999999996</v>
      </c>
      <c r="E1058">
        <v>4378.45</v>
      </c>
      <c r="F1058">
        <v>4166.45</v>
      </c>
      <c r="G1058">
        <v>4196</v>
      </c>
      <c r="H1058">
        <v>0</v>
      </c>
      <c r="I1058" s="8">
        <f t="shared" si="65"/>
        <v>-6.0730194972354656E-2</v>
      </c>
      <c r="J1058" s="8">
        <f t="shared" si="66"/>
        <v>-6.2652508748081287E-2</v>
      </c>
      <c r="K1058" s="8">
        <f t="shared" si="63"/>
        <v>0.20095022753942593</v>
      </c>
    </row>
    <row r="1059" spans="1:11" x14ac:dyDescent="0.25">
      <c r="A1059" t="str">
        <f t="shared" si="64"/>
        <v>42021</v>
      </c>
      <c r="B1059" s="1">
        <v>44299</v>
      </c>
      <c r="C1059" t="s">
        <v>663</v>
      </c>
      <c r="D1059">
        <v>4215.25</v>
      </c>
      <c r="E1059">
        <v>4347.3500000000004</v>
      </c>
      <c r="F1059">
        <v>4200.25</v>
      </c>
      <c r="G1059">
        <v>4337.8999999999996</v>
      </c>
      <c r="H1059">
        <v>0</v>
      </c>
      <c r="I1059" s="8">
        <f t="shared" si="65"/>
        <v>3.3817921830314512E-2</v>
      </c>
      <c r="J1059" s="8">
        <f t="shared" si="66"/>
        <v>3.3258669507187241E-2</v>
      </c>
      <c r="K1059" s="8">
        <f t="shared" si="63"/>
        <v>0.23590415681358423</v>
      </c>
    </row>
    <row r="1060" spans="1:11" x14ac:dyDescent="0.25">
      <c r="A1060" t="str">
        <f t="shared" si="64"/>
        <v>42021</v>
      </c>
      <c r="B1060" s="1">
        <v>44301</v>
      </c>
      <c r="C1060" t="s">
        <v>664</v>
      </c>
      <c r="D1060">
        <v>4378.1000000000004</v>
      </c>
      <c r="E1060">
        <v>4463.75</v>
      </c>
      <c r="F1060">
        <v>4318.7</v>
      </c>
      <c r="G1060">
        <v>4397.45</v>
      </c>
      <c r="H1060">
        <v>0</v>
      </c>
      <c r="I1060" s="8">
        <f t="shared" si="65"/>
        <v>1.3727840660227253E-2</v>
      </c>
      <c r="J1060" s="8">
        <f t="shared" si="66"/>
        <v>1.3634467427052224E-2</v>
      </c>
      <c r="K1060" s="8">
        <f t="shared" si="63"/>
        <v>0.248123181721422</v>
      </c>
    </row>
    <row r="1061" spans="1:11" x14ac:dyDescent="0.25">
      <c r="A1061" t="str">
        <f t="shared" si="64"/>
        <v>42021</v>
      </c>
      <c r="B1061" s="1">
        <v>44302</v>
      </c>
      <c r="C1061" t="s">
        <v>665</v>
      </c>
      <c r="D1061">
        <v>4422.3</v>
      </c>
      <c r="E1061">
        <v>4500.8500000000004</v>
      </c>
      <c r="F1061">
        <v>4394.5</v>
      </c>
      <c r="G1061">
        <v>4434</v>
      </c>
      <c r="H1061">
        <v>0</v>
      </c>
      <c r="I1061" s="8">
        <f t="shared" si="65"/>
        <v>8.3116351521905774E-3</v>
      </c>
      <c r="J1061" s="8">
        <f t="shared" si="66"/>
        <v>8.2772837258295023E-3</v>
      </c>
      <c r="K1061" s="8">
        <f t="shared" si="63"/>
        <v>0.27143430636003907</v>
      </c>
    </row>
    <row r="1062" spans="1:11" x14ac:dyDescent="0.25">
      <c r="A1062" t="str">
        <f t="shared" si="64"/>
        <v>42021</v>
      </c>
      <c r="B1062" s="1">
        <v>44305</v>
      </c>
      <c r="C1062" t="s">
        <v>666</v>
      </c>
      <c r="D1062">
        <v>4302.3500000000004</v>
      </c>
      <c r="E1062">
        <v>4403.6499999999996</v>
      </c>
      <c r="F1062">
        <v>4266.8500000000004</v>
      </c>
      <c r="G1062">
        <v>4366.1000000000004</v>
      </c>
      <c r="H1062">
        <v>0</v>
      </c>
      <c r="I1062" s="8">
        <f t="shared" si="65"/>
        <v>-1.5313486693730227E-2</v>
      </c>
      <c r="J1062" s="8">
        <f t="shared" si="66"/>
        <v>-1.5431949068473698E-2</v>
      </c>
      <c r="K1062" s="8">
        <f t="shared" si="63"/>
        <v>0.26584810750474763</v>
      </c>
    </row>
    <row r="1063" spans="1:11" x14ac:dyDescent="0.25">
      <c r="A1063" t="str">
        <f t="shared" si="64"/>
        <v>42021</v>
      </c>
      <c r="B1063" s="1">
        <v>44306</v>
      </c>
      <c r="C1063" t="s">
        <v>667</v>
      </c>
      <c r="D1063">
        <v>4420.95</v>
      </c>
      <c r="E1063">
        <v>4457.3500000000004</v>
      </c>
      <c r="F1063">
        <v>4332.7</v>
      </c>
      <c r="G1063">
        <v>4384.3999999999996</v>
      </c>
      <c r="H1063">
        <v>0</v>
      </c>
      <c r="I1063" s="8">
        <f t="shared" si="65"/>
        <v>4.191383614667421E-3</v>
      </c>
      <c r="J1063" s="8">
        <f t="shared" si="66"/>
        <v>4.1826242337851573E-3</v>
      </c>
      <c r="K1063" s="8">
        <f t="shared" si="63"/>
        <v>0.32519268550702729</v>
      </c>
    </row>
    <row r="1064" spans="1:11" x14ac:dyDescent="0.25">
      <c r="A1064" t="str">
        <f t="shared" si="64"/>
        <v>42021</v>
      </c>
      <c r="B1064" s="1">
        <v>44308</v>
      </c>
      <c r="C1064" t="s">
        <v>668</v>
      </c>
      <c r="D1064">
        <v>4380.6000000000004</v>
      </c>
      <c r="E1064">
        <v>4497.7</v>
      </c>
      <c r="F1064">
        <v>4367.55</v>
      </c>
      <c r="G1064">
        <v>4460.8999999999996</v>
      </c>
      <c r="H1064">
        <v>0</v>
      </c>
      <c r="I1064" s="8">
        <f t="shared" si="65"/>
        <v>1.7448225526867978E-2</v>
      </c>
      <c r="J1064" s="8">
        <f t="shared" si="66"/>
        <v>1.7297753036900045E-2</v>
      </c>
      <c r="K1064" s="8">
        <f t="shared" si="63"/>
        <v>0.31002584282861512</v>
      </c>
    </row>
    <row r="1065" spans="1:11" x14ac:dyDescent="0.25">
      <c r="A1065" t="str">
        <f t="shared" si="64"/>
        <v>42021</v>
      </c>
      <c r="B1065" s="1">
        <v>44309</v>
      </c>
      <c r="C1065" t="s">
        <v>669</v>
      </c>
      <c r="D1065">
        <v>4471.75</v>
      </c>
      <c r="E1065">
        <v>4528.2</v>
      </c>
      <c r="F1065">
        <v>4396.6499999999996</v>
      </c>
      <c r="G1065">
        <v>4446.8500000000004</v>
      </c>
      <c r="H1065">
        <v>0</v>
      </c>
      <c r="I1065" s="8">
        <f t="shared" si="65"/>
        <v>-3.1495886480304991E-3</v>
      </c>
      <c r="J1065" s="8">
        <f t="shared" si="66"/>
        <v>-3.1545590415635902E-3</v>
      </c>
      <c r="K1065" s="8">
        <f t="shared" si="63"/>
        <v>0.29381728251382033</v>
      </c>
    </row>
    <row r="1066" spans="1:11" x14ac:dyDescent="0.25">
      <c r="A1066" t="str">
        <f t="shared" si="64"/>
        <v>42021</v>
      </c>
      <c r="B1066" s="1">
        <v>44312</v>
      </c>
      <c r="C1066" t="s">
        <v>670</v>
      </c>
      <c r="D1066">
        <v>4491</v>
      </c>
      <c r="E1066">
        <v>4582.1499999999996</v>
      </c>
      <c r="F1066">
        <v>4488.8500000000004</v>
      </c>
      <c r="G1066">
        <v>4536.3</v>
      </c>
      <c r="H1066">
        <v>0</v>
      </c>
      <c r="I1066" s="8">
        <f t="shared" si="65"/>
        <v>2.0115362560014338E-2</v>
      </c>
      <c r="J1066" s="8">
        <f t="shared" si="66"/>
        <v>1.9915721449828491E-2</v>
      </c>
      <c r="K1066" s="8">
        <f t="shared" si="63"/>
        <v>0.34922594173371202</v>
      </c>
    </row>
    <row r="1067" spans="1:11" x14ac:dyDescent="0.25">
      <c r="A1067" t="str">
        <f t="shared" si="64"/>
        <v>42021</v>
      </c>
      <c r="B1067" s="1">
        <v>44313</v>
      </c>
      <c r="C1067" t="s">
        <v>671</v>
      </c>
      <c r="D1067">
        <v>4567.5</v>
      </c>
      <c r="E1067">
        <v>4668</v>
      </c>
      <c r="F1067">
        <v>4562.5</v>
      </c>
      <c r="G1067">
        <v>4659.25</v>
      </c>
      <c r="H1067">
        <v>0</v>
      </c>
      <c r="I1067" s="8">
        <f t="shared" si="65"/>
        <v>2.7103586623459686E-2</v>
      </c>
      <c r="J1067" s="8">
        <f t="shared" si="66"/>
        <v>2.6742789174041309E-2</v>
      </c>
      <c r="K1067" s="8">
        <f t="shared" si="63"/>
        <v>0.44184499218617046</v>
      </c>
    </row>
    <row r="1068" spans="1:11" x14ac:dyDescent="0.25">
      <c r="A1068" t="str">
        <f t="shared" si="64"/>
        <v>42021</v>
      </c>
      <c r="B1068" s="1">
        <v>44314</v>
      </c>
      <c r="C1068" t="s">
        <v>672</v>
      </c>
      <c r="D1068">
        <v>4690.8500000000004</v>
      </c>
      <c r="E1068">
        <v>4690.8500000000004</v>
      </c>
      <c r="F1068">
        <v>4598.1499999999996</v>
      </c>
      <c r="G1068">
        <v>4645.05</v>
      </c>
      <c r="H1068">
        <v>0</v>
      </c>
      <c r="I1068" s="8">
        <f t="shared" si="65"/>
        <v>-3.047700810216214E-3</v>
      </c>
      <c r="J1068" s="8">
        <f t="shared" si="66"/>
        <v>-3.0523545081217718E-3</v>
      </c>
      <c r="K1068" s="8">
        <f t="shared" si="63"/>
        <v>0.43527430593106442</v>
      </c>
    </row>
    <row r="1069" spans="1:11" x14ac:dyDescent="0.25">
      <c r="A1069" t="str">
        <f t="shared" si="64"/>
        <v>42021</v>
      </c>
      <c r="B1069" s="1">
        <v>44315</v>
      </c>
      <c r="C1069" t="s">
        <v>673</v>
      </c>
      <c r="D1069">
        <v>4698.95</v>
      </c>
      <c r="E1069">
        <v>4868.8999999999996</v>
      </c>
      <c r="F1069">
        <v>4695.1000000000004</v>
      </c>
      <c r="G1069">
        <v>4855.3</v>
      </c>
      <c r="H1069">
        <v>0</v>
      </c>
      <c r="I1069" s="8">
        <f t="shared" si="65"/>
        <v>4.5263237209502538E-2</v>
      </c>
      <c r="J1069" s="8">
        <f t="shared" si="66"/>
        <v>4.4268755330771924E-2</v>
      </c>
      <c r="K1069" s="8">
        <f t="shared" si="63"/>
        <v>0.53901990617471784</v>
      </c>
    </row>
    <row r="1070" spans="1:11" x14ac:dyDescent="0.25">
      <c r="A1070" t="str">
        <f t="shared" si="64"/>
        <v>42021</v>
      </c>
      <c r="B1070" s="1">
        <v>44316</v>
      </c>
      <c r="C1070" t="s">
        <v>674</v>
      </c>
      <c r="D1070">
        <v>4819.6000000000004</v>
      </c>
      <c r="E1070">
        <v>4936.5</v>
      </c>
      <c r="F1070">
        <v>4791.6499999999996</v>
      </c>
      <c r="G1070">
        <v>4847.95</v>
      </c>
      <c r="H1070">
        <v>0</v>
      </c>
      <c r="I1070" s="8">
        <f t="shared" si="65"/>
        <v>-1.5138096513089838E-3</v>
      </c>
      <c r="J1070" s="8">
        <f t="shared" si="66"/>
        <v>-1.514956618812307E-3</v>
      </c>
      <c r="K1070" s="8">
        <f t="shared" si="63"/>
        <v>0.5448679137057455</v>
      </c>
    </row>
    <row r="1071" spans="1:11" x14ac:dyDescent="0.25">
      <c r="A1071" t="str">
        <f t="shared" si="64"/>
        <v>52021</v>
      </c>
      <c r="B1071" s="1">
        <v>44319</v>
      </c>
      <c r="C1071" s="10">
        <v>44260.645833333336</v>
      </c>
      <c r="D1071">
        <v>4825.8</v>
      </c>
      <c r="E1071">
        <v>4973.2</v>
      </c>
      <c r="F1071">
        <v>4786.05</v>
      </c>
      <c r="G1071">
        <v>4952.45</v>
      </c>
      <c r="H1071">
        <v>0</v>
      </c>
      <c r="I1071" s="8">
        <f t="shared" si="65"/>
        <v>2.155550284140717E-2</v>
      </c>
      <c r="J1071" s="8">
        <f t="shared" si="66"/>
        <v>2.1326468445973523E-2</v>
      </c>
      <c r="K1071" s="8">
        <f t="shared" si="63"/>
        <v>0.60927066239906424</v>
      </c>
    </row>
    <row r="1072" spans="1:11" x14ac:dyDescent="0.25">
      <c r="A1072" t="str">
        <f t="shared" si="64"/>
        <v>52021</v>
      </c>
      <c r="B1072" s="1">
        <v>44320</v>
      </c>
      <c r="C1072" s="10">
        <v>44291.645833333336</v>
      </c>
      <c r="D1072">
        <v>4994.55</v>
      </c>
      <c r="E1072">
        <v>5048.3</v>
      </c>
      <c r="F1072">
        <v>4886.3500000000004</v>
      </c>
      <c r="G1072">
        <v>4921.6499999999996</v>
      </c>
      <c r="H1072">
        <v>0</v>
      </c>
      <c r="I1072" s="8">
        <f t="shared" si="65"/>
        <v>-6.2191440600107839E-3</v>
      </c>
      <c r="J1072" s="8">
        <f t="shared" si="66"/>
        <v>-6.2385634931318738E-3</v>
      </c>
      <c r="K1072" s="8">
        <f t="shared" si="63"/>
        <v>0.52502904950034845</v>
      </c>
    </row>
    <row r="1073" spans="1:11" x14ac:dyDescent="0.25">
      <c r="A1073" t="str">
        <f t="shared" si="64"/>
        <v>52021</v>
      </c>
      <c r="B1073" s="1">
        <v>44321</v>
      </c>
      <c r="C1073" s="10">
        <v>44321.645833333336</v>
      </c>
      <c r="D1073">
        <v>4979.45</v>
      </c>
      <c r="E1073">
        <v>5006.6499999999996</v>
      </c>
      <c r="F1073">
        <v>4904.95</v>
      </c>
      <c r="G1073">
        <v>4970.1499999999996</v>
      </c>
      <c r="H1073">
        <v>0</v>
      </c>
      <c r="I1073" s="8">
        <f t="shared" si="65"/>
        <v>9.8544187416822471E-3</v>
      </c>
      <c r="J1073" s="8">
        <f t="shared" si="66"/>
        <v>9.8061806042996167E-3</v>
      </c>
      <c r="K1073" s="8">
        <f t="shared" si="63"/>
        <v>0.51109726064880956</v>
      </c>
    </row>
    <row r="1074" spans="1:11" x14ac:dyDescent="0.25">
      <c r="A1074" t="str">
        <f t="shared" si="64"/>
        <v>52021</v>
      </c>
      <c r="B1074" s="1">
        <v>44322</v>
      </c>
      <c r="C1074" s="10">
        <v>44352.645833333336</v>
      </c>
      <c r="D1074">
        <v>4980.25</v>
      </c>
      <c r="E1074">
        <v>5118.2</v>
      </c>
      <c r="F1074">
        <v>4964.6000000000004</v>
      </c>
      <c r="G1074">
        <v>5095</v>
      </c>
      <c r="H1074">
        <v>0</v>
      </c>
      <c r="I1074" s="8">
        <f t="shared" si="65"/>
        <v>2.5119966198203336E-2</v>
      </c>
      <c r="J1074" s="8">
        <f t="shared" si="66"/>
        <v>2.4809645935071553E-2</v>
      </c>
      <c r="K1074" s="8">
        <f t="shared" si="63"/>
        <v>0.52344217198899656</v>
      </c>
    </row>
    <row r="1075" spans="1:11" x14ac:dyDescent="0.25">
      <c r="A1075" t="str">
        <f t="shared" si="64"/>
        <v>52021</v>
      </c>
      <c r="B1075" s="1">
        <v>44323</v>
      </c>
      <c r="C1075" s="10">
        <v>44382.645833333336</v>
      </c>
      <c r="D1075">
        <v>5180.95</v>
      </c>
      <c r="E1075">
        <v>5387.1</v>
      </c>
      <c r="F1075">
        <v>5176.3500000000004</v>
      </c>
      <c r="G1075">
        <v>5335.85</v>
      </c>
      <c r="H1075">
        <v>0</v>
      </c>
      <c r="I1075" s="8">
        <f t="shared" si="65"/>
        <v>4.7271835132482787E-2</v>
      </c>
      <c r="J1075" s="8">
        <f t="shared" si="66"/>
        <v>4.6188530598986678E-2</v>
      </c>
      <c r="K1075" s="8">
        <f t="shared" si="63"/>
        <v>0.56497191711516193</v>
      </c>
    </row>
    <row r="1076" spans="1:11" x14ac:dyDescent="0.25">
      <c r="A1076" t="str">
        <f t="shared" si="64"/>
        <v>52021</v>
      </c>
      <c r="B1076" s="1">
        <v>44326</v>
      </c>
      <c r="C1076" s="10">
        <v>44474.645833333336</v>
      </c>
      <c r="D1076">
        <v>5425.4</v>
      </c>
      <c r="E1076">
        <v>5519.05</v>
      </c>
      <c r="F1076">
        <v>5405.45</v>
      </c>
      <c r="G1076">
        <v>5503.35</v>
      </c>
      <c r="H1076">
        <v>0</v>
      </c>
      <c r="I1076" s="8">
        <f t="shared" si="65"/>
        <v>3.1391437165587455E-2</v>
      </c>
      <c r="J1076" s="8">
        <f t="shared" si="66"/>
        <v>3.0908800453261664E-2</v>
      </c>
      <c r="K1076" s="8">
        <f t="shared" si="63"/>
        <v>0.59834744347472535</v>
      </c>
    </row>
    <row r="1077" spans="1:11" x14ac:dyDescent="0.25">
      <c r="A1077" t="str">
        <f t="shared" si="64"/>
        <v>52021</v>
      </c>
      <c r="B1077" s="1">
        <v>44327</v>
      </c>
      <c r="C1077" s="10">
        <v>44505.645833333336</v>
      </c>
      <c r="D1077">
        <v>5390.95</v>
      </c>
      <c r="E1077">
        <v>5524.25</v>
      </c>
      <c r="F1077">
        <v>5337.15</v>
      </c>
      <c r="G1077">
        <v>5452.65</v>
      </c>
      <c r="H1077">
        <v>0</v>
      </c>
      <c r="I1077" s="8">
        <f t="shared" si="65"/>
        <v>-9.2125705252257273E-3</v>
      </c>
      <c r="J1077" s="8">
        <f t="shared" si="66"/>
        <v>-9.2552686953228363E-3</v>
      </c>
      <c r="K1077" s="8">
        <f t="shared" si="63"/>
        <v>0.53489845036524097</v>
      </c>
    </row>
    <row r="1078" spans="1:11" x14ac:dyDescent="0.25">
      <c r="A1078" t="str">
        <f t="shared" si="64"/>
        <v>52021</v>
      </c>
      <c r="B1078" s="1">
        <v>44328</v>
      </c>
      <c r="C1078" s="10">
        <v>44535.645833333336</v>
      </c>
      <c r="D1078">
        <v>5479.85</v>
      </c>
      <c r="E1078">
        <v>5518</v>
      </c>
      <c r="F1078">
        <v>5228.05</v>
      </c>
      <c r="G1078">
        <v>5290.45</v>
      </c>
      <c r="H1078">
        <v>0</v>
      </c>
      <c r="I1078" s="8">
        <f t="shared" si="65"/>
        <v>-2.9747003750469903E-2</v>
      </c>
      <c r="J1078" s="8">
        <f t="shared" si="66"/>
        <v>-3.0198420616755772E-2</v>
      </c>
      <c r="K1078" s="8">
        <f t="shared" si="63"/>
        <v>0.50568497146841596</v>
      </c>
    </row>
    <row r="1079" spans="1:11" x14ac:dyDescent="0.25">
      <c r="A1079" t="str">
        <f t="shared" si="64"/>
        <v>52021</v>
      </c>
      <c r="B1079" s="1">
        <v>44330</v>
      </c>
      <c r="C1079" t="s">
        <v>675</v>
      </c>
      <c r="D1079">
        <v>5332.55</v>
      </c>
      <c r="E1079">
        <v>5332.55</v>
      </c>
      <c r="F1079">
        <v>4984.3999999999996</v>
      </c>
      <c r="G1079">
        <v>5091.3500000000004</v>
      </c>
      <c r="H1079">
        <v>0</v>
      </c>
      <c r="I1079" s="8">
        <f t="shared" si="65"/>
        <v>-3.7633849672523034E-2</v>
      </c>
      <c r="J1079" s="8">
        <f t="shared" si="66"/>
        <v>-3.8360287085404204E-2</v>
      </c>
      <c r="K1079" s="8">
        <f t="shared" si="63"/>
        <v>0.45017588333309622</v>
      </c>
    </row>
    <row r="1080" spans="1:11" x14ac:dyDescent="0.25">
      <c r="A1080" t="str">
        <f t="shared" si="64"/>
        <v>11900</v>
      </c>
      <c r="I1080" s="8">
        <f t="shared" ref="I1080:I1143" si="67">+G1080/G1079-1</f>
        <v>-1</v>
      </c>
      <c r="J1080" s="8" t="e">
        <f t="shared" si="66"/>
        <v>#NUM!</v>
      </c>
      <c r="K1080" s="8">
        <f t="shared" si="63"/>
        <v>-1</v>
      </c>
    </row>
    <row r="1081" spans="1:11" x14ac:dyDescent="0.25">
      <c r="A1081" t="str">
        <f t="shared" si="64"/>
        <v>11900</v>
      </c>
      <c r="I1081" s="8" t="e">
        <f t="shared" si="67"/>
        <v>#DIV/0!</v>
      </c>
      <c r="J1081" s="8" t="e">
        <f t="shared" si="66"/>
        <v>#DIV/0!</v>
      </c>
      <c r="K1081" s="8">
        <f t="shared" si="63"/>
        <v>-1</v>
      </c>
    </row>
    <row r="1082" spans="1:11" x14ac:dyDescent="0.25">
      <c r="A1082" t="str">
        <f t="shared" si="64"/>
        <v>11900</v>
      </c>
      <c r="I1082" s="8" t="e">
        <f t="shared" si="67"/>
        <v>#DIV/0!</v>
      </c>
      <c r="J1082" s="8" t="e">
        <f t="shared" si="66"/>
        <v>#DIV/0!</v>
      </c>
      <c r="K1082" s="8">
        <f t="shared" si="63"/>
        <v>-1</v>
      </c>
    </row>
    <row r="1083" spans="1:11" x14ac:dyDescent="0.25">
      <c r="A1083" t="str">
        <f t="shared" si="64"/>
        <v>11900</v>
      </c>
      <c r="I1083" s="8" t="e">
        <f t="shared" si="67"/>
        <v>#DIV/0!</v>
      </c>
      <c r="J1083" s="8" t="e">
        <f t="shared" si="66"/>
        <v>#DIV/0!</v>
      </c>
      <c r="K1083" s="8">
        <f t="shared" si="63"/>
        <v>-1</v>
      </c>
    </row>
    <row r="1084" spans="1:11" x14ac:dyDescent="0.25">
      <c r="A1084" t="str">
        <f t="shared" si="64"/>
        <v>11900</v>
      </c>
      <c r="I1084" s="8" t="e">
        <f t="shared" si="67"/>
        <v>#DIV/0!</v>
      </c>
      <c r="J1084" s="8" t="e">
        <f t="shared" si="66"/>
        <v>#DIV/0!</v>
      </c>
      <c r="K1084" s="8">
        <f t="shared" si="63"/>
        <v>-1</v>
      </c>
    </row>
    <row r="1085" spans="1:11" x14ac:dyDescent="0.25">
      <c r="A1085" t="str">
        <f t="shared" si="64"/>
        <v>11900</v>
      </c>
      <c r="I1085" s="8" t="e">
        <f t="shared" si="67"/>
        <v>#DIV/0!</v>
      </c>
      <c r="J1085" s="8" t="e">
        <f t="shared" si="66"/>
        <v>#DIV/0!</v>
      </c>
      <c r="K1085" s="8">
        <f t="shared" si="63"/>
        <v>-1</v>
      </c>
    </row>
    <row r="1086" spans="1:11" x14ac:dyDescent="0.25">
      <c r="A1086" t="str">
        <f t="shared" si="64"/>
        <v>11900</v>
      </c>
      <c r="I1086" s="8" t="e">
        <f t="shared" si="67"/>
        <v>#DIV/0!</v>
      </c>
      <c r="J1086" s="8" t="e">
        <f t="shared" si="66"/>
        <v>#DIV/0!</v>
      </c>
      <c r="K1086" s="8">
        <f t="shared" si="63"/>
        <v>-1</v>
      </c>
    </row>
    <row r="1087" spans="1:11" x14ac:dyDescent="0.25">
      <c r="A1087" t="str">
        <f t="shared" si="64"/>
        <v>11900</v>
      </c>
      <c r="I1087" s="8" t="e">
        <f t="shared" si="67"/>
        <v>#DIV/0!</v>
      </c>
      <c r="J1087" s="8" t="e">
        <f t="shared" si="66"/>
        <v>#DIV/0!</v>
      </c>
      <c r="K1087" s="8">
        <f t="shared" si="63"/>
        <v>-1</v>
      </c>
    </row>
    <row r="1088" spans="1:11" x14ac:dyDescent="0.25">
      <c r="A1088" t="str">
        <f t="shared" si="64"/>
        <v>11900</v>
      </c>
      <c r="I1088" s="8" t="e">
        <f t="shared" si="67"/>
        <v>#DIV/0!</v>
      </c>
      <c r="J1088" s="8" t="e">
        <f t="shared" si="66"/>
        <v>#DIV/0!</v>
      </c>
      <c r="K1088" s="8">
        <f t="shared" ref="K1088:K1151" si="68">+G1088/G1027-1</f>
        <v>-1</v>
      </c>
    </row>
    <row r="1089" spans="1:11" x14ac:dyDescent="0.25">
      <c r="A1089" t="str">
        <f t="shared" si="64"/>
        <v>11900</v>
      </c>
      <c r="I1089" s="8" t="e">
        <f t="shared" si="67"/>
        <v>#DIV/0!</v>
      </c>
      <c r="J1089" s="8" t="e">
        <f t="shared" si="66"/>
        <v>#DIV/0!</v>
      </c>
      <c r="K1089" s="8">
        <f t="shared" si="68"/>
        <v>-1</v>
      </c>
    </row>
    <row r="1090" spans="1:11" x14ac:dyDescent="0.25">
      <c r="A1090" t="str">
        <f t="shared" si="64"/>
        <v>11900</v>
      </c>
      <c r="I1090" s="8" t="e">
        <f t="shared" si="67"/>
        <v>#DIV/0!</v>
      </c>
      <c r="J1090" s="8" t="e">
        <f t="shared" si="66"/>
        <v>#DIV/0!</v>
      </c>
      <c r="K1090" s="8">
        <f t="shared" si="68"/>
        <v>-1</v>
      </c>
    </row>
    <row r="1091" spans="1:11" x14ac:dyDescent="0.25">
      <c r="A1091" t="str">
        <f t="shared" ref="A1091:A1154" si="69">+MONTH(B1091)&amp;YEAR(B1091)</f>
        <v>11900</v>
      </c>
      <c r="I1091" s="8" t="e">
        <f t="shared" si="67"/>
        <v>#DIV/0!</v>
      </c>
      <c r="J1091" s="8" t="e">
        <f t="shared" si="66"/>
        <v>#DIV/0!</v>
      </c>
      <c r="K1091" s="8">
        <f t="shared" si="68"/>
        <v>-1</v>
      </c>
    </row>
    <row r="1092" spans="1:11" x14ac:dyDescent="0.25">
      <c r="A1092" t="str">
        <f t="shared" si="69"/>
        <v>11900</v>
      </c>
      <c r="I1092" s="8" t="e">
        <f t="shared" si="67"/>
        <v>#DIV/0!</v>
      </c>
      <c r="J1092" s="8" t="e">
        <f t="shared" ref="J1092:J1155" si="70">+LN(1+I1092)</f>
        <v>#DIV/0!</v>
      </c>
      <c r="K1092" s="8">
        <f t="shared" si="68"/>
        <v>-1</v>
      </c>
    </row>
    <row r="1093" spans="1:11" x14ac:dyDescent="0.25">
      <c r="A1093" t="str">
        <f t="shared" si="69"/>
        <v>11900</v>
      </c>
      <c r="I1093" s="8" t="e">
        <f t="shared" si="67"/>
        <v>#DIV/0!</v>
      </c>
      <c r="J1093" s="8" t="e">
        <f t="shared" si="70"/>
        <v>#DIV/0!</v>
      </c>
      <c r="K1093" s="8">
        <f t="shared" si="68"/>
        <v>-1</v>
      </c>
    </row>
    <row r="1094" spans="1:11" x14ac:dyDescent="0.25">
      <c r="A1094" t="str">
        <f t="shared" si="69"/>
        <v>11900</v>
      </c>
      <c r="I1094" s="8" t="e">
        <f t="shared" si="67"/>
        <v>#DIV/0!</v>
      </c>
      <c r="J1094" s="8" t="e">
        <f t="shared" si="70"/>
        <v>#DIV/0!</v>
      </c>
      <c r="K1094" s="8">
        <f t="shared" si="68"/>
        <v>-1</v>
      </c>
    </row>
    <row r="1095" spans="1:11" x14ac:dyDescent="0.25">
      <c r="A1095" t="str">
        <f t="shared" si="69"/>
        <v>11900</v>
      </c>
      <c r="I1095" s="8" t="e">
        <f t="shared" si="67"/>
        <v>#DIV/0!</v>
      </c>
      <c r="J1095" s="8" t="e">
        <f t="shared" si="70"/>
        <v>#DIV/0!</v>
      </c>
      <c r="K1095" s="8">
        <f t="shared" si="68"/>
        <v>-1</v>
      </c>
    </row>
    <row r="1096" spans="1:11" x14ac:dyDescent="0.25">
      <c r="A1096" t="str">
        <f t="shared" si="69"/>
        <v>11900</v>
      </c>
      <c r="I1096" s="8" t="e">
        <f t="shared" si="67"/>
        <v>#DIV/0!</v>
      </c>
      <c r="J1096" s="8" t="e">
        <f t="shared" si="70"/>
        <v>#DIV/0!</v>
      </c>
      <c r="K1096" s="8">
        <f t="shared" si="68"/>
        <v>-1</v>
      </c>
    </row>
    <row r="1097" spans="1:11" x14ac:dyDescent="0.25">
      <c r="A1097" t="str">
        <f t="shared" si="69"/>
        <v>11900</v>
      </c>
      <c r="I1097" s="8" t="e">
        <f t="shared" si="67"/>
        <v>#DIV/0!</v>
      </c>
      <c r="J1097" s="8" t="e">
        <f t="shared" si="70"/>
        <v>#DIV/0!</v>
      </c>
      <c r="K1097" s="8">
        <f t="shared" si="68"/>
        <v>-1</v>
      </c>
    </row>
    <row r="1098" spans="1:11" x14ac:dyDescent="0.25">
      <c r="A1098" t="str">
        <f t="shared" si="69"/>
        <v>11900</v>
      </c>
      <c r="I1098" s="8" t="e">
        <f t="shared" si="67"/>
        <v>#DIV/0!</v>
      </c>
      <c r="J1098" s="8" t="e">
        <f t="shared" si="70"/>
        <v>#DIV/0!</v>
      </c>
      <c r="K1098" s="8">
        <f t="shared" si="68"/>
        <v>-1</v>
      </c>
    </row>
    <row r="1099" spans="1:11" x14ac:dyDescent="0.25">
      <c r="A1099" t="str">
        <f t="shared" si="69"/>
        <v>11900</v>
      </c>
      <c r="I1099" s="8" t="e">
        <f t="shared" si="67"/>
        <v>#DIV/0!</v>
      </c>
      <c r="J1099" s="8" t="e">
        <f t="shared" si="70"/>
        <v>#DIV/0!</v>
      </c>
      <c r="K1099" s="8">
        <f t="shared" si="68"/>
        <v>-1</v>
      </c>
    </row>
    <row r="1100" spans="1:11" x14ac:dyDescent="0.25">
      <c r="A1100" t="str">
        <f t="shared" si="69"/>
        <v>11900</v>
      </c>
      <c r="I1100" s="8" t="e">
        <f t="shared" si="67"/>
        <v>#DIV/0!</v>
      </c>
      <c r="J1100" s="8" t="e">
        <f t="shared" si="70"/>
        <v>#DIV/0!</v>
      </c>
      <c r="K1100" s="8">
        <f t="shared" si="68"/>
        <v>-1</v>
      </c>
    </row>
    <row r="1101" spans="1:11" x14ac:dyDescent="0.25">
      <c r="A1101" t="str">
        <f t="shared" si="69"/>
        <v>11900</v>
      </c>
      <c r="I1101" s="8" t="e">
        <f t="shared" si="67"/>
        <v>#DIV/0!</v>
      </c>
      <c r="J1101" s="8" t="e">
        <f t="shared" si="70"/>
        <v>#DIV/0!</v>
      </c>
      <c r="K1101" s="8">
        <f t="shared" si="68"/>
        <v>-1</v>
      </c>
    </row>
    <row r="1102" spans="1:11" x14ac:dyDescent="0.25">
      <c r="A1102" t="str">
        <f t="shared" si="69"/>
        <v>11900</v>
      </c>
      <c r="I1102" s="8" t="e">
        <f t="shared" si="67"/>
        <v>#DIV/0!</v>
      </c>
      <c r="J1102" s="8" t="e">
        <f t="shared" si="70"/>
        <v>#DIV/0!</v>
      </c>
      <c r="K1102" s="8">
        <f t="shared" si="68"/>
        <v>-1</v>
      </c>
    </row>
    <row r="1103" spans="1:11" x14ac:dyDescent="0.25">
      <c r="A1103" t="str">
        <f t="shared" si="69"/>
        <v>11900</v>
      </c>
      <c r="I1103" s="8" t="e">
        <f t="shared" si="67"/>
        <v>#DIV/0!</v>
      </c>
      <c r="J1103" s="8" t="e">
        <f t="shared" si="70"/>
        <v>#DIV/0!</v>
      </c>
      <c r="K1103" s="8">
        <f t="shared" si="68"/>
        <v>-1</v>
      </c>
    </row>
    <row r="1104" spans="1:11" x14ac:dyDescent="0.25">
      <c r="A1104" t="str">
        <f t="shared" si="69"/>
        <v>11900</v>
      </c>
      <c r="I1104" s="8" t="e">
        <f t="shared" si="67"/>
        <v>#DIV/0!</v>
      </c>
      <c r="J1104" s="8" t="e">
        <f t="shared" si="70"/>
        <v>#DIV/0!</v>
      </c>
      <c r="K1104" s="8">
        <f t="shared" si="68"/>
        <v>-1</v>
      </c>
    </row>
    <row r="1105" spans="1:11" x14ac:dyDescent="0.25">
      <c r="A1105" t="str">
        <f t="shared" si="69"/>
        <v>11900</v>
      </c>
      <c r="I1105" s="8" t="e">
        <f t="shared" si="67"/>
        <v>#DIV/0!</v>
      </c>
      <c r="J1105" s="8" t="e">
        <f t="shared" si="70"/>
        <v>#DIV/0!</v>
      </c>
      <c r="K1105" s="8">
        <f t="shared" si="68"/>
        <v>-1</v>
      </c>
    </row>
    <row r="1106" spans="1:11" x14ac:dyDescent="0.25">
      <c r="A1106" t="str">
        <f t="shared" si="69"/>
        <v>11900</v>
      </c>
      <c r="I1106" s="8" t="e">
        <f t="shared" si="67"/>
        <v>#DIV/0!</v>
      </c>
      <c r="J1106" s="8" t="e">
        <f t="shared" si="70"/>
        <v>#DIV/0!</v>
      </c>
      <c r="K1106" s="8">
        <f t="shared" si="68"/>
        <v>-1</v>
      </c>
    </row>
    <row r="1107" spans="1:11" x14ac:dyDescent="0.25">
      <c r="A1107" t="str">
        <f t="shared" si="69"/>
        <v>11900</v>
      </c>
      <c r="I1107" s="8" t="e">
        <f t="shared" si="67"/>
        <v>#DIV/0!</v>
      </c>
      <c r="J1107" s="8" t="e">
        <f t="shared" si="70"/>
        <v>#DIV/0!</v>
      </c>
      <c r="K1107" s="8">
        <f t="shared" si="68"/>
        <v>-1</v>
      </c>
    </row>
    <row r="1108" spans="1:11" x14ac:dyDescent="0.25">
      <c r="A1108" t="str">
        <f t="shared" si="69"/>
        <v>11900</v>
      </c>
      <c r="I1108" s="8" t="e">
        <f t="shared" si="67"/>
        <v>#DIV/0!</v>
      </c>
      <c r="J1108" s="8" t="e">
        <f t="shared" si="70"/>
        <v>#DIV/0!</v>
      </c>
      <c r="K1108" s="8">
        <f t="shared" si="68"/>
        <v>-1</v>
      </c>
    </row>
    <row r="1109" spans="1:11" x14ac:dyDescent="0.25">
      <c r="A1109" t="str">
        <f t="shared" si="69"/>
        <v>11900</v>
      </c>
      <c r="I1109" s="8" t="e">
        <f t="shared" si="67"/>
        <v>#DIV/0!</v>
      </c>
      <c r="J1109" s="8" t="e">
        <f t="shared" si="70"/>
        <v>#DIV/0!</v>
      </c>
      <c r="K1109" s="8">
        <f t="shared" si="68"/>
        <v>-1</v>
      </c>
    </row>
    <row r="1110" spans="1:11" x14ac:dyDescent="0.25">
      <c r="A1110" t="str">
        <f t="shared" si="69"/>
        <v>11900</v>
      </c>
      <c r="I1110" s="8" t="e">
        <f t="shared" si="67"/>
        <v>#DIV/0!</v>
      </c>
      <c r="J1110" s="8" t="e">
        <f t="shared" si="70"/>
        <v>#DIV/0!</v>
      </c>
      <c r="K1110" s="8">
        <f t="shared" si="68"/>
        <v>-1</v>
      </c>
    </row>
    <row r="1111" spans="1:11" x14ac:dyDescent="0.25">
      <c r="A1111" t="str">
        <f t="shared" si="69"/>
        <v>11900</v>
      </c>
      <c r="I1111" s="8" t="e">
        <f t="shared" si="67"/>
        <v>#DIV/0!</v>
      </c>
      <c r="J1111" s="8" t="e">
        <f t="shared" si="70"/>
        <v>#DIV/0!</v>
      </c>
      <c r="K1111" s="8">
        <f t="shared" si="68"/>
        <v>-1</v>
      </c>
    </row>
    <row r="1112" spans="1:11" x14ac:dyDescent="0.25">
      <c r="A1112" t="str">
        <f t="shared" si="69"/>
        <v>11900</v>
      </c>
      <c r="I1112" s="8" t="e">
        <f t="shared" si="67"/>
        <v>#DIV/0!</v>
      </c>
      <c r="J1112" s="8" t="e">
        <f t="shared" si="70"/>
        <v>#DIV/0!</v>
      </c>
      <c r="K1112" s="8">
        <f t="shared" si="68"/>
        <v>-1</v>
      </c>
    </row>
    <row r="1113" spans="1:11" x14ac:dyDescent="0.25">
      <c r="A1113" t="str">
        <f t="shared" si="69"/>
        <v>11900</v>
      </c>
      <c r="I1113" s="8" t="e">
        <f t="shared" si="67"/>
        <v>#DIV/0!</v>
      </c>
      <c r="J1113" s="8" t="e">
        <f t="shared" si="70"/>
        <v>#DIV/0!</v>
      </c>
      <c r="K1113" s="8">
        <f t="shared" si="68"/>
        <v>-1</v>
      </c>
    </row>
    <row r="1114" spans="1:11" x14ac:dyDescent="0.25">
      <c r="A1114" t="str">
        <f t="shared" si="69"/>
        <v>11900</v>
      </c>
      <c r="I1114" s="8" t="e">
        <f t="shared" si="67"/>
        <v>#DIV/0!</v>
      </c>
      <c r="J1114" s="8" t="e">
        <f t="shared" si="70"/>
        <v>#DIV/0!</v>
      </c>
      <c r="K1114" s="8">
        <f t="shared" si="68"/>
        <v>-1</v>
      </c>
    </row>
    <row r="1115" spans="1:11" x14ac:dyDescent="0.25">
      <c r="A1115" t="str">
        <f t="shared" si="69"/>
        <v>11900</v>
      </c>
      <c r="I1115" s="8" t="e">
        <f t="shared" si="67"/>
        <v>#DIV/0!</v>
      </c>
      <c r="J1115" s="8" t="e">
        <f t="shared" si="70"/>
        <v>#DIV/0!</v>
      </c>
      <c r="K1115" s="8">
        <f t="shared" si="68"/>
        <v>-1</v>
      </c>
    </row>
    <row r="1116" spans="1:11" x14ac:dyDescent="0.25">
      <c r="A1116" t="str">
        <f t="shared" si="69"/>
        <v>11900</v>
      </c>
      <c r="I1116" s="8" t="e">
        <f t="shared" si="67"/>
        <v>#DIV/0!</v>
      </c>
      <c r="J1116" s="8" t="e">
        <f t="shared" si="70"/>
        <v>#DIV/0!</v>
      </c>
      <c r="K1116" s="8">
        <f t="shared" si="68"/>
        <v>-1</v>
      </c>
    </row>
    <row r="1117" spans="1:11" x14ac:dyDescent="0.25">
      <c r="A1117" t="str">
        <f t="shared" si="69"/>
        <v>11900</v>
      </c>
      <c r="I1117" s="8" t="e">
        <f t="shared" si="67"/>
        <v>#DIV/0!</v>
      </c>
      <c r="J1117" s="8" t="e">
        <f t="shared" si="70"/>
        <v>#DIV/0!</v>
      </c>
      <c r="K1117" s="8">
        <f t="shared" si="68"/>
        <v>-1</v>
      </c>
    </row>
    <row r="1118" spans="1:11" x14ac:dyDescent="0.25">
      <c r="A1118" t="str">
        <f t="shared" si="69"/>
        <v>11900</v>
      </c>
      <c r="I1118" s="8" t="e">
        <f t="shared" si="67"/>
        <v>#DIV/0!</v>
      </c>
      <c r="J1118" s="8" t="e">
        <f t="shared" si="70"/>
        <v>#DIV/0!</v>
      </c>
      <c r="K1118" s="8">
        <f t="shared" si="68"/>
        <v>-1</v>
      </c>
    </row>
    <row r="1119" spans="1:11" x14ac:dyDescent="0.25">
      <c r="A1119" t="str">
        <f t="shared" si="69"/>
        <v>11900</v>
      </c>
      <c r="I1119" s="8" t="e">
        <f t="shared" si="67"/>
        <v>#DIV/0!</v>
      </c>
      <c r="J1119" s="8" t="e">
        <f t="shared" si="70"/>
        <v>#DIV/0!</v>
      </c>
      <c r="K1119" s="8">
        <f t="shared" si="68"/>
        <v>-1</v>
      </c>
    </row>
    <row r="1120" spans="1:11" x14ac:dyDescent="0.25">
      <c r="A1120" t="str">
        <f t="shared" si="69"/>
        <v>11900</v>
      </c>
      <c r="I1120" s="8" t="e">
        <f t="shared" si="67"/>
        <v>#DIV/0!</v>
      </c>
      <c r="J1120" s="8" t="e">
        <f t="shared" si="70"/>
        <v>#DIV/0!</v>
      </c>
      <c r="K1120" s="8">
        <f t="shared" si="68"/>
        <v>-1</v>
      </c>
    </row>
    <row r="1121" spans="1:11" x14ac:dyDescent="0.25">
      <c r="A1121" t="str">
        <f t="shared" si="69"/>
        <v>11900</v>
      </c>
      <c r="I1121" s="8" t="e">
        <f t="shared" si="67"/>
        <v>#DIV/0!</v>
      </c>
      <c r="J1121" s="8" t="e">
        <f t="shared" si="70"/>
        <v>#DIV/0!</v>
      </c>
      <c r="K1121" s="8">
        <f t="shared" si="68"/>
        <v>-1</v>
      </c>
    </row>
    <row r="1122" spans="1:11" x14ac:dyDescent="0.25">
      <c r="A1122" t="str">
        <f t="shared" si="69"/>
        <v>11900</v>
      </c>
      <c r="I1122" s="8" t="e">
        <f t="shared" si="67"/>
        <v>#DIV/0!</v>
      </c>
      <c r="J1122" s="8" t="e">
        <f t="shared" si="70"/>
        <v>#DIV/0!</v>
      </c>
      <c r="K1122" s="8">
        <f t="shared" si="68"/>
        <v>-1</v>
      </c>
    </row>
    <row r="1123" spans="1:11" x14ac:dyDescent="0.25">
      <c r="A1123" t="str">
        <f t="shared" si="69"/>
        <v>11900</v>
      </c>
      <c r="I1123" s="8" t="e">
        <f t="shared" si="67"/>
        <v>#DIV/0!</v>
      </c>
      <c r="J1123" s="8" t="e">
        <f t="shared" si="70"/>
        <v>#DIV/0!</v>
      </c>
      <c r="K1123" s="8">
        <f t="shared" si="68"/>
        <v>-1</v>
      </c>
    </row>
    <row r="1124" spans="1:11" x14ac:dyDescent="0.25">
      <c r="A1124" t="str">
        <f t="shared" si="69"/>
        <v>11900</v>
      </c>
      <c r="I1124" s="8" t="e">
        <f t="shared" si="67"/>
        <v>#DIV/0!</v>
      </c>
      <c r="J1124" s="8" t="e">
        <f t="shared" si="70"/>
        <v>#DIV/0!</v>
      </c>
      <c r="K1124" s="8">
        <f t="shared" si="68"/>
        <v>-1</v>
      </c>
    </row>
    <row r="1125" spans="1:11" x14ac:dyDescent="0.25">
      <c r="A1125" t="str">
        <f t="shared" si="69"/>
        <v>11900</v>
      </c>
      <c r="I1125" s="8" t="e">
        <f t="shared" si="67"/>
        <v>#DIV/0!</v>
      </c>
      <c r="J1125" s="8" t="e">
        <f t="shared" si="70"/>
        <v>#DIV/0!</v>
      </c>
      <c r="K1125" s="8">
        <f t="shared" si="68"/>
        <v>-1</v>
      </c>
    </row>
    <row r="1126" spans="1:11" x14ac:dyDescent="0.25">
      <c r="A1126" t="str">
        <f t="shared" si="69"/>
        <v>11900</v>
      </c>
      <c r="I1126" s="8" t="e">
        <f t="shared" si="67"/>
        <v>#DIV/0!</v>
      </c>
      <c r="J1126" s="8" t="e">
        <f t="shared" si="70"/>
        <v>#DIV/0!</v>
      </c>
      <c r="K1126" s="8">
        <f t="shared" si="68"/>
        <v>-1</v>
      </c>
    </row>
    <row r="1127" spans="1:11" x14ac:dyDescent="0.25">
      <c r="A1127" t="str">
        <f t="shared" si="69"/>
        <v>11900</v>
      </c>
      <c r="I1127" s="8" t="e">
        <f t="shared" si="67"/>
        <v>#DIV/0!</v>
      </c>
      <c r="J1127" s="8" t="e">
        <f t="shared" si="70"/>
        <v>#DIV/0!</v>
      </c>
      <c r="K1127" s="8">
        <f t="shared" si="68"/>
        <v>-1</v>
      </c>
    </row>
    <row r="1128" spans="1:11" x14ac:dyDescent="0.25">
      <c r="A1128" t="str">
        <f t="shared" si="69"/>
        <v>11900</v>
      </c>
      <c r="I1128" s="8" t="e">
        <f t="shared" si="67"/>
        <v>#DIV/0!</v>
      </c>
      <c r="J1128" s="8" t="e">
        <f t="shared" si="70"/>
        <v>#DIV/0!</v>
      </c>
      <c r="K1128" s="8">
        <f t="shared" si="68"/>
        <v>-1</v>
      </c>
    </row>
    <row r="1129" spans="1:11" x14ac:dyDescent="0.25">
      <c r="A1129" t="str">
        <f t="shared" si="69"/>
        <v>11900</v>
      </c>
      <c r="I1129" s="8" t="e">
        <f t="shared" si="67"/>
        <v>#DIV/0!</v>
      </c>
      <c r="J1129" s="8" t="e">
        <f t="shared" si="70"/>
        <v>#DIV/0!</v>
      </c>
      <c r="K1129" s="8">
        <f t="shared" si="68"/>
        <v>-1</v>
      </c>
    </row>
    <row r="1130" spans="1:11" x14ac:dyDescent="0.25">
      <c r="A1130" t="str">
        <f t="shared" si="69"/>
        <v>11900</v>
      </c>
      <c r="I1130" s="8" t="e">
        <f t="shared" si="67"/>
        <v>#DIV/0!</v>
      </c>
      <c r="J1130" s="8" t="e">
        <f t="shared" si="70"/>
        <v>#DIV/0!</v>
      </c>
      <c r="K1130" s="8">
        <f t="shared" si="68"/>
        <v>-1</v>
      </c>
    </row>
    <row r="1131" spans="1:11" x14ac:dyDescent="0.25">
      <c r="A1131" t="str">
        <f t="shared" si="69"/>
        <v>11900</v>
      </c>
      <c r="I1131" s="8" t="e">
        <f t="shared" si="67"/>
        <v>#DIV/0!</v>
      </c>
      <c r="J1131" s="8" t="e">
        <f t="shared" si="70"/>
        <v>#DIV/0!</v>
      </c>
      <c r="K1131" s="8">
        <f t="shared" si="68"/>
        <v>-1</v>
      </c>
    </row>
    <row r="1132" spans="1:11" x14ac:dyDescent="0.25">
      <c r="A1132" t="str">
        <f t="shared" si="69"/>
        <v>11900</v>
      </c>
      <c r="I1132" s="8" t="e">
        <f t="shared" si="67"/>
        <v>#DIV/0!</v>
      </c>
      <c r="J1132" s="8" t="e">
        <f t="shared" si="70"/>
        <v>#DIV/0!</v>
      </c>
      <c r="K1132" s="8">
        <f t="shared" si="68"/>
        <v>-1</v>
      </c>
    </row>
    <row r="1133" spans="1:11" x14ac:dyDescent="0.25">
      <c r="A1133" t="str">
        <f t="shared" si="69"/>
        <v>11900</v>
      </c>
      <c r="I1133" s="8" t="e">
        <f t="shared" si="67"/>
        <v>#DIV/0!</v>
      </c>
      <c r="J1133" s="8" t="e">
        <f t="shared" si="70"/>
        <v>#DIV/0!</v>
      </c>
      <c r="K1133" s="8">
        <f t="shared" si="68"/>
        <v>-1</v>
      </c>
    </row>
    <row r="1134" spans="1:11" x14ac:dyDescent="0.25">
      <c r="A1134" t="str">
        <f t="shared" si="69"/>
        <v>11900</v>
      </c>
      <c r="I1134" s="8" t="e">
        <f t="shared" si="67"/>
        <v>#DIV/0!</v>
      </c>
      <c r="J1134" s="8" t="e">
        <f t="shared" si="70"/>
        <v>#DIV/0!</v>
      </c>
      <c r="K1134" s="8">
        <f t="shared" si="68"/>
        <v>-1</v>
      </c>
    </row>
    <row r="1135" spans="1:11" x14ac:dyDescent="0.25">
      <c r="A1135" t="str">
        <f t="shared" si="69"/>
        <v>11900</v>
      </c>
      <c r="I1135" s="8" t="e">
        <f t="shared" si="67"/>
        <v>#DIV/0!</v>
      </c>
      <c r="J1135" s="8" t="e">
        <f t="shared" si="70"/>
        <v>#DIV/0!</v>
      </c>
      <c r="K1135" s="8">
        <f t="shared" si="68"/>
        <v>-1</v>
      </c>
    </row>
    <row r="1136" spans="1:11" x14ac:dyDescent="0.25">
      <c r="A1136" t="str">
        <f t="shared" si="69"/>
        <v>11900</v>
      </c>
      <c r="I1136" s="8" t="e">
        <f t="shared" si="67"/>
        <v>#DIV/0!</v>
      </c>
      <c r="J1136" s="8" t="e">
        <f t="shared" si="70"/>
        <v>#DIV/0!</v>
      </c>
      <c r="K1136" s="8">
        <f t="shared" si="68"/>
        <v>-1</v>
      </c>
    </row>
    <row r="1137" spans="1:11" x14ac:dyDescent="0.25">
      <c r="A1137" t="str">
        <f t="shared" si="69"/>
        <v>11900</v>
      </c>
      <c r="I1137" s="8" t="e">
        <f t="shared" si="67"/>
        <v>#DIV/0!</v>
      </c>
      <c r="J1137" s="8" t="e">
        <f t="shared" si="70"/>
        <v>#DIV/0!</v>
      </c>
      <c r="K1137" s="8">
        <f t="shared" si="68"/>
        <v>-1</v>
      </c>
    </row>
    <row r="1138" spans="1:11" x14ac:dyDescent="0.25">
      <c r="A1138" t="str">
        <f t="shared" si="69"/>
        <v>11900</v>
      </c>
      <c r="I1138" s="8" t="e">
        <f t="shared" si="67"/>
        <v>#DIV/0!</v>
      </c>
      <c r="J1138" s="8" t="e">
        <f t="shared" si="70"/>
        <v>#DIV/0!</v>
      </c>
      <c r="K1138" s="8">
        <f t="shared" si="68"/>
        <v>-1</v>
      </c>
    </row>
    <row r="1139" spans="1:11" x14ac:dyDescent="0.25">
      <c r="A1139" t="str">
        <f t="shared" si="69"/>
        <v>11900</v>
      </c>
      <c r="I1139" s="8" t="e">
        <f t="shared" si="67"/>
        <v>#DIV/0!</v>
      </c>
      <c r="J1139" s="8" t="e">
        <f t="shared" si="70"/>
        <v>#DIV/0!</v>
      </c>
      <c r="K1139" s="8">
        <f t="shared" si="68"/>
        <v>-1</v>
      </c>
    </row>
    <row r="1140" spans="1:11" x14ac:dyDescent="0.25">
      <c r="A1140" t="str">
        <f t="shared" si="69"/>
        <v>11900</v>
      </c>
      <c r="I1140" s="8" t="e">
        <f t="shared" si="67"/>
        <v>#DIV/0!</v>
      </c>
      <c r="J1140" s="8" t="e">
        <f t="shared" si="70"/>
        <v>#DIV/0!</v>
      </c>
      <c r="K1140" s="8">
        <f t="shared" si="68"/>
        <v>-1</v>
      </c>
    </row>
    <row r="1141" spans="1:11" x14ac:dyDescent="0.25">
      <c r="A1141" t="str">
        <f t="shared" si="69"/>
        <v>11900</v>
      </c>
      <c r="I1141" s="8" t="e">
        <f t="shared" si="67"/>
        <v>#DIV/0!</v>
      </c>
      <c r="J1141" s="8" t="e">
        <f t="shared" si="70"/>
        <v>#DIV/0!</v>
      </c>
      <c r="K1141" s="8" t="e">
        <f t="shared" si="68"/>
        <v>#DIV/0!</v>
      </c>
    </row>
    <row r="1142" spans="1:11" x14ac:dyDescent="0.25">
      <c r="A1142" t="str">
        <f t="shared" si="69"/>
        <v>11900</v>
      </c>
      <c r="I1142" s="8" t="e">
        <f t="shared" si="67"/>
        <v>#DIV/0!</v>
      </c>
      <c r="J1142" s="8" t="e">
        <f t="shared" si="70"/>
        <v>#DIV/0!</v>
      </c>
      <c r="K1142" s="8" t="e">
        <f t="shared" si="68"/>
        <v>#DIV/0!</v>
      </c>
    </row>
    <row r="1143" spans="1:11" x14ac:dyDescent="0.25">
      <c r="A1143" t="str">
        <f t="shared" si="69"/>
        <v>11900</v>
      </c>
      <c r="I1143" s="8" t="e">
        <f t="shared" si="67"/>
        <v>#DIV/0!</v>
      </c>
      <c r="J1143" s="8" t="e">
        <f t="shared" si="70"/>
        <v>#DIV/0!</v>
      </c>
      <c r="K1143" s="8" t="e">
        <f t="shared" si="68"/>
        <v>#DIV/0!</v>
      </c>
    </row>
    <row r="1144" spans="1:11" x14ac:dyDescent="0.25">
      <c r="A1144" t="str">
        <f t="shared" si="69"/>
        <v>11900</v>
      </c>
      <c r="I1144" s="8" t="e">
        <f t="shared" ref="I1144:I1207" si="71">+G1144/G1143-1</f>
        <v>#DIV/0!</v>
      </c>
      <c r="J1144" s="8" t="e">
        <f t="shared" si="70"/>
        <v>#DIV/0!</v>
      </c>
      <c r="K1144" s="8" t="e">
        <f t="shared" si="68"/>
        <v>#DIV/0!</v>
      </c>
    </row>
    <row r="1145" spans="1:11" x14ac:dyDescent="0.25">
      <c r="A1145" t="str">
        <f t="shared" si="69"/>
        <v>11900</v>
      </c>
      <c r="I1145" s="8" t="e">
        <f t="shared" si="71"/>
        <v>#DIV/0!</v>
      </c>
      <c r="J1145" s="8" t="e">
        <f t="shared" si="70"/>
        <v>#DIV/0!</v>
      </c>
      <c r="K1145" s="8" t="e">
        <f t="shared" si="68"/>
        <v>#DIV/0!</v>
      </c>
    </row>
    <row r="1146" spans="1:11" x14ac:dyDescent="0.25">
      <c r="A1146" t="str">
        <f t="shared" si="69"/>
        <v>11900</v>
      </c>
      <c r="I1146" s="8" t="e">
        <f t="shared" si="71"/>
        <v>#DIV/0!</v>
      </c>
      <c r="J1146" s="8" t="e">
        <f t="shared" si="70"/>
        <v>#DIV/0!</v>
      </c>
      <c r="K1146" s="8" t="e">
        <f t="shared" si="68"/>
        <v>#DIV/0!</v>
      </c>
    </row>
    <row r="1147" spans="1:11" x14ac:dyDescent="0.25">
      <c r="A1147" t="str">
        <f t="shared" si="69"/>
        <v>11900</v>
      </c>
      <c r="I1147" s="8" t="e">
        <f t="shared" si="71"/>
        <v>#DIV/0!</v>
      </c>
      <c r="J1147" s="8" t="e">
        <f t="shared" si="70"/>
        <v>#DIV/0!</v>
      </c>
      <c r="K1147" s="8" t="e">
        <f t="shared" si="68"/>
        <v>#DIV/0!</v>
      </c>
    </row>
    <row r="1148" spans="1:11" x14ac:dyDescent="0.25">
      <c r="A1148" t="str">
        <f t="shared" si="69"/>
        <v>11900</v>
      </c>
      <c r="I1148" s="8" t="e">
        <f t="shared" si="71"/>
        <v>#DIV/0!</v>
      </c>
      <c r="J1148" s="8" t="e">
        <f t="shared" si="70"/>
        <v>#DIV/0!</v>
      </c>
      <c r="K1148" s="8" t="e">
        <f t="shared" si="68"/>
        <v>#DIV/0!</v>
      </c>
    </row>
    <row r="1149" spans="1:11" x14ac:dyDescent="0.25">
      <c r="A1149" t="str">
        <f t="shared" si="69"/>
        <v>11900</v>
      </c>
      <c r="I1149" s="8" t="e">
        <f t="shared" si="71"/>
        <v>#DIV/0!</v>
      </c>
      <c r="J1149" s="8" t="e">
        <f t="shared" si="70"/>
        <v>#DIV/0!</v>
      </c>
      <c r="K1149" s="8" t="e">
        <f t="shared" si="68"/>
        <v>#DIV/0!</v>
      </c>
    </row>
    <row r="1150" spans="1:11" x14ac:dyDescent="0.25">
      <c r="A1150" t="str">
        <f t="shared" si="69"/>
        <v>11900</v>
      </c>
      <c r="I1150" s="8" t="e">
        <f t="shared" si="71"/>
        <v>#DIV/0!</v>
      </c>
      <c r="J1150" s="8" t="e">
        <f t="shared" si="70"/>
        <v>#DIV/0!</v>
      </c>
      <c r="K1150" s="8" t="e">
        <f t="shared" si="68"/>
        <v>#DIV/0!</v>
      </c>
    </row>
    <row r="1151" spans="1:11" x14ac:dyDescent="0.25">
      <c r="A1151" t="str">
        <f t="shared" si="69"/>
        <v>11900</v>
      </c>
      <c r="I1151" s="8" t="e">
        <f t="shared" si="71"/>
        <v>#DIV/0!</v>
      </c>
      <c r="J1151" s="8" t="e">
        <f t="shared" si="70"/>
        <v>#DIV/0!</v>
      </c>
      <c r="K1151" s="8" t="e">
        <f t="shared" si="68"/>
        <v>#DIV/0!</v>
      </c>
    </row>
    <row r="1152" spans="1:11" x14ac:dyDescent="0.25">
      <c r="A1152" t="str">
        <f t="shared" si="69"/>
        <v>11900</v>
      </c>
      <c r="I1152" s="8" t="e">
        <f t="shared" si="71"/>
        <v>#DIV/0!</v>
      </c>
      <c r="J1152" s="8" t="e">
        <f t="shared" si="70"/>
        <v>#DIV/0!</v>
      </c>
      <c r="K1152" s="8" t="e">
        <f t="shared" ref="K1152:K1215" si="72">+G1152/G1091-1</f>
        <v>#DIV/0!</v>
      </c>
    </row>
    <row r="1153" spans="1:11" x14ac:dyDescent="0.25">
      <c r="A1153" t="str">
        <f t="shared" si="69"/>
        <v>11900</v>
      </c>
      <c r="I1153" s="8" t="e">
        <f t="shared" si="71"/>
        <v>#DIV/0!</v>
      </c>
      <c r="J1153" s="8" t="e">
        <f t="shared" si="70"/>
        <v>#DIV/0!</v>
      </c>
      <c r="K1153" s="8" t="e">
        <f t="shared" si="72"/>
        <v>#DIV/0!</v>
      </c>
    </row>
    <row r="1154" spans="1:11" x14ac:dyDescent="0.25">
      <c r="A1154" t="str">
        <f t="shared" si="69"/>
        <v>11900</v>
      </c>
      <c r="I1154" s="8" t="e">
        <f t="shared" si="71"/>
        <v>#DIV/0!</v>
      </c>
      <c r="J1154" s="8" t="e">
        <f t="shared" si="70"/>
        <v>#DIV/0!</v>
      </c>
      <c r="K1154" s="8" t="e">
        <f t="shared" si="72"/>
        <v>#DIV/0!</v>
      </c>
    </row>
    <row r="1155" spans="1:11" x14ac:dyDescent="0.25">
      <c r="A1155" t="str">
        <f t="shared" ref="A1155:A1218" si="73">+MONTH(B1155)&amp;YEAR(B1155)</f>
        <v>11900</v>
      </c>
      <c r="I1155" s="8" t="e">
        <f t="shared" si="71"/>
        <v>#DIV/0!</v>
      </c>
      <c r="J1155" s="8" t="e">
        <f t="shared" si="70"/>
        <v>#DIV/0!</v>
      </c>
      <c r="K1155" s="8" t="e">
        <f t="shared" si="72"/>
        <v>#DIV/0!</v>
      </c>
    </row>
    <row r="1156" spans="1:11" x14ac:dyDescent="0.25">
      <c r="A1156" t="str">
        <f t="shared" si="73"/>
        <v>11900</v>
      </c>
      <c r="I1156" s="8" t="e">
        <f t="shared" si="71"/>
        <v>#DIV/0!</v>
      </c>
      <c r="J1156" s="8" t="e">
        <f t="shared" ref="J1156:J1219" si="74">+LN(1+I1156)</f>
        <v>#DIV/0!</v>
      </c>
      <c r="K1156" s="8" t="e">
        <f t="shared" si="72"/>
        <v>#DIV/0!</v>
      </c>
    </row>
    <row r="1157" spans="1:11" x14ac:dyDescent="0.25">
      <c r="A1157" t="str">
        <f t="shared" si="73"/>
        <v>11900</v>
      </c>
      <c r="I1157" s="8" t="e">
        <f t="shared" si="71"/>
        <v>#DIV/0!</v>
      </c>
      <c r="J1157" s="8" t="e">
        <f t="shared" si="74"/>
        <v>#DIV/0!</v>
      </c>
      <c r="K1157" s="8" t="e">
        <f t="shared" si="72"/>
        <v>#DIV/0!</v>
      </c>
    </row>
    <row r="1158" spans="1:11" x14ac:dyDescent="0.25">
      <c r="A1158" t="str">
        <f t="shared" si="73"/>
        <v>11900</v>
      </c>
      <c r="I1158" s="8" t="e">
        <f t="shared" si="71"/>
        <v>#DIV/0!</v>
      </c>
      <c r="J1158" s="8" t="e">
        <f t="shared" si="74"/>
        <v>#DIV/0!</v>
      </c>
      <c r="K1158" s="8" t="e">
        <f t="shared" si="72"/>
        <v>#DIV/0!</v>
      </c>
    </row>
    <row r="1159" spans="1:11" x14ac:dyDescent="0.25">
      <c r="A1159" t="str">
        <f t="shared" si="73"/>
        <v>11900</v>
      </c>
      <c r="I1159" s="8" t="e">
        <f t="shared" si="71"/>
        <v>#DIV/0!</v>
      </c>
      <c r="J1159" s="8" t="e">
        <f t="shared" si="74"/>
        <v>#DIV/0!</v>
      </c>
      <c r="K1159" s="8" t="e">
        <f t="shared" si="72"/>
        <v>#DIV/0!</v>
      </c>
    </row>
    <row r="1160" spans="1:11" x14ac:dyDescent="0.25">
      <c r="A1160" t="str">
        <f t="shared" si="73"/>
        <v>11900</v>
      </c>
      <c r="I1160" s="8" t="e">
        <f t="shared" si="71"/>
        <v>#DIV/0!</v>
      </c>
      <c r="J1160" s="8" t="e">
        <f t="shared" si="74"/>
        <v>#DIV/0!</v>
      </c>
      <c r="K1160" s="8" t="e">
        <f t="shared" si="72"/>
        <v>#DIV/0!</v>
      </c>
    </row>
    <row r="1161" spans="1:11" x14ac:dyDescent="0.25">
      <c r="A1161" t="str">
        <f t="shared" si="73"/>
        <v>11900</v>
      </c>
      <c r="I1161" s="8" t="e">
        <f t="shared" si="71"/>
        <v>#DIV/0!</v>
      </c>
      <c r="J1161" s="8" t="e">
        <f t="shared" si="74"/>
        <v>#DIV/0!</v>
      </c>
      <c r="K1161" s="8" t="e">
        <f t="shared" si="72"/>
        <v>#DIV/0!</v>
      </c>
    </row>
    <row r="1162" spans="1:11" x14ac:dyDescent="0.25">
      <c r="A1162" t="str">
        <f t="shared" si="73"/>
        <v>11900</v>
      </c>
      <c r="I1162" s="8" t="e">
        <f t="shared" si="71"/>
        <v>#DIV/0!</v>
      </c>
      <c r="J1162" s="8" t="e">
        <f t="shared" si="74"/>
        <v>#DIV/0!</v>
      </c>
      <c r="K1162" s="8" t="e">
        <f t="shared" si="72"/>
        <v>#DIV/0!</v>
      </c>
    </row>
    <row r="1163" spans="1:11" x14ac:dyDescent="0.25">
      <c r="A1163" t="str">
        <f t="shared" si="73"/>
        <v>11900</v>
      </c>
      <c r="I1163" s="8" t="e">
        <f t="shared" si="71"/>
        <v>#DIV/0!</v>
      </c>
      <c r="J1163" s="8" t="e">
        <f t="shared" si="74"/>
        <v>#DIV/0!</v>
      </c>
      <c r="K1163" s="8" t="e">
        <f t="shared" si="72"/>
        <v>#DIV/0!</v>
      </c>
    </row>
    <row r="1164" spans="1:11" x14ac:dyDescent="0.25">
      <c r="A1164" t="str">
        <f t="shared" si="73"/>
        <v>11900</v>
      </c>
      <c r="I1164" s="8" t="e">
        <f t="shared" si="71"/>
        <v>#DIV/0!</v>
      </c>
      <c r="J1164" s="8" t="e">
        <f t="shared" si="74"/>
        <v>#DIV/0!</v>
      </c>
      <c r="K1164" s="8" t="e">
        <f t="shared" si="72"/>
        <v>#DIV/0!</v>
      </c>
    </row>
    <row r="1165" spans="1:11" x14ac:dyDescent="0.25">
      <c r="A1165" t="str">
        <f t="shared" si="73"/>
        <v>11900</v>
      </c>
      <c r="I1165" s="8" t="e">
        <f t="shared" si="71"/>
        <v>#DIV/0!</v>
      </c>
      <c r="J1165" s="8" t="e">
        <f t="shared" si="74"/>
        <v>#DIV/0!</v>
      </c>
      <c r="K1165" s="8" t="e">
        <f t="shared" si="72"/>
        <v>#DIV/0!</v>
      </c>
    </row>
    <row r="1166" spans="1:11" x14ac:dyDescent="0.25">
      <c r="A1166" t="str">
        <f t="shared" si="73"/>
        <v>11900</v>
      </c>
      <c r="I1166" s="8" t="e">
        <f t="shared" si="71"/>
        <v>#DIV/0!</v>
      </c>
      <c r="J1166" s="8" t="e">
        <f t="shared" si="74"/>
        <v>#DIV/0!</v>
      </c>
      <c r="K1166" s="8" t="e">
        <f t="shared" si="72"/>
        <v>#DIV/0!</v>
      </c>
    </row>
    <row r="1167" spans="1:11" x14ac:dyDescent="0.25">
      <c r="A1167" t="str">
        <f t="shared" si="73"/>
        <v>11900</v>
      </c>
      <c r="I1167" s="8" t="e">
        <f t="shared" si="71"/>
        <v>#DIV/0!</v>
      </c>
      <c r="J1167" s="8" t="e">
        <f t="shared" si="74"/>
        <v>#DIV/0!</v>
      </c>
      <c r="K1167" s="8" t="e">
        <f t="shared" si="72"/>
        <v>#DIV/0!</v>
      </c>
    </row>
    <row r="1168" spans="1:11" x14ac:dyDescent="0.25">
      <c r="A1168" t="str">
        <f t="shared" si="73"/>
        <v>11900</v>
      </c>
      <c r="I1168" s="8" t="e">
        <f t="shared" si="71"/>
        <v>#DIV/0!</v>
      </c>
      <c r="J1168" s="8" t="e">
        <f t="shared" si="74"/>
        <v>#DIV/0!</v>
      </c>
      <c r="K1168" s="8" t="e">
        <f t="shared" si="72"/>
        <v>#DIV/0!</v>
      </c>
    </row>
    <row r="1169" spans="1:11" x14ac:dyDescent="0.25">
      <c r="A1169" t="str">
        <f t="shared" si="73"/>
        <v>11900</v>
      </c>
      <c r="I1169" s="8" t="e">
        <f t="shared" si="71"/>
        <v>#DIV/0!</v>
      </c>
      <c r="J1169" s="8" t="e">
        <f t="shared" si="74"/>
        <v>#DIV/0!</v>
      </c>
      <c r="K1169" s="8" t="e">
        <f t="shared" si="72"/>
        <v>#DIV/0!</v>
      </c>
    </row>
    <row r="1170" spans="1:11" x14ac:dyDescent="0.25">
      <c r="A1170" t="str">
        <f t="shared" si="73"/>
        <v>11900</v>
      </c>
      <c r="I1170" s="8" t="e">
        <f t="shared" si="71"/>
        <v>#DIV/0!</v>
      </c>
      <c r="J1170" s="8" t="e">
        <f t="shared" si="74"/>
        <v>#DIV/0!</v>
      </c>
      <c r="K1170" s="8" t="e">
        <f t="shared" si="72"/>
        <v>#DIV/0!</v>
      </c>
    </row>
    <row r="1171" spans="1:11" x14ac:dyDescent="0.25">
      <c r="A1171" t="str">
        <f t="shared" si="73"/>
        <v>11900</v>
      </c>
      <c r="I1171" s="8" t="e">
        <f t="shared" si="71"/>
        <v>#DIV/0!</v>
      </c>
      <c r="J1171" s="8" t="e">
        <f t="shared" si="74"/>
        <v>#DIV/0!</v>
      </c>
      <c r="K1171" s="8" t="e">
        <f t="shared" si="72"/>
        <v>#DIV/0!</v>
      </c>
    </row>
    <row r="1172" spans="1:11" x14ac:dyDescent="0.25">
      <c r="A1172" t="str">
        <f t="shared" si="73"/>
        <v>11900</v>
      </c>
      <c r="I1172" s="8" t="e">
        <f t="shared" si="71"/>
        <v>#DIV/0!</v>
      </c>
      <c r="J1172" s="8" t="e">
        <f t="shared" si="74"/>
        <v>#DIV/0!</v>
      </c>
      <c r="K1172" s="8" t="e">
        <f t="shared" si="72"/>
        <v>#DIV/0!</v>
      </c>
    </row>
    <row r="1173" spans="1:11" x14ac:dyDescent="0.25">
      <c r="A1173" t="str">
        <f t="shared" si="73"/>
        <v>11900</v>
      </c>
      <c r="I1173" s="8" t="e">
        <f t="shared" si="71"/>
        <v>#DIV/0!</v>
      </c>
      <c r="J1173" s="8" t="e">
        <f t="shared" si="74"/>
        <v>#DIV/0!</v>
      </c>
      <c r="K1173" s="8" t="e">
        <f t="shared" si="72"/>
        <v>#DIV/0!</v>
      </c>
    </row>
    <row r="1174" spans="1:11" x14ac:dyDescent="0.25">
      <c r="A1174" t="str">
        <f t="shared" si="73"/>
        <v>11900</v>
      </c>
      <c r="I1174" s="8" t="e">
        <f t="shared" si="71"/>
        <v>#DIV/0!</v>
      </c>
      <c r="J1174" s="8" t="e">
        <f t="shared" si="74"/>
        <v>#DIV/0!</v>
      </c>
      <c r="K1174" s="8" t="e">
        <f t="shared" si="72"/>
        <v>#DIV/0!</v>
      </c>
    </row>
    <row r="1175" spans="1:11" x14ac:dyDescent="0.25">
      <c r="A1175" t="str">
        <f t="shared" si="73"/>
        <v>11900</v>
      </c>
      <c r="I1175" s="8" t="e">
        <f t="shared" si="71"/>
        <v>#DIV/0!</v>
      </c>
      <c r="J1175" s="8" t="e">
        <f t="shared" si="74"/>
        <v>#DIV/0!</v>
      </c>
      <c r="K1175" s="8" t="e">
        <f t="shared" si="72"/>
        <v>#DIV/0!</v>
      </c>
    </row>
    <row r="1176" spans="1:11" x14ac:dyDescent="0.25">
      <c r="A1176" t="str">
        <f t="shared" si="73"/>
        <v>11900</v>
      </c>
      <c r="I1176" s="8" t="e">
        <f t="shared" si="71"/>
        <v>#DIV/0!</v>
      </c>
      <c r="J1176" s="8" t="e">
        <f t="shared" si="74"/>
        <v>#DIV/0!</v>
      </c>
      <c r="K1176" s="8" t="e">
        <f t="shared" si="72"/>
        <v>#DIV/0!</v>
      </c>
    </row>
    <row r="1177" spans="1:11" x14ac:dyDescent="0.25">
      <c r="A1177" t="str">
        <f t="shared" si="73"/>
        <v>11900</v>
      </c>
      <c r="I1177" s="8" t="e">
        <f t="shared" si="71"/>
        <v>#DIV/0!</v>
      </c>
      <c r="J1177" s="8" t="e">
        <f t="shared" si="74"/>
        <v>#DIV/0!</v>
      </c>
      <c r="K1177" s="8" t="e">
        <f t="shared" si="72"/>
        <v>#DIV/0!</v>
      </c>
    </row>
    <row r="1178" spans="1:11" x14ac:dyDescent="0.25">
      <c r="A1178" t="str">
        <f t="shared" si="73"/>
        <v>11900</v>
      </c>
      <c r="I1178" s="8" t="e">
        <f t="shared" si="71"/>
        <v>#DIV/0!</v>
      </c>
      <c r="J1178" s="8" t="e">
        <f t="shared" si="74"/>
        <v>#DIV/0!</v>
      </c>
      <c r="K1178" s="8" t="e">
        <f t="shared" si="72"/>
        <v>#DIV/0!</v>
      </c>
    </row>
    <row r="1179" spans="1:11" x14ac:dyDescent="0.25">
      <c r="A1179" t="str">
        <f t="shared" si="73"/>
        <v>11900</v>
      </c>
      <c r="I1179" s="8" t="e">
        <f t="shared" si="71"/>
        <v>#DIV/0!</v>
      </c>
      <c r="J1179" s="8" t="e">
        <f t="shared" si="74"/>
        <v>#DIV/0!</v>
      </c>
      <c r="K1179" s="8" t="e">
        <f t="shared" si="72"/>
        <v>#DIV/0!</v>
      </c>
    </row>
    <row r="1180" spans="1:11" x14ac:dyDescent="0.25">
      <c r="A1180" t="str">
        <f t="shared" si="73"/>
        <v>11900</v>
      </c>
      <c r="I1180" s="8" t="e">
        <f t="shared" si="71"/>
        <v>#DIV/0!</v>
      </c>
      <c r="J1180" s="8" t="e">
        <f t="shared" si="74"/>
        <v>#DIV/0!</v>
      </c>
      <c r="K1180" s="8" t="e">
        <f t="shared" si="72"/>
        <v>#DIV/0!</v>
      </c>
    </row>
    <row r="1181" spans="1:11" x14ac:dyDescent="0.25">
      <c r="A1181" t="str">
        <f t="shared" si="73"/>
        <v>11900</v>
      </c>
      <c r="I1181" s="8" t="e">
        <f t="shared" si="71"/>
        <v>#DIV/0!</v>
      </c>
      <c r="J1181" s="8" t="e">
        <f t="shared" si="74"/>
        <v>#DIV/0!</v>
      </c>
      <c r="K1181" s="8" t="e">
        <f t="shared" si="72"/>
        <v>#DIV/0!</v>
      </c>
    </row>
    <row r="1182" spans="1:11" x14ac:dyDescent="0.25">
      <c r="A1182" t="str">
        <f t="shared" si="73"/>
        <v>11900</v>
      </c>
      <c r="I1182" s="8" t="e">
        <f t="shared" si="71"/>
        <v>#DIV/0!</v>
      </c>
      <c r="J1182" s="8" t="e">
        <f t="shared" si="74"/>
        <v>#DIV/0!</v>
      </c>
      <c r="K1182" s="8" t="e">
        <f t="shared" si="72"/>
        <v>#DIV/0!</v>
      </c>
    </row>
    <row r="1183" spans="1:11" x14ac:dyDescent="0.25">
      <c r="A1183" t="str">
        <f t="shared" si="73"/>
        <v>11900</v>
      </c>
      <c r="I1183" s="8" t="e">
        <f t="shared" si="71"/>
        <v>#DIV/0!</v>
      </c>
      <c r="J1183" s="8" t="e">
        <f t="shared" si="74"/>
        <v>#DIV/0!</v>
      </c>
      <c r="K1183" s="8" t="e">
        <f t="shared" si="72"/>
        <v>#DIV/0!</v>
      </c>
    </row>
    <row r="1184" spans="1:11" x14ac:dyDescent="0.25">
      <c r="A1184" t="str">
        <f t="shared" si="73"/>
        <v>11900</v>
      </c>
      <c r="I1184" s="8" t="e">
        <f t="shared" si="71"/>
        <v>#DIV/0!</v>
      </c>
      <c r="J1184" s="8" t="e">
        <f t="shared" si="74"/>
        <v>#DIV/0!</v>
      </c>
      <c r="K1184" s="8" t="e">
        <f t="shared" si="72"/>
        <v>#DIV/0!</v>
      </c>
    </row>
    <row r="1185" spans="1:11" x14ac:dyDescent="0.25">
      <c r="A1185" t="str">
        <f t="shared" si="73"/>
        <v>11900</v>
      </c>
      <c r="I1185" s="8" t="e">
        <f t="shared" si="71"/>
        <v>#DIV/0!</v>
      </c>
      <c r="J1185" s="8" t="e">
        <f t="shared" si="74"/>
        <v>#DIV/0!</v>
      </c>
      <c r="K1185" s="8" t="e">
        <f t="shared" si="72"/>
        <v>#DIV/0!</v>
      </c>
    </row>
    <row r="1186" spans="1:11" x14ac:dyDescent="0.25">
      <c r="A1186" t="str">
        <f t="shared" si="73"/>
        <v>11900</v>
      </c>
      <c r="I1186" s="8" t="e">
        <f t="shared" si="71"/>
        <v>#DIV/0!</v>
      </c>
      <c r="J1186" s="8" t="e">
        <f t="shared" si="74"/>
        <v>#DIV/0!</v>
      </c>
      <c r="K1186" s="8" t="e">
        <f t="shared" si="72"/>
        <v>#DIV/0!</v>
      </c>
    </row>
    <row r="1187" spans="1:11" x14ac:dyDescent="0.25">
      <c r="A1187" t="str">
        <f t="shared" si="73"/>
        <v>11900</v>
      </c>
      <c r="I1187" s="8" t="e">
        <f t="shared" si="71"/>
        <v>#DIV/0!</v>
      </c>
      <c r="J1187" s="8" t="e">
        <f t="shared" si="74"/>
        <v>#DIV/0!</v>
      </c>
      <c r="K1187" s="8" t="e">
        <f t="shared" si="72"/>
        <v>#DIV/0!</v>
      </c>
    </row>
    <row r="1188" spans="1:11" x14ac:dyDescent="0.25">
      <c r="A1188" t="str">
        <f t="shared" si="73"/>
        <v>11900</v>
      </c>
      <c r="I1188" s="8" t="e">
        <f t="shared" si="71"/>
        <v>#DIV/0!</v>
      </c>
      <c r="J1188" s="8" t="e">
        <f t="shared" si="74"/>
        <v>#DIV/0!</v>
      </c>
      <c r="K1188" s="8" t="e">
        <f t="shared" si="72"/>
        <v>#DIV/0!</v>
      </c>
    </row>
    <row r="1189" spans="1:11" x14ac:dyDescent="0.25">
      <c r="A1189" t="str">
        <f t="shared" si="73"/>
        <v>11900</v>
      </c>
      <c r="I1189" s="8" t="e">
        <f t="shared" si="71"/>
        <v>#DIV/0!</v>
      </c>
      <c r="J1189" s="8" t="e">
        <f t="shared" si="74"/>
        <v>#DIV/0!</v>
      </c>
      <c r="K1189" s="8" t="e">
        <f t="shared" si="72"/>
        <v>#DIV/0!</v>
      </c>
    </row>
    <row r="1190" spans="1:11" x14ac:dyDescent="0.25">
      <c r="A1190" t="str">
        <f t="shared" si="73"/>
        <v>11900</v>
      </c>
      <c r="I1190" s="8" t="e">
        <f t="shared" si="71"/>
        <v>#DIV/0!</v>
      </c>
      <c r="J1190" s="8" t="e">
        <f t="shared" si="74"/>
        <v>#DIV/0!</v>
      </c>
      <c r="K1190" s="8" t="e">
        <f t="shared" si="72"/>
        <v>#DIV/0!</v>
      </c>
    </row>
    <row r="1191" spans="1:11" x14ac:dyDescent="0.25">
      <c r="A1191" t="str">
        <f t="shared" si="73"/>
        <v>11900</v>
      </c>
      <c r="I1191" s="8" t="e">
        <f t="shared" si="71"/>
        <v>#DIV/0!</v>
      </c>
      <c r="J1191" s="8" t="e">
        <f t="shared" si="74"/>
        <v>#DIV/0!</v>
      </c>
      <c r="K1191" s="8" t="e">
        <f t="shared" si="72"/>
        <v>#DIV/0!</v>
      </c>
    </row>
    <row r="1192" spans="1:11" x14ac:dyDescent="0.25">
      <c r="A1192" t="str">
        <f t="shared" si="73"/>
        <v>11900</v>
      </c>
      <c r="I1192" s="8" t="e">
        <f t="shared" si="71"/>
        <v>#DIV/0!</v>
      </c>
      <c r="J1192" s="8" t="e">
        <f t="shared" si="74"/>
        <v>#DIV/0!</v>
      </c>
      <c r="K1192" s="8" t="e">
        <f t="shared" si="72"/>
        <v>#DIV/0!</v>
      </c>
    </row>
    <row r="1193" spans="1:11" x14ac:dyDescent="0.25">
      <c r="A1193" t="str">
        <f t="shared" si="73"/>
        <v>11900</v>
      </c>
      <c r="I1193" s="8" t="e">
        <f t="shared" si="71"/>
        <v>#DIV/0!</v>
      </c>
      <c r="J1193" s="8" t="e">
        <f t="shared" si="74"/>
        <v>#DIV/0!</v>
      </c>
      <c r="K1193" s="8" t="e">
        <f t="shared" si="72"/>
        <v>#DIV/0!</v>
      </c>
    </row>
    <row r="1194" spans="1:11" x14ac:dyDescent="0.25">
      <c r="A1194" t="str">
        <f t="shared" si="73"/>
        <v>11900</v>
      </c>
      <c r="I1194" s="8" t="e">
        <f t="shared" si="71"/>
        <v>#DIV/0!</v>
      </c>
      <c r="J1194" s="8" t="e">
        <f t="shared" si="74"/>
        <v>#DIV/0!</v>
      </c>
      <c r="K1194" s="8" t="e">
        <f t="shared" si="72"/>
        <v>#DIV/0!</v>
      </c>
    </row>
    <row r="1195" spans="1:11" x14ac:dyDescent="0.25">
      <c r="A1195" t="str">
        <f t="shared" si="73"/>
        <v>11900</v>
      </c>
      <c r="I1195" s="8" t="e">
        <f t="shared" si="71"/>
        <v>#DIV/0!</v>
      </c>
      <c r="J1195" s="8" t="e">
        <f t="shared" si="74"/>
        <v>#DIV/0!</v>
      </c>
      <c r="K1195" s="8" t="e">
        <f t="shared" si="72"/>
        <v>#DIV/0!</v>
      </c>
    </row>
    <row r="1196" spans="1:11" x14ac:dyDescent="0.25">
      <c r="A1196" t="str">
        <f t="shared" si="73"/>
        <v>11900</v>
      </c>
      <c r="I1196" s="8" t="e">
        <f t="shared" si="71"/>
        <v>#DIV/0!</v>
      </c>
      <c r="J1196" s="8" t="e">
        <f t="shared" si="74"/>
        <v>#DIV/0!</v>
      </c>
      <c r="K1196" s="8" t="e">
        <f t="shared" si="72"/>
        <v>#DIV/0!</v>
      </c>
    </row>
    <row r="1197" spans="1:11" x14ac:dyDescent="0.25">
      <c r="A1197" t="str">
        <f t="shared" si="73"/>
        <v>11900</v>
      </c>
      <c r="I1197" s="8" t="e">
        <f t="shared" si="71"/>
        <v>#DIV/0!</v>
      </c>
      <c r="J1197" s="8" t="e">
        <f t="shared" si="74"/>
        <v>#DIV/0!</v>
      </c>
      <c r="K1197" s="8" t="e">
        <f t="shared" si="72"/>
        <v>#DIV/0!</v>
      </c>
    </row>
    <row r="1198" spans="1:11" x14ac:dyDescent="0.25">
      <c r="A1198" t="str">
        <f t="shared" si="73"/>
        <v>11900</v>
      </c>
      <c r="I1198" s="8" t="e">
        <f t="shared" si="71"/>
        <v>#DIV/0!</v>
      </c>
      <c r="J1198" s="8" t="e">
        <f t="shared" si="74"/>
        <v>#DIV/0!</v>
      </c>
      <c r="K1198" s="8" t="e">
        <f t="shared" si="72"/>
        <v>#DIV/0!</v>
      </c>
    </row>
    <row r="1199" spans="1:11" x14ac:dyDescent="0.25">
      <c r="A1199" t="str">
        <f t="shared" si="73"/>
        <v>11900</v>
      </c>
      <c r="I1199" s="8" t="e">
        <f t="shared" si="71"/>
        <v>#DIV/0!</v>
      </c>
      <c r="J1199" s="8" t="e">
        <f t="shared" si="74"/>
        <v>#DIV/0!</v>
      </c>
      <c r="K1199" s="8" t="e">
        <f t="shared" si="72"/>
        <v>#DIV/0!</v>
      </c>
    </row>
    <row r="1200" spans="1:11" x14ac:dyDescent="0.25">
      <c r="A1200" t="str">
        <f t="shared" si="73"/>
        <v>11900</v>
      </c>
      <c r="I1200" s="8" t="e">
        <f t="shared" si="71"/>
        <v>#DIV/0!</v>
      </c>
      <c r="J1200" s="8" t="e">
        <f t="shared" si="74"/>
        <v>#DIV/0!</v>
      </c>
      <c r="K1200" s="8" t="e">
        <f t="shared" si="72"/>
        <v>#DIV/0!</v>
      </c>
    </row>
    <row r="1201" spans="1:11" x14ac:dyDescent="0.25">
      <c r="A1201" t="str">
        <f t="shared" si="73"/>
        <v>11900</v>
      </c>
      <c r="I1201" s="8" t="e">
        <f t="shared" si="71"/>
        <v>#DIV/0!</v>
      </c>
      <c r="J1201" s="8" t="e">
        <f t="shared" si="74"/>
        <v>#DIV/0!</v>
      </c>
      <c r="K1201" s="8" t="e">
        <f t="shared" si="72"/>
        <v>#DIV/0!</v>
      </c>
    </row>
    <row r="1202" spans="1:11" x14ac:dyDescent="0.25">
      <c r="A1202" t="str">
        <f t="shared" si="73"/>
        <v>11900</v>
      </c>
      <c r="I1202" s="8" t="e">
        <f t="shared" si="71"/>
        <v>#DIV/0!</v>
      </c>
      <c r="J1202" s="8" t="e">
        <f t="shared" si="74"/>
        <v>#DIV/0!</v>
      </c>
      <c r="K1202" s="8" t="e">
        <f t="shared" si="72"/>
        <v>#DIV/0!</v>
      </c>
    </row>
    <row r="1203" spans="1:11" x14ac:dyDescent="0.25">
      <c r="A1203" t="str">
        <f t="shared" si="73"/>
        <v>11900</v>
      </c>
      <c r="I1203" s="8" t="e">
        <f t="shared" si="71"/>
        <v>#DIV/0!</v>
      </c>
      <c r="J1203" s="8" t="e">
        <f t="shared" si="74"/>
        <v>#DIV/0!</v>
      </c>
      <c r="K1203" s="8" t="e">
        <f t="shared" si="72"/>
        <v>#DIV/0!</v>
      </c>
    </row>
    <row r="1204" spans="1:11" x14ac:dyDescent="0.25">
      <c r="A1204" t="str">
        <f t="shared" si="73"/>
        <v>11900</v>
      </c>
      <c r="I1204" s="8" t="e">
        <f t="shared" si="71"/>
        <v>#DIV/0!</v>
      </c>
      <c r="J1204" s="8" t="e">
        <f t="shared" si="74"/>
        <v>#DIV/0!</v>
      </c>
      <c r="K1204" s="8" t="e">
        <f t="shared" si="72"/>
        <v>#DIV/0!</v>
      </c>
    </row>
    <row r="1205" spans="1:11" x14ac:dyDescent="0.25">
      <c r="A1205" t="str">
        <f t="shared" si="73"/>
        <v>11900</v>
      </c>
      <c r="I1205" s="8" t="e">
        <f t="shared" si="71"/>
        <v>#DIV/0!</v>
      </c>
      <c r="J1205" s="8" t="e">
        <f t="shared" si="74"/>
        <v>#DIV/0!</v>
      </c>
      <c r="K1205" s="8" t="e">
        <f t="shared" si="72"/>
        <v>#DIV/0!</v>
      </c>
    </row>
    <row r="1206" spans="1:11" x14ac:dyDescent="0.25">
      <c r="A1206" t="str">
        <f t="shared" si="73"/>
        <v>11900</v>
      </c>
      <c r="I1206" s="8" t="e">
        <f t="shared" si="71"/>
        <v>#DIV/0!</v>
      </c>
      <c r="J1206" s="8" t="e">
        <f t="shared" si="74"/>
        <v>#DIV/0!</v>
      </c>
      <c r="K1206" s="8" t="e">
        <f t="shared" si="72"/>
        <v>#DIV/0!</v>
      </c>
    </row>
    <row r="1207" spans="1:11" x14ac:dyDescent="0.25">
      <c r="A1207" t="str">
        <f t="shared" si="73"/>
        <v>11900</v>
      </c>
      <c r="I1207" s="8" t="e">
        <f t="shared" si="71"/>
        <v>#DIV/0!</v>
      </c>
      <c r="J1207" s="8" t="e">
        <f t="shared" si="74"/>
        <v>#DIV/0!</v>
      </c>
      <c r="K1207" s="8" t="e">
        <f t="shared" si="72"/>
        <v>#DIV/0!</v>
      </c>
    </row>
    <row r="1208" spans="1:11" x14ac:dyDescent="0.25">
      <c r="A1208" t="str">
        <f t="shared" si="73"/>
        <v>11900</v>
      </c>
      <c r="I1208" s="8" t="e">
        <f t="shared" ref="I1208:I1238" si="75">+G1208/G1207-1</f>
        <v>#DIV/0!</v>
      </c>
      <c r="J1208" s="8" t="e">
        <f t="shared" si="74"/>
        <v>#DIV/0!</v>
      </c>
      <c r="K1208" s="8" t="e">
        <f t="shared" si="72"/>
        <v>#DIV/0!</v>
      </c>
    </row>
    <row r="1209" spans="1:11" x14ac:dyDescent="0.25">
      <c r="A1209" t="str">
        <f t="shared" si="73"/>
        <v>11900</v>
      </c>
      <c r="I1209" s="8" t="e">
        <f t="shared" si="75"/>
        <v>#DIV/0!</v>
      </c>
      <c r="J1209" s="8" t="e">
        <f t="shared" si="74"/>
        <v>#DIV/0!</v>
      </c>
      <c r="K1209" s="8" t="e">
        <f t="shared" si="72"/>
        <v>#DIV/0!</v>
      </c>
    </row>
    <row r="1210" spans="1:11" x14ac:dyDescent="0.25">
      <c r="A1210" t="str">
        <f t="shared" si="73"/>
        <v>11900</v>
      </c>
      <c r="I1210" s="8" t="e">
        <f t="shared" si="75"/>
        <v>#DIV/0!</v>
      </c>
      <c r="J1210" s="8" t="e">
        <f t="shared" si="74"/>
        <v>#DIV/0!</v>
      </c>
      <c r="K1210" s="8" t="e">
        <f t="shared" si="72"/>
        <v>#DIV/0!</v>
      </c>
    </row>
    <row r="1211" spans="1:11" x14ac:dyDescent="0.25">
      <c r="A1211" t="str">
        <f t="shared" si="73"/>
        <v>11900</v>
      </c>
      <c r="I1211" s="8" t="e">
        <f t="shared" si="75"/>
        <v>#DIV/0!</v>
      </c>
      <c r="J1211" s="8" t="e">
        <f t="shared" si="74"/>
        <v>#DIV/0!</v>
      </c>
      <c r="K1211" s="8" t="e">
        <f t="shared" si="72"/>
        <v>#DIV/0!</v>
      </c>
    </row>
    <row r="1212" spans="1:11" x14ac:dyDescent="0.25">
      <c r="A1212" t="str">
        <f t="shared" si="73"/>
        <v>11900</v>
      </c>
      <c r="I1212" s="8" t="e">
        <f t="shared" si="75"/>
        <v>#DIV/0!</v>
      </c>
      <c r="J1212" s="8" t="e">
        <f t="shared" si="74"/>
        <v>#DIV/0!</v>
      </c>
      <c r="K1212" s="8" t="e">
        <f t="shared" si="72"/>
        <v>#DIV/0!</v>
      </c>
    </row>
    <row r="1213" spans="1:11" x14ac:dyDescent="0.25">
      <c r="A1213" t="str">
        <f t="shared" si="73"/>
        <v>11900</v>
      </c>
      <c r="I1213" s="8" t="e">
        <f t="shared" si="75"/>
        <v>#DIV/0!</v>
      </c>
      <c r="J1213" s="8" t="e">
        <f t="shared" si="74"/>
        <v>#DIV/0!</v>
      </c>
      <c r="K1213" s="8" t="e">
        <f t="shared" si="72"/>
        <v>#DIV/0!</v>
      </c>
    </row>
    <row r="1214" spans="1:11" x14ac:dyDescent="0.25">
      <c r="A1214" t="str">
        <f t="shared" si="73"/>
        <v>11900</v>
      </c>
      <c r="I1214" s="8" t="e">
        <f t="shared" si="75"/>
        <v>#DIV/0!</v>
      </c>
      <c r="J1214" s="8" t="e">
        <f t="shared" si="74"/>
        <v>#DIV/0!</v>
      </c>
      <c r="K1214" s="8" t="e">
        <f t="shared" si="72"/>
        <v>#DIV/0!</v>
      </c>
    </row>
    <row r="1215" spans="1:11" x14ac:dyDescent="0.25">
      <c r="A1215" t="str">
        <f t="shared" si="73"/>
        <v>11900</v>
      </c>
      <c r="I1215" s="8" t="e">
        <f t="shared" si="75"/>
        <v>#DIV/0!</v>
      </c>
      <c r="J1215" s="8" t="e">
        <f t="shared" si="74"/>
        <v>#DIV/0!</v>
      </c>
      <c r="K1215" s="8" t="e">
        <f t="shared" si="72"/>
        <v>#DIV/0!</v>
      </c>
    </row>
    <row r="1216" spans="1:11" x14ac:dyDescent="0.25">
      <c r="A1216" t="str">
        <f t="shared" si="73"/>
        <v>11900</v>
      </c>
      <c r="I1216" s="8" t="e">
        <f t="shared" si="75"/>
        <v>#DIV/0!</v>
      </c>
      <c r="J1216" s="8" t="e">
        <f t="shared" si="74"/>
        <v>#DIV/0!</v>
      </c>
      <c r="K1216" s="8" t="e">
        <f t="shared" ref="K1216:K1238" si="76">+G1216/G1155-1</f>
        <v>#DIV/0!</v>
      </c>
    </row>
    <row r="1217" spans="1:11" x14ac:dyDescent="0.25">
      <c r="A1217" t="str">
        <f t="shared" si="73"/>
        <v>11900</v>
      </c>
      <c r="I1217" s="8" t="e">
        <f t="shared" si="75"/>
        <v>#DIV/0!</v>
      </c>
      <c r="J1217" s="8" t="e">
        <f t="shared" si="74"/>
        <v>#DIV/0!</v>
      </c>
      <c r="K1217" s="8" t="e">
        <f t="shared" si="76"/>
        <v>#DIV/0!</v>
      </c>
    </row>
    <row r="1218" spans="1:11" x14ac:dyDescent="0.25">
      <c r="A1218" t="str">
        <f t="shared" si="73"/>
        <v>11900</v>
      </c>
      <c r="I1218" s="8" t="e">
        <f t="shared" si="75"/>
        <v>#DIV/0!</v>
      </c>
      <c r="J1218" s="8" t="e">
        <f t="shared" si="74"/>
        <v>#DIV/0!</v>
      </c>
      <c r="K1218" s="8" t="e">
        <f t="shared" si="76"/>
        <v>#DIV/0!</v>
      </c>
    </row>
    <row r="1219" spans="1:11" x14ac:dyDescent="0.25">
      <c r="A1219" t="str">
        <f t="shared" ref="A1219:A1238" si="77">+MONTH(B1219)&amp;YEAR(B1219)</f>
        <v>11900</v>
      </c>
      <c r="I1219" s="8" t="e">
        <f t="shared" si="75"/>
        <v>#DIV/0!</v>
      </c>
      <c r="J1219" s="8" t="e">
        <f t="shared" si="74"/>
        <v>#DIV/0!</v>
      </c>
      <c r="K1219" s="8" t="e">
        <f t="shared" si="76"/>
        <v>#DIV/0!</v>
      </c>
    </row>
    <row r="1220" spans="1:11" x14ac:dyDescent="0.25">
      <c r="A1220" t="str">
        <f t="shared" si="77"/>
        <v>11900</v>
      </c>
      <c r="I1220" s="8" t="e">
        <f t="shared" si="75"/>
        <v>#DIV/0!</v>
      </c>
      <c r="J1220" s="8" t="e">
        <f t="shared" ref="J1220:J1238" si="78">+LN(1+I1220)</f>
        <v>#DIV/0!</v>
      </c>
      <c r="K1220" s="8" t="e">
        <f t="shared" si="76"/>
        <v>#DIV/0!</v>
      </c>
    </row>
    <row r="1221" spans="1:11" x14ac:dyDescent="0.25">
      <c r="A1221" t="str">
        <f t="shared" si="77"/>
        <v>11900</v>
      </c>
      <c r="I1221" s="8" t="e">
        <f t="shared" si="75"/>
        <v>#DIV/0!</v>
      </c>
      <c r="J1221" s="8" t="e">
        <f t="shared" si="78"/>
        <v>#DIV/0!</v>
      </c>
      <c r="K1221" s="8" t="e">
        <f t="shared" si="76"/>
        <v>#DIV/0!</v>
      </c>
    </row>
    <row r="1222" spans="1:11" x14ac:dyDescent="0.25">
      <c r="A1222" t="str">
        <f t="shared" si="77"/>
        <v>11900</v>
      </c>
      <c r="I1222" s="8" t="e">
        <f t="shared" si="75"/>
        <v>#DIV/0!</v>
      </c>
      <c r="J1222" s="8" t="e">
        <f t="shared" si="78"/>
        <v>#DIV/0!</v>
      </c>
      <c r="K1222" s="8" t="e">
        <f t="shared" si="76"/>
        <v>#DIV/0!</v>
      </c>
    </row>
    <row r="1223" spans="1:11" x14ac:dyDescent="0.25">
      <c r="A1223" t="str">
        <f t="shared" si="77"/>
        <v>11900</v>
      </c>
      <c r="I1223" s="8" t="e">
        <f t="shared" si="75"/>
        <v>#DIV/0!</v>
      </c>
      <c r="J1223" s="8" t="e">
        <f t="shared" si="78"/>
        <v>#DIV/0!</v>
      </c>
      <c r="K1223" s="8" t="e">
        <f t="shared" si="76"/>
        <v>#DIV/0!</v>
      </c>
    </row>
    <row r="1224" spans="1:11" x14ac:dyDescent="0.25">
      <c r="A1224" t="str">
        <f t="shared" si="77"/>
        <v>11900</v>
      </c>
      <c r="I1224" s="8" t="e">
        <f t="shared" si="75"/>
        <v>#DIV/0!</v>
      </c>
      <c r="J1224" s="8" t="e">
        <f t="shared" si="78"/>
        <v>#DIV/0!</v>
      </c>
      <c r="K1224" s="8" t="e">
        <f t="shared" si="76"/>
        <v>#DIV/0!</v>
      </c>
    </row>
    <row r="1225" spans="1:11" x14ac:dyDescent="0.25">
      <c r="A1225" t="str">
        <f t="shared" si="77"/>
        <v>11900</v>
      </c>
      <c r="I1225" s="8" t="e">
        <f t="shared" si="75"/>
        <v>#DIV/0!</v>
      </c>
      <c r="J1225" s="8" t="e">
        <f t="shared" si="78"/>
        <v>#DIV/0!</v>
      </c>
      <c r="K1225" s="8" t="e">
        <f t="shared" si="76"/>
        <v>#DIV/0!</v>
      </c>
    </row>
    <row r="1226" spans="1:11" x14ac:dyDescent="0.25">
      <c r="A1226" t="str">
        <f t="shared" si="77"/>
        <v>11900</v>
      </c>
      <c r="I1226" s="8" t="e">
        <f t="shared" si="75"/>
        <v>#DIV/0!</v>
      </c>
      <c r="J1226" s="8" t="e">
        <f t="shared" si="78"/>
        <v>#DIV/0!</v>
      </c>
      <c r="K1226" s="8" t="e">
        <f t="shared" si="76"/>
        <v>#DIV/0!</v>
      </c>
    </row>
    <row r="1227" spans="1:11" x14ac:dyDescent="0.25">
      <c r="A1227" t="str">
        <f t="shared" si="77"/>
        <v>11900</v>
      </c>
      <c r="I1227" s="8" t="e">
        <f t="shared" si="75"/>
        <v>#DIV/0!</v>
      </c>
      <c r="J1227" s="8" t="e">
        <f t="shared" si="78"/>
        <v>#DIV/0!</v>
      </c>
      <c r="K1227" s="8" t="e">
        <f t="shared" si="76"/>
        <v>#DIV/0!</v>
      </c>
    </row>
    <row r="1228" spans="1:11" x14ac:dyDescent="0.25">
      <c r="A1228" t="str">
        <f t="shared" si="77"/>
        <v>11900</v>
      </c>
      <c r="I1228" s="8" t="e">
        <f t="shared" si="75"/>
        <v>#DIV/0!</v>
      </c>
      <c r="J1228" s="8" t="e">
        <f t="shared" si="78"/>
        <v>#DIV/0!</v>
      </c>
      <c r="K1228" s="8" t="e">
        <f t="shared" si="76"/>
        <v>#DIV/0!</v>
      </c>
    </row>
    <row r="1229" spans="1:11" x14ac:dyDescent="0.25">
      <c r="A1229" t="str">
        <f t="shared" si="77"/>
        <v>11900</v>
      </c>
      <c r="I1229" s="8" t="e">
        <f t="shared" si="75"/>
        <v>#DIV/0!</v>
      </c>
      <c r="J1229" s="8" t="e">
        <f t="shared" si="78"/>
        <v>#DIV/0!</v>
      </c>
      <c r="K1229" s="8" t="e">
        <f t="shared" si="76"/>
        <v>#DIV/0!</v>
      </c>
    </row>
    <row r="1230" spans="1:11" x14ac:dyDescent="0.25">
      <c r="A1230" t="str">
        <f t="shared" si="77"/>
        <v>11900</v>
      </c>
      <c r="I1230" s="8" t="e">
        <f t="shared" si="75"/>
        <v>#DIV/0!</v>
      </c>
      <c r="J1230" s="8" t="e">
        <f t="shared" si="78"/>
        <v>#DIV/0!</v>
      </c>
      <c r="K1230" s="8" t="e">
        <f t="shared" si="76"/>
        <v>#DIV/0!</v>
      </c>
    </row>
    <row r="1231" spans="1:11" x14ac:dyDescent="0.25">
      <c r="A1231" t="str">
        <f t="shared" si="77"/>
        <v>11900</v>
      </c>
      <c r="I1231" s="8" t="e">
        <f t="shared" si="75"/>
        <v>#DIV/0!</v>
      </c>
      <c r="J1231" s="8" t="e">
        <f t="shared" si="78"/>
        <v>#DIV/0!</v>
      </c>
      <c r="K1231" s="8" t="e">
        <f t="shared" si="76"/>
        <v>#DIV/0!</v>
      </c>
    </row>
    <row r="1232" spans="1:11" x14ac:dyDescent="0.25">
      <c r="A1232" t="str">
        <f t="shared" si="77"/>
        <v>11900</v>
      </c>
      <c r="I1232" s="8" t="e">
        <f t="shared" si="75"/>
        <v>#DIV/0!</v>
      </c>
      <c r="J1232" s="8" t="e">
        <f t="shared" si="78"/>
        <v>#DIV/0!</v>
      </c>
      <c r="K1232" s="8" t="e">
        <f t="shared" si="76"/>
        <v>#DIV/0!</v>
      </c>
    </row>
    <row r="1233" spans="1:11" x14ac:dyDescent="0.25">
      <c r="A1233" t="str">
        <f t="shared" si="77"/>
        <v>11900</v>
      </c>
      <c r="I1233" s="8" t="e">
        <f t="shared" si="75"/>
        <v>#DIV/0!</v>
      </c>
      <c r="J1233" s="8" t="e">
        <f t="shared" si="78"/>
        <v>#DIV/0!</v>
      </c>
      <c r="K1233" s="8" t="e">
        <f t="shared" si="76"/>
        <v>#DIV/0!</v>
      </c>
    </row>
    <row r="1234" spans="1:11" x14ac:dyDescent="0.25">
      <c r="A1234" t="str">
        <f t="shared" si="77"/>
        <v>11900</v>
      </c>
      <c r="I1234" s="8" t="e">
        <f t="shared" si="75"/>
        <v>#DIV/0!</v>
      </c>
      <c r="J1234" s="8" t="e">
        <f t="shared" si="78"/>
        <v>#DIV/0!</v>
      </c>
      <c r="K1234" s="8" t="e">
        <f t="shared" si="76"/>
        <v>#DIV/0!</v>
      </c>
    </row>
    <row r="1235" spans="1:11" x14ac:dyDescent="0.25">
      <c r="A1235" t="str">
        <f t="shared" si="77"/>
        <v>11900</v>
      </c>
      <c r="I1235" s="8" t="e">
        <f t="shared" si="75"/>
        <v>#DIV/0!</v>
      </c>
      <c r="J1235" s="8" t="e">
        <f t="shared" si="78"/>
        <v>#DIV/0!</v>
      </c>
      <c r="K1235" s="8" t="e">
        <f t="shared" si="76"/>
        <v>#DIV/0!</v>
      </c>
    </row>
    <row r="1236" spans="1:11" x14ac:dyDescent="0.25">
      <c r="A1236" t="str">
        <f t="shared" si="77"/>
        <v>11900</v>
      </c>
      <c r="I1236" s="8" t="e">
        <f t="shared" si="75"/>
        <v>#DIV/0!</v>
      </c>
      <c r="J1236" s="8" t="e">
        <f t="shared" si="78"/>
        <v>#DIV/0!</v>
      </c>
      <c r="K1236" s="8" t="e">
        <f t="shared" si="76"/>
        <v>#DIV/0!</v>
      </c>
    </row>
    <row r="1237" spans="1:11" x14ac:dyDescent="0.25">
      <c r="A1237" t="str">
        <f t="shared" si="77"/>
        <v>11900</v>
      </c>
      <c r="I1237" s="8" t="e">
        <f t="shared" si="75"/>
        <v>#DIV/0!</v>
      </c>
      <c r="J1237" s="8" t="e">
        <f t="shared" si="78"/>
        <v>#DIV/0!</v>
      </c>
      <c r="K1237" s="8" t="e">
        <f t="shared" si="76"/>
        <v>#DIV/0!</v>
      </c>
    </row>
    <row r="1238" spans="1:11" x14ac:dyDescent="0.25">
      <c r="A1238" t="str">
        <f t="shared" si="77"/>
        <v>11900</v>
      </c>
      <c r="I1238" s="8" t="e">
        <f t="shared" si="75"/>
        <v>#DIV/0!</v>
      </c>
      <c r="J1238" s="8" t="e">
        <f t="shared" si="78"/>
        <v>#DIV/0!</v>
      </c>
      <c r="K1238" s="8" t="e">
        <f t="shared" si="76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9878F-AC54-4CC5-A446-A99F02C99528}">
  <dimension ref="A1:K1238"/>
  <sheetViews>
    <sheetView topLeftCell="A1007" workbookViewId="0">
      <selection activeCell="D1014" sqref="D1014"/>
    </sheetView>
  </sheetViews>
  <sheetFormatPr defaultRowHeight="15" x14ac:dyDescent="0.25"/>
  <cols>
    <col min="2" max="2" width="10.7109375" bestFit="1" customWidth="1"/>
    <col min="3" max="3" width="18.5703125" customWidth="1"/>
  </cols>
  <sheetData>
    <row r="1" spans="1:11" x14ac:dyDescent="0.25">
      <c r="A1" t="s">
        <v>27</v>
      </c>
      <c r="B1" t="s">
        <v>7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26</v>
      </c>
      <c r="J1" t="s">
        <v>679</v>
      </c>
      <c r="K1" t="s">
        <v>688</v>
      </c>
    </row>
    <row r="2" spans="1:11" x14ac:dyDescent="0.25">
      <c r="A2" t="str">
        <f>+MONTH(B2)&amp;YEAR(B2)</f>
        <v>12017</v>
      </c>
      <c r="B2" s="1">
        <v>42737</v>
      </c>
      <c r="C2" s="10">
        <v>42767.645833333336</v>
      </c>
      <c r="D2">
        <v>10300.35</v>
      </c>
      <c r="E2">
        <v>10331.200000000001</v>
      </c>
      <c r="F2">
        <v>10250.299999999999</v>
      </c>
      <c r="G2">
        <v>10307.65</v>
      </c>
      <c r="H2">
        <v>0</v>
      </c>
    </row>
    <row r="3" spans="1:11" x14ac:dyDescent="0.25">
      <c r="A3" t="str">
        <f t="shared" ref="A3:A66" si="0">+MONTH(B3)&amp;YEAR(B3)</f>
        <v>12017</v>
      </c>
      <c r="B3" s="1">
        <v>42738</v>
      </c>
      <c r="C3" s="10">
        <v>42795.645833333336</v>
      </c>
      <c r="D3">
        <v>10346.799999999999</v>
      </c>
      <c r="E3">
        <v>10479.6</v>
      </c>
      <c r="F3">
        <v>10305.950000000001</v>
      </c>
      <c r="G3">
        <v>10431.049999999999</v>
      </c>
      <c r="H3">
        <v>0</v>
      </c>
      <c r="I3" s="8">
        <f>+G3/G2-1</f>
        <v>1.1971690928582079E-2</v>
      </c>
      <c r="J3" s="8">
        <f>+LN(1+I3)</f>
        <v>1.190059708328204E-2</v>
      </c>
    </row>
    <row r="4" spans="1:11" x14ac:dyDescent="0.25">
      <c r="A4" t="str">
        <f t="shared" si="0"/>
        <v>12017</v>
      </c>
      <c r="B4" s="1">
        <v>42739</v>
      </c>
      <c r="C4" s="10">
        <v>42826.645833333336</v>
      </c>
      <c r="D4">
        <v>10445.35</v>
      </c>
      <c r="E4">
        <v>10448</v>
      </c>
      <c r="F4">
        <v>10331.450000000001</v>
      </c>
      <c r="G4">
        <v>10346.85</v>
      </c>
      <c r="H4">
        <v>0</v>
      </c>
      <c r="I4" s="8">
        <f t="shared" ref="I4:I67" si="1">+G4/G3-1</f>
        <v>-8.0720541076879648E-3</v>
      </c>
      <c r="J4" s="8">
        <f t="shared" ref="J4:J67" si="2">+LN(1+I4)</f>
        <v>-8.1048095245289369E-3</v>
      </c>
    </row>
    <row r="5" spans="1:11" x14ac:dyDescent="0.25">
      <c r="A5" t="str">
        <f t="shared" si="0"/>
        <v>12017</v>
      </c>
      <c r="B5" s="1">
        <v>42740</v>
      </c>
      <c r="C5" s="10">
        <v>42856.645833333336</v>
      </c>
      <c r="D5">
        <v>10373.299999999999</v>
      </c>
      <c r="E5">
        <v>10518.7</v>
      </c>
      <c r="F5">
        <v>10368.9</v>
      </c>
      <c r="G5">
        <v>10505.45</v>
      </c>
      <c r="H5">
        <v>0</v>
      </c>
      <c r="I5" s="8">
        <f t="shared" si="1"/>
        <v>1.5328336643519513E-2</v>
      </c>
      <c r="J5" s="8">
        <f t="shared" si="2"/>
        <v>1.5212044561811664E-2</v>
      </c>
    </row>
    <row r="6" spans="1:11" x14ac:dyDescent="0.25">
      <c r="A6" t="str">
        <f t="shared" si="0"/>
        <v>12017</v>
      </c>
      <c r="B6" s="1">
        <v>42741</v>
      </c>
      <c r="C6" s="10">
        <v>42887.645833333336</v>
      </c>
      <c r="D6">
        <v>10494.05</v>
      </c>
      <c r="E6">
        <v>10591.15</v>
      </c>
      <c r="F6">
        <v>10453.700000000001</v>
      </c>
      <c r="G6">
        <v>10468.549999999999</v>
      </c>
      <c r="H6">
        <v>0</v>
      </c>
      <c r="I6" s="8">
        <f t="shared" si="1"/>
        <v>-3.5124625789472175E-3</v>
      </c>
      <c r="J6" s="8">
        <f t="shared" si="2"/>
        <v>-3.5186457586690394E-3</v>
      </c>
    </row>
    <row r="7" spans="1:11" x14ac:dyDescent="0.25">
      <c r="A7" t="str">
        <f t="shared" si="0"/>
        <v>12017</v>
      </c>
      <c r="B7" s="1">
        <v>42744</v>
      </c>
      <c r="C7" s="10">
        <v>42979.645833333336</v>
      </c>
      <c r="D7">
        <v>10492.4</v>
      </c>
      <c r="E7">
        <v>10502.15</v>
      </c>
      <c r="F7">
        <v>10388.35</v>
      </c>
      <c r="G7">
        <v>10396.15</v>
      </c>
      <c r="H7">
        <v>0</v>
      </c>
      <c r="I7" s="8">
        <f t="shared" si="1"/>
        <v>-6.9159530211919673E-3</v>
      </c>
      <c r="J7" s="8">
        <f t="shared" si="2"/>
        <v>-6.9399790636880451E-3</v>
      </c>
    </row>
    <row r="8" spans="1:11" x14ac:dyDescent="0.25">
      <c r="A8" t="str">
        <f t="shared" si="0"/>
        <v>12017</v>
      </c>
      <c r="B8" s="1">
        <v>42745</v>
      </c>
      <c r="C8" s="10">
        <v>43009.645833333336</v>
      </c>
      <c r="D8">
        <v>10436.049999999999</v>
      </c>
      <c r="E8">
        <v>10549.6</v>
      </c>
      <c r="F8">
        <v>10436.049999999999</v>
      </c>
      <c r="G8">
        <v>10489.55</v>
      </c>
      <c r="H8">
        <v>0</v>
      </c>
      <c r="I8" s="8">
        <f t="shared" si="1"/>
        <v>8.9840950736570502E-3</v>
      </c>
      <c r="J8" s="8">
        <f t="shared" si="2"/>
        <v>8.9439781884199602E-3</v>
      </c>
    </row>
    <row r="9" spans="1:11" x14ac:dyDescent="0.25">
      <c r="A9" t="str">
        <f t="shared" si="0"/>
        <v>12017</v>
      </c>
      <c r="B9" s="1">
        <v>42746</v>
      </c>
      <c r="C9" s="10">
        <v>43040.645833333336</v>
      </c>
      <c r="D9">
        <v>10536.8</v>
      </c>
      <c r="E9">
        <v>10543.75</v>
      </c>
      <c r="F9">
        <v>10469</v>
      </c>
      <c r="G9">
        <v>10523.75</v>
      </c>
      <c r="H9">
        <v>0</v>
      </c>
      <c r="I9" s="8">
        <f t="shared" si="1"/>
        <v>3.2603877192063369E-3</v>
      </c>
      <c r="J9" s="8">
        <f t="shared" si="2"/>
        <v>3.2550841797698215E-3</v>
      </c>
    </row>
    <row r="10" spans="1:11" x14ac:dyDescent="0.25">
      <c r="A10" t="str">
        <f t="shared" si="0"/>
        <v>12017</v>
      </c>
      <c r="B10" s="1">
        <v>42747</v>
      </c>
      <c r="C10" s="10">
        <v>43070.645833333336</v>
      </c>
      <c r="D10">
        <v>10545.9</v>
      </c>
      <c r="E10">
        <v>10665.55</v>
      </c>
      <c r="F10">
        <v>10545.9</v>
      </c>
      <c r="G10">
        <v>10644.3</v>
      </c>
      <c r="H10">
        <v>0</v>
      </c>
      <c r="I10" s="8">
        <f t="shared" si="1"/>
        <v>1.145504216652804E-2</v>
      </c>
      <c r="J10" s="8">
        <f t="shared" si="2"/>
        <v>1.1389929941416781E-2</v>
      </c>
    </row>
    <row r="11" spans="1:11" x14ac:dyDescent="0.25">
      <c r="A11" t="str">
        <f t="shared" si="0"/>
        <v>12017</v>
      </c>
      <c r="B11" s="1">
        <v>42748</v>
      </c>
      <c r="C11" t="s">
        <v>28</v>
      </c>
      <c r="D11">
        <v>10702.15</v>
      </c>
      <c r="E11">
        <v>10704.7</v>
      </c>
      <c r="F11">
        <v>10631.45</v>
      </c>
      <c r="G11">
        <v>10656.6</v>
      </c>
      <c r="H11">
        <v>0</v>
      </c>
      <c r="I11" s="8">
        <f t="shared" si="1"/>
        <v>1.1555480397960061E-3</v>
      </c>
      <c r="J11" s="8">
        <f t="shared" si="2"/>
        <v>1.1548809080455995E-3</v>
      </c>
    </row>
    <row r="12" spans="1:11" x14ac:dyDescent="0.25">
      <c r="A12" t="str">
        <f t="shared" si="0"/>
        <v>12017</v>
      </c>
      <c r="B12" s="1">
        <v>42751</v>
      </c>
      <c r="C12" t="s">
        <v>29</v>
      </c>
      <c r="D12">
        <v>10662.25</v>
      </c>
      <c r="E12">
        <v>10679.65</v>
      </c>
      <c r="F12">
        <v>10590.95</v>
      </c>
      <c r="G12">
        <v>10599.85</v>
      </c>
      <c r="H12">
        <v>0</v>
      </c>
      <c r="I12" s="8">
        <f t="shared" si="1"/>
        <v>-5.3253382880092959E-3</v>
      </c>
      <c r="J12" s="8">
        <f t="shared" si="2"/>
        <v>-5.3395684446993635E-3</v>
      </c>
    </row>
    <row r="13" spans="1:11" x14ac:dyDescent="0.25">
      <c r="A13" t="str">
        <f t="shared" si="0"/>
        <v>12017</v>
      </c>
      <c r="B13" s="1">
        <v>42752</v>
      </c>
      <c r="C13" t="s">
        <v>30</v>
      </c>
      <c r="D13">
        <v>10573.1</v>
      </c>
      <c r="E13">
        <v>10585.25</v>
      </c>
      <c r="F13">
        <v>10406.15</v>
      </c>
      <c r="G13">
        <v>10445.65</v>
      </c>
      <c r="H13">
        <v>0</v>
      </c>
      <c r="I13" s="8">
        <f t="shared" si="1"/>
        <v>-1.4547375670410534E-2</v>
      </c>
      <c r="J13" s="8">
        <f t="shared" si="2"/>
        <v>-1.4654226269814533E-2</v>
      </c>
    </row>
    <row r="14" spans="1:11" x14ac:dyDescent="0.25">
      <c r="A14" t="str">
        <f t="shared" si="0"/>
        <v>12017</v>
      </c>
      <c r="B14" s="1">
        <v>42753</v>
      </c>
      <c r="C14" t="s">
        <v>31</v>
      </c>
      <c r="D14">
        <v>10463.6</v>
      </c>
      <c r="E14">
        <v>10488.35</v>
      </c>
      <c r="F14">
        <v>10347.950000000001</v>
      </c>
      <c r="G14">
        <v>10403.9</v>
      </c>
      <c r="H14">
        <v>0</v>
      </c>
      <c r="I14" s="8">
        <f t="shared" si="1"/>
        <v>-3.9968790836376611E-3</v>
      </c>
      <c r="J14" s="8">
        <f t="shared" si="2"/>
        <v>-4.0048879522850724E-3</v>
      </c>
    </row>
    <row r="15" spans="1:11" x14ac:dyDescent="0.25">
      <c r="A15" t="str">
        <f t="shared" si="0"/>
        <v>12017</v>
      </c>
      <c r="B15" s="1">
        <v>42754</v>
      </c>
      <c r="C15" t="s">
        <v>32</v>
      </c>
      <c r="D15">
        <v>10426.85</v>
      </c>
      <c r="E15">
        <v>10549.2</v>
      </c>
      <c r="F15">
        <v>10401.85</v>
      </c>
      <c r="G15">
        <v>10538.65</v>
      </c>
      <c r="H15">
        <v>0</v>
      </c>
      <c r="I15" s="8">
        <f t="shared" si="1"/>
        <v>1.2951873816549497E-2</v>
      </c>
      <c r="J15" s="8">
        <f t="shared" si="2"/>
        <v>1.286871556596406E-2</v>
      </c>
    </row>
    <row r="16" spans="1:11" x14ac:dyDescent="0.25">
      <c r="A16" t="str">
        <f t="shared" si="0"/>
        <v>12017</v>
      </c>
      <c r="B16" s="1">
        <v>42755</v>
      </c>
      <c r="C16" t="s">
        <v>33</v>
      </c>
      <c r="D16">
        <v>10539.9</v>
      </c>
      <c r="E16">
        <v>10553.3</v>
      </c>
      <c r="F16">
        <v>10391.25</v>
      </c>
      <c r="G16">
        <v>10407.1</v>
      </c>
      <c r="H16">
        <v>0</v>
      </c>
      <c r="I16" s="8">
        <f t="shared" si="1"/>
        <v>-1.2482623485930322E-2</v>
      </c>
      <c r="J16" s="8">
        <f t="shared" si="2"/>
        <v>-1.2561185891732201E-2</v>
      </c>
    </row>
    <row r="17" spans="1:10" x14ac:dyDescent="0.25">
      <c r="A17" t="str">
        <f t="shared" si="0"/>
        <v>12017</v>
      </c>
      <c r="B17" s="1">
        <v>42758</v>
      </c>
      <c r="C17" t="s">
        <v>34</v>
      </c>
      <c r="D17">
        <v>10386.6</v>
      </c>
      <c r="E17">
        <v>10517.45</v>
      </c>
      <c r="F17">
        <v>10386.049999999999</v>
      </c>
      <c r="G17">
        <v>10449.35</v>
      </c>
      <c r="H17">
        <v>0</v>
      </c>
      <c r="I17" s="8">
        <f t="shared" si="1"/>
        <v>4.0597284546126655E-3</v>
      </c>
      <c r="J17" s="8">
        <f t="shared" si="2"/>
        <v>4.0515099926903709E-3</v>
      </c>
    </row>
    <row r="18" spans="1:10" x14ac:dyDescent="0.25">
      <c r="A18" t="str">
        <f t="shared" si="0"/>
        <v>12017</v>
      </c>
      <c r="B18" s="1">
        <v>42759</v>
      </c>
      <c r="C18" t="s">
        <v>35</v>
      </c>
      <c r="D18">
        <v>10470.25</v>
      </c>
      <c r="E18">
        <v>10593.55</v>
      </c>
      <c r="F18">
        <v>10468.450000000001</v>
      </c>
      <c r="G18">
        <v>10584.95</v>
      </c>
      <c r="H18">
        <v>0</v>
      </c>
      <c r="I18" s="8">
        <f t="shared" si="1"/>
        <v>1.2976883729610034E-2</v>
      </c>
      <c r="J18" s="8">
        <f t="shared" si="2"/>
        <v>1.2893405390785047E-2</v>
      </c>
    </row>
    <row r="19" spans="1:10" x14ac:dyDescent="0.25">
      <c r="A19" t="str">
        <f t="shared" si="0"/>
        <v>12017</v>
      </c>
      <c r="B19" s="1">
        <v>42760</v>
      </c>
      <c r="C19" t="s">
        <v>36</v>
      </c>
      <c r="D19">
        <v>10616.95</v>
      </c>
      <c r="E19">
        <v>10685.4</v>
      </c>
      <c r="F19">
        <v>10574.45</v>
      </c>
      <c r="G19">
        <v>10661.9</v>
      </c>
      <c r="H19">
        <v>0</v>
      </c>
      <c r="I19" s="8">
        <f t="shared" si="1"/>
        <v>7.2697556436260857E-3</v>
      </c>
      <c r="J19" s="8">
        <f t="shared" si="2"/>
        <v>7.2434583431200345E-3</v>
      </c>
    </row>
    <row r="20" spans="1:10" x14ac:dyDescent="0.25">
      <c r="A20" t="str">
        <f t="shared" si="0"/>
        <v>12017</v>
      </c>
      <c r="B20" s="1">
        <v>42762</v>
      </c>
      <c r="C20" t="s">
        <v>37</v>
      </c>
      <c r="D20">
        <v>10684</v>
      </c>
      <c r="E20">
        <v>10804.65</v>
      </c>
      <c r="F20">
        <v>10675.7</v>
      </c>
      <c r="G20">
        <v>10735.45</v>
      </c>
      <c r="H20">
        <v>0</v>
      </c>
      <c r="I20" s="8">
        <f t="shared" si="1"/>
        <v>6.898395220364284E-3</v>
      </c>
      <c r="J20" s="8">
        <f t="shared" si="2"/>
        <v>6.8747101556258681E-3</v>
      </c>
    </row>
    <row r="21" spans="1:10" x14ac:dyDescent="0.25">
      <c r="A21" t="str">
        <f t="shared" si="0"/>
        <v>12017</v>
      </c>
      <c r="B21" s="1">
        <v>42765</v>
      </c>
      <c r="C21" t="s">
        <v>38</v>
      </c>
      <c r="D21">
        <v>10731.45</v>
      </c>
      <c r="E21">
        <v>10778.45</v>
      </c>
      <c r="F21">
        <v>10681.6</v>
      </c>
      <c r="G21">
        <v>10765.3</v>
      </c>
      <c r="H21">
        <v>0</v>
      </c>
      <c r="I21" s="8">
        <f t="shared" si="1"/>
        <v>2.7805075707119098E-3</v>
      </c>
      <c r="J21" s="8">
        <f t="shared" si="2"/>
        <v>2.7766491102008215E-3</v>
      </c>
    </row>
    <row r="22" spans="1:10" x14ac:dyDescent="0.25">
      <c r="A22" t="str">
        <f t="shared" si="0"/>
        <v>12017</v>
      </c>
      <c r="B22" s="1">
        <v>42766</v>
      </c>
      <c r="C22" t="s">
        <v>39</v>
      </c>
      <c r="D22">
        <v>10821.45</v>
      </c>
      <c r="E22">
        <v>10831.55</v>
      </c>
      <c r="F22">
        <v>10650.8</v>
      </c>
      <c r="G22">
        <v>10674.15</v>
      </c>
      <c r="H22">
        <v>0</v>
      </c>
      <c r="I22" s="8">
        <f t="shared" si="1"/>
        <v>-8.4670190333757667E-3</v>
      </c>
      <c r="J22" s="8">
        <f t="shared" si="2"/>
        <v>-8.5030678673678039E-3</v>
      </c>
    </row>
    <row r="23" spans="1:10" x14ac:dyDescent="0.25">
      <c r="A23" t="str">
        <f t="shared" si="0"/>
        <v>22017</v>
      </c>
      <c r="B23" s="1">
        <v>42767</v>
      </c>
      <c r="C23" s="10">
        <v>42737.645833333336</v>
      </c>
      <c r="D23">
        <v>10703.5</v>
      </c>
      <c r="E23">
        <v>10762.4</v>
      </c>
      <c r="F23">
        <v>10652.5</v>
      </c>
      <c r="G23">
        <v>10742.4</v>
      </c>
      <c r="H23">
        <v>0</v>
      </c>
      <c r="I23" s="8">
        <f t="shared" si="1"/>
        <v>6.3939517432300974E-3</v>
      </c>
      <c r="J23" s="8">
        <f t="shared" si="2"/>
        <v>6.3735971518924005E-3</v>
      </c>
    </row>
    <row r="24" spans="1:10" x14ac:dyDescent="0.25">
      <c r="A24" t="str">
        <f t="shared" si="0"/>
        <v>22017</v>
      </c>
      <c r="B24" s="1">
        <v>42768</v>
      </c>
      <c r="C24" s="10">
        <v>42768.645833333336</v>
      </c>
      <c r="D24">
        <v>10762.7</v>
      </c>
      <c r="E24">
        <v>10827.35</v>
      </c>
      <c r="F24">
        <v>10732.35</v>
      </c>
      <c r="G24">
        <v>10756.45</v>
      </c>
      <c r="H24">
        <v>0</v>
      </c>
      <c r="I24" s="8">
        <f t="shared" si="1"/>
        <v>1.3079014000596523E-3</v>
      </c>
      <c r="J24" s="8">
        <f t="shared" si="2"/>
        <v>1.3070468420607602E-3</v>
      </c>
    </row>
    <row r="25" spans="1:10" x14ac:dyDescent="0.25">
      <c r="A25" t="str">
        <f t="shared" si="0"/>
        <v>22017</v>
      </c>
      <c r="B25" s="1">
        <v>42769</v>
      </c>
      <c r="C25" s="10">
        <v>42796.645833333336</v>
      </c>
      <c r="D25">
        <v>10773.85</v>
      </c>
      <c r="E25">
        <v>10817.9</v>
      </c>
      <c r="F25">
        <v>10683.6</v>
      </c>
      <c r="G25">
        <v>10708.1</v>
      </c>
      <c r="H25">
        <v>0</v>
      </c>
      <c r="I25" s="8">
        <f t="shared" si="1"/>
        <v>-4.4949774321454417E-3</v>
      </c>
      <c r="J25" s="8">
        <f t="shared" si="2"/>
        <v>-4.5051102190367572E-3</v>
      </c>
    </row>
    <row r="26" spans="1:10" x14ac:dyDescent="0.25">
      <c r="A26" t="str">
        <f t="shared" si="0"/>
        <v>22017</v>
      </c>
      <c r="B26" s="1">
        <v>42772</v>
      </c>
      <c r="C26" s="10">
        <v>42888.645833333336</v>
      </c>
      <c r="D26">
        <v>10760.75</v>
      </c>
      <c r="E26">
        <v>10812.55</v>
      </c>
      <c r="F26">
        <v>10729.75</v>
      </c>
      <c r="G26">
        <v>10783.05</v>
      </c>
      <c r="H26">
        <v>0</v>
      </c>
      <c r="I26" s="8">
        <f t="shared" si="1"/>
        <v>6.9993743054321822E-3</v>
      </c>
      <c r="J26" s="8">
        <f t="shared" si="2"/>
        <v>6.9749923910804512E-3</v>
      </c>
    </row>
    <row r="27" spans="1:10" x14ac:dyDescent="0.25">
      <c r="A27" t="str">
        <f t="shared" si="0"/>
        <v>22017</v>
      </c>
      <c r="B27" s="1">
        <v>42773</v>
      </c>
      <c r="C27" s="10">
        <v>42918.645833333336</v>
      </c>
      <c r="D27">
        <v>10786.05</v>
      </c>
      <c r="E27">
        <v>10812</v>
      </c>
      <c r="F27">
        <v>10669.5</v>
      </c>
      <c r="G27">
        <v>10692.1</v>
      </c>
      <c r="H27">
        <v>0</v>
      </c>
      <c r="I27" s="8">
        <f t="shared" si="1"/>
        <v>-8.4345338285548577E-3</v>
      </c>
      <c r="J27" s="8">
        <f t="shared" si="2"/>
        <v>-8.4703057976171104E-3</v>
      </c>
    </row>
    <row r="28" spans="1:10" x14ac:dyDescent="0.25">
      <c r="A28" t="str">
        <f t="shared" si="0"/>
        <v>22017</v>
      </c>
      <c r="B28" s="1">
        <v>42774</v>
      </c>
      <c r="C28" s="10">
        <v>42949.645833333336</v>
      </c>
      <c r="D28">
        <v>10725.3</v>
      </c>
      <c r="E28">
        <v>10792.95</v>
      </c>
      <c r="F28">
        <v>10673.1</v>
      </c>
      <c r="G28">
        <v>10722.6</v>
      </c>
      <c r="H28">
        <v>0</v>
      </c>
      <c r="I28" s="8">
        <f t="shared" si="1"/>
        <v>2.8525733953106425E-3</v>
      </c>
      <c r="J28" s="8">
        <f t="shared" si="2"/>
        <v>2.8485125286033903E-3</v>
      </c>
    </row>
    <row r="29" spans="1:10" x14ac:dyDescent="0.25">
      <c r="A29" t="str">
        <f t="shared" si="0"/>
        <v>22017</v>
      </c>
      <c r="B29" s="1">
        <v>42775</v>
      </c>
      <c r="C29" s="10">
        <v>42980.645833333336</v>
      </c>
      <c r="D29">
        <v>10738</v>
      </c>
      <c r="E29">
        <v>10789.1</v>
      </c>
      <c r="F29">
        <v>10719</v>
      </c>
      <c r="G29">
        <v>10726.05</v>
      </c>
      <c r="H29">
        <v>0</v>
      </c>
      <c r="I29" s="8">
        <f t="shared" si="1"/>
        <v>3.217503217503026E-4</v>
      </c>
      <c r="J29" s="8">
        <f t="shared" si="2"/>
        <v>3.2169857121573257E-4</v>
      </c>
    </row>
    <row r="30" spans="1:10" x14ac:dyDescent="0.25">
      <c r="A30" t="str">
        <f t="shared" si="0"/>
        <v>22017</v>
      </c>
      <c r="B30" s="1">
        <v>42776</v>
      </c>
      <c r="C30" s="10">
        <v>43010.645833333336</v>
      </c>
      <c r="D30">
        <v>10771.25</v>
      </c>
      <c r="E30">
        <v>10774.35</v>
      </c>
      <c r="F30">
        <v>10662.9</v>
      </c>
      <c r="G30">
        <v>10676.75</v>
      </c>
      <c r="H30">
        <v>0</v>
      </c>
      <c r="I30" s="8">
        <f t="shared" si="1"/>
        <v>-4.5962866106348255E-3</v>
      </c>
      <c r="J30" s="8">
        <f t="shared" si="2"/>
        <v>-4.6068820147470383E-3</v>
      </c>
    </row>
    <row r="31" spans="1:10" x14ac:dyDescent="0.25">
      <c r="A31" t="str">
        <f t="shared" si="0"/>
        <v>22017</v>
      </c>
      <c r="B31" s="1">
        <v>42779</v>
      </c>
      <c r="C31" t="s">
        <v>40</v>
      </c>
      <c r="D31">
        <v>10715.45</v>
      </c>
      <c r="E31">
        <v>10720.85</v>
      </c>
      <c r="F31">
        <v>10622.85</v>
      </c>
      <c r="G31">
        <v>10704.7</v>
      </c>
      <c r="H31">
        <v>0</v>
      </c>
      <c r="I31" s="8">
        <f t="shared" si="1"/>
        <v>2.6178378251808798E-3</v>
      </c>
      <c r="J31" s="8">
        <f t="shared" si="2"/>
        <v>2.6144172561043282E-3</v>
      </c>
    </row>
    <row r="32" spans="1:10" x14ac:dyDescent="0.25">
      <c r="A32" t="str">
        <f t="shared" si="0"/>
        <v>22017</v>
      </c>
      <c r="B32" s="1">
        <v>42780</v>
      </c>
      <c r="C32" t="s">
        <v>41</v>
      </c>
      <c r="D32">
        <v>10742.25</v>
      </c>
      <c r="E32">
        <v>10760.4</v>
      </c>
      <c r="F32">
        <v>10671.85</v>
      </c>
      <c r="G32">
        <v>10728.85</v>
      </c>
      <c r="H32">
        <v>0</v>
      </c>
      <c r="I32" s="8">
        <f t="shared" si="1"/>
        <v>2.2560183844479997E-3</v>
      </c>
      <c r="J32" s="8">
        <f t="shared" si="2"/>
        <v>2.2534773959327682E-3</v>
      </c>
    </row>
    <row r="33" spans="1:10" x14ac:dyDescent="0.25">
      <c r="A33" t="str">
        <f t="shared" si="0"/>
        <v>22017</v>
      </c>
      <c r="B33" s="1">
        <v>42781</v>
      </c>
      <c r="C33" t="s">
        <v>42</v>
      </c>
      <c r="D33">
        <v>10734.25</v>
      </c>
      <c r="E33">
        <v>10787.4</v>
      </c>
      <c r="F33">
        <v>10613.5</v>
      </c>
      <c r="G33">
        <v>10648.75</v>
      </c>
      <c r="H33">
        <v>0</v>
      </c>
      <c r="I33" s="8">
        <f t="shared" si="1"/>
        <v>-7.4658514193041148E-3</v>
      </c>
      <c r="J33" s="8">
        <f t="shared" si="2"/>
        <v>-7.4938603822620404E-3</v>
      </c>
    </row>
    <row r="34" spans="1:10" x14ac:dyDescent="0.25">
      <c r="A34" t="str">
        <f t="shared" si="0"/>
        <v>22017</v>
      </c>
      <c r="B34" s="1">
        <v>42782</v>
      </c>
      <c r="C34" t="s">
        <v>43</v>
      </c>
      <c r="D34">
        <v>10660.75</v>
      </c>
      <c r="E34">
        <v>10754.55</v>
      </c>
      <c r="F34">
        <v>10641.7</v>
      </c>
      <c r="G34">
        <v>10746.1</v>
      </c>
      <c r="H34">
        <v>0</v>
      </c>
      <c r="I34" s="8">
        <f t="shared" si="1"/>
        <v>9.1419180655005761E-3</v>
      </c>
      <c r="J34" s="8">
        <f t="shared" si="2"/>
        <v>9.1003836766181592E-3</v>
      </c>
    </row>
    <row r="35" spans="1:10" x14ac:dyDescent="0.25">
      <c r="A35" t="str">
        <f t="shared" si="0"/>
        <v>22017</v>
      </c>
      <c r="B35" s="1">
        <v>42783</v>
      </c>
      <c r="C35" t="s">
        <v>44</v>
      </c>
      <c r="D35">
        <v>10781.1</v>
      </c>
      <c r="E35">
        <v>10866.65</v>
      </c>
      <c r="F35">
        <v>10726.65</v>
      </c>
      <c r="G35">
        <v>10846.2</v>
      </c>
      <c r="H35">
        <v>0</v>
      </c>
      <c r="I35" s="8">
        <f t="shared" si="1"/>
        <v>9.3150073049756976E-3</v>
      </c>
      <c r="J35" s="8">
        <f t="shared" si="2"/>
        <v>9.2718901751951636E-3</v>
      </c>
    </row>
    <row r="36" spans="1:10" x14ac:dyDescent="0.25">
      <c r="A36" t="str">
        <f t="shared" si="0"/>
        <v>22017</v>
      </c>
      <c r="B36" s="1">
        <v>42786</v>
      </c>
      <c r="C36" t="s">
        <v>45</v>
      </c>
      <c r="D36">
        <v>10851.55</v>
      </c>
      <c r="E36">
        <v>10964.45</v>
      </c>
      <c r="F36">
        <v>10825.65</v>
      </c>
      <c r="G36">
        <v>10947.15</v>
      </c>
      <c r="H36">
        <v>0</v>
      </c>
      <c r="I36" s="8">
        <f t="shared" si="1"/>
        <v>9.3074072025225441E-3</v>
      </c>
      <c r="J36" s="8">
        <f t="shared" si="2"/>
        <v>9.2643601860316945E-3</v>
      </c>
    </row>
    <row r="37" spans="1:10" x14ac:dyDescent="0.25">
      <c r="A37" t="str">
        <f t="shared" si="0"/>
        <v>22017</v>
      </c>
      <c r="B37" s="1">
        <v>42787</v>
      </c>
      <c r="C37" t="s">
        <v>46</v>
      </c>
      <c r="D37">
        <v>10967.8</v>
      </c>
      <c r="E37">
        <v>11035.1</v>
      </c>
      <c r="F37">
        <v>10950.2</v>
      </c>
      <c r="G37">
        <v>11024.45</v>
      </c>
      <c r="H37">
        <v>0</v>
      </c>
      <c r="I37" s="8">
        <f t="shared" si="1"/>
        <v>7.0611985767985441E-3</v>
      </c>
      <c r="J37" s="8">
        <f t="shared" si="2"/>
        <v>7.0363850544573094E-3</v>
      </c>
    </row>
    <row r="38" spans="1:10" x14ac:dyDescent="0.25">
      <c r="A38" t="str">
        <f t="shared" si="0"/>
        <v>22017</v>
      </c>
      <c r="B38" s="1">
        <v>42788</v>
      </c>
      <c r="C38" t="s">
        <v>47</v>
      </c>
      <c r="D38">
        <v>11083.05</v>
      </c>
      <c r="E38">
        <v>11443</v>
      </c>
      <c r="F38">
        <v>11074.5</v>
      </c>
      <c r="G38">
        <v>11418.55</v>
      </c>
      <c r="H38">
        <v>0</v>
      </c>
      <c r="I38" s="8">
        <f t="shared" si="1"/>
        <v>3.5747815083745582E-2</v>
      </c>
      <c r="J38" s="8">
        <f t="shared" si="2"/>
        <v>3.5123692471575964E-2</v>
      </c>
    </row>
    <row r="39" spans="1:10" x14ac:dyDescent="0.25">
      <c r="A39" t="str">
        <f t="shared" si="0"/>
        <v>22017</v>
      </c>
      <c r="B39" s="1">
        <v>42789</v>
      </c>
      <c r="C39" t="s">
        <v>48</v>
      </c>
      <c r="D39">
        <v>11456.4</v>
      </c>
      <c r="E39">
        <v>11482.85</v>
      </c>
      <c r="F39">
        <v>11285.05</v>
      </c>
      <c r="G39">
        <v>11311.15</v>
      </c>
      <c r="H39">
        <v>0</v>
      </c>
      <c r="I39" s="8">
        <f t="shared" si="1"/>
        <v>-9.4057476649836991E-3</v>
      </c>
      <c r="J39" s="8">
        <f t="shared" si="2"/>
        <v>-9.4502610505500292E-3</v>
      </c>
    </row>
    <row r="40" spans="1:10" x14ac:dyDescent="0.25">
      <c r="A40" t="str">
        <f t="shared" si="0"/>
        <v>22017</v>
      </c>
      <c r="B40" s="1">
        <v>42793</v>
      </c>
      <c r="C40" t="s">
        <v>49</v>
      </c>
      <c r="D40">
        <v>11341</v>
      </c>
      <c r="E40">
        <v>11613.6</v>
      </c>
      <c r="F40">
        <v>11328.95</v>
      </c>
      <c r="G40">
        <v>11458.8</v>
      </c>
      <c r="H40">
        <v>0</v>
      </c>
      <c r="I40" s="8">
        <f t="shared" si="1"/>
        <v>1.3053491466384903E-2</v>
      </c>
      <c r="J40" s="8">
        <f t="shared" si="2"/>
        <v>1.2969028873778453E-2</v>
      </c>
    </row>
    <row r="41" spans="1:10" x14ac:dyDescent="0.25">
      <c r="A41" t="str">
        <f t="shared" si="0"/>
        <v>22017</v>
      </c>
      <c r="B41" s="1">
        <v>42794</v>
      </c>
      <c r="C41" t="s">
        <v>50</v>
      </c>
      <c r="D41">
        <v>11431.9</v>
      </c>
      <c r="E41">
        <v>11479.9</v>
      </c>
      <c r="F41">
        <v>11345.7</v>
      </c>
      <c r="G41">
        <v>11360.2</v>
      </c>
      <c r="H41">
        <v>0</v>
      </c>
      <c r="I41" s="8">
        <f t="shared" si="1"/>
        <v>-8.6047404614792988E-3</v>
      </c>
      <c r="J41" s="8">
        <f t="shared" si="2"/>
        <v>-8.6419749901892468E-3</v>
      </c>
    </row>
    <row r="42" spans="1:10" x14ac:dyDescent="0.25">
      <c r="A42" t="str">
        <f t="shared" si="0"/>
        <v>32017</v>
      </c>
      <c r="B42" s="1">
        <v>42795</v>
      </c>
      <c r="C42" s="10">
        <v>42738.645833333336</v>
      </c>
      <c r="D42">
        <v>11389.45</v>
      </c>
      <c r="E42">
        <v>11402.05</v>
      </c>
      <c r="F42">
        <v>11257.45</v>
      </c>
      <c r="G42">
        <v>11277.35</v>
      </c>
      <c r="H42">
        <v>0</v>
      </c>
      <c r="I42" s="8">
        <f t="shared" si="1"/>
        <v>-7.2930054048344628E-3</v>
      </c>
      <c r="J42" s="8">
        <f t="shared" si="2"/>
        <v>-7.3197293800907962E-3</v>
      </c>
    </row>
    <row r="43" spans="1:10" x14ac:dyDescent="0.25">
      <c r="A43" t="str">
        <f t="shared" si="0"/>
        <v>32017</v>
      </c>
      <c r="B43" s="1">
        <v>42796</v>
      </c>
      <c r="C43" s="10">
        <v>42769.645833333336</v>
      </c>
      <c r="D43">
        <v>11329.7</v>
      </c>
      <c r="E43">
        <v>11364.8</v>
      </c>
      <c r="F43">
        <v>11128.55</v>
      </c>
      <c r="G43">
        <v>11172.3</v>
      </c>
      <c r="H43">
        <v>0</v>
      </c>
      <c r="I43" s="8">
        <f t="shared" si="1"/>
        <v>-9.3151316577033683E-3</v>
      </c>
      <c r="J43" s="8">
        <f t="shared" si="2"/>
        <v>-9.3587888229392773E-3</v>
      </c>
    </row>
    <row r="44" spans="1:10" x14ac:dyDescent="0.25">
      <c r="A44" t="str">
        <f t="shared" si="0"/>
        <v>32017</v>
      </c>
      <c r="B44" s="1">
        <v>42797</v>
      </c>
      <c r="C44" s="10">
        <v>42797.645833333336</v>
      </c>
      <c r="D44">
        <v>11184</v>
      </c>
      <c r="E44">
        <v>11380.15</v>
      </c>
      <c r="F44">
        <v>11180.8</v>
      </c>
      <c r="G44">
        <v>11305.05</v>
      </c>
      <c r="H44">
        <v>0</v>
      </c>
      <c r="I44" s="8">
        <f t="shared" si="1"/>
        <v>1.188206546548165E-2</v>
      </c>
      <c r="J44" s="8">
        <f t="shared" si="2"/>
        <v>1.181202797311204E-2</v>
      </c>
    </row>
    <row r="45" spans="1:10" x14ac:dyDescent="0.25">
      <c r="A45" t="str">
        <f t="shared" si="0"/>
        <v>32017</v>
      </c>
      <c r="B45" s="1">
        <v>42800</v>
      </c>
      <c r="C45" s="10">
        <v>42889.645833333336</v>
      </c>
      <c r="D45">
        <v>11375.7</v>
      </c>
      <c r="E45">
        <v>11564.3</v>
      </c>
      <c r="F45">
        <v>11354.85</v>
      </c>
      <c r="G45">
        <v>11539.6</v>
      </c>
      <c r="H45">
        <v>0</v>
      </c>
      <c r="I45" s="8">
        <f t="shared" si="1"/>
        <v>2.0747365115590055E-2</v>
      </c>
      <c r="J45" s="8">
        <f t="shared" si="2"/>
        <v>2.0535069892237592E-2</v>
      </c>
    </row>
    <row r="46" spans="1:10" x14ac:dyDescent="0.25">
      <c r="A46" t="str">
        <f t="shared" si="0"/>
        <v>32017</v>
      </c>
      <c r="B46" s="1">
        <v>42801</v>
      </c>
      <c r="C46" s="10">
        <v>42919.645833333336</v>
      </c>
      <c r="D46">
        <v>11614</v>
      </c>
      <c r="E46">
        <v>11649.4</v>
      </c>
      <c r="F46">
        <v>11535.6</v>
      </c>
      <c r="G46">
        <v>11573.85</v>
      </c>
      <c r="H46">
        <v>0</v>
      </c>
      <c r="I46" s="8">
        <f t="shared" si="1"/>
        <v>2.9680404866718746E-3</v>
      </c>
      <c r="J46" s="8">
        <f t="shared" si="2"/>
        <v>2.9636445505695106E-3</v>
      </c>
    </row>
    <row r="47" spans="1:10" x14ac:dyDescent="0.25">
      <c r="A47" t="str">
        <f t="shared" si="0"/>
        <v>32017</v>
      </c>
      <c r="B47" s="1">
        <v>42802</v>
      </c>
      <c r="C47" s="10">
        <v>42950.645833333336</v>
      </c>
      <c r="D47">
        <v>11594.2</v>
      </c>
      <c r="E47">
        <v>11595.35</v>
      </c>
      <c r="F47">
        <v>11438.3</v>
      </c>
      <c r="G47">
        <v>11456.5</v>
      </c>
      <c r="H47">
        <v>0</v>
      </c>
      <c r="I47" s="8">
        <f t="shared" si="1"/>
        <v>-1.0139236295614751E-2</v>
      </c>
      <c r="J47" s="8">
        <f t="shared" si="2"/>
        <v>-1.0190988467459788E-2</v>
      </c>
    </row>
    <row r="48" spans="1:10" x14ac:dyDescent="0.25">
      <c r="A48" t="str">
        <f t="shared" si="0"/>
        <v>32017</v>
      </c>
      <c r="B48" s="1">
        <v>42803</v>
      </c>
      <c r="C48" s="10">
        <v>42981.645833333336</v>
      </c>
      <c r="D48">
        <v>11439.35</v>
      </c>
      <c r="E48">
        <v>11454.75</v>
      </c>
      <c r="F48">
        <v>11379.5</v>
      </c>
      <c r="G48">
        <v>11397.55</v>
      </c>
      <c r="H48">
        <v>0</v>
      </c>
      <c r="I48" s="8">
        <f t="shared" si="1"/>
        <v>-5.1455505608171137E-3</v>
      </c>
      <c r="J48" s="8">
        <f t="shared" si="2"/>
        <v>-5.158834494465735E-3</v>
      </c>
    </row>
    <row r="49" spans="1:11" x14ac:dyDescent="0.25">
      <c r="A49" t="str">
        <f t="shared" si="0"/>
        <v>32017</v>
      </c>
      <c r="B49" s="1">
        <v>42804</v>
      </c>
      <c r="C49" s="10">
        <v>43011.645833333336</v>
      </c>
      <c r="D49">
        <v>11432.85</v>
      </c>
      <c r="E49">
        <v>11450.75</v>
      </c>
      <c r="F49">
        <v>11246.05</v>
      </c>
      <c r="G49">
        <v>11350.95</v>
      </c>
      <c r="H49">
        <v>0</v>
      </c>
      <c r="I49" s="8">
        <f t="shared" si="1"/>
        <v>-4.0885979881639667E-3</v>
      </c>
      <c r="J49" s="8">
        <f t="shared" si="2"/>
        <v>-4.0969791575405021E-3</v>
      </c>
    </row>
    <row r="50" spans="1:11" x14ac:dyDescent="0.25">
      <c r="A50" t="str">
        <f t="shared" si="0"/>
        <v>32017</v>
      </c>
      <c r="B50" s="1">
        <v>42808</v>
      </c>
      <c r="C50" t="s">
        <v>51</v>
      </c>
      <c r="D50">
        <v>11625.25</v>
      </c>
      <c r="E50">
        <v>11625.3</v>
      </c>
      <c r="F50">
        <v>11407.75</v>
      </c>
      <c r="G50">
        <v>11435.65</v>
      </c>
      <c r="H50">
        <v>0</v>
      </c>
      <c r="I50" s="8">
        <f t="shared" si="1"/>
        <v>7.4619304992091795E-3</v>
      </c>
      <c r="J50" s="8">
        <f t="shared" si="2"/>
        <v>7.4342280197848493E-3</v>
      </c>
    </row>
    <row r="51" spans="1:11" x14ac:dyDescent="0.25">
      <c r="A51" t="str">
        <f t="shared" si="0"/>
        <v>32017</v>
      </c>
      <c r="B51" s="1">
        <v>42809</v>
      </c>
      <c r="C51" t="s">
        <v>52</v>
      </c>
      <c r="D51">
        <v>11441.45</v>
      </c>
      <c r="E51">
        <v>11536.05</v>
      </c>
      <c r="F51">
        <v>11433.65</v>
      </c>
      <c r="G51">
        <v>11469.5</v>
      </c>
      <c r="H51">
        <v>0</v>
      </c>
      <c r="I51" s="8">
        <f t="shared" si="1"/>
        <v>2.9600416242190342E-3</v>
      </c>
      <c r="J51" s="8">
        <f t="shared" si="2"/>
        <v>2.9556693270066945E-3</v>
      </c>
    </row>
    <row r="52" spans="1:11" x14ac:dyDescent="0.25">
      <c r="A52" t="str">
        <f t="shared" si="0"/>
        <v>32017</v>
      </c>
      <c r="B52" s="1">
        <v>42810</v>
      </c>
      <c r="C52" t="s">
        <v>53</v>
      </c>
      <c r="D52">
        <v>11537.15</v>
      </c>
      <c r="E52">
        <v>11541.15</v>
      </c>
      <c r="F52">
        <v>11476.8</v>
      </c>
      <c r="G52">
        <v>11524.8</v>
      </c>
      <c r="H52">
        <v>0</v>
      </c>
      <c r="I52" s="8">
        <f t="shared" si="1"/>
        <v>4.8214830637778316E-3</v>
      </c>
      <c r="J52" s="8">
        <f t="shared" si="2"/>
        <v>4.8098969409158601E-3</v>
      </c>
    </row>
    <row r="53" spans="1:11" x14ac:dyDescent="0.25">
      <c r="A53" t="str">
        <f t="shared" si="0"/>
        <v>32017</v>
      </c>
      <c r="B53" s="1">
        <v>42811</v>
      </c>
      <c r="C53" t="s">
        <v>54</v>
      </c>
      <c r="D53">
        <v>11592.55</v>
      </c>
      <c r="E53">
        <v>11603.85</v>
      </c>
      <c r="F53">
        <v>11468.4</v>
      </c>
      <c r="G53">
        <v>11487.15</v>
      </c>
      <c r="H53">
        <v>0</v>
      </c>
      <c r="I53" s="8">
        <f t="shared" si="1"/>
        <v>-3.266867971678411E-3</v>
      </c>
      <c r="J53" s="8">
        <f t="shared" si="2"/>
        <v>-3.2722158352029955E-3</v>
      </c>
    </row>
    <row r="54" spans="1:11" x14ac:dyDescent="0.25">
      <c r="A54" t="str">
        <f t="shared" si="0"/>
        <v>32017</v>
      </c>
      <c r="B54" s="1">
        <v>42814</v>
      </c>
      <c r="C54" t="s">
        <v>55</v>
      </c>
      <c r="D54">
        <v>11497.85</v>
      </c>
      <c r="E54">
        <v>11499.95</v>
      </c>
      <c r="F54">
        <v>11399</v>
      </c>
      <c r="G54">
        <v>11411.95</v>
      </c>
      <c r="H54">
        <v>0</v>
      </c>
      <c r="I54" s="8">
        <f t="shared" si="1"/>
        <v>-6.5464453759199737E-3</v>
      </c>
      <c r="J54" s="8">
        <f t="shared" si="2"/>
        <v>-6.5679673290646706E-3</v>
      </c>
    </row>
    <row r="55" spans="1:11" x14ac:dyDescent="0.25">
      <c r="A55" t="str">
        <f t="shared" si="0"/>
        <v>32017</v>
      </c>
      <c r="B55" s="1">
        <v>42815</v>
      </c>
      <c r="C55" t="s">
        <v>56</v>
      </c>
      <c r="D55">
        <v>11425.3</v>
      </c>
      <c r="E55">
        <v>11433.3</v>
      </c>
      <c r="F55">
        <v>11336.6</v>
      </c>
      <c r="G55">
        <v>11359.05</v>
      </c>
      <c r="H55">
        <v>0</v>
      </c>
      <c r="I55" s="8">
        <f t="shared" si="1"/>
        <v>-4.6354917433042431E-3</v>
      </c>
      <c r="J55" s="8">
        <f t="shared" si="2"/>
        <v>-4.6462689531642787E-3</v>
      </c>
    </row>
    <row r="56" spans="1:11" x14ac:dyDescent="0.25">
      <c r="A56" t="str">
        <f t="shared" si="0"/>
        <v>32017</v>
      </c>
      <c r="B56" s="1">
        <v>42816</v>
      </c>
      <c r="C56" t="s">
        <v>57</v>
      </c>
      <c r="D56">
        <v>11267.2</v>
      </c>
      <c r="E56">
        <v>11366.15</v>
      </c>
      <c r="F56">
        <v>11245.65</v>
      </c>
      <c r="G56">
        <v>11321.65</v>
      </c>
      <c r="H56">
        <v>0</v>
      </c>
      <c r="I56" s="8">
        <f t="shared" si="1"/>
        <v>-3.292528864649702E-3</v>
      </c>
      <c r="J56" s="8">
        <f t="shared" si="2"/>
        <v>-3.2979611650934206E-3</v>
      </c>
    </row>
    <row r="57" spans="1:11" x14ac:dyDescent="0.25">
      <c r="A57" t="str">
        <f t="shared" si="0"/>
        <v>32017</v>
      </c>
      <c r="B57" s="1">
        <v>42817</v>
      </c>
      <c r="C57" t="s">
        <v>58</v>
      </c>
      <c r="D57">
        <v>11394.15</v>
      </c>
      <c r="E57">
        <v>11478.4</v>
      </c>
      <c r="F57">
        <v>11368.2</v>
      </c>
      <c r="G57">
        <v>11456.65</v>
      </c>
      <c r="H57">
        <v>0</v>
      </c>
      <c r="I57" s="8">
        <f t="shared" si="1"/>
        <v>1.1924057005825217E-2</v>
      </c>
      <c r="J57" s="8">
        <f t="shared" si="2"/>
        <v>1.1853525565083267E-2</v>
      </c>
    </row>
    <row r="58" spans="1:11" x14ac:dyDescent="0.25">
      <c r="A58" t="str">
        <f t="shared" si="0"/>
        <v>32017</v>
      </c>
      <c r="B58" s="1">
        <v>42818</v>
      </c>
      <c r="C58" t="s">
        <v>59</v>
      </c>
      <c r="D58">
        <v>11451.75</v>
      </c>
      <c r="E58">
        <v>11514.2</v>
      </c>
      <c r="F58">
        <v>11407.65</v>
      </c>
      <c r="G58">
        <v>11485.4</v>
      </c>
      <c r="H58">
        <v>0</v>
      </c>
      <c r="I58" s="8">
        <f t="shared" si="1"/>
        <v>2.5094595715151602E-3</v>
      </c>
      <c r="J58" s="8">
        <f t="shared" si="2"/>
        <v>2.5063161356298621E-3</v>
      </c>
    </row>
    <row r="59" spans="1:11" x14ac:dyDescent="0.25">
      <c r="A59" t="str">
        <f t="shared" si="0"/>
        <v>32017</v>
      </c>
      <c r="B59" s="1">
        <v>42821</v>
      </c>
      <c r="C59" t="s">
        <v>60</v>
      </c>
      <c r="D59">
        <v>11424.5</v>
      </c>
      <c r="E59">
        <v>11450.15</v>
      </c>
      <c r="F59">
        <v>11292</v>
      </c>
      <c r="G59">
        <v>11307.9</v>
      </c>
      <c r="H59">
        <v>0</v>
      </c>
      <c r="I59" s="8">
        <f t="shared" si="1"/>
        <v>-1.5454402981176063E-2</v>
      </c>
      <c r="J59" s="8">
        <f t="shared" si="2"/>
        <v>-1.5575067075688299E-2</v>
      </c>
    </row>
    <row r="60" spans="1:11" x14ac:dyDescent="0.25">
      <c r="A60" t="str">
        <f t="shared" si="0"/>
        <v>32017</v>
      </c>
      <c r="B60" s="1">
        <v>42822</v>
      </c>
      <c r="C60" t="s">
        <v>61</v>
      </c>
      <c r="D60">
        <v>11350.5</v>
      </c>
      <c r="E60">
        <v>11357.35</v>
      </c>
      <c r="F60">
        <v>11269.85</v>
      </c>
      <c r="G60">
        <v>11298.2</v>
      </c>
      <c r="H60">
        <v>0</v>
      </c>
      <c r="I60" s="8">
        <f t="shared" si="1"/>
        <v>-8.578073736059677E-4</v>
      </c>
      <c r="J60" s="8">
        <f t="shared" si="2"/>
        <v>-8.5817550088766097E-4</v>
      </c>
    </row>
    <row r="61" spans="1:11" x14ac:dyDescent="0.25">
      <c r="A61" t="str">
        <f t="shared" si="0"/>
        <v>32017</v>
      </c>
      <c r="B61" s="1">
        <v>42823</v>
      </c>
      <c r="C61" t="s">
        <v>62</v>
      </c>
      <c r="D61">
        <v>11346.1</v>
      </c>
      <c r="E61">
        <v>11356.5</v>
      </c>
      <c r="F61">
        <v>11250.65</v>
      </c>
      <c r="G61">
        <v>11339.2</v>
      </c>
      <c r="H61">
        <v>0</v>
      </c>
      <c r="I61" s="8">
        <f t="shared" si="1"/>
        <v>3.6288966384026011E-3</v>
      </c>
      <c r="J61" s="8">
        <f t="shared" si="2"/>
        <v>3.6223280792815932E-3</v>
      </c>
    </row>
    <row r="62" spans="1:11" x14ac:dyDescent="0.25">
      <c r="A62" t="str">
        <f t="shared" si="0"/>
        <v>32017</v>
      </c>
      <c r="B62" s="1">
        <v>42824</v>
      </c>
      <c r="C62" t="s">
        <v>63</v>
      </c>
      <c r="D62">
        <v>11339.8</v>
      </c>
      <c r="E62">
        <v>11400.85</v>
      </c>
      <c r="F62">
        <v>11322.85</v>
      </c>
      <c r="G62">
        <v>11377.65</v>
      </c>
      <c r="H62">
        <v>0</v>
      </c>
      <c r="I62" s="8">
        <f t="shared" si="1"/>
        <v>3.3908917736700239E-3</v>
      </c>
      <c r="J62" s="8">
        <f t="shared" si="2"/>
        <v>3.3851556635212622E-3</v>
      </c>
    </row>
    <row r="63" spans="1:11" x14ac:dyDescent="0.25">
      <c r="A63" t="str">
        <f t="shared" si="0"/>
        <v>32017</v>
      </c>
      <c r="B63" s="1">
        <v>42825</v>
      </c>
      <c r="C63" t="s">
        <v>64</v>
      </c>
      <c r="D63">
        <v>11386.75</v>
      </c>
      <c r="E63">
        <v>11724.1</v>
      </c>
      <c r="F63">
        <v>11384.55</v>
      </c>
      <c r="G63">
        <v>11648.7</v>
      </c>
      <c r="H63">
        <v>0</v>
      </c>
      <c r="I63" s="8">
        <f t="shared" si="1"/>
        <v>2.3823021449947968E-2</v>
      </c>
      <c r="J63" s="8">
        <f t="shared" si="2"/>
        <v>2.3543681065098999E-2</v>
      </c>
      <c r="K63" s="8">
        <f>+G63/G2-1</f>
        <v>0.1301023996740287</v>
      </c>
    </row>
    <row r="64" spans="1:11" x14ac:dyDescent="0.25">
      <c r="A64" t="str">
        <f t="shared" si="0"/>
        <v>42017</v>
      </c>
      <c r="B64" s="1">
        <v>42828</v>
      </c>
      <c r="C64" s="10">
        <v>42798.645833333336</v>
      </c>
      <c r="D64">
        <v>11740.45</v>
      </c>
      <c r="E64">
        <v>11881.45</v>
      </c>
      <c r="F64">
        <v>11714.3</v>
      </c>
      <c r="G64">
        <v>11819.4</v>
      </c>
      <c r="H64">
        <v>0</v>
      </c>
      <c r="I64" s="8">
        <f t="shared" si="1"/>
        <v>1.4653995724844826E-2</v>
      </c>
      <c r="J64" s="8">
        <f t="shared" si="2"/>
        <v>1.4547663465752989E-2</v>
      </c>
      <c r="K64" s="8">
        <f t="shared" ref="K64:K127" si="3">+G64/G3-1</f>
        <v>0.13309781853217073</v>
      </c>
    </row>
    <row r="65" spans="1:11" x14ac:dyDescent="0.25">
      <c r="A65" t="str">
        <f t="shared" si="0"/>
        <v>42017</v>
      </c>
      <c r="B65" s="1">
        <v>42830</v>
      </c>
      <c r="C65" s="10">
        <v>42859.645833333336</v>
      </c>
      <c r="D65">
        <v>11929</v>
      </c>
      <c r="E65">
        <v>11998.85</v>
      </c>
      <c r="F65">
        <v>11846.5</v>
      </c>
      <c r="G65">
        <v>11979.3</v>
      </c>
      <c r="H65">
        <v>0</v>
      </c>
      <c r="I65" s="8">
        <f t="shared" si="1"/>
        <v>1.3528605512970193E-2</v>
      </c>
      <c r="J65" s="8">
        <f t="shared" si="2"/>
        <v>1.3437910994071487E-2</v>
      </c>
      <c r="K65" s="8">
        <f t="shared" si="3"/>
        <v>0.15777265544586028</v>
      </c>
    </row>
    <row r="66" spans="1:11" x14ac:dyDescent="0.25">
      <c r="A66" t="str">
        <f t="shared" si="0"/>
        <v>42017</v>
      </c>
      <c r="B66" s="1">
        <v>42831</v>
      </c>
      <c r="C66" s="10">
        <v>42890.645833333336</v>
      </c>
      <c r="D66">
        <v>11953.2</v>
      </c>
      <c r="E66">
        <v>12140.25</v>
      </c>
      <c r="F66">
        <v>11920.2</v>
      </c>
      <c r="G66">
        <v>12123.45</v>
      </c>
      <c r="H66">
        <v>0</v>
      </c>
      <c r="I66" s="8">
        <f t="shared" si="1"/>
        <v>1.2033257368961658E-2</v>
      </c>
      <c r="J66" s="8">
        <f t="shared" si="2"/>
        <v>1.1961433338104789E-2</v>
      </c>
      <c r="K66" s="8">
        <f t="shared" si="3"/>
        <v>0.15401529682212556</v>
      </c>
    </row>
    <row r="67" spans="1:11" x14ac:dyDescent="0.25">
      <c r="A67" t="str">
        <f t="shared" ref="A67:A130" si="4">+MONTH(B67)&amp;YEAR(B67)</f>
        <v>42017</v>
      </c>
      <c r="B67" s="1">
        <v>42832</v>
      </c>
      <c r="C67" s="10">
        <v>42920.645833333336</v>
      </c>
      <c r="D67">
        <v>12041.3</v>
      </c>
      <c r="E67">
        <v>12149.2</v>
      </c>
      <c r="F67">
        <v>12007.4</v>
      </c>
      <c r="G67">
        <v>12055.05</v>
      </c>
      <c r="H67">
        <v>0</v>
      </c>
      <c r="I67" s="8">
        <f t="shared" si="1"/>
        <v>-5.6419583534391693E-3</v>
      </c>
      <c r="J67" s="8">
        <f t="shared" si="2"/>
        <v>-5.6579343192971511E-3</v>
      </c>
      <c r="K67" s="8">
        <f t="shared" si="3"/>
        <v>0.15154916392432582</v>
      </c>
    </row>
    <row r="68" spans="1:11" x14ac:dyDescent="0.25">
      <c r="A68" t="str">
        <f t="shared" si="4"/>
        <v>42017</v>
      </c>
      <c r="B68" s="1">
        <v>42835</v>
      </c>
      <c r="C68" s="10">
        <v>43012.645833333336</v>
      </c>
      <c r="D68">
        <v>12104</v>
      </c>
      <c r="E68">
        <v>12189.55</v>
      </c>
      <c r="F68">
        <v>12003.3</v>
      </c>
      <c r="G68">
        <v>12017.45</v>
      </c>
      <c r="H68">
        <v>0</v>
      </c>
      <c r="I68" s="8">
        <f t="shared" ref="I68:I131" si="5">+G68/G67-1</f>
        <v>-3.1190248070309678E-3</v>
      </c>
      <c r="J68" s="8">
        <f t="shared" ref="J68:J131" si="6">+LN(1+I68)</f>
        <v>-3.1238991029096763E-3</v>
      </c>
      <c r="K68" s="8">
        <f t="shared" si="3"/>
        <v>0.15595196298629799</v>
      </c>
    </row>
    <row r="69" spans="1:11" x14ac:dyDescent="0.25">
      <c r="A69" t="str">
        <f t="shared" si="4"/>
        <v>42017</v>
      </c>
      <c r="B69" s="1">
        <v>42836</v>
      </c>
      <c r="C69" s="10">
        <v>43043.645833333336</v>
      </c>
      <c r="D69">
        <v>12065.35</v>
      </c>
      <c r="E69">
        <v>12126.9</v>
      </c>
      <c r="F69">
        <v>11996.45</v>
      </c>
      <c r="G69">
        <v>12012.25</v>
      </c>
      <c r="H69">
        <v>0</v>
      </c>
      <c r="I69" s="8">
        <f t="shared" si="5"/>
        <v>-4.3270410944096227E-4</v>
      </c>
      <c r="J69" s="8">
        <f t="shared" si="6"/>
        <v>-4.3279775287836692E-4</v>
      </c>
      <c r="K69" s="8">
        <f t="shared" si="3"/>
        <v>0.14516351988407528</v>
      </c>
    </row>
    <row r="70" spans="1:11" x14ac:dyDescent="0.25">
      <c r="A70" t="str">
        <f t="shared" si="4"/>
        <v>42017</v>
      </c>
      <c r="B70" s="1">
        <v>42837</v>
      </c>
      <c r="C70" s="10">
        <v>43073.645833333336</v>
      </c>
      <c r="D70">
        <v>12069.7</v>
      </c>
      <c r="E70">
        <v>12093.8</v>
      </c>
      <c r="F70">
        <v>11870.45</v>
      </c>
      <c r="G70">
        <v>11914</v>
      </c>
      <c r="H70">
        <v>0</v>
      </c>
      <c r="I70" s="8">
        <f t="shared" si="5"/>
        <v>-8.179150450581707E-3</v>
      </c>
      <c r="J70" s="8">
        <f t="shared" si="6"/>
        <v>-8.2127832188231692E-3</v>
      </c>
      <c r="K70" s="8">
        <f t="shared" si="3"/>
        <v>0.1321059508255138</v>
      </c>
    </row>
    <row r="71" spans="1:11" x14ac:dyDescent="0.25">
      <c r="A71" t="str">
        <f t="shared" si="4"/>
        <v>42017</v>
      </c>
      <c r="B71" s="1">
        <v>42838</v>
      </c>
      <c r="C71" t="s">
        <v>65</v>
      </c>
      <c r="D71">
        <v>11917.5</v>
      </c>
      <c r="E71">
        <v>12066.65</v>
      </c>
      <c r="F71">
        <v>11877.25</v>
      </c>
      <c r="G71">
        <v>12018.4</v>
      </c>
      <c r="H71">
        <v>0</v>
      </c>
      <c r="I71" s="8">
        <f t="shared" si="5"/>
        <v>8.7628000671478024E-3</v>
      </c>
      <c r="J71" s="8">
        <f t="shared" si="6"/>
        <v>8.7246295595810753E-3</v>
      </c>
      <c r="K71" s="8">
        <f t="shared" si="3"/>
        <v>0.12909256597427743</v>
      </c>
    </row>
    <row r="72" spans="1:11" x14ac:dyDescent="0.25">
      <c r="A72" t="str">
        <f t="shared" si="4"/>
        <v>42017</v>
      </c>
      <c r="B72" s="1">
        <v>42842</v>
      </c>
      <c r="C72" t="s">
        <v>66</v>
      </c>
      <c r="D72">
        <v>12040.4</v>
      </c>
      <c r="E72">
        <v>12122.85</v>
      </c>
      <c r="F72">
        <v>11999.15</v>
      </c>
      <c r="G72">
        <v>12107.85</v>
      </c>
      <c r="H72">
        <v>0</v>
      </c>
      <c r="I72" s="8">
        <f t="shared" si="5"/>
        <v>7.442754443187205E-3</v>
      </c>
      <c r="J72" s="8">
        <f t="shared" si="6"/>
        <v>7.4151938131885196E-3</v>
      </c>
      <c r="K72" s="8">
        <f t="shared" si="3"/>
        <v>0.13618321040481951</v>
      </c>
    </row>
    <row r="73" spans="1:11" x14ac:dyDescent="0.25">
      <c r="A73" t="str">
        <f t="shared" si="4"/>
        <v>42017</v>
      </c>
      <c r="B73" s="1">
        <v>42843</v>
      </c>
      <c r="C73" t="s">
        <v>67</v>
      </c>
      <c r="D73">
        <v>12170</v>
      </c>
      <c r="E73">
        <v>12250.8</v>
      </c>
      <c r="F73">
        <v>12013.8</v>
      </c>
      <c r="G73">
        <v>12031.4</v>
      </c>
      <c r="H73">
        <v>0</v>
      </c>
      <c r="I73" s="8">
        <f t="shared" si="5"/>
        <v>-6.3140854899921273E-3</v>
      </c>
      <c r="J73" s="8">
        <f t="shared" si="6"/>
        <v>-6.3341036364592167E-3</v>
      </c>
      <c r="K73" s="8">
        <f t="shared" si="3"/>
        <v>0.13505379793110261</v>
      </c>
    </row>
    <row r="74" spans="1:11" x14ac:dyDescent="0.25">
      <c r="A74" t="str">
        <f t="shared" si="4"/>
        <v>42017</v>
      </c>
      <c r="B74" s="1">
        <v>42844</v>
      </c>
      <c r="C74" t="s">
        <v>68</v>
      </c>
      <c r="D74">
        <v>12022.8</v>
      </c>
      <c r="E74">
        <v>12125.8</v>
      </c>
      <c r="F74">
        <v>11968.8</v>
      </c>
      <c r="G74">
        <v>12100.8</v>
      </c>
      <c r="H74">
        <v>0</v>
      </c>
      <c r="I74" s="8">
        <f t="shared" si="5"/>
        <v>5.7682397725951073E-3</v>
      </c>
      <c r="J74" s="8">
        <f t="shared" si="6"/>
        <v>5.7516671768219098E-3</v>
      </c>
      <c r="K74" s="8">
        <f t="shared" si="3"/>
        <v>0.158453518928932</v>
      </c>
    </row>
    <row r="75" spans="1:11" x14ac:dyDescent="0.25">
      <c r="A75" t="str">
        <f t="shared" si="4"/>
        <v>42017</v>
      </c>
      <c r="B75" s="1">
        <v>42845</v>
      </c>
      <c r="C75" t="s">
        <v>69</v>
      </c>
      <c r="D75">
        <v>12171.45</v>
      </c>
      <c r="E75">
        <v>12199</v>
      </c>
      <c r="F75">
        <v>12033.95</v>
      </c>
      <c r="G75">
        <v>12068.5</v>
      </c>
      <c r="H75">
        <v>0</v>
      </c>
      <c r="I75" s="8">
        <f t="shared" si="5"/>
        <v>-2.6692450085944452E-3</v>
      </c>
      <c r="J75" s="8">
        <f t="shared" si="6"/>
        <v>-2.672813795110762E-3</v>
      </c>
      <c r="K75" s="8">
        <f t="shared" si="3"/>
        <v>0.15999769317275248</v>
      </c>
    </row>
    <row r="76" spans="1:11" x14ac:dyDescent="0.25">
      <c r="A76" t="str">
        <f t="shared" si="4"/>
        <v>42017</v>
      </c>
      <c r="B76" s="1">
        <v>42846</v>
      </c>
      <c r="C76" t="s">
        <v>70</v>
      </c>
      <c r="D76">
        <v>12146.95</v>
      </c>
      <c r="E76">
        <v>12269.05</v>
      </c>
      <c r="F76">
        <v>12138.2</v>
      </c>
      <c r="G76">
        <v>12193.8</v>
      </c>
      <c r="H76">
        <v>0</v>
      </c>
      <c r="I76" s="8">
        <f t="shared" si="5"/>
        <v>1.0382400464017838E-2</v>
      </c>
      <c r="J76" s="8">
        <f t="shared" si="6"/>
        <v>1.032887351766203E-2</v>
      </c>
      <c r="K76" s="8">
        <f t="shared" si="3"/>
        <v>0.15705522054532595</v>
      </c>
    </row>
    <row r="77" spans="1:11" x14ac:dyDescent="0.25">
      <c r="A77" t="str">
        <f t="shared" si="4"/>
        <v>42017</v>
      </c>
      <c r="B77" s="1">
        <v>42849</v>
      </c>
      <c r="C77" t="s">
        <v>71</v>
      </c>
      <c r="D77">
        <v>12235.3</v>
      </c>
      <c r="E77">
        <v>12340.4</v>
      </c>
      <c r="F77">
        <v>12195.55</v>
      </c>
      <c r="G77">
        <v>12273.15</v>
      </c>
      <c r="H77">
        <v>0</v>
      </c>
      <c r="I77" s="8">
        <f t="shared" si="5"/>
        <v>6.5074054027456363E-3</v>
      </c>
      <c r="J77" s="8">
        <f t="shared" si="6"/>
        <v>6.4863236491277555E-3</v>
      </c>
      <c r="K77" s="8">
        <f t="shared" si="3"/>
        <v>0.1793054741474569</v>
      </c>
    </row>
    <row r="78" spans="1:11" x14ac:dyDescent="0.25">
      <c r="A78" t="str">
        <f t="shared" si="4"/>
        <v>42017</v>
      </c>
      <c r="B78" s="1">
        <v>42850</v>
      </c>
      <c r="C78" t="s">
        <v>72</v>
      </c>
      <c r="D78">
        <v>12466.45</v>
      </c>
      <c r="E78">
        <v>12497.3</v>
      </c>
      <c r="F78">
        <v>12343.6</v>
      </c>
      <c r="G78">
        <v>12406.85</v>
      </c>
      <c r="H78">
        <v>0</v>
      </c>
      <c r="I78" s="8">
        <f t="shared" si="5"/>
        <v>1.0893698846669464E-2</v>
      </c>
      <c r="J78" s="8">
        <f t="shared" si="6"/>
        <v>1.0834789947121243E-2</v>
      </c>
      <c r="K78" s="8">
        <f t="shared" si="3"/>
        <v>0.18733222640642722</v>
      </c>
    </row>
    <row r="79" spans="1:11" x14ac:dyDescent="0.25">
      <c r="A79" t="str">
        <f t="shared" si="4"/>
        <v>42017</v>
      </c>
      <c r="B79" s="1">
        <v>42851</v>
      </c>
      <c r="C79" t="s">
        <v>73</v>
      </c>
      <c r="D79">
        <v>12431.4</v>
      </c>
      <c r="E79">
        <v>12454.6</v>
      </c>
      <c r="F79">
        <v>12196</v>
      </c>
      <c r="G79">
        <v>12278.65</v>
      </c>
      <c r="H79">
        <v>0</v>
      </c>
      <c r="I79" s="8">
        <f t="shared" si="5"/>
        <v>-1.0333001527382146E-2</v>
      </c>
      <c r="J79" s="8">
        <f t="shared" si="6"/>
        <v>-1.0386757616131032E-2</v>
      </c>
      <c r="K79" s="8">
        <f t="shared" si="3"/>
        <v>0.16001020316581549</v>
      </c>
    </row>
    <row r="80" spans="1:11" x14ac:dyDescent="0.25">
      <c r="A80" t="str">
        <f t="shared" si="4"/>
        <v>42017</v>
      </c>
      <c r="B80" s="1">
        <v>42852</v>
      </c>
      <c r="C80" t="s">
        <v>74</v>
      </c>
      <c r="D80">
        <v>12291.7</v>
      </c>
      <c r="E80">
        <v>12313.6</v>
      </c>
      <c r="F80">
        <v>12239.2</v>
      </c>
      <c r="G80">
        <v>12290.1</v>
      </c>
      <c r="H80">
        <v>0</v>
      </c>
      <c r="I80" s="8">
        <f t="shared" si="5"/>
        <v>9.3251293912599564E-4</v>
      </c>
      <c r="J80" s="8">
        <f t="shared" si="6"/>
        <v>9.3207841904459452E-4</v>
      </c>
      <c r="K80" s="8">
        <f t="shared" si="3"/>
        <v>0.15271199317194872</v>
      </c>
    </row>
    <row r="81" spans="1:11" x14ac:dyDescent="0.25">
      <c r="A81" t="str">
        <f t="shared" si="4"/>
        <v>42017</v>
      </c>
      <c r="B81" s="1">
        <v>42853</v>
      </c>
      <c r="C81" t="s">
        <v>75</v>
      </c>
      <c r="D81">
        <v>12307.5</v>
      </c>
      <c r="E81">
        <v>12347.45</v>
      </c>
      <c r="F81">
        <v>12223.2</v>
      </c>
      <c r="G81">
        <v>12263.55</v>
      </c>
      <c r="H81">
        <v>0</v>
      </c>
      <c r="I81" s="8">
        <f t="shared" si="5"/>
        <v>-2.1602753435693289E-3</v>
      </c>
      <c r="J81" s="8">
        <f t="shared" si="6"/>
        <v>-2.1626121043203102E-3</v>
      </c>
      <c r="K81" s="8">
        <f t="shared" si="3"/>
        <v>0.14234149476733604</v>
      </c>
    </row>
    <row r="82" spans="1:11" x14ac:dyDescent="0.25">
      <c r="A82" t="str">
        <f t="shared" si="4"/>
        <v>52017</v>
      </c>
      <c r="B82" s="1">
        <v>42857</v>
      </c>
      <c r="C82" s="10">
        <v>42771.645833333336</v>
      </c>
      <c r="D82">
        <v>12321.2</v>
      </c>
      <c r="E82">
        <v>12325.9</v>
      </c>
      <c r="F82">
        <v>12191.8</v>
      </c>
      <c r="G82">
        <v>12242.85</v>
      </c>
      <c r="H82">
        <v>0</v>
      </c>
      <c r="I82" s="8">
        <f t="shared" si="5"/>
        <v>-1.687928862360355E-3</v>
      </c>
      <c r="J82" s="8">
        <f t="shared" si="6"/>
        <v>-1.6893550193428455E-3</v>
      </c>
      <c r="K82" s="8">
        <f t="shared" si="3"/>
        <v>0.13725116810492977</v>
      </c>
    </row>
    <row r="83" spans="1:11" x14ac:dyDescent="0.25">
      <c r="A83" t="str">
        <f t="shared" si="4"/>
        <v>52017</v>
      </c>
      <c r="B83" s="1">
        <v>42858</v>
      </c>
      <c r="C83" s="10">
        <v>42799.645833333336</v>
      </c>
      <c r="D83">
        <v>12305.4</v>
      </c>
      <c r="E83">
        <v>12365.65</v>
      </c>
      <c r="F83">
        <v>12183.4</v>
      </c>
      <c r="G83">
        <v>12212.85</v>
      </c>
      <c r="H83">
        <v>0</v>
      </c>
      <c r="I83" s="8">
        <f t="shared" si="5"/>
        <v>-2.4504098310442757E-3</v>
      </c>
      <c r="J83" s="8">
        <f t="shared" si="6"/>
        <v>-2.4534169987476396E-3</v>
      </c>
      <c r="K83" s="8">
        <f t="shared" si="3"/>
        <v>0.14415199336715334</v>
      </c>
    </row>
    <row r="84" spans="1:11" x14ac:dyDescent="0.25">
      <c r="A84" t="str">
        <f t="shared" si="4"/>
        <v>52017</v>
      </c>
      <c r="B84" s="1">
        <v>42859</v>
      </c>
      <c r="C84" s="10">
        <v>42830.645833333336</v>
      </c>
      <c r="D84">
        <v>12258.45</v>
      </c>
      <c r="E84">
        <v>12262.65</v>
      </c>
      <c r="F84">
        <v>12108.05</v>
      </c>
      <c r="G84">
        <v>12140.15</v>
      </c>
      <c r="H84">
        <v>0</v>
      </c>
      <c r="I84" s="8">
        <f t="shared" si="5"/>
        <v>-5.9527464924240547E-3</v>
      </c>
      <c r="J84" s="8">
        <f t="shared" si="6"/>
        <v>-5.970534715477066E-3</v>
      </c>
      <c r="K84" s="8">
        <f t="shared" si="3"/>
        <v>0.13011524426571341</v>
      </c>
    </row>
    <row r="85" spans="1:11" x14ac:dyDescent="0.25">
      <c r="A85" t="str">
        <f t="shared" si="4"/>
        <v>52017</v>
      </c>
      <c r="B85" s="1">
        <v>42860</v>
      </c>
      <c r="C85" s="10">
        <v>42860.645833333336</v>
      </c>
      <c r="D85">
        <v>12181.05</v>
      </c>
      <c r="E85">
        <v>12182</v>
      </c>
      <c r="F85">
        <v>11907.2</v>
      </c>
      <c r="G85">
        <v>11925.4</v>
      </c>
      <c r="H85">
        <v>0</v>
      </c>
      <c r="I85" s="8">
        <f t="shared" si="5"/>
        <v>-1.7689237777127942E-2</v>
      </c>
      <c r="J85" s="8">
        <f t="shared" si="6"/>
        <v>-1.7847562214663198E-2</v>
      </c>
      <c r="K85" s="8">
        <f t="shared" si="3"/>
        <v>0.10867433028554951</v>
      </c>
    </row>
    <row r="86" spans="1:11" x14ac:dyDescent="0.25">
      <c r="A86" t="str">
        <f t="shared" si="4"/>
        <v>52017</v>
      </c>
      <c r="B86" s="1">
        <v>42863</v>
      </c>
      <c r="C86" s="10">
        <v>42952.645833333336</v>
      </c>
      <c r="D86">
        <v>11944.85</v>
      </c>
      <c r="E86">
        <v>11983</v>
      </c>
      <c r="F86">
        <v>11888.7</v>
      </c>
      <c r="G86">
        <v>11909.55</v>
      </c>
      <c r="H86">
        <v>0</v>
      </c>
      <c r="I86" s="8">
        <f t="shared" si="5"/>
        <v>-1.3290958793835683E-3</v>
      </c>
      <c r="J86" s="8">
        <f t="shared" si="6"/>
        <v>-1.3299799107069441E-3</v>
      </c>
      <c r="K86" s="8">
        <f t="shared" si="3"/>
        <v>0.11220011019695364</v>
      </c>
    </row>
    <row r="87" spans="1:11" x14ac:dyDescent="0.25">
      <c r="A87" t="str">
        <f t="shared" si="4"/>
        <v>52017</v>
      </c>
      <c r="B87" s="1">
        <v>42864</v>
      </c>
      <c r="C87" s="10">
        <v>42983.645833333336</v>
      </c>
      <c r="D87">
        <v>11948.05</v>
      </c>
      <c r="E87">
        <v>11997.05</v>
      </c>
      <c r="F87">
        <v>11900.75</v>
      </c>
      <c r="G87">
        <v>11980.7</v>
      </c>
      <c r="H87">
        <v>0</v>
      </c>
      <c r="I87" s="8">
        <f t="shared" si="5"/>
        <v>5.9741971778952685E-3</v>
      </c>
      <c r="J87" s="8">
        <f t="shared" si="6"/>
        <v>5.9564224200745414E-3</v>
      </c>
      <c r="K87" s="8">
        <f t="shared" si="3"/>
        <v>0.1110678333124675</v>
      </c>
    </row>
    <row r="88" spans="1:11" x14ac:dyDescent="0.25">
      <c r="A88" t="str">
        <f t="shared" si="4"/>
        <v>52017</v>
      </c>
      <c r="B88" s="1">
        <v>42865</v>
      </c>
      <c r="C88" s="10">
        <v>43013.645833333336</v>
      </c>
      <c r="D88">
        <v>12029.2</v>
      </c>
      <c r="E88">
        <v>12133.9</v>
      </c>
      <c r="F88">
        <v>12002.65</v>
      </c>
      <c r="G88">
        <v>12118.45</v>
      </c>
      <c r="H88">
        <v>0</v>
      </c>
      <c r="I88" s="8">
        <f t="shared" si="5"/>
        <v>1.1497658734464622E-2</v>
      </c>
      <c r="J88" s="8">
        <f t="shared" si="6"/>
        <v>1.1432062975890505E-2</v>
      </c>
      <c r="K88" s="8">
        <f t="shared" si="3"/>
        <v>0.13340223155413811</v>
      </c>
    </row>
    <row r="89" spans="1:11" x14ac:dyDescent="0.25">
      <c r="A89" t="str">
        <f t="shared" si="4"/>
        <v>52017</v>
      </c>
      <c r="B89" s="1">
        <v>42866</v>
      </c>
      <c r="C89" s="10">
        <v>43044.645833333336</v>
      </c>
      <c r="D89">
        <v>12162.5</v>
      </c>
      <c r="E89">
        <v>12169.1</v>
      </c>
      <c r="F89">
        <v>12015.9</v>
      </c>
      <c r="G89">
        <v>12037</v>
      </c>
      <c r="H89">
        <v>0</v>
      </c>
      <c r="I89" s="8">
        <f t="shared" si="5"/>
        <v>-6.7211565835565423E-3</v>
      </c>
      <c r="J89" s="8">
        <f t="shared" si="6"/>
        <v>-6.7438452764512899E-3</v>
      </c>
      <c r="K89" s="8">
        <f t="shared" si="3"/>
        <v>0.12258220953873122</v>
      </c>
    </row>
    <row r="90" spans="1:11" x14ac:dyDescent="0.25">
      <c r="A90" t="str">
        <f t="shared" si="4"/>
        <v>52017</v>
      </c>
      <c r="B90" s="1">
        <v>42867</v>
      </c>
      <c r="C90" s="10">
        <v>43074.645833333336</v>
      </c>
      <c r="D90">
        <v>12056.2</v>
      </c>
      <c r="E90">
        <v>12068.1</v>
      </c>
      <c r="F90">
        <v>11977.1</v>
      </c>
      <c r="G90">
        <v>12017.65</v>
      </c>
      <c r="H90">
        <v>0</v>
      </c>
      <c r="I90" s="8">
        <f t="shared" si="5"/>
        <v>-1.6075434078258732E-3</v>
      </c>
      <c r="J90" s="8">
        <f t="shared" si="6"/>
        <v>-1.6088368921372076E-3</v>
      </c>
      <c r="K90" s="8">
        <f t="shared" si="3"/>
        <v>0.12041711534068922</v>
      </c>
    </row>
    <row r="91" spans="1:11" x14ac:dyDescent="0.25">
      <c r="A91" t="str">
        <f t="shared" si="4"/>
        <v>52017</v>
      </c>
      <c r="B91" s="1">
        <v>42870</v>
      </c>
      <c r="C91" t="s">
        <v>76</v>
      </c>
      <c r="D91">
        <v>12088.1</v>
      </c>
      <c r="E91">
        <v>12088.55</v>
      </c>
      <c r="F91">
        <v>11981.3</v>
      </c>
      <c r="G91">
        <v>12036.55</v>
      </c>
      <c r="H91">
        <v>0</v>
      </c>
      <c r="I91" s="8">
        <f t="shared" si="5"/>
        <v>1.5726868397731852E-3</v>
      </c>
      <c r="J91" s="8">
        <f t="shared" si="6"/>
        <v>1.5714514628962166E-3</v>
      </c>
      <c r="K91" s="8">
        <f t="shared" si="3"/>
        <v>0.12736085419252108</v>
      </c>
    </row>
    <row r="92" spans="1:11" x14ac:dyDescent="0.25">
      <c r="A92" t="str">
        <f t="shared" si="4"/>
        <v>52017</v>
      </c>
      <c r="B92" s="1">
        <v>42871</v>
      </c>
      <c r="C92" t="s">
        <v>77</v>
      </c>
      <c r="D92">
        <v>12053.05</v>
      </c>
      <c r="E92">
        <v>12179.95</v>
      </c>
      <c r="F92">
        <v>12030.5</v>
      </c>
      <c r="G92">
        <v>12099.5</v>
      </c>
      <c r="H92">
        <v>0</v>
      </c>
      <c r="I92" s="8">
        <f t="shared" si="5"/>
        <v>5.2299039176508799E-3</v>
      </c>
      <c r="J92" s="8">
        <f t="shared" si="6"/>
        <v>5.2162754664987912E-3</v>
      </c>
      <c r="K92" s="8">
        <f t="shared" si="3"/>
        <v>0.13029790652703954</v>
      </c>
    </row>
    <row r="93" spans="1:11" x14ac:dyDescent="0.25">
      <c r="A93" t="str">
        <f t="shared" si="4"/>
        <v>52017</v>
      </c>
      <c r="B93" s="1">
        <v>42872</v>
      </c>
      <c r="C93" t="s">
        <v>78</v>
      </c>
      <c r="D93">
        <v>12092.85</v>
      </c>
      <c r="E93">
        <v>12142.4</v>
      </c>
      <c r="F93">
        <v>12052</v>
      </c>
      <c r="G93">
        <v>12073.15</v>
      </c>
      <c r="H93">
        <v>0</v>
      </c>
      <c r="I93" s="8">
        <f t="shared" si="5"/>
        <v>-2.1777759411546471E-3</v>
      </c>
      <c r="J93" s="8">
        <f t="shared" si="6"/>
        <v>-2.1801507436645471E-3</v>
      </c>
      <c r="K93" s="8">
        <f t="shared" si="3"/>
        <v>0.12529767868876895</v>
      </c>
    </row>
    <row r="94" spans="1:11" x14ac:dyDescent="0.25">
      <c r="A94" t="str">
        <f t="shared" si="4"/>
        <v>52017</v>
      </c>
      <c r="B94" s="1">
        <v>42873</v>
      </c>
      <c r="C94" t="s">
        <v>79</v>
      </c>
      <c r="D94">
        <v>11999.95</v>
      </c>
      <c r="E94">
        <v>12046.55</v>
      </c>
      <c r="F94">
        <v>11862.35</v>
      </c>
      <c r="G94">
        <v>11884.4</v>
      </c>
      <c r="H94">
        <v>0</v>
      </c>
      <c r="I94" s="8">
        <f t="shared" si="5"/>
        <v>-1.5633865229869537E-2</v>
      </c>
      <c r="J94" s="8">
        <f t="shared" si="6"/>
        <v>-1.5757362956496934E-2</v>
      </c>
      <c r="K94" s="8">
        <f t="shared" si="3"/>
        <v>0.11603709355558167</v>
      </c>
    </row>
    <row r="95" spans="1:11" x14ac:dyDescent="0.25">
      <c r="A95" t="str">
        <f t="shared" si="4"/>
        <v>52017</v>
      </c>
      <c r="B95" s="1">
        <v>42874</v>
      </c>
      <c r="C95" t="s">
        <v>80</v>
      </c>
      <c r="D95">
        <v>11929.2</v>
      </c>
      <c r="E95">
        <v>11965.55</v>
      </c>
      <c r="F95">
        <v>11776.5</v>
      </c>
      <c r="G95">
        <v>11794.7</v>
      </c>
      <c r="H95">
        <v>0</v>
      </c>
      <c r="I95" s="8">
        <f t="shared" si="5"/>
        <v>-7.5477096025040602E-3</v>
      </c>
      <c r="J95" s="8">
        <f t="shared" si="6"/>
        <v>-7.5763377046647934E-3</v>
      </c>
      <c r="K95" s="8">
        <f t="shared" si="3"/>
        <v>9.7579587012962765E-2</v>
      </c>
    </row>
    <row r="96" spans="1:11" x14ac:dyDescent="0.25">
      <c r="A96" t="str">
        <f t="shared" si="4"/>
        <v>52017</v>
      </c>
      <c r="B96" s="1">
        <v>42877</v>
      </c>
      <c r="C96" t="s">
        <v>81</v>
      </c>
      <c r="D96">
        <v>11846.35</v>
      </c>
      <c r="E96">
        <v>11856.4</v>
      </c>
      <c r="F96">
        <v>11675.3</v>
      </c>
      <c r="G96">
        <v>11700.55</v>
      </c>
      <c r="H96">
        <v>0</v>
      </c>
      <c r="I96" s="8">
        <f t="shared" si="5"/>
        <v>-7.9823988740707064E-3</v>
      </c>
      <c r="J96" s="8">
        <f t="shared" si="6"/>
        <v>-8.0144287841774336E-3</v>
      </c>
      <c r="K96" s="8">
        <f t="shared" si="3"/>
        <v>7.8769522966568806E-2</v>
      </c>
    </row>
    <row r="97" spans="1:11" x14ac:dyDescent="0.25">
      <c r="A97" t="str">
        <f t="shared" si="4"/>
        <v>52017</v>
      </c>
      <c r="B97" s="1">
        <v>42878</v>
      </c>
      <c r="C97" t="s">
        <v>82</v>
      </c>
      <c r="D97">
        <v>11700.85</v>
      </c>
      <c r="E97">
        <v>11709.15</v>
      </c>
      <c r="F97">
        <v>11499.55</v>
      </c>
      <c r="G97">
        <v>11559.25</v>
      </c>
      <c r="H97">
        <v>0</v>
      </c>
      <c r="I97" s="8">
        <f t="shared" si="5"/>
        <v>-1.2076355385003179E-2</v>
      </c>
      <c r="J97" s="8">
        <f t="shared" si="6"/>
        <v>-1.2149866999080319E-2</v>
      </c>
      <c r="K97" s="8">
        <f t="shared" si="3"/>
        <v>5.5914096362980281E-2</v>
      </c>
    </row>
    <row r="98" spans="1:11" x14ac:dyDescent="0.25">
      <c r="A98" t="str">
        <f t="shared" si="4"/>
        <v>52017</v>
      </c>
      <c r="B98" s="1">
        <v>42879</v>
      </c>
      <c r="C98" t="s">
        <v>83</v>
      </c>
      <c r="D98">
        <v>11577.55</v>
      </c>
      <c r="E98">
        <v>11652.8</v>
      </c>
      <c r="F98">
        <v>11495.9</v>
      </c>
      <c r="G98">
        <v>11546.35</v>
      </c>
      <c r="H98">
        <v>0</v>
      </c>
      <c r="I98" s="8">
        <f t="shared" si="5"/>
        <v>-1.1159893591712322E-3</v>
      </c>
      <c r="J98" s="8">
        <f t="shared" si="6"/>
        <v>-1.1166125389806252E-3</v>
      </c>
      <c r="K98" s="8">
        <f t="shared" si="3"/>
        <v>4.7340230124858884E-2</v>
      </c>
    </row>
    <row r="99" spans="1:11" x14ac:dyDescent="0.25">
      <c r="A99" t="str">
        <f t="shared" si="4"/>
        <v>52017</v>
      </c>
      <c r="B99" s="1">
        <v>42880</v>
      </c>
      <c r="C99" t="s">
        <v>84</v>
      </c>
      <c r="D99">
        <v>11578.45</v>
      </c>
      <c r="E99">
        <v>11653.6</v>
      </c>
      <c r="F99">
        <v>11535.4</v>
      </c>
      <c r="G99">
        <v>11627.55</v>
      </c>
      <c r="H99">
        <v>0</v>
      </c>
      <c r="I99" s="8">
        <f t="shared" si="5"/>
        <v>7.0325254301142337E-3</v>
      </c>
      <c r="J99" s="8">
        <f t="shared" si="6"/>
        <v>7.0079125495837984E-3</v>
      </c>
      <c r="K99" s="8">
        <f t="shared" si="3"/>
        <v>1.8303549925340779E-2</v>
      </c>
    </row>
    <row r="100" spans="1:11" x14ac:dyDescent="0.25">
      <c r="A100" t="str">
        <f t="shared" si="4"/>
        <v>52017</v>
      </c>
      <c r="B100" s="1">
        <v>42881</v>
      </c>
      <c r="C100" t="s">
        <v>85</v>
      </c>
      <c r="D100">
        <v>11608.8</v>
      </c>
      <c r="E100">
        <v>11876.7</v>
      </c>
      <c r="F100">
        <v>11560.65</v>
      </c>
      <c r="G100">
        <v>11858.35</v>
      </c>
      <c r="H100">
        <v>0</v>
      </c>
      <c r="I100" s="8">
        <f t="shared" si="5"/>
        <v>1.9849409376867966E-2</v>
      </c>
      <c r="J100" s="8">
        <f t="shared" si="6"/>
        <v>1.9654978530821477E-2</v>
      </c>
      <c r="K100" s="8">
        <f t="shared" si="3"/>
        <v>4.8377043890320603E-2</v>
      </c>
    </row>
    <row r="101" spans="1:11" x14ac:dyDescent="0.25">
      <c r="A101" t="str">
        <f t="shared" si="4"/>
        <v>52017</v>
      </c>
      <c r="B101" s="1">
        <v>42884</v>
      </c>
      <c r="C101" t="s">
        <v>86</v>
      </c>
      <c r="D101">
        <v>11868.6</v>
      </c>
      <c r="E101">
        <v>11974.6</v>
      </c>
      <c r="F101">
        <v>11797.85</v>
      </c>
      <c r="G101">
        <v>11919.9</v>
      </c>
      <c r="H101">
        <v>0</v>
      </c>
      <c r="I101" s="8">
        <f t="shared" si="5"/>
        <v>5.1904354315734924E-3</v>
      </c>
      <c r="J101" s="8">
        <f t="shared" si="6"/>
        <v>5.1770115520725834E-3</v>
      </c>
      <c r="K101" s="8">
        <f t="shared" si="3"/>
        <v>4.0239815687506564E-2</v>
      </c>
    </row>
    <row r="102" spans="1:11" x14ac:dyDescent="0.25">
      <c r="A102" t="str">
        <f t="shared" si="4"/>
        <v>52017</v>
      </c>
      <c r="B102" s="1">
        <v>42885</v>
      </c>
      <c r="C102" t="s">
        <v>87</v>
      </c>
      <c r="D102">
        <v>11891.65</v>
      </c>
      <c r="E102">
        <v>11979.1</v>
      </c>
      <c r="F102">
        <v>11838.75</v>
      </c>
      <c r="G102">
        <v>11954</v>
      </c>
      <c r="H102">
        <v>0</v>
      </c>
      <c r="I102" s="8">
        <f t="shared" si="5"/>
        <v>2.8607622547169864E-3</v>
      </c>
      <c r="J102" s="8">
        <f t="shared" si="6"/>
        <v>2.8566780617938405E-3</v>
      </c>
      <c r="K102" s="8">
        <f t="shared" si="3"/>
        <v>5.227020651044878E-2</v>
      </c>
    </row>
    <row r="103" spans="1:11" x14ac:dyDescent="0.25">
      <c r="A103" t="str">
        <f t="shared" si="4"/>
        <v>52017</v>
      </c>
      <c r="B103" s="1">
        <v>42886</v>
      </c>
      <c r="C103" t="s">
        <v>88</v>
      </c>
      <c r="D103">
        <v>11993.45</v>
      </c>
      <c r="E103">
        <v>12021.45</v>
      </c>
      <c r="F103">
        <v>11903.7</v>
      </c>
      <c r="G103">
        <v>11925.65</v>
      </c>
      <c r="H103">
        <v>0</v>
      </c>
      <c r="I103" s="8">
        <f t="shared" si="5"/>
        <v>-2.371591099213699E-3</v>
      </c>
      <c r="J103" s="8">
        <f t="shared" si="6"/>
        <v>-2.3744077756023083E-3</v>
      </c>
      <c r="K103" s="8">
        <f t="shared" si="3"/>
        <v>5.7486909601989655E-2</v>
      </c>
    </row>
    <row r="104" spans="1:11" x14ac:dyDescent="0.25">
      <c r="A104" t="str">
        <f t="shared" si="4"/>
        <v>62017</v>
      </c>
      <c r="B104" s="1">
        <v>42887</v>
      </c>
      <c r="C104" s="10">
        <v>42741.645833333336</v>
      </c>
      <c r="D104">
        <v>11887.55</v>
      </c>
      <c r="E104">
        <v>11900.6</v>
      </c>
      <c r="F104">
        <v>11765.15</v>
      </c>
      <c r="G104">
        <v>11796.7</v>
      </c>
      <c r="H104">
        <v>0</v>
      </c>
      <c r="I104" s="8">
        <f t="shared" si="5"/>
        <v>-1.0812827812320402E-2</v>
      </c>
      <c r="J104" s="8">
        <f t="shared" si="6"/>
        <v>-1.0871711284224671E-2</v>
      </c>
      <c r="K104" s="8">
        <f t="shared" si="3"/>
        <v>5.5888223552894356E-2</v>
      </c>
    </row>
    <row r="105" spans="1:11" x14ac:dyDescent="0.25">
      <c r="A105" t="str">
        <f t="shared" si="4"/>
        <v>62017</v>
      </c>
      <c r="B105" s="1">
        <v>42888</v>
      </c>
      <c r="C105" s="10">
        <v>42772.645833333336</v>
      </c>
      <c r="D105">
        <v>11845.2</v>
      </c>
      <c r="E105">
        <v>11863.9</v>
      </c>
      <c r="F105">
        <v>11727.75</v>
      </c>
      <c r="G105">
        <v>11757.55</v>
      </c>
      <c r="H105">
        <v>0</v>
      </c>
      <c r="I105" s="8">
        <f t="shared" si="5"/>
        <v>-3.3187247281020182E-3</v>
      </c>
      <c r="J105" s="8">
        <f t="shared" si="6"/>
        <v>-3.324243909491409E-3</v>
      </c>
      <c r="K105" s="8">
        <f t="shared" si="3"/>
        <v>4.0026359901106146E-2</v>
      </c>
    </row>
    <row r="106" spans="1:11" x14ac:dyDescent="0.25">
      <c r="A106" t="str">
        <f t="shared" si="4"/>
        <v>62017</v>
      </c>
      <c r="B106" s="1">
        <v>42891</v>
      </c>
      <c r="C106" s="10">
        <v>42861.645833333336</v>
      </c>
      <c r="D106">
        <v>11780.5</v>
      </c>
      <c r="E106">
        <v>11857.4</v>
      </c>
      <c r="F106">
        <v>11758.05</v>
      </c>
      <c r="G106">
        <v>11806.4</v>
      </c>
      <c r="H106">
        <v>0</v>
      </c>
      <c r="I106" s="8">
        <f t="shared" si="5"/>
        <v>4.1547771431973413E-3</v>
      </c>
      <c r="J106" s="8">
        <f t="shared" si="6"/>
        <v>4.1461698892210509E-3</v>
      </c>
      <c r="K106" s="8">
        <f t="shared" si="3"/>
        <v>2.3120385455301706E-2</v>
      </c>
    </row>
    <row r="107" spans="1:11" x14ac:dyDescent="0.25">
      <c r="A107" t="str">
        <f t="shared" si="4"/>
        <v>62017</v>
      </c>
      <c r="B107" s="1">
        <v>42892</v>
      </c>
      <c r="C107" s="10">
        <v>42892.645833333336</v>
      </c>
      <c r="D107">
        <v>11839.2</v>
      </c>
      <c r="E107">
        <v>11839.2</v>
      </c>
      <c r="F107">
        <v>11656.2</v>
      </c>
      <c r="G107">
        <v>11677.2</v>
      </c>
      <c r="H107">
        <v>0</v>
      </c>
      <c r="I107" s="8">
        <f t="shared" si="5"/>
        <v>-1.0943217238108094E-2</v>
      </c>
      <c r="J107" s="8">
        <f t="shared" si="6"/>
        <v>-1.1003534688158526E-2</v>
      </c>
      <c r="K107" s="8">
        <f t="shared" si="3"/>
        <v>8.9296128773053152E-3</v>
      </c>
    </row>
    <row r="108" spans="1:11" x14ac:dyDescent="0.25">
      <c r="A108" t="str">
        <f t="shared" si="4"/>
        <v>62017</v>
      </c>
      <c r="B108" s="1">
        <v>42893</v>
      </c>
      <c r="C108" s="10">
        <v>42922.645833333336</v>
      </c>
      <c r="D108">
        <v>11687.75</v>
      </c>
      <c r="E108">
        <v>11799.1</v>
      </c>
      <c r="F108">
        <v>11672.4</v>
      </c>
      <c r="G108">
        <v>11788.9</v>
      </c>
      <c r="H108">
        <v>0</v>
      </c>
      <c r="I108" s="8">
        <f t="shared" si="5"/>
        <v>9.5656492994895537E-3</v>
      </c>
      <c r="J108" s="8">
        <f t="shared" si="6"/>
        <v>9.520188156536092E-3</v>
      </c>
      <c r="K108" s="8">
        <f t="shared" si="3"/>
        <v>2.901409680094269E-2</v>
      </c>
    </row>
    <row r="109" spans="1:11" x14ac:dyDescent="0.25">
      <c r="A109" t="str">
        <f t="shared" si="4"/>
        <v>62017</v>
      </c>
      <c r="B109" s="1">
        <v>42894</v>
      </c>
      <c r="C109" s="10">
        <v>42953.645833333336</v>
      </c>
      <c r="D109">
        <v>11803.75</v>
      </c>
      <c r="E109">
        <v>11819.85</v>
      </c>
      <c r="F109">
        <v>11671.9</v>
      </c>
      <c r="G109">
        <v>11701.15</v>
      </c>
      <c r="H109">
        <v>0</v>
      </c>
      <c r="I109" s="8">
        <f t="shared" si="5"/>
        <v>-7.4434425603745469E-3</v>
      </c>
      <c r="J109" s="8">
        <f t="shared" si="6"/>
        <v>-7.4712832185459856E-3</v>
      </c>
      <c r="K109" s="8">
        <f t="shared" si="3"/>
        <v>2.6637303631043441E-2</v>
      </c>
    </row>
    <row r="110" spans="1:11" x14ac:dyDescent="0.25">
      <c r="A110" t="str">
        <f t="shared" si="4"/>
        <v>62017</v>
      </c>
      <c r="B110" s="1">
        <v>42895</v>
      </c>
      <c r="C110" s="10">
        <v>42984.645833333336</v>
      </c>
      <c r="D110">
        <v>11758</v>
      </c>
      <c r="E110">
        <v>11782.85</v>
      </c>
      <c r="F110">
        <v>11641.7</v>
      </c>
      <c r="G110">
        <v>11688.35</v>
      </c>
      <c r="H110">
        <v>0</v>
      </c>
      <c r="I110" s="8">
        <f t="shared" si="5"/>
        <v>-1.0939095729906034E-3</v>
      </c>
      <c r="J110" s="8">
        <f t="shared" si="6"/>
        <v>-1.0945083287638203E-3</v>
      </c>
      <c r="K110" s="8">
        <f t="shared" si="3"/>
        <v>2.9724384302635354E-2</v>
      </c>
    </row>
    <row r="111" spans="1:11" x14ac:dyDescent="0.25">
      <c r="A111" t="str">
        <f t="shared" si="4"/>
        <v>62017</v>
      </c>
      <c r="B111" s="1">
        <v>42898</v>
      </c>
      <c r="C111" s="10">
        <v>43075.645833333336</v>
      </c>
      <c r="D111">
        <v>11654.8</v>
      </c>
      <c r="E111">
        <v>11677.45</v>
      </c>
      <c r="F111">
        <v>11604.05</v>
      </c>
      <c r="G111">
        <v>11633.75</v>
      </c>
      <c r="H111">
        <v>0</v>
      </c>
      <c r="I111" s="8">
        <f t="shared" si="5"/>
        <v>-4.6713180217909933E-3</v>
      </c>
      <c r="J111" s="8">
        <f t="shared" si="6"/>
        <v>-4.6822627252496602E-3</v>
      </c>
      <c r="K111" s="8">
        <f t="shared" si="3"/>
        <v>1.7323020554144364E-2</v>
      </c>
    </row>
    <row r="112" spans="1:11" x14ac:dyDescent="0.25">
      <c r="A112" t="str">
        <f t="shared" si="4"/>
        <v>62017</v>
      </c>
      <c r="B112" s="1">
        <v>42899</v>
      </c>
      <c r="C112" t="s">
        <v>89</v>
      </c>
      <c r="D112">
        <v>11652.45</v>
      </c>
      <c r="E112">
        <v>11683.75</v>
      </c>
      <c r="F112">
        <v>11604.8</v>
      </c>
      <c r="G112">
        <v>11629.45</v>
      </c>
      <c r="H112">
        <v>0</v>
      </c>
      <c r="I112" s="8">
        <f t="shared" si="5"/>
        <v>-3.6961426882986537E-4</v>
      </c>
      <c r="J112" s="8">
        <f t="shared" si="6"/>
        <v>-3.6968259301997571E-4</v>
      </c>
      <c r="K112" s="8">
        <f t="shared" si="3"/>
        <v>1.3945682026243578E-2</v>
      </c>
    </row>
    <row r="113" spans="1:11" x14ac:dyDescent="0.25">
      <c r="A113" t="str">
        <f t="shared" si="4"/>
        <v>62017</v>
      </c>
      <c r="B113" s="1">
        <v>42900</v>
      </c>
      <c r="C113" t="s">
        <v>90</v>
      </c>
      <c r="D113">
        <v>11630.05</v>
      </c>
      <c r="E113">
        <v>11807.9</v>
      </c>
      <c r="F113">
        <v>11626.85</v>
      </c>
      <c r="G113">
        <v>11797.35</v>
      </c>
      <c r="H113">
        <v>0</v>
      </c>
      <c r="I113" s="8">
        <f t="shared" si="5"/>
        <v>1.4437484145853885E-2</v>
      </c>
      <c r="J113" s="8">
        <f t="shared" si="6"/>
        <v>1.4334256054642626E-2</v>
      </c>
      <c r="K113" s="8">
        <f t="shared" si="3"/>
        <v>2.3649000416493315E-2</v>
      </c>
    </row>
    <row r="114" spans="1:11" x14ac:dyDescent="0.25">
      <c r="A114" t="str">
        <f t="shared" si="4"/>
        <v>62017</v>
      </c>
      <c r="B114" s="1">
        <v>42901</v>
      </c>
      <c r="C114" t="s">
        <v>91</v>
      </c>
      <c r="D114">
        <v>11808.05</v>
      </c>
      <c r="E114">
        <v>11857.85</v>
      </c>
      <c r="F114">
        <v>11744.05</v>
      </c>
      <c r="G114">
        <v>11779</v>
      </c>
      <c r="H114">
        <v>0</v>
      </c>
      <c r="I114" s="8">
        <f t="shared" si="5"/>
        <v>-1.5554340593438853E-3</v>
      </c>
      <c r="J114" s="8">
        <f t="shared" si="6"/>
        <v>-1.5566450027583538E-3</v>
      </c>
      <c r="K114" s="8">
        <f t="shared" si="3"/>
        <v>2.5406650039391909E-2</v>
      </c>
    </row>
    <row r="115" spans="1:11" x14ac:dyDescent="0.25">
      <c r="A115" t="str">
        <f t="shared" si="4"/>
        <v>62017</v>
      </c>
      <c r="B115" s="1">
        <v>42902</v>
      </c>
      <c r="C115" t="s">
        <v>92</v>
      </c>
      <c r="D115">
        <v>11812.2</v>
      </c>
      <c r="E115">
        <v>11855.7</v>
      </c>
      <c r="F115">
        <v>11770.05</v>
      </c>
      <c r="G115">
        <v>11823.25</v>
      </c>
      <c r="H115">
        <v>0</v>
      </c>
      <c r="I115" s="8">
        <f t="shared" si="5"/>
        <v>3.7566856269632964E-3</v>
      </c>
      <c r="J115" s="8">
        <f t="shared" si="6"/>
        <v>3.7496469061799173E-3</v>
      </c>
      <c r="K115" s="8">
        <f t="shared" si="3"/>
        <v>3.6041167372797833E-2</v>
      </c>
    </row>
    <row r="116" spans="1:11" x14ac:dyDescent="0.25">
      <c r="A116" t="str">
        <f t="shared" si="4"/>
        <v>62017</v>
      </c>
      <c r="B116" s="1">
        <v>42905</v>
      </c>
      <c r="C116" t="s">
        <v>93</v>
      </c>
      <c r="D116">
        <v>11855.55</v>
      </c>
      <c r="E116">
        <v>11934.95</v>
      </c>
      <c r="F116">
        <v>11852.5</v>
      </c>
      <c r="G116">
        <v>11913.2</v>
      </c>
      <c r="H116">
        <v>0</v>
      </c>
      <c r="I116" s="8">
        <f t="shared" si="5"/>
        <v>7.6078912312604885E-3</v>
      </c>
      <c r="J116" s="8">
        <f t="shared" si="6"/>
        <v>7.5790971759128857E-3</v>
      </c>
      <c r="K116" s="8">
        <f t="shared" si="3"/>
        <v>4.878488958143512E-2</v>
      </c>
    </row>
    <row r="117" spans="1:11" x14ac:dyDescent="0.25">
      <c r="A117" t="str">
        <f t="shared" si="4"/>
        <v>62017</v>
      </c>
      <c r="B117" s="1">
        <v>42906</v>
      </c>
      <c r="C117" t="s">
        <v>94</v>
      </c>
      <c r="D117">
        <v>11920.55</v>
      </c>
      <c r="E117">
        <v>11999.65</v>
      </c>
      <c r="F117">
        <v>11908.2</v>
      </c>
      <c r="G117">
        <v>11933.1</v>
      </c>
      <c r="H117">
        <v>0</v>
      </c>
      <c r="I117" s="8">
        <f t="shared" si="5"/>
        <v>1.670416009132758E-3</v>
      </c>
      <c r="J117" s="8">
        <f t="shared" si="6"/>
        <v>1.6690224160153064E-3</v>
      </c>
      <c r="K117" s="8">
        <f t="shared" si="3"/>
        <v>5.4007145601568718E-2</v>
      </c>
    </row>
    <row r="118" spans="1:11" x14ac:dyDescent="0.25">
      <c r="A118" t="str">
        <f t="shared" si="4"/>
        <v>62017</v>
      </c>
      <c r="B118" s="1">
        <v>42907</v>
      </c>
      <c r="C118" t="s">
        <v>95</v>
      </c>
      <c r="D118">
        <v>11915.35</v>
      </c>
      <c r="E118">
        <v>11922.95</v>
      </c>
      <c r="F118">
        <v>11861.2</v>
      </c>
      <c r="G118">
        <v>11897.85</v>
      </c>
      <c r="H118">
        <v>0</v>
      </c>
      <c r="I118" s="8">
        <f t="shared" si="5"/>
        <v>-2.9539683736833355E-3</v>
      </c>
      <c r="J118" s="8">
        <f t="shared" si="6"/>
        <v>-2.9583399493798338E-3</v>
      </c>
      <c r="K118" s="8">
        <f t="shared" si="3"/>
        <v>3.8510384798348563E-2</v>
      </c>
    </row>
    <row r="119" spans="1:11" x14ac:dyDescent="0.25">
      <c r="A119" t="str">
        <f t="shared" si="4"/>
        <v>62017</v>
      </c>
      <c r="B119" s="1">
        <v>42908</v>
      </c>
      <c r="C119" t="s">
        <v>96</v>
      </c>
      <c r="D119">
        <v>11913.8</v>
      </c>
      <c r="E119">
        <v>11988.9</v>
      </c>
      <c r="F119">
        <v>11789.05</v>
      </c>
      <c r="G119">
        <v>11811.45</v>
      </c>
      <c r="H119">
        <v>0</v>
      </c>
      <c r="I119" s="8">
        <f t="shared" si="5"/>
        <v>-7.2618162104918227E-3</v>
      </c>
      <c r="J119" s="8">
        <f t="shared" si="6"/>
        <v>-7.2883115452548018E-3</v>
      </c>
      <c r="K119" s="8">
        <f t="shared" si="3"/>
        <v>2.8388214602887318E-2</v>
      </c>
    </row>
    <row r="120" spans="1:11" x14ac:dyDescent="0.25">
      <c r="A120" t="str">
        <f t="shared" si="4"/>
        <v>62017</v>
      </c>
      <c r="B120" s="1">
        <v>42909</v>
      </c>
      <c r="C120" t="s">
        <v>97</v>
      </c>
      <c r="D120">
        <v>11843.1</v>
      </c>
      <c r="E120">
        <v>11856.9</v>
      </c>
      <c r="F120">
        <v>11744.45</v>
      </c>
      <c r="G120">
        <v>11768.75</v>
      </c>
      <c r="H120">
        <v>0</v>
      </c>
      <c r="I120" s="8">
        <f t="shared" si="5"/>
        <v>-3.615136160251331E-3</v>
      </c>
      <c r="J120" s="8">
        <f t="shared" si="6"/>
        <v>-3.6216865567954026E-3</v>
      </c>
      <c r="K120" s="8">
        <f t="shared" si="3"/>
        <v>4.0754693621273708E-2</v>
      </c>
    </row>
    <row r="121" spans="1:11" x14ac:dyDescent="0.25">
      <c r="A121" t="str">
        <f t="shared" si="4"/>
        <v>62017</v>
      </c>
      <c r="B121" s="1">
        <v>42913</v>
      </c>
      <c r="C121" t="s">
        <v>98</v>
      </c>
      <c r="D121">
        <v>11764.95</v>
      </c>
      <c r="E121">
        <v>11806.6</v>
      </c>
      <c r="F121">
        <v>11646.45</v>
      </c>
      <c r="G121">
        <v>11778.3</v>
      </c>
      <c r="H121">
        <v>0</v>
      </c>
      <c r="I121" s="8">
        <f t="shared" si="5"/>
        <v>8.1147105682410903E-4</v>
      </c>
      <c r="J121" s="8">
        <f t="shared" si="6"/>
        <v>8.1114199219166133E-4</v>
      </c>
      <c r="K121" s="8">
        <f t="shared" si="3"/>
        <v>4.2493494538953014E-2</v>
      </c>
    </row>
    <row r="122" spans="1:11" x14ac:dyDescent="0.25">
      <c r="A122" t="str">
        <f t="shared" si="4"/>
        <v>62017</v>
      </c>
      <c r="B122" s="1">
        <v>42914</v>
      </c>
      <c r="C122" t="s">
        <v>99</v>
      </c>
      <c r="D122">
        <v>11797.3</v>
      </c>
      <c r="E122">
        <v>11824.55</v>
      </c>
      <c r="F122">
        <v>11633.45</v>
      </c>
      <c r="G122">
        <v>11644.2</v>
      </c>
      <c r="H122">
        <v>0</v>
      </c>
      <c r="I122" s="8">
        <f t="shared" si="5"/>
        <v>-1.1385344234736694E-2</v>
      </c>
      <c r="J122" s="8">
        <f t="shared" si="6"/>
        <v>-1.1450653451549806E-2</v>
      </c>
      <c r="K122" s="8">
        <f t="shared" si="3"/>
        <v>2.6897841117539123E-2</v>
      </c>
    </row>
    <row r="123" spans="1:11" x14ac:dyDescent="0.25">
      <c r="A123" t="str">
        <f t="shared" si="4"/>
        <v>62017</v>
      </c>
      <c r="B123" s="1">
        <v>42915</v>
      </c>
      <c r="C123" t="s">
        <v>100</v>
      </c>
      <c r="D123">
        <v>11666.35</v>
      </c>
      <c r="E123">
        <v>11736.75</v>
      </c>
      <c r="F123">
        <v>11613.45</v>
      </c>
      <c r="G123">
        <v>11630.8</v>
      </c>
      <c r="H123">
        <v>0</v>
      </c>
      <c r="I123" s="8">
        <f t="shared" si="5"/>
        <v>-1.1507875165319703E-3</v>
      </c>
      <c r="J123" s="8">
        <f t="shared" si="6"/>
        <v>-1.1514501809254652E-3</v>
      </c>
      <c r="K123" s="8">
        <f t="shared" si="3"/>
        <v>2.2249761594002271E-2</v>
      </c>
    </row>
    <row r="124" spans="1:11" x14ac:dyDescent="0.25">
      <c r="A124" t="str">
        <f t="shared" si="4"/>
        <v>62017</v>
      </c>
      <c r="B124" s="1">
        <v>42916</v>
      </c>
      <c r="C124" t="s">
        <v>101</v>
      </c>
      <c r="D124">
        <v>11614.25</v>
      </c>
      <c r="E124">
        <v>11649.75</v>
      </c>
      <c r="F124">
        <v>11542.45</v>
      </c>
      <c r="G124">
        <v>11600.4</v>
      </c>
      <c r="H124">
        <v>0</v>
      </c>
      <c r="I124" s="8">
        <f t="shared" si="5"/>
        <v>-2.6137496990747966E-3</v>
      </c>
      <c r="J124" s="8">
        <f t="shared" si="6"/>
        <v>-2.6171715066189826E-3</v>
      </c>
      <c r="K124" s="8">
        <f t="shared" si="3"/>
        <v>-4.146385433567823E-3</v>
      </c>
    </row>
    <row r="125" spans="1:11" x14ac:dyDescent="0.25">
      <c r="A125" t="str">
        <f t="shared" si="4"/>
        <v>72017</v>
      </c>
      <c r="B125" s="1">
        <v>42919</v>
      </c>
      <c r="C125" s="10">
        <v>42801.645833333336</v>
      </c>
      <c r="D125">
        <v>11632.5</v>
      </c>
      <c r="E125">
        <v>11675.05</v>
      </c>
      <c r="F125">
        <v>11541.8</v>
      </c>
      <c r="G125">
        <v>11643</v>
      </c>
      <c r="H125">
        <v>0</v>
      </c>
      <c r="I125" s="8">
        <f t="shared" si="5"/>
        <v>3.6722871625116671E-3</v>
      </c>
      <c r="J125" s="8">
        <f t="shared" si="6"/>
        <v>3.6655607784559768E-3</v>
      </c>
      <c r="K125" s="8">
        <f t="shared" si="3"/>
        <v>-1.4924615462713842E-2</v>
      </c>
    </row>
    <row r="126" spans="1:11" x14ac:dyDescent="0.25">
      <c r="A126" t="str">
        <f t="shared" si="4"/>
        <v>72017</v>
      </c>
      <c r="B126" s="1">
        <v>42920</v>
      </c>
      <c r="C126" s="10">
        <v>42832.645833333336</v>
      </c>
      <c r="D126">
        <v>11703.7</v>
      </c>
      <c r="E126">
        <v>11827.35</v>
      </c>
      <c r="F126">
        <v>11694.5</v>
      </c>
      <c r="G126">
        <v>11798.6</v>
      </c>
      <c r="H126">
        <v>0</v>
      </c>
      <c r="I126" s="8">
        <f t="shared" si="5"/>
        <v>1.3364253199347198E-2</v>
      </c>
      <c r="J126" s="8">
        <f t="shared" si="6"/>
        <v>1.3275739310179316E-2</v>
      </c>
      <c r="K126" s="8">
        <f t="shared" si="3"/>
        <v>-1.5084353843713649E-2</v>
      </c>
    </row>
    <row r="127" spans="1:11" x14ac:dyDescent="0.25">
      <c r="A127" t="str">
        <f t="shared" si="4"/>
        <v>72017</v>
      </c>
      <c r="B127" s="1">
        <v>42921</v>
      </c>
      <c r="C127" s="10">
        <v>42862.645833333336</v>
      </c>
      <c r="D127">
        <v>11847.85</v>
      </c>
      <c r="E127">
        <v>11931.65</v>
      </c>
      <c r="F127">
        <v>11826.2</v>
      </c>
      <c r="G127">
        <v>11920.55</v>
      </c>
      <c r="H127">
        <v>0</v>
      </c>
      <c r="I127" s="8">
        <f t="shared" si="5"/>
        <v>1.0335972064482224E-2</v>
      </c>
      <c r="J127" s="8">
        <f t="shared" si="6"/>
        <v>1.0282921147282293E-2</v>
      </c>
      <c r="K127" s="8">
        <f t="shared" si="3"/>
        <v>-1.6736160086444185E-2</v>
      </c>
    </row>
    <row r="128" spans="1:11" x14ac:dyDescent="0.25">
      <c r="A128" t="str">
        <f t="shared" si="4"/>
        <v>72017</v>
      </c>
      <c r="B128" s="1">
        <v>42922</v>
      </c>
      <c r="C128" s="10">
        <v>42893.645833333336</v>
      </c>
      <c r="D128">
        <v>11949.55</v>
      </c>
      <c r="E128">
        <v>11949.55</v>
      </c>
      <c r="F128">
        <v>11867.6</v>
      </c>
      <c r="G128">
        <v>11884.75</v>
      </c>
      <c r="H128">
        <v>0</v>
      </c>
      <c r="I128" s="8">
        <f t="shared" si="5"/>
        <v>-3.0032171334375413E-3</v>
      </c>
      <c r="J128" s="8">
        <f t="shared" si="6"/>
        <v>-3.0077358393840758E-3</v>
      </c>
      <c r="K128" s="8">
        <f t="shared" ref="K128:K191" si="7">+G128/G67-1</f>
        <v>-1.4126859697802918E-2</v>
      </c>
    </row>
    <row r="129" spans="1:11" x14ac:dyDescent="0.25">
      <c r="A129" t="str">
        <f t="shared" si="4"/>
        <v>72017</v>
      </c>
      <c r="B129" s="1">
        <v>42923</v>
      </c>
      <c r="C129" s="10">
        <v>42923.645833333336</v>
      </c>
      <c r="D129">
        <v>11880.5</v>
      </c>
      <c r="E129">
        <v>12085.05</v>
      </c>
      <c r="F129">
        <v>11850.8</v>
      </c>
      <c r="G129">
        <v>12055.75</v>
      </c>
      <c r="H129">
        <v>0</v>
      </c>
      <c r="I129" s="8">
        <f t="shared" si="5"/>
        <v>1.4388186541576475E-2</v>
      </c>
      <c r="J129" s="8">
        <f t="shared" si="6"/>
        <v>1.4285658873525129E-2</v>
      </c>
      <c r="K129" s="8">
        <f t="shared" si="7"/>
        <v>3.1870321906892762E-3</v>
      </c>
    </row>
    <row r="130" spans="1:11" x14ac:dyDescent="0.25">
      <c r="A130" t="str">
        <f t="shared" si="4"/>
        <v>72017</v>
      </c>
      <c r="B130" s="1">
        <v>42926</v>
      </c>
      <c r="C130" s="10">
        <v>43015.645833333336</v>
      </c>
      <c r="D130">
        <v>12108.6</v>
      </c>
      <c r="E130">
        <v>12281.5</v>
      </c>
      <c r="F130">
        <v>11797.6</v>
      </c>
      <c r="G130">
        <v>12130.8</v>
      </c>
      <c r="H130">
        <v>0</v>
      </c>
      <c r="I130" s="8">
        <f t="shared" si="5"/>
        <v>6.2252452149389459E-3</v>
      </c>
      <c r="J130" s="8">
        <f t="shared" si="6"/>
        <v>6.2059484193937031E-3</v>
      </c>
      <c r="K130" s="8">
        <f t="shared" si="7"/>
        <v>9.8690919686152956E-3</v>
      </c>
    </row>
    <row r="131" spans="1:11" x14ac:dyDescent="0.25">
      <c r="A131" t="str">
        <f t="shared" ref="A131:A194" si="8">+MONTH(B131)&amp;YEAR(B131)</f>
        <v>72017</v>
      </c>
      <c r="B131" s="1">
        <v>42927</v>
      </c>
      <c r="C131" s="10">
        <v>43046.645833333336</v>
      </c>
      <c r="D131">
        <v>12182.7</v>
      </c>
      <c r="E131">
        <v>12196.5</v>
      </c>
      <c r="F131">
        <v>12116.15</v>
      </c>
      <c r="G131">
        <v>12159.65</v>
      </c>
      <c r="H131">
        <v>0</v>
      </c>
      <c r="I131" s="8">
        <f t="shared" si="5"/>
        <v>2.3782438091470848E-3</v>
      </c>
      <c r="J131" s="8">
        <f t="shared" si="6"/>
        <v>2.3754202631735949E-3</v>
      </c>
      <c r="K131" s="8">
        <f t="shared" si="7"/>
        <v>2.0618599966426121E-2</v>
      </c>
    </row>
    <row r="132" spans="1:11" x14ac:dyDescent="0.25">
      <c r="A132" t="str">
        <f t="shared" si="8"/>
        <v>72017</v>
      </c>
      <c r="B132" s="1">
        <v>42928</v>
      </c>
      <c r="C132" s="10">
        <v>43076.645833333336</v>
      </c>
      <c r="D132">
        <v>12206.35</v>
      </c>
      <c r="E132">
        <v>12352.25</v>
      </c>
      <c r="F132">
        <v>12193.85</v>
      </c>
      <c r="G132">
        <v>12318</v>
      </c>
      <c r="H132">
        <v>0</v>
      </c>
      <c r="I132" s="8">
        <f t="shared" ref="I132:I195" si="9">+G132/G131-1</f>
        <v>1.3022578774882554E-2</v>
      </c>
      <c r="J132" s="8">
        <f t="shared" ref="J132:J195" si="10">+LN(1+I132)</f>
        <v>1.293851403580293E-2</v>
      </c>
      <c r="K132" s="8">
        <f t="shared" si="7"/>
        <v>2.4928443053984006E-2</v>
      </c>
    </row>
    <row r="133" spans="1:11" x14ac:dyDescent="0.25">
      <c r="A133" t="str">
        <f t="shared" si="8"/>
        <v>72017</v>
      </c>
      <c r="B133" s="1">
        <v>42929</v>
      </c>
      <c r="C133" t="s">
        <v>102</v>
      </c>
      <c r="D133">
        <v>12363.15</v>
      </c>
      <c r="E133">
        <v>12402.3</v>
      </c>
      <c r="F133">
        <v>12318.15</v>
      </c>
      <c r="G133">
        <v>12348.7</v>
      </c>
      <c r="H133">
        <v>0</v>
      </c>
      <c r="I133" s="8">
        <f t="shared" si="9"/>
        <v>2.4922877090436391E-3</v>
      </c>
      <c r="J133" s="8">
        <f t="shared" si="10"/>
        <v>2.4891871106848895E-3</v>
      </c>
      <c r="K133" s="8">
        <f t="shared" si="7"/>
        <v>1.9892053502479801E-2</v>
      </c>
    </row>
    <row r="134" spans="1:11" x14ac:dyDescent="0.25">
      <c r="A134" t="str">
        <f t="shared" si="8"/>
        <v>72017</v>
      </c>
      <c r="B134" s="1">
        <v>42930</v>
      </c>
      <c r="C134" t="s">
        <v>103</v>
      </c>
      <c r="D134">
        <v>12369.85</v>
      </c>
      <c r="E134">
        <v>12455.85</v>
      </c>
      <c r="F134">
        <v>12336.55</v>
      </c>
      <c r="G134">
        <v>12443.8</v>
      </c>
      <c r="H134">
        <v>0</v>
      </c>
      <c r="I134" s="8">
        <f t="shared" si="9"/>
        <v>7.7012155125639747E-3</v>
      </c>
      <c r="J134" s="8">
        <f t="shared" si="10"/>
        <v>7.6717125281265033E-3</v>
      </c>
      <c r="K134" s="8">
        <f t="shared" si="7"/>
        <v>3.4276975248100694E-2</v>
      </c>
    </row>
    <row r="135" spans="1:11" x14ac:dyDescent="0.25">
      <c r="A135" t="str">
        <f t="shared" si="8"/>
        <v>72017</v>
      </c>
      <c r="B135" s="1">
        <v>42933</v>
      </c>
      <c r="C135" t="s">
        <v>104</v>
      </c>
      <c r="D135">
        <v>12470</v>
      </c>
      <c r="E135">
        <v>12549.4</v>
      </c>
      <c r="F135">
        <v>12462</v>
      </c>
      <c r="G135">
        <v>12530</v>
      </c>
      <c r="H135">
        <v>0</v>
      </c>
      <c r="I135" s="8">
        <f t="shared" si="9"/>
        <v>6.9271444414087391E-3</v>
      </c>
      <c r="J135" s="8">
        <f t="shared" si="10"/>
        <v>6.9032620043140485E-3</v>
      </c>
      <c r="K135" s="8">
        <f t="shared" si="7"/>
        <v>3.5468729340208949E-2</v>
      </c>
    </row>
    <row r="136" spans="1:11" x14ac:dyDescent="0.25">
      <c r="A136" t="str">
        <f t="shared" si="8"/>
        <v>72017</v>
      </c>
      <c r="B136" s="1">
        <v>42934</v>
      </c>
      <c r="C136" t="s">
        <v>105</v>
      </c>
      <c r="D136">
        <v>12504.25</v>
      </c>
      <c r="E136">
        <v>12556.05</v>
      </c>
      <c r="F136">
        <v>12344.5</v>
      </c>
      <c r="G136">
        <v>12373.2</v>
      </c>
      <c r="H136">
        <v>0</v>
      </c>
      <c r="I136" s="8">
        <f t="shared" si="9"/>
        <v>-1.2513966480446892E-2</v>
      </c>
      <c r="J136" s="8">
        <f t="shared" si="10"/>
        <v>-1.2592925578215747E-2</v>
      </c>
      <c r="K136" s="8">
        <f t="shared" si="7"/>
        <v>2.5247545262460092E-2</v>
      </c>
    </row>
    <row r="137" spans="1:11" x14ac:dyDescent="0.25">
      <c r="A137" t="str">
        <f t="shared" si="8"/>
        <v>72017</v>
      </c>
      <c r="B137" s="1">
        <v>42935</v>
      </c>
      <c r="C137" t="s">
        <v>106</v>
      </c>
      <c r="D137">
        <v>12379.3</v>
      </c>
      <c r="E137">
        <v>12509</v>
      </c>
      <c r="F137">
        <v>12377.4</v>
      </c>
      <c r="G137">
        <v>12488.95</v>
      </c>
      <c r="H137">
        <v>0</v>
      </c>
      <c r="I137" s="8">
        <f t="shared" si="9"/>
        <v>9.354896065690399E-3</v>
      </c>
      <c r="J137" s="8">
        <f t="shared" si="10"/>
        <v>9.3114100200725157E-3</v>
      </c>
      <c r="K137" s="8">
        <f t="shared" si="7"/>
        <v>2.4204923813741619E-2</v>
      </c>
    </row>
    <row r="138" spans="1:11" x14ac:dyDescent="0.25">
      <c r="A138" t="str">
        <f t="shared" si="8"/>
        <v>72017</v>
      </c>
      <c r="B138" s="1">
        <v>42936</v>
      </c>
      <c r="C138" t="s">
        <v>107</v>
      </c>
      <c r="D138">
        <v>12483.75</v>
      </c>
      <c r="E138">
        <v>12567.5</v>
      </c>
      <c r="F138">
        <v>12422.2</v>
      </c>
      <c r="G138">
        <v>12445.8</v>
      </c>
      <c r="H138">
        <v>0</v>
      </c>
      <c r="I138" s="8">
        <f t="shared" si="9"/>
        <v>-3.4550542679729901E-3</v>
      </c>
      <c r="J138" s="8">
        <f t="shared" si="10"/>
        <v>-3.4610367518160432E-3</v>
      </c>
      <c r="K138" s="8">
        <f t="shared" si="7"/>
        <v>1.4067293237677303E-2</v>
      </c>
    </row>
    <row r="139" spans="1:11" x14ac:dyDescent="0.25">
      <c r="A139" t="str">
        <f t="shared" si="8"/>
        <v>72017</v>
      </c>
      <c r="B139" s="1">
        <v>42937</v>
      </c>
      <c r="C139" t="s">
        <v>108</v>
      </c>
      <c r="D139">
        <v>12538.35</v>
      </c>
      <c r="E139">
        <v>12686.65</v>
      </c>
      <c r="F139">
        <v>12495.2</v>
      </c>
      <c r="G139">
        <v>12641.4</v>
      </c>
      <c r="H139">
        <v>0</v>
      </c>
      <c r="I139" s="8">
        <f t="shared" si="9"/>
        <v>1.5716145205611598E-2</v>
      </c>
      <c r="J139" s="8">
        <f t="shared" si="10"/>
        <v>1.5593925480984792E-2</v>
      </c>
      <c r="K139" s="8">
        <f t="shared" si="7"/>
        <v>1.8904879159496568E-2</v>
      </c>
    </row>
    <row r="140" spans="1:11" x14ac:dyDescent="0.25">
      <c r="A140" t="str">
        <f t="shared" si="8"/>
        <v>72017</v>
      </c>
      <c r="B140" s="1">
        <v>42940</v>
      </c>
      <c r="C140" t="s">
        <v>109</v>
      </c>
      <c r="D140">
        <v>12694.15</v>
      </c>
      <c r="E140">
        <v>12807.1</v>
      </c>
      <c r="F140">
        <v>12650.2</v>
      </c>
      <c r="G140">
        <v>12745.55</v>
      </c>
      <c r="H140">
        <v>0</v>
      </c>
      <c r="I140" s="8">
        <f t="shared" si="9"/>
        <v>8.2388026642619128E-3</v>
      </c>
      <c r="J140" s="8">
        <f t="shared" si="10"/>
        <v>8.2050489960706994E-3</v>
      </c>
      <c r="K140" s="8">
        <f t="shared" si="7"/>
        <v>3.8025352950039171E-2</v>
      </c>
    </row>
    <row r="141" spans="1:11" x14ac:dyDescent="0.25">
      <c r="A141" t="str">
        <f t="shared" si="8"/>
        <v>72017</v>
      </c>
      <c r="B141" s="1">
        <v>42941</v>
      </c>
      <c r="C141" t="s">
        <v>110</v>
      </c>
      <c r="D141">
        <v>12791.65</v>
      </c>
      <c r="E141">
        <v>12796.15</v>
      </c>
      <c r="F141">
        <v>12671.55</v>
      </c>
      <c r="G141">
        <v>12691.25</v>
      </c>
      <c r="H141">
        <v>0</v>
      </c>
      <c r="I141" s="8">
        <f t="shared" si="9"/>
        <v>-4.2603104612981557E-3</v>
      </c>
      <c r="J141" s="8">
        <f t="shared" si="10"/>
        <v>-4.269411441777564E-3</v>
      </c>
      <c r="K141" s="8">
        <f t="shared" si="7"/>
        <v>3.2640092432120182E-2</v>
      </c>
    </row>
    <row r="142" spans="1:11" x14ac:dyDescent="0.25">
      <c r="A142" t="str">
        <f t="shared" si="8"/>
        <v>72017</v>
      </c>
      <c r="B142" s="1">
        <v>42942</v>
      </c>
      <c r="C142" t="s">
        <v>111</v>
      </c>
      <c r="D142">
        <v>12712.95</v>
      </c>
      <c r="E142">
        <v>12832.85</v>
      </c>
      <c r="F142">
        <v>12703.1</v>
      </c>
      <c r="G142">
        <v>12792.05</v>
      </c>
      <c r="H142">
        <v>0</v>
      </c>
      <c r="I142" s="8">
        <f t="shared" si="9"/>
        <v>7.9424800551559649E-3</v>
      </c>
      <c r="J142" s="8">
        <f t="shared" si="10"/>
        <v>7.9111045836517194E-3</v>
      </c>
      <c r="K142" s="8">
        <f t="shared" si="7"/>
        <v>4.3095188587317645E-2</v>
      </c>
    </row>
    <row r="143" spans="1:11" x14ac:dyDescent="0.25">
      <c r="A143" t="str">
        <f t="shared" si="8"/>
        <v>72017</v>
      </c>
      <c r="B143" s="1">
        <v>42943</v>
      </c>
      <c r="C143" t="s">
        <v>112</v>
      </c>
      <c r="D143">
        <v>12833.8</v>
      </c>
      <c r="E143">
        <v>12850.2</v>
      </c>
      <c r="F143">
        <v>12639.65</v>
      </c>
      <c r="G143">
        <v>12664.3</v>
      </c>
      <c r="H143">
        <v>0</v>
      </c>
      <c r="I143" s="8">
        <f t="shared" si="9"/>
        <v>-9.9866714091955133E-3</v>
      </c>
      <c r="J143" s="8">
        <f t="shared" si="10"/>
        <v>-1.0036872721094979E-2</v>
      </c>
      <c r="K143" s="8">
        <f t="shared" si="7"/>
        <v>3.4424174109786376E-2</v>
      </c>
    </row>
    <row r="144" spans="1:11" x14ac:dyDescent="0.25">
      <c r="A144" t="str">
        <f t="shared" si="8"/>
        <v>72017</v>
      </c>
      <c r="B144" s="1">
        <v>42944</v>
      </c>
      <c r="C144" t="s">
        <v>113</v>
      </c>
      <c r="D144">
        <v>12631</v>
      </c>
      <c r="E144">
        <v>12710.9</v>
      </c>
      <c r="F144">
        <v>12586.05</v>
      </c>
      <c r="G144">
        <v>12671.35</v>
      </c>
      <c r="H144">
        <v>0</v>
      </c>
      <c r="I144" s="8">
        <f t="shared" si="9"/>
        <v>5.5668295918454014E-4</v>
      </c>
      <c r="J144" s="8">
        <f t="shared" si="10"/>
        <v>5.5652806870661075E-4</v>
      </c>
      <c r="K144" s="8">
        <f t="shared" si="7"/>
        <v>3.7542424577391875E-2</v>
      </c>
    </row>
    <row r="145" spans="1:11" x14ac:dyDescent="0.25">
      <c r="A145" t="str">
        <f t="shared" si="8"/>
        <v>72017</v>
      </c>
      <c r="B145" s="1">
        <v>42947</v>
      </c>
      <c r="C145" t="s">
        <v>114</v>
      </c>
      <c r="D145">
        <v>12712.6</v>
      </c>
      <c r="E145">
        <v>12843.2</v>
      </c>
      <c r="F145">
        <v>12694.05</v>
      </c>
      <c r="G145">
        <v>12829.15</v>
      </c>
      <c r="H145">
        <v>0</v>
      </c>
      <c r="I145" s="8">
        <f t="shared" si="9"/>
        <v>1.2453290296613906E-2</v>
      </c>
      <c r="J145" s="8">
        <f t="shared" si="10"/>
        <v>1.2376385894014389E-2</v>
      </c>
      <c r="K145" s="8">
        <f t="shared" si="7"/>
        <v>5.6753829236047437E-2</v>
      </c>
    </row>
    <row r="146" spans="1:11" x14ac:dyDescent="0.25">
      <c r="A146" t="str">
        <f t="shared" si="8"/>
        <v>82017</v>
      </c>
      <c r="B146" s="1">
        <v>42948</v>
      </c>
      <c r="C146" s="10">
        <v>42743.645833333336</v>
      </c>
      <c r="D146">
        <v>12879.15</v>
      </c>
      <c r="E146">
        <v>12880.2</v>
      </c>
      <c r="F146">
        <v>12765.15</v>
      </c>
      <c r="G146">
        <v>12819.95</v>
      </c>
      <c r="H146">
        <v>0</v>
      </c>
      <c r="I146" s="8">
        <f t="shared" si="9"/>
        <v>-7.1711687835895876E-4</v>
      </c>
      <c r="J146" s="8">
        <f t="shared" si="10"/>
        <v>-7.1737412966109198E-4</v>
      </c>
      <c r="K146" s="8">
        <f t="shared" si="7"/>
        <v>7.5012158921294203E-2</v>
      </c>
    </row>
    <row r="147" spans="1:11" x14ac:dyDescent="0.25">
      <c r="A147" t="str">
        <f t="shared" si="8"/>
        <v>82017</v>
      </c>
      <c r="B147" s="1">
        <v>42949</v>
      </c>
      <c r="C147" s="10">
        <v>42774.645833333336</v>
      </c>
      <c r="D147">
        <v>12856.45</v>
      </c>
      <c r="E147">
        <v>12947.9</v>
      </c>
      <c r="F147">
        <v>12846.75</v>
      </c>
      <c r="G147">
        <v>12922.65</v>
      </c>
      <c r="H147">
        <v>0</v>
      </c>
      <c r="I147" s="8">
        <f t="shared" si="9"/>
        <v>8.0109516807786996E-3</v>
      </c>
      <c r="J147" s="8">
        <f t="shared" si="10"/>
        <v>7.9790343528330487E-3</v>
      </c>
      <c r="K147" s="8">
        <f t="shared" si="7"/>
        <v>8.5066186379838094E-2</v>
      </c>
    </row>
    <row r="148" spans="1:11" x14ac:dyDescent="0.25">
      <c r="A148" t="str">
        <f t="shared" si="8"/>
        <v>82017</v>
      </c>
      <c r="B148" s="1">
        <v>42950</v>
      </c>
      <c r="C148" s="10">
        <v>42802.645833333336</v>
      </c>
      <c r="D148">
        <v>12922.55</v>
      </c>
      <c r="E148">
        <v>13174.85</v>
      </c>
      <c r="F148">
        <v>12874.75</v>
      </c>
      <c r="G148">
        <v>13080.95</v>
      </c>
      <c r="H148">
        <v>0</v>
      </c>
      <c r="I148" s="8">
        <f t="shared" si="9"/>
        <v>1.2249809443109605E-2</v>
      </c>
      <c r="J148" s="8">
        <f t="shared" si="10"/>
        <v>1.2175387679297857E-2</v>
      </c>
      <c r="K148" s="8">
        <f t="shared" si="7"/>
        <v>9.1835201615932283E-2</v>
      </c>
    </row>
    <row r="149" spans="1:11" x14ac:dyDescent="0.25">
      <c r="A149" t="str">
        <f t="shared" si="8"/>
        <v>82017</v>
      </c>
      <c r="B149" s="1">
        <v>42951</v>
      </c>
      <c r="C149" s="10">
        <v>42833.645833333336</v>
      </c>
      <c r="D149">
        <v>13157.55</v>
      </c>
      <c r="E149">
        <v>13242.1</v>
      </c>
      <c r="F149">
        <v>12987.65</v>
      </c>
      <c r="G149">
        <v>13203.65</v>
      </c>
      <c r="H149">
        <v>0</v>
      </c>
      <c r="I149" s="8">
        <f t="shared" si="9"/>
        <v>9.3800526720153599E-3</v>
      </c>
      <c r="J149" s="8">
        <f t="shared" si="10"/>
        <v>9.336333159528731E-3</v>
      </c>
      <c r="K149" s="8">
        <f t="shared" si="7"/>
        <v>8.9549406070908333E-2</v>
      </c>
    </row>
    <row r="150" spans="1:11" x14ac:dyDescent="0.25">
      <c r="A150" t="str">
        <f t="shared" si="8"/>
        <v>82017</v>
      </c>
      <c r="B150" s="1">
        <v>42954</v>
      </c>
      <c r="C150" s="10">
        <v>42924.645833333336</v>
      </c>
      <c r="D150">
        <v>13244.1</v>
      </c>
      <c r="E150">
        <v>13299</v>
      </c>
      <c r="F150">
        <v>13177.35</v>
      </c>
      <c r="G150">
        <v>13267.45</v>
      </c>
      <c r="H150">
        <v>0</v>
      </c>
      <c r="I150" s="8">
        <f t="shared" si="9"/>
        <v>4.8319972128920696E-3</v>
      </c>
      <c r="J150" s="8">
        <f t="shared" si="10"/>
        <v>4.8203605847405521E-3</v>
      </c>
      <c r="K150" s="8">
        <f t="shared" si="7"/>
        <v>0.10222231453019859</v>
      </c>
    </row>
    <row r="151" spans="1:11" x14ac:dyDescent="0.25">
      <c r="A151" t="str">
        <f t="shared" si="8"/>
        <v>82017</v>
      </c>
      <c r="B151" s="1">
        <v>42955</v>
      </c>
      <c r="C151" s="10">
        <v>42955.645833333336</v>
      </c>
      <c r="D151">
        <v>13255.05</v>
      </c>
      <c r="E151">
        <v>13263.55</v>
      </c>
      <c r="F151">
        <v>12962.65</v>
      </c>
      <c r="G151">
        <v>13042.45</v>
      </c>
      <c r="H151">
        <v>0</v>
      </c>
      <c r="I151" s="8">
        <f t="shared" si="9"/>
        <v>-1.6958797658932157E-2</v>
      </c>
      <c r="J151" s="8">
        <f t="shared" si="10"/>
        <v>-1.7104244819104695E-2</v>
      </c>
      <c r="K151" s="8">
        <f t="shared" si="7"/>
        <v>8.5274575312145107E-2</v>
      </c>
    </row>
    <row r="152" spans="1:11" x14ac:dyDescent="0.25">
      <c r="A152" t="str">
        <f t="shared" si="8"/>
        <v>82017</v>
      </c>
      <c r="B152" s="1">
        <v>42956</v>
      </c>
      <c r="C152" s="10">
        <v>42986.645833333336</v>
      </c>
      <c r="D152">
        <v>12997.15</v>
      </c>
      <c r="E152">
        <v>13179.7</v>
      </c>
      <c r="F152">
        <v>12915.5</v>
      </c>
      <c r="G152">
        <v>13009.55</v>
      </c>
      <c r="H152">
        <v>0</v>
      </c>
      <c r="I152" s="8">
        <f t="shared" si="9"/>
        <v>-2.5225321929546185E-3</v>
      </c>
      <c r="J152" s="8">
        <f t="shared" si="10"/>
        <v>-2.525719137862416E-3</v>
      </c>
      <c r="K152" s="8">
        <f t="shared" si="7"/>
        <v>8.0837116947962695E-2</v>
      </c>
    </row>
    <row r="153" spans="1:11" x14ac:dyDescent="0.25">
      <c r="A153" t="str">
        <f t="shared" si="8"/>
        <v>82017</v>
      </c>
      <c r="B153" s="1">
        <v>42957</v>
      </c>
      <c r="C153" s="10">
        <v>43016.645833333336</v>
      </c>
      <c r="D153">
        <v>12952.35</v>
      </c>
      <c r="E153">
        <v>12992.7</v>
      </c>
      <c r="F153">
        <v>12728.95</v>
      </c>
      <c r="G153">
        <v>12804.95</v>
      </c>
      <c r="H153">
        <v>0</v>
      </c>
      <c r="I153" s="8">
        <f t="shared" si="9"/>
        <v>-1.5726908309664722E-2</v>
      </c>
      <c r="J153" s="8">
        <f t="shared" si="10"/>
        <v>-1.585188822919685E-2</v>
      </c>
      <c r="K153" s="8">
        <f t="shared" si="7"/>
        <v>5.8304062151328662E-2</v>
      </c>
    </row>
    <row r="154" spans="1:11" x14ac:dyDescent="0.25">
      <c r="A154" t="str">
        <f t="shared" si="8"/>
        <v>82017</v>
      </c>
      <c r="B154" s="1">
        <v>42958</v>
      </c>
      <c r="C154" s="10">
        <v>43047.645833333336</v>
      </c>
      <c r="D154">
        <v>12576.6</v>
      </c>
      <c r="E154">
        <v>12803.65</v>
      </c>
      <c r="F154">
        <v>12571.25</v>
      </c>
      <c r="G154">
        <v>12659.1</v>
      </c>
      <c r="H154">
        <v>0</v>
      </c>
      <c r="I154" s="8">
        <f t="shared" si="9"/>
        <v>-1.1390126474527418E-2</v>
      </c>
      <c r="J154" s="8">
        <f t="shared" si="10"/>
        <v>-1.145549077752861E-2</v>
      </c>
      <c r="K154" s="8">
        <f t="shared" si="7"/>
        <v>4.8533315663269461E-2</v>
      </c>
    </row>
    <row r="155" spans="1:11" x14ac:dyDescent="0.25">
      <c r="A155" t="str">
        <f t="shared" si="8"/>
        <v>82017</v>
      </c>
      <c r="B155" s="1">
        <v>42961</v>
      </c>
      <c r="C155" t="s">
        <v>115</v>
      </c>
      <c r="D155">
        <v>12751.5</v>
      </c>
      <c r="E155">
        <v>12901.4</v>
      </c>
      <c r="F155">
        <v>12744.15</v>
      </c>
      <c r="G155">
        <v>12859.55</v>
      </c>
      <c r="H155">
        <v>0</v>
      </c>
      <c r="I155" s="8">
        <f t="shared" si="9"/>
        <v>1.5834459005774404E-2</v>
      </c>
      <c r="J155" s="8">
        <f t="shared" si="10"/>
        <v>1.5710401831661266E-2</v>
      </c>
      <c r="K155" s="8">
        <f t="shared" si="7"/>
        <v>8.2052943354313124E-2</v>
      </c>
    </row>
    <row r="156" spans="1:11" x14ac:dyDescent="0.25">
      <c r="A156" t="str">
        <f t="shared" si="8"/>
        <v>82017</v>
      </c>
      <c r="B156" s="1">
        <v>42963</v>
      </c>
      <c r="C156" t="s">
        <v>116</v>
      </c>
      <c r="D156">
        <v>12878.95</v>
      </c>
      <c r="E156">
        <v>12893.75</v>
      </c>
      <c r="F156">
        <v>12756.6</v>
      </c>
      <c r="G156">
        <v>12831.2</v>
      </c>
      <c r="H156">
        <v>0</v>
      </c>
      <c r="I156" s="8">
        <f t="shared" si="9"/>
        <v>-2.2045872522754584E-3</v>
      </c>
      <c r="J156" s="8">
        <f t="shared" si="10"/>
        <v>-2.2070209322496994E-3</v>
      </c>
      <c r="K156" s="8">
        <f t="shared" si="7"/>
        <v>8.7878453881828245E-2</v>
      </c>
    </row>
    <row r="157" spans="1:11" x14ac:dyDescent="0.25">
      <c r="A157" t="str">
        <f t="shared" si="8"/>
        <v>82017</v>
      </c>
      <c r="B157" s="1">
        <v>42964</v>
      </c>
      <c r="C157" t="s">
        <v>117</v>
      </c>
      <c r="D157">
        <v>12866.25</v>
      </c>
      <c r="E157">
        <v>12982.85</v>
      </c>
      <c r="F157">
        <v>12850.6</v>
      </c>
      <c r="G157">
        <v>12892.4</v>
      </c>
      <c r="H157">
        <v>0</v>
      </c>
      <c r="I157" s="8">
        <f t="shared" si="9"/>
        <v>4.7696240413990232E-3</v>
      </c>
      <c r="J157" s="8">
        <f t="shared" si="10"/>
        <v>4.7582854243173184E-3</v>
      </c>
      <c r="K157" s="8">
        <f t="shared" si="7"/>
        <v>0.10186273294845116</v>
      </c>
    </row>
    <row r="158" spans="1:11" x14ac:dyDescent="0.25">
      <c r="A158" t="str">
        <f t="shared" si="8"/>
        <v>82017</v>
      </c>
      <c r="B158" s="1">
        <v>42965</v>
      </c>
      <c r="C158" t="s">
        <v>118</v>
      </c>
      <c r="D158">
        <v>12866.45</v>
      </c>
      <c r="E158">
        <v>13012.6</v>
      </c>
      <c r="F158">
        <v>12826.7</v>
      </c>
      <c r="G158">
        <v>12959.65</v>
      </c>
      <c r="H158">
        <v>0</v>
      </c>
      <c r="I158" s="8">
        <f t="shared" si="9"/>
        <v>5.2162514349538558E-3</v>
      </c>
      <c r="J158" s="8">
        <f t="shared" si="10"/>
        <v>5.202693921267266E-3</v>
      </c>
      <c r="K158" s="8">
        <f t="shared" si="7"/>
        <v>0.12114972857235551</v>
      </c>
    </row>
    <row r="159" spans="1:11" x14ac:dyDescent="0.25">
      <c r="A159" t="str">
        <f t="shared" si="8"/>
        <v>82017</v>
      </c>
      <c r="B159" s="1">
        <v>42968</v>
      </c>
      <c r="C159" t="s">
        <v>119</v>
      </c>
      <c r="D159">
        <v>13006.05</v>
      </c>
      <c r="E159">
        <v>13066.5</v>
      </c>
      <c r="F159">
        <v>12780.05</v>
      </c>
      <c r="G159">
        <v>12796.3</v>
      </c>
      <c r="H159">
        <v>0</v>
      </c>
      <c r="I159" s="8">
        <f t="shared" si="9"/>
        <v>-1.2604507066163118E-2</v>
      </c>
      <c r="J159" s="8">
        <f t="shared" si="10"/>
        <v>-1.2684617747661739E-2</v>
      </c>
      <c r="K159" s="8">
        <f t="shared" si="7"/>
        <v>0.10825498967206082</v>
      </c>
    </row>
    <row r="160" spans="1:11" x14ac:dyDescent="0.25">
      <c r="A160" t="str">
        <f t="shared" si="8"/>
        <v>82017</v>
      </c>
      <c r="B160" s="1">
        <v>42969</v>
      </c>
      <c r="C160" t="s">
        <v>120</v>
      </c>
      <c r="D160">
        <v>12861.2</v>
      </c>
      <c r="E160">
        <v>12958.85</v>
      </c>
      <c r="F160">
        <v>12828.4</v>
      </c>
      <c r="G160">
        <v>12843.45</v>
      </c>
      <c r="H160">
        <v>0</v>
      </c>
      <c r="I160" s="8">
        <f t="shared" si="9"/>
        <v>3.6846588466978858E-3</v>
      </c>
      <c r="J160" s="8">
        <f t="shared" si="10"/>
        <v>3.6778871205258028E-3</v>
      </c>
      <c r="K160" s="8">
        <f t="shared" si="7"/>
        <v>0.10457061031773685</v>
      </c>
    </row>
    <row r="161" spans="1:11" x14ac:dyDescent="0.25">
      <c r="A161" t="str">
        <f t="shared" si="8"/>
        <v>82017</v>
      </c>
      <c r="B161" s="1">
        <v>42970</v>
      </c>
      <c r="C161" t="s">
        <v>121</v>
      </c>
      <c r="D161">
        <v>12904.2</v>
      </c>
      <c r="E161">
        <v>13005.05</v>
      </c>
      <c r="F161">
        <v>12849.65</v>
      </c>
      <c r="G161">
        <v>12975.85</v>
      </c>
      <c r="H161">
        <v>0</v>
      </c>
      <c r="I161" s="8">
        <f t="shared" si="9"/>
        <v>1.0308756603560454E-2</v>
      </c>
      <c r="J161" s="8">
        <f t="shared" si="10"/>
        <v>1.0255983744049261E-2</v>
      </c>
      <c r="K161" s="8">
        <f t="shared" si="7"/>
        <v>9.4237393903873645E-2</v>
      </c>
    </row>
    <row r="162" spans="1:11" x14ac:dyDescent="0.25">
      <c r="A162" t="str">
        <f t="shared" si="8"/>
        <v>82017</v>
      </c>
      <c r="B162" s="1">
        <v>42971</v>
      </c>
      <c r="C162" t="s">
        <v>122</v>
      </c>
      <c r="D162">
        <v>13021.1</v>
      </c>
      <c r="E162">
        <v>13072.15</v>
      </c>
      <c r="F162">
        <v>12924.15</v>
      </c>
      <c r="G162">
        <v>12933.9</v>
      </c>
      <c r="H162">
        <v>0</v>
      </c>
      <c r="I162" s="8">
        <f t="shared" si="9"/>
        <v>-3.232928864005058E-3</v>
      </c>
      <c r="J162" s="8">
        <f t="shared" si="10"/>
        <v>-3.2381660692458515E-3</v>
      </c>
      <c r="K162" s="8">
        <f t="shared" si="7"/>
        <v>8.5067827750232805E-2</v>
      </c>
    </row>
    <row r="163" spans="1:11" x14ac:dyDescent="0.25">
      <c r="A163" t="str">
        <f t="shared" si="8"/>
        <v>82017</v>
      </c>
      <c r="B163" s="1">
        <v>42975</v>
      </c>
      <c r="C163" t="s">
        <v>123</v>
      </c>
      <c r="D163">
        <v>12995.35</v>
      </c>
      <c r="E163">
        <v>13000.45</v>
      </c>
      <c r="F163">
        <v>12919.35</v>
      </c>
      <c r="G163">
        <v>12963.3</v>
      </c>
      <c r="H163">
        <v>0</v>
      </c>
      <c r="I163" s="8">
        <f t="shared" si="9"/>
        <v>2.2730962818640066E-3</v>
      </c>
      <c r="J163" s="8">
        <f t="shared" si="10"/>
        <v>2.2705167068526925E-3</v>
      </c>
      <c r="K163" s="8">
        <f t="shared" si="7"/>
        <v>8.4431989292287124E-2</v>
      </c>
    </row>
    <row r="164" spans="1:11" x14ac:dyDescent="0.25">
      <c r="A164" t="str">
        <f t="shared" si="8"/>
        <v>82017</v>
      </c>
      <c r="B164" s="1">
        <v>42976</v>
      </c>
      <c r="C164" t="s">
        <v>124</v>
      </c>
      <c r="D164">
        <v>12908.1</v>
      </c>
      <c r="E164">
        <v>12968.75</v>
      </c>
      <c r="F164">
        <v>12725.8</v>
      </c>
      <c r="G164">
        <v>12749.05</v>
      </c>
      <c r="H164">
        <v>0</v>
      </c>
      <c r="I164" s="8">
        <f t="shared" si="9"/>
        <v>-1.6527427429744002E-2</v>
      </c>
      <c r="J164" s="8">
        <f t="shared" si="10"/>
        <v>-1.6665529116615931E-2</v>
      </c>
      <c r="K164" s="8">
        <f t="shared" si="7"/>
        <v>6.9044454599958893E-2</v>
      </c>
    </row>
    <row r="165" spans="1:11" x14ac:dyDescent="0.25">
      <c r="A165" t="str">
        <f t="shared" si="8"/>
        <v>82017</v>
      </c>
      <c r="B165" s="1">
        <v>42977</v>
      </c>
      <c r="C165" t="s">
        <v>125</v>
      </c>
      <c r="D165">
        <v>12848.65</v>
      </c>
      <c r="E165">
        <v>13030.75</v>
      </c>
      <c r="F165">
        <v>12824.5</v>
      </c>
      <c r="G165">
        <v>12993.3</v>
      </c>
      <c r="H165">
        <v>0</v>
      </c>
      <c r="I165" s="8">
        <f t="shared" si="9"/>
        <v>1.9158290225546271E-2</v>
      </c>
      <c r="J165" s="8">
        <f t="shared" si="10"/>
        <v>1.897708096533101E-2</v>
      </c>
      <c r="K165" s="8">
        <f t="shared" si="7"/>
        <v>0.10143514711741397</v>
      </c>
    </row>
    <row r="166" spans="1:11" x14ac:dyDescent="0.25">
      <c r="A166" t="str">
        <f t="shared" si="8"/>
        <v>82017</v>
      </c>
      <c r="B166" s="1">
        <v>42978</v>
      </c>
      <c r="C166" t="s">
        <v>126</v>
      </c>
      <c r="D166">
        <v>13032</v>
      </c>
      <c r="E166">
        <v>13170.6</v>
      </c>
      <c r="F166">
        <v>12995.9</v>
      </c>
      <c r="G166">
        <v>13150.05</v>
      </c>
      <c r="H166">
        <v>0</v>
      </c>
      <c r="I166" s="8">
        <f t="shared" si="9"/>
        <v>1.2063909861236066E-2</v>
      </c>
      <c r="J166" s="8">
        <f t="shared" si="10"/>
        <v>1.1991720908062407E-2</v>
      </c>
      <c r="K166" s="8">
        <f t="shared" si="7"/>
        <v>0.11843453780762148</v>
      </c>
    </row>
    <row r="167" spans="1:11" x14ac:dyDescent="0.25">
      <c r="A167" t="str">
        <f t="shared" si="8"/>
        <v>92017</v>
      </c>
      <c r="B167" s="1">
        <v>42979</v>
      </c>
      <c r="C167" s="10">
        <v>42744.645833333336</v>
      </c>
      <c r="D167">
        <v>13188.25</v>
      </c>
      <c r="E167">
        <v>13247.15</v>
      </c>
      <c r="F167">
        <v>13156.15</v>
      </c>
      <c r="G167">
        <v>13218.75</v>
      </c>
      <c r="H167">
        <v>0</v>
      </c>
      <c r="I167" s="8">
        <f t="shared" si="9"/>
        <v>5.2243147364459119E-3</v>
      </c>
      <c r="J167" s="8">
        <f t="shared" si="10"/>
        <v>5.2107153486377396E-3</v>
      </c>
      <c r="K167" s="8">
        <f t="shared" si="7"/>
        <v>0.11962579617834401</v>
      </c>
    </row>
    <row r="168" spans="1:11" x14ac:dyDescent="0.25">
      <c r="A168" t="str">
        <f t="shared" si="8"/>
        <v>92017</v>
      </c>
      <c r="B168" s="1">
        <v>42982</v>
      </c>
      <c r="C168" s="10">
        <v>42834.645833333336</v>
      </c>
      <c r="D168">
        <v>13215.55</v>
      </c>
      <c r="E168">
        <v>13306.75</v>
      </c>
      <c r="F168">
        <v>13045.95</v>
      </c>
      <c r="G168">
        <v>13163.85</v>
      </c>
      <c r="H168">
        <v>0</v>
      </c>
      <c r="I168" s="8">
        <f t="shared" si="9"/>
        <v>-4.1531914893616628E-3</v>
      </c>
      <c r="J168" s="8">
        <f t="shared" si="10"/>
        <v>-4.1618399432313486E-3</v>
      </c>
      <c r="K168" s="8">
        <f t="shared" si="7"/>
        <v>0.12731219812968853</v>
      </c>
    </row>
    <row r="169" spans="1:11" x14ac:dyDescent="0.25">
      <c r="A169" t="str">
        <f t="shared" si="8"/>
        <v>92017</v>
      </c>
      <c r="B169" s="1">
        <v>42983</v>
      </c>
      <c r="C169" s="10">
        <v>42864.645833333336</v>
      </c>
      <c r="D169">
        <v>13246.95</v>
      </c>
      <c r="E169">
        <v>13291.15</v>
      </c>
      <c r="F169">
        <v>13173.55</v>
      </c>
      <c r="G169">
        <v>13275.1</v>
      </c>
      <c r="H169">
        <v>0</v>
      </c>
      <c r="I169" s="8">
        <f t="shared" si="9"/>
        <v>8.4511749981959206E-3</v>
      </c>
      <c r="J169" s="8">
        <f t="shared" si="10"/>
        <v>8.4156637529955221E-3</v>
      </c>
      <c r="K169" s="8">
        <f t="shared" si="7"/>
        <v>0.1260677416892162</v>
      </c>
    </row>
    <row r="170" spans="1:11" x14ac:dyDescent="0.25">
      <c r="A170" t="str">
        <f t="shared" si="8"/>
        <v>92017</v>
      </c>
      <c r="B170" s="1">
        <v>42984</v>
      </c>
      <c r="C170" s="10">
        <v>42895.645833333336</v>
      </c>
      <c r="D170">
        <v>13226.3</v>
      </c>
      <c r="E170">
        <v>13331.7</v>
      </c>
      <c r="F170">
        <v>13203.7</v>
      </c>
      <c r="G170">
        <v>13292.3</v>
      </c>
      <c r="H170">
        <v>0</v>
      </c>
      <c r="I170" s="8">
        <f t="shared" si="9"/>
        <v>1.2956587897641203E-3</v>
      </c>
      <c r="J170" s="8">
        <f t="shared" si="10"/>
        <v>1.2948201482317289E-3</v>
      </c>
      <c r="K170" s="8">
        <f t="shared" si="7"/>
        <v>0.13598236070813541</v>
      </c>
    </row>
    <row r="171" spans="1:11" x14ac:dyDescent="0.25">
      <c r="A171" t="str">
        <f t="shared" si="8"/>
        <v>92017</v>
      </c>
      <c r="B171" s="1">
        <v>42985</v>
      </c>
      <c r="C171" s="10">
        <v>42925.645833333336</v>
      </c>
      <c r="D171">
        <v>13319.55</v>
      </c>
      <c r="E171">
        <v>13380.55</v>
      </c>
      <c r="F171">
        <v>13214.05</v>
      </c>
      <c r="G171">
        <v>13239.85</v>
      </c>
      <c r="H171">
        <v>0</v>
      </c>
      <c r="I171" s="8">
        <f t="shared" si="9"/>
        <v>-3.945893487206753E-3</v>
      </c>
      <c r="J171" s="8">
        <f t="shared" si="10"/>
        <v>-3.9536990649980935E-3</v>
      </c>
      <c r="K171" s="8">
        <f t="shared" si="7"/>
        <v>0.13273900935546923</v>
      </c>
    </row>
    <row r="172" spans="1:11" x14ac:dyDescent="0.25">
      <c r="A172" t="str">
        <f t="shared" si="8"/>
        <v>92017</v>
      </c>
      <c r="B172" s="1">
        <v>42986</v>
      </c>
      <c r="C172" s="10">
        <v>42956.645833333336</v>
      </c>
      <c r="D172">
        <v>13255.2</v>
      </c>
      <c r="E172">
        <v>13280.35</v>
      </c>
      <c r="F172">
        <v>13132.9</v>
      </c>
      <c r="G172">
        <v>13152.7</v>
      </c>
      <c r="H172">
        <v>0</v>
      </c>
      <c r="I172" s="8">
        <f t="shared" si="9"/>
        <v>-6.5824008580157578E-3</v>
      </c>
      <c r="J172" s="8">
        <f t="shared" si="10"/>
        <v>-6.6041603977813369E-3</v>
      </c>
      <c r="K172" s="8">
        <f t="shared" si="7"/>
        <v>0.13056409154399917</v>
      </c>
    </row>
    <row r="173" spans="1:11" x14ac:dyDescent="0.25">
      <c r="A173" t="str">
        <f t="shared" si="8"/>
        <v>92017</v>
      </c>
      <c r="B173" s="1">
        <v>42989</v>
      </c>
      <c r="C173" s="10">
        <v>43048.645833333336</v>
      </c>
      <c r="D173">
        <v>13216.75</v>
      </c>
      <c r="E173">
        <v>13296.05</v>
      </c>
      <c r="F173">
        <v>13123.35</v>
      </c>
      <c r="G173">
        <v>13238.95</v>
      </c>
      <c r="H173">
        <v>0</v>
      </c>
      <c r="I173" s="8">
        <f t="shared" si="9"/>
        <v>6.5575889361120243E-3</v>
      </c>
      <c r="J173" s="8">
        <f t="shared" si="10"/>
        <v>6.53618148632418E-3</v>
      </c>
      <c r="K173" s="8">
        <f t="shared" si="7"/>
        <v>0.1383986345012016</v>
      </c>
    </row>
    <row r="174" spans="1:11" x14ac:dyDescent="0.25">
      <c r="A174" t="str">
        <f t="shared" si="8"/>
        <v>92017</v>
      </c>
      <c r="B174" s="1">
        <v>42990</v>
      </c>
      <c r="C174" s="10">
        <v>43078.645833333336</v>
      </c>
      <c r="D174">
        <v>13304.4</v>
      </c>
      <c r="E174">
        <v>13391.25</v>
      </c>
      <c r="F174">
        <v>13277.3</v>
      </c>
      <c r="G174">
        <v>13381.9</v>
      </c>
      <c r="H174">
        <v>0</v>
      </c>
      <c r="I174" s="8">
        <f t="shared" si="9"/>
        <v>1.0797684106367944E-2</v>
      </c>
      <c r="J174" s="8">
        <f t="shared" si="10"/>
        <v>1.0739805380056948E-2</v>
      </c>
      <c r="K174" s="8">
        <f t="shared" si="7"/>
        <v>0.13431406205630925</v>
      </c>
    </row>
    <row r="175" spans="1:11" x14ac:dyDescent="0.25">
      <c r="A175" t="str">
        <f t="shared" si="8"/>
        <v>92017</v>
      </c>
      <c r="B175" s="1">
        <v>42991</v>
      </c>
      <c r="C175" t="s">
        <v>127</v>
      </c>
      <c r="D175">
        <v>13410.25</v>
      </c>
      <c r="E175">
        <v>13646.8</v>
      </c>
      <c r="F175">
        <v>13319.35</v>
      </c>
      <c r="G175">
        <v>13414.6</v>
      </c>
      <c r="H175">
        <v>0</v>
      </c>
      <c r="I175" s="8">
        <f t="shared" si="9"/>
        <v>2.4435991899507403E-3</v>
      </c>
      <c r="J175" s="8">
        <f t="shared" si="10"/>
        <v>2.4406184562749218E-3</v>
      </c>
      <c r="K175" s="8">
        <f t="shared" si="7"/>
        <v>0.13885728839460065</v>
      </c>
    </row>
    <row r="176" spans="1:11" x14ac:dyDescent="0.25">
      <c r="A176" t="str">
        <f t="shared" si="8"/>
        <v>92017</v>
      </c>
      <c r="B176" s="1">
        <v>42992</v>
      </c>
      <c r="C176" t="s">
        <v>128</v>
      </c>
      <c r="D176">
        <v>13565.85</v>
      </c>
      <c r="E176">
        <v>13610.55</v>
      </c>
      <c r="F176">
        <v>13337.6</v>
      </c>
      <c r="G176">
        <v>13364.6</v>
      </c>
      <c r="H176">
        <v>0</v>
      </c>
      <c r="I176" s="8">
        <f t="shared" si="9"/>
        <v>-3.7272822149001517E-3</v>
      </c>
      <c r="J176" s="8">
        <f t="shared" si="10"/>
        <v>-3.7342458402381488E-3</v>
      </c>
      <c r="K176" s="8">
        <f t="shared" si="7"/>
        <v>0.13036601611232101</v>
      </c>
    </row>
    <row r="177" spans="1:11" x14ac:dyDescent="0.25">
      <c r="A177" t="str">
        <f t="shared" si="8"/>
        <v>92017</v>
      </c>
      <c r="B177" s="1">
        <v>42993</v>
      </c>
      <c r="C177" t="s">
        <v>129</v>
      </c>
      <c r="D177">
        <v>13336.25</v>
      </c>
      <c r="E177">
        <v>13426.15</v>
      </c>
      <c r="F177">
        <v>13254.15</v>
      </c>
      <c r="G177">
        <v>13347</v>
      </c>
      <c r="H177">
        <v>0</v>
      </c>
      <c r="I177" s="8">
        <f t="shared" si="9"/>
        <v>-1.3169118417312164E-3</v>
      </c>
      <c r="J177" s="8">
        <f t="shared" si="10"/>
        <v>-1.3177797321711389E-3</v>
      </c>
      <c r="K177" s="8">
        <f t="shared" si="7"/>
        <v>0.12035389316052769</v>
      </c>
    </row>
    <row r="178" spans="1:11" x14ac:dyDescent="0.25">
      <c r="A178" t="str">
        <f t="shared" si="8"/>
        <v>92017</v>
      </c>
      <c r="B178" s="1">
        <v>42996</v>
      </c>
      <c r="C178" t="s">
        <v>130</v>
      </c>
      <c r="D178">
        <v>13456.5</v>
      </c>
      <c r="E178">
        <v>13479.4</v>
      </c>
      <c r="F178">
        <v>13364.95</v>
      </c>
      <c r="G178">
        <v>13377.3</v>
      </c>
      <c r="H178">
        <v>0</v>
      </c>
      <c r="I178" s="8">
        <f t="shared" si="9"/>
        <v>2.2701730726004676E-3</v>
      </c>
      <c r="J178" s="8">
        <f t="shared" si="10"/>
        <v>2.2676001230021651E-3</v>
      </c>
      <c r="K178" s="8">
        <f t="shared" si="7"/>
        <v>0.12102471277371341</v>
      </c>
    </row>
    <row r="179" spans="1:11" x14ac:dyDescent="0.25">
      <c r="A179" t="str">
        <f t="shared" si="8"/>
        <v>92017</v>
      </c>
      <c r="B179" s="1">
        <v>42997</v>
      </c>
      <c r="C179" t="s">
        <v>131</v>
      </c>
      <c r="D179">
        <v>13421.65</v>
      </c>
      <c r="E179">
        <v>13432.05</v>
      </c>
      <c r="F179">
        <v>13309.95</v>
      </c>
      <c r="G179">
        <v>13413.7</v>
      </c>
      <c r="H179">
        <v>0</v>
      </c>
      <c r="I179" s="8">
        <f t="shared" si="9"/>
        <v>2.7210274121087785E-3</v>
      </c>
      <c r="J179" s="8">
        <f t="shared" si="10"/>
        <v>2.7173321188317967E-3</v>
      </c>
      <c r="K179" s="8">
        <f t="shared" si="7"/>
        <v>0.12740537155872711</v>
      </c>
    </row>
    <row r="180" spans="1:11" x14ac:dyDescent="0.25">
      <c r="A180" t="str">
        <f t="shared" si="8"/>
        <v>92017</v>
      </c>
      <c r="B180" s="1">
        <v>42998</v>
      </c>
      <c r="C180" t="s">
        <v>132</v>
      </c>
      <c r="D180">
        <v>13567.85</v>
      </c>
      <c r="E180">
        <v>13665</v>
      </c>
      <c r="F180">
        <v>13389.25</v>
      </c>
      <c r="G180">
        <v>13410.3</v>
      </c>
      <c r="H180">
        <v>0</v>
      </c>
      <c r="I180" s="8">
        <f t="shared" si="9"/>
        <v>-2.5347219633664597E-4</v>
      </c>
      <c r="J180" s="8">
        <f t="shared" si="10"/>
        <v>-2.5350432584320961E-4</v>
      </c>
      <c r="K180" s="8">
        <f t="shared" si="7"/>
        <v>0.13536441334467808</v>
      </c>
    </row>
    <row r="181" spans="1:11" x14ac:dyDescent="0.25">
      <c r="A181" t="str">
        <f t="shared" si="8"/>
        <v>92017</v>
      </c>
      <c r="B181" s="1">
        <v>42999</v>
      </c>
      <c r="C181" t="s">
        <v>133</v>
      </c>
      <c r="D181">
        <v>13405.25</v>
      </c>
      <c r="E181">
        <v>13455.65</v>
      </c>
      <c r="F181">
        <v>13267.35</v>
      </c>
      <c r="G181">
        <v>13333.8</v>
      </c>
      <c r="H181">
        <v>0</v>
      </c>
      <c r="I181" s="8">
        <f t="shared" si="9"/>
        <v>-5.704570367553341E-3</v>
      </c>
      <c r="J181" s="8">
        <f t="shared" si="10"/>
        <v>-5.720903574664293E-3</v>
      </c>
      <c r="K181" s="8">
        <f t="shared" si="7"/>
        <v>0.13298353690918741</v>
      </c>
    </row>
    <row r="182" spans="1:11" x14ac:dyDescent="0.25">
      <c r="A182" t="str">
        <f t="shared" si="8"/>
        <v>92017</v>
      </c>
      <c r="B182" s="1">
        <v>43000</v>
      </c>
      <c r="C182" t="s">
        <v>134</v>
      </c>
      <c r="D182">
        <v>13298.95</v>
      </c>
      <c r="E182">
        <v>13298.95</v>
      </c>
      <c r="F182">
        <v>13018.25</v>
      </c>
      <c r="G182">
        <v>13046.7</v>
      </c>
      <c r="H182">
        <v>0</v>
      </c>
      <c r="I182" s="8">
        <f t="shared" si="9"/>
        <v>-2.1531746388876227E-2</v>
      </c>
      <c r="J182" s="8">
        <f t="shared" si="10"/>
        <v>-2.1766936605767225E-2</v>
      </c>
      <c r="K182" s="8">
        <f t="shared" si="7"/>
        <v>0.10768956470798008</v>
      </c>
    </row>
    <row r="183" spans="1:11" x14ac:dyDescent="0.25">
      <c r="A183" t="str">
        <f t="shared" si="8"/>
        <v>92017</v>
      </c>
      <c r="B183" s="1">
        <v>43003</v>
      </c>
      <c r="C183" t="s">
        <v>135</v>
      </c>
      <c r="D183">
        <v>13024.95</v>
      </c>
      <c r="E183">
        <v>13094.5</v>
      </c>
      <c r="F183">
        <v>12892.95</v>
      </c>
      <c r="G183">
        <v>13035</v>
      </c>
      <c r="H183">
        <v>0</v>
      </c>
      <c r="I183" s="8">
        <f t="shared" si="9"/>
        <v>-8.9677849571156987E-4</v>
      </c>
      <c r="J183" s="8">
        <f t="shared" si="10"/>
        <v>-8.9718084210847109E-4</v>
      </c>
      <c r="K183" s="8">
        <f t="shared" si="7"/>
        <v>0.11944143865615486</v>
      </c>
    </row>
    <row r="184" spans="1:11" x14ac:dyDescent="0.25">
      <c r="A184" t="str">
        <f t="shared" si="8"/>
        <v>92017</v>
      </c>
      <c r="B184" s="1">
        <v>43004</v>
      </c>
      <c r="C184" t="s">
        <v>136</v>
      </c>
      <c r="D184">
        <v>13065.5</v>
      </c>
      <c r="E184">
        <v>13124.4</v>
      </c>
      <c r="F184">
        <v>12888.85</v>
      </c>
      <c r="G184">
        <v>13023.9</v>
      </c>
      <c r="H184">
        <v>0</v>
      </c>
      <c r="I184" s="8">
        <f t="shared" si="9"/>
        <v>-8.5155350978138866E-4</v>
      </c>
      <c r="J184" s="8">
        <f t="shared" si="10"/>
        <v>-8.5191628743574381E-4</v>
      </c>
      <c r="K184" s="8">
        <f t="shared" si="7"/>
        <v>0.11977679953227649</v>
      </c>
    </row>
    <row r="185" spans="1:11" x14ac:dyDescent="0.25">
      <c r="A185" t="str">
        <f t="shared" si="8"/>
        <v>92017</v>
      </c>
      <c r="B185" s="1">
        <v>43005</v>
      </c>
      <c r="C185" t="s">
        <v>137</v>
      </c>
      <c r="D185">
        <v>13099.35</v>
      </c>
      <c r="E185">
        <v>13100.95</v>
      </c>
      <c r="F185">
        <v>12763.8</v>
      </c>
      <c r="G185">
        <v>12809.05</v>
      </c>
      <c r="H185">
        <v>0</v>
      </c>
      <c r="I185" s="8">
        <f t="shared" si="9"/>
        <v>-1.6496594722011149E-2</v>
      </c>
      <c r="J185" s="8">
        <f t="shared" si="10"/>
        <v>-1.6634178751301243E-2</v>
      </c>
      <c r="K185" s="8">
        <f t="shared" si="7"/>
        <v>0.10419037274576737</v>
      </c>
    </row>
    <row r="186" spans="1:11" x14ac:dyDescent="0.25">
      <c r="A186" t="str">
        <f t="shared" si="8"/>
        <v>92017</v>
      </c>
      <c r="B186" s="1">
        <v>43006</v>
      </c>
      <c r="C186" t="s">
        <v>138</v>
      </c>
      <c r="D186">
        <v>12785.35</v>
      </c>
      <c r="E186">
        <v>12831.45</v>
      </c>
      <c r="F186">
        <v>12601.6</v>
      </c>
      <c r="G186">
        <v>12721.95</v>
      </c>
      <c r="H186">
        <v>0</v>
      </c>
      <c r="I186" s="8">
        <f t="shared" si="9"/>
        <v>-6.7998797725045135E-3</v>
      </c>
      <c r="J186" s="8">
        <f t="shared" si="10"/>
        <v>-6.8231042974929972E-3</v>
      </c>
      <c r="K186" s="8">
        <f t="shared" si="7"/>
        <v>9.2669415099201347E-2</v>
      </c>
    </row>
    <row r="187" spans="1:11" x14ac:dyDescent="0.25">
      <c r="A187" t="str">
        <f t="shared" si="8"/>
        <v>92017</v>
      </c>
      <c r="B187" s="1">
        <v>43007</v>
      </c>
      <c r="C187" t="s">
        <v>139</v>
      </c>
      <c r="D187">
        <v>12840.1</v>
      </c>
      <c r="E187">
        <v>12883.3</v>
      </c>
      <c r="F187">
        <v>12748.15</v>
      </c>
      <c r="G187">
        <v>12772.65</v>
      </c>
      <c r="H187">
        <v>0</v>
      </c>
      <c r="I187" s="8">
        <f t="shared" si="9"/>
        <v>3.9852381120817348E-3</v>
      </c>
      <c r="J187" s="8">
        <f t="shared" si="10"/>
        <v>3.9773180858303754E-3</v>
      </c>
      <c r="K187" s="8">
        <f t="shared" si="7"/>
        <v>8.2556404997202959E-2</v>
      </c>
    </row>
    <row r="188" spans="1:11" x14ac:dyDescent="0.25">
      <c r="A188" t="str">
        <f t="shared" si="8"/>
        <v>102017</v>
      </c>
      <c r="B188" s="1">
        <v>43011</v>
      </c>
      <c r="C188" s="10">
        <v>42804.645833333336</v>
      </c>
      <c r="D188">
        <v>12962</v>
      </c>
      <c r="E188">
        <v>12967.25</v>
      </c>
      <c r="F188">
        <v>12852.35</v>
      </c>
      <c r="G188">
        <v>12945.25</v>
      </c>
      <c r="H188">
        <v>0</v>
      </c>
      <c r="I188" s="8">
        <f t="shared" si="9"/>
        <v>1.3513249012538475E-2</v>
      </c>
      <c r="J188" s="8">
        <f t="shared" si="10"/>
        <v>1.3422759357811263E-2</v>
      </c>
      <c r="K188" s="8">
        <f t="shared" si="7"/>
        <v>8.5960798788646597E-2</v>
      </c>
    </row>
    <row r="189" spans="1:11" x14ac:dyDescent="0.25">
      <c r="A189" t="str">
        <f t="shared" si="8"/>
        <v>102017</v>
      </c>
      <c r="B189" s="1">
        <v>43012</v>
      </c>
      <c r="C189" s="10">
        <v>42835.645833333336</v>
      </c>
      <c r="D189">
        <v>13026.8</v>
      </c>
      <c r="E189">
        <v>13217.7</v>
      </c>
      <c r="F189">
        <v>12977</v>
      </c>
      <c r="G189">
        <v>13160.85</v>
      </c>
      <c r="H189">
        <v>0</v>
      </c>
      <c r="I189" s="8">
        <f t="shared" si="9"/>
        <v>1.6654757536548104E-2</v>
      </c>
      <c r="J189" s="8">
        <f t="shared" si="10"/>
        <v>1.6517587984125046E-2</v>
      </c>
      <c r="K189" s="8">
        <f t="shared" si="7"/>
        <v>0.10737289383453597</v>
      </c>
    </row>
    <row r="190" spans="1:11" x14ac:dyDescent="0.25">
      <c r="A190" t="str">
        <f t="shared" si="8"/>
        <v>102017</v>
      </c>
      <c r="B190" s="1">
        <v>43013</v>
      </c>
      <c r="C190" s="10">
        <v>42865.645833333336</v>
      </c>
      <c r="D190">
        <v>13206</v>
      </c>
      <c r="E190">
        <v>13223.85</v>
      </c>
      <c r="F190">
        <v>13108</v>
      </c>
      <c r="G190">
        <v>13164.7</v>
      </c>
      <c r="H190">
        <v>0</v>
      </c>
      <c r="I190" s="8">
        <f t="shared" si="9"/>
        <v>2.9253429679698684E-4</v>
      </c>
      <c r="J190" s="8">
        <f t="shared" si="10"/>
        <v>2.9249151698242418E-4</v>
      </c>
      <c r="K190" s="8">
        <f t="shared" si="7"/>
        <v>9.1985152313211582E-2</v>
      </c>
    </row>
    <row r="191" spans="1:11" x14ac:dyDescent="0.25">
      <c r="A191" t="str">
        <f t="shared" si="8"/>
        <v>102017</v>
      </c>
      <c r="B191" s="1">
        <v>43014</v>
      </c>
      <c r="C191" s="10">
        <v>42896.645833333336</v>
      </c>
      <c r="D191">
        <v>13175.25</v>
      </c>
      <c r="E191">
        <v>13430.45</v>
      </c>
      <c r="F191">
        <v>13172.5</v>
      </c>
      <c r="G191">
        <v>13405.05</v>
      </c>
      <c r="H191">
        <v>0</v>
      </c>
      <c r="I191" s="8">
        <f t="shared" si="9"/>
        <v>1.8257157398193558E-2</v>
      </c>
      <c r="J191" s="8">
        <f t="shared" si="10"/>
        <v>1.8092496638492526E-2</v>
      </c>
      <c r="K191" s="8">
        <f t="shared" si="7"/>
        <v>0.10504253635374416</v>
      </c>
    </row>
    <row r="192" spans="1:11" x14ac:dyDescent="0.25">
      <c r="A192" t="str">
        <f t="shared" si="8"/>
        <v>102017</v>
      </c>
      <c r="B192" s="1">
        <v>43017</v>
      </c>
      <c r="C192" s="10">
        <v>42988.645833333336</v>
      </c>
      <c r="D192">
        <v>13401.4</v>
      </c>
      <c r="E192">
        <v>13409.6</v>
      </c>
      <c r="F192">
        <v>13260.5</v>
      </c>
      <c r="G192">
        <v>13277.85</v>
      </c>
      <c r="H192">
        <v>0</v>
      </c>
      <c r="I192" s="8">
        <f t="shared" si="9"/>
        <v>-9.4889612496782405E-3</v>
      </c>
      <c r="J192" s="8">
        <f t="shared" si="10"/>
        <v>-9.5342682813801399E-3</v>
      </c>
      <c r="K192" s="8">
        <f t="shared" ref="K192:K255" si="11">+G192/G131-1</f>
        <v>9.1959883713758295E-2</v>
      </c>
    </row>
    <row r="193" spans="1:11" x14ac:dyDescent="0.25">
      <c r="A193" t="str">
        <f t="shared" si="8"/>
        <v>102017</v>
      </c>
      <c r="B193" s="1">
        <v>43018</v>
      </c>
      <c r="C193" s="10">
        <v>43018.645833333336</v>
      </c>
      <c r="D193">
        <v>13280.45</v>
      </c>
      <c r="E193">
        <v>13417.45</v>
      </c>
      <c r="F193">
        <v>13280.45</v>
      </c>
      <c r="G193">
        <v>13380.2</v>
      </c>
      <c r="H193">
        <v>0</v>
      </c>
      <c r="I193" s="8">
        <f t="shared" si="9"/>
        <v>7.7083262727022372E-3</v>
      </c>
      <c r="J193" s="8">
        <f t="shared" si="10"/>
        <v>7.6787689203791599E-3</v>
      </c>
      <c r="K193" s="8">
        <f t="shared" si="11"/>
        <v>8.6231531092709979E-2</v>
      </c>
    </row>
    <row r="194" spans="1:11" x14ac:dyDescent="0.25">
      <c r="A194" t="str">
        <f t="shared" si="8"/>
        <v>102017</v>
      </c>
      <c r="B194" s="1">
        <v>43019</v>
      </c>
      <c r="C194" s="10">
        <v>43049.645833333336</v>
      </c>
      <c r="D194">
        <v>13420.9</v>
      </c>
      <c r="E194">
        <v>13557.9</v>
      </c>
      <c r="F194">
        <v>13349.4</v>
      </c>
      <c r="G194">
        <v>13389.95</v>
      </c>
      <c r="H194">
        <v>0</v>
      </c>
      <c r="I194" s="8">
        <f t="shared" si="9"/>
        <v>7.2868865936226435E-4</v>
      </c>
      <c r="J194" s="8">
        <f t="shared" si="10"/>
        <v>7.2842329468545146E-4</v>
      </c>
      <c r="K194" s="8">
        <f t="shared" si="11"/>
        <v>8.4320616745082511E-2</v>
      </c>
    </row>
    <row r="195" spans="1:11" x14ac:dyDescent="0.25">
      <c r="A195" t="str">
        <f t="shared" ref="A195:A258" si="12">+MONTH(B195)&amp;YEAR(B195)</f>
        <v>102017</v>
      </c>
      <c r="B195" s="1">
        <v>43020</v>
      </c>
      <c r="C195" s="10">
        <v>43079.645833333336</v>
      </c>
      <c r="D195">
        <v>13434.25</v>
      </c>
      <c r="E195">
        <v>13684.65</v>
      </c>
      <c r="F195">
        <v>13424.5</v>
      </c>
      <c r="G195">
        <v>13653.25</v>
      </c>
      <c r="H195">
        <v>0</v>
      </c>
      <c r="I195" s="8">
        <f t="shared" si="9"/>
        <v>1.96640017326426E-2</v>
      </c>
      <c r="J195" s="8">
        <f t="shared" si="10"/>
        <v>1.9473162962729426E-2</v>
      </c>
      <c r="K195" s="8">
        <f t="shared" si="11"/>
        <v>9.7192979636445465E-2</v>
      </c>
    </row>
    <row r="196" spans="1:11" x14ac:dyDescent="0.25">
      <c r="A196" t="str">
        <f t="shared" si="12"/>
        <v>102017</v>
      </c>
      <c r="B196" s="1">
        <v>43021</v>
      </c>
      <c r="C196" t="s">
        <v>140</v>
      </c>
      <c r="D196">
        <v>13721.15</v>
      </c>
      <c r="E196">
        <v>13791</v>
      </c>
      <c r="F196">
        <v>13648.65</v>
      </c>
      <c r="G196">
        <v>13678.2</v>
      </c>
      <c r="H196">
        <v>0</v>
      </c>
      <c r="I196" s="8">
        <f t="shared" ref="I196:I259" si="13">+G196/G195-1</f>
        <v>1.8274037317123071E-3</v>
      </c>
      <c r="J196" s="8">
        <f t="shared" ref="J196:J259" si="14">+LN(1+I196)</f>
        <v>1.8257360608758197E-3</v>
      </c>
      <c r="K196" s="8">
        <f t="shared" si="11"/>
        <v>9.1636073423782882E-2</v>
      </c>
    </row>
    <row r="197" spans="1:11" x14ac:dyDescent="0.25">
      <c r="A197" t="str">
        <f t="shared" si="12"/>
        <v>102017</v>
      </c>
      <c r="B197" s="1">
        <v>43024</v>
      </c>
      <c r="C197" t="s">
        <v>141</v>
      </c>
      <c r="D197">
        <v>13717.3</v>
      </c>
      <c r="E197">
        <v>13840.85</v>
      </c>
      <c r="F197">
        <v>13603.95</v>
      </c>
      <c r="G197">
        <v>13711</v>
      </c>
      <c r="H197">
        <v>0</v>
      </c>
      <c r="I197" s="8">
        <f t="shared" si="13"/>
        <v>2.3979763419161859E-3</v>
      </c>
      <c r="J197" s="8">
        <f t="shared" si="14"/>
        <v>2.3951057847509125E-3</v>
      </c>
      <c r="K197" s="8">
        <f t="shared" si="11"/>
        <v>0.10812077716354707</v>
      </c>
    </row>
    <row r="198" spans="1:11" x14ac:dyDescent="0.25">
      <c r="A198" t="str">
        <f t="shared" si="12"/>
        <v>102017</v>
      </c>
      <c r="B198" s="1">
        <v>43025</v>
      </c>
      <c r="C198" t="s">
        <v>142</v>
      </c>
      <c r="D198">
        <v>13709.15</v>
      </c>
      <c r="E198">
        <v>13768.05</v>
      </c>
      <c r="F198">
        <v>13658.15</v>
      </c>
      <c r="G198">
        <v>13728</v>
      </c>
      <c r="H198">
        <v>0</v>
      </c>
      <c r="I198" s="8">
        <f t="shared" si="13"/>
        <v>1.2398803880095954E-3</v>
      </c>
      <c r="J198" s="8">
        <f t="shared" si="14"/>
        <v>1.2391123710885057E-3</v>
      </c>
      <c r="K198" s="8">
        <f t="shared" si="11"/>
        <v>9.9211703145580588E-2</v>
      </c>
    </row>
    <row r="199" spans="1:11" x14ac:dyDescent="0.25">
      <c r="A199" t="str">
        <f t="shared" si="12"/>
        <v>102017</v>
      </c>
      <c r="B199" s="1">
        <v>43026</v>
      </c>
      <c r="C199" t="s">
        <v>143</v>
      </c>
      <c r="D199">
        <v>13764.6</v>
      </c>
      <c r="E199">
        <v>14119.6</v>
      </c>
      <c r="F199">
        <v>13728</v>
      </c>
      <c r="G199">
        <v>14093.85</v>
      </c>
      <c r="H199">
        <v>0</v>
      </c>
      <c r="I199" s="8">
        <f t="shared" si="13"/>
        <v>2.6649912587412672E-2</v>
      </c>
      <c r="J199" s="8">
        <f t="shared" si="14"/>
        <v>2.6300989275854295E-2</v>
      </c>
      <c r="K199" s="8">
        <f t="shared" si="11"/>
        <v>0.13241816516415184</v>
      </c>
    </row>
    <row r="200" spans="1:11" x14ac:dyDescent="0.25">
      <c r="A200" t="str">
        <f t="shared" si="12"/>
        <v>102017</v>
      </c>
      <c r="B200" s="1">
        <v>43027</v>
      </c>
      <c r="C200" t="s">
        <v>144</v>
      </c>
      <c r="D200">
        <v>14117.2</v>
      </c>
      <c r="E200">
        <v>14147.65</v>
      </c>
      <c r="F200">
        <v>13926.5</v>
      </c>
      <c r="G200">
        <v>13979.95</v>
      </c>
      <c r="H200">
        <v>0</v>
      </c>
      <c r="I200" s="8">
        <f t="shared" si="13"/>
        <v>-8.0815391110307111E-3</v>
      </c>
      <c r="J200" s="8">
        <f t="shared" si="14"/>
        <v>-8.1143717601036228E-3</v>
      </c>
      <c r="K200" s="8">
        <f t="shared" si="11"/>
        <v>0.10588621513439977</v>
      </c>
    </row>
    <row r="201" spans="1:11" x14ac:dyDescent="0.25">
      <c r="A201" t="str">
        <f t="shared" si="12"/>
        <v>102017</v>
      </c>
      <c r="B201" s="1">
        <v>43031</v>
      </c>
      <c r="C201" t="s">
        <v>145</v>
      </c>
      <c r="D201">
        <v>14030</v>
      </c>
      <c r="E201">
        <v>14269.15</v>
      </c>
      <c r="F201">
        <v>13992.65</v>
      </c>
      <c r="G201">
        <v>14230.6</v>
      </c>
      <c r="H201">
        <v>0</v>
      </c>
      <c r="I201" s="8">
        <f t="shared" si="13"/>
        <v>1.7929248673993703E-2</v>
      </c>
      <c r="J201" s="8">
        <f t="shared" si="14"/>
        <v>1.7770415392829891E-2</v>
      </c>
      <c r="K201" s="8">
        <f t="shared" si="11"/>
        <v>0.11651517588491678</v>
      </c>
    </row>
    <row r="202" spans="1:11" x14ac:dyDescent="0.25">
      <c r="A202" t="str">
        <f t="shared" si="12"/>
        <v>102017</v>
      </c>
      <c r="B202" s="1">
        <v>43032</v>
      </c>
      <c r="C202" t="s">
        <v>146</v>
      </c>
      <c r="D202">
        <v>14306.2</v>
      </c>
      <c r="E202">
        <v>14352.75</v>
      </c>
      <c r="F202">
        <v>14161.65</v>
      </c>
      <c r="G202">
        <v>14290.8</v>
      </c>
      <c r="H202">
        <v>0</v>
      </c>
      <c r="I202" s="8">
        <f t="shared" si="13"/>
        <v>4.2303205767850738E-3</v>
      </c>
      <c r="J202" s="8">
        <f t="shared" si="14"/>
        <v>4.22139792562614E-3</v>
      </c>
      <c r="K202" s="8">
        <f t="shared" si="11"/>
        <v>0.12603565448635856</v>
      </c>
    </row>
    <row r="203" spans="1:11" x14ac:dyDescent="0.25">
      <c r="A203" t="str">
        <f t="shared" si="12"/>
        <v>102017</v>
      </c>
      <c r="B203" s="1">
        <v>43033</v>
      </c>
      <c r="C203" t="s">
        <v>147</v>
      </c>
      <c r="D203">
        <v>14382.7</v>
      </c>
      <c r="E203">
        <v>14435.2</v>
      </c>
      <c r="F203">
        <v>14294.2</v>
      </c>
      <c r="G203">
        <v>14397.6</v>
      </c>
      <c r="H203">
        <v>0</v>
      </c>
      <c r="I203" s="8">
        <f t="shared" si="13"/>
        <v>7.4733394911412621E-3</v>
      </c>
      <c r="J203" s="8">
        <f t="shared" si="14"/>
        <v>7.4455524450426983E-3</v>
      </c>
      <c r="K203" s="8">
        <f t="shared" si="11"/>
        <v>0.12551154818813259</v>
      </c>
    </row>
    <row r="204" spans="1:11" x14ac:dyDescent="0.25">
      <c r="A204" t="str">
        <f t="shared" si="12"/>
        <v>102017</v>
      </c>
      <c r="B204" s="1">
        <v>43034</v>
      </c>
      <c r="C204" t="s">
        <v>148</v>
      </c>
      <c r="D204">
        <v>14399.15</v>
      </c>
      <c r="E204">
        <v>14623.6</v>
      </c>
      <c r="F204">
        <v>14387.35</v>
      </c>
      <c r="G204">
        <v>14579.15</v>
      </c>
      <c r="H204">
        <v>0</v>
      </c>
      <c r="I204" s="8">
        <f t="shared" si="13"/>
        <v>1.2609740512307566E-2</v>
      </c>
      <c r="J204" s="8">
        <f t="shared" si="14"/>
        <v>1.2530899816420478E-2</v>
      </c>
      <c r="K204" s="8">
        <f t="shared" si="11"/>
        <v>0.1512006190630355</v>
      </c>
    </row>
    <row r="205" spans="1:11" x14ac:dyDescent="0.25">
      <c r="A205" t="str">
        <f t="shared" si="12"/>
        <v>102017</v>
      </c>
      <c r="B205" s="1">
        <v>43035</v>
      </c>
      <c r="C205" t="s">
        <v>149</v>
      </c>
      <c r="D205">
        <v>14629.05</v>
      </c>
      <c r="E205">
        <v>14662.8</v>
      </c>
      <c r="F205">
        <v>14360.2</v>
      </c>
      <c r="G205">
        <v>14387</v>
      </c>
      <c r="H205">
        <v>0</v>
      </c>
      <c r="I205" s="8">
        <f t="shared" si="13"/>
        <v>-1.3179780714239198E-2</v>
      </c>
      <c r="J205" s="8">
        <f t="shared" si="14"/>
        <v>-1.3267404786380521E-2</v>
      </c>
      <c r="K205" s="8">
        <f t="shared" si="11"/>
        <v>0.13539599174515726</v>
      </c>
    </row>
    <row r="206" spans="1:11" x14ac:dyDescent="0.25">
      <c r="A206" t="str">
        <f t="shared" si="12"/>
        <v>102017</v>
      </c>
      <c r="B206" s="1">
        <v>43038</v>
      </c>
      <c r="C206" t="s">
        <v>150</v>
      </c>
      <c r="D206">
        <v>14454.75</v>
      </c>
      <c r="E206">
        <v>14625.3</v>
      </c>
      <c r="F206">
        <v>14446.55</v>
      </c>
      <c r="G206">
        <v>14531.85</v>
      </c>
      <c r="H206">
        <v>0</v>
      </c>
      <c r="I206" s="8">
        <f t="shared" si="13"/>
        <v>1.0068117050114678E-2</v>
      </c>
      <c r="J206" s="8">
        <f t="shared" si="14"/>
        <v>1.0017771202892493E-2</v>
      </c>
      <c r="K206" s="8">
        <f t="shared" si="11"/>
        <v>0.13272118573716885</v>
      </c>
    </row>
    <row r="207" spans="1:11" x14ac:dyDescent="0.25">
      <c r="A207" t="str">
        <f t="shared" si="12"/>
        <v>102017</v>
      </c>
      <c r="B207" s="1">
        <v>43039</v>
      </c>
      <c r="C207" t="s">
        <v>151</v>
      </c>
      <c r="D207">
        <v>14550.5</v>
      </c>
      <c r="E207">
        <v>14556.7</v>
      </c>
      <c r="F207">
        <v>14424.45</v>
      </c>
      <c r="G207">
        <v>14511.2</v>
      </c>
      <c r="H207">
        <v>0</v>
      </c>
      <c r="I207" s="8">
        <f t="shared" si="13"/>
        <v>-1.4210165945836017E-3</v>
      </c>
      <c r="J207" s="8">
        <f t="shared" si="14"/>
        <v>-1.4220271961658466E-3</v>
      </c>
      <c r="K207" s="8">
        <f t="shared" si="11"/>
        <v>0.13192329143249393</v>
      </c>
    </row>
    <row r="208" spans="1:11" x14ac:dyDescent="0.25">
      <c r="A208" t="str">
        <f t="shared" si="12"/>
        <v>112017</v>
      </c>
      <c r="B208" s="1">
        <v>43040</v>
      </c>
      <c r="C208" s="10">
        <v>42746.645833333336</v>
      </c>
      <c r="D208">
        <v>14595.3</v>
      </c>
      <c r="E208">
        <v>14648.2</v>
      </c>
      <c r="F208">
        <v>14556.3</v>
      </c>
      <c r="G208">
        <v>14585.3</v>
      </c>
      <c r="H208">
        <v>0</v>
      </c>
      <c r="I208" s="8">
        <f t="shared" si="13"/>
        <v>5.1064005733501006E-3</v>
      </c>
      <c r="J208" s="8">
        <f t="shared" si="14"/>
        <v>5.0934071243410612E-3</v>
      </c>
      <c r="K208" s="8">
        <f t="shared" si="11"/>
        <v>0.12866169090705082</v>
      </c>
    </row>
    <row r="209" spans="1:11" x14ac:dyDescent="0.25">
      <c r="A209" t="str">
        <f t="shared" si="12"/>
        <v>112017</v>
      </c>
      <c r="B209" s="1">
        <v>43041</v>
      </c>
      <c r="C209" s="10">
        <v>42777.645833333336</v>
      </c>
      <c r="D209">
        <v>14593.8</v>
      </c>
      <c r="E209">
        <v>14637.75</v>
      </c>
      <c r="F209">
        <v>14527.55</v>
      </c>
      <c r="G209">
        <v>14549.6</v>
      </c>
      <c r="H209">
        <v>0</v>
      </c>
      <c r="I209" s="8">
        <f t="shared" si="13"/>
        <v>-2.4476699142286229E-3</v>
      </c>
      <c r="J209" s="8">
        <f t="shared" si="14"/>
        <v>-2.450670355292648E-3</v>
      </c>
      <c r="K209" s="8">
        <f t="shared" si="11"/>
        <v>0.11227395563777853</v>
      </c>
    </row>
    <row r="210" spans="1:11" x14ac:dyDescent="0.25">
      <c r="A210" t="str">
        <f t="shared" si="12"/>
        <v>112017</v>
      </c>
      <c r="B210" s="1">
        <v>43042</v>
      </c>
      <c r="C210" s="10">
        <v>42805.645833333336</v>
      </c>
      <c r="D210">
        <v>14638.4</v>
      </c>
      <c r="E210">
        <v>14638.4</v>
      </c>
      <c r="F210">
        <v>14455.05</v>
      </c>
      <c r="G210">
        <v>14515.1</v>
      </c>
      <c r="H210">
        <v>0</v>
      </c>
      <c r="I210" s="8">
        <f t="shared" si="13"/>
        <v>-2.371199208225705E-3</v>
      </c>
      <c r="J210" s="8">
        <f t="shared" si="14"/>
        <v>-2.3740149530768811E-3</v>
      </c>
      <c r="K210" s="8">
        <f t="shared" si="11"/>
        <v>9.9324807912963609E-2</v>
      </c>
    </row>
    <row r="211" spans="1:11" x14ac:dyDescent="0.25">
      <c r="A211" t="str">
        <f t="shared" si="12"/>
        <v>112017</v>
      </c>
      <c r="B211" s="1">
        <v>43045</v>
      </c>
      <c r="C211" s="10">
        <v>42897.645833333336</v>
      </c>
      <c r="D211">
        <v>14491.15</v>
      </c>
      <c r="E211">
        <v>14492.2</v>
      </c>
      <c r="F211">
        <v>14367.3</v>
      </c>
      <c r="G211">
        <v>14412.8</v>
      </c>
      <c r="H211">
        <v>0</v>
      </c>
      <c r="I211" s="8">
        <f t="shared" si="13"/>
        <v>-7.047832946380006E-3</v>
      </c>
      <c r="J211" s="8">
        <f t="shared" si="14"/>
        <v>-7.0727862345241798E-3</v>
      </c>
      <c r="K211" s="8">
        <f t="shared" si="11"/>
        <v>8.6327817327368717E-2</v>
      </c>
    </row>
    <row r="212" spans="1:11" x14ac:dyDescent="0.25">
      <c r="A212" t="str">
        <f t="shared" si="12"/>
        <v>112017</v>
      </c>
      <c r="B212" s="1">
        <v>43046</v>
      </c>
      <c r="C212" s="10">
        <v>42927.645833333336</v>
      </c>
      <c r="D212">
        <v>14454.15</v>
      </c>
      <c r="E212">
        <v>14465.85</v>
      </c>
      <c r="F212">
        <v>14101.9</v>
      </c>
      <c r="G212">
        <v>14132.05</v>
      </c>
      <c r="H212">
        <v>0</v>
      </c>
      <c r="I212" s="8">
        <f t="shared" si="13"/>
        <v>-1.9479212921847289E-2</v>
      </c>
      <c r="J212" s="8">
        <f t="shared" si="14"/>
        <v>-1.9671433082801122E-2</v>
      </c>
      <c r="K212" s="8">
        <f t="shared" si="11"/>
        <v>8.3542585940524772E-2</v>
      </c>
    </row>
    <row r="213" spans="1:11" x14ac:dyDescent="0.25">
      <c r="A213" t="str">
        <f t="shared" si="12"/>
        <v>112017</v>
      </c>
      <c r="B213" s="1">
        <v>43047</v>
      </c>
      <c r="C213" s="10">
        <v>42958.645833333336</v>
      </c>
      <c r="D213">
        <v>14122.7</v>
      </c>
      <c r="E213">
        <v>14160.9</v>
      </c>
      <c r="F213">
        <v>13897.05</v>
      </c>
      <c r="G213">
        <v>13932</v>
      </c>
      <c r="H213">
        <v>0</v>
      </c>
      <c r="I213" s="8">
        <f t="shared" si="13"/>
        <v>-1.4155766502382816E-2</v>
      </c>
      <c r="J213" s="8">
        <f t="shared" si="14"/>
        <v>-1.4256915056514219E-2</v>
      </c>
      <c r="K213" s="8">
        <f t="shared" si="11"/>
        <v>7.0905603960167873E-2</v>
      </c>
    </row>
    <row r="214" spans="1:11" x14ac:dyDescent="0.25">
      <c r="A214" t="str">
        <f t="shared" si="12"/>
        <v>112017</v>
      </c>
      <c r="B214" s="1">
        <v>43048</v>
      </c>
      <c r="C214" s="10">
        <v>42989.645833333336</v>
      </c>
      <c r="D214">
        <v>14027</v>
      </c>
      <c r="E214">
        <v>14116.8</v>
      </c>
      <c r="F214">
        <v>13958.25</v>
      </c>
      <c r="G214">
        <v>14010.7</v>
      </c>
      <c r="H214">
        <v>0</v>
      </c>
      <c r="I214" s="8">
        <f t="shared" si="13"/>
        <v>5.6488659201838765E-3</v>
      </c>
      <c r="J214" s="8">
        <f t="shared" si="14"/>
        <v>5.6329709081926653E-3</v>
      </c>
      <c r="K214" s="8">
        <f t="shared" si="11"/>
        <v>9.4162804228052455E-2</v>
      </c>
    </row>
    <row r="215" spans="1:11" x14ac:dyDescent="0.25">
      <c r="A215" t="str">
        <f t="shared" si="12"/>
        <v>112017</v>
      </c>
      <c r="B215" s="1">
        <v>43049</v>
      </c>
      <c r="C215" s="10">
        <v>43019.645833333336</v>
      </c>
      <c r="D215">
        <v>14003.9</v>
      </c>
      <c r="E215">
        <v>14003.9</v>
      </c>
      <c r="F215">
        <v>13797.5</v>
      </c>
      <c r="G215">
        <v>13862.85</v>
      </c>
      <c r="H215">
        <v>0</v>
      </c>
      <c r="I215" s="8">
        <f t="shared" si="13"/>
        <v>-1.0552649046799978E-2</v>
      </c>
      <c r="J215" s="8">
        <f t="shared" si="14"/>
        <v>-1.0608723083041387E-2</v>
      </c>
      <c r="K215" s="8">
        <f t="shared" si="11"/>
        <v>9.5089698319785754E-2</v>
      </c>
    </row>
    <row r="216" spans="1:11" x14ac:dyDescent="0.25">
      <c r="A216" t="str">
        <f t="shared" si="12"/>
        <v>112017</v>
      </c>
      <c r="B216" s="1">
        <v>43052</v>
      </c>
      <c r="C216" t="s">
        <v>152</v>
      </c>
      <c r="D216">
        <v>13889.25</v>
      </c>
      <c r="E216">
        <v>13907.2</v>
      </c>
      <c r="F216">
        <v>13697.3</v>
      </c>
      <c r="G216">
        <v>13737.1</v>
      </c>
      <c r="H216">
        <v>0</v>
      </c>
      <c r="I216" s="8">
        <f t="shared" si="13"/>
        <v>-9.0710063226536741E-3</v>
      </c>
      <c r="J216" s="8">
        <f t="shared" si="14"/>
        <v>-9.1123984025211248E-3</v>
      </c>
      <c r="K216" s="8">
        <f t="shared" si="11"/>
        <v>6.8241112636134416E-2</v>
      </c>
    </row>
    <row r="217" spans="1:11" x14ac:dyDescent="0.25">
      <c r="A217" t="str">
        <f t="shared" si="12"/>
        <v>112017</v>
      </c>
      <c r="B217" s="1">
        <v>43053</v>
      </c>
      <c r="C217" t="s">
        <v>153</v>
      </c>
      <c r="D217">
        <v>13743.05</v>
      </c>
      <c r="E217">
        <v>13840.35</v>
      </c>
      <c r="F217">
        <v>13683.75</v>
      </c>
      <c r="G217">
        <v>13737.6</v>
      </c>
      <c r="H217">
        <v>0</v>
      </c>
      <c r="I217" s="8">
        <f t="shared" si="13"/>
        <v>3.6397784102915054E-5</v>
      </c>
      <c r="J217" s="8">
        <f t="shared" si="14"/>
        <v>3.6397121719644059E-5</v>
      </c>
      <c r="K217" s="8">
        <f t="shared" si="11"/>
        <v>7.0640314234054369E-2</v>
      </c>
    </row>
    <row r="218" spans="1:11" x14ac:dyDescent="0.25">
      <c r="A218" t="str">
        <f t="shared" si="12"/>
        <v>112017</v>
      </c>
      <c r="B218" s="1">
        <v>43054</v>
      </c>
      <c r="C218" t="s">
        <v>154</v>
      </c>
      <c r="D218">
        <v>13729.55</v>
      </c>
      <c r="E218">
        <v>13765.85</v>
      </c>
      <c r="F218">
        <v>13625.25</v>
      </c>
      <c r="G218">
        <v>13676</v>
      </c>
      <c r="H218">
        <v>0</v>
      </c>
      <c r="I218" s="8">
        <f t="shared" si="13"/>
        <v>-4.4840437922198939E-3</v>
      </c>
      <c r="J218" s="8">
        <f t="shared" si="14"/>
        <v>-4.4941272710495575E-3</v>
      </c>
      <c r="K218" s="8">
        <f t="shared" si="11"/>
        <v>6.0779994415314453E-2</v>
      </c>
    </row>
    <row r="219" spans="1:11" x14ac:dyDescent="0.25">
      <c r="A219" t="str">
        <f t="shared" si="12"/>
        <v>112017</v>
      </c>
      <c r="B219" s="1">
        <v>43055</v>
      </c>
      <c r="C219" t="s">
        <v>155</v>
      </c>
      <c r="D219">
        <v>13752.75</v>
      </c>
      <c r="E219">
        <v>13920.15</v>
      </c>
      <c r="F219">
        <v>13736.7</v>
      </c>
      <c r="G219">
        <v>13877.2</v>
      </c>
      <c r="H219">
        <v>0</v>
      </c>
      <c r="I219" s="8">
        <f t="shared" si="13"/>
        <v>1.4711904065516368E-2</v>
      </c>
      <c r="J219" s="8">
        <f t="shared" si="14"/>
        <v>1.4604733844922405E-2</v>
      </c>
      <c r="K219" s="8">
        <f t="shared" si="11"/>
        <v>7.0800523162276807E-2</v>
      </c>
    </row>
    <row r="220" spans="1:11" x14ac:dyDescent="0.25">
      <c r="A220" t="str">
        <f t="shared" si="12"/>
        <v>112017</v>
      </c>
      <c r="B220" s="1">
        <v>43056</v>
      </c>
      <c r="C220" t="s">
        <v>156</v>
      </c>
      <c r="D220">
        <v>14063.9</v>
      </c>
      <c r="E220">
        <v>14113.15</v>
      </c>
      <c r="F220">
        <v>13923.05</v>
      </c>
      <c r="G220">
        <v>13962.2</v>
      </c>
      <c r="H220">
        <v>0</v>
      </c>
      <c r="I220" s="8">
        <f t="shared" si="13"/>
        <v>6.1251549303893427E-3</v>
      </c>
      <c r="J220" s="8">
        <f t="shared" si="14"/>
        <v>6.1064724189666287E-3</v>
      </c>
      <c r="K220" s="8">
        <f t="shared" si="11"/>
        <v>9.1112274641888868E-2</v>
      </c>
    </row>
    <row r="221" spans="1:11" x14ac:dyDescent="0.25">
      <c r="A221" t="str">
        <f t="shared" si="12"/>
        <v>112017</v>
      </c>
      <c r="B221" s="1">
        <v>43059</v>
      </c>
      <c r="C221" t="s">
        <v>157</v>
      </c>
      <c r="D221">
        <v>13928.55</v>
      </c>
      <c r="E221">
        <v>14124</v>
      </c>
      <c r="F221">
        <v>13896.35</v>
      </c>
      <c r="G221">
        <v>14098.85</v>
      </c>
      <c r="H221">
        <v>0</v>
      </c>
      <c r="I221" s="8">
        <f t="shared" si="13"/>
        <v>9.7871395625330759E-3</v>
      </c>
      <c r="J221" s="8">
        <f t="shared" si="14"/>
        <v>9.7395557332699782E-3</v>
      </c>
      <c r="K221" s="8">
        <f t="shared" si="11"/>
        <v>9.7746322055211055E-2</v>
      </c>
    </row>
    <row r="222" spans="1:11" x14ac:dyDescent="0.25">
      <c r="A222" t="str">
        <f t="shared" si="12"/>
        <v>112017</v>
      </c>
      <c r="B222" s="1">
        <v>43060</v>
      </c>
      <c r="C222" t="s">
        <v>158</v>
      </c>
      <c r="D222">
        <v>14169.1</v>
      </c>
      <c r="E222">
        <v>14287.55</v>
      </c>
      <c r="F222">
        <v>14148.6</v>
      </c>
      <c r="G222">
        <v>14231.15</v>
      </c>
      <c r="H222">
        <v>0</v>
      </c>
      <c r="I222" s="8">
        <f t="shared" si="13"/>
        <v>9.3837440642321468E-3</v>
      </c>
      <c r="J222" s="8">
        <f t="shared" si="14"/>
        <v>9.3399902413753132E-3</v>
      </c>
      <c r="K222" s="8">
        <f t="shared" si="11"/>
        <v>9.6741253944828243E-2</v>
      </c>
    </row>
    <row r="223" spans="1:11" x14ac:dyDescent="0.25">
      <c r="A223" t="str">
        <f t="shared" si="12"/>
        <v>112017</v>
      </c>
      <c r="B223" s="1">
        <v>43061</v>
      </c>
      <c r="C223" t="s">
        <v>159</v>
      </c>
      <c r="D223">
        <v>14301.15</v>
      </c>
      <c r="E223">
        <v>14310.8</v>
      </c>
      <c r="F223">
        <v>14111.85</v>
      </c>
      <c r="G223">
        <v>14222.55</v>
      </c>
      <c r="H223">
        <v>0</v>
      </c>
      <c r="I223" s="8">
        <f t="shared" si="13"/>
        <v>-6.0430815499801227E-4</v>
      </c>
      <c r="J223" s="8">
        <f t="shared" si="14"/>
        <v>-6.044908227665662E-4</v>
      </c>
      <c r="K223" s="8">
        <f t="shared" si="11"/>
        <v>9.9633521211699438E-2</v>
      </c>
    </row>
    <row r="224" spans="1:11" x14ac:dyDescent="0.25">
      <c r="A224" t="str">
        <f t="shared" si="12"/>
        <v>112017</v>
      </c>
      <c r="B224" s="1">
        <v>43062</v>
      </c>
      <c r="C224" t="s">
        <v>160</v>
      </c>
      <c r="D224">
        <v>14230.15</v>
      </c>
      <c r="E224">
        <v>14356.2</v>
      </c>
      <c r="F224">
        <v>14174.05</v>
      </c>
      <c r="G224">
        <v>14340.75</v>
      </c>
      <c r="H224">
        <v>0</v>
      </c>
      <c r="I224" s="8">
        <f t="shared" si="13"/>
        <v>8.3107459632767444E-3</v>
      </c>
      <c r="J224" s="8">
        <f t="shared" si="14"/>
        <v>8.2764018662189378E-3</v>
      </c>
      <c r="K224" s="8">
        <f t="shared" si="11"/>
        <v>0.10625766587211594</v>
      </c>
    </row>
    <row r="225" spans="1:11" x14ac:dyDescent="0.25">
      <c r="A225" t="str">
        <f t="shared" si="12"/>
        <v>112017</v>
      </c>
      <c r="B225" s="1">
        <v>43063</v>
      </c>
      <c r="C225" t="s">
        <v>161</v>
      </c>
      <c r="D225">
        <v>14366.95</v>
      </c>
      <c r="E225">
        <v>14449.45</v>
      </c>
      <c r="F225">
        <v>14355.45</v>
      </c>
      <c r="G225">
        <v>14412.95</v>
      </c>
      <c r="H225">
        <v>0</v>
      </c>
      <c r="I225" s="8">
        <f t="shared" si="13"/>
        <v>5.0346041873681191E-3</v>
      </c>
      <c r="J225" s="8">
        <f t="shared" si="14"/>
        <v>5.0219729455023903E-3</v>
      </c>
      <c r="K225" s="8">
        <f t="shared" si="11"/>
        <v>0.13051168518438638</v>
      </c>
    </row>
    <row r="226" spans="1:11" x14ac:dyDescent="0.25">
      <c r="A226" t="str">
        <f t="shared" si="12"/>
        <v>112017</v>
      </c>
      <c r="B226" s="1">
        <v>43066</v>
      </c>
      <c r="C226" t="s">
        <v>162</v>
      </c>
      <c r="D226">
        <v>14369.15</v>
      </c>
      <c r="E226">
        <v>14470.75</v>
      </c>
      <c r="F226">
        <v>14309.65</v>
      </c>
      <c r="G226">
        <v>14454.45</v>
      </c>
      <c r="H226">
        <v>0</v>
      </c>
      <c r="I226" s="8">
        <f t="shared" si="13"/>
        <v>2.8793550244745614E-3</v>
      </c>
      <c r="J226" s="8">
        <f t="shared" si="14"/>
        <v>2.8752176219272131E-3</v>
      </c>
      <c r="K226" s="8">
        <f t="shared" si="11"/>
        <v>0.112454110964882</v>
      </c>
    </row>
    <row r="227" spans="1:11" x14ac:dyDescent="0.25">
      <c r="A227" t="str">
        <f t="shared" si="12"/>
        <v>112017</v>
      </c>
      <c r="B227" s="1">
        <v>43067</v>
      </c>
      <c r="C227" t="s">
        <v>163</v>
      </c>
      <c r="D227">
        <v>14427.4</v>
      </c>
      <c r="E227">
        <v>14432.95</v>
      </c>
      <c r="F227">
        <v>14279</v>
      </c>
      <c r="G227">
        <v>14319.25</v>
      </c>
      <c r="H227">
        <v>0</v>
      </c>
      <c r="I227" s="8">
        <f t="shared" si="13"/>
        <v>-9.3535208880310972E-3</v>
      </c>
      <c r="J227" s="8">
        <f t="shared" si="14"/>
        <v>-9.3975397672291933E-3</v>
      </c>
      <c r="K227" s="8">
        <f t="shared" si="11"/>
        <v>8.8912209459279579E-2</v>
      </c>
    </row>
    <row r="228" spans="1:11" x14ac:dyDescent="0.25">
      <c r="A228" t="str">
        <f t="shared" si="12"/>
        <v>112017</v>
      </c>
      <c r="B228" s="1">
        <v>43068</v>
      </c>
      <c r="C228" t="s">
        <v>164</v>
      </c>
      <c r="D228">
        <v>14323.2</v>
      </c>
      <c r="E228">
        <v>14406.7</v>
      </c>
      <c r="F228">
        <v>14302.3</v>
      </c>
      <c r="G228">
        <v>14343.45</v>
      </c>
      <c r="H228">
        <v>0</v>
      </c>
      <c r="I228" s="8">
        <f t="shared" si="13"/>
        <v>1.6900326483579864E-3</v>
      </c>
      <c r="J228" s="8">
        <f t="shared" si="14"/>
        <v>1.6886061501745796E-3</v>
      </c>
      <c r="K228" s="8">
        <f t="shared" si="11"/>
        <v>8.5083687943262376E-2</v>
      </c>
    </row>
    <row r="229" spans="1:11" x14ac:dyDescent="0.25">
      <c r="A229" t="str">
        <f t="shared" si="12"/>
        <v>112017</v>
      </c>
      <c r="B229" s="1">
        <v>43069</v>
      </c>
      <c r="C229" t="s">
        <v>165</v>
      </c>
      <c r="D229">
        <v>14280.75</v>
      </c>
      <c r="E229">
        <v>14283.25</v>
      </c>
      <c r="F229">
        <v>14097.35</v>
      </c>
      <c r="G229">
        <v>14124.65</v>
      </c>
      <c r="H229">
        <v>0</v>
      </c>
      <c r="I229" s="8">
        <f t="shared" si="13"/>
        <v>-1.5254349546308665E-2</v>
      </c>
      <c r="J229" s="8">
        <f t="shared" si="14"/>
        <v>-1.5371894044972474E-2</v>
      </c>
      <c r="K229" s="8">
        <f t="shared" si="11"/>
        <v>7.2987765737227317E-2</v>
      </c>
    </row>
    <row r="230" spans="1:11" x14ac:dyDescent="0.25">
      <c r="A230" t="str">
        <f t="shared" si="12"/>
        <v>122017</v>
      </c>
      <c r="B230" s="1">
        <v>43070</v>
      </c>
      <c r="C230" s="10">
        <v>42747.645833333336</v>
      </c>
      <c r="D230">
        <v>14177.2</v>
      </c>
      <c r="E230">
        <v>14222</v>
      </c>
      <c r="F230">
        <v>13899.85</v>
      </c>
      <c r="G230">
        <v>13941.1</v>
      </c>
      <c r="H230">
        <v>0</v>
      </c>
      <c r="I230" s="8">
        <f t="shared" si="13"/>
        <v>-1.2995012265790584E-2</v>
      </c>
      <c r="J230" s="8">
        <f t="shared" si="14"/>
        <v>-1.3080186132640394E-2</v>
      </c>
      <c r="K230" s="8">
        <f t="shared" si="11"/>
        <v>5.016911360366394E-2</v>
      </c>
    </row>
    <row r="231" spans="1:11" x14ac:dyDescent="0.25">
      <c r="A231" t="str">
        <f t="shared" si="12"/>
        <v>122017</v>
      </c>
      <c r="B231" s="1">
        <v>43073</v>
      </c>
      <c r="C231" s="10">
        <v>42837.645833333336</v>
      </c>
      <c r="D231">
        <v>13989.95</v>
      </c>
      <c r="E231">
        <v>14002.35</v>
      </c>
      <c r="F231">
        <v>13840.95</v>
      </c>
      <c r="G231">
        <v>13901.55</v>
      </c>
      <c r="H231">
        <v>0</v>
      </c>
      <c r="I231" s="8">
        <f t="shared" si="13"/>
        <v>-2.8369353924726504E-3</v>
      </c>
      <c r="J231" s="8">
        <f t="shared" si="14"/>
        <v>-2.8409671206568428E-3</v>
      </c>
      <c r="K231" s="8">
        <f t="shared" si="11"/>
        <v>4.5834806617365054E-2</v>
      </c>
    </row>
    <row r="232" spans="1:11" x14ac:dyDescent="0.25">
      <c r="A232" t="str">
        <f t="shared" si="12"/>
        <v>122017</v>
      </c>
      <c r="B232" s="1">
        <v>43074</v>
      </c>
      <c r="C232" s="10">
        <v>42867.645833333336</v>
      </c>
      <c r="D232">
        <v>13877.65</v>
      </c>
      <c r="E232">
        <v>14013.5</v>
      </c>
      <c r="F232">
        <v>13801.55</v>
      </c>
      <c r="G232">
        <v>13942.05</v>
      </c>
      <c r="H232">
        <v>0</v>
      </c>
      <c r="I232" s="8">
        <f t="shared" si="13"/>
        <v>2.9133441954314332E-3</v>
      </c>
      <c r="J232" s="8">
        <f t="shared" si="14"/>
        <v>2.909108632671588E-3</v>
      </c>
      <c r="K232" s="8">
        <f t="shared" si="11"/>
        <v>5.3036854647144693E-2</v>
      </c>
    </row>
    <row r="233" spans="1:11" x14ac:dyDescent="0.25">
      <c r="A233" t="str">
        <f t="shared" si="12"/>
        <v>122017</v>
      </c>
      <c r="B233" s="1">
        <v>43075</v>
      </c>
      <c r="C233" s="10">
        <v>42898.645833333336</v>
      </c>
      <c r="D233">
        <v>13897.35</v>
      </c>
      <c r="E233">
        <v>14024.15</v>
      </c>
      <c r="F233">
        <v>13879.85</v>
      </c>
      <c r="G233">
        <v>13965.05</v>
      </c>
      <c r="H233">
        <v>0</v>
      </c>
      <c r="I233" s="8">
        <f t="shared" si="13"/>
        <v>1.6496856631555978E-3</v>
      </c>
      <c r="J233" s="8">
        <f t="shared" si="14"/>
        <v>1.6483264264322186E-3</v>
      </c>
      <c r="K233" s="8">
        <f t="shared" si="11"/>
        <v>6.176298402609337E-2</v>
      </c>
    </row>
    <row r="234" spans="1:11" x14ac:dyDescent="0.25">
      <c r="A234" t="str">
        <f t="shared" si="12"/>
        <v>122017</v>
      </c>
      <c r="B234" s="1">
        <v>43076</v>
      </c>
      <c r="C234" s="10">
        <v>42928.645833333336</v>
      </c>
      <c r="D234">
        <v>14008.2</v>
      </c>
      <c r="E234">
        <v>14180.7</v>
      </c>
      <c r="F234">
        <v>13978.7</v>
      </c>
      <c r="G234">
        <v>14156.8</v>
      </c>
      <c r="H234">
        <v>0</v>
      </c>
      <c r="I234" s="8">
        <f t="shared" si="13"/>
        <v>1.3730706298939133E-2</v>
      </c>
      <c r="J234" s="8">
        <f t="shared" si="14"/>
        <v>1.3637294255463764E-2</v>
      </c>
      <c r="K234" s="8">
        <f t="shared" si="11"/>
        <v>6.9329516313604733E-2</v>
      </c>
    </row>
    <row r="235" spans="1:11" x14ac:dyDescent="0.25">
      <c r="A235" t="str">
        <f t="shared" si="12"/>
        <v>122017</v>
      </c>
      <c r="B235" s="1">
        <v>43077</v>
      </c>
      <c r="C235" s="10">
        <v>42959.645833333336</v>
      </c>
      <c r="D235">
        <v>14183.8</v>
      </c>
      <c r="E235">
        <v>14219.7</v>
      </c>
      <c r="F235">
        <v>14113.6</v>
      </c>
      <c r="G235">
        <v>14173.95</v>
      </c>
      <c r="H235">
        <v>0</v>
      </c>
      <c r="I235" s="8">
        <f t="shared" si="13"/>
        <v>1.2114319620253333E-3</v>
      </c>
      <c r="J235" s="8">
        <f t="shared" si="14"/>
        <v>1.2106987704074588E-3</v>
      </c>
      <c r="K235" s="8">
        <f t="shared" si="11"/>
        <v>5.9188157137626263E-2</v>
      </c>
    </row>
    <row r="236" spans="1:11" x14ac:dyDescent="0.25">
      <c r="A236" t="str">
        <f t="shared" si="12"/>
        <v>122017</v>
      </c>
      <c r="B236" s="1">
        <v>43080</v>
      </c>
      <c r="C236" s="10">
        <v>43051.645833333336</v>
      </c>
      <c r="D236">
        <v>14244.55</v>
      </c>
      <c r="E236">
        <v>14247.65</v>
      </c>
      <c r="F236">
        <v>14095.7</v>
      </c>
      <c r="G236">
        <v>14135</v>
      </c>
      <c r="H236">
        <v>0</v>
      </c>
      <c r="I236" s="8">
        <f t="shared" si="13"/>
        <v>-2.7479989699413787E-3</v>
      </c>
      <c r="J236" s="8">
        <f t="shared" si="14"/>
        <v>-2.7517816505683583E-3</v>
      </c>
      <c r="K236" s="8">
        <f t="shared" si="11"/>
        <v>5.3702682152281911E-2</v>
      </c>
    </row>
    <row r="237" spans="1:11" x14ac:dyDescent="0.25">
      <c r="A237" t="str">
        <f t="shared" si="12"/>
        <v>122017</v>
      </c>
      <c r="B237" s="1">
        <v>43081</v>
      </c>
      <c r="C237" s="10">
        <v>43081.645833333336</v>
      </c>
      <c r="D237">
        <v>14141.65</v>
      </c>
      <c r="E237">
        <v>14185.15</v>
      </c>
      <c r="F237">
        <v>13994.1</v>
      </c>
      <c r="G237">
        <v>14057.05</v>
      </c>
      <c r="H237">
        <v>0</v>
      </c>
      <c r="I237" s="8">
        <f t="shared" si="13"/>
        <v>-5.5146798726565249E-3</v>
      </c>
      <c r="J237" s="8">
        <f t="shared" si="14"/>
        <v>-5.5299418555338131E-3</v>
      </c>
      <c r="K237" s="8">
        <f t="shared" si="11"/>
        <v>5.1812250273109539E-2</v>
      </c>
    </row>
    <row r="238" spans="1:11" x14ac:dyDescent="0.25">
      <c r="A238" t="str">
        <f t="shared" si="12"/>
        <v>122017</v>
      </c>
      <c r="B238" s="1">
        <v>43082</v>
      </c>
      <c r="C238" t="s">
        <v>166</v>
      </c>
      <c r="D238">
        <v>14068.2</v>
      </c>
      <c r="E238">
        <v>14212.3</v>
      </c>
      <c r="F238">
        <v>14015.95</v>
      </c>
      <c r="G238">
        <v>14085.25</v>
      </c>
      <c r="H238">
        <v>0</v>
      </c>
      <c r="I238" s="8">
        <f t="shared" si="13"/>
        <v>2.0061108127238381E-3</v>
      </c>
      <c r="J238" s="8">
        <f t="shared" si="14"/>
        <v>2.0041012595694283E-3</v>
      </c>
      <c r="K238" s="8">
        <f t="shared" si="11"/>
        <v>5.5312055143478034E-2</v>
      </c>
    </row>
    <row r="239" spans="1:11" x14ac:dyDescent="0.25">
      <c r="A239" t="str">
        <f t="shared" si="12"/>
        <v>122017</v>
      </c>
      <c r="B239" s="1">
        <v>43083</v>
      </c>
      <c r="C239" t="s">
        <v>167</v>
      </c>
      <c r="D239">
        <v>14158.1</v>
      </c>
      <c r="E239">
        <v>14233.25</v>
      </c>
      <c r="F239">
        <v>14002.6</v>
      </c>
      <c r="G239">
        <v>14196.5</v>
      </c>
      <c r="H239">
        <v>0</v>
      </c>
      <c r="I239" s="8">
        <f t="shared" si="13"/>
        <v>7.898333362915011E-3</v>
      </c>
      <c r="J239" s="8">
        <f t="shared" si="14"/>
        <v>7.8673048034764628E-3</v>
      </c>
      <c r="K239" s="8">
        <f t="shared" si="11"/>
        <v>6.1238067472509483E-2</v>
      </c>
    </row>
    <row r="240" spans="1:11" x14ac:dyDescent="0.25">
      <c r="A240" t="str">
        <f t="shared" si="12"/>
        <v>122017</v>
      </c>
      <c r="B240" s="1">
        <v>43084</v>
      </c>
      <c r="C240" t="s">
        <v>168</v>
      </c>
      <c r="D240">
        <v>14333.25</v>
      </c>
      <c r="E240">
        <v>14355.95</v>
      </c>
      <c r="F240">
        <v>14185.85</v>
      </c>
      <c r="G240">
        <v>14203.75</v>
      </c>
      <c r="H240">
        <v>0</v>
      </c>
      <c r="I240" s="8">
        <f t="shared" si="13"/>
        <v>5.1068925439379242E-4</v>
      </c>
      <c r="J240" s="8">
        <f t="shared" si="14"/>
        <v>5.105588970160356E-4</v>
      </c>
      <c r="K240" s="8">
        <f t="shared" si="11"/>
        <v>5.8898737857563388E-2</v>
      </c>
    </row>
    <row r="241" spans="1:11" x14ac:dyDescent="0.25">
      <c r="A241" t="str">
        <f t="shared" si="12"/>
        <v>122017</v>
      </c>
      <c r="B241" s="1">
        <v>43087</v>
      </c>
      <c r="C241" t="s">
        <v>169</v>
      </c>
      <c r="D241">
        <v>14120</v>
      </c>
      <c r="E241">
        <v>14304.15</v>
      </c>
      <c r="F241">
        <v>13660.55</v>
      </c>
      <c r="G241">
        <v>14221.55</v>
      </c>
      <c r="H241">
        <v>0</v>
      </c>
      <c r="I241" s="8">
        <f t="shared" si="13"/>
        <v>1.2531901786498878E-3</v>
      </c>
      <c r="J241" s="8">
        <f t="shared" si="14"/>
        <v>1.25240559126102E-3</v>
      </c>
      <c r="K241" s="8">
        <f t="shared" si="11"/>
        <v>6.0494545237615771E-2</v>
      </c>
    </row>
    <row r="242" spans="1:11" x14ac:dyDescent="0.25">
      <c r="A242" t="str">
        <f t="shared" si="12"/>
        <v>122017</v>
      </c>
      <c r="B242" s="1">
        <v>43088</v>
      </c>
      <c r="C242" t="s">
        <v>170</v>
      </c>
      <c r="D242">
        <v>14263.45</v>
      </c>
      <c r="E242">
        <v>14325.1</v>
      </c>
      <c r="F242">
        <v>14212.9</v>
      </c>
      <c r="G242">
        <v>14312.75</v>
      </c>
      <c r="H242">
        <v>0</v>
      </c>
      <c r="I242" s="8">
        <f t="shared" si="13"/>
        <v>6.4128031051469137E-3</v>
      </c>
      <c r="J242" s="8">
        <f t="shared" si="14"/>
        <v>6.3923285694733071E-3</v>
      </c>
      <c r="K242" s="8">
        <f t="shared" si="11"/>
        <v>7.3418680346188037E-2</v>
      </c>
    </row>
    <row r="243" spans="1:11" x14ac:dyDescent="0.25">
      <c r="A243" t="str">
        <f t="shared" si="12"/>
        <v>122017</v>
      </c>
      <c r="B243" s="1">
        <v>43089</v>
      </c>
      <c r="C243" t="s">
        <v>171</v>
      </c>
      <c r="D243">
        <v>14358.15</v>
      </c>
      <c r="E243">
        <v>14360.3</v>
      </c>
      <c r="F243">
        <v>14242.95</v>
      </c>
      <c r="G243">
        <v>14263.2</v>
      </c>
      <c r="H243">
        <v>0</v>
      </c>
      <c r="I243" s="8">
        <f t="shared" si="13"/>
        <v>-3.461948262912351E-3</v>
      </c>
      <c r="J243" s="8">
        <f t="shared" si="14"/>
        <v>-3.4679546723924998E-3</v>
      </c>
      <c r="K243" s="8">
        <f t="shared" si="11"/>
        <v>9.3241969233599287E-2</v>
      </c>
    </row>
    <row r="244" spans="1:11" x14ac:dyDescent="0.25">
      <c r="A244" t="str">
        <f t="shared" si="12"/>
        <v>122017</v>
      </c>
      <c r="B244" s="1">
        <v>43090</v>
      </c>
      <c r="C244" t="s">
        <v>172</v>
      </c>
      <c r="D244">
        <v>14289</v>
      </c>
      <c r="E244">
        <v>14345.15</v>
      </c>
      <c r="F244">
        <v>14226.7</v>
      </c>
      <c r="G244">
        <v>14251.4</v>
      </c>
      <c r="H244">
        <v>0</v>
      </c>
      <c r="I244" s="8">
        <f t="shared" si="13"/>
        <v>-8.2730383083751136E-4</v>
      </c>
      <c r="J244" s="8">
        <f t="shared" si="14"/>
        <v>-8.2764623551326256E-4</v>
      </c>
      <c r="K244" s="8">
        <f t="shared" si="11"/>
        <v>9.3317990026850817E-2</v>
      </c>
    </row>
    <row r="245" spans="1:11" x14ac:dyDescent="0.25">
      <c r="A245" t="str">
        <f t="shared" si="12"/>
        <v>122017</v>
      </c>
      <c r="B245" s="1">
        <v>43091</v>
      </c>
      <c r="C245" t="s">
        <v>173</v>
      </c>
      <c r="D245">
        <v>14266</v>
      </c>
      <c r="E245">
        <v>14372.7</v>
      </c>
      <c r="F245">
        <v>14244.5</v>
      </c>
      <c r="G245">
        <v>14359.15</v>
      </c>
      <c r="H245">
        <v>0</v>
      </c>
      <c r="I245" s="8">
        <f t="shared" si="13"/>
        <v>7.5606607070182186E-3</v>
      </c>
      <c r="J245" s="8">
        <f t="shared" si="14"/>
        <v>7.5322221646831906E-3</v>
      </c>
      <c r="K245" s="8">
        <f t="shared" si="11"/>
        <v>0.10252305377037607</v>
      </c>
    </row>
    <row r="246" spans="1:11" x14ac:dyDescent="0.25">
      <c r="A246" t="str">
        <f t="shared" si="12"/>
        <v>122017</v>
      </c>
      <c r="B246" s="1">
        <v>43095</v>
      </c>
      <c r="C246" t="s">
        <v>174</v>
      </c>
      <c r="D246">
        <v>14426.1</v>
      </c>
      <c r="E246">
        <v>14502.6</v>
      </c>
      <c r="F246">
        <v>14340.15</v>
      </c>
      <c r="G246">
        <v>14442.75</v>
      </c>
      <c r="H246">
        <v>0</v>
      </c>
      <c r="I246" s="8">
        <f t="shared" si="13"/>
        <v>5.822071640730897E-3</v>
      </c>
      <c r="J246" s="8">
        <f t="shared" si="14"/>
        <v>5.8051888783763562E-3</v>
      </c>
      <c r="K246" s="8">
        <f t="shared" si="11"/>
        <v>0.12754263587073211</v>
      </c>
    </row>
    <row r="247" spans="1:11" x14ac:dyDescent="0.25">
      <c r="A247" t="str">
        <f t="shared" si="12"/>
        <v>122017</v>
      </c>
      <c r="B247" s="1">
        <v>43096</v>
      </c>
      <c r="C247" t="s">
        <v>175</v>
      </c>
      <c r="D247">
        <v>14467.5</v>
      </c>
      <c r="E247">
        <v>14524.95</v>
      </c>
      <c r="F247">
        <v>14284.4</v>
      </c>
      <c r="G247">
        <v>14332.25</v>
      </c>
      <c r="H247">
        <v>0</v>
      </c>
      <c r="I247" s="8">
        <f t="shared" si="13"/>
        <v>-7.6508975091308384E-3</v>
      </c>
      <c r="J247" s="8">
        <f t="shared" si="14"/>
        <v>-7.680315772283521E-3</v>
      </c>
      <c r="K247" s="8">
        <f t="shared" si="11"/>
        <v>0.12657650753225713</v>
      </c>
    </row>
    <row r="248" spans="1:11" x14ac:dyDescent="0.25">
      <c r="A248" t="str">
        <f t="shared" si="12"/>
        <v>122017</v>
      </c>
      <c r="B248" s="1">
        <v>43097</v>
      </c>
      <c r="C248" t="s">
        <v>176</v>
      </c>
      <c r="D248">
        <v>14354.55</v>
      </c>
      <c r="E248">
        <v>14422.5</v>
      </c>
      <c r="F248">
        <v>14253.1</v>
      </c>
      <c r="G248">
        <v>14288.5</v>
      </c>
      <c r="H248">
        <v>0</v>
      </c>
      <c r="I248" s="8">
        <f t="shared" si="13"/>
        <v>-3.0525562978597209E-3</v>
      </c>
      <c r="J248" s="8">
        <f t="shared" si="14"/>
        <v>-3.057224850936977E-3</v>
      </c>
      <c r="K248" s="8">
        <f t="shared" si="11"/>
        <v>0.11867936567587778</v>
      </c>
    </row>
    <row r="249" spans="1:11" x14ac:dyDescent="0.25">
      <c r="A249" t="str">
        <f t="shared" si="12"/>
        <v>122017</v>
      </c>
      <c r="B249" s="1">
        <v>43098</v>
      </c>
      <c r="C249" t="s">
        <v>177</v>
      </c>
      <c r="D249">
        <v>14328.5</v>
      </c>
      <c r="E249">
        <v>14372.5</v>
      </c>
      <c r="F249">
        <v>14233.2</v>
      </c>
      <c r="G249">
        <v>14249.3</v>
      </c>
      <c r="H249">
        <v>0</v>
      </c>
      <c r="I249" s="8">
        <f t="shared" si="13"/>
        <v>-2.743465024320324E-3</v>
      </c>
      <c r="J249" s="8">
        <f t="shared" si="14"/>
        <v>-2.7472352216720026E-3</v>
      </c>
      <c r="K249" s="8">
        <f t="shared" si="11"/>
        <v>0.10073579112029507</v>
      </c>
    </row>
    <row r="250" spans="1:11" x14ac:dyDescent="0.25">
      <c r="A250" t="str">
        <f t="shared" si="12"/>
        <v>12018</v>
      </c>
      <c r="B250" s="1">
        <v>43101</v>
      </c>
      <c r="C250" s="10">
        <v>43101.645833333336</v>
      </c>
      <c r="D250">
        <v>14266.25</v>
      </c>
      <c r="E250">
        <v>14277.5</v>
      </c>
      <c r="F250">
        <v>14113.95</v>
      </c>
      <c r="G250">
        <v>14138.95</v>
      </c>
      <c r="H250">
        <v>0</v>
      </c>
      <c r="I250" s="8">
        <f t="shared" si="13"/>
        <v>-7.7442400679330614E-3</v>
      </c>
      <c r="J250" s="8">
        <f t="shared" si="14"/>
        <v>-7.7743824156123022E-3</v>
      </c>
      <c r="K250" s="8">
        <f t="shared" si="11"/>
        <v>7.4318907973269122E-2</v>
      </c>
    </row>
    <row r="251" spans="1:11" x14ac:dyDescent="0.25">
      <c r="A251" t="str">
        <f t="shared" si="12"/>
        <v>12018</v>
      </c>
      <c r="B251" s="1">
        <v>43102</v>
      </c>
      <c r="C251" s="10">
        <v>43132.645833333336</v>
      </c>
      <c r="D251">
        <v>14216</v>
      </c>
      <c r="E251">
        <v>14242.65</v>
      </c>
      <c r="F251">
        <v>14092.65</v>
      </c>
      <c r="G251">
        <v>14162.4</v>
      </c>
      <c r="H251">
        <v>0</v>
      </c>
      <c r="I251" s="8">
        <f t="shared" si="13"/>
        <v>1.6585390004206779E-3</v>
      </c>
      <c r="J251" s="8">
        <f t="shared" si="14"/>
        <v>1.6571651434665127E-3</v>
      </c>
      <c r="K251" s="8">
        <f t="shared" si="11"/>
        <v>7.5786003479000552E-2</v>
      </c>
    </row>
    <row r="252" spans="1:11" x14ac:dyDescent="0.25">
      <c r="A252" t="str">
        <f t="shared" si="12"/>
        <v>12018</v>
      </c>
      <c r="B252" s="1">
        <v>43103</v>
      </c>
      <c r="C252" s="10">
        <v>43160.645833333336</v>
      </c>
      <c r="D252">
        <v>14294.35</v>
      </c>
      <c r="E252">
        <v>14312</v>
      </c>
      <c r="F252">
        <v>14129.95</v>
      </c>
      <c r="G252">
        <v>14157.8</v>
      </c>
      <c r="H252">
        <v>0</v>
      </c>
      <c r="I252" s="8">
        <f t="shared" si="13"/>
        <v>-3.248037055866293E-4</v>
      </c>
      <c r="J252" s="8">
        <f t="shared" si="14"/>
        <v>-3.2485646573498112E-4</v>
      </c>
      <c r="K252" s="8">
        <f t="shared" si="11"/>
        <v>5.6154210540057647E-2</v>
      </c>
    </row>
    <row r="253" spans="1:11" x14ac:dyDescent="0.25">
      <c r="A253" t="str">
        <f t="shared" si="12"/>
        <v>12018</v>
      </c>
      <c r="B253" s="1">
        <v>43104</v>
      </c>
      <c r="C253" s="10">
        <v>43191.645833333336</v>
      </c>
      <c r="D253">
        <v>14209.1</v>
      </c>
      <c r="E253">
        <v>14258.8</v>
      </c>
      <c r="F253">
        <v>14175.05</v>
      </c>
      <c r="G253">
        <v>14247.25</v>
      </c>
      <c r="H253">
        <v>0</v>
      </c>
      <c r="I253" s="8">
        <f t="shared" si="13"/>
        <v>6.3180720168387605E-3</v>
      </c>
      <c r="J253" s="8">
        <f t="shared" si="14"/>
        <v>6.2981966718122636E-3</v>
      </c>
      <c r="K253" s="8">
        <f t="shared" si="11"/>
        <v>7.3008807901881578E-2</v>
      </c>
    </row>
    <row r="254" spans="1:11" x14ac:dyDescent="0.25">
      <c r="A254" t="str">
        <f t="shared" si="12"/>
        <v>12018</v>
      </c>
      <c r="B254" s="1">
        <v>43105</v>
      </c>
      <c r="C254" s="10">
        <v>43221.645833333336</v>
      </c>
      <c r="D254">
        <v>14279.15</v>
      </c>
      <c r="E254">
        <v>14309.25</v>
      </c>
      <c r="F254">
        <v>14204.55</v>
      </c>
      <c r="G254">
        <v>14249.9</v>
      </c>
      <c r="H254">
        <v>0</v>
      </c>
      <c r="I254" s="8">
        <f t="shared" si="13"/>
        <v>1.8600080717323664E-4</v>
      </c>
      <c r="J254" s="8">
        <f t="shared" si="14"/>
        <v>1.8598351116778282E-4</v>
      </c>
      <c r="K254" s="8">
        <f t="shared" si="11"/>
        <v>6.499902841512073E-2</v>
      </c>
    </row>
    <row r="255" spans="1:11" x14ac:dyDescent="0.25">
      <c r="A255" t="str">
        <f t="shared" si="12"/>
        <v>12018</v>
      </c>
      <c r="B255" s="1">
        <v>43108</v>
      </c>
      <c r="C255" s="10">
        <v>43313.645833333336</v>
      </c>
      <c r="D255">
        <v>14293.75</v>
      </c>
      <c r="E255">
        <v>14349.75</v>
      </c>
      <c r="F255">
        <v>14271.7</v>
      </c>
      <c r="G255">
        <v>14326</v>
      </c>
      <c r="H255">
        <v>0</v>
      </c>
      <c r="I255" s="8">
        <f t="shared" si="13"/>
        <v>5.3403883536025099E-3</v>
      </c>
      <c r="J255" s="8">
        <f t="shared" si="14"/>
        <v>5.3261790460827014E-3</v>
      </c>
      <c r="K255" s="8">
        <f t="shared" si="11"/>
        <v>6.9906907792784745E-2</v>
      </c>
    </row>
    <row r="256" spans="1:11" x14ac:dyDescent="0.25">
      <c r="A256" t="str">
        <f t="shared" si="12"/>
        <v>12018</v>
      </c>
      <c r="B256" s="1">
        <v>43109</v>
      </c>
      <c r="C256" s="10">
        <v>43344.645833333336</v>
      </c>
      <c r="D256">
        <v>14337.2</v>
      </c>
      <c r="E256">
        <v>14446.75</v>
      </c>
      <c r="F256">
        <v>14273.6</v>
      </c>
      <c r="G256">
        <v>14411.1</v>
      </c>
      <c r="H256">
        <v>0</v>
      </c>
      <c r="I256" s="8">
        <f t="shared" si="13"/>
        <v>5.9402484992321369E-3</v>
      </c>
      <c r="J256" s="8">
        <f t="shared" si="14"/>
        <v>5.922674783598948E-3</v>
      </c>
      <c r="K256" s="8">
        <f t="shared" ref="K256:K319" si="15">+G256/G195-1</f>
        <v>5.5506930584293235E-2</v>
      </c>
    </row>
    <row r="257" spans="1:11" x14ac:dyDescent="0.25">
      <c r="A257" t="str">
        <f t="shared" si="12"/>
        <v>12018</v>
      </c>
      <c r="B257" s="1">
        <v>43110</v>
      </c>
      <c r="C257" s="10">
        <v>43374.645833333336</v>
      </c>
      <c r="D257">
        <v>14430.3</v>
      </c>
      <c r="E257">
        <v>14488.15</v>
      </c>
      <c r="F257">
        <v>14359.55</v>
      </c>
      <c r="G257">
        <v>14395.7</v>
      </c>
      <c r="H257">
        <v>0</v>
      </c>
      <c r="I257" s="8">
        <f t="shared" si="13"/>
        <v>-1.0686207159759098E-3</v>
      </c>
      <c r="J257" s="8">
        <f t="shared" si="14"/>
        <v>-1.0691920981900668E-3</v>
      </c>
      <c r="K257" s="8">
        <f t="shared" si="15"/>
        <v>5.2455732479419703E-2</v>
      </c>
    </row>
    <row r="258" spans="1:11" x14ac:dyDescent="0.25">
      <c r="A258" t="str">
        <f t="shared" si="12"/>
        <v>12018</v>
      </c>
      <c r="B258" s="1">
        <v>43111</v>
      </c>
      <c r="C258" s="10">
        <v>43405.645833333336</v>
      </c>
      <c r="D258">
        <v>14390.25</v>
      </c>
      <c r="E258">
        <v>14392.4</v>
      </c>
      <c r="F258">
        <v>14308.45</v>
      </c>
      <c r="G258">
        <v>14340.95</v>
      </c>
      <c r="H258">
        <v>0</v>
      </c>
      <c r="I258" s="8">
        <f t="shared" si="13"/>
        <v>-3.8032190167897051E-3</v>
      </c>
      <c r="J258" s="8">
        <f t="shared" si="14"/>
        <v>-3.8104696438881038E-3</v>
      </c>
      <c r="K258" s="8">
        <f t="shared" si="15"/>
        <v>4.5944861789803948E-2</v>
      </c>
    </row>
    <row r="259" spans="1:11" x14ac:dyDescent="0.25">
      <c r="A259" t="str">
        <f t="shared" ref="A259:A322" si="16">+MONTH(B259)&amp;YEAR(B259)</f>
        <v>12018</v>
      </c>
      <c r="B259" s="1">
        <v>43112</v>
      </c>
      <c r="C259" s="10">
        <v>43435.645833333336</v>
      </c>
      <c r="D259">
        <v>14391.85</v>
      </c>
      <c r="E259">
        <v>14477.15</v>
      </c>
      <c r="F259">
        <v>14314.4</v>
      </c>
      <c r="G259">
        <v>14438.95</v>
      </c>
      <c r="H259">
        <v>0</v>
      </c>
      <c r="I259" s="8">
        <f t="shared" si="13"/>
        <v>6.8335779707759947E-3</v>
      </c>
      <c r="J259" s="8">
        <f t="shared" si="14"/>
        <v>6.8103349056188294E-3</v>
      </c>
      <c r="K259" s="8">
        <f t="shared" si="15"/>
        <v>5.1788315850815891E-2</v>
      </c>
    </row>
    <row r="260" spans="1:11" x14ac:dyDescent="0.25">
      <c r="A260" t="str">
        <f t="shared" si="16"/>
        <v>12018</v>
      </c>
      <c r="B260" s="1">
        <v>43115</v>
      </c>
      <c r="C260" t="s">
        <v>178</v>
      </c>
      <c r="D260">
        <v>14454.65</v>
      </c>
      <c r="E260">
        <v>14550.5</v>
      </c>
      <c r="F260">
        <v>14381.8</v>
      </c>
      <c r="G260">
        <v>14410.4</v>
      </c>
      <c r="H260">
        <v>0</v>
      </c>
      <c r="I260" s="8">
        <f t="shared" ref="I260:I323" si="17">+G260/G259-1</f>
        <v>-1.9772905924601014E-3</v>
      </c>
      <c r="J260" s="8">
        <f t="shared" ref="J260:J323" si="18">+LN(1+I260)</f>
        <v>-1.9792480121876344E-3</v>
      </c>
      <c r="K260" s="8">
        <f t="shared" si="15"/>
        <v>2.2460151058795175E-2</v>
      </c>
    </row>
    <row r="261" spans="1:11" x14ac:dyDescent="0.25">
      <c r="A261" t="str">
        <f t="shared" si="16"/>
        <v>12018</v>
      </c>
      <c r="B261" s="1">
        <v>43116</v>
      </c>
      <c r="C261" t="s">
        <v>179</v>
      </c>
      <c r="D261">
        <v>14412.8</v>
      </c>
      <c r="E261">
        <v>14413.65</v>
      </c>
      <c r="F261">
        <v>14076.8</v>
      </c>
      <c r="G261">
        <v>14105.2</v>
      </c>
      <c r="H261">
        <v>0</v>
      </c>
      <c r="I261" s="8">
        <f t="shared" si="17"/>
        <v>-2.1179148392827307E-2</v>
      </c>
      <c r="J261" s="8">
        <f t="shared" si="18"/>
        <v>-2.140664440476012E-2</v>
      </c>
      <c r="K261" s="8">
        <f t="shared" si="15"/>
        <v>8.9592595109424522E-3</v>
      </c>
    </row>
    <row r="262" spans="1:11" x14ac:dyDescent="0.25">
      <c r="A262" t="str">
        <f t="shared" si="16"/>
        <v>12018</v>
      </c>
      <c r="B262" s="1">
        <v>43117</v>
      </c>
      <c r="C262" t="s">
        <v>180</v>
      </c>
      <c r="D262">
        <v>14121.75</v>
      </c>
      <c r="E262">
        <v>14164.15</v>
      </c>
      <c r="F262">
        <v>13901.4</v>
      </c>
      <c r="G262">
        <v>14140.85</v>
      </c>
      <c r="H262">
        <v>0</v>
      </c>
      <c r="I262" s="8">
        <f t="shared" si="17"/>
        <v>2.5274366900149836E-3</v>
      </c>
      <c r="J262" s="8">
        <f t="shared" si="18"/>
        <v>2.5242480934245782E-3</v>
      </c>
      <c r="K262" s="8">
        <f t="shared" si="15"/>
        <v>-6.306831756918152E-3</v>
      </c>
    </row>
    <row r="263" spans="1:11" x14ac:dyDescent="0.25">
      <c r="A263" t="str">
        <f t="shared" si="16"/>
        <v>12018</v>
      </c>
      <c r="B263" s="1">
        <v>43118</v>
      </c>
      <c r="C263" t="s">
        <v>181</v>
      </c>
      <c r="D263">
        <v>14187.7</v>
      </c>
      <c r="E263">
        <v>14200.8</v>
      </c>
      <c r="F263">
        <v>13943.85</v>
      </c>
      <c r="G263">
        <v>13993.75</v>
      </c>
      <c r="H263">
        <v>0</v>
      </c>
      <c r="I263" s="8">
        <f t="shared" si="17"/>
        <v>-1.0402486413475853E-2</v>
      </c>
      <c r="J263" s="8">
        <f t="shared" si="18"/>
        <v>-1.0456970450948106E-2</v>
      </c>
      <c r="K263" s="8">
        <f t="shared" si="15"/>
        <v>-2.0786100148347142E-2</v>
      </c>
    </row>
    <row r="264" spans="1:11" x14ac:dyDescent="0.25">
      <c r="A264" t="str">
        <f t="shared" si="16"/>
        <v>12018</v>
      </c>
      <c r="B264" s="1">
        <v>43119</v>
      </c>
      <c r="C264" t="s">
        <v>182</v>
      </c>
      <c r="D264">
        <v>14029.8</v>
      </c>
      <c r="E264">
        <v>14156.8</v>
      </c>
      <c r="F264">
        <v>13991.85</v>
      </c>
      <c r="G264">
        <v>14128.1</v>
      </c>
      <c r="H264">
        <v>0</v>
      </c>
      <c r="I264" s="8">
        <f t="shared" si="17"/>
        <v>9.6007146047343284E-3</v>
      </c>
      <c r="J264" s="8">
        <f t="shared" si="18"/>
        <v>9.5549206143217876E-3</v>
      </c>
      <c r="K264" s="8">
        <f t="shared" si="15"/>
        <v>-1.8718397510696261E-2</v>
      </c>
    </row>
    <row r="265" spans="1:11" x14ac:dyDescent="0.25">
      <c r="A265" t="str">
        <f t="shared" si="16"/>
        <v>12018</v>
      </c>
      <c r="B265" s="1">
        <v>43122</v>
      </c>
      <c r="C265" t="s">
        <v>183</v>
      </c>
      <c r="D265">
        <v>14278.6</v>
      </c>
      <c r="E265">
        <v>14436.6</v>
      </c>
      <c r="F265">
        <v>14211.4</v>
      </c>
      <c r="G265">
        <v>14409.9</v>
      </c>
      <c r="H265">
        <v>0</v>
      </c>
      <c r="I265" s="8">
        <f t="shared" si="17"/>
        <v>1.9946064934421415E-2</v>
      </c>
      <c r="J265" s="8">
        <f t="shared" si="18"/>
        <v>1.9749748382841496E-2</v>
      </c>
      <c r="K265" s="8">
        <f t="shared" si="15"/>
        <v>-1.1609044423028791E-2</v>
      </c>
    </row>
    <row r="266" spans="1:11" x14ac:dyDescent="0.25">
      <c r="A266" t="str">
        <f t="shared" si="16"/>
        <v>12018</v>
      </c>
      <c r="B266" s="1">
        <v>43123</v>
      </c>
      <c r="C266" t="s">
        <v>184</v>
      </c>
      <c r="D266">
        <v>14488.3</v>
      </c>
      <c r="E266">
        <v>14660.05</v>
      </c>
      <c r="F266">
        <v>14481.3</v>
      </c>
      <c r="G266">
        <v>14596.75</v>
      </c>
      <c r="H266">
        <v>0</v>
      </c>
      <c r="I266" s="8">
        <f t="shared" si="17"/>
        <v>1.2966779783343485E-2</v>
      </c>
      <c r="J266" s="8">
        <f t="shared" si="18"/>
        <v>1.2883430832806358E-2</v>
      </c>
      <c r="K266" s="8">
        <f t="shared" si="15"/>
        <v>1.4579133940362921E-2</v>
      </c>
    </row>
    <row r="267" spans="1:11" x14ac:dyDescent="0.25">
      <c r="A267" t="str">
        <f t="shared" si="16"/>
        <v>12018</v>
      </c>
      <c r="B267" s="1">
        <v>43124</v>
      </c>
      <c r="C267" t="s">
        <v>185</v>
      </c>
      <c r="D267">
        <v>14600.55</v>
      </c>
      <c r="E267">
        <v>14616.5</v>
      </c>
      <c r="F267">
        <v>14437.75</v>
      </c>
      <c r="G267">
        <v>14504.75</v>
      </c>
      <c r="H267">
        <v>0</v>
      </c>
      <c r="I267" s="8">
        <f t="shared" si="17"/>
        <v>-6.302772877524121E-3</v>
      </c>
      <c r="J267" s="8">
        <f t="shared" si="18"/>
        <v>-6.3227192061184861E-3</v>
      </c>
      <c r="K267" s="8">
        <f t="shared" si="15"/>
        <v>-1.864869235506883E-3</v>
      </c>
    </row>
    <row r="268" spans="1:11" x14ac:dyDescent="0.25">
      <c r="A268" t="str">
        <f t="shared" si="16"/>
        <v>12018</v>
      </c>
      <c r="B268" s="1">
        <v>43125</v>
      </c>
      <c r="C268" t="s">
        <v>186</v>
      </c>
      <c r="D268">
        <v>14544.3</v>
      </c>
      <c r="E268">
        <v>14547.6</v>
      </c>
      <c r="F268">
        <v>14417.35</v>
      </c>
      <c r="G268">
        <v>14465.65</v>
      </c>
      <c r="H268">
        <v>0</v>
      </c>
      <c r="I268" s="8">
        <f t="shared" si="17"/>
        <v>-2.6956686602664925E-3</v>
      </c>
      <c r="J268" s="8">
        <f t="shared" si="18"/>
        <v>-2.6993085177341321E-3</v>
      </c>
      <c r="K268" s="8">
        <f t="shared" si="15"/>
        <v>-3.1389547384090832E-3</v>
      </c>
    </row>
    <row r="269" spans="1:11" x14ac:dyDescent="0.25">
      <c r="A269" t="str">
        <f t="shared" si="16"/>
        <v>12018</v>
      </c>
      <c r="B269" s="1">
        <v>43129</v>
      </c>
      <c r="C269" t="s">
        <v>187</v>
      </c>
      <c r="D269">
        <v>14469.35</v>
      </c>
      <c r="E269">
        <v>14547.5</v>
      </c>
      <c r="F269">
        <v>14337.65</v>
      </c>
      <c r="G269">
        <v>14381.05</v>
      </c>
      <c r="H269">
        <v>0</v>
      </c>
      <c r="I269" s="8">
        <f t="shared" si="17"/>
        <v>-5.8483372679416501E-3</v>
      </c>
      <c r="J269" s="8">
        <f t="shared" si="18"/>
        <v>-5.8655057631669446E-3</v>
      </c>
      <c r="K269" s="8">
        <f t="shared" si="15"/>
        <v>-1.4003825769781875E-2</v>
      </c>
    </row>
    <row r="270" spans="1:11" x14ac:dyDescent="0.25">
      <c r="A270" t="str">
        <f t="shared" si="16"/>
        <v>12018</v>
      </c>
      <c r="B270" s="1">
        <v>43130</v>
      </c>
      <c r="C270" t="s">
        <v>188</v>
      </c>
      <c r="D270">
        <v>14386.9</v>
      </c>
      <c r="E270">
        <v>14423.45</v>
      </c>
      <c r="F270">
        <v>14342.35</v>
      </c>
      <c r="G270">
        <v>14368.55</v>
      </c>
      <c r="H270">
        <v>0</v>
      </c>
      <c r="I270" s="8">
        <f t="shared" si="17"/>
        <v>-8.6919939781870958E-4</v>
      </c>
      <c r="J270" s="8">
        <f t="shared" si="18"/>
        <v>-8.6957737065367264E-4</v>
      </c>
      <c r="K270" s="8">
        <f t="shared" si="15"/>
        <v>-1.2443641062297339E-2</v>
      </c>
    </row>
    <row r="271" spans="1:11" x14ac:dyDescent="0.25">
      <c r="A271" t="str">
        <f t="shared" si="16"/>
        <v>12018</v>
      </c>
      <c r="B271" s="1">
        <v>43131</v>
      </c>
      <c r="C271" t="s">
        <v>189</v>
      </c>
      <c r="D271">
        <v>14369.65</v>
      </c>
      <c r="E271">
        <v>14468.95</v>
      </c>
      <c r="F271">
        <v>14289.7</v>
      </c>
      <c r="G271">
        <v>14453.95</v>
      </c>
      <c r="H271">
        <v>0</v>
      </c>
      <c r="I271" s="8">
        <f t="shared" si="17"/>
        <v>5.9435364041606764E-3</v>
      </c>
      <c r="J271" s="8">
        <f t="shared" si="18"/>
        <v>5.9259432675473882E-3</v>
      </c>
      <c r="K271" s="8">
        <f t="shared" si="15"/>
        <v>-4.212854200108862E-3</v>
      </c>
    </row>
    <row r="272" spans="1:11" x14ac:dyDescent="0.25">
      <c r="A272" t="str">
        <f t="shared" si="16"/>
        <v>22018</v>
      </c>
      <c r="B272" s="1">
        <v>43132</v>
      </c>
      <c r="C272" s="10">
        <v>43102.645833333336</v>
      </c>
      <c r="D272">
        <v>14470.5</v>
      </c>
      <c r="E272">
        <v>14559</v>
      </c>
      <c r="F272">
        <v>14198.7</v>
      </c>
      <c r="G272">
        <v>14263.9</v>
      </c>
      <c r="H272">
        <v>0</v>
      </c>
      <c r="I272" s="8">
        <f t="shared" si="17"/>
        <v>-1.3148654865970943E-2</v>
      </c>
      <c r="J272" s="8">
        <f t="shared" si="18"/>
        <v>-1.3235863724704453E-2</v>
      </c>
      <c r="K272" s="8">
        <f t="shared" si="15"/>
        <v>-1.0331094582593181E-2</v>
      </c>
    </row>
    <row r="273" spans="1:11" x14ac:dyDescent="0.25">
      <c r="A273" t="str">
        <f t="shared" si="16"/>
        <v>22018</v>
      </c>
      <c r="B273" s="1">
        <v>43133</v>
      </c>
      <c r="C273" s="10">
        <v>43133.645833333336</v>
      </c>
      <c r="D273">
        <v>14136.15</v>
      </c>
      <c r="E273">
        <v>14193.15</v>
      </c>
      <c r="F273">
        <v>13723.65</v>
      </c>
      <c r="G273">
        <v>13775.3</v>
      </c>
      <c r="H273">
        <v>0</v>
      </c>
      <c r="I273" s="8">
        <f t="shared" si="17"/>
        <v>-3.4254306325759432E-2</v>
      </c>
      <c r="J273" s="8">
        <f t="shared" si="18"/>
        <v>-3.4854736493846822E-2</v>
      </c>
      <c r="K273" s="8">
        <f t="shared" si="15"/>
        <v>-2.524403748925319E-2</v>
      </c>
    </row>
    <row r="274" spans="1:11" x14ac:dyDescent="0.25">
      <c r="A274" t="str">
        <f t="shared" si="16"/>
        <v>22018</v>
      </c>
      <c r="B274" s="1">
        <v>43136</v>
      </c>
      <c r="C274" s="10">
        <v>43222.645833333336</v>
      </c>
      <c r="D274">
        <v>13613.15</v>
      </c>
      <c r="E274">
        <v>13863.15</v>
      </c>
      <c r="F274">
        <v>13525.75</v>
      </c>
      <c r="G274">
        <v>13766.4</v>
      </c>
      <c r="H274">
        <v>0</v>
      </c>
      <c r="I274" s="8">
        <f t="shared" si="17"/>
        <v>-6.4608393283627219E-4</v>
      </c>
      <c r="J274" s="8">
        <f t="shared" si="18"/>
        <v>-6.4629273500106655E-4</v>
      </c>
      <c r="K274" s="8">
        <f t="shared" si="15"/>
        <v>-1.1886304909560774E-2</v>
      </c>
    </row>
    <row r="275" spans="1:11" x14ac:dyDescent="0.25">
      <c r="A275" t="str">
        <f t="shared" si="16"/>
        <v>22018</v>
      </c>
      <c r="B275" s="1">
        <v>43137</v>
      </c>
      <c r="C275" s="10">
        <v>43253.645833333336</v>
      </c>
      <c r="D275">
        <v>13367.65</v>
      </c>
      <c r="E275">
        <v>13638.15</v>
      </c>
      <c r="F275">
        <v>13332.75</v>
      </c>
      <c r="G275">
        <v>13583.7</v>
      </c>
      <c r="H275">
        <v>0</v>
      </c>
      <c r="I275" s="8">
        <f t="shared" si="17"/>
        <v>-1.3271443514644266E-2</v>
      </c>
      <c r="J275" s="8">
        <f t="shared" si="18"/>
        <v>-1.3360296131754202E-2</v>
      </c>
      <c r="K275" s="8">
        <f t="shared" si="15"/>
        <v>-3.0476707088154087E-2</v>
      </c>
    </row>
    <row r="276" spans="1:11" x14ac:dyDescent="0.25">
      <c r="A276" t="str">
        <f t="shared" si="16"/>
        <v>22018</v>
      </c>
      <c r="B276" s="1">
        <v>43138</v>
      </c>
      <c r="C276" s="10">
        <v>43283.645833333336</v>
      </c>
      <c r="D276">
        <v>13724.75</v>
      </c>
      <c r="E276">
        <v>13764.5</v>
      </c>
      <c r="F276">
        <v>13613.7</v>
      </c>
      <c r="G276">
        <v>13707.25</v>
      </c>
      <c r="H276">
        <v>0</v>
      </c>
      <c r="I276" s="8">
        <f t="shared" si="17"/>
        <v>9.0954599998527286E-3</v>
      </c>
      <c r="J276" s="8">
        <f t="shared" si="18"/>
        <v>9.0543454195122601E-3</v>
      </c>
      <c r="K276" s="8">
        <f t="shared" si="15"/>
        <v>-1.1224243211172324E-2</v>
      </c>
    </row>
    <row r="277" spans="1:11" x14ac:dyDescent="0.25">
      <c r="A277" t="str">
        <f t="shared" si="16"/>
        <v>22018</v>
      </c>
      <c r="B277" s="1">
        <v>43139</v>
      </c>
      <c r="C277" s="10">
        <v>43314.645833333336</v>
      </c>
      <c r="D277">
        <v>13721.65</v>
      </c>
      <c r="E277">
        <v>13827</v>
      </c>
      <c r="F277">
        <v>13689.4</v>
      </c>
      <c r="G277">
        <v>13727.15</v>
      </c>
      <c r="H277">
        <v>0</v>
      </c>
      <c r="I277" s="8">
        <f t="shared" si="17"/>
        <v>1.4517864633678546E-3</v>
      </c>
      <c r="J277" s="8">
        <f t="shared" si="18"/>
        <v>1.450733640259953E-3</v>
      </c>
      <c r="K277" s="8">
        <f t="shared" si="15"/>
        <v>-7.2431590364785414E-4</v>
      </c>
    </row>
    <row r="278" spans="1:11" x14ac:dyDescent="0.25">
      <c r="A278" t="str">
        <f t="shared" si="16"/>
        <v>22018</v>
      </c>
      <c r="B278" s="1">
        <v>43140</v>
      </c>
      <c r="C278" s="10">
        <v>43345.645833333336</v>
      </c>
      <c r="D278">
        <v>13542.4</v>
      </c>
      <c r="E278">
        <v>13700.55</v>
      </c>
      <c r="F278">
        <v>13502.7</v>
      </c>
      <c r="G278">
        <v>13639.6</v>
      </c>
      <c r="H278">
        <v>0</v>
      </c>
      <c r="I278" s="8">
        <f t="shared" si="17"/>
        <v>-6.377871590242612E-3</v>
      </c>
      <c r="J278" s="8">
        <f t="shared" si="18"/>
        <v>-6.3982971071188267E-3</v>
      </c>
      <c r="K278" s="8">
        <f t="shared" si="15"/>
        <v>-7.1337060330770585E-3</v>
      </c>
    </row>
    <row r="279" spans="1:11" x14ac:dyDescent="0.25">
      <c r="A279" t="str">
        <f t="shared" si="16"/>
        <v>22018</v>
      </c>
      <c r="B279" s="1">
        <v>43143</v>
      </c>
      <c r="C279" s="10">
        <v>43436.645833333336</v>
      </c>
      <c r="D279">
        <v>13757.95</v>
      </c>
      <c r="E279">
        <v>13854.5</v>
      </c>
      <c r="F279">
        <v>13678.25</v>
      </c>
      <c r="G279">
        <v>13829.2</v>
      </c>
      <c r="H279">
        <v>0</v>
      </c>
      <c r="I279" s="8">
        <f t="shared" si="17"/>
        <v>1.3900700900319585E-2</v>
      </c>
      <c r="J279" s="8">
        <f t="shared" si="18"/>
        <v>1.3804972267527662E-2</v>
      </c>
      <c r="K279" s="8">
        <f t="shared" si="15"/>
        <v>1.1202105878912016E-2</v>
      </c>
    </row>
    <row r="280" spans="1:11" x14ac:dyDescent="0.25">
      <c r="A280" t="str">
        <f t="shared" si="16"/>
        <v>22018</v>
      </c>
      <c r="B280" s="1">
        <v>43145</v>
      </c>
      <c r="C280" t="s">
        <v>190</v>
      </c>
      <c r="D280">
        <v>13914.55</v>
      </c>
      <c r="E280">
        <v>13969.15</v>
      </c>
      <c r="F280">
        <v>13804</v>
      </c>
      <c r="G280">
        <v>13879</v>
      </c>
      <c r="H280">
        <v>0</v>
      </c>
      <c r="I280" s="8">
        <f t="shared" si="17"/>
        <v>3.6010759841493822E-3</v>
      </c>
      <c r="J280" s="8">
        <f t="shared" si="18"/>
        <v>3.5946076340566237E-3</v>
      </c>
      <c r="K280" s="8">
        <f t="shared" si="15"/>
        <v>1.2970916323173931E-4</v>
      </c>
    </row>
    <row r="281" spans="1:11" x14ac:dyDescent="0.25">
      <c r="A281" t="str">
        <f t="shared" si="16"/>
        <v>22018</v>
      </c>
      <c r="B281" s="1">
        <v>43146</v>
      </c>
      <c r="C281" t="s">
        <v>191</v>
      </c>
      <c r="D281">
        <v>13945.55</v>
      </c>
      <c r="E281">
        <v>14016.55</v>
      </c>
      <c r="F281">
        <v>13856.8</v>
      </c>
      <c r="G281">
        <v>13968.1</v>
      </c>
      <c r="H281">
        <v>0</v>
      </c>
      <c r="I281" s="8">
        <f t="shared" si="17"/>
        <v>6.4197708768642947E-3</v>
      </c>
      <c r="J281" s="8">
        <f t="shared" si="18"/>
        <v>6.3992519189932573E-3</v>
      </c>
      <c r="K281" s="8">
        <f t="shared" si="15"/>
        <v>4.2256950910313229E-4</v>
      </c>
    </row>
    <row r="282" spans="1:11" x14ac:dyDescent="0.25">
      <c r="A282" t="str">
        <f t="shared" si="16"/>
        <v>22018</v>
      </c>
      <c r="B282" s="1">
        <v>43147</v>
      </c>
      <c r="C282" t="s">
        <v>192</v>
      </c>
      <c r="D282">
        <v>14014</v>
      </c>
      <c r="E282">
        <v>14042.8</v>
      </c>
      <c r="F282">
        <v>13768</v>
      </c>
      <c r="G282">
        <v>13801.05</v>
      </c>
      <c r="H282">
        <v>0</v>
      </c>
      <c r="I282" s="8">
        <f t="shared" si="17"/>
        <v>-1.1959393188765932E-2</v>
      </c>
      <c r="J282" s="8">
        <f t="shared" si="18"/>
        <v>-1.203148206748105E-2</v>
      </c>
      <c r="K282" s="8">
        <f t="shared" si="15"/>
        <v>-2.1122290115860642E-2</v>
      </c>
    </row>
    <row r="283" spans="1:11" x14ac:dyDescent="0.25">
      <c r="A283" t="str">
        <f t="shared" si="16"/>
        <v>22018</v>
      </c>
      <c r="B283" s="1">
        <v>43150</v>
      </c>
      <c r="C283" t="s">
        <v>193</v>
      </c>
      <c r="D283">
        <v>13816.35</v>
      </c>
      <c r="E283">
        <v>13824.15</v>
      </c>
      <c r="F283">
        <v>13661.1</v>
      </c>
      <c r="G283">
        <v>13777.75</v>
      </c>
      <c r="H283">
        <v>0</v>
      </c>
      <c r="I283" s="8">
        <f t="shared" si="17"/>
        <v>-1.6882773412167928E-3</v>
      </c>
      <c r="J283" s="8">
        <f t="shared" si="18"/>
        <v>-1.6897040874622586E-3</v>
      </c>
      <c r="K283" s="8">
        <f t="shared" si="15"/>
        <v>-3.1859688078616277E-2</v>
      </c>
    </row>
    <row r="284" spans="1:11" x14ac:dyDescent="0.25">
      <c r="A284" t="str">
        <f t="shared" si="16"/>
        <v>22018</v>
      </c>
      <c r="B284" s="1">
        <v>43151</v>
      </c>
      <c r="C284" t="s">
        <v>194</v>
      </c>
      <c r="D284">
        <v>13801.65</v>
      </c>
      <c r="E284">
        <v>13823.35</v>
      </c>
      <c r="F284">
        <v>13718</v>
      </c>
      <c r="G284">
        <v>13748.2</v>
      </c>
      <c r="H284">
        <v>0</v>
      </c>
      <c r="I284" s="8">
        <f t="shared" si="17"/>
        <v>-2.1447623886338141E-3</v>
      </c>
      <c r="J284" s="8">
        <f t="shared" si="18"/>
        <v>-2.1470656854245093E-3</v>
      </c>
      <c r="K284" s="8">
        <f t="shared" si="15"/>
        <v>-3.3351965716415077E-2</v>
      </c>
    </row>
    <row r="285" spans="1:11" x14ac:dyDescent="0.25">
      <c r="A285" t="str">
        <f t="shared" si="16"/>
        <v>22018</v>
      </c>
      <c r="B285" s="1">
        <v>43152</v>
      </c>
      <c r="C285" t="s">
        <v>195</v>
      </c>
      <c r="D285">
        <v>13850.6</v>
      </c>
      <c r="E285">
        <v>13850.6</v>
      </c>
      <c r="F285">
        <v>13696.35</v>
      </c>
      <c r="G285">
        <v>13818.5</v>
      </c>
      <c r="H285">
        <v>0</v>
      </c>
      <c r="I285" s="8">
        <f t="shared" si="17"/>
        <v>5.1133966628358341E-3</v>
      </c>
      <c r="J285" s="8">
        <f t="shared" si="18"/>
        <v>5.1003676462654602E-3</v>
      </c>
      <c r="K285" s="8">
        <f t="shared" si="15"/>
        <v>-3.6417202726496178E-2</v>
      </c>
    </row>
    <row r="286" spans="1:11" x14ac:dyDescent="0.25">
      <c r="A286" t="str">
        <f t="shared" si="16"/>
        <v>22018</v>
      </c>
      <c r="B286" s="1">
        <v>43153</v>
      </c>
      <c r="C286" t="s">
        <v>196</v>
      </c>
      <c r="D286">
        <v>13703.3</v>
      </c>
      <c r="E286">
        <v>13745.95</v>
      </c>
      <c r="F286">
        <v>13635.3</v>
      </c>
      <c r="G286">
        <v>13667.25</v>
      </c>
      <c r="H286">
        <v>0</v>
      </c>
      <c r="I286" s="8">
        <f t="shared" si="17"/>
        <v>-1.094547165032389E-2</v>
      </c>
      <c r="J286" s="8">
        <f t="shared" si="18"/>
        <v>-1.1005814046456648E-2</v>
      </c>
      <c r="K286" s="8">
        <f t="shared" si="15"/>
        <v>-5.1738193777124075E-2</v>
      </c>
    </row>
    <row r="287" spans="1:11" x14ac:dyDescent="0.25">
      <c r="A287" t="str">
        <f t="shared" si="16"/>
        <v>22018</v>
      </c>
      <c r="B287" s="1">
        <v>43154</v>
      </c>
      <c r="C287" t="s">
        <v>197</v>
      </c>
      <c r="D287">
        <v>13688.15</v>
      </c>
      <c r="E287">
        <v>13841.3</v>
      </c>
      <c r="F287">
        <v>13659.55</v>
      </c>
      <c r="G287">
        <v>13816.7</v>
      </c>
      <c r="H287">
        <v>0</v>
      </c>
      <c r="I287" s="8">
        <f t="shared" si="17"/>
        <v>1.0934899120159658E-2</v>
      </c>
      <c r="J287" s="8">
        <f t="shared" si="18"/>
        <v>1.0875545403382302E-2</v>
      </c>
      <c r="K287" s="8">
        <f t="shared" si="15"/>
        <v>-4.4121360549865263E-2</v>
      </c>
    </row>
    <row r="288" spans="1:11" x14ac:dyDescent="0.25">
      <c r="A288" t="str">
        <f t="shared" si="16"/>
        <v>22018</v>
      </c>
      <c r="B288" s="1">
        <v>43157</v>
      </c>
      <c r="C288" t="s">
        <v>198</v>
      </c>
      <c r="D288">
        <v>13887.25</v>
      </c>
      <c r="E288">
        <v>13974.85</v>
      </c>
      <c r="F288">
        <v>13871.2</v>
      </c>
      <c r="G288">
        <v>13909.7</v>
      </c>
      <c r="H288">
        <v>0</v>
      </c>
      <c r="I288" s="8">
        <f t="shared" si="17"/>
        <v>6.7309849674668243E-3</v>
      </c>
      <c r="J288" s="8">
        <f t="shared" si="18"/>
        <v>6.7084330294274429E-3</v>
      </c>
      <c r="K288" s="8">
        <f t="shared" si="15"/>
        <v>-2.8601358311364011E-2</v>
      </c>
    </row>
    <row r="289" spans="1:11" x14ac:dyDescent="0.25">
      <c r="A289" t="str">
        <f t="shared" si="16"/>
        <v>22018</v>
      </c>
      <c r="B289" s="1">
        <v>43158</v>
      </c>
      <c r="C289" t="s">
        <v>199</v>
      </c>
      <c r="D289">
        <v>13948.65</v>
      </c>
      <c r="E289">
        <v>14097.7</v>
      </c>
      <c r="F289">
        <v>13920.25</v>
      </c>
      <c r="G289">
        <v>13992.25</v>
      </c>
      <c r="H289">
        <v>0</v>
      </c>
      <c r="I289" s="8">
        <f t="shared" si="17"/>
        <v>5.934707434380293E-3</v>
      </c>
      <c r="J289" s="8">
        <f t="shared" si="18"/>
        <v>5.9171664245078262E-3</v>
      </c>
      <c r="K289" s="8">
        <f t="shared" si="15"/>
        <v>-2.4485043695903097E-2</v>
      </c>
    </row>
    <row r="290" spans="1:11" x14ac:dyDescent="0.25">
      <c r="A290" t="str">
        <f t="shared" si="16"/>
        <v>22018</v>
      </c>
      <c r="B290" s="1">
        <v>43159</v>
      </c>
      <c r="C290" t="s">
        <v>200</v>
      </c>
      <c r="D290">
        <v>13902.25</v>
      </c>
      <c r="E290">
        <v>14013.9</v>
      </c>
      <c r="F290">
        <v>13867.65</v>
      </c>
      <c r="G290">
        <v>13991.45</v>
      </c>
      <c r="H290">
        <v>0</v>
      </c>
      <c r="I290" s="8">
        <f t="shared" si="17"/>
        <v>-5.7174507316459788E-5</v>
      </c>
      <c r="J290" s="8">
        <f t="shared" si="18"/>
        <v>-5.7176141840905614E-5</v>
      </c>
      <c r="K290" s="8">
        <f t="shared" si="15"/>
        <v>-9.4303221672749071E-3</v>
      </c>
    </row>
    <row r="291" spans="1:11" x14ac:dyDescent="0.25">
      <c r="A291" t="str">
        <f t="shared" si="16"/>
        <v>32018</v>
      </c>
      <c r="B291" s="1">
        <v>43160</v>
      </c>
      <c r="C291" s="10">
        <v>43103.645833333336</v>
      </c>
      <c r="D291">
        <v>13953</v>
      </c>
      <c r="E291">
        <v>14045.25</v>
      </c>
      <c r="F291">
        <v>13936.15</v>
      </c>
      <c r="G291">
        <v>13961</v>
      </c>
      <c r="H291">
        <v>0</v>
      </c>
      <c r="I291" s="8">
        <f t="shared" si="17"/>
        <v>-2.1763291152812059E-3</v>
      </c>
      <c r="J291" s="8">
        <f t="shared" si="18"/>
        <v>-2.1787007611029038E-3</v>
      </c>
      <c r="K291" s="8">
        <f t="shared" si="15"/>
        <v>1.4274339901443334E-3</v>
      </c>
    </row>
    <row r="292" spans="1:11" x14ac:dyDescent="0.25">
      <c r="A292" t="str">
        <f t="shared" si="16"/>
        <v>32018</v>
      </c>
      <c r="B292" s="1">
        <v>43164</v>
      </c>
      <c r="C292" s="10">
        <v>43223.645833333336</v>
      </c>
      <c r="D292">
        <v>13904.35</v>
      </c>
      <c r="E292">
        <v>13944.15</v>
      </c>
      <c r="F292">
        <v>13650.3</v>
      </c>
      <c r="G292">
        <v>13686.35</v>
      </c>
      <c r="H292">
        <v>0</v>
      </c>
      <c r="I292" s="8">
        <f t="shared" si="17"/>
        <v>-1.9672659551608018E-2</v>
      </c>
      <c r="J292" s="8">
        <f t="shared" si="18"/>
        <v>-1.9868742224363588E-2</v>
      </c>
      <c r="K292" s="8">
        <f t="shared" si="15"/>
        <v>-1.5480288169304801E-2</v>
      </c>
    </row>
    <row r="293" spans="1:11" x14ac:dyDescent="0.25">
      <c r="A293" t="str">
        <f t="shared" si="16"/>
        <v>32018</v>
      </c>
      <c r="B293" s="1">
        <v>43165</v>
      </c>
      <c r="C293" s="10">
        <v>43254.645833333336</v>
      </c>
      <c r="D293">
        <v>13764.15</v>
      </c>
      <c r="E293">
        <v>13809.95</v>
      </c>
      <c r="F293">
        <v>13522.6</v>
      </c>
      <c r="G293">
        <v>13581.95</v>
      </c>
      <c r="H293">
        <v>0</v>
      </c>
      <c r="I293" s="8">
        <f t="shared" si="17"/>
        <v>-7.6280381548038401E-3</v>
      </c>
      <c r="J293" s="8">
        <f t="shared" si="18"/>
        <v>-7.6572804402776544E-3</v>
      </c>
      <c r="K293" s="8">
        <f t="shared" si="15"/>
        <v>-2.582833944792895E-2</v>
      </c>
    </row>
    <row r="294" spans="1:11" x14ac:dyDescent="0.25">
      <c r="A294" t="str">
        <f t="shared" si="16"/>
        <v>32018</v>
      </c>
      <c r="B294" s="1">
        <v>43166</v>
      </c>
      <c r="C294" s="10">
        <v>43284.645833333336</v>
      </c>
      <c r="D294">
        <v>13558.3</v>
      </c>
      <c r="E294">
        <v>13561.55</v>
      </c>
      <c r="F294">
        <v>13340.1</v>
      </c>
      <c r="G294">
        <v>13358.2</v>
      </c>
      <c r="H294">
        <v>0</v>
      </c>
      <c r="I294" s="8">
        <f t="shared" si="17"/>
        <v>-1.6474070365448235E-2</v>
      </c>
      <c r="J294" s="8">
        <f t="shared" si="18"/>
        <v>-1.6611276849266415E-2</v>
      </c>
      <c r="K294" s="8">
        <f t="shared" si="15"/>
        <v>-4.3454910651948842E-2</v>
      </c>
    </row>
    <row r="295" spans="1:11" x14ac:dyDescent="0.25">
      <c r="A295" t="str">
        <f t="shared" si="16"/>
        <v>32018</v>
      </c>
      <c r="B295" s="1">
        <v>43167</v>
      </c>
      <c r="C295" s="10">
        <v>43315.645833333336</v>
      </c>
      <c r="D295">
        <v>13448.1</v>
      </c>
      <c r="E295">
        <v>13585.25</v>
      </c>
      <c r="F295">
        <v>13342.5</v>
      </c>
      <c r="G295">
        <v>13549.45</v>
      </c>
      <c r="H295">
        <v>0</v>
      </c>
      <c r="I295" s="8">
        <f t="shared" si="17"/>
        <v>1.4317048704166835E-2</v>
      </c>
      <c r="J295" s="8">
        <f t="shared" si="18"/>
        <v>1.4215527603389988E-2</v>
      </c>
      <c r="K295" s="8">
        <f t="shared" si="15"/>
        <v>-4.2901644439421238E-2</v>
      </c>
    </row>
    <row r="296" spans="1:11" x14ac:dyDescent="0.25">
      <c r="A296" t="str">
        <f t="shared" si="16"/>
        <v>32018</v>
      </c>
      <c r="B296" s="1">
        <v>43168</v>
      </c>
      <c r="C296" s="10">
        <v>43346.645833333336</v>
      </c>
      <c r="D296">
        <v>13586.15</v>
      </c>
      <c r="E296">
        <v>13619.75</v>
      </c>
      <c r="F296">
        <v>13517.8</v>
      </c>
      <c r="G296">
        <v>13537.15</v>
      </c>
      <c r="H296">
        <v>0</v>
      </c>
      <c r="I296" s="8">
        <f t="shared" si="17"/>
        <v>-9.0778592489004772E-4</v>
      </c>
      <c r="J296" s="8">
        <f t="shared" si="18"/>
        <v>-9.0819821206397546E-4</v>
      </c>
      <c r="K296" s="8">
        <f t="shared" si="15"/>
        <v>-4.492749021973419E-2</v>
      </c>
    </row>
    <row r="297" spans="1:11" x14ac:dyDescent="0.25">
      <c r="A297" t="str">
        <f t="shared" si="16"/>
        <v>32018</v>
      </c>
      <c r="B297" s="1">
        <v>43171</v>
      </c>
      <c r="C297" s="10">
        <v>43437.645833333336</v>
      </c>
      <c r="D297">
        <v>13624.3</v>
      </c>
      <c r="E297">
        <v>13868.65</v>
      </c>
      <c r="F297">
        <v>13592.25</v>
      </c>
      <c r="G297">
        <v>13835.45</v>
      </c>
      <c r="H297">
        <v>0</v>
      </c>
      <c r="I297" s="8">
        <f t="shared" si="17"/>
        <v>2.2035657431586531E-2</v>
      </c>
      <c r="J297" s="8">
        <f t="shared" si="18"/>
        <v>2.1796381027657206E-2</v>
      </c>
      <c r="K297" s="8">
        <f t="shared" si="15"/>
        <v>-2.1192076406084115E-2</v>
      </c>
    </row>
    <row r="298" spans="1:11" x14ac:dyDescent="0.25">
      <c r="A298" t="str">
        <f t="shared" si="16"/>
        <v>32018</v>
      </c>
      <c r="B298" s="1">
        <v>43172</v>
      </c>
      <c r="C298" t="s">
        <v>201</v>
      </c>
      <c r="D298">
        <v>13835.7</v>
      </c>
      <c r="E298">
        <v>13955.45</v>
      </c>
      <c r="F298">
        <v>13790.2</v>
      </c>
      <c r="G298">
        <v>13934.2</v>
      </c>
      <c r="H298">
        <v>0</v>
      </c>
      <c r="I298" s="8">
        <f t="shared" si="17"/>
        <v>7.1374620991728754E-3</v>
      </c>
      <c r="J298" s="8">
        <f t="shared" si="18"/>
        <v>7.1121109735532749E-3</v>
      </c>
      <c r="K298" s="8">
        <f t="shared" si="15"/>
        <v>-8.7393869979831562E-3</v>
      </c>
    </row>
    <row r="299" spans="1:11" x14ac:dyDescent="0.25">
      <c r="A299" t="str">
        <f t="shared" si="16"/>
        <v>32018</v>
      </c>
      <c r="B299" s="1">
        <v>43173</v>
      </c>
      <c r="C299" t="s">
        <v>202</v>
      </c>
      <c r="D299">
        <v>13896.15</v>
      </c>
      <c r="E299">
        <v>13897.15</v>
      </c>
      <c r="F299">
        <v>13759.65</v>
      </c>
      <c r="G299">
        <v>13843.25</v>
      </c>
      <c r="H299">
        <v>0</v>
      </c>
      <c r="I299" s="8">
        <f t="shared" si="17"/>
        <v>-6.5271059694852473E-3</v>
      </c>
      <c r="J299" s="8">
        <f t="shared" si="18"/>
        <v>-6.5485006734686043E-3</v>
      </c>
      <c r="K299" s="8">
        <f t="shared" si="15"/>
        <v>-1.718109369730747E-2</v>
      </c>
    </row>
    <row r="300" spans="1:11" x14ac:dyDescent="0.25">
      <c r="A300" t="str">
        <f t="shared" si="16"/>
        <v>32018</v>
      </c>
      <c r="B300" s="1">
        <v>43174</v>
      </c>
      <c r="C300" t="s">
        <v>203</v>
      </c>
      <c r="D300">
        <v>13777.3</v>
      </c>
      <c r="E300">
        <v>13809.55</v>
      </c>
      <c r="F300">
        <v>13640.9</v>
      </c>
      <c r="G300">
        <v>13667.15</v>
      </c>
      <c r="H300">
        <v>0</v>
      </c>
      <c r="I300" s="8">
        <f t="shared" si="17"/>
        <v>-1.2721001209975991E-2</v>
      </c>
      <c r="J300" s="8">
        <f t="shared" si="18"/>
        <v>-1.280260594717134E-2</v>
      </c>
      <c r="K300" s="8">
        <f t="shared" si="15"/>
        <v>-3.7287359560455036E-2</v>
      </c>
    </row>
    <row r="301" spans="1:11" x14ac:dyDescent="0.25">
      <c r="A301" t="str">
        <f t="shared" si="16"/>
        <v>32018</v>
      </c>
      <c r="B301" s="1">
        <v>43175</v>
      </c>
      <c r="C301" t="s">
        <v>204</v>
      </c>
      <c r="D301">
        <v>13620.4</v>
      </c>
      <c r="E301">
        <v>13630.65</v>
      </c>
      <c r="F301">
        <v>13301.15</v>
      </c>
      <c r="G301">
        <v>13419.25</v>
      </c>
      <c r="H301">
        <v>0</v>
      </c>
      <c r="I301" s="8">
        <f t="shared" si="17"/>
        <v>-1.8138382910848239E-2</v>
      </c>
      <c r="J301" s="8">
        <f t="shared" si="18"/>
        <v>-1.8304900018900255E-2</v>
      </c>
      <c r="K301" s="8">
        <f t="shared" si="15"/>
        <v>-5.5231892986007169E-2</v>
      </c>
    </row>
    <row r="302" spans="1:11" x14ac:dyDescent="0.25">
      <c r="A302" t="str">
        <f t="shared" si="16"/>
        <v>32018</v>
      </c>
      <c r="B302" s="1">
        <v>43178</v>
      </c>
      <c r="C302" t="s">
        <v>205</v>
      </c>
      <c r="D302">
        <v>13444.05</v>
      </c>
      <c r="E302">
        <v>13447</v>
      </c>
      <c r="F302">
        <v>13280.3</v>
      </c>
      <c r="G302">
        <v>13324</v>
      </c>
      <c r="H302">
        <v>0</v>
      </c>
      <c r="I302" s="8">
        <f t="shared" si="17"/>
        <v>-7.0980121839894217E-3</v>
      </c>
      <c r="J302" s="8">
        <f t="shared" si="18"/>
        <v>-7.1233229141660845E-3</v>
      </c>
      <c r="K302" s="8">
        <f t="shared" si="15"/>
        <v>-6.3111967401584201E-2</v>
      </c>
    </row>
    <row r="303" spans="1:11" x14ac:dyDescent="0.25">
      <c r="A303" t="str">
        <f t="shared" si="16"/>
        <v>32018</v>
      </c>
      <c r="B303" s="1">
        <v>43179</v>
      </c>
      <c r="C303" t="s">
        <v>206</v>
      </c>
      <c r="D303">
        <v>13287.85</v>
      </c>
      <c r="E303">
        <v>13403.2</v>
      </c>
      <c r="F303">
        <v>13209.1</v>
      </c>
      <c r="G303">
        <v>13244.65</v>
      </c>
      <c r="H303">
        <v>0</v>
      </c>
      <c r="I303" s="8">
        <f t="shared" si="17"/>
        <v>-5.9554187931551983E-3</v>
      </c>
      <c r="J303" s="8">
        <f t="shared" si="18"/>
        <v>-5.973223022611056E-3</v>
      </c>
      <c r="K303" s="8">
        <f t="shared" si="15"/>
        <v>-7.4625770728895535E-2</v>
      </c>
    </row>
    <row r="304" spans="1:11" x14ac:dyDescent="0.25">
      <c r="A304" t="str">
        <f t="shared" si="16"/>
        <v>32018</v>
      </c>
      <c r="B304" s="1">
        <v>43180</v>
      </c>
      <c r="C304" t="s">
        <v>207</v>
      </c>
      <c r="D304">
        <v>13316</v>
      </c>
      <c r="E304">
        <v>13401.75</v>
      </c>
      <c r="F304">
        <v>13267.8</v>
      </c>
      <c r="G304">
        <v>13325.3</v>
      </c>
      <c r="H304">
        <v>0</v>
      </c>
      <c r="I304" s="8">
        <f t="shared" si="17"/>
        <v>6.0892511315888687E-3</v>
      </c>
      <c r="J304" s="8">
        <f t="shared" si="18"/>
        <v>6.0707865609426316E-3</v>
      </c>
      <c r="K304" s="8">
        <f t="shared" si="15"/>
        <v>-6.5756632452745656E-2</v>
      </c>
    </row>
    <row r="305" spans="1:11" x14ac:dyDescent="0.25">
      <c r="A305" t="str">
        <f t="shared" si="16"/>
        <v>32018</v>
      </c>
      <c r="B305" s="1">
        <v>43181</v>
      </c>
      <c r="C305" t="s">
        <v>208</v>
      </c>
      <c r="D305">
        <v>13329.8</v>
      </c>
      <c r="E305">
        <v>13455.25</v>
      </c>
      <c r="F305">
        <v>13320.45</v>
      </c>
      <c r="G305">
        <v>13372.95</v>
      </c>
      <c r="H305">
        <v>0</v>
      </c>
      <c r="I305" s="8">
        <f t="shared" si="17"/>
        <v>3.5759044824508202E-3</v>
      </c>
      <c r="J305" s="8">
        <f t="shared" si="18"/>
        <v>3.5695261370637375E-3</v>
      </c>
      <c r="K305" s="8">
        <f t="shared" si="15"/>
        <v>-6.1639558218841595E-2</v>
      </c>
    </row>
    <row r="306" spans="1:11" x14ac:dyDescent="0.25">
      <c r="A306" t="str">
        <f t="shared" si="16"/>
        <v>32018</v>
      </c>
      <c r="B306" s="1">
        <v>43182</v>
      </c>
      <c r="C306" t="s">
        <v>209</v>
      </c>
      <c r="D306">
        <v>13142.85</v>
      </c>
      <c r="E306">
        <v>13279</v>
      </c>
      <c r="F306">
        <v>13142.5</v>
      </c>
      <c r="G306">
        <v>13239.2</v>
      </c>
      <c r="H306">
        <v>0</v>
      </c>
      <c r="I306" s="8">
        <f t="shared" si="17"/>
        <v>-1.0001532945236424E-2</v>
      </c>
      <c r="J306" s="8">
        <f t="shared" si="18"/>
        <v>-1.0051884284232001E-2</v>
      </c>
      <c r="K306" s="8">
        <f t="shared" si="15"/>
        <v>-7.799556380426409E-2</v>
      </c>
    </row>
    <row r="307" spans="1:11" x14ac:dyDescent="0.25">
      <c r="A307" t="str">
        <f t="shared" si="16"/>
        <v>32018</v>
      </c>
      <c r="B307" s="1">
        <v>43185</v>
      </c>
      <c r="C307" t="s">
        <v>210</v>
      </c>
      <c r="D307">
        <v>13249.45</v>
      </c>
      <c r="E307">
        <v>13303.35</v>
      </c>
      <c r="F307">
        <v>13143.35</v>
      </c>
      <c r="G307">
        <v>13280.2</v>
      </c>
      <c r="H307">
        <v>0</v>
      </c>
      <c r="I307" s="8">
        <f t="shared" si="17"/>
        <v>3.096863858843335E-3</v>
      </c>
      <c r="J307" s="8">
        <f t="shared" si="18"/>
        <v>3.0920784532508109E-3</v>
      </c>
      <c r="K307" s="8">
        <f t="shared" si="15"/>
        <v>-8.0493673296290424E-2</v>
      </c>
    </row>
    <row r="308" spans="1:11" x14ac:dyDescent="0.25">
      <c r="A308" t="str">
        <f t="shared" si="16"/>
        <v>32018</v>
      </c>
      <c r="B308" s="1">
        <v>43186</v>
      </c>
      <c r="C308" t="s">
        <v>211</v>
      </c>
      <c r="D308">
        <v>13369.65</v>
      </c>
      <c r="E308">
        <v>13396.4</v>
      </c>
      <c r="F308">
        <v>13310.95</v>
      </c>
      <c r="G308">
        <v>13354.4</v>
      </c>
      <c r="H308">
        <v>0</v>
      </c>
      <c r="I308" s="8">
        <f t="shared" si="17"/>
        <v>5.5872652520292387E-3</v>
      </c>
      <c r="J308" s="8">
        <f t="shared" si="18"/>
        <v>5.5717143831937859E-3</v>
      </c>
      <c r="K308" s="8">
        <f t="shared" si="15"/>
        <v>-6.8227249733991524E-2</v>
      </c>
    </row>
    <row r="309" spans="1:11" x14ac:dyDescent="0.25">
      <c r="A309" t="str">
        <f t="shared" si="16"/>
        <v>32018</v>
      </c>
      <c r="B309" s="1">
        <v>43187</v>
      </c>
      <c r="C309" t="s">
        <v>212</v>
      </c>
      <c r="D309">
        <v>13296.9</v>
      </c>
      <c r="E309">
        <v>13297.2</v>
      </c>
      <c r="F309">
        <v>13184.5</v>
      </c>
      <c r="G309">
        <v>13214.15</v>
      </c>
      <c r="H309">
        <v>0</v>
      </c>
      <c r="I309" s="8">
        <f t="shared" si="17"/>
        <v>-1.0502156592583689E-2</v>
      </c>
      <c r="J309" s="8">
        <f t="shared" si="18"/>
        <v>-1.0557693418984866E-2</v>
      </c>
      <c r="K309" s="8">
        <f t="shared" si="15"/>
        <v>-7.5189837981593621E-2</v>
      </c>
    </row>
    <row r="310" spans="1:11" x14ac:dyDescent="0.25">
      <c r="A310" t="str">
        <f t="shared" si="16"/>
        <v>42018</v>
      </c>
      <c r="B310" s="1">
        <v>43192</v>
      </c>
      <c r="C310" s="10">
        <v>43135.645833333336</v>
      </c>
      <c r="D310">
        <v>13316.95</v>
      </c>
      <c r="E310">
        <v>13344.95</v>
      </c>
      <c r="F310">
        <v>13257.9</v>
      </c>
      <c r="G310">
        <v>13291.25</v>
      </c>
      <c r="H310">
        <v>0</v>
      </c>
      <c r="I310" s="8">
        <f t="shared" si="17"/>
        <v>5.8346545180734122E-3</v>
      </c>
      <c r="J310" s="8">
        <f t="shared" si="18"/>
        <v>5.8176988431025006E-3</v>
      </c>
      <c r="K310" s="8">
        <f t="shared" si="15"/>
        <v>-6.7234881713487682E-2</v>
      </c>
    </row>
    <row r="311" spans="1:11" x14ac:dyDescent="0.25">
      <c r="A311" t="str">
        <f t="shared" si="16"/>
        <v>42018</v>
      </c>
      <c r="B311" s="1">
        <v>43193</v>
      </c>
      <c r="C311" s="10">
        <v>43163.645833333336</v>
      </c>
      <c r="D311">
        <v>13275.3</v>
      </c>
      <c r="E311">
        <v>13415.55</v>
      </c>
      <c r="F311">
        <v>13241.55</v>
      </c>
      <c r="G311">
        <v>13394.75</v>
      </c>
      <c r="H311">
        <v>0</v>
      </c>
      <c r="I311" s="8">
        <f t="shared" si="17"/>
        <v>7.7870779648265831E-3</v>
      </c>
      <c r="J311" s="8">
        <f t="shared" si="18"/>
        <v>7.7569151587668526E-3</v>
      </c>
      <c r="K311" s="8">
        <f t="shared" si="15"/>
        <v>-5.2634743032544895E-2</v>
      </c>
    </row>
    <row r="312" spans="1:11" x14ac:dyDescent="0.25">
      <c r="A312" t="str">
        <f t="shared" si="16"/>
        <v>42018</v>
      </c>
      <c r="B312" s="1">
        <v>43194</v>
      </c>
      <c r="C312" s="10">
        <v>43194.645833333336</v>
      </c>
      <c r="D312">
        <v>13450.6</v>
      </c>
      <c r="E312">
        <v>13481.5</v>
      </c>
      <c r="F312">
        <v>13218.1</v>
      </c>
      <c r="G312">
        <v>13254.1</v>
      </c>
      <c r="H312">
        <v>0</v>
      </c>
      <c r="I312" s="8">
        <f t="shared" si="17"/>
        <v>-1.0500382612590675E-2</v>
      </c>
      <c r="J312" s="8">
        <f t="shared" si="18"/>
        <v>-1.055590061224493E-2</v>
      </c>
      <c r="K312" s="8">
        <f t="shared" si="15"/>
        <v>-6.4134609953115262E-2</v>
      </c>
    </row>
    <row r="313" spans="1:11" x14ac:dyDescent="0.25">
      <c r="A313" t="str">
        <f t="shared" si="16"/>
        <v>42018</v>
      </c>
      <c r="B313" s="1">
        <v>43195</v>
      </c>
      <c r="C313" s="10">
        <v>43224.645833333336</v>
      </c>
      <c r="D313">
        <v>13378.85</v>
      </c>
      <c r="E313">
        <v>13448.35</v>
      </c>
      <c r="F313">
        <v>13370.9</v>
      </c>
      <c r="G313">
        <v>13431.9</v>
      </c>
      <c r="H313">
        <v>0</v>
      </c>
      <c r="I313" s="8">
        <f t="shared" si="17"/>
        <v>1.341471695550811E-2</v>
      </c>
      <c r="J313" s="8">
        <f t="shared" si="18"/>
        <v>1.3325536310162481E-2</v>
      </c>
      <c r="K313" s="8">
        <f t="shared" si="15"/>
        <v>-5.1272090296515027E-2</v>
      </c>
    </row>
    <row r="314" spans="1:11" x14ac:dyDescent="0.25">
      <c r="A314" t="str">
        <f t="shared" si="16"/>
        <v>42018</v>
      </c>
      <c r="B314" s="1">
        <v>43196</v>
      </c>
      <c r="C314" s="10">
        <v>43255.645833333336</v>
      </c>
      <c r="D314">
        <v>13460.2</v>
      </c>
      <c r="E314">
        <v>13551.75</v>
      </c>
      <c r="F314">
        <v>13432.85</v>
      </c>
      <c r="G314">
        <v>13490.6</v>
      </c>
      <c r="H314">
        <v>0</v>
      </c>
      <c r="I314" s="8">
        <f t="shared" si="17"/>
        <v>4.3701933456921083E-3</v>
      </c>
      <c r="J314" s="8">
        <f t="shared" si="18"/>
        <v>4.3606717813914966E-3</v>
      </c>
      <c r="K314" s="8">
        <f t="shared" si="15"/>
        <v>-5.3108494621769142E-2</v>
      </c>
    </row>
    <row r="315" spans="1:11" x14ac:dyDescent="0.25">
      <c r="A315" t="str">
        <f t="shared" si="16"/>
        <v>42018</v>
      </c>
      <c r="B315" s="1">
        <v>43199</v>
      </c>
      <c r="C315" s="10">
        <v>43347.645833333336</v>
      </c>
      <c r="D315">
        <v>13511.25</v>
      </c>
      <c r="E315">
        <v>13650</v>
      </c>
      <c r="F315">
        <v>13510.1</v>
      </c>
      <c r="G315">
        <v>13611.4</v>
      </c>
      <c r="H315">
        <v>0</v>
      </c>
      <c r="I315" s="8">
        <f t="shared" si="17"/>
        <v>8.9543830519027701E-3</v>
      </c>
      <c r="J315" s="8">
        <f t="shared" si="18"/>
        <v>8.9145302918874295E-3</v>
      </c>
      <c r="K315" s="8">
        <f t="shared" si="15"/>
        <v>-4.4807331981277065E-2</v>
      </c>
    </row>
    <row r="316" spans="1:11" x14ac:dyDescent="0.25">
      <c r="A316" t="str">
        <f t="shared" si="16"/>
        <v>42018</v>
      </c>
      <c r="B316" s="1">
        <v>43200</v>
      </c>
      <c r="C316" s="10">
        <v>43377.645833333336</v>
      </c>
      <c r="D316">
        <v>13670.3</v>
      </c>
      <c r="E316">
        <v>13671.2</v>
      </c>
      <c r="F316">
        <v>13606.75</v>
      </c>
      <c r="G316">
        <v>13636.75</v>
      </c>
      <c r="H316">
        <v>0</v>
      </c>
      <c r="I316" s="8">
        <f t="shared" si="17"/>
        <v>1.8624094509014366E-3</v>
      </c>
      <c r="J316" s="8">
        <f t="shared" si="18"/>
        <v>1.860677316715304E-3</v>
      </c>
      <c r="K316" s="8">
        <f t="shared" si="15"/>
        <v>-4.8111824654474389E-2</v>
      </c>
    </row>
    <row r="317" spans="1:11" x14ac:dyDescent="0.25">
      <c r="A317" t="str">
        <f t="shared" si="16"/>
        <v>42018</v>
      </c>
      <c r="B317" s="1">
        <v>43201</v>
      </c>
      <c r="C317" s="10">
        <v>43408.645833333336</v>
      </c>
      <c r="D317">
        <v>13665.45</v>
      </c>
      <c r="E317">
        <v>13712.6</v>
      </c>
      <c r="F317">
        <v>13512.3</v>
      </c>
      <c r="G317">
        <v>13581.65</v>
      </c>
      <c r="H317">
        <v>0</v>
      </c>
      <c r="I317" s="8">
        <f t="shared" si="17"/>
        <v>-4.0405521843548398E-3</v>
      </c>
      <c r="J317" s="8">
        <f t="shared" si="18"/>
        <v>-4.0487372709517144E-3</v>
      </c>
      <c r="K317" s="8">
        <f t="shared" si="15"/>
        <v>-5.7556328108194443E-2</v>
      </c>
    </row>
    <row r="318" spans="1:11" x14ac:dyDescent="0.25">
      <c r="A318" t="str">
        <f t="shared" si="16"/>
        <v>42018</v>
      </c>
      <c r="B318" s="1">
        <v>43202</v>
      </c>
      <c r="C318" s="10">
        <v>43438.645833333336</v>
      </c>
      <c r="D318">
        <v>13539.95</v>
      </c>
      <c r="E318">
        <v>13594.05</v>
      </c>
      <c r="F318">
        <v>13474.7</v>
      </c>
      <c r="G318">
        <v>13574.8</v>
      </c>
      <c r="H318">
        <v>0</v>
      </c>
      <c r="I318" s="8">
        <f t="shared" si="17"/>
        <v>-5.0435698166273468E-4</v>
      </c>
      <c r="J318" s="8">
        <f t="shared" si="18"/>
        <v>-5.0448421242682529E-4</v>
      </c>
      <c r="K318" s="8">
        <f t="shared" si="15"/>
        <v>-5.702397243621371E-2</v>
      </c>
    </row>
    <row r="319" spans="1:11" x14ac:dyDescent="0.25">
      <c r="A319" t="str">
        <f t="shared" si="16"/>
        <v>42018</v>
      </c>
      <c r="B319" s="1">
        <v>43203</v>
      </c>
      <c r="C319" t="s">
        <v>213</v>
      </c>
      <c r="D319">
        <v>13626.5</v>
      </c>
      <c r="E319">
        <v>13663.7</v>
      </c>
      <c r="F319">
        <v>13577.8</v>
      </c>
      <c r="G319">
        <v>13633.8</v>
      </c>
      <c r="H319">
        <v>0</v>
      </c>
      <c r="I319" s="8">
        <f t="shared" si="17"/>
        <v>4.3462887114358306E-3</v>
      </c>
      <c r="J319" s="8">
        <f t="shared" si="18"/>
        <v>4.3368708772112052E-3</v>
      </c>
      <c r="K319" s="8">
        <f t="shared" si="15"/>
        <v>-4.9309843490145444E-2</v>
      </c>
    </row>
    <row r="320" spans="1:11" x14ac:dyDescent="0.25">
      <c r="A320" t="str">
        <f t="shared" si="16"/>
        <v>42018</v>
      </c>
      <c r="B320" s="1">
        <v>43206</v>
      </c>
      <c r="C320" t="s">
        <v>214</v>
      </c>
      <c r="D320">
        <v>13570.5</v>
      </c>
      <c r="E320">
        <v>13667.7</v>
      </c>
      <c r="F320">
        <v>13524.85</v>
      </c>
      <c r="G320">
        <v>13638.35</v>
      </c>
      <c r="H320">
        <v>0</v>
      </c>
      <c r="I320" s="8">
        <f t="shared" si="17"/>
        <v>3.3372940779541338E-4</v>
      </c>
      <c r="J320" s="8">
        <f t="shared" si="18"/>
        <v>3.3367373252323894E-4</v>
      </c>
      <c r="K320" s="8">
        <f t="shared" ref="K320:K383" si="19">+G320/G259-1</f>
        <v>-5.5447245125164968E-2</v>
      </c>
    </row>
    <row r="321" spans="1:11" x14ac:dyDescent="0.25">
      <c r="A321" t="str">
        <f t="shared" si="16"/>
        <v>42018</v>
      </c>
      <c r="B321" s="1">
        <v>43207</v>
      </c>
      <c r="C321" t="s">
        <v>215</v>
      </c>
      <c r="D321">
        <v>13691.3</v>
      </c>
      <c r="E321">
        <v>13769.1</v>
      </c>
      <c r="F321">
        <v>13667</v>
      </c>
      <c r="G321">
        <v>13750.55</v>
      </c>
      <c r="H321">
        <v>0</v>
      </c>
      <c r="I321" s="8">
        <f t="shared" si="17"/>
        <v>8.2268016292292856E-3</v>
      </c>
      <c r="J321" s="8">
        <f t="shared" si="18"/>
        <v>8.1931459564084149E-3</v>
      </c>
      <c r="K321" s="8">
        <f t="shared" si="19"/>
        <v>-4.5789846222172859E-2</v>
      </c>
    </row>
    <row r="322" spans="1:11" x14ac:dyDescent="0.25">
      <c r="A322" t="str">
        <f t="shared" si="16"/>
        <v>42018</v>
      </c>
      <c r="B322" s="1">
        <v>43208</v>
      </c>
      <c r="C322" t="s">
        <v>216</v>
      </c>
      <c r="D322">
        <v>13757.4</v>
      </c>
      <c r="E322">
        <v>13778.15</v>
      </c>
      <c r="F322">
        <v>13666.25</v>
      </c>
      <c r="G322">
        <v>13696.1</v>
      </c>
      <c r="H322">
        <v>0</v>
      </c>
      <c r="I322" s="8">
        <f t="shared" si="17"/>
        <v>-3.9598416063356678E-3</v>
      </c>
      <c r="J322" s="8">
        <f t="shared" si="18"/>
        <v>-3.9677025380012122E-3</v>
      </c>
      <c r="K322" s="8">
        <f t="shared" si="19"/>
        <v>-2.9003488075319717E-2</v>
      </c>
    </row>
    <row r="323" spans="1:11" x14ac:dyDescent="0.25">
      <c r="A323" t="str">
        <f t="shared" ref="A323:A386" si="20">+MONTH(B323)&amp;YEAR(B323)</f>
        <v>42018</v>
      </c>
      <c r="B323" s="1">
        <v>43209</v>
      </c>
      <c r="C323" t="s">
        <v>217</v>
      </c>
      <c r="D323">
        <v>13678.1</v>
      </c>
      <c r="E323">
        <v>13718.4</v>
      </c>
      <c r="F323">
        <v>13597.45</v>
      </c>
      <c r="G323">
        <v>13643.65</v>
      </c>
      <c r="H323">
        <v>0</v>
      </c>
      <c r="I323" s="8">
        <f t="shared" si="17"/>
        <v>-3.8295573192369536E-3</v>
      </c>
      <c r="J323" s="8">
        <f t="shared" si="18"/>
        <v>-3.8369088486049398E-3</v>
      </c>
      <c r="K323" s="8">
        <f t="shared" si="19"/>
        <v>-3.5160545511762065E-2</v>
      </c>
    </row>
    <row r="324" spans="1:11" x14ac:dyDescent="0.25">
      <c r="A324" t="str">
        <f t="shared" si="20"/>
        <v>42018</v>
      </c>
      <c r="B324" s="1">
        <v>43210</v>
      </c>
      <c r="C324" t="s">
        <v>218</v>
      </c>
      <c r="D324">
        <v>13615.3</v>
      </c>
      <c r="E324">
        <v>13637.05</v>
      </c>
      <c r="F324">
        <v>13406.75</v>
      </c>
      <c r="G324">
        <v>13476.45</v>
      </c>
      <c r="H324">
        <v>0</v>
      </c>
      <c r="I324" s="8">
        <f t="shared" ref="I324:I387" si="21">+G324/G323-1</f>
        <v>-1.2254785193111739E-2</v>
      </c>
      <c r="J324" s="8">
        <f t="shared" ref="J324:J387" si="22">+LN(1+I324)</f>
        <v>-1.2330494241082702E-2</v>
      </c>
      <c r="K324" s="8">
        <f t="shared" si="19"/>
        <v>-3.6966502903081677E-2</v>
      </c>
    </row>
    <row r="325" spans="1:11" x14ac:dyDescent="0.25">
      <c r="A325" t="str">
        <f t="shared" si="20"/>
        <v>42018</v>
      </c>
      <c r="B325" s="1">
        <v>43213</v>
      </c>
      <c r="C325" t="s">
        <v>219</v>
      </c>
      <c r="D325">
        <v>13523.9</v>
      </c>
      <c r="E325">
        <v>13608.5</v>
      </c>
      <c r="F325">
        <v>13501.55</v>
      </c>
      <c r="G325">
        <v>13558.65</v>
      </c>
      <c r="H325">
        <v>0</v>
      </c>
      <c r="I325" s="8">
        <f t="shared" si="21"/>
        <v>6.0995291786782868E-3</v>
      </c>
      <c r="J325" s="8">
        <f t="shared" si="22"/>
        <v>6.0810023490337701E-3</v>
      </c>
      <c r="K325" s="8">
        <f t="shared" si="19"/>
        <v>-4.0306198285686046E-2</v>
      </c>
    </row>
    <row r="326" spans="1:11" x14ac:dyDescent="0.25">
      <c r="A326" t="str">
        <f t="shared" si="20"/>
        <v>42018</v>
      </c>
      <c r="B326" s="1">
        <v>43214</v>
      </c>
      <c r="C326" t="s">
        <v>220</v>
      </c>
      <c r="D326">
        <v>13560.4</v>
      </c>
      <c r="E326">
        <v>13887.1</v>
      </c>
      <c r="F326">
        <v>13554.2</v>
      </c>
      <c r="G326">
        <v>13841.8</v>
      </c>
      <c r="H326">
        <v>0</v>
      </c>
      <c r="I326" s="8">
        <f t="shared" si="21"/>
        <v>2.0883347530912033E-2</v>
      </c>
      <c r="J326" s="8">
        <f t="shared" si="22"/>
        <v>2.0668279502262306E-2</v>
      </c>
      <c r="K326" s="8">
        <f t="shared" si="19"/>
        <v>-3.9424284693162392E-2</v>
      </c>
    </row>
    <row r="327" spans="1:11" x14ac:dyDescent="0.25">
      <c r="A327" t="str">
        <f t="shared" si="20"/>
        <v>42018</v>
      </c>
      <c r="B327" s="1">
        <v>43215</v>
      </c>
      <c r="C327" t="s">
        <v>221</v>
      </c>
      <c r="D327">
        <v>13866.85</v>
      </c>
      <c r="E327">
        <v>13941.3</v>
      </c>
      <c r="F327">
        <v>13733.65</v>
      </c>
      <c r="G327">
        <v>13784.85</v>
      </c>
      <c r="H327">
        <v>0</v>
      </c>
      <c r="I327" s="8">
        <f t="shared" si="21"/>
        <v>-4.1143492898321199E-3</v>
      </c>
      <c r="J327" s="8">
        <f t="shared" si="22"/>
        <v>-4.1228365124697068E-3</v>
      </c>
      <c r="K327" s="8">
        <f t="shared" si="19"/>
        <v>-5.5621970644150198E-2</v>
      </c>
    </row>
    <row r="328" spans="1:11" x14ac:dyDescent="0.25">
      <c r="A328" t="str">
        <f t="shared" si="20"/>
        <v>42018</v>
      </c>
      <c r="B328" s="1">
        <v>43216</v>
      </c>
      <c r="C328" t="s">
        <v>222</v>
      </c>
      <c r="D328">
        <v>13814.7</v>
      </c>
      <c r="E328">
        <v>13897.5</v>
      </c>
      <c r="F328">
        <v>13690.5</v>
      </c>
      <c r="G328">
        <v>13824.85</v>
      </c>
      <c r="H328">
        <v>0</v>
      </c>
      <c r="I328" s="8">
        <f t="shared" si="21"/>
        <v>2.9017363264742801E-3</v>
      </c>
      <c r="J328" s="8">
        <f t="shared" si="22"/>
        <v>2.8975344162146428E-3</v>
      </c>
      <c r="K328" s="8">
        <f t="shared" si="19"/>
        <v>-4.6874299798341901E-2</v>
      </c>
    </row>
    <row r="329" spans="1:11" x14ac:dyDescent="0.25">
      <c r="A329" t="str">
        <f t="shared" si="20"/>
        <v>42018</v>
      </c>
      <c r="B329" s="1">
        <v>43217</v>
      </c>
      <c r="C329" t="s">
        <v>223</v>
      </c>
      <c r="D329">
        <v>13959.45</v>
      </c>
      <c r="E329">
        <v>14140</v>
      </c>
      <c r="F329">
        <v>13926.65</v>
      </c>
      <c r="G329">
        <v>14030.45</v>
      </c>
      <c r="H329">
        <v>0</v>
      </c>
      <c r="I329" s="8">
        <f t="shared" si="21"/>
        <v>1.4871770760623182E-2</v>
      </c>
      <c r="J329" s="8">
        <f t="shared" si="22"/>
        <v>1.4762270286923139E-2</v>
      </c>
      <c r="K329" s="8">
        <f t="shared" si="19"/>
        <v>-3.008506358165719E-2</v>
      </c>
    </row>
    <row r="330" spans="1:11" x14ac:dyDescent="0.25">
      <c r="A330" t="str">
        <f t="shared" si="20"/>
        <v>42018</v>
      </c>
      <c r="B330" s="1">
        <v>43220</v>
      </c>
      <c r="C330" t="s">
        <v>224</v>
      </c>
      <c r="D330">
        <v>13928.35</v>
      </c>
      <c r="E330">
        <v>14006.85</v>
      </c>
      <c r="F330">
        <v>13738.95</v>
      </c>
      <c r="G330">
        <v>13770.15</v>
      </c>
      <c r="H330">
        <v>0</v>
      </c>
      <c r="I330" s="8">
        <f t="shared" si="21"/>
        <v>-1.8552505443517608E-2</v>
      </c>
      <c r="J330" s="8">
        <f t="shared" si="22"/>
        <v>-1.8726761799457006E-2</v>
      </c>
      <c r="K330" s="8">
        <f t="shared" si="19"/>
        <v>-4.2479512970193367E-2</v>
      </c>
    </row>
    <row r="331" spans="1:11" x14ac:dyDescent="0.25">
      <c r="A331" t="str">
        <f t="shared" si="20"/>
        <v>52018</v>
      </c>
      <c r="B331" s="1">
        <v>43222</v>
      </c>
      <c r="C331" s="10">
        <v>43136.645833333336</v>
      </c>
      <c r="D331">
        <v>13824.25</v>
      </c>
      <c r="E331">
        <v>13888.3</v>
      </c>
      <c r="F331">
        <v>13728.7</v>
      </c>
      <c r="G331">
        <v>13771.7</v>
      </c>
      <c r="H331">
        <v>0</v>
      </c>
      <c r="I331" s="8">
        <f t="shared" si="21"/>
        <v>1.1256231776712866E-4</v>
      </c>
      <c r="J331" s="8">
        <f t="shared" si="22"/>
        <v>1.125559831047965E-4</v>
      </c>
      <c r="K331" s="8">
        <f t="shared" si="19"/>
        <v>-4.1538638206360279E-2</v>
      </c>
    </row>
    <row r="332" spans="1:11" x14ac:dyDescent="0.25">
      <c r="A332" t="str">
        <f t="shared" si="20"/>
        <v>52018</v>
      </c>
      <c r="B332" s="1">
        <v>43223</v>
      </c>
      <c r="C332" s="10">
        <v>43164.645833333336</v>
      </c>
      <c r="D332">
        <v>13807.35</v>
      </c>
      <c r="E332">
        <v>13810.5</v>
      </c>
      <c r="F332">
        <v>13641.05</v>
      </c>
      <c r="G332">
        <v>13709.5</v>
      </c>
      <c r="H332">
        <v>0</v>
      </c>
      <c r="I332" s="8">
        <f t="shared" si="21"/>
        <v>-4.51650849205254E-3</v>
      </c>
      <c r="J332" s="8">
        <f t="shared" si="22"/>
        <v>-4.5267387314623366E-3</v>
      </c>
      <c r="K332" s="8">
        <f t="shared" si="19"/>
        <v>-5.1504951933554532E-2</v>
      </c>
    </row>
    <row r="333" spans="1:11" x14ac:dyDescent="0.25">
      <c r="A333" t="str">
        <f t="shared" si="20"/>
        <v>52018</v>
      </c>
      <c r="B333" s="1">
        <v>43224</v>
      </c>
      <c r="C333" s="10">
        <v>43195.645833333336</v>
      </c>
      <c r="D333">
        <v>13719.1</v>
      </c>
      <c r="E333">
        <v>13730.65</v>
      </c>
      <c r="F333">
        <v>13610.2</v>
      </c>
      <c r="G333">
        <v>13643.25</v>
      </c>
      <c r="H333">
        <v>0</v>
      </c>
      <c r="I333" s="8">
        <f t="shared" si="21"/>
        <v>-4.8324154783179196E-3</v>
      </c>
      <c r="J333" s="8">
        <f t="shared" si="22"/>
        <v>-4.8441293507640523E-3</v>
      </c>
      <c r="K333" s="8">
        <f t="shared" si="19"/>
        <v>-4.3511942736558673E-2</v>
      </c>
    </row>
    <row r="334" spans="1:11" x14ac:dyDescent="0.25">
      <c r="A334" t="str">
        <f t="shared" si="20"/>
        <v>52018</v>
      </c>
      <c r="B334" s="1">
        <v>43227</v>
      </c>
      <c r="C334" s="10">
        <v>43286.645833333336</v>
      </c>
      <c r="D334">
        <v>13669</v>
      </c>
      <c r="E334">
        <v>13881.2</v>
      </c>
      <c r="F334">
        <v>13644.4</v>
      </c>
      <c r="G334">
        <v>13863.1</v>
      </c>
      <c r="H334">
        <v>0</v>
      </c>
      <c r="I334" s="8">
        <f t="shared" si="21"/>
        <v>1.6114195664522768E-2</v>
      </c>
      <c r="J334" s="8">
        <f t="shared" si="22"/>
        <v>1.598574014778719E-2</v>
      </c>
      <c r="K334" s="8">
        <f t="shared" si="19"/>
        <v>6.3737268879806575E-3</v>
      </c>
    </row>
    <row r="335" spans="1:11" x14ac:dyDescent="0.25">
      <c r="A335" t="str">
        <f t="shared" si="20"/>
        <v>52018</v>
      </c>
      <c r="B335" s="1">
        <v>43228</v>
      </c>
      <c r="C335" s="10">
        <v>43317.645833333336</v>
      </c>
      <c r="D335">
        <v>13903.25</v>
      </c>
      <c r="E335">
        <v>13972.4</v>
      </c>
      <c r="F335">
        <v>13833.95</v>
      </c>
      <c r="G335">
        <v>13880.6</v>
      </c>
      <c r="H335">
        <v>0</v>
      </c>
      <c r="I335" s="8">
        <f t="shared" si="21"/>
        <v>1.2623439201910891E-3</v>
      </c>
      <c r="J335" s="8">
        <f t="shared" si="22"/>
        <v>1.261547833990622E-3</v>
      </c>
      <c r="K335" s="8">
        <f t="shared" si="19"/>
        <v>8.2955602045560184E-3</v>
      </c>
    </row>
    <row r="336" spans="1:11" x14ac:dyDescent="0.25">
      <c r="A336" t="str">
        <f t="shared" si="20"/>
        <v>52018</v>
      </c>
      <c r="B336" s="1">
        <v>43229</v>
      </c>
      <c r="C336" s="10">
        <v>43348.645833333336</v>
      </c>
      <c r="D336">
        <v>13818.85</v>
      </c>
      <c r="E336">
        <v>13983.95</v>
      </c>
      <c r="F336">
        <v>13768.75</v>
      </c>
      <c r="G336">
        <v>13921.15</v>
      </c>
      <c r="H336">
        <v>0</v>
      </c>
      <c r="I336" s="8">
        <f t="shared" si="21"/>
        <v>2.9213434577755049E-3</v>
      </c>
      <c r="J336" s="8">
        <f t="shared" si="22"/>
        <v>2.9170846262999294E-3</v>
      </c>
      <c r="K336" s="8">
        <f t="shared" si="19"/>
        <v>2.4842274196279268E-2</v>
      </c>
    </row>
    <row r="337" spans="1:11" x14ac:dyDescent="0.25">
      <c r="A337" t="str">
        <f t="shared" si="20"/>
        <v>52018</v>
      </c>
      <c r="B337" s="1">
        <v>43230</v>
      </c>
      <c r="C337" s="10">
        <v>43378.645833333336</v>
      </c>
      <c r="D337">
        <v>13959.6</v>
      </c>
      <c r="E337">
        <v>13971.5</v>
      </c>
      <c r="F337">
        <v>13875.85</v>
      </c>
      <c r="G337">
        <v>13960.05</v>
      </c>
      <c r="H337">
        <v>0</v>
      </c>
      <c r="I337" s="8">
        <f t="shared" si="21"/>
        <v>2.7943093781763739E-3</v>
      </c>
      <c r="J337" s="8">
        <f t="shared" si="22"/>
        <v>2.7904125533274949E-3</v>
      </c>
      <c r="K337" s="8">
        <f t="shared" si="19"/>
        <v>1.8442794871327273E-2</v>
      </c>
    </row>
    <row r="338" spans="1:11" x14ac:dyDescent="0.25">
      <c r="A338" t="str">
        <f t="shared" si="20"/>
        <v>52018</v>
      </c>
      <c r="B338" s="1">
        <v>43231</v>
      </c>
      <c r="C338" s="10">
        <v>43409.645833333336</v>
      </c>
      <c r="D338">
        <v>13969.35</v>
      </c>
      <c r="E338">
        <v>14080.15</v>
      </c>
      <c r="F338">
        <v>13946.05</v>
      </c>
      <c r="G338">
        <v>14048.35</v>
      </c>
      <c r="H338">
        <v>0</v>
      </c>
      <c r="I338" s="8">
        <f t="shared" si="21"/>
        <v>6.3251922450136E-3</v>
      </c>
      <c r="J338" s="8">
        <f t="shared" si="22"/>
        <v>6.3052721712823405E-3</v>
      </c>
      <c r="K338" s="8">
        <f t="shared" si="19"/>
        <v>2.3398884692015454E-2</v>
      </c>
    </row>
    <row r="339" spans="1:11" x14ac:dyDescent="0.25">
      <c r="A339" t="str">
        <f t="shared" si="20"/>
        <v>52018</v>
      </c>
      <c r="B339" s="1">
        <v>43234</v>
      </c>
      <c r="C339" t="s">
        <v>225</v>
      </c>
      <c r="D339">
        <v>14080.8</v>
      </c>
      <c r="E339">
        <v>14102</v>
      </c>
      <c r="F339">
        <v>13967.8</v>
      </c>
      <c r="G339">
        <v>14071.35</v>
      </c>
      <c r="H339">
        <v>0</v>
      </c>
      <c r="I339" s="8">
        <f t="shared" si="21"/>
        <v>1.6372029455415937E-3</v>
      </c>
      <c r="J339" s="8">
        <f t="shared" si="22"/>
        <v>1.6358641898098494E-3</v>
      </c>
      <c r="K339" s="8">
        <f t="shared" si="19"/>
        <v>3.1654154080764885E-2</v>
      </c>
    </row>
    <row r="340" spans="1:11" x14ac:dyDescent="0.25">
      <c r="A340" t="str">
        <f t="shared" si="20"/>
        <v>52018</v>
      </c>
      <c r="B340" s="1">
        <v>43235</v>
      </c>
      <c r="C340" t="s">
        <v>226</v>
      </c>
      <c r="D340">
        <v>14048.95</v>
      </c>
      <c r="E340">
        <v>14244.05</v>
      </c>
      <c r="F340">
        <v>14006.2</v>
      </c>
      <c r="G340">
        <v>14025</v>
      </c>
      <c r="H340">
        <v>0</v>
      </c>
      <c r="I340" s="8">
        <f t="shared" si="21"/>
        <v>-3.2939270219275452E-3</v>
      </c>
      <c r="J340" s="8">
        <f t="shared" si="22"/>
        <v>-3.2993639420354878E-3</v>
      </c>
      <c r="K340" s="8">
        <f t="shared" si="19"/>
        <v>1.4158447343302516E-2</v>
      </c>
    </row>
    <row r="341" spans="1:11" x14ac:dyDescent="0.25">
      <c r="A341" t="str">
        <f t="shared" si="20"/>
        <v>52018</v>
      </c>
      <c r="B341" s="1">
        <v>43236</v>
      </c>
      <c r="C341" t="s">
        <v>227</v>
      </c>
      <c r="D341">
        <v>13982.75</v>
      </c>
      <c r="E341">
        <v>13984.2</v>
      </c>
      <c r="F341">
        <v>13703.8</v>
      </c>
      <c r="G341">
        <v>13786.05</v>
      </c>
      <c r="H341">
        <v>0</v>
      </c>
      <c r="I341" s="8">
        <f t="shared" si="21"/>
        <v>-1.7037433155080217E-2</v>
      </c>
      <c r="J341" s="8">
        <f t="shared" si="22"/>
        <v>-1.7184240084040073E-2</v>
      </c>
      <c r="K341" s="8">
        <f t="shared" si="19"/>
        <v>-6.6971683838893403E-3</v>
      </c>
    </row>
    <row r="342" spans="1:11" x14ac:dyDescent="0.25">
      <c r="A342" t="str">
        <f t="shared" si="20"/>
        <v>52018</v>
      </c>
      <c r="B342" s="1">
        <v>43237</v>
      </c>
      <c r="C342" t="s">
        <v>228</v>
      </c>
      <c r="D342">
        <v>13802.8</v>
      </c>
      <c r="E342">
        <v>13809.2</v>
      </c>
      <c r="F342">
        <v>13650.05</v>
      </c>
      <c r="G342">
        <v>13682.7</v>
      </c>
      <c r="H342">
        <v>0</v>
      </c>
      <c r="I342" s="8">
        <f t="shared" si="21"/>
        <v>-7.4967086293752372E-3</v>
      </c>
      <c r="J342" s="8">
        <f t="shared" si="22"/>
        <v>-7.5249501838472073E-3</v>
      </c>
      <c r="K342" s="8">
        <f t="shared" si="19"/>
        <v>-2.0432270673892639E-2</v>
      </c>
    </row>
    <row r="343" spans="1:11" x14ac:dyDescent="0.25">
      <c r="A343" t="str">
        <f t="shared" si="20"/>
        <v>52018</v>
      </c>
      <c r="B343" s="1">
        <v>43238</v>
      </c>
      <c r="C343" t="s">
        <v>229</v>
      </c>
      <c r="D343">
        <v>13672.5</v>
      </c>
      <c r="E343">
        <v>13775.85</v>
      </c>
      <c r="F343">
        <v>13501.8</v>
      </c>
      <c r="G343">
        <v>13523.55</v>
      </c>
      <c r="H343">
        <v>0</v>
      </c>
      <c r="I343" s="8">
        <f t="shared" si="21"/>
        <v>-1.1631476243723959E-2</v>
      </c>
      <c r="J343" s="8">
        <f t="shared" si="22"/>
        <v>-1.1699651028067894E-2</v>
      </c>
      <c r="K343" s="8">
        <f t="shared" si="19"/>
        <v>-2.0107165759127077E-2</v>
      </c>
    </row>
    <row r="344" spans="1:11" x14ac:dyDescent="0.25">
      <c r="A344" t="str">
        <f t="shared" si="20"/>
        <v>52018</v>
      </c>
      <c r="B344" s="1">
        <v>43241</v>
      </c>
      <c r="C344" t="s">
        <v>230</v>
      </c>
      <c r="D344">
        <v>13522.6</v>
      </c>
      <c r="E344">
        <v>13553.25</v>
      </c>
      <c r="F344">
        <v>13437.7</v>
      </c>
      <c r="G344">
        <v>13514.05</v>
      </c>
      <c r="H344">
        <v>0</v>
      </c>
      <c r="I344" s="8">
        <f t="shared" si="21"/>
        <v>-7.0247826938929503E-4</v>
      </c>
      <c r="J344" s="8">
        <f t="shared" si="22"/>
        <v>-7.0272512286168065E-4</v>
      </c>
      <c r="K344" s="8">
        <f t="shared" si="19"/>
        <v>-1.9139554716844254E-2</v>
      </c>
    </row>
    <row r="345" spans="1:11" x14ac:dyDescent="0.25">
      <c r="A345" t="str">
        <f t="shared" si="20"/>
        <v>52018</v>
      </c>
      <c r="B345" s="1">
        <v>43242</v>
      </c>
      <c r="C345" t="s">
        <v>231</v>
      </c>
      <c r="D345">
        <v>13547.25</v>
      </c>
      <c r="E345">
        <v>13562.7</v>
      </c>
      <c r="F345">
        <v>13435.55</v>
      </c>
      <c r="G345">
        <v>13456.25</v>
      </c>
      <c r="H345">
        <v>0</v>
      </c>
      <c r="I345" s="8">
        <f t="shared" si="21"/>
        <v>-4.2770302019009554E-3</v>
      </c>
      <c r="J345" s="8">
        <f t="shared" si="22"/>
        <v>-4.2862028594070163E-3</v>
      </c>
      <c r="K345" s="8">
        <f t="shared" si="19"/>
        <v>-2.1235507193669068E-2</v>
      </c>
    </row>
    <row r="346" spans="1:11" x14ac:dyDescent="0.25">
      <c r="A346" t="str">
        <f t="shared" si="20"/>
        <v>52018</v>
      </c>
      <c r="B346" s="1">
        <v>43243</v>
      </c>
      <c r="C346" t="s">
        <v>232</v>
      </c>
      <c r="D346">
        <v>13415.05</v>
      </c>
      <c r="E346">
        <v>13439.1</v>
      </c>
      <c r="F346">
        <v>13154.85</v>
      </c>
      <c r="G346">
        <v>13172.25</v>
      </c>
      <c r="H346">
        <v>0</v>
      </c>
      <c r="I346" s="8">
        <f t="shared" si="21"/>
        <v>-2.1105434277752022E-2</v>
      </c>
      <c r="J346" s="8">
        <f t="shared" si="22"/>
        <v>-2.1331338142718544E-2</v>
      </c>
      <c r="K346" s="8">
        <f t="shared" si="19"/>
        <v>-4.6767015233201814E-2</v>
      </c>
    </row>
    <row r="347" spans="1:11" x14ac:dyDescent="0.25">
      <c r="A347" t="str">
        <f t="shared" si="20"/>
        <v>52018</v>
      </c>
      <c r="B347" s="1">
        <v>43244</v>
      </c>
      <c r="C347" t="s">
        <v>233</v>
      </c>
      <c r="D347">
        <v>13209.25</v>
      </c>
      <c r="E347">
        <v>13239.95</v>
      </c>
      <c r="F347">
        <v>13023.45</v>
      </c>
      <c r="G347">
        <v>13113.95</v>
      </c>
      <c r="H347">
        <v>0</v>
      </c>
      <c r="I347" s="8">
        <f t="shared" si="21"/>
        <v>-4.4259712653494931E-3</v>
      </c>
      <c r="J347" s="8">
        <f t="shared" si="22"/>
        <v>-4.4357948728897161E-3</v>
      </c>
      <c r="K347" s="8">
        <f t="shared" si="19"/>
        <v>-4.0483637893504509E-2</v>
      </c>
    </row>
    <row r="348" spans="1:11" x14ac:dyDescent="0.25">
      <c r="A348" t="str">
        <f t="shared" si="20"/>
        <v>52018</v>
      </c>
      <c r="B348" s="1">
        <v>43245</v>
      </c>
      <c r="C348" t="s">
        <v>234</v>
      </c>
      <c r="D348">
        <v>13112.25</v>
      </c>
      <c r="E348">
        <v>13340.7</v>
      </c>
      <c r="F348">
        <v>13101.3</v>
      </c>
      <c r="G348">
        <v>13315.8</v>
      </c>
      <c r="H348">
        <v>0</v>
      </c>
      <c r="I348" s="8">
        <f t="shared" si="21"/>
        <v>1.5392006222381349E-2</v>
      </c>
      <c r="J348" s="8">
        <f t="shared" si="22"/>
        <v>1.5274750959673266E-2</v>
      </c>
      <c r="K348" s="8">
        <f t="shared" si="19"/>
        <v>-3.6253229787141739E-2</v>
      </c>
    </row>
    <row r="349" spans="1:11" x14ac:dyDescent="0.25">
      <c r="A349" t="str">
        <f t="shared" si="20"/>
        <v>52018</v>
      </c>
      <c r="B349" s="1">
        <v>43248</v>
      </c>
      <c r="C349" t="s">
        <v>235</v>
      </c>
      <c r="D349">
        <v>13438.1</v>
      </c>
      <c r="E349">
        <v>13509.15</v>
      </c>
      <c r="F349">
        <v>13424.65</v>
      </c>
      <c r="G349">
        <v>13446.1</v>
      </c>
      <c r="H349">
        <v>0</v>
      </c>
      <c r="I349" s="8">
        <f t="shared" si="21"/>
        <v>9.7853677586026144E-3</v>
      </c>
      <c r="J349" s="8">
        <f t="shared" si="22"/>
        <v>9.737801100619713E-3</v>
      </c>
      <c r="K349" s="8">
        <f t="shared" si="19"/>
        <v>-3.3329259437658632E-2</v>
      </c>
    </row>
    <row r="350" spans="1:11" x14ac:dyDescent="0.25">
      <c r="A350" t="str">
        <f t="shared" si="20"/>
        <v>52018</v>
      </c>
      <c r="B350" s="1">
        <v>43249</v>
      </c>
      <c r="C350" t="s">
        <v>236</v>
      </c>
      <c r="D350">
        <v>13472.95</v>
      </c>
      <c r="E350">
        <v>13553.3</v>
      </c>
      <c r="F350">
        <v>13408.55</v>
      </c>
      <c r="G350">
        <v>13446.55</v>
      </c>
      <c r="H350">
        <v>0</v>
      </c>
      <c r="I350" s="8">
        <f t="shared" si="21"/>
        <v>3.3466953242911046E-5</v>
      </c>
      <c r="J350" s="8">
        <f t="shared" si="22"/>
        <v>3.3466393236925791E-5</v>
      </c>
      <c r="K350" s="8">
        <f t="shared" si="19"/>
        <v>-3.9000160803301931E-2</v>
      </c>
    </row>
    <row r="351" spans="1:11" x14ac:dyDescent="0.25">
      <c r="A351" t="str">
        <f t="shared" si="20"/>
        <v>52018</v>
      </c>
      <c r="B351" s="1">
        <v>43250</v>
      </c>
      <c r="C351" t="s">
        <v>237</v>
      </c>
      <c r="D351">
        <v>13401.15</v>
      </c>
      <c r="E351">
        <v>13489.75</v>
      </c>
      <c r="F351">
        <v>13334.9</v>
      </c>
      <c r="G351">
        <v>13401.5</v>
      </c>
      <c r="H351">
        <v>0</v>
      </c>
      <c r="I351" s="8">
        <f t="shared" si="21"/>
        <v>-3.3503017502630739E-3</v>
      </c>
      <c r="J351" s="8">
        <f t="shared" si="22"/>
        <v>-3.3559265779324757E-3</v>
      </c>
      <c r="K351" s="8">
        <f t="shared" si="19"/>
        <v>-4.2165036504436704E-2</v>
      </c>
    </row>
    <row r="352" spans="1:11" x14ac:dyDescent="0.25">
      <c r="A352" t="str">
        <f t="shared" si="20"/>
        <v>52018</v>
      </c>
      <c r="B352" s="1">
        <v>43251</v>
      </c>
      <c r="C352" t="s">
        <v>238</v>
      </c>
      <c r="D352">
        <v>13464.15</v>
      </c>
      <c r="E352">
        <v>13547.25</v>
      </c>
      <c r="F352">
        <v>13386.1</v>
      </c>
      <c r="G352">
        <v>13523.4</v>
      </c>
      <c r="H352">
        <v>0</v>
      </c>
      <c r="I352" s="8">
        <f t="shared" si="21"/>
        <v>9.0959967167854039E-3</v>
      </c>
      <c r="J352" s="8">
        <f t="shared" si="22"/>
        <v>9.0548772986170784E-3</v>
      </c>
      <c r="K352" s="8">
        <f t="shared" si="19"/>
        <v>-3.134445956593368E-2</v>
      </c>
    </row>
    <row r="353" spans="1:11" x14ac:dyDescent="0.25">
      <c r="A353" t="str">
        <f t="shared" si="20"/>
        <v>62018</v>
      </c>
      <c r="B353" s="1">
        <v>43252</v>
      </c>
      <c r="C353" s="10">
        <v>43106.645833333336</v>
      </c>
      <c r="D353">
        <v>13488</v>
      </c>
      <c r="E353">
        <v>13542.85</v>
      </c>
      <c r="F353">
        <v>13426.6</v>
      </c>
      <c r="G353">
        <v>13498.25</v>
      </c>
      <c r="H353">
        <v>0</v>
      </c>
      <c r="I353" s="8">
        <f t="shared" si="21"/>
        <v>-1.8597394146442348E-3</v>
      </c>
      <c r="J353" s="8">
        <f t="shared" si="22"/>
        <v>-1.8614708770350184E-3</v>
      </c>
      <c r="K353" s="8">
        <f t="shared" si="19"/>
        <v>-1.3743620468569029E-2</v>
      </c>
    </row>
    <row r="354" spans="1:11" x14ac:dyDescent="0.25">
      <c r="A354" t="str">
        <f t="shared" si="20"/>
        <v>62018</v>
      </c>
      <c r="B354" s="1">
        <v>43255</v>
      </c>
      <c r="C354" s="10">
        <v>43196.645833333336</v>
      </c>
      <c r="D354">
        <v>13556.8</v>
      </c>
      <c r="E354">
        <v>13607.9</v>
      </c>
      <c r="F354">
        <v>13469.8</v>
      </c>
      <c r="G354">
        <v>13511.4</v>
      </c>
      <c r="H354">
        <v>0</v>
      </c>
      <c r="I354" s="8">
        <f t="shared" si="21"/>
        <v>9.7420035930584348E-4</v>
      </c>
      <c r="J354" s="8">
        <f t="shared" si="22"/>
        <v>9.7372613410439117E-4</v>
      </c>
      <c r="K354" s="8">
        <f t="shared" si="19"/>
        <v>-5.1943940303124103E-3</v>
      </c>
    </row>
    <row r="355" spans="1:11" x14ac:dyDescent="0.25">
      <c r="A355" t="str">
        <f t="shared" si="20"/>
        <v>62018</v>
      </c>
      <c r="B355" s="1">
        <v>43256</v>
      </c>
      <c r="C355" s="10">
        <v>43226.645833333336</v>
      </c>
      <c r="D355">
        <v>13517.05</v>
      </c>
      <c r="E355">
        <v>13588.3</v>
      </c>
      <c r="F355">
        <v>13476.05</v>
      </c>
      <c r="G355">
        <v>13545.35</v>
      </c>
      <c r="H355">
        <v>0</v>
      </c>
      <c r="I355" s="8">
        <f t="shared" si="21"/>
        <v>2.5126929851828628E-3</v>
      </c>
      <c r="J355" s="8">
        <f t="shared" si="22"/>
        <v>2.5095414502864432E-3</v>
      </c>
      <c r="K355" s="8">
        <f t="shared" si="19"/>
        <v>1.4010121124103492E-2</v>
      </c>
    </row>
    <row r="356" spans="1:11" x14ac:dyDescent="0.25">
      <c r="A356" t="str">
        <f t="shared" si="20"/>
        <v>62018</v>
      </c>
      <c r="B356" s="1">
        <v>43257</v>
      </c>
      <c r="C356" s="10">
        <v>43257.645833333336</v>
      </c>
      <c r="D356">
        <v>13536.2</v>
      </c>
      <c r="E356">
        <v>13632.65</v>
      </c>
      <c r="F356">
        <v>13508.55</v>
      </c>
      <c r="G356">
        <v>13614</v>
      </c>
      <c r="H356">
        <v>0</v>
      </c>
      <c r="I356" s="8">
        <f t="shared" si="21"/>
        <v>5.0681599220396834E-3</v>
      </c>
      <c r="J356" s="8">
        <f t="shared" si="22"/>
        <v>5.0553600292613122E-3</v>
      </c>
      <c r="K356" s="8">
        <f t="shared" si="19"/>
        <v>4.7640310123289176E-3</v>
      </c>
    </row>
    <row r="357" spans="1:11" x14ac:dyDescent="0.25">
      <c r="A357" t="str">
        <f t="shared" si="20"/>
        <v>62018</v>
      </c>
      <c r="B357" s="1">
        <v>43258</v>
      </c>
      <c r="C357" s="10">
        <v>43287.645833333336</v>
      </c>
      <c r="D357">
        <v>13622.4</v>
      </c>
      <c r="E357">
        <v>13837.25</v>
      </c>
      <c r="F357">
        <v>13622.4</v>
      </c>
      <c r="G357">
        <v>13793.1</v>
      </c>
      <c r="H357">
        <v>0</v>
      </c>
      <c r="I357" s="8">
        <f t="shared" si="21"/>
        <v>1.3155575143234843E-2</v>
      </c>
      <c r="J357" s="8">
        <f t="shared" si="22"/>
        <v>1.3069792095716973E-2</v>
      </c>
      <c r="K357" s="8">
        <f t="shared" si="19"/>
        <v>1.8907229365117573E-2</v>
      </c>
    </row>
    <row r="358" spans="1:11" x14ac:dyDescent="0.25">
      <c r="A358" t="str">
        <f t="shared" si="20"/>
        <v>62018</v>
      </c>
      <c r="B358" s="1">
        <v>43259</v>
      </c>
      <c r="C358" s="10">
        <v>43318.645833333336</v>
      </c>
      <c r="D358">
        <v>13733.45</v>
      </c>
      <c r="E358">
        <v>13889.05</v>
      </c>
      <c r="F358">
        <v>13639.7</v>
      </c>
      <c r="G358">
        <v>13862.9</v>
      </c>
      <c r="H358">
        <v>0</v>
      </c>
      <c r="I358" s="8">
        <f t="shared" si="21"/>
        <v>5.0605012651252501E-3</v>
      </c>
      <c r="J358" s="8">
        <f t="shared" si="22"/>
        <v>5.0477399628821315E-3</v>
      </c>
      <c r="K358" s="8">
        <f t="shared" si="19"/>
        <v>1.9840337683270093E-3</v>
      </c>
    </row>
    <row r="359" spans="1:11" x14ac:dyDescent="0.25">
      <c r="A359" t="str">
        <f t="shared" si="20"/>
        <v>62018</v>
      </c>
      <c r="B359" s="1">
        <v>43262</v>
      </c>
      <c r="C359" s="10">
        <v>43410.645833333336</v>
      </c>
      <c r="D359">
        <v>13884.15</v>
      </c>
      <c r="E359">
        <v>14002.4</v>
      </c>
      <c r="F359">
        <v>13817.75</v>
      </c>
      <c r="G359">
        <v>13846.3</v>
      </c>
      <c r="H359">
        <v>0</v>
      </c>
      <c r="I359" s="8">
        <f t="shared" si="21"/>
        <v>-1.1974406509460689E-3</v>
      </c>
      <c r="J359" s="8">
        <f t="shared" si="22"/>
        <v>-1.1981581558392145E-3</v>
      </c>
      <c r="K359" s="8">
        <f t="shared" si="19"/>
        <v>-6.3082200628670204E-3</v>
      </c>
    </row>
    <row r="360" spans="1:11" x14ac:dyDescent="0.25">
      <c r="A360" t="str">
        <f t="shared" si="20"/>
        <v>62018</v>
      </c>
      <c r="B360" s="1">
        <v>43263</v>
      </c>
      <c r="C360" s="10">
        <v>43440.645833333336</v>
      </c>
      <c r="D360">
        <v>13876.75</v>
      </c>
      <c r="E360">
        <v>13978.05</v>
      </c>
      <c r="F360">
        <v>13848.8</v>
      </c>
      <c r="G360">
        <v>13946.85</v>
      </c>
      <c r="H360">
        <v>0</v>
      </c>
      <c r="I360" s="8">
        <f t="shared" si="21"/>
        <v>7.2618677913955931E-3</v>
      </c>
      <c r="J360" s="8">
        <f t="shared" si="22"/>
        <v>7.2356273891267852E-3</v>
      </c>
      <c r="K360" s="8">
        <f t="shared" si="19"/>
        <v>7.4837917396566311E-3</v>
      </c>
    </row>
    <row r="361" spans="1:11" x14ac:dyDescent="0.25">
      <c r="A361" t="str">
        <f t="shared" si="20"/>
        <v>62018</v>
      </c>
      <c r="B361" s="1">
        <v>43264</v>
      </c>
      <c r="C361" t="s">
        <v>239</v>
      </c>
      <c r="D361">
        <v>13984.3</v>
      </c>
      <c r="E361">
        <v>14018.2</v>
      </c>
      <c r="F361">
        <v>13870.9</v>
      </c>
      <c r="G361">
        <v>13994.8</v>
      </c>
      <c r="H361">
        <v>0</v>
      </c>
      <c r="I361" s="8">
        <f t="shared" si="21"/>
        <v>3.4380523200578939E-3</v>
      </c>
      <c r="J361" s="8">
        <f t="shared" si="22"/>
        <v>3.432155729506307E-3</v>
      </c>
      <c r="K361" s="8">
        <f t="shared" si="19"/>
        <v>2.3973542399110315E-2</v>
      </c>
    </row>
    <row r="362" spans="1:11" x14ac:dyDescent="0.25">
      <c r="A362" t="str">
        <f t="shared" si="20"/>
        <v>62018</v>
      </c>
      <c r="B362" s="1">
        <v>43265</v>
      </c>
      <c r="C362" t="s">
        <v>240</v>
      </c>
      <c r="D362">
        <v>13948.9</v>
      </c>
      <c r="E362">
        <v>13999.8</v>
      </c>
      <c r="F362">
        <v>13808.95</v>
      </c>
      <c r="G362">
        <v>13976.3</v>
      </c>
      <c r="H362">
        <v>0</v>
      </c>
      <c r="I362" s="8">
        <f t="shared" si="21"/>
        <v>-1.3219195701260622E-3</v>
      </c>
      <c r="J362" s="8">
        <f t="shared" si="22"/>
        <v>-1.3227940765707508E-3</v>
      </c>
      <c r="K362" s="8">
        <f t="shared" si="19"/>
        <v>4.1511261806732813E-2</v>
      </c>
    </row>
    <row r="363" spans="1:11" x14ac:dyDescent="0.25">
      <c r="A363" t="str">
        <f t="shared" si="20"/>
        <v>62018</v>
      </c>
      <c r="B363" s="1">
        <v>43266</v>
      </c>
      <c r="C363" t="s">
        <v>241</v>
      </c>
      <c r="D363">
        <v>13951.1</v>
      </c>
      <c r="E363">
        <v>14033.3</v>
      </c>
      <c r="F363">
        <v>13886.2</v>
      </c>
      <c r="G363">
        <v>13939.1</v>
      </c>
      <c r="H363">
        <v>0</v>
      </c>
      <c r="I363" s="8">
        <f t="shared" si="21"/>
        <v>-2.6616486480683932E-3</v>
      </c>
      <c r="J363" s="8">
        <f t="shared" si="22"/>
        <v>-2.6651971327762108E-3</v>
      </c>
      <c r="K363" s="8">
        <f t="shared" si="19"/>
        <v>4.6164815370759449E-2</v>
      </c>
    </row>
    <row r="364" spans="1:11" x14ac:dyDescent="0.25">
      <c r="A364" t="str">
        <f t="shared" si="20"/>
        <v>62018</v>
      </c>
      <c r="B364" s="1">
        <v>43269</v>
      </c>
      <c r="C364" t="s">
        <v>242</v>
      </c>
      <c r="D364">
        <v>13933.55</v>
      </c>
      <c r="E364">
        <v>14078.65</v>
      </c>
      <c r="F364">
        <v>13918.95</v>
      </c>
      <c r="G364">
        <v>14030.5</v>
      </c>
      <c r="H364">
        <v>0</v>
      </c>
      <c r="I364" s="8">
        <f t="shared" si="21"/>
        <v>6.5570947909119326E-3</v>
      </c>
      <c r="J364" s="8">
        <f t="shared" si="22"/>
        <v>6.5356905602938983E-3</v>
      </c>
      <c r="K364" s="8">
        <f t="shared" si="19"/>
        <v>5.9333391218340914E-2</v>
      </c>
    </row>
    <row r="365" spans="1:11" x14ac:dyDescent="0.25">
      <c r="A365" t="str">
        <f t="shared" si="20"/>
        <v>62018</v>
      </c>
      <c r="B365" s="1">
        <v>43270</v>
      </c>
      <c r="C365" t="s">
        <v>243</v>
      </c>
      <c r="D365">
        <v>14001.1</v>
      </c>
      <c r="E365">
        <v>14001.85</v>
      </c>
      <c r="F365">
        <v>13791.95</v>
      </c>
      <c r="G365">
        <v>13820.8</v>
      </c>
      <c r="H365">
        <v>0</v>
      </c>
      <c r="I365" s="8">
        <f t="shared" si="21"/>
        <v>-1.4946010477174809E-2</v>
      </c>
      <c r="J365" s="8">
        <f t="shared" si="22"/>
        <v>-1.5058827613854731E-2</v>
      </c>
      <c r="K365" s="8">
        <f t="shared" si="19"/>
        <v>3.7184903904602606E-2</v>
      </c>
    </row>
    <row r="366" spans="1:11" x14ac:dyDescent="0.25">
      <c r="A366" t="str">
        <f t="shared" si="20"/>
        <v>62018</v>
      </c>
      <c r="B366" s="1">
        <v>43271</v>
      </c>
      <c r="C366" t="s">
        <v>244</v>
      </c>
      <c r="D366">
        <v>13834</v>
      </c>
      <c r="E366">
        <v>13998</v>
      </c>
      <c r="F366">
        <v>13797.25</v>
      </c>
      <c r="G366">
        <v>13972.5</v>
      </c>
      <c r="H366">
        <v>0</v>
      </c>
      <c r="I366" s="8">
        <f t="shared" si="21"/>
        <v>1.0976209770780399E-2</v>
      </c>
      <c r="J366" s="8">
        <f t="shared" si="22"/>
        <v>1.0916408377471355E-2</v>
      </c>
      <c r="K366" s="8">
        <f t="shared" si="19"/>
        <v>4.4833039830403765E-2</v>
      </c>
    </row>
    <row r="367" spans="1:11" x14ac:dyDescent="0.25">
      <c r="A367" t="str">
        <f t="shared" si="20"/>
        <v>62018</v>
      </c>
      <c r="B367" s="1">
        <v>43272</v>
      </c>
      <c r="C367" t="s">
        <v>245</v>
      </c>
      <c r="D367">
        <v>14032.4</v>
      </c>
      <c r="E367">
        <v>14100.45</v>
      </c>
      <c r="F367">
        <v>13940.8</v>
      </c>
      <c r="G367">
        <v>14064.4</v>
      </c>
      <c r="H367">
        <v>0</v>
      </c>
      <c r="I367" s="8">
        <f t="shared" si="21"/>
        <v>6.5772052245482993E-3</v>
      </c>
      <c r="J367" s="8">
        <f t="shared" si="22"/>
        <v>6.5556697873498191E-3</v>
      </c>
      <c r="K367" s="8">
        <f t="shared" si="19"/>
        <v>6.2330050154087768E-2</v>
      </c>
    </row>
    <row r="368" spans="1:11" x14ac:dyDescent="0.25">
      <c r="A368" t="str">
        <f t="shared" si="20"/>
        <v>62018</v>
      </c>
      <c r="B368" s="1">
        <v>43273</v>
      </c>
      <c r="C368" t="s">
        <v>246</v>
      </c>
      <c r="D368">
        <v>14056.65</v>
      </c>
      <c r="E368">
        <v>14064.5</v>
      </c>
      <c r="F368">
        <v>13878.35</v>
      </c>
      <c r="G368">
        <v>13948.4</v>
      </c>
      <c r="H368">
        <v>0</v>
      </c>
      <c r="I368" s="8">
        <f t="shared" si="21"/>
        <v>-8.2477745229089239E-3</v>
      </c>
      <c r="J368" s="8">
        <f t="shared" si="22"/>
        <v>-8.2819756002066262E-3</v>
      </c>
      <c r="K368" s="8">
        <f t="shared" si="19"/>
        <v>5.0315507296576856E-2</v>
      </c>
    </row>
    <row r="369" spans="1:11" x14ac:dyDescent="0.25">
      <c r="A369" t="str">
        <f t="shared" si="20"/>
        <v>62018</v>
      </c>
      <c r="B369" s="1">
        <v>43276</v>
      </c>
      <c r="C369" t="s">
        <v>247</v>
      </c>
      <c r="D369">
        <v>13942.9</v>
      </c>
      <c r="E369">
        <v>13942.9</v>
      </c>
      <c r="F369">
        <v>13746.65</v>
      </c>
      <c r="G369">
        <v>13777.1</v>
      </c>
      <c r="H369">
        <v>0</v>
      </c>
      <c r="I369" s="8">
        <f t="shared" si="21"/>
        <v>-1.2280978463479642E-2</v>
      </c>
      <c r="J369" s="8">
        <f t="shared" si="22"/>
        <v>-1.2357012838471152E-2</v>
      </c>
      <c r="K369" s="8">
        <f t="shared" si="19"/>
        <v>3.1652489067273804E-2</v>
      </c>
    </row>
    <row r="370" spans="1:11" x14ac:dyDescent="0.25">
      <c r="A370" t="str">
        <f t="shared" si="20"/>
        <v>62018</v>
      </c>
      <c r="B370" s="1">
        <v>43277</v>
      </c>
      <c r="C370" t="s">
        <v>248</v>
      </c>
      <c r="D370">
        <v>13768.75</v>
      </c>
      <c r="E370">
        <v>13769.05</v>
      </c>
      <c r="F370">
        <v>13552</v>
      </c>
      <c r="G370">
        <v>13581.05</v>
      </c>
      <c r="H370">
        <v>0</v>
      </c>
      <c r="I370" s="8">
        <f t="shared" si="21"/>
        <v>-1.4230135514731068E-2</v>
      </c>
      <c r="J370" s="8">
        <f t="shared" si="22"/>
        <v>-1.4332354781214512E-2</v>
      </c>
      <c r="K370" s="8">
        <f t="shared" si="19"/>
        <v>2.7765690566551759E-2</v>
      </c>
    </row>
    <row r="371" spans="1:11" x14ac:dyDescent="0.25">
      <c r="A371" t="str">
        <f t="shared" si="20"/>
        <v>62018</v>
      </c>
      <c r="B371" s="1">
        <v>43278</v>
      </c>
      <c r="C371" t="s">
        <v>249</v>
      </c>
      <c r="D371">
        <v>13559.95</v>
      </c>
      <c r="E371">
        <v>13559.95</v>
      </c>
      <c r="F371">
        <v>13199.1</v>
      </c>
      <c r="G371">
        <v>13247.15</v>
      </c>
      <c r="H371">
        <v>0</v>
      </c>
      <c r="I371" s="8">
        <f t="shared" si="21"/>
        <v>-2.4585727907636024E-2</v>
      </c>
      <c r="J371" s="8">
        <f t="shared" si="22"/>
        <v>-2.4893003772670293E-2</v>
      </c>
      <c r="K371" s="8">
        <f t="shared" si="19"/>
        <v>-3.3179723502304581E-3</v>
      </c>
    </row>
    <row r="372" spans="1:11" x14ac:dyDescent="0.25">
      <c r="A372" t="str">
        <f t="shared" si="20"/>
        <v>62018</v>
      </c>
      <c r="B372" s="1">
        <v>43279</v>
      </c>
      <c r="C372" t="s">
        <v>250</v>
      </c>
      <c r="D372">
        <v>13170.05</v>
      </c>
      <c r="E372">
        <v>13266.65</v>
      </c>
      <c r="F372">
        <v>12948.65</v>
      </c>
      <c r="G372">
        <v>12999.15</v>
      </c>
      <c r="H372">
        <v>0</v>
      </c>
      <c r="I372" s="8">
        <f t="shared" si="21"/>
        <v>-1.8721007914910048E-2</v>
      </c>
      <c r="J372" s="8">
        <f t="shared" si="22"/>
        <v>-1.8898464248018491E-2</v>
      </c>
      <c r="K372" s="8">
        <f t="shared" si="19"/>
        <v>-2.9533959200433002E-2</v>
      </c>
    </row>
    <row r="373" spans="1:11" x14ac:dyDescent="0.25">
      <c r="A373" t="str">
        <f t="shared" si="20"/>
        <v>62018</v>
      </c>
      <c r="B373" s="1">
        <v>43280</v>
      </c>
      <c r="C373" t="s">
        <v>251</v>
      </c>
      <c r="D373">
        <v>13051.75</v>
      </c>
      <c r="E373">
        <v>13364.7</v>
      </c>
      <c r="F373">
        <v>13051.75</v>
      </c>
      <c r="G373">
        <v>13333.35</v>
      </c>
      <c r="H373">
        <v>0</v>
      </c>
      <c r="I373" s="8">
        <f t="shared" si="21"/>
        <v>2.5709373305177641E-2</v>
      </c>
      <c r="J373" s="8">
        <f t="shared" si="22"/>
        <v>2.5384444736560381E-2</v>
      </c>
      <c r="K373" s="8">
        <f t="shared" si="19"/>
        <v>5.9792818825872285E-3</v>
      </c>
    </row>
    <row r="374" spans="1:11" x14ac:dyDescent="0.25">
      <c r="A374" t="str">
        <f t="shared" si="20"/>
        <v>72018</v>
      </c>
      <c r="B374" s="1">
        <v>43283</v>
      </c>
      <c r="C374" s="10">
        <v>43138.645833333336</v>
      </c>
      <c r="D374">
        <v>13333.25</v>
      </c>
      <c r="E374">
        <v>13342.1</v>
      </c>
      <c r="F374">
        <v>13103.45</v>
      </c>
      <c r="G374">
        <v>13151.95</v>
      </c>
      <c r="H374">
        <v>0</v>
      </c>
      <c r="I374" s="8">
        <f t="shared" si="21"/>
        <v>-1.360498299377122E-2</v>
      </c>
      <c r="J374" s="8">
        <f t="shared" si="22"/>
        <v>-1.3698378841610731E-2</v>
      </c>
      <c r="K374" s="8">
        <f t="shared" si="19"/>
        <v>-2.0842174227026611E-2</v>
      </c>
    </row>
    <row r="375" spans="1:11" x14ac:dyDescent="0.25">
      <c r="A375" t="str">
        <f t="shared" si="20"/>
        <v>72018</v>
      </c>
      <c r="B375" s="1">
        <v>43284</v>
      </c>
      <c r="C375" s="10">
        <v>43166.645833333336</v>
      </c>
      <c r="D375">
        <v>13176.05</v>
      </c>
      <c r="E375">
        <v>13322.65</v>
      </c>
      <c r="F375">
        <v>13129.95</v>
      </c>
      <c r="G375">
        <v>13278.4</v>
      </c>
      <c r="H375">
        <v>0</v>
      </c>
      <c r="I375" s="8">
        <f t="shared" si="21"/>
        <v>9.6145438509116499E-3</v>
      </c>
      <c r="J375" s="8">
        <f t="shared" si="22"/>
        <v>9.5686182586116938E-3</v>
      </c>
      <c r="K375" s="8">
        <f t="shared" si="19"/>
        <v>-1.5729470890842534E-2</v>
      </c>
    </row>
    <row r="376" spans="1:11" x14ac:dyDescent="0.25">
      <c r="A376" t="str">
        <f t="shared" si="20"/>
        <v>72018</v>
      </c>
      <c r="B376" s="1">
        <v>43285</v>
      </c>
      <c r="C376" s="10">
        <v>43197.645833333336</v>
      </c>
      <c r="D376">
        <v>13280.25</v>
      </c>
      <c r="E376">
        <v>13388.6</v>
      </c>
      <c r="F376">
        <v>13249.7</v>
      </c>
      <c r="G376">
        <v>13372.7</v>
      </c>
      <c r="H376">
        <v>0</v>
      </c>
      <c r="I376" s="8">
        <f t="shared" si="21"/>
        <v>7.1017592481021907E-3</v>
      </c>
      <c r="J376" s="8">
        <f t="shared" si="22"/>
        <v>7.076660515935293E-3</v>
      </c>
      <c r="K376" s="8">
        <f t="shared" si="19"/>
        <v>-1.7536770648133082E-2</v>
      </c>
    </row>
    <row r="377" spans="1:11" x14ac:dyDescent="0.25">
      <c r="A377" t="str">
        <f t="shared" si="20"/>
        <v>72018</v>
      </c>
      <c r="B377" s="1">
        <v>43286</v>
      </c>
      <c r="C377" s="10">
        <v>43227.645833333336</v>
      </c>
      <c r="D377">
        <v>13425.65</v>
      </c>
      <c r="E377">
        <v>13496.7</v>
      </c>
      <c r="F377">
        <v>13113.05</v>
      </c>
      <c r="G377">
        <v>13171.05</v>
      </c>
      <c r="H377">
        <v>0</v>
      </c>
      <c r="I377" s="8">
        <f t="shared" si="21"/>
        <v>-1.507922857762467E-2</v>
      </c>
      <c r="J377" s="8">
        <f t="shared" si="22"/>
        <v>-1.5194076149312122E-2</v>
      </c>
      <c r="K377" s="8">
        <f t="shared" si="19"/>
        <v>-3.4150365739637478E-2</v>
      </c>
    </row>
    <row r="378" spans="1:11" x14ac:dyDescent="0.25">
      <c r="A378" t="str">
        <f t="shared" si="20"/>
        <v>72018</v>
      </c>
      <c r="B378" s="1">
        <v>43287</v>
      </c>
      <c r="C378" s="10">
        <v>43258.645833333336</v>
      </c>
      <c r="D378">
        <v>13199.3</v>
      </c>
      <c r="E378">
        <v>13353.35</v>
      </c>
      <c r="F378">
        <v>13184</v>
      </c>
      <c r="G378">
        <v>13283.8</v>
      </c>
      <c r="H378">
        <v>0</v>
      </c>
      <c r="I378" s="8">
        <f t="shared" si="21"/>
        <v>8.5604412708173427E-3</v>
      </c>
      <c r="J378" s="8">
        <f t="shared" si="22"/>
        <v>8.5240084663794E-3</v>
      </c>
      <c r="K378" s="8">
        <f t="shared" si="19"/>
        <v>-2.1930325107774151E-2</v>
      </c>
    </row>
    <row r="379" spans="1:11" x14ac:dyDescent="0.25">
      <c r="A379" t="str">
        <f t="shared" si="20"/>
        <v>72018</v>
      </c>
      <c r="B379" s="1">
        <v>43290</v>
      </c>
      <c r="C379" s="10">
        <v>43350.645833333336</v>
      </c>
      <c r="D379">
        <v>13370.3</v>
      </c>
      <c r="E379">
        <v>13528.2</v>
      </c>
      <c r="F379">
        <v>13355.8</v>
      </c>
      <c r="G379">
        <v>13498.4</v>
      </c>
      <c r="H379">
        <v>0</v>
      </c>
      <c r="I379" s="8">
        <f t="shared" si="21"/>
        <v>1.6155015884009138E-2</v>
      </c>
      <c r="J379" s="8">
        <f t="shared" si="22"/>
        <v>1.6025912206941457E-2</v>
      </c>
      <c r="K379" s="8">
        <f t="shared" si="19"/>
        <v>-5.6280755517575942E-3</v>
      </c>
    </row>
    <row r="380" spans="1:11" x14ac:dyDescent="0.25">
      <c r="A380" t="str">
        <f t="shared" si="20"/>
        <v>72018</v>
      </c>
      <c r="B380" s="1">
        <v>43291</v>
      </c>
      <c r="C380" s="10">
        <v>43380.645833333336</v>
      </c>
      <c r="D380">
        <v>13560</v>
      </c>
      <c r="E380">
        <v>13773.65</v>
      </c>
      <c r="F380">
        <v>13538.05</v>
      </c>
      <c r="G380">
        <v>13749.95</v>
      </c>
      <c r="H380">
        <v>0</v>
      </c>
      <c r="I380" s="8">
        <f t="shared" si="21"/>
        <v>1.8635541990161819E-2</v>
      </c>
      <c r="J380" s="8">
        <f t="shared" si="22"/>
        <v>1.8464027840341721E-2</v>
      </c>
      <c r="K380" s="8">
        <f t="shared" si="19"/>
        <v>8.5192682891050975E-3</v>
      </c>
    </row>
    <row r="381" spans="1:11" x14ac:dyDescent="0.25">
      <c r="A381" t="str">
        <f t="shared" si="20"/>
        <v>72018</v>
      </c>
      <c r="B381" s="1">
        <v>43292</v>
      </c>
      <c r="C381" s="10">
        <v>43411.645833333336</v>
      </c>
      <c r="D381">
        <v>13739.8</v>
      </c>
      <c r="E381">
        <v>13828.8</v>
      </c>
      <c r="F381">
        <v>13660.65</v>
      </c>
      <c r="G381">
        <v>13795.65</v>
      </c>
      <c r="H381">
        <v>0</v>
      </c>
      <c r="I381" s="8">
        <f t="shared" si="21"/>
        <v>3.3236484496306229E-3</v>
      </c>
      <c r="J381" s="8">
        <f t="shared" si="22"/>
        <v>3.3181373380776376E-3</v>
      </c>
      <c r="K381" s="8">
        <f t="shared" si="19"/>
        <v>1.1533653264507837E-2</v>
      </c>
    </row>
    <row r="382" spans="1:11" x14ac:dyDescent="0.25">
      <c r="A382" t="str">
        <f t="shared" si="20"/>
        <v>72018</v>
      </c>
      <c r="B382" s="1">
        <v>43293</v>
      </c>
      <c r="C382" s="10">
        <v>43441.645833333336</v>
      </c>
      <c r="D382">
        <v>13946.3</v>
      </c>
      <c r="E382">
        <v>14336.75</v>
      </c>
      <c r="F382">
        <v>13926.65</v>
      </c>
      <c r="G382">
        <v>14165.9</v>
      </c>
      <c r="H382">
        <v>0</v>
      </c>
      <c r="I382" s="8">
        <f t="shared" si="21"/>
        <v>2.683817000286326E-2</v>
      </c>
      <c r="J382" s="8">
        <f t="shared" si="22"/>
        <v>2.6484343070379883E-2</v>
      </c>
      <c r="K382" s="8">
        <f t="shared" si="19"/>
        <v>3.0206064484693318E-2</v>
      </c>
    </row>
    <row r="383" spans="1:11" x14ac:dyDescent="0.25">
      <c r="A383" t="str">
        <f t="shared" si="20"/>
        <v>72018</v>
      </c>
      <c r="B383" s="1">
        <v>43294</v>
      </c>
      <c r="C383" t="s">
        <v>252</v>
      </c>
      <c r="D383">
        <v>14182.35</v>
      </c>
      <c r="E383">
        <v>14400.6</v>
      </c>
      <c r="F383">
        <v>14178.1</v>
      </c>
      <c r="G383">
        <v>14288.7</v>
      </c>
      <c r="H383">
        <v>0</v>
      </c>
      <c r="I383" s="8">
        <f t="shared" si="21"/>
        <v>8.6687044240041367E-3</v>
      </c>
      <c r="J383" s="8">
        <f t="shared" si="22"/>
        <v>8.6313469445307746E-3</v>
      </c>
      <c r="K383" s="8">
        <f t="shared" si="19"/>
        <v>4.3267791561101276E-2</v>
      </c>
    </row>
    <row r="384" spans="1:11" x14ac:dyDescent="0.25">
      <c r="A384" t="str">
        <f t="shared" si="20"/>
        <v>72018</v>
      </c>
      <c r="B384" s="1">
        <v>43297</v>
      </c>
      <c r="C384" t="s">
        <v>253</v>
      </c>
      <c r="D384">
        <v>14289.9</v>
      </c>
      <c r="E384">
        <v>14351.95</v>
      </c>
      <c r="F384">
        <v>14059.35</v>
      </c>
      <c r="G384">
        <v>14085</v>
      </c>
      <c r="H384">
        <v>0</v>
      </c>
      <c r="I384" s="8">
        <f t="shared" si="21"/>
        <v>-1.4256020491717258E-2</v>
      </c>
      <c r="J384" s="8">
        <f t="shared" si="22"/>
        <v>-1.4358613766984801E-2</v>
      </c>
      <c r="K384" s="8">
        <f t="shared" ref="K384:K447" si="23">+G384/G323-1</f>
        <v>3.2348381847965957E-2</v>
      </c>
    </row>
    <row r="385" spans="1:11" x14ac:dyDescent="0.25">
      <c r="A385" t="str">
        <f t="shared" si="20"/>
        <v>72018</v>
      </c>
      <c r="B385" s="1">
        <v>43298</v>
      </c>
      <c r="C385" t="s">
        <v>254</v>
      </c>
      <c r="D385">
        <v>14136.6</v>
      </c>
      <c r="E385">
        <v>14353.85</v>
      </c>
      <c r="F385">
        <v>14063.65</v>
      </c>
      <c r="G385">
        <v>14318.9</v>
      </c>
      <c r="H385">
        <v>0</v>
      </c>
      <c r="I385" s="8">
        <f t="shared" si="21"/>
        <v>1.6606318778842777E-2</v>
      </c>
      <c r="J385" s="8">
        <f t="shared" si="22"/>
        <v>1.646994161123301E-2</v>
      </c>
      <c r="K385" s="8">
        <f t="shared" si="23"/>
        <v>6.2512753729654147E-2</v>
      </c>
    </row>
    <row r="386" spans="1:11" x14ac:dyDescent="0.25">
      <c r="A386" t="str">
        <f t="shared" si="20"/>
        <v>72018</v>
      </c>
      <c r="B386" s="1">
        <v>43299</v>
      </c>
      <c r="C386" t="s">
        <v>255</v>
      </c>
      <c r="D386">
        <v>14394.7</v>
      </c>
      <c r="E386">
        <v>14469.9</v>
      </c>
      <c r="F386">
        <v>14225.2</v>
      </c>
      <c r="G386">
        <v>14363.4</v>
      </c>
      <c r="H386">
        <v>0</v>
      </c>
      <c r="I386" s="8">
        <f t="shared" si="21"/>
        <v>3.107780625606793E-3</v>
      </c>
      <c r="J386" s="8">
        <f t="shared" si="22"/>
        <v>3.1029614574284541E-3</v>
      </c>
      <c r="K386" s="8">
        <f t="shared" si="23"/>
        <v>5.9353254195661176E-2</v>
      </c>
    </row>
    <row r="387" spans="1:11" x14ac:dyDescent="0.25">
      <c r="A387" t="str">
        <f t="shared" ref="A387:A450" si="24">+MONTH(B387)&amp;YEAR(B387)</f>
        <v>72018</v>
      </c>
      <c r="B387" s="1">
        <v>43300</v>
      </c>
      <c r="C387" t="s">
        <v>256</v>
      </c>
      <c r="D387">
        <v>14379</v>
      </c>
      <c r="E387">
        <v>14513.75</v>
      </c>
      <c r="F387">
        <v>14317</v>
      </c>
      <c r="G387">
        <v>14431.3</v>
      </c>
      <c r="H387">
        <v>0</v>
      </c>
      <c r="I387" s="8">
        <f t="shared" si="21"/>
        <v>4.7272929807704589E-3</v>
      </c>
      <c r="J387" s="8">
        <f t="shared" si="22"/>
        <v>4.7161544210037581E-3</v>
      </c>
      <c r="K387" s="8">
        <f t="shared" si="23"/>
        <v>4.2588391683162641E-2</v>
      </c>
    </row>
    <row r="388" spans="1:11" x14ac:dyDescent="0.25">
      <c r="A388" t="str">
        <f t="shared" si="24"/>
        <v>72018</v>
      </c>
      <c r="B388" s="1">
        <v>43301</v>
      </c>
      <c r="C388" t="s">
        <v>257</v>
      </c>
      <c r="D388">
        <v>14472.4</v>
      </c>
      <c r="E388">
        <v>14625.35</v>
      </c>
      <c r="F388">
        <v>14425.8</v>
      </c>
      <c r="G388">
        <v>14542.3</v>
      </c>
      <c r="H388">
        <v>0</v>
      </c>
      <c r="I388" s="8">
        <f t="shared" ref="I388:I451" si="25">+G388/G387-1</f>
        <v>7.6916147540415647E-3</v>
      </c>
      <c r="J388" s="8">
        <f t="shared" ref="J388:J451" si="26">+LN(1+I388)</f>
        <v>7.6621850966716509E-3</v>
      </c>
      <c r="K388" s="8">
        <f t="shared" si="23"/>
        <v>5.4948004512199944E-2</v>
      </c>
    </row>
    <row r="389" spans="1:11" x14ac:dyDescent="0.25">
      <c r="A389" t="str">
        <f t="shared" si="24"/>
        <v>72018</v>
      </c>
      <c r="B389" s="1">
        <v>43304</v>
      </c>
      <c r="C389" t="s">
        <v>258</v>
      </c>
      <c r="D389">
        <v>14570.65</v>
      </c>
      <c r="E389">
        <v>14580.45</v>
      </c>
      <c r="F389">
        <v>14445.35</v>
      </c>
      <c r="G389">
        <v>14508.35</v>
      </c>
      <c r="H389">
        <v>0</v>
      </c>
      <c r="I389" s="8">
        <f t="shared" si="25"/>
        <v>-2.3345688096104711E-3</v>
      </c>
      <c r="J389" s="8">
        <f t="shared" si="26"/>
        <v>-2.3372981641119174E-3</v>
      </c>
      <c r="K389" s="8">
        <f t="shared" si="23"/>
        <v>4.9439957757227093E-2</v>
      </c>
    </row>
    <row r="390" spans="1:11" x14ac:dyDescent="0.25">
      <c r="A390" t="str">
        <f t="shared" si="24"/>
        <v>72018</v>
      </c>
      <c r="B390" s="1">
        <v>43305</v>
      </c>
      <c r="C390" t="s">
        <v>259</v>
      </c>
      <c r="D390">
        <v>14541.85</v>
      </c>
      <c r="E390">
        <v>14592.2</v>
      </c>
      <c r="F390">
        <v>14432.9</v>
      </c>
      <c r="G390">
        <v>14488</v>
      </c>
      <c r="H390">
        <v>0</v>
      </c>
      <c r="I390" s="8">
        <f t="shared" si="25"/>
        <v>-1.4026405483739124E-3</v>
      </c>
      <c r="J390" s="8">
        <f t="shared" si="26"/>
        <v>-1.403625169448546E-3</v>
      </c>
      <c r="K390" s="8">
        <f t="shared" si="23"/>
        <v>3.2611213467850231E-2</v>
      </c>
    </row>
    <row r="391" spans="1:11" x14ac:dyDescent="0.25">
      <c r="A391" t="str">
        <f t="shared" si="24"/>
        <v>72018</v>
      </c>
      <c r="B391" s="1">
        <v>43306</v>
      </c>
      <c r="C391" t="s">
        <v>260</v>
      </c>
      <c r="D391">
        <v>14463.5</v>
      </c>
      <c r="E391">
        <v>14549.3</v>
      </c>
      <c r="F391">
        <v>14407.15</v>
      </c>
      <c r="G391">
        <v>14457</v>
      </c>
      <c r="H391">
        <v>0</v>
      </c>
      <c r="I391" s="8">
        <f t="shared" si="25"/>
        <v>-2.1397018221976927E-3</v>
      </c>
      <c r="J391" s="8">
        <f t="shared" si="26"/>
        <v>-2.1419942548068878E-3</v>
      </c>
      <c r="K391" s="8">
        <f t="shared" si="23"/>
        <v>4.9879630940839359E-2</v>
      </c>
    </row>
    <row r="392" spans="1:11" x14ac:dyDescent="0.25">
      <c r="A392" t="str">
        <f t="shared" si="24"/>
        <v>72018</v>
      </c>
      <c r="B392" s="1">
        <v>43307</v>
      </c>
      <c r="C392" t="s">
        <v>261</v>
      </c>
      <c r="D392">
        <v>14407.45</v>
      </c>
      <c r="E392">
        <v>14540.3</v>
      </c>
      <c r="F392">
        <v>14405.7</v>
      </c>
      <c r="G392">
        <v>14474.1</v>
      </c>
      <c r="H392">
        <v>0</v>
      </c>
      <c r="I392" s="8">
        <f t="shared" si="25"/>
        <v>1.1828180120356802E-3</v>
      </c>
      <c r="J392" s="8">
        <f t="shared" si="26"/>
        <v>1.1821190339325149E-3</v>
      </c>
      <c r="K392" s="8">
        <f t="shared" si="23"/>
        <v>5.1003144128902056E-2</v>
      </c>
    </row>
    <row r="393" spans="1:11" x14ac:dyDescent="0.25">
      <c r="A393" t="str">
        <f t="shared" si="24"/>
        <v>72018</v>
      </c>
      <c r="B393" s="1">
        <v>43308</v>
      </c>
      <c r="C393" t="s">
        <v>262</v>
      </c>
      <c r="D393">
        <v>14556.15</v>
      </c>
      <c r="E393">
        <v>14736.85</v>
      </c>
      <c r="F393">
        <v>14492.1</v>
      </c>
      <c r="G393">
        <v>14693.8</v>
      </c>
      <c r="H393">
        <v>0</v>
      </c>
      <c r="I393" s="8">
        <f t="shared" si="25"/>
        <v>1.5178836680691532E-2</v>
      </c>
      <c r="J393" s="8">
        <f t="shared" si="26"/>
        <v>1.5064790747530997E-2</v>
      </c>
      <c r="K393" s="8">
        <f t="shared" si="23"/>
        <v>7.179692913672997E-2</v>
      </c>
    </row>
    <row r="394" spans="1:11" x14ac:dyDescent="0.25">
      <c r="A394" t="str">
        <f t="shared" si="24"/>
        <v>72018</v>
      </c>
      <c r="B394" s="1">
        <v>43311</v>
      </c>
      <c r="C394" t="s">
        <v>263</v>
      </c>
      <c r="D394">
        <v>14721.8</v>
      </c>
      <c r="E394">
        <v>14952.6</v>
      </c>
      <c r="F394">
        <v>14705.4</v>
      </c>
      <c r="G394">
        <v>14911.5</v>
      </c>
      <c r="H394">
        <v>0</v>
      </c>
      <c r="I394" s="8">
        <f t="shared" si="25"/>
        <v>1.4815772638800073E-2</v>
      </c>
      <c r="J394" s="8">
        <f t="shared" si="26"/>
        <v>1.4707091230403405E-2</v>
      </c>
      <c r="K394" s="8">
        <f t="shared" si="23"/>
        <v>9.2958056181628335E-2</v>
      </c>
    </row>
    <row r="395" spans="1:11" x14ac:dyDescent="0.25">
      <c r="A395" t="str">
        <f t="shared" si="24"/>
        <v>72018</v>
      </c>
      <c r="B395" s="1">
        <v>43312</v>
      </c>
      <c r="C395" t="s">
        <v>264</v>
      </c>
      <c r="D395">
        <v>14897.05</v>
      </c>
      <c r="E395">
        <v>15197.1</v>
      </c>
      <c r="F395">
        <v>14854.3</v>
      </c>
      <c r="G395">
        <v>15150.2</v>
      </c>
      <c r="H395">
        <v>0</v>
      </c>
      <c r="I395" s="8">
        <f t="shared" si="25"/>
        <v>1.6007779230795105E-2</v>
      </c>
      <c r="J395" s="8">
        <f t="shared" si="26"/>
        <v>1.5881005850201121E-2</v>
      </c>
      <c r="K395" s="8">
        <f t="shared" si="23"/>
        <v>9.2843591981591533E-2</v>
      </c>
    </row>
    <row r="396" spans="1:11" x14ac:dyDescent="0.25">
      <c r="A396" t="str">
        <f t="shared" si="24"/>
        <v>82018</v>
      </c>
      <c r="B396" s="1">
        <v>43313</v>
      </c>
      <c r="C396" s="10">
        <v>43108.645833333336</v>
      </c>
      <c r="D396">
        <v>15212</v>
      </c>
      <c r="E396">
        <v>15338.3</v>
      </c>
      <c r="F396">
        <v>15187.85</v>
      </c>
      <c r="G396">
        <v>15245.3</v>
      </c>
      <c r="H396">
        <v>0</v>
      </c>
      <c r="I396" s="8">
        <f t="shared" si="25"/>
        <v>6.2771448561733667E-3</v>
      </c>
      <c r="J396" s="8">
        <f t="shared" si="26"/>
        <v>6.2575256413656896E-3</v>
      </c>
      <c r="K396" s="8">
        <f t="shared" si="23"/>
        <v>9.8317075630736328E-2</v>
      </c>
    </row>
    <row r="397" spans="1:11" x14ac:dyDescent="0.25">
      <c r="A397" t="str">
        <f t="shared" si="24"/>
        <v>82018</v>
      </c>
      <c r="B397" s="1">
        <v>43314</v>
      </c>
      <c r="C397" s="10">
        <v>43139.645833333336</v>
      </c>
      <c r="D397">
        <v>15280.2</v>
      </c>
      <c r="E397">
        <v>15280.2</v>
      </c>
      <c r="F397">
        <v>15076.65</v>
      </c>
      <c r="G397">
        <v>15103</v>
      </c>
      <c r="H397">
        <v>0</v>
      </c>
      <c r="I397" s="8">
        <f t="shared" si="25"/>
        <v>-9.3340242566560816E-3</v>
      </c>
      <c r="J397" s="8">
        <f t="shared" si="26"/>
        <v>-9.3778592455347302E-3</v>
      </c>
      <c r="K397" s="8">
        <f t="shared" si="23"/>
        <v>8.4896003562924038E-2</v>
      </c>
    </row>
    <row r="398" spans="1:11" x14ac:dyDescent="0.25">
      <c r="A398" t="str">
        <f t="shared" si="24"/>
        <v>82018</v>
      </c>
      <c r="B398" s="1">
        <v>43315</v>
      </c>
      <c r="C398" s="10">
        <v>43167.645833333336</v>
      </c>
      <c r="D398">
        <v>15170.05</v>
      </c>
      <c r="E398">
        <v>15248.85</v>
      </c>
      <c r="F398">
        <v>15135.55</v>
      </c>
      <c r="G398">
        <v>15205.95</v>
      </c>
      <c r="H398">
        <v>0</v>
      </c>
      <c r="I398" s="8">
        <f t="shared" si="25"/>
        <v>6.8165265179103152E-3</v>
      </c>
      <c r="J398" s="8">
        <f t="shared" si="26"/>
        <v>6.7933990409141543E-3</v>
      </c>
      <c r="K398" s="8">
        <f t="shared" si="23"/>
        <v>8.9247531348383591E-2</v>
      </c>
    </row>
    <row r="399" spans="1:11" x14ac:dyDescent="0.25">
      <c r="A399" t="str">
        <f t="shared" si="24"/>
        <v>82018</v>
      </c>
      <c r="B399" s="1">
        <v>43318</v>
      </c>
      <c r="C399" s="10">
        <v>43259.645833333336</v>
      </c>
      <c r="D399">
        <v>15226.45</v>
      </c>
      <c r="E399">
        <v>15358.85</v>
      </c>
      <c r="F399">
        <v>15207.7</v>
      </c>
      <c r="G399">
        <v>15319.25</v>
      </c>
      <c r="H399">
        <v>0</v>
      </c>
      <c r="I399" s="8">
        <f t="shared" si="25"/>
        <v>7.4510306820685379E-3</v>
      </c>
      <c r="J399" s="8">
        <f t="shared" si="26"/>
        <v>7.4234088753843313E-3</v>
      </c>
      <c r="K399" s="8">
        <f t="shared" si="23"/>
        <v>9.0466140151690411E-2</v>
      </c>
    </row>
    <row r="400" spans="1:11" x14ac:dyDescent="0.25">
      <c r="A400" t="str">
        <f t="shared" si="24"/>
        <v>82018</v>
      </c>
      <c r="B400" s="1">
        <v>43319</v>
      </c>
      <c r="C400" s="10">
        <v>43289.645833333336</v>
      </c>
      <c r="D400">
        <v>15344</v>
      </c>
      <c r="E400">
        <v>15387.35</v>
      </c>
      <c r="F400">
        <v>15156</v>
      </c>
      <c r="G400">
        <v>15219.7</v>
      </c>
      <c r="H400">
        <v>0</v>
      </c>
      <c r="I400" s="8">
        <f t="shared" si="25"/>
        <v>-6.4983599066533726E-3</v>
      </c>
      <c r="J400" s="8">
        <f t="shared" si="26"/>
        <v>-6.5195661679274394E-3</v>
      </c>
      <c r="K400" s="8">
        <f t="shared" si="23"/>
        <v>8.1609085126871372E-2</v>
      </c>
    </row>
    <row r="401" spans="1:11" x14ac:dyDescent="0.25">
      <c r="A401" t="str">
        <f t="shared" si="24"/>
        <v>82018</v>
      </c>
      <c r="B401" s="1">
        <v>43320</v>
      </c>
      <c r="C401" s="10">
        <v>43320.645833333336</v>
      </c>
      <c r="D401">
        <v>15240.5</v>
      </c>
      <c r="E401">
        <v>15528.85</v>
      </c>
      <c r="F401">
        <v>15211.1</v>
      </c>
      <c r="G401">
        <v>15483.8</v>
      </c>
      <c r="H401">
        <v>0</v>
      </c>
      <c r="I401" s="8">
        <f t="shared" si="25"/>
        <v>1.7352510233447305E-2</v>
      </c>
      <c r="J401" s="8">
        <f t="shared" si="26"/>
        <v>1.7203674740377803E-2</v>
      </c>
      <c r="K401" s="8">
        <f t="shared" si="23"/>
        <v>0.1040142602495544</v>
      </c>
    </row>
    <row r="402" spans="1:11" x14ac:dyDescent="0.25">
      <c r="A402" t="str">
        <f t="shared" si="24"/>
        <v>82018</v>
      </c>
      <c r="B402" s="1">
        <v>43321</v>
      </c>
      <c r="C402" s="10">
        <v>43351.645833333336</v>
      </c>
      <c r="D402">
        <v>15563.35</v>
      </c>
      <c r="E402">
        <v>15595.9</v>
      </c>
      <c r="F402">
        <v>15429.25</v>
      </c>
      <c r="G402">
        <v>15491.4</v>
      </c>
      <c r="H402">
        <v>0</v>
      </c>
      <c r="I402" s="8">
        <f t="shared" si="25"/>
        <v>4.9083558299645169E-4</v>
      </c>
      <c r="J402" s="8">
        <f t="shared" si="26"/>
        <v>4.9071516261447816E-4</v>
      </c>
      <c r="K402" s="8">
        <f t="shared" si="23"/>
        <v>0.12370113266671745</v>
      </c>
    </row>
    <row r="403" spans="1:11" x14ac:dyDescent="0.25">
      <c r="A403" t="str">
        <f t="shared" si="24"/>
        <v>82018</v>
      </c>
      <c r="B403" s="1">
        <v>43322</v>
      </c>
      <c r="C403" s="10">
        <v>43381.645833333336</v>
      </c>
      <c r="D403">
        <v>15456.5</v>
      </c>
      <c r="E403">
        <v>15491.35</v>
      </c>
      <c r="F403">
        <v>15339.8</v>
      </c>
      <c r="G403">
        <v>15375.6</v>
      </c>
      <c r="H403">
        <v>0</v>
      </c>
      <c r="I403" s="8">
        <f t="shared" si="25"/>
        <v>-7.4751152252217068E-3</v>
      </c>
      <c r="J403" s="8">
        <f t="shared" si="26"/>
        <v>-7.5031939141741869E-3</v>
      </c>
      <c r="K403" s="8">
        <f t="shared" si="23"/>
        <v>0.12372558047753723</v>
      </c>
    </row>
    <row r="404" spans="1:11" x14ac:dyDescent="0.25">
      <c r="A404" t="str">
        <f t="shared" si="24"/>
        <v>82018</v>
      </c>
      <c r="B404" s="1">
        <v>43325</v>
      </c>
      <c r="C404" t="s">
        <v>265</v>
      </c>
      <c r="D404">
        <v>15312.55</v>
      </c>
      <c r="E404">
        <v>15319.2</v>
      </c>
      <c r="F404">
        <v>15122.15</v>
      </c>
      <c r="G404">
        <v>15141.3</v>
      </c>
      <c r="H404">
        <v>0</v>
      </c>
      <c r="I404" s="8">
        <f t="shared" si="25"/>
        <v>-1.5238429719815927E-2</v>
      </c>
      <c r="J404" s="8">
        <f t="shared" si="26"/>
        <v>-1.5355727740705609E-2</v>
      </c>
      <c r="K404" s="8">
        <f t="shared" si="23"/>
        <v>0.11962465476890305</v>
      </c>
    </row>
    <row r="405" spans="1:11" x14ac:dyDescent="0.25">
      <c r="A405" t="str">
        <f t="shared" si="24"/>
        <v>82018</v>
      </c>
      <c r="B405" s="1">
        <v>43326</v>
      </c>
      <c r="C405" t="s">
        <v>266</v>
      </c>
      <c r="D405">
        <v>15169.8</v>
      </c>
      <c r="E405">
        <v>15356.8</v>
      </c>
      <c r="F405">
        <v>15121.15</v>
      </c>
      <c r="G405">
        <v>15309.85</v>
      </c>
      <c r="H405">
        <v>0</v>
      </c>
      <c r="I405" s="8">
        <f t="shared" si="25"/>
        <v>1.1131805062973621E-2</v>
      </c>
      <c r="J405" s="8">
        <f t="shared" si="26"/>
        <v>1.107030252294617E-2</v>
      </c>
      <c r="K405" s="8">
        <f t="shared" si="23"/>
        <v>0.13288392450819719</v>
      </c>
    </row>
    <row r="406" spans="1:11" x14ac:dyDescent="0.25">
      <c r="A406" t="str">
        <f t="shared" si="24"/>
        <v>82018</v>
      </c>
      <c r="B406" s="1">
        <v>43328</v>
      </c>
      <c r="C406" t="s">
        <v>267</v>
      </c>
      <c r="D406">
        <v>15263.4</v>
      </c>
      <c r="E406">
        <v>15382.9</v>
      </c>
      <c r="F406">
        <v>15202.95</v>
      </c>
      <c r="G406">
        <v>15238.6</v>
      </c>
      <c r="H406">
        <v>0</v>
      </c>
      <c r="I406" s="8">
        <f t="shared" si="25"/>
        <v>-4.6538666283471031E-3</v>
      </c>
      <c r="J406" s="8">
        <f t="shared" si="26"/>
        <v>-4.6647295819057331E-3</v>
      </c>
      <c r="K406" s="8">
        <f t="shared" si="23"/>
        <v>0.13245517882025082</v>
      </c>
    </row>
    <row r="407" spans="1:11" x14ac:dyDescent="0.25">
      <c r="A407" t="str">
        <f t="shared" si="24"/>
        <v>82018</v>
      </c>
      <c r="B407" s="1">
        <v>43329</v>
      </c>
      <c r="C407" t="s">
        <v>268</v>
      </c>
      <c r="D407">
        <v>15321.65</v>
      </c>
      <c r="E407">
        <v>15351.55</v>
      </c>
      <c r="F407">
        <v>15221.7</v>
      </c>
      <c r="G407">
        <v>15250.05</v>
      </c>
      <c r="H407">
        <v>0</v>
      </c>
      <c r="I407" s="8">
        <f t="shared" si="25"/>
        <v>7.5138136049246462E-4</v>
      </c>
      <c r="J407" s="8">
        <f t="shared" si="26"/>
        <v>7.5109921484182605E-4</v>
      </c>
      <c r="K407" s="8">
        <f t="shared" si="23"/>
        <v>0.15774070489096381</v>
      </c>
    </row>
    <row r="408" spans="1:11" x14ac:dyDescent="0.25">
      <c r="A408" t="str">
        <f t="shared" si="24"/>
        <v>82018</v>
      </c>
      <c r="B408" s="1">
        <v>43332</v>
      </c>
      <c r="C408" t="s">
        <v>269</v>
      </c>
      <c r="D408">
        <v>15301.3</v>
      </c>
      <c r="E408">
        <v>15546.2</v>
      </c>
      <c r="F408">
        <v>15296</v>
      </c>
      <c r="G408">
        <v>15520.25</v>
      </c>
      <c r="H408">
        <v>0</v>
      </c>
      <c r="I408" s="8">
        <f t="shared" si="25"/>
        <v>1.7717974695165006E-2</v>
      </c>
      <c r="J408" s="8">
        <f t="shared" si="26"/>
        <v>1.7562841136188688E-2</v>
      </c>
      <c r="K408" s="8">
        <f t="shared" si="23"/>
        <v>0.18349162533027807</v>
      </c>
    </row>
    <row r="409" spans="1:11" x14ac:dyDescent="0.25">
      <c r="A409" t="str">
        <f t="shared" si="24"/>
        <v>82018</v>
      </c>
      <c r="B409" s="1">
        <v>43333</v>
      </c>
      <c r="C409" t="s">
        <v>270</v>
      </c>
      <c r="D409">
        <v>15556.75</v>
      </c>
      <c r="E409">
        <v>15652.35</v>
      </c>
      <c r="F409">
        <v>15434.55</v>
      </c>
      <c r="G409">
        <v>15622.4</v>
      </c>
      <c r="H409">
        <v>0</v>
      </c>
      <c r="I409" s="8">
        <f t="shared" si="25"/>
        <v>6.5817238768706154E-3</v>
      </c>
      <c r="J409" s="8">
        <f t="shared" si="26"/>
        <v>6.5601589036903161E-3</v>
      </c>
      <c r="K409" s="8">
        <f t="shared" si="23"/>
        <v>0.17322278796617563</v>
      </c>
    </row>
    <row r="410" spans="1:11" x14ac:dyDescent="0.25">
      <c r="A410" t="str">
        <f t="shared" si="24"/>
        <v>82018</v>
      </c>
      <c r="B410" s="1">
        <v>43335</v>
      </c>
      <c r="C410" t="s">
        <v>271</v>
      </c>
      <c r="D410">
        <v>15630.9</v>
      </c>
      <c r="E410">
        <v>15822.55</v>
      </c>
      <c r="F410">
        <v>15543.75</v>
      </c>
      <c r="G410">
        <v>15798.5</v>
      </c>
      <c r="H410">
        <v>0</v>
      </c>
      <c r="I410" s="8">
        <f t="shared" si="25"/>
        <v>1.1272275706677659E-2</v>
      </c>
      <c r="J410" s="8">
        <f t="shared" si="26"/>
        <v>1.1209217040836652E-2</v>
      </c>
      <c r="K410" s="8">
        <f t="shared" si="23"/>
        <v>0.1749503573526896</v>
      </c>
    </row>
    <row r="411" spans="1:11" x14ac:dyDescent="0.25">
      <c r="A411" t="str">
        <f t="shared" si="24"/>
        <v>82018</v>
      </c>
      <c r="B411" s="1">
        <v>43336</v>
      </c>
      <c r="C411" t="s">
        <v>272</v>
      </c>
      <c r="D411">
        <v>15764.6</v>
      </c>
      <c r="E411">
        <v>15902.15</v>
      </c>
      <c r="F411">
        <v>15721.65</v>
      </c>
      <c r="G411">
        <v>15875</v>
      </c>
      <c r="H411">
        <v>0</v>
      </c>
      <c r="I411" s="8">
        <f t="shared" si="25"/>
        <v>4.842231857454804E-3</v>
      </c>
      <c r="J411" s="8">
        <f t="shared" si="26"/>
        <v>4.8305459614695527E-3</v>
      </c>
      <c r="K411" s="8">
        <f t="shared" si="23"/>
        <v>0.18060022831135125</v>
      </c>
    </row>
    <row r="412" spans="1:11" x14ac:dyDescent="0.25">
      <c r="A412" t="str">
        <f t="shared" si="24"/>
        <v>82018</v>
      </c>
      <c r="B412" s="1">
        <v>43339</v>
      </c>
      <c r="C412" t="s">
        <v>273</v>
      </c>
      <c r="D412">
        <v>15914.1</v>
      </c>
      <c r="E412">
        <v>16112.55</v>
      </c>
      <c r="F412">
        <v>15908.85</v>
      </c>
      <c r="G412">
        <v>16082.7</v>
      </c>
      <c r="H412">
        <v>0</v>
      </c>
      <c r="I412" s="8">
        <f t="shared" si="25"/>
        <v>1.3083464566929104E-2</v>
      </c>
      <c r="J412" s="8">
        <f t="shared" si="26"/>
        <v>1.2998615324444716E-2</v>
      </c>
      <c r="K412" s="8">
        <f t="shared" si="23"/>
        <v>0.20006715666156771</v>
      </c>
    </row>
    <row r="413" spans="1:11" x14ac:dyDescent="0.25">
      <c r="A413" t="str">
        <f t="shared" si="24"/>
        <v>82018</v>
      </c>
      <c r="B413" s="1">
        <v>43340</v>
      </c>
      <c r="C413" t="s">
        <v>274</v>
      </c>
      <c r="D413">
        <v>16126.55</v>
      </c>
      <c r="E413">
        <v>16348.85</v>
      </c>
      <c r="F413">
        <v>16119.2</v>
      </c>
      <c r="G413">
        <v>16241.65</v>
      </c>
      <c r="H413">
        <v>0</v>
      </c>
      <c r="I413" s="8">
        <f t="shared" si="25"/>
        <v>9.8832907409824866E-3</v>
      </c>
      <c r="J413" s="8">
        <f t="shared" si="26"/>
        <v>9.8347704545228929E-3</v>
      </c>
      <c r="K413" s="8">
        <f t="shared" si="23"/>
        <v>0.20100344587899488</v>
      </c>
    </row>
    <row r="414" spans="1:11" x14ac:dyDescent="0.25">
      <c r="A414" t="str">
        <f t="shared" si="24"/>
        <v>82018</v>
      </c>
      <c r="B414" s="1">
        <v>43341</v>
      </c>
      <c r="C414" t="s">
        <v>275</v>
      </c>
      <c r="D414">
        <v>16241.25</v>
      </c>
      <c r="E414">
        <v>16360.5</v>
      </c>
      <c r="F414">
        <v>16026.55</v>
      </c>
      <c r="G414">
        <v>16059.95</v>
      </c>
      <c r="H414">
        <v>0</v>
      </c>
      <c r="I414" s="8">
        <f t="shared" si="25"/>
        <v>-1.1187287005938407E-2</v>
      </c>
      <c r="J414" s="8">
        <f t="shared" si="26"/>
        <v>-1.1250335368984938E-2</v>
      </c>
      <c r="K414" s="8">
        <f t="shared" si="23"/>
        <v>0.1897801566869779</v>
      </c>
    </row>
    <row r="415" spans="1:11" x14ac:dyDescent="0.25">
      <c r="A415" t="str">
        <f t="shared" si="24"/>
        <v>82018</v>
      </c>
      <c r="B415" s="1">
        <v>43342</v>
      </c>
      <c r="C415" t="s">
        <v>276</v>
      </c>
      <c r="D415">
        <v>16049.6</v>
      </c>
      <c r="E415">
        <v>16077.5</v>
      </c>
      <c r="F415">
        <v>15900.55</v>
      </c>
      <c r="G415">
        <v>15960.6</v>
      </c>
      <c r="H415">
        <v>0</v>
      </c>
      <c r="I415" s="8">
        <f t="shared" si="25"/>
        <v>-6.186196096500951E-3</v>
      </c>
      <c r="J415" s="8">
        <f t="shared" si="26"/>
        <v>-6.2054098887491319E-3</v>
      </c>
      <c r="K415" s="8">
        <f t="shared" si="23"/>
        <v>0.18126915049513759</v>
      </c>
    </row>
    <row r="416" spans="1:11" x14ac:dyDescent="0.25">
      <c r="A416" t="str">
        <f t="shared" si="24"/>
        <v>82018</v>
      </c>
      <c r="B416" s="1">
        <v>43343</v>
      </c>
      <c r="C416" t="s">
        <v>277</v>
      </c>
      <c r="D416">
        <v>15909.75</v>
      </c>
      <c r="E416">
        <v>15915.7</v>
      </c>
      <c r="F416">
        <v>15674.55</v>
      </c>
      <c r="G416">
        <v>15763</v>
      </c>
      <c r="H416">
        <v>0</v>
      </c>
      <c r="I416" s="8">
        <f t="shared" si="25"/>
        <v>-1.2380486949112202E-2</v>
      </c>
      <c r="J416" s="8">
        <f t="shared" si="26"/>
        <v>-1.2457763655583641E-2</v>
      </c>
      <c r="K416" s="8">
        <f t="shared" si="23"/>
        <v>0.1637203911305356</v>
      </c>
    </row>
    <row r="417" spans="1:11" x14ac:dyDescent="0.25">
      <c r="A417" t="str">
        <f t="shared" si="24"/>
        <v>92018</v>
      </c>
      <c r="B417" s="1">
        <v>43346</v>
      </c>
      <c r="C417" s="10">
        <v>43168.645833333336</v>
      </c>
      <c r="D417">
        <v>15831.35</v>
      </c>
      <c r="E417">
        <v>15877.05</v>
      </c>
      <c r="F417">
        <v>15574.65</v>
      </c>
      <c r="G417">
        <v>15598.6</v>
      </c>
      <c r="H417">
        <v>0</v>
      </c>
      <c r="I417" s="8">
        <f t="shared" si="25"/>
        <v>-1.0429486772822405E-2</v>
      </c>
      <c r="J417" s="8">
        <f t="shared" si="26"/>
        <v>-1.0484255005854438E-2</v>
      </c>
      <c r="K417" s="8">
        <f t="shared" si="23"/>
        <v>0.1457764066402234</v>
      </c>
    </row>
    <row r="418" spans="1:11" x14ac:dyDescent="0.25">
      <c r="A418" t="str">
        <f t="shared" si="24"/>
        <v>92018</v>
      </c>
      <c r="B418" s="1">
        <v>43347</v>
      </c>
      <c r="C418" s="10">
        <v>43199.645833333336</v>
      </c>
      <c r="D418">
        <v>15643.6</v>
      </c>
      <c r="E418">
        <v>15756.35</v>
      </c>
      <c r="F418">
        <v>15545.6</v>
      </c>
      <c r="G418">
        <v>15587.95</v>
      </c>
      <c r="H418">
        <v>0</v>
      </c>
      <c r="I418" s="8">
        <f t="shared" si="25"/>
        <v>-6.827535804495577E-4</v>
      </c>
      <c r="J418" s="8">
        <f t="shared" si="26"/>
        <v>-6.8298676281880542E-4</v>
      </c>
      <c r="K418" s="8">
        <f t="shared" si="23"/>
        <v>0.13012665753166441</v>
      </c>
    </row>
    <row r="419" spans="1:11" x14ac:dyDescent="0.25">
      <c r="A419" t="str">
        <f t="shared" si="24"/>
        <v>92018</v>
      </c>
      <c r="B419" s="1">
        <v>43348</v>
      </c>
      <c r="C419" s="10">
        <v>43229.645833333336</v>
      </c>
      <c r="D419">
        <v>15581.95</v>
      </c>
      <c r="E419">
        <v>15682.25</v>
      </c>
      <c r="F419">
        <v>15307.25</v>
      </c>
      <c r="G419">
        <v>15486.55</v>
      </c>
      <c r="H419">
        <v>0</v>
      </c>
      <c r="I419" s="8">
        <f t="shared" si="25"/>
        <v>-6.5050247146033469E-3</v>
      </c>
      <c r="J419" s="8">
        <f t="shared" si="26"/>
        <v>-6.5262745919865599E-3</v>
      </c>
      <c r="K419" s="8">
        <f t="shared" si="23"/>
        <v>0.11712195860894914</v>
      </c>
    </row>
    <row r="420" spans="1:11" x14ac:dyDescent="0.25">
      <c r="A420" t="str">
        <f t="shared" si="24"/>
        <v>92018</v>
      </c>
      <c r="B420" s="1">
        <v>43349</v>
      </c>
      <c r="C420" s="10">
        <v>43260.645833333336</v>
      </c>
      <c r="D420">
        <v>15522.65</v>
      </c>
      <c r="E420">
        <v>15840.35</v>
      </c>
      <c r="F420">
        <v>15479.7</v>
      </c>
      <c r="G420">
        <v>15803.45</v>
      </c>
      <c r="H420">
        <v>0</v>
      </c>
      <c r="I420" s="8">
        <f t="shared" si="25"/>
        <v>2.0462917822239302E-2</v>
      </c>
      <c r="J420" s="8">
        <f t="shared" si="26"/>
        <v>2.0256365343696327E-2</v>
      </c>
      <c r="K420" s="8">
        <f t="shared" si="23"/>
        <v>0.1413482302131257</v>
      </c>
    </row>
    <row r="421" spans="1:11" x14ac:dyDescent="0.25">
      <c r="A421" t="str">
        <f t="shared" si="24"/>
        <v>92018</v>
      </c>
      <c r="B421" s="1">
        <v>43350</v>
      </c>
      <c r="C421" s="10">
        <v>43290.645833333336</v>
      </c>
      <c r="D421">
        <v>15865.6</v>
      </c>
      <c r="E421">
        <v>15967.85</v>
      </c>
      <c r="F421">
        <v>15719.85</v>
      </c>
      <c r="G421">
        <v>15937.4</v>
      </c>
      <c r="H421">
        <v>0</v>
      </c>
      <c r="I421" s="8">
        <f t="shared" si="25"/>
        <v>8.4759973296968383E-3</v>
      </c>
      <c r="J421" s="8">
        <f t="shared" si="26"/>
        <v>8.4402777617140646E-3</v>
      </c>
      <c r="K421" s="8">
        <f t="shared" si="23"/>
        <v>0.14272398426884925</v>
      </c>
    </row>
    <row r="422" spans="1:11" x14ac:dyDescent="0.25">
      <c r="A422" t="str">
        <f t="shared" si="24"/>
        <v>92018</v>
      </c>
      <c r="B422" s="1">
        <v>43353</v>
      </c>
      <c r="C422" s="10">
        <v>43382.645833333336</v>
      </c>
      <c r="D422">
        <v>15888.9</v>
      </c>
      <c r="E422">
        <v>15889.95</v>
      </c>
      <c r="F422">
        <v>15638.35</v>
      </c>
      <c r="G422">
        <v>15675.8</v>
      </c>
      <c r="H422">
        <v>0</v>
      </c>
      <c r="I422" s="8">
        <f t="shared" si="25"/>
        <v>-1.6414220638247157E-2</v>
      </c>
      <c r="J422" s="8">
        <f t="shared" si="26"/>
        <v>-1.6550426489883335E-2</v>
      </c>
      <c r="K422" s="8">
        <f t="shared" si="23"/>
        <v>0.12011604310172341</v>
      </c>
    </row>
    <row r="423" spans="1:11" x14ac:dyDescent="0.25">
      <c r="A423" t="str">
        <f t="shared" si="24"/>
        <v>92018</v>
      </c>
      <c r="B423" s="1">
        <v>43354</v>
      </c>
      <c r="C423" s="10">
        <v>43413.645833333336</v>
      </c>
      <c r="D423">
        <v>15712.65</v>
      </c>
      <c r="E423">
        <v>15791.65</v>
      </c>
      <c r="F423">
        <v>15449.6</v>
      </c>
      <c r="G423">
        <v>15477.45</v>
      </c>
      <c r="H423">
        <v>0</v>
      </c>
      <c r="I423" s="8">
        <f t="shared" si="25"/>
        <v>-1.26532617155104E-2</v>
      </c>
      <c r="J423" s="8">
        <f t="shared" si="26"/>
        <v>-1.2733995989121748E-2</v>
      </c>
      <c r="K423" s="8">
        <f t="shared" si="23"/>
        <v>0.10740682440989402</v>
      </c>
    </row>
    <row r="424" spans="1:11" x14ac:dyDescent="0.25">
      <c r="A424" t="str">
        <f t="shared" si="24"/>
        <v>92018</v>
      </c>
      <c r="B424" s="1">
        <v>43355</v>
      </c>
      <c r="C424" s="10">
        <v>43443.645833333336</v>
      </c>
      <c r="D424">
        <v>15576.8</v>
      </c>
      <c r="E424">
        <v>15634.3</v>
      </c>
      <c r="F424">
        <v>15351.45</v>
      </c>
      <c r="G424">
        <v>15601.05</v>
      </c>
      <c r="H424">
        <v>0</v>
      </c>
      <c r="I424" s="8">
        <f t="shared" si="25"/>
        <v>7.9858116162545567E-3</v>
      </c>
      <c r="J424" s="8">
        <f t="shared" si="26"/>
        <v>7.9540937725869464E-3</v>
      </c>
      <c r="K424" s="8">
        <f t="shared" si="23"/>
        <v>0.11922936201045964</v>
      </c>
    </row>
    <row r="425" spans="1:11" x14ac:dyDescent="0.25">
      <c r="A425" t="str">
        <f t="shared" si="24"/>
        <v>92018</v>
      </c>
      <c r="B425" s="1">
        <v>43357</v>
      </c>
      <c r="C425" t="s">
        <v>278</v>
      </c>
      <c r="D425">
        <v>15701.7</v>
      </c>
      <c r="E425">
        <v>15864.6</v>
      </c>
      <c r="F425">
        <v>15674.9</v>
      </c>
      <c r="G425">
        <v>15791.9</v>
      </c>
      <c r="H425">
        <v>0</v>
      </c>
      <c r="I425" s="8">
        <f t="shared" si="25"/>
        <v>1.2233150973812723E-2</v>
      </c>
      <c r="J425" s="8">
        <f t="shared" si="26"/>
        <v>1.215893066817653E-2</v>
      </c>
      <c r="K425" s="8">
        <f t="shared" si="23"/>
        <v>0.12554078614447084</v>
      </c>
    </row>
    <row r="426" spans="1:11" x14ac:dyDescent="0.25">
      <c r="A426" t="str">
        <f t="shared" si="24"/>
        <v>92018</v>
      </c>
      <c r="B426" s="1">
        <v>43360</v>
      </c>
      <c r="C426" t="s">
        <v>279</v>
      </c>
      <c r="D426">
        <v>15736.75</v>
      </c>
      <c r="E426">
        <v>15739.25</v>
      </c>
      <c r="F426">
        <v>15565.7</v>
      </c>
      <c r="G426">
        <v>15609.05</v>
      </c>
      <c r="H426">
        <v>0</v>
      </c>
      <c r="I426" s="8">
        <f t="shared" si="25"/>
        <v>-1.1578720736580173E-2</v>
      </c>
      <c r="J426" s="8">
        <f t="shared" si="26"/>
        <v>-1.1646276099609922E-2</v>
      </c>
      <c r="K426" s="8">
        <f t="shared" si="23"/>
        <v>0.12938831326695999</v>
      </c>
    </row>
    <row r="427" spans="1:11" x14ac:dyDescent="0.25">
      <c r="A427" t="str">
        <f t="shared" si="24"/>
        <v>92018</v>
      </c>
      <c r="B427" s="1">
        <v>43361</v>
      </c>
      <c r="C427" t="s">
        <v>280</v>
      </c>
      <c r="D427">
        <v>15624.7</v>
      </c>
      <c r="E427">
        <v>15716.75</v>
      </c>
      <c r="F427">
        <v>15436.4</v>
      </c>
      <c r="G427">
        <v>15460.2</v>
      </c>
      <c r="H427">
        <v>0</v>
      </c>
      <c r="I427" s="8">
        <f t="shared" si="25"/>
        <v>-9.5361344860832586E-3</v>
      </c>
      <c r="J427" s="8">
        <f t="shared" si="26"/>
        <v>-9.581894565097707E-3</v>
      </c>
      <c r="K427" s="8">
        <f t="shared" si="23"/>
        <v>0.10647342995169096</v>
      </c>
    </row>
    <row r="428" spans="1:11" x14ac:dyDescent="0.25">
      <c r="A428" t="str">
        <f t="shared" si="24"/>
        <v>92018</v>
      </c>
      <c r="B428" s="1">
        <v>43362</v>
      </c>
      <c r="C428" t="s">
        <v>281</v>
      </c>
      <c r="D428">
        <v>15529.75</v>
      </c>
      <c r="E428">
        <v>15574.65</v>
      </c>
      <c r="F428">
        <v>15399.3</v>
      </c>
      <c r="G428">
        <v>15458.45</v>
      </c>
      <c r="H428">
        <v>0</v>
      </c>
      <c r="I428" s="8">
        <f t="shared" si="25"/>
        <v>-1.1319387847508189E-4</v>
      </c>
      <c r="J428" s="8">
        <f t="shared" si="26"/>
        <v>-1.132002853856306E-4</v>
      </c>
      <c r="K428" s="8">
        <f t="shared" si="23"/>
        <v>9.9119052359148085E-2</v>
      </c>
    </row>
    <row r="429" spans="1:11" x14ac:dyDescent="0.25">
      <c r="A429" t="str">
        <f t="shared" si="24"/>
        <v>92018</v>
      </c>
      <c r="B429" s="1">
        <v>43364</v>
      </c>
      <c r="C429" t="s">
        <v>282</v>
      </c>
      <c r="D429">
        <v>15567.5</v>
      </c>
      <c r="E429">
        <v>15761.15</v>
      </c>
      <c r="F429">
        <v>15197.45</v>
      </c>
      <c r="G429">
        <v>15575.3</v>
      </c>
      <c r="H429">
        <v>0</v>
      </c>
      <c r="I429" s="8">
        <f t="shared" si="25"/>
        <v>7.5589726007456726E-3</v>
      </c>
      <c r="J429" s="8">
        <f t="shared" si="26"/>
        <v>7.5305467244317593E-3</v>
      </c>
      <c r="K429" s="8">
        <f t="shared" si="23"/>
        <v>0.11663703363826672</v>
      </c>
    </row>
    <row r="430" spans="1:11" x14ac:dyDescent="0.25">
      <c r="A430" t="str">
        <f t="shared" si="24"/>
        <v>92018</v>
      </c>
      <c r="B430" s="1">
        <v>43367</v>
      </c>
      <c r="C430" t="s">
        <v>283</v>
      </c>
      <c r="D430">
        <v>15544.7</v>
      </c>
      <c r="E430">
        <v>15712.95</v>
      </c>
      <c r="F430">
        <v>15446.45</v>
      </c>
      <c r="G430">
        <v>15588.55</v>
      </c>
      <c r="H430">
        <v>0</v>
      </c>
      <c r="I430" s="8">
        <f t="shared" si="25"/>
        <v>8.5070592540748002E-4</v>
      </c>
      <c r="J430" s="8">
        <f t="shared" si="26"/>
        <v>8.5034428020965989E-4</v>
      </c>
      <c r="K430" s="8">
        <f t="shared" si="23"/>
        <v>0.13148267777689049</v>
      </c>
    </row>
    <row r="431" spans="1:11" x14ac:dyDescent="0.25">
      <c r="A431" t="str">
        <f t="shared" si="24"/>
        <v>92018</v>
      </c>
      <c r="B431" s="1">
        <v>43368</v>
      </c>
      <c r="C431" t="s">
        <v>284</v>
      </c>
      <c r="D431">
        <v>15596.4</v>
      </c>
      <c r="E431">
        <v>15677</v>
      </c>
      <c r="F431">
        <v>15192.65</v>
      </c>
      <c r="G431">
        <v>15540.6</v>
      </c>
      <c r="H431">
        <v>0</v>
      </c>
      <c r="I431" s="8">
        <f t="shared" si="25"/>
        <v>-3.0759756359635126E-3</v>
      </c>
      <c r="J431" s="8">
        <f t="shared" si="26"/>
        <v>-3.0807161726996409E-3</v>
      </c>
      <c r="K431" s="8">
        <f t="shared" si="23"/>
        <v>0.1442856038377005</v>
      </c>
    </row>
    <row r="432" spans="1:11" x14ac:dyDescent="0.25">
      <c r="A432" t="str">
        <f t="shared" si="24"/>
        <v>92018</v>
      </c>
      <c r="B432" s="1">
        <v>43369</v>
      </c>
      <c r="C432" t="s">
        <v>285</v>
      </c>
      <c r="D432">
        <v>15671.05</v>
      </c>
      <c r="E432">
        <v>15735.4</v>
      </c>
      <c r="F432">
        <v>15475.25</v>
      </c>
      <c r="G432">
        <v>15703.9</v>
      </c>
      <c r="H432">
        <v>0</v>
      </c>
      <c r="I432" s="8">
        <f t="shared" si="25"/>
        <v>1.0507959795632127E-2</v>
      </c>
      <c r="J432" s="8">
        <f t="shared" si="26"/>
        <v>1.0453134916741314E-2</v>
      </c>
      <c r="K432" s="8">
        <f t="shared" si="23"/>
        <v>0.18545498465707722</v>
      </c>
    </row>
    <row r="433" spans="1:11" x14ac:dyDescent="0.25">
      <c r="A433" t="str">
        <f t="shared" si="24"/>
        <v>92018</v>
      </c>
      <c r="B433" s="1">
        <v>43370</v>
      </c>
      <c r="C433" t="s">
        <v>286</v>
      </c>
      <c r="D433">
        <v>15746.05</v>
      </c>
      <c r="E433">
        <v>15825.45</v>
      </c>
      <c r="F433">
        <v>15581.6</v>
      </c>
      <c r="G433">
        <v>15694.95</v>
      </c>
      <c r="H433">
        <v>0</v>
      </c>
      <c r="I433" s="8">
        <f t="shared" si="25"/>
        <v>-5.699221212563943E-4</v>
      </c>
      <c r="J433" s="8">
        <f t="shared" si="26"/>
        <v>-5.7008458860063123E-4</v>
      </c>
      <c r="K433" s="8">
        <f t="shared" si="23"/>
        <v>0.2073827904132195</v>
      </c>
    </row>
    <row r="434" spans="1:11" x14ac:dyDescent="0.25">
      <c r="A434" t="str">
        <f t="shared" si="24"/>
        <v>92018</v>
      </c>
      <c r="B434" s="1">
        <v>43371</v>
      </c>
      <c r="C434" t="s">
        <v>287</v>
      </c>
      <c r="D434">
        <v>15772.95</v>
      </c>
      <c r="E434">
        <v>15867.85</v>
      </c>
      <c r="F434">
        <v>15576.45</v>
      </c>
      <c r="G434">
        <v>15697.2</v>
      </c>
      <c r="H434">
        <v>0</v>
      </c>
      <c r="I434" s="8">
        <f t="shared" si="25"/>
        <v>1.4335821394784176E-4</v>
      </c>
      <c r="J434" s="8">
        <f t="shared" si="26"/>
        <v>1.4334793914106217E-4</v>
      </c>
      <c r="K434" s="8">
        <f t="shared" si="23"/>
        <v>0.17728852838933951</v>
      </c>
    </row>
    <row r="435" spans="1:11" x14ac:dyDescent="0.25">
      <c r="A435" t="str">
        <f t="shared" si="24"/>
        <v>102018</v>
      </c>
      <c r="B435" s="1">
        <v>43374</v>
      </c>
      <c r="C435" s="10">
        <v>43110.645833333336</v>
      </c>
      <c r="D435">
        <v>15711.9</v>
      </c>
      <c r="E435">
        <v>15715.5</v>
      </c>
      <c r="F435">
        <v>15214.05</v>
      </c>
      <c r="G435">
        <v>15539.75</v>
      </c>
      <c r="H435">
        <v>0</v>
      </c>
      <c r="I435" s="8">
        <f t="shared" si="25"/>
        <v>-1.0030451290676035E-2</v>
      </c>
      <c r="J435" s="8">
        <f t="shared" si="26"/>
        <v>-1.0081095206036218E-2</v>
      </c>
      <c r="K435" s="8">
        <f t="shared" si="23"/>
        <v>0.18155482647059928</v>
      </c>
    </row>
    <row r="436" spans="1:11" x14ac:dyDescent="0.25">
      <c r="A436" t="str">
        <f t="shared" si="24"/>
        <v>102018</v>
      </c>
      <c r="B436" s="1">
        <v>43376</v>
      </c>
      <c r="C436" s="10">
        <v>43169.645833333336</v>
      </c>
      <c r="D436">
        <v>15469.3</v>
      </c>
      <c r="E436">
        <v>15576.6</v>
      </c>
      <c r="F436">
        <v>15326.5</v>
      </c>
      <c r="G436">
        <v>15371.05</v>
      </c>
      <c r="H436">
        <v>0</v>
      </c>
      <c r="I436" s="8">
        <f t="shared" si="25"/>
        <v>-1.0856030502421232E-2</v>
      </c>
      <c r="J436" s="8">
        <f t="shared" si="26"/>
        <v>-1.0915387177706178E-2</v>
      </c>
      <c r="K436" s="8">
        <f t="shared" si="23"/>
        <v>0.15759805398240756</v>
      </c>
    </row>
    <row r="437" spans="1:11" x14ac:dyDescent="0.25">
      <c r="A437" t="str">
        <f t="shared" si="24"/>
        <v>102018</v>
      </c>
      <c r="B437" s="1">
        <v>43377</v>
      </c>
      <c r="C437" s="10">
        <v>43200.645833333336</v>
      </c>
      <c r="D437">
        <v>15209.5</v>
      </c>
      <c r="E437">
        <v>15209.5</v>
      </c>
      <c r="F437">
        <v>14120.05</v>
      </c>
      <c r="G437">
        <v>14427.8</v>
      </c>
      <c r="H437">
        <v>0</v>
      </c>
      <c r="I437" s="8">
        <f t="shared" si="25"/>
        <v>-6.1365358905214662E-2</v>
      </c>
      <c r="J437" s="8">
        <f t="shared" si="26"/>
        <v>-6.3328969106213315E-2</v>
      </c>
      <c r="K437" s="8">
        <f t="shared" si="23"/>
        <v>7.8899549081337339E-2</v>
      </c>
    </row>
    <row r="438" spans="1:11" x14ac:dyDescent="0.25">
      <c r="A438" t="str">
        <f t="shared" si="24"/>
        <v>102018</v>
      </c>
      <c r="B438" s="1">
        <v>43378</v>
      </c>
      <c r="C438" s="10">
        <v>43230.645833333336</v>
      </c>
      <c r="D438">
        <v>13979</v>
      </c>
      <c r="E438">
        <v>13979</v>
      </c>
      <c r="F438">
        <v>13170.45</v>
      </c>
      <c r="G438">
        <v>13278</v>
      </c>
      <c r="H438">
        <v>0</v>
      </c>
      <c r="I438" s="8">
        <f t="shared" si="25"/>
        <v>-7.9693369744520903E-2</v>
      </c>
      <c r="J438" s="8">
        <f t="shared" si="26"/>
        <v>-8.3048370713121197E-2</v>
      </c>
      <c r="K438" s="8">
        <f t="shared" si="23"/>
        <v>8.1200815424737893E-3</v>
      </c>
    </row>
    <row r="439" spans="1:11" x14ac:dyDescent="0.25">
      <c r="A439" t="str">
        <f t="shared" si="24"/>
        <v>102018</v>
      </c>
      <c r="B439" s="1">
        <v>43381</v>
      </c>
      <c r="C439" s="10">
        <v>43322.645833333336</v>
      </c>
      <c r="D439">
        <v>13317.8</v>
      </c>
      <c r="E439">
        <v>13892.5</v>
      </c>
      <c r="F439">
        <v>13104</v>
      </c>
      <c r="G439">
        <v>13828.15</v>
      </c>
      <c r="H439">
        <v>0</v>
      </c>
      <c r="I439" s="8">
        <f t="shared" si="25"/>
        <v>4.1433197770748498E-2</v>
      </c>
      <c r="J439" s="8">
        <f t="shared" si="26"/>
        <v>4.05978392592602E-2</v>
      </c>
      <c r="K439" s="8">
        <f t="shared" si="23"/>
        <v>4.0978485072042714E-2</v>
      </c>
    </row>
    <row r="440" spans="1:11" x14ac:dyDescent="0.25">
      <c r="A440" t="str">
        <f t="shared" si="24"/>
        <v>102018</v>
      </c>
      <c r="B440" s="1">
        <v>43382</v>
      </c>
      <c r="C440" s="10">
        <v>43353.645833333336</v>
      </c>
      <c r="D440">
        <v>13946.7</v>
      </c>
      <c r="E440">
        <v>13961.3</v>
      </c>
      <c r="F440">
        <v>13526.75</v>
      </c>
      <c r="G440">
        <v>13591.35</v>
      </c>
      <c r="H440">
        <v>0</v>
      </c>
      <c r="I440" s="8">
        <f t="shared" si="25"/>
        <v>-1.7124488814483474E-2</v>
      </c>
      <c r="J440" s="8">
        <f t="shared" si="26"/>
        <v>-1.7272808578498566E-2</v>
      </c>
      <c r="K440" s="8">
        <f t="shared" si="23"/>
        <v>6.8860013038583023E-3</v>
      </c>
    </row>
    <row r="441" spans="1:11" x14ac:dyDescent="0.25">
      <c r="A441" t="str">
        <f t="shared" si="24"/>
        <v>102018</v>
      </c>
      <c r="B441" s="1">
        <v>43383</v>
      </c>
      <c r="C441" s="10">
        <v>43383.645833333336</v>
      </c>
      <c r="D441">
        <v>13627.4</v>
      </c>
      <c r="E441">
        <v>13861.95</v>
      </c>
      <c r="F441">
        <v>13560.9</v>
      </c>
      <c r="G441">
        <v>13779.35</v>
      </c>
      <c r="H441">
        <v>0</v>
      </c>
      <c r="I441" s="8">
        <f t="shared" si="25"/>
        <v>1.3832327178683546E-2</v>
      </c>
      <c r="J441" s="8">
        <f t="shared" si="26"/>
        <v>1.3737533683931944E-2</v>
      </c>
      <c r="K441" s="8">
        <f t="shared" si="23"/>
        <v>2.1381895934167172E-3</v>
      </c>
    </row>
    <row r="442" spans="1:11" x14ac:dyDescent="0.25">
      <c r="A442" t="str">
        <f t="shared" si="24"/>
        <v>102018</v>
      </c>
      <c r="B442" s="1">
        <v>43384</v>
      </c>
      <c r="C442" s="10">
        <v>43414.645833333336</v>
      </c>
      <c r="D442">
        <v>13403.7</v>
      </c>
      <c r="E442">
        <v>14059.95</v>
      </c>
      <c r="F442">
        <v>13254.25</v>
      </c>
      <c r="G442">
        <v>13796.55</v>
      </c>
      <c r="H442">
        <v>0</v>
      </c>
      <c r="I442" s="8">
        <f t="shared" si="25"/>
        <v>1.248244655952524E-3</v>
      </c>
      <c r="J442" s="8">
        <f t="shared" si="26"/>
        <v>1.2474662462884335E-3</v>
      </c>
      <c r="K442" s="8">
        <f t="shared" si="23"/>
        <v>6.5237955442443152E-5</v>
      </c>
    </row>
    <row r="443" spans="1:11" x14ac:dyDescent="0.25">
      <c r="A443" t="str">
        <f t="shared" si="24"/>
        <v>102018</v>
      </c>
      <c r="B443" s="1">
        <v>43385</v>
      </c>
      <c r="C443" s="10">
        <v>43444.645833333336</v>
      </c>
      <c r="D443">
        <v>14005.75</v>
      </c>
      <c r="E443">
        <v>14270.1</v>
      </c>
      <c r="F443">
        <v>13987.25</v>
      </c>
      <c r="G443">
        <v>14243.05</v>
      </c>
      <c r="H443">
        <v>0</v>
      </c>
      <c r="I443" s="8">
        <f t="shared" si="25"/>
        <v>3.2363163254581773E-2</v>
      </c>
      <c r="J443" s="8">
        <f t="shared" si="26"/>
        <v>3.1850507534721857E-2</v>
      </c>
      <c r="K443" s="8">
        <f t="shared" si="23"/>
        <v>5.4461770872304971E-3</v>
      </c>
    </row>
    <row r="444" spans="1:11" x14ac:dyDescent="0.25">
      <c r="A444" t="str">
        <f t="shared" si="24"/>
        <v>102018</v>
      </c>
      <c r="B444" s="1">
        <v>43388</v>
      </c>
      <c r="C444" t="s">
        <v>288</v>
      </c>
      <c r="D444">
        <v>14291.8</v>
      </c>
      <c r="E444">
        <v>14397.85</v>
      </c>
      <c r="F444">
        <v>14167</v>
      </c>
      <c r="G444">
        <v>14363.15</v>
      </c>
      <c r="H444">
        <v>0</v>
      </c>
      <c r="I444" s="8">
        <f t="shared" si="25"/>
        <v>8.4321827136744076E-3</v>
      </c>
      <c r="J444" s="8">
        <f t="shared" si="26"/>
        <v>8.3968304531426043E-3</v>
      </c>
      <c r="K444" s="8">
        <f t="shared" si="23"/>
        <v>5.2104110240958068E-3</v>
      </c>
    </row>
    <row r="445" spans="1:11" x14ac:dyDescent="0.25">
      <c r="A445" t="str">
        <f t="shared" si="24"/>
        <v>102018</v>
      </c>
      <c r="B445" s="1">
        <v>43389</v>
      </c>
      <c r="C445" t="s">
        <v>289</v>
      </c>
      <c r="D445">
        <v>14428.95</v>
      </c>
      <c r="E445">
        <v>14622.45</v>
      </c>
      <c r="F445">
        <v>14379.35</v>
      </c>
      <c r="G445">
        <v>14596.95</v>
      </c>
      <c r="H445">
        <v>0</v>
      </c>
      <c r="I445" s="8">
        <f t="shared" si="25"/>
        <v>1.6277766367405633E-2</v>
      </c>
      <c r="J445" s="8">
        <f t="shared" si="26"/>
        <v>1.6146703885384833E-2</v>
      </c>
      <c r="K445" s="8">
        <f t="shared" si="23"/>
        <v>3.6347177848775392E-2</v>
      </c>
    </row>
    <row r="446" spans="1:11" x14ac:dyDescent="0.25">
      <c r="A446" t="str">
        <f t="shared" si="24"/>
        <v>102018</v>
      </c>
      <c r="B446" s="1">
        <v>43390</v>
      </c>
      <c r="C446" t="s">
        <v>290</v>
      </c>
      <c r="D446">
        <v>14746.05</v>
      </c>
      <c r="E446">
        <v>14750.65</v>
      </c>
      <c r="F446">
        <v>14335.95</v>
      </c>
      <c r="G446">
        <v>14405.5</v>
      </c>
      <c r="H446">
        <v>0</v>
      </c>
      <c r="I446" s="8">
        <f t="shared" si="25"/>
        <v>-1.3115753633464622E-2</v>
      </c>
      <c r="J446" s="8">
        <f t="shared" si="26"/>
        <v>-1.3202524677011286E-2</v>
      </c>
      <c r="K446" s="8">
        <f t="shared" si="23"/>
        <v>6.0479506107313785E-3</v>
      </c>
    </row>
    <row r="447" spans="1:11" x14ac:dyDescent="0.25">
      <c r="A447" t="str">
        <f t="shared" si="24"/>
        <v>102018</v>
      </c>
      <c r="B447" s="1">
        <v>43392</v>
      </c>
      <c r="C447" t="s">
        <v>291</v>
      </c>
      <c r="D447">
        <v>14037.55</v>
      </c>
      <c r="E447">
        <v>14090.35</v>
      </c>
      <c r="F447">
        <v>13828.55</v>
      </c>
      <c r="G447">
        <v>14014.05</v>
      </c>
      <c r="H447">
        <v>0</v>
      </c>
      <c r="I447" s="8">
        <f t="shared" si="25"/>
        <v>-2.7173648953524698E-2</v>
      </c>
      <c r="J447" s="8">
        <f t="shared" si="26"/>
        <v>-2.7549680301499561E-2</v>
      </c>
      <c r="K447" s="8">
        <f t="shared" si="23"/>
        <v>-2.4322235682359361E-2</v>
      </c>
    </row>
    <row r="448" spans="1:11" x14ac:dyDescent="0.25">
      <c r="A448" t="str">
        <f t="shared" si="24"/>
        <v>102018</v>
      </c>
      <c r="B448" s="1">
        <v>43395</v>
      </c>
      <c r="C448" t="s">
        <v>292</v>
      </c>
      <c r="D448">
        <v>14117.8</v>
      </c>
      <c r="E448">
        <v>14155.65</v>
      </c>
      <c r="F448">
        <v>13608.9</v>
      </c>
      <c r="G448">
        <v>13661.55</v>
      </c>
      <c r="H448">
        <v>0</v>
      </c>
      <c r="I448" s="8">
        <f t="shared" si="25"/>
        <v>-2.5153328266989239E-2</v>
      </c>
      <c r="J448" s="8">
        <f t="shared" si="26"/>
        <v>-2.5475080111917226E-2</v>
      </c>
      <c r="K448" s="8">
        <f t="shared" ref="K448:K511" si="27">+G448/G387-1</f>
        <v>-5.3338923035346819E-2</v>
      </c>
    </row>
    <row r="449" spans="1:11" x14ac:dyDescent="0.25">
      <c r="A449" t="str">
        <f t="shared" si="24"/>
        <v>102018</v>
      </c>
      <c r="B449" s="1">
        <v>43396</v>
      </c>
      <c r="C449" t="s">
        <v>293</v>
      </c>
      <c r="D449">
        <v>13550.25</v>
      </c>
      <c r="E449">
        <v>13698.5</v>
      </c>
      <c r="F449">
        <v>13423.25</v>
      </c>
      <c r="G449">
        <v>13611.85</v>
      </c>
      <c r="H449">
        <v>0</v>
      </c>
      <c r="I449" s="8">
        <f t="shared" si="25"/>
        <v>-3.6379473778597182E-3</v>
      </c>
      <c r="J449" s="8">
        <f t="shared" si="26"/>
        <v>-3.6445808013388938E-3</v>
      </c>
      <c r="K449" s="8">
        <f t="shared" si="27"/>
        <v>-6.3982313664275869E-2</v>
      </c>
    </row>
    <row r="450" spans="1:11" x14ac:dyDescent="0.25">
      <c r="A450" t="str">
        <f t="shared" si="24"/>
        <v>102018</v>
      </c>
      <c r="B450" s="1">
        <v>43397</v>
      </c>
      <c r="C450" t="s">
        <v>294</v>
      </c>
      <c r="D450">
        <v>13851.55</v>
      </c>
      <c r="E450">
        <v>13865.6</v>
      </c>
      <c r="F450">
        <v>13460.25</v>
      </c>
      <c r="G450">
        <v>13632.65</v>
      </c>
      <c r="H450">
        <v>0</v>
      </c>
      <c r="I450" s="8">
        <f t="shared" si="25"/>
        <v>1.5280803123747244E-3</v>
      </c>
      <c r="J450" s="8">
        <f t="shared" si="26"/>
        <v>1.5269139856636037E-3</v>
      </c>
      <c r="K450" s="8">
        <f t="shared" si="27"/>
        <v>-6.0358345366633759E-2</v>
      </c>
    </row>
    <row r="451" spans="1:11" x14ac:dyDescent="0.25">
      <c r="A451" t="str">
        <f t="shared" ref="A451:A514" si="28">+MONTH(B451)&amp;YEAR(B451)</f>
        <v>102018</v>
      </c>
      <c r="B451" s="1">
        <v>43398</v>
      </c>
      <c r="C451" t="s">
        <v>295</v>
      </c>
      <c r="D451">
        <v>13523.6</v>
      </c>
      <c r="E451">
        <v>13595.05</v>
      </c>
      <c r="F451">
        <v>13358.25</v>
      </c>
      <c r="G451">
        <v>13491.35</v>
      </c>
      <c r="H451">
        <v>0</v>
      </c>
      <c r="I451" s="8">
        <f t="shared" si="25"/>
        <v>-1.0364822686711683E-2</v>
      </c>
      <c r="J451" s="8">
        <f t="shared" si="26"/>
        <v>-1.0418911533528353E-2</v>
      </c>
      <c r="K451" s="8">
        <f t="shared" si="27"/>
        <v>-6.879141358365537E-2</v>
      </c>
    </row>
    <row r="452" spans="1:11" x14ac:dyDescent="0.25">
      <c r="A452" t="str">
        <f t="shared" si="28"/>
        <v>102018</v>
      </c>
      <c r="B452" s="1">
        <v>43399</v>
      </c>
      <c r="C452" t="s">
        <v>296</v>
      </c>
      <c r="D452">
        <v>13478.55</v>
      </c>
      <c r="E452">
        <v>13650.35</v>
      </c>
      <c r="F452">
        <v>13334.8</v>
      </c>
      <c r="G452">
        <v>13523.7</v>
      </c>
      <c r="H452">
        <v>0</v>
      </c>
      <c r="I452" s="8">
        <f t="shared" ref="I452:I515" si="29">+G452/G451-1</f>
        <v>2.3978326853872911E-3</v>
      </c>
      <c r="J452" s="8">
        <f t="shared" ref="J452:J515" si="30">+LN(1+I452)</f>
        <v>2.3949624718726152E-3</v>
      </c>
      <c r="K452" s="8">
        <f t="shared" si="27"/>
        <v>-6.4556962025316356E-2</v>
      </c>
    </row>
    <row r="453" spans="1:11" x14ac:dyDescent="0.25">
      <c r="A453" t="str">
        <f t="shared" si="28"/>
        <v>102018</v>
      </c>
      <c r="B453" s="1">
        <v>43402</v>
      </c>
      <c r="C453" t="s">
        <v>297</v>
      </c>
      <c r="D453">
        <v>13552.9</v>
      </c>
      <c r="E453">
        <v>14017.2</v>
      </c>
      <c r="F453">
        <v>13525</v>
      </c>
      <c r="G453">
        <v>13965.2</v>
      </c>
      <c r="H453">
        <v>0</v>
      </c>
      <c r="I453" s="8">
        <f t="shared" si="29"/>
        <v>3.2646391150350951E-2</v>
      </c>
      <c r="J453" s="8">
        <f t="shared" si="30"/>
        <v>3.2124818999229143E-2</v>
      </c>
      <c r="K453" s="8">
        <f t="shared" si="27"/>
        <v>-3.5159353604023669E-2</v>
      </c>
    </row>
    <row r="454" spans="1:11" x14ac:dyDescent="0.25">
      <c r="A454" t="str">
        <f t="shared" si="28"/>
        <v>102018</v>
      </c>
      <c r="B454" s="1">
        <v>43403</v>
      </c>
      <c r="C454" t="s">
        <v>298</v>
      </c>
      <c r="D454">
        <v>13930</v>
      </c>
      <c r="E454">
        <v>13931.25</v>
      </c>
      <c r="F454">
        <v>13634.15</v>
      </c>
      <c r="G454">
        <v>13660.5</v>
      </c>
      <c r="H454">
        <v>0</v>
      </c>
      <c r="I454" s="8">
        <f t="shared" si="29"/>
        <v>-2.1818520321943202E-2</v>
      </c>
      <c r="J454" s="8">
        <f t="shared" si="30"/>
        <v>-2.2060064118823219E-2</v>
      </c>
      <c r="K454" s="8">
        <f t="shared" si="27"/>
        <v>-7.0322176700376993E-2</v>
      </c>
    </row>
    <row r="455" spans="1:11" x14ac:dyDescent="0.25">
      <c r="A455" t="str">
        <f t="shared" si="28"/>
        <v>102018</v>
      </c>
      <c r="B455" s="1">
        <v>43404</v>
      </c>
      <c r="C455" t="s">
        <v>299</v>
      </c>
      <c r="D455">
        <v>13692.55</v>
      </c>
      <c r="E455">
        <v>13777.25</v>
      </c>
      <c r="F455">
        <v>13518.05</v>
      </c>
      <c r="G455">
        <v>13753.35</v>
      </c>
      <c r="H455">
        <v>0</v>
      </c>
      <c r="I455" s="8">
        <f t="shared" si="29"/>
        <v>6.7969693642253581E-3</v>
      </c>
      <c r="J455" s="8">
        <f t="shared" si="30"/>
        <v>6.7739741078517105E-3</v>
      </c>
      <c r="K455" s="8">
        <f t="shared" si="27"/>
        <v>-7.7668242631525941E-2</v>
      </c>
    </row>
    <row r="456" spans="1:11" x14ac:dyDescent="0.25">
      <c r="A456" t="str">
        <f t="shared" si="28"/>
        <v>112018</v>
      </c>
      <c r="B456" s="1">
        <v>43405</v>
      </c>
      <c r="C456" s="10">
        <v>43111.645833333336</v>
      </c>
      <c r="D456">
        <v>13836.15</v>
      </c>
      <c r="E456">
        <v>13837</v>
      </c>
      <c r="F456">
        <v>13672.7</v>
      </c>
      <c r="G456">
        <v>13742.4</v>
      </c>
      <c r="H456">
        <v>0</v>
      </c>
      <c r="I456" s="8">
        <f t="shared" si="29"/>
        <v>-7.9616966048279281E-4</v>
      </c>
      <c r="J456" s="8">
        <f t="shared" si="30"/>
        <v>-7.9648677187441422E-4</v>
      </c>
      <c r="K456" s="8">
        <f t="shared" si="27"/>
        <v>-9.2922865704743285E-2</v>
      </c>
    </row>
    <row r="457" spans="1:11" x14ac:dyDescent="0.25">
      <c r="A457" t="str">
        <f t="shared" si="28"/>
        <v>112018</v>
      </c>
      <c r="B457" s="1">
        <v>43406</v>
      </c>
      <c r="C457" s="10">
        <v>43142.645833333336</v>
      </c>
      <c r="D457">
        <v>13901.75</v>
      </c>
      <c r="E457">
        <v>14048.25</v>
      </c>
      <c r="F457">
        <v>13870.2</v>
      </c>
      <c r="G457">
        <v>14005.3</v>
      </c>
      <c r="H457">
        <v>0</v>
      </c>
      <c r="I457" s="8">
        <f t="shared" si="29"/>
        <v>1.9130573989987187E-2</v>
      </c>
      <c r="J457" s="8">
        <f t="shared" si="30"/>
        <v>1.8949885373923551E-2</v>
      </c>
      <c r="K457" s="8">
        <f t="shared" si="27"/>
        <v>-8.1336543065731792E-2</v>
      </c>
    </row>
    <row r="458" spans="1:11" x14ac:dyDescent="0.25">
      <c r="A458" t="str">
        <f t="shared" si="28"/>
        <v>112018</v>
      </c>
      <c r="B458" s="1">
        <v>43409</v>
      </c>
      <c r="C458" s="10">
        <v>43231.791666666664</v>
      </c>
      <c r="D458">
        <v>14027.9</v>
      </c>
      <c r="E458">
        <v>14027.9</v>
      </c>
      <c r="F458">
        <v>13802.6</v>
      </c>
      <c r="G458">
        <v>13985.75</v>
      </c>
      <c r="H458">
        <v>0</v>
      </c>
      <c r="I458" s="8">
        <f t="shared" si="29"/>
        <v>-1.3959001235246404E-3</v>
      </c>
      <c r="J458" s="8">
        <f t="shared" si="30"/>
        <v>-1.3968752997067474E-3</v>
      </c>
      <c r="K458" s="8">
        <f t="shared" si="27"/>
        <v>-7.3975369131960567E-2</v>
      </c>
    </row>
    <row r="459" spans="1:11" x14ac:dyDescent="0.25">
      <c r="A459" t="str">
        <f t="shared" si="28"/>
        <v>112018</v>
      </c>
      <c r="B459" s="1">
        <v>43410</v>
      </c>
      <c r="C459" s="10">
        <v>43262.645833333336</v>
      </c>
      <c r="D459">
        <v>14043.3</v>
      </c>
      <c r="E459">
        <v>14152.85</v>
      </c>
      <c r="F459">
        <v>13970</v>
      </c>
      <c r="G459">
        <v>14082.8</v>
      </c>
      <c r="H459">
        <v>0</v>
      </c>
      <c r="I459" s="8">
        <f t="shared" si="29"/>
        <v>6.9392059775128523E-3</v>
      </c>
      <c r="J459" s="8">
        <f t="shared" si="30"/>
        <v>6.9152404914681227E-3</v>
      </c>
      <c r="K459" s="8">
        <f t="shared" si="27"/>
        <v>-7.386253407383303E-2</v>
      </c>
    </row>
    <row r="460" spans="1:11" x14ac:dyDescent="0.25">
      <c r="A460" t="str">
        <f t="shared" si="28"/>
        <v>112018</v>
      </c>
      <c r="B460" s="1">
        <v>43413</v>
      </c>
      <c r="C460" s="10">
        <v>43354.645833333336</v>
      </c>
      <c r="D460">
        <v>14178.05</v>
      </c>
      <c r="E460">
        <v>14226.25</v>
      </c>
      <c r="F460">
        <v>14000.65</v>
      </c>
      <c r="G460">
        <v>14074.6</v>
      </c>
      <c r="H460">
        <v>0</v>
      </c>
      <c r="I460" s="8">
        <f t="shared" si="29"/>
        <v>-5.8227057119319969E-4</v>
      </c>
      <c r="J460" s="8">
        <f t="shared" si="30"/>
        <v>-5.8244015653513635E-4</v>
      </c>
      <c r="K460" s="8">
        <f t="shared" si="27"/>
        <v>-8.1247450103627772E-2</v>
      </c>
    </row>
    <row r="461" spans="1:11" x14ac:dyDescent="0.25">
      <c r="A461" t="str">
        <f t="shared" si="28"/>
        <v>112018</v>
      </c>
      <c r="B461" s="1">
        <v>43416</v>
      </c>
      <c r="C461" s="10">
        <v>43445.645833333336</v>
      </c>
      <c r="D461">
        <v>14102.7</v>
      </c>
      <c r="E461">
        <v>14108.8</v>
      </c>
      <c r="F461">
        <v>13810.15</v>
      </c>
      <c r="G461">
        <v>13849.3</v>
      </c>
      <c r="H461">
        <v>0</v>
      </c>
      <c r="I461" s="8">
        <f t="shared" si="29"/>
        <v>-1.6007559717505337E-2</v>
      </c>
      <c r="J461" s="8">
        <f t="shared" si="30"/>
        <v>-1.6137064599136452E-2</v>
      </c>
      <c r="K461" s="8">
        <f t="shared" si="27"/>
        <v>-9.0041196607029139E-2</v>
      </c>
    </row>
    <row r="462" spans="1:11" x14ac:dyDescent="0.25">
      <c r="A462" t="str">
        <f t="shared" si="28"/>
        <v>112018</v>
      </c>
      <c r="B462" s="1">
        <v>43417</v>
      </c>
      <c r="C462" t="s">
        <v>300</v>
      </c>
      <c r="D462">
        <v>13826.8</v>
      </c>
      <c r="E462">
        <v>14117.1</v>
      </c>
      <c r="F462">
        <v>13798.75</v>
      </c>
      <c r="G462">
        <v>14091.05</v>
      </c>
      <c r="H462">
        <v>0</v>
      </c>
      <c r="I462" s="8">
        <f t="shared" si="29"/>
        <v>1.7455755886579105E-2</v>
      </c>
      <c r="J462" s="8">
        <f t="shared" si="30"/>
        <v>1.7305154231039861E-2</v>
      </c>
      <c r="K462" s="8">
        <f t="shared" si="27"/>
        <v>-8.9948849765561389E-2</v>
      </c>
    </row>
    <row r="463" spans="1:11" x14ac:dyDescent="0.25">
      <c r="A463" t="str">
        <f t="shared" si="28"/>
        <v>112018</v>
      </c>
      <c r="B463" s="1">
        <v>43418</v>
      </c>
      <c r="C463" t="s">
        <v>301</v>
      </c>
      <c r="D463">
        <v>14201.05</v>
      </c>
      <c r="E463">
        <v>14337.75</v>
      </c>
      <c r="F463">
        <v>14078.8</v>
      </c>
      <c r="G463">
        <v>14160.75</v>
      </c>
      <c r="H463">
        <v>0</v>
      </c>
      <c r="I463" s="8">
        <f t="shared" si="29"/>
        <v>4.9464021488818677E-3</v>
      </c>
      <c r="J463" s="8">
        <f t="shared" si="30"/>
        <v>4.9342088937379021E-3</v>
      </c>
      <c r="K463" s="8">
        <f t="shared" si="27"/>
        <v>-8.5896045547852351E-2</v>
      </c>
    </row>
    <row r="464" spans="1:11" x14ac:dyDescent="0.25">
      <c r="A464" t="str">
        <f t="shared" si="28"/>
        <v>112018</v>
      </c>
      <c r="B464" s="1">
        <v>43419</v>
      </c>
      <c r="C464" t="s">
        <v>302</v>
      </c>
      <c r="D464">
        <v>14159.2</v>
      </c>
      <c r="E464">
        <v>14190.35</v>
      </c>
      <c r="F464">
        <v>14041.8</v>
      </c>
      <c r="G464">
        <v>14130.6</v>
      </c>
      <c r="H464">
        <v>0</v>
      </c>
      <c r="I464" s="8">
        <f t="shared" si="29"/>
        <v>-2.1291245167098793E-3</v>
      </c>
      <c r="J464" s="8">
        <f t="shared" si="30"/>
        <v>-2.1313943246885356E-3</v>
      </c>
      <c r="K464" s="8">
        <f t="shared" si="27"/>
        <v>-8.0972449855615358E-2</v>
      </c>
    </row>
    <row r="465" spans="1:11" x14ac:dyDescent="0.25">
      <c r="A465" t="str">
        <f t="shared" si="28"/>
        <v>112018</v>
      </c>
      <c r="B465" s="1">
        <v>43420</v>
      </c>
      <c r="C465" t="s">
        <v>303</v>
      </c>
      <c r="D465">
        <v>14113.8</v>
      </c>
      <c r="E465">
        <v>14356.95</v>
      </c>
      <c r="F465">
        <v>14056.85</v>
      </c>
      <c r="G465">
        <v>14312.6</v>
      </c>
      <c r="H465">
        <v>0</v>
      </c>
      <c r="I465" s="8">
        <f t="shared" si="29"/>
        <v>1.2879849404837662E-2</v>
      </c>
      <c r="J465" s="8">
        <f t="shared" si="30"/>
        <v>1.279760954968779E-2</v>
      </c>
      <c r="K465" s="8">
        <f t="shared" si="27"/>
        <v>-5.4731099707422626E-2</v>
      </c>
    </row>
    <row r="466" spans="1:11" x14ac:dyDescent="0.25">
      <c r="A466" t="str">
        <f t="shared" si="28"/>
        <v>112018</v>
      </c>
      <c r="B466" s="1">
        <v>43423</v>
      </c>
      <c r="C466" t="s">
        <v>304</v>
      </c>
      <c r="D466">
        <v>14352.85</v>
      </c>
      <c r="E466">
        <v>14481</v>
      </c>
      <c r="F466">
        <v>14325.6</v>
      </c>
      <c r="G466">
        <v>14466.45</v>
      </c>
      <c r="H466">
        <v>0</v>
      </c>
      <c r="I466" s="8">
        <f t="shared" si="29"/>
        <v>1.0749269874096967E-2</v>
      </c>
      <c r="J466" s="8">
        <f t="shared" si="30"/>
        <v>1.0691907177954933E-2</v>
      </c>
      <c r="K466" s="8">
        <f t="shared" si="27"/>
        <v>-5.5088717394357167E-2</v>
      </c>
    </row>
    <row r="467" spans="1:11" x14ac:dyDescent="0.25">
      <c r="A467" t="str">
        <f t="shared" si="28"/>
        <v>112018</v>
      </c>
      <c r="B467" s="1">
        <v>43424</v>
      </c>
      <c r="C467" t="s">
        <v>305</v>
      </c>
      <c r="D467">
        <v>14450.6</v>
      </c>
      <c r="E467">
        <v>14551.45</v>
      </c>
      <c r="F467">
        <v>14281.65</v>
      </c>
      <c r="G467">
        <v>14333.7</v>
      </c>
      <c r="H467">
        <v>0</v>
      </c>
      <c r="I467" s="8">
        <f t="shared" si="29"/>
        <v>-9.1764047157388839E-3</v>
      </c>
      <c r="J467" s="8">
        <f t="shared" si="30"/>
        <v>-9.2187672739651744E-3</v>
      </c>
      <c r="K467" s="8">
        <f t="shared" si="27"/>
        <v>-5.9382095468087592E-2</v>
      </c>
    </row>
    <row r="468" spans="1:11" x14ac:dyDescent="0.25">
      <c r="A468" t="str">
        <f t="shared" si="28"/>
        <v>112018</v>
      </c>
      <c r="B468" s="1">
        <v>43425</v>
      </c>
      <c r="C468" t="s">
        <v>306</v>
      </c>
      <c r="D468">
        <v>14414.35</v>
      </c>
      <c r="E468">
        <v>14480.15</v>
      </c>
      <c r="F468">
        <v>14098.05</v>
      </c>
      <c r="G468">
        <v>14124.35</v>
      </c>
      <c r="H468">
        <v>0</v>
      </c>
      <c r="I468" s="8">
        <f t="shared" si="29"/>
        <v>-1.4605440325945129E-2</v>
      </c>
      <c r="J468" s="8">
        <f t="shared" si="30"/>
        <v>-1.4713149819060438E-2</v>
      </c>
      <c r="K468" s="8">
        <f t="shared" si="27"/>
        <v>-7.3816151422454235E-2</v>
      </c>
    </row>
    <row r="469" spans="1:11" x14ac:dyDescent="0.25">
      <c r="A469" t="str">
        <f t="shared" si="28"/>
        <v>112018</v>
      </c>
      <c r="B469" s="1">
        <v>43426</v>
      </c>
      <c r="C469" t="s">
        <v>307</v>
      </c>
      <c r="D469">
        <v>14151.45</v>
      </c>
      <c r="E469">
        <v>14224.6</v>
      </c>
      <c r="F469">
        <v>13947.25</v>
      </c>
      <c r="G469">
        <v>13978.65</v>
      </c>
      <c r="H469">
        <v>0</v>
      </c>
      <c r="I469" s="8">
        <f t="shared" si="29"/>
        <v>-1.0315518944234658E-2</v>
      </c>
      <c r="J469" s="8">
        <f t="shared" si="30"/>
        <v>-1.0369092655330732E-2</v>
      </c>
      <c r="K469" s="8">
        <f t="shared" si="27"/>
        <v>-9.9328296902433943E-2</v>
      </c>
    </row>
    <row r="470" spans="1:11" x14ac:dyDescent="0.25">
      <c r="A470" t="str">
        <f t="shared" si="28"/>
        <v>112018</v>
      </c>
      <c r="B470" s="1">
        <v>43430</v>
      </c>
      <c r="C470" t="s">
        <v>308</v>
      </c>
      <c r="D470">
        <v>14094.7</v>
      </c>
      <c r="E470">
        <v>14141.2</v>
      </c>
      <c r="F470">
        <v>13862.05</v>
      </c>
      <c r="G470">
        <v>14003.6</v>
      </c>
      <c r="H470">
        <v>0</v>
      </c>
      <c r="I470" s="8">
        <f t="shared" si="29"/>
        <v>1.7848647759262093E-3</v>
      </c>
      <c r="J470" s="8">
        <f t="shared" si="30"/>
        <v>1.7832737976314706E-3</v>
      </c>
      <c r="K470" s="8">
        <f t="shared" si="27"/>
        <v>-0.10362044244162227</v>
      </c>
    </row>
    <row r="471" spans="1:11" x14ac:dyDescent="0.25">
      <c r="A471" t="str">
        <f t="shared" si="28"/>
        <v>112018</v>
      </c>
      <c r="B471" s="1">
        <v>43431</v>
      </c>
      <c r="C471" t="s">
        <v>309</v>
      </c>
      <c r="D471">
        <v>13983.05</v>
      </c>
      <c r="E471">
        <v>14201.55</v>
      </c>
      <c r="F471">
        <v>13958.3</v>
      </c>
      <c r="G471">
        <v>14185.6</v>
      </c>
      <c r="H471">
        <v>0</v>
      </c>
      <c r="I471" s="8">
        <f t="shared" si="29"/>
        <v>1.2996658002228045E-2</v>
      </c>
      <c r="J471" s="8">
        <f t="shared" si="30"/>
        <v>1.2912926151753856E-2</v>
      </c>
      <c r="K471" s="8">
        <f t="shared" si="27"/>
        <v>-0.10209197075671739</v>
      </c>
    </row>
    <row r="472" spans="1:11" x14ac:dyDescent="0.25">
      <c r="A472" t="str">
        <f t="shared" si="28"/>
        <v>112018</v>
      </c>
      <c r="B472" s="1">
        <v>43432</v>
      </c>
      <c r="C472" t="s">
        <v>310</v>
      </c>
      <c r="D472">
        <v>14226.9</v>
      </c>
      <c r="E472">
        <v>14347.35</v>
      </c>
      <c r="F472">
        <v>14121.95</v>
      </c>
      <c r="G472">
        <v>14264.75</v>
      </c>
      <c r="H472">
        <v>0</v>
      </c>
      <c r="I472" s="8">
        <f t="shared" si="29"/>
        <v>5.5796018497631383E-3</v>
      </c>
      <c r="J472" s="8">
        <f t="shared" si="30"/>
        <v>5.5640935314469776E-3</v>
      </c>
      <c r="K472" s="8">
        <f t="shared" si="27"/>
        <v>-0.10143307086614173</v>
      </c>
    </row>
    <row r="473" spans="1:11" x14ac:dyDescent="0.25">
      <c r="A473" t="str">
        <f t="shared" si="28"/>
        <v>112018</v>
      </c>
      <c r="B473" s="1">
        <v>43433</v>
      </c>
      <c r="C473" t="s">
        <v>311</v>
      </c>
      <c r="D473">
        <v>14378.95</v>
      </c>
      <c r="E473">
        <v>14481.7</v>
      </c>
      <c r="F473">
        <v>14328.25</v>
      </c>
      <c r="G473">
        <v>14367.9</v>
      </c>
      <c r="H473">
        <v>0</v>
      </c>
      <c r="I473" s="8">
        <f t="shared" si="29"/>
        <v>7.2311116563557043E-3</v>
      </c>
      <c r="J473" s="8">
        <f t="shared" si="30"/>
        <v>7.2050925246660413E-3</v>
      </c>
      <c r="K473" s="8">
        <f t="shared" si="27"/>
        <v>-0.10662388778003695</v>
      </c>
    </row>
    <row r="474" spans="1:11" x14ac:dyDescent="0.25">
      <c r="A474" t="str">
        <f t="shared" si="28"/>
        <v>112018</v>
      </c>
      <c r="B474" s="1">
        <v>43434</v>
      </c>
      <c r="C474" t="s">
        <v>312</v>
      </c>
      <c r="D474">
        <v>14414.35</v>
      </c>
      <c r="E474">
        <v>14493.5</v>
      </c>
      <c r="F474">
        <v>14246.15</v>
      </c>
      <c r="G474">
        <v>14323.95</v>
      </c>
      <c r="H474">
        <v>0</v>
      </c>
      <c r="I474" s="8">
        <f t="shared" si="29"/>
        <v>-3.0589021360114543E-3</v>
      </c>
      <c r="J474" s="8">
        <f t="shared" si="30"/>
        <v>-3.0635901396875412E-3</v>
      </c>
      <c r="K474" s="8">
        <f t="shared" si="27"/>
        <v>-0.1180729790384597</v>
      </c>
    </row>
    <row r="475" spans="1:11" x14ac:dyDescent="0.25">
      <c r="A475" t="str">
        <f t="shared" si="28"/>
        <v>122018</v>
      </c>
      <c r="B475" s="1">
        <v>43437</v>
      </c>
      <c r="C475" s="10">
        <v>43171.645833333336</v>
      </c>
      <c r="D475">
        <v>14376.35</v>
      </c>
      <c r="E475">
        <v>14410.25</v>
      </c>
      <c r="F475">
        <v>14250.95</v>
      </c>
      <c r="G475">
        <v>14333.75</v>
      </c>
      <c r="H475">
        <v>0</v>
      </c>
      <c r="I475" s="8">
        <f t="shared" si="29"/>
        <v>6.8416882214750174E-4</v>
      </c>
      <c r="J475" s="8">
        <f t="shared" si="30"/>
        <v>6.8393488535432791E-4</v>
      </c>
      <c r="K475" s="8">
        <f t="shared" si="27"/>
        <v>-0.10748476800986306</v>
      </c>
    </row>
    <row r="476" spans="1:11" x14ac:dyDescent="0.25">
      <c r="A476" t="str">
        <f t="shared" si="28"/>
        <v>122018</v>
      </c>
      <c r="B476" s="1">
        <v>43438</v>
      </c>
      <c r="C476" s="10">
        <v>43202.645833333336</v>
      </c>
      <c r="D476">
        <v>14325.8</v>
      </c>
      <c r="E476">
        <v>14383.8</v>
      </c>
      <c r="F476">
        <v>14225.8</v>
      </c>
      <c r="G476">
        <v>14359.1</v>
      </c>
      <c r="H476">
        <v>0</v>
      </c>
      <c r="I476" s="8">
        <f t="shared" si="29"/>
        <v>1.7685532397313519E-3</v>
      </c>
      <c r="J476" s="8">
        <f t="shared" si="30"/>
        <v>1.7669911908903208E-3</v>
      </c>
      <c r="K476" s="8">
        <f t="shared" si="27"/>
        <v>-0.1003408393168177</v>
      </c>
    </row>
    <row r="477" spans="1:11" x14ac:dyDescent="0.25">
      <c r="A477" t="str">
        <f t="shared" si="28"/>
        <v>122018</v>
      </c>
      <c r="B477" s="1">
        <v>43439</v>
      </c>
      <c r="C477" s="10">
        <v>43232.645833333336</v>
      </c>
      <c r="D477">
        <v>14273.55</v>
      </c>
      <c r="E477">
        <v>14370.05</v>
      </c>
      <c r="F477">
        <v>14178.2</v>
      </c>
      <c r="G477">
        <v>14294.25</v>
      </c>
      <c r="H477">
        <v>0</v>
      </c>
      <c r="I477" s="8">
        <f t="shared" si="29"/>
        <v>-4.5162997680913142E-3</v>
      </c>
      <c r="J477" s="8">
        <f t="shared" si="30"/>
        <v>-4.5265290605425029E-3</v>
      </c>
      <c r="K477" s="8">
        <f t="shared" si="27"/>
        <v>-9.3177060204275852E-2</v>
      </c>
    </row>
    <row r="478" spans="1:11" x14ac:dyDescent="0.25">
      <c r="A478" t="str">
        <f t="shared" si="28"/>
        <v>122018</v>
      </c>
      <c r="B478" s="1">
        <v>43440</v>
      </c>
      <c r="C478" s="10">
        <v>43263.645833333336</v>
      </c>
      <c r="D478">
        <v>14216.15</v>
      </c>
      <c r="E478">
        <v>14216.15</v>
      </c>
      <c r="F478">
        <v>13958.1</v>
      </c>
      <c r="G478">
        <v>13989.85</v>
      </c>
      <c r="H478">
        <v>0</v>
      </c>
      <c r="I478" s="8">
        <f t="shared" si="29"/>
        <v>-2.1295276072546665E-2</v>
      </c>
      <c r="J478" s="8">
        <f t="shared" si="30"/>
        <v>-2.1525291825061511E-2</v>
      </c>
      <c r="K478" s="8">
        <f t="shared" si="27"/>
        <v>-0.10313425563832657</v>
      </c>
    </row>
    <row r="479" spans="1:11" x14ac:dyDescent="0.25">
      <c r="A479" t="str">
        <f t="shared" si="28"/>
        <v>122018</v>
      </c>
      <c r="B479" s="1">
        <v>43441</v>
      </c>
      <c r="C479" s="10">
        <v>43293.645833333336</v>
      </c>
      <c r="D479">
        <v>14056.5</v>
      </c>
      <c r="E479">
        <v>14105.85</v>
      </c>
      <c r="F479">
        <v>13800.45</v>
      </c>
      <c r="G479">
        <v>14013.65</v>
      </c>
      <c r="H479">
        <v>0</v>
      </c>
      <c r="I479" s="8">
        <f t="shared" si="29"/>
        <v>1.7012333942107993E-3</v>
      </c>
      <c r="J479" s="8">
        <f t="shared" si="30"/>
        <v>1.6997879358225277E-3</v>
      </c>
      <c r="K479" s="8">
        <f t="shared" si="27"/>
        <v>-0.1009946785818534</v>
      </c>
    </row>
    <row r="480" spans="1:11" x14ac:dyDescent="0.25">
      <c r="A480" t="str">
        <f t="shared" si="28"/>
        <v>122018</v>
      </c>
      <c r="B480" s="1">
        <v>43444</v>
      </c>
      <c r="C480" s="10">
        <v>43385.645833333336</v>
      </c>
      <c r="D480">
        <v>13763.45</v>
      </c>
      <c r="E480">
        <v>13822.45</v>
      </c>
      <c r="F480">
        <v>13524.35</v>
      </c>
      <c r="G480">
        <v>13657.45</v>
      </c>
      <c r="H480">
        <v>0</v>
      </c>
      <c r="I480" s="8">
        <f t="shared" si="29"/>
        <v>-2.541807452019984E-2</v>
      </c>
      <c r="J480" s="8">
        <f t="shared" si="30"/>
        <v>-2.5746694322580539E-2</v>
      </c>
      <c r="K480" s="8">
        <f t="shared" si="27"/>
        <v>-0.11810893969283009</v>
      </c>
    </row>
    <row r="481" spans="1:11" x14ac:dyDescent="0.25">
      <c r="A481" t="str">
        <f t="shared" si="28"/>
        <v>122018</v>
      </c>
      <c r="B481" s="1">
        <v>43445</v>
      </c>
      <c r="C481" s="10">
        <v>43416.645833333336</v>
      </c>
      <c r="D481">
        <v>13422.2</v>
      </c>
      <c r="E481">
        <v>13750.05</v>
      </c>
      <c r="F481">
        <v>13322.05</v>
      </c>
      <c r="G481">
        <v>13709.5</v>
      </c>
      <c r="H481">
        <v>0</v>
      </c>
      <c r="I481" s="8">
        <f t="shared" si="29"/>
        <v>3.8111067585822056E-3</v>
      </c>
      <c r="J481" s="8">
        <f t="shared" si="30"/>
        <v>3.8038628901567993E-3</v>
      </c>
      <c r="K481" s="8">
        <f t="shared" si="27"/>
        <v>-0.13249954914907824</v>
      </c>
    </row>
    <row r="482" spans="1:11" x14ac:dyDescent="0.25">
      <c r="A482" t="str">
        <f t="shared" si="28"/>
        <v>122018</v>
      </c>
      <c r="B482" s="1">
        <v>43446</v>
      </c>
      <c r="C482" s="10">
        <v>43446.645833333336</v>
      </c>
      <c r="D482">
        <v>13744.6</v>
      </c>
      <c r="E482">
        <v>13948.45</v>
      </c>
      <c r="F482">
        <v>13680.8</v>
      </c>
      <c r="G482">
        <v>13912.9</v>
      </c>
      <c r="H482">
        <v>0</v>
      </c>
      <c r="I482" s="8">
        <f t="shared" si="29"/>
        <v>1.4836427294941501E-2</v>
      </c>
      <c r="J482" s="8">
        <f t="shared" si="30"/>
        <v>1.4727444132386134E-2</v>
      </c>
      <c r="K482" s="8">
        <f t="shared" si="27"/>
        <v>-0.12702824802037971</v>
      </c>
    </row>
    <row r="483" spans="1:11" x14ac:dyDescent="0.25">
      <c r="A483" t="str">
        <f t="shared" si="28"/>
        <v>122018</v>
      </c>
      <c r="B483" s="1">
        <v>43447</v>
      </c>
      <c r="C483" t="s">
        <v>313</v>
      </c>
      <c r="D483">
        <v>14076.05</v>
      </c>
      <c r="E483">
        <v>14077.85</v>
      </c>
      <c r="F483">
        <v>13797.05</v>
      </c>
      <c r="G483">
        <v>13924.2</v>
      </c>
      <c r="H483">
        <v>0</v>
      </c>
      <c r="I483" s="8">
        <f t="shared" si="29"/>
        <v>8.1219587577008312E-4</v>
      </c>
      <c r="J483" s="8">
        <f t="shared" si="30"/>
        <v>8.1186622318267954E-4</v>
      </c>
      <c r="K483" s="8">
        <f t="shared" si="27"/>
        <v>-0.11173911379323531</v>
      </c>
    </row>
    <row r="484" spans="1:11" x14ac:dyDescent="0.25">
      <c r="A484" t="str">
        <f t="shared" si="28"/>
        <v>122018</v>
      </c>
      <c r="B484" s="1">
        <v>43448</v>
      </c>
      <c r="C484" t="s">
        <v>314</v>
      </c>
      <c r="D484">
        <v>13903.25</v>
      </c>
      <c r="E484">
        <v>14090.8</v>
      </c>
      <c r="F484">
        <v>13775.5</v>
      </c>
      <c r="G484">
        <v>14072.05</v>
      </c>
      <c r="H484">
        <v>0</v>
      </c>
      <c r="I484" s="8">
        <f t="shared" si="29"/>
        <v>1.0618204277444976E-2</v>
      </c>
      <c r="J484" s="8">
        <f t="shared" si="30"/>
        <v>1.0562227049515465E-2</v>
      </c>
      <c r="K484" s="8">
        <f t="shared" si="27"/>
        <v>-9.0803071565406568E-2</v>
      </c>
    </row>
    <row r="485" spans="1:11" x14ac:dyDescent="0.25">
      <c r="A485" t="str">
        <f t="shared" si="28"/>
        <v>122018</v>
      </c>
      <c r="B485" s="1">
        <v>43451</v>
      </c>
      <c r="C485" t="s">
        <v>315</v>
      </c>
      <c r="D485">
        <v>14186.55</v>
      </c>
      <c r="E485">
        <v>14309.9</v>
      </c>
      <c r="F485">
        <v>14154.35</v>
      </c>
      <c r="G485">
        <v>14283.95</v>
      </c>
      <c r="H485">
        <v>0</v>
      </c>
      <c r="I485" s="8">
        <f t="shared" si="29"/>
        <v>1.5058218241123411E-2</v>
      </c>
      <c r="J485" s="8">
        <f t="shared" si="30"/>
        <v>1.4945968721878745E-2</v>
      </c>
      <c r="K485" s="8">
        <f t="shared" si="27"/>
        <v>-8.4423804808009595E-2</v>
      </c>
    </row>
    <row r="486" spans="1:11" x14ac:dyDescent="0.25">
      <c r="A486" t="str">
        <f t="shared" si="28"/>
        <v>122018</v>
      </c>
      <c r="B486" s="1">
        <v>43452</v>
      </c>
      <c r="C486" t="s">
        <v>316</v>
      </c>
      <c r="D486">
        <v>14244.3</v>
      </c>
      <c r="E486">
        <v>14405.6</v>
      </c>
      <c r="F486">
        <v>14208.65</v>
      </c>
      <c r="G486">
        <v>14386.2</v>
      </c>
      <c r="H486">
        <v>0</v>
      </c>
      <c r="I486" s="8">
        <f t="shared" si="29"/>
        <v>7.1583840604314553E-3</v>
      </c>
      <c r="J486" s="8">
        <f t="shared" si="30"/>
        <v>7.1328844476178932E-3</v>
      </c>
      <c r="K486" s="8">
        <f t="shared" si="27"/>
        <v>-8.9013988183815673E-2</v>
      </c>
    </row>
    <row r="487" spans="1:11" x14ac:dyDescent="0.25">
      <c r="A487" t="str">
        <f t="shared" si="28"/>
        <v>122018</v>
      </c>
      <c r="B487" s="1">
        <v>43453</v>
      </c>
      <c r="C487" t="s">
        <v>317</v>
      </c>
      <c r="D487">
        <v>14452.95</v>
      </c>
      <c r="E487">
        <v>14526.95</v>
      </c>
      <c r="F487">
        <v>14425.2</v>
      </c>
      <c r="G487">
        <v>14462.5</v>
      </c>
      <c r="H487">
        <v>0</v>
      </c>
      <c r="I487" s="8">
        <f t="shared" si="29"/>
        <v>5.3036938176862503E-3</v>
      </c>
      <c r="J487" s="8">
        <f t="shared" si="30"/>
        <v>5.2896787661517982E-3</v>
      </c>
      <c r="K487" s="8">
        <f t="shared" si="27"/>
        <v>-7.3454182029015214E-2</v>
      </c>
    </row>
    <row r="488" spans="1:11" x14ac:dyDescent="0.25">
      <c r="A488" t="str">
        <f t="shared" si="28"/>
        <v>122018</v>
      </c>
      <c r="B488" s="1">
        <v>43454</v>
      </c>
      <c r="C488" t="s">
        <v>318</v>
      </c>
      <c r="D488">
        <v>14284.9</v>
      </c>
      <c r="E488">
        <v>14442.8</v>
      </c>
      <c r="F488">
        <v>14254.4</v>
      </c>
      <c r="G488">
        <v>14424.7</v>
      </c>
      <c r="H488">
        <v>0</v>
      </c>
      <c r="I488" s="8">
        <f t="shared" si="29"/>
        <v>-2.6136560069144332E-3</v>
      </c>
      <c r="J488" s="8">
        <f t="shared" si="30"/>
        <v>-2.6170775689334227E-3</v>
      </c>
      <c r="K488" s="8">
        <f t="shared" si="27"/>
        <v>-6.6978434949095056E-2</v>
      </c>
    </row>
    <row r="489" spans="1:11" x14ac:dyDescent="0.25">
      <c r="A489" t="str">
        <f t="shared" si="28"/>
        <v>122018</v>
      </c>
      <c r="B489" s="1">
        <v>43455</v>
      </c>
      <c r="C489" t="s">
        <v>319</v>
      </c>
      <c r="D489">
        <v>14383.65</v>
      </c>
      <c r="E489">
        <v>14422.05</v>
      </c>
      <c r="F489">
        <v>14125.25</v>
      </c>
      <c r="G489">
        <v>14159.75</v>
      </c>
      <c r="H489">
        <v>0</v>
      </c>
      <c r="I489" s="8">
        <f t="shared" si="29"/>
        <v>-1.836779967694302E-2</v>
      </c>
      <c r="J489" s="8">
        <f t="shared" si="30"/>
        <v>-1.8538582208377303E-2</v>
      </c>
      <c r="K489" s="8">
        <f t="shared" si="27"/>
        <v>-8.4012303950266709E-2</v>
      </c>
    </row>
    <row r="490" spans="1:11" x14ac:dyDescent="0.25">
      <c r="A490" t="str">
        <f t="shared" si="28"/>
        <v>122018</v>
      </c>
      <c r="B490" s="1">
        <v>43458</v>
      </c>
      <c r="C490" t="s">
        <v>320</v>
      </c>
      <c r="D490">
        <v>14168</v>
      </c>
      <c r="E490">
        <v>14181.8</v>
      </c>
      <c r="F490">
        <v>13955.3</v>
      </c>
      <c r="G490">
        <v>13989.45</v>
      </c>
      <c r="H490">
        <v>0</v>
      </c>
      <c r="I490" s="8">
        <f t="shared" si="29"/>
        <v>-1.2027048500150017E-2</v>
      </c>
      <c r="J490" s="8">
        <f t="shared" si="30"/>
        <v>-1.2099958633470147E-2</v>
      </c>
      <c r="K490" s="8">
        <f t="shared" si="27"/>
        <v>-0.10181826353264456</v>
      </c>
    </row>
    <row r="491" spans="1:11" x14ac:dyDescent="0.25">
      <c r="A491" t="str">
        <f t="shared" si="28"/>
        <v>122018</v>
      </c>
      <c r="B491" s="1">
        <v>43460</v>
      </c>
      <c r="C491" t="s">
        <v>321</v>
      </c>
      <c r="D491">
        <v>13977.3</v>
      </c>
      <c r="E491">
        <v>14104.75</v>
      </c>
      <c r="F491">
        <v>13774.45</v>
      </c>
      <c r="G491">
        <v>14063.7</v>
      </c>
      <c r="H491">
        <v>0</v>
      </c>
      <c r="I491" s="8">
        <f t="shared" si="29"/>
        <v>5.3075710624792549E-3</v>
      </c>
      <c r="J491" s="8">
        <f t="shared" si="30"/>
        <v>5.2935355482764523E-3</v>
      </c>
      <c r="K491" s="8">
        <f t="shared" si="27"/>
        <v>-9.7818591209573591E-2</v>
      </c>
    </row>
    <row r="492" spans="1:11" x14ac:dyDescent="0.25">
      <c r="A492" t="str">
        <f t="shared" si="28"/>
        <v>122018</v>
      </c>
      <c r="B492" s="1">
        <v>43461</v>
      </c>
      <c r="C492" t="s">
        <v>322</v>
      </c>
      <c r="D492">
        <v>14135.4</v>
      </c>
      <c r="E492">
        <v>14311.85</v>
      </c>
      <c r="F492">
        <v>14105.4</v>
      </c>
      <c r="G492">
        <v>14284.6</v>
      </c>
      <c r="H492">
        <v>0</v>
      </c>
      <c r="I492" s="8">
        <f t="shared" si="29"/>
        <v>1.5707104104894176E-2</v>
      </c>
      <c r="J492" s="8">
        <f t="shared" si="30"/>
        <v>1.5585024233329433E-2</v>
      </c>
      <c r="K492" s="8">
        <f t="shared" si="27"/>
        <v>-8.0820560338725644E-2</v>
      </c>
    </row>
    <row r="493" spans="1:11" x14ac:dyDescent="0.25">
      <c r="A493" t="str">
        <f t="shared" si="28"/>
        <v>122018</v>
      </c>
      <c r="B493" s="1">
        <v>43462</v>
      </c>
      <c r="C493" t="s">
        <v>323</v>
      </c>
      <c r="D493">
        <v>14314.15</v>
      </c>
      <c r="E493">
        <v>14449.65</v>
      </c>
      <c r="F493">
        <v>14282.75</v>
      </c>
      <c r="G493">
        <v>14369.8</v>
      </c>
      <c r="H493">
        <v>0</v>
      </c>
      <c r="I493" s="8">
        <f t="shared" si="29"/>
        <v>5.9644652282877519E-3</v>
      </c>
      <c r="J493" s="8">
        <f t="shared" si="30"/>
        <v>5.946748218977423E-3</v>
      </c>
      <c r="K493" s="8">
        <f t="shared" si="27"/>
        <v>-8.4953419214335302E-2</v>
      </c>
    </row>
    <row r="494" spans="1:11" x14ac:dyDescent="0.25">
      <c r="A494" t="str">
        <f t="shared" si="28"/>
        <v>122018</v>
      </c>
      <c r="B494" s="1">
        <v>43465</v>
      </c>
      <c r="C494" t="s">
        <v>324</v>
      </c>
      <c r="D494">
        <v>14411.7</v>
      </c>
      <c r="E494">
        <v>14431.6</v>
      </c>
      <c r="F494">
        <v>14279.9</v>
      </c>
      <c r="G494">
        <v>14334.85</v>
      </c>
      <c r="H494">
        <v>0</v>
      </c>
      <c r="I494" s="8">
        <f t="shared" si="29"/>
        <v>-2.4321841640105868E-3</v>
      </c>
      <c r="J494" s="8">
        <f t="shared" si="30"/>
        <v>-2.4351467285576851E-3</v>
      </c>
      <c r="K494" s="8">
        <f t="shared" si="27"/>
        <v>-8.6658447462400368E-2</v>
      </c>
    </row>
    <row r="495" spans="1:11" x14ac:dyDescent="0.25">
      <c r="A495" t="str">
        <f t="shared" si="28"/>
        <v>12019</v>
      </c>
      <c r="B495" s="1">
        <v>43466</v>
      </c>
      <c r="C495" s="10">
        <v>43466.645833333336</v>
      </c>
      <c r="D495">
        <v>14355.05</v>
      </c>
      <c r="E495">
        <v>14373.15</v>
      </c>
      <c r="F495">
        <v>14230.75</v>
      </c>
      <c r="G495">
        <v>14348</v>
      </c>
      <c r="H495">
        <v>0</v>
      </c>
      <c r="I495" s="8">
        <f t="shared" si="29"/>
        <v>9.1734479258587243E-4</v>
      </c>
      <c r="J495" s="8">
        <f t="shared" si="30"/>
        <v>9.1692428899649943E-4</v>
      </c>
      <c r="K495" s="8">
        <f t="shared" si="27"/>
        <v>-8.5951634686440959E-2</v>
      </c>
    </row>
    <row r="496" spans="1:11" x14ac:dyDescent="0.25">
      <c r="A496" t="str">
        <f t="shared" si="28"/>
        <v>12019</v>
      </c>
      <c r="B496" s="1">
        <v>43467</v>
      </c>
      <c r="C496" s="10">
        <v>43497.645833333336</v>
      </c>
      <c r="D496">
        <v>14277.5</v>
      </c>
      <c r="E496">
        <v>14335.8</v>
      </c>
      <c r="F496">
        <v>14036.3</v>
      </c>
      <c r="G496">
        <v>14140.55</v>
      </c>
      <c r="H496">
        <v>0</v>
      </c>
      <c r="I496" s="8">
        <f t="shared" si="29"/>
        <v>-1.4458461109562393E-2</v>
      </c>
      <c r="J496" s="8">
        <f t="shared" si="30"/>
        <v>-1.4564003211250834E-2</v>
      </c>
      <c r="K496" s="8">
        <f t="shared" si="27"/>
        <v>-9.0040058559500702E-2</v>
      </c>
    </row>
    <row r="497" spans="1:11" x14ac:dyDescent="0.25">
      <c r="A497" t="str">
        <f t="shared" si="28"/>
        <v>12019</v>
      </c>
      <c r="B497" s="1">
        <v>43468</v>
      </c>
      <c r="C497" s="10">
        <v>43525.645833333336</v>
      </c>
      <c r="D497">
        <v>14121.7</v>
      </c>
      <c r="E497">
        <v>14145.3</v>
      </c>
      <c r="F497">
        <v>13892.55</v>
      </c>
      <c r="G497">
        <v>13914.6</v>
      </c>
      <c r="H497">
        <v>0</v>
      </c>
      <c r="I497" s="8">
        <f t="shared" si="29"/>
        <v>-1.5978869280190544E-2</v>
      </c>
      <c r="J497" s="8">
        <f t="shared" si="30"/>
        <v>-1.6107907851703848E-2</v>
      </c>
      <c r="K497" s="8">
        <f t="shared" si="27"/>
        <v>-9.4752798279883255E-2</v>
      </c>
    </row>
    <row r="498" spans="1:11" x14ac:dyDescent="0.25">
      <c r="A498" t="str">
        <f t="shared" si="28"/>
        <v>12019</v>
      </c>
      <c r="B498" s="1">
        <v>43469</v>
      </c>
      <c r="C498" s="10">
        <v>43556.645833333336</v>
      </c>
      <c r="D498">
        <v>13949.5</v>
      </c>
      <c r="E498">
        <v>14073.35</v>
      </c>
      <c r="F498">
        <v>13849.45</v>
      </c>
      <c r="G498">
        <v>14043.05</v>
      </c>
      <c r="H498">
        <v>0</v>
      </c>
      <c r="I498" s="8">
        <f t="shared" si="29"/>
        <v>9.2313109970820761E-3</v>
      </c>
      <c r="J498" s="8">
        <f t="shared" si="30"/>
        <v>9.1889628653953181E-3</v>
      </c>
      <c r="K498" s="8">
        <f t="shared" si="27"/>
        <v>-2.6667267358848945E-2</v>
      </c>
    </row>
    <row r="499" spans="1:11" x14ac:dyDescent="0.25">
      <c r="A499" t="str">
        <f t="shared" si="28"/>
        <v>12019</v>
      </c>
      <c r="B499" s="1">
        <v>43472</v>
      </c>
      <c r="C499" s="10">
        <v>43647.645833333336</v>
      </c>
      <c r="D499">
        <v>14130.4</v>
      </c>
      <c r="E499">
        <v>14243.15</v>
      </c>
      <c r="F499">
        <v>14095.65</v>
      </c>
      <c r="G499">
        <v>14137.05</v>
      </c>
      <c r="H499">
        <v>0</v>
      </c>
      <c r="I499" s="8">
        <f t="shared" si="29"/>
        <v>6.6937025788558202E-3</v>
      </c>
      <c r="J499" s="8">
        <f t="shared" si="30"/>
        <v>6.6713992244424652E-3</v>
      </c>
      <c r="K499" s="8">
        <f t="shared" si="27"/>
        <v>6.4697243560777107E-2</v>
      </c>
    </row>
    <row r="500" spans="1:11" x14ac:dyDescent="0.25">
      <c r="A500" t="str">
        <f t="shared" si="28"/>
        <v>12019</v>
      </c>
      <c r="B500" s="1">
        <v>43473</v>
      </c>
      <c r="C500" s="10">
        <v>43678.645833333336</v>
      </c>
      <c r="D500">
        <v>14138</v>
      </c>
      <c r="E500">
        <v>14165.65</v>
      </c>
      <c r="F500">
        <v>14034.2</v>
      </c>
      <c r="G500">
        <v>14106.35</v>
      </c>
      <c r="H500">
        <v>0</v>
      </c>
      <c r="I500" s="8">
        <f t="shared" si="29"/>
        <v>-2.1715987423117644E-3</v>
      </c>
      <c r="J500" s="8">
        <f t="shared" si="30"/>
        <v>-2.1739600820682341E-3</v>
      </c>
      <c r="K500" s="8">
        <f t="shared" si="27"/>
        <v>2.0118381706880628E-2</v>
      </c>
    </row>
    <row r="501" spans="1:11" x14ac:dyDescent="0.25">
      <c r="A501" t="str">
        <f t="shared" si="28"/>
        <v>12019</v>
      </c>
      <c r="B501" s="1">
        <v>43474</v>
      </c>
      <c r="C501" s="10">
        <v>43709.645833333336</v>
      </c>
      <c r="D501">
        <v>14161.9</v>
      </c>
      <c r="E501">
        <v>14202.65</v>
      </c>
      <c r="F501">
        <v>13948</v>
      </c>
      <c r="G501">
        <v>14061</v>
      </c>
      <c r="H501">
        <v>0</v>
      </c>
      <c r="I501" s="8">
        <f t="shared" si="29"/>
        <v>-3.214864227812364E-3</v>
      </c>
      <c r="J501" s="8">
        <f t="shared" si="30"/>
        <v>-3.2200430061722187E-3</v>
      </c>
      <c r="K501" s="8">
        <f t="shared" si="27"/>
        <v>3.4555066273769697E-2</v>
      </c>
    </row>
    <row r="502" spans="1:11" x14ac:dyDescent="0.25">
      <c r="A502" t="str">
        <f t="shared" si="28"/>
        <v>12019</v>
      </c>
      <c r="B502" s="1">
        <v>43475</v>
      </c>
      <c r="C502" s="10">
        <v>43739.645833333336</v>
      </c>
      <c r="D502">
        <v>14033.85</v>
      </c>
      <c r="E502">
        <v>14065.9</v>
      </c>
      <c r="F502">
        <v>13957.8</v>
      </c>
      <c r="G502">
        <v>14004.55</v>
      </c>
      <c r="H502">
        <v>0</v>
      </c>
      <c r="I502" s="8">
        <f t="shared" si="29"/>
        <v>-4.0146504516037629E-3</v>
      </c>
      <c r="J502" s="8">
        <f t="shared" si="30"/>
        <v>-4.022730794480265E-3</v>
      </c>
      <c r="K502" s="8">
        <f t="shared" si="27"/>
        <v>1.63432963093324E-2</v>
      </c>
    </row>
    <row r="503" spans="1:11" x14ac:dyDescent="0.25">
      <c r="A503" t="str">
        <f t="shared" si="28"/>
        <v>12019</v>
      </c>
      <c r="B503" s="1">
        <v>43476</v>
      </c>
      <c r="C503" s="10">
        <v>43770.645833333336</v>
      </c>
      <c r="D503">
        <v>14008.15</v>
      </c>
      <c r="E503">
        <v>14076.85</v>
      </c>
      <c r="F503">
        <v>13848.4</v>
      </c>
      <c r="G503">
        <v>13937.55</v>
      </c>
      <c r="H503">
        <v>0</v>
      </c>
      <c r="I503" s="8">
        <f t="shared" si="29"/>
        <v>-4.7841594338983162E-3</v>
      </c>
      <c r="J503" s="8">
        <f t="shared" si="30"/>
        <v>-4.7956401563497347E-3</v>
      </c>
      <c r="K503" s="8">
        <f t="shared" si="27"/>
        <v>1.021994629092049E-2</v>
      </c>
    </row>
    <row r="504" spans="1:11" x14ac:dyDescent="0.25">
      <c r="A504" t="str">
        <f t="shared" si="28"/>
        <v>12019</v>
      </c>
      <c r="B504" s="1">
        <v>43479</v>
      </c>
      <c r="C504" t="s">
        <v>325</v>
      </c>
      <c r="D504">
        <v>13929.15</v>
      </c>
      <c r="E504">
        <v>13929.15</v>
      </c>
      <c r="F504">
        <v>13804.15</v>
      </c>
      <c r="G504">
        <v>13865.2</v>
      </c>
      <c r="H504">
        <v>0</v>
      </c>
      <c r="I504" s="8">
        <f t="shared" si="29"/>
        <v>-5.1910127676670914E-3</v>
      </c>
      <c r="J504" s="8">
        <f t="shared" si="30"/>
        <v>-5.2045328834695983E-3</v>
      </c>
      <c r="K504" s="8">
        <f t="shared" si="27"/>
        <v>-2.6528728046310235E-2</v>
      </c>
    </row>
    <row r="505" spans="1:11" x14ac:dyDescent="0.25">
      <c r="A505" t="str">
        <f t="shared" si="28"/>
        <v>12019</v>
      </c>
      <c r="B505" s="1">
        <v>43480</v>
      </c>
      <c r="C505" t="s">
        <v>326</v>
      </c>
      <c r="D505">
        <v>13975.05</v>
      </c>
      <c r="E505">
        <v>14185.6</v>
      </c>
      <c r="F505">
        <v>13948.4</v>
      </c>
      <c r="G505">
        <v>14162.6</v>
      </c>
      <c r="H505">
        <v>0</v>
      </c>
      <c r="I505" s="8">
        <f t="shared" si="29"/>
        <v>2.1449384069468946E-2</v>
      </c>
      <c r="J505" s="8">
        <f t="shared" si="30"/>
        <v>2.1222583455082367E-2</v>
      </c>
      <c r="K505" s="8">
        <f t="shared" si="27"/>
        <v>-1.3962814563657666E-2</v>
      </c>
    </row>
    <row r="506" spans="1:11" x14ac:dyDescent="0.25">
      <c r="A506" t="str">
        <f t="shared" si="28"/>
        <v>12019</v>
      </c>
      <c r="B506" s="1">
        <v>43481</v>
      </c>
      <c r="C506" t="s">
        <v>327</v>
      </c>
      <c r="D506">
        <v>14218.35</v>
      </c>
      <c r="E506">
        <v>14338.6</v>
      </c>
      <c r="F506">
        <v>14211.75</v>
      </c>
      <c r="G506">
        <v>14242.6</v>
      </c>
      <c r="H506">
        <v>0</v>
      </c>
      <c r="I506" s="8">
        <f t="shared" si="29"/>
        <v>5.6486803270585639E-3</v>
      </c>
      <c r="J506" s="8">
        <f t="shared" si="30"/>
        <v>5.6327863575520512E-3</v>
      </c>
      <c r="K506" s="8">
        <f t="shared" si="27"/>
        <v>-2.4275619221823752E-2</v>
      </c>
    </row>
    <row r="507" spans="1:11" x14ac:dyDescent="0.25">
      <c r="A507" t="str">
        <f t="shared" si="28"/>
        <v>12019</v>
      </c>
      <c r="B507" s="1">
        <v>43482</v>
      </c>
      <c r="C507" t="s">
        <v>328</v>
      </c>
      <c r="D507">
        <v>14318.95</v>
      </c>
      <c r="E507">
        <v>14366.8</v>
      </c>
      <c r="F507">
        <v>14208.65</v>
      </c>
      <c r="G507">
        <v>14257.5</v>
      </c>
      <c r="H507">
        <v>0</v>
      </c>
      <c r="I507" s="8">
        <f t="shared" si="29"/>
        <v>1.0461573027396032E-3</v>
      </c>
      <c r="J507" s="8">
        <f t="shared" si="30"/>
        <v>1.0456104615432754E-3</v>
      </c>
      <c r="K507" s="8">
        <f t="shared" si="27"/>
        <v>-1.0273853736420091E-2</v>
      </c>
    </row>
    <row r="508" spans="1:11" x14ac:dyDescent="0.25">
      <c r="A508" t="str">
        <f t="shared" si="28"/>
        <v>12019</v>
      </c>
      <c r="B508" s="1">
        <v>43483</v>
      </c>
      <c r="C508" t="s">
        <v>329</v>
      </c>
      <c r="D508">
        <v>14365.75</v>
      </c>
      <c r="E508">
        <v>14667.1</v>
      </c>
      <c r="F508">
        <v>14272.15</v>
      </c>
      <c r="G508">
        <v>14607.5</v>
      </c>
      <c r="H508">
        <v>0</v>
      </c>
      <c r="I508" s="8">
        <f t="shared" si="29"/>
        <v>2.45484832544276E-2</v>
      </c>
      <c r="J508" s="8">
        <f t="shared" si="30"/>
        <v>2.4252011397898281E-2</v>
      </c>
      <c r="K508" s="8">
        <f t="shared" si="27"/>
        <v>4.234678768807032E-2</v>
      </c>
    </row>
    <row r="509" spans="1:11" x14ac:dyDescent="0.25">
      <c r="A509" t="str">
        <f t="shared" si="28"/>
        <v>12019</v>
      </c>
      <c r="B509" s="1">
        <v>43486</v>
      </c>
      <c r="C509" t="s">
        <v>330</v>
      </c>
      <c r="D509">
        <v>14686.45</v>
      </c>
      <c r="E509">
        <v>15000.15</v>
      </c>
      <c r="F509">
        <v>14633.75</v>
      </c>
      <c r="G509">
        <v>14963.85</v>
      </c>
      <c r="H509">
        <v>0</v>
      </c>
      <c r="I509" s="8">
        <f t="shared" si="29"/>
        <v>2.4395002567174418E-2</v>
      </c>
      <c r="J509" s="8">
        <f t="shared" si="30"/>
        <v>2.4102196931464911E-2</v>
      </c>
      <c r="K509" s="8">
        <f t="shared" si="27"/>
        <v>9.5325933001745966E-2</v>
      </c>
    </row>
    <row r="510" spans="1:11" x14ac:dyDescent="0.25">
      <c r="A510" t="str">
        <f t="shared" si="28"/>
        <v>12019</v>
      </c>
      <c r="B510" s="1">
        <v>43487</v>
      </c>
      <c r="C510" t="s">
        <v>331</v>
      </c>
      <c r="D510">
        <v>14937.1</v>
      </c>
      <c r="E510">
        <v>15047.7</v>
      </c>
      <c r="F510">
        <v>14844.25</v>
      </c>
      <c r="G510">
        <v>14949.85</v>
      </c>
      <c r="H510">
        <v>0</v>
      </c>
      <c r="I510" s="8">
        <f t="shared" si="29"/>
        <v>-9.3558810065585973E-4</v>
      </c>
      <c r="J510" s="8">
        <f t="shared" si="30"/>
        <v>-9.3602603637584359E-4</v>
      </c>
      <c r="K510" s="8">
        <f t="shared" si="27"/>
        <v>9.8296704709499361E-2</v>
      </c>
    </row>
    <row r="511" spans="1:11" x14ac:dyDescent="0.25">
      <c r="A511" t="str">
        <f t="shared" si="28"/>
        <v>12019</v>
      </c>
      <c r="B511" s="1">
        <v>43488</v>
      </c>
      <c r="C511" t="s">
        <v>332</v>
      </c>
      <c r="D511">
        <v>14949.75</v>
      </c>
      <c r="E511">
        <v>15046.6</v>
      </c>
      <c r="F511">
        <v>14813.5</v>
      </c>
      <c r="G511">
        <v>14849.8</v>
      </c>
      <c r="H511">
        <v>0</v>
      </c>
      <c r="I511" s="8">
        <f t="shared" si="29"/>
        <v>-6.6923748398813876E-3</v>
      </c>
      <c r="J511" s="8">
        <f t="shared" si="30"/>
        <v>-6.7148691969979831E-3</v>
      </c>
      <c r="K511" s="8">
        <f t="shared" si="27"/>
        <v>8.9281981126193344E-2</v>
      </c>
    </row>
    <row r="512" spans="1:11" x14ac:dyDescent="0.25">
      <c r="A512" t="str">
        <f t="shared" si="28"/>
        <v>12019</v>
      </c>
      <c r="B512" s="1">
        <v>43489</v>
      </c>
      <c r="C512" t="s">
        <v>333</v>
      </c>
      <c r="D512">
        <v>14843.9</v>
      </c>
      <c r="E512">
        <v>15067.55</v>
      </c>
      <c r="F512">
        <v>14812</v>
      </c>
      <c r="G512">
        <v>14990.4</v>
      </c>
      <c r="H512">
        <v>0</v>
      </c>
      <c r="I512" s="8">
        <f t="shared" si="29"/>
        <v>9.4681409850638776E-3</v>
      </c>
      <c r="J512" s="8">
        <f t="shared" si="30"/>
        <v>9.4235990702407693E-3</v>
      </c>
      <c r="K512" s="8">
        <f t="shared" ref="K512:K575" si="31">+G512/G451-1</f>
        <v>0.11111193468407521</v>
      </c>
    </row>
    <row r="513" spans="1:11" x14ac:dyDescent="0.25">
      <c r="A513" t="str">
        <f t="shared" si="28"/>
        <v>12019</v>
      </c>
      <c r="B513" s="1">
        <v>43490</v>
      </c>
      <c r="C513" t="s">
        <v>334</v>
      </c>
      <c r="D513">
        <v>15027.4</v>
      </c>
      <c r="E513">
        <v>15160.75</v>
      </c>
      <c r="F513">
        <v>14895</v>
      </c>
      <c r="G513">
        <v>14970.05</v>
      </c>
      <c r="H513">
        <v>0</v>
      </c>
      <c r="I513" s="8">
        <f t="shared" si="29"/>
        <v>-1.3575354893798908E-3</v>
      </c>
      <c r="J513" s="8">
        <f t="shared" si="30"/>
        <v>-1.3584577754675792E-3</v>
      </c>
      <c r="K513" s="8">
        <f t="shared" si="31"/>
        <v>0.10694928163150608</v>
      </c>
    </row>
    <row r="514" spans="1:11" x14ac:dyDescent="0.25">
      <c r="A514" t="str">
        <f t="shared" si="28"/>
        <v>12019</v>
      </c>
      <c r="B514" s="1">
        <v>43493</v>
      </c>
      <c r="C514" t="s">
        <v>335</v>
      </c>
      <c r="D514">
        <v>15006.25</v>
      </c>
      <c r="E514">
        <v>15019.05</v>
      </c>
      <c r="F514">
        <v>14755.85</v>
      </c>
      <c r="G514">
        <v>14820.05</v>
      </c>
      <c r="H514">
        <v>0</v>
      </c>
      <c r="I514" s="8">
        <f t="shared" si="29"/>
        <v>-1.0020006613204346E-2</v>
      </c>
      <c r="J514" s="8">
        <f t="shared" si="30"/>
        <v>-1.0070544757906384E-2</v>
      </c>
      <c r="K514" s="8">
        <f t="shared" si="31"/>
        <v>6.1212871996104479E-2</v>
      </c>
    </row>
    <row r="515" spans="1:11" x14ac:dyDescent="0.25">
      <c r="A515" t="str">
        <f t="shared" ref="A515:A578" si="32">+MONTH(B515)&amp;YEAR(B515)</f>
        <v>12019</v>
      </c>
      <c r="B515" s="1">
        <v>43494</v>
      </c>
      <c r="C515" t="s">
        <v>336</v>
      </c>
      <c r="D515">
        <v>14816</v>
      </c>
      <c r="E515">
        <v>14822.6</v>
      </c>
      <c r="F515">
        <v>14570</v>
      </c>
      <c r="G515">
        <v>14630.5</v>
      </c>
      <c r="H515">
        <v>0</v>
      </c>
      <c r="I515" s="8">
        <f t="shared" si="29"/>
        <v>-1.2790105296540788E-2</v>
      </c>
      <c r="J515" s="8">
        <f t="shared" si="30"/>
        <v>-1.2872602883412137E-2</v>
      </c>
      <c r="K515" s="8">
        <f t="shared" si="31"/>
        <v>7.100764979319929E-2</v>
      </c>
    </row>
    <row r="516" spans="1:11" x14ac:dyDescent="0.25">
      <c r="A516" t="str">
        <f t="shared" si="32"/>
        <v>12019</v>
      </c>
      <c r="B516" s="1">
        <v>43495</v>
      </c>
      <c r="C516" t="s">
        <v>337</v>
      </c>
      <c r="D516">
        <v>14670.75</v>
      </c>
      <c r="E516">
        <v>14723.05</v>
      </c>
      <c r="F516">
        <v>14426.25</v>
      </c>
      <c r="G516">
        <v>14479.25</v>
      </c>
      <c r="H516">
        <v>0</v>
      </c>
      <c r="I516" s="8">
        <f t="shared" ref="I516:I579" si="33">+G516/G515-1</f>
        <v>-1.0337992549810382E-2</v>
      </c>
      <c r="J516" s="8">
        <f t="shared" ref="J516:J579" si="34">+LN(1+I516)</f>
        <v>-1.0391800761978248E-2</v>
      </c>
      <c r="K516" s="8">
        <f t="shared" si="31"/>
        <v>5.2779868177571299E-2</v>
      </c>
    </row>
    <row r="517" spans="1:11" x14ac:dyDescent="0.25">
      <c r="A517" t="str">
        <f t="shared" si="32"/>
        <v>12019</v>
      </c>
      <c r="B517" s="1">
        <v>43496</v>
      </c>
      <c r="C517" t="s">
        <v>338</v>
      </c>
      <c r="D517">
        <v>14541.45</v>
      </c>
      <c r="E517">
        <v>14816.25</v>
      </c>
      <c r="F517">
        <v>14532.65</v>
      </c>
      <c r="G517">
        <v>14792.95</v>
      </c>
      <c r="H517">
        <v>0</v>
      </c>
      <c r="I517" s="8">
        <f t="shared" si="33"/>
        <v>2.1665486817342039E-2</v>
      </c>
      <c r="J517" s="8">
        <f t="shared" si="34"/>
        <v>2.1434125891348011E-2</v>
      </c>
      <c r="K517" s="8">
        <f t="shared" si="31"/>
        <v>7.6445890091978219E-2</v>
      </c>
    </row>
    <row r="518" spans="1:11" x14ac:dyDescent="0.25">
      <c r="A518" t="str">
        <f t="shared" si="32"/>
        <v>22019</v>
      </c>
      <c r="B518" s="1">
        <v>43497</v>
      </c>
      <c r="C518" s="10">
        <v>43467.645833333336</v>
      </c>
      <c r="D518">
        <v>14867.05</v>
      </c>
      <c r="E518">
        <v>15025.6</v>
      </c>
      <c r="F518">
        <v>14770.55</v>
      </c>
      <c r="G518">
        <v>14975.75</v>
      </c>
      <c r="H518">
        <v>0</v>
      </c>
      <c r="I518" s="8">
        <f t="shared" si="33"/>
        <v>1.2357237738246818E-2</v>
      </c>
      <c r="J518" s="8">
        <f t="shared" si="34"/>
        <v>1.228151029246133E-2</v>
      </c>
      <c r="K518" s="8">
        <f t="shared" si="31"/>
        <v>6.9291625313274263E-2</v>
      </c>
    </row>
    <row r="519" spans="1:11" x14ac:dyDescent="0.25">
      <c r="A519" t="str">
        <f t="shared" si="32"/>
        <v>22019</v>
      </c>
      <c r="B519" s="1">
        <v>43500</v>
      </c>
      <c r="C519" s="10">
        <v>43557.645833333336</v>
      </c>
      <c r="D519">
        <v>14934.35</v>
      </c>
      <c r="E519">
        <v>15269.55</v>
      </c>
      <c r="F519">
        <v>14891.55</v>
      </c>
      <c r="G519">
        <v>15215.35</v>
      </c>
      <c r="H519">
        <v>0</v>
      </c>
      <c r="I519" s="8">
        <f t="shared" si="33"/>
        <v>1.5999198704572448E-2</v>
      </c>
      <c r="J519" s="8">
        <f t="shared" si="34"/>
        <v>1.5872560479377223E-2</v>
      </c>
      <c r="K519" s="8">
        <f t="shared" si="31"/>
        <v>8.7918059453372166E-2</v>
      </c>
    </row>
    <row r="520" spans="1:11" x14ac:dyDescent="0.25">
      <c r="A520" t="str">
        <f t="shared" si="32"/>
        <v>22019</v>
      </c>
      <c r="B520" s="1">
        <v>43501</v>
      </c>
      <c r="C520" s="10">
        <v>43587.645833333336</v>
      </c>
      <c r="D520">
        <v>15214.7</v>
      </c>
      <c r="E520">
        <v>15309.3</v>
      </c>
      <c r="F520">
        <v>15131.7</v>
      </c>
      <c r="G520">
        <v>15198.95</v>
      </c>
      <c r="H520">
        <v>0</v>
      </c>
      <c r="I520" s="8">
        <f t="shared" si="33"/>
        <v>-1.0778588727829996E-3</v>
      </c>
      <c r="J520" s="8">
        <f t="shared" si="34"/>
        <v>-1.0784401804070796E-3</v>
      </c>
      <c r="K520" s="8">
        <f t="shared" si="31"/>
        <v>7.9256255858210167E-2</v>
      </c>
    </row>
    <row r="521" spans="1:11" x14ac:dyDescent="0.25">
      <c r="A521" t="str">
        <f t="shared" si="32"/>
        <v>22019</v>
      </c>
      <c r="B521" s="1">
        <v>43502</v>
      </c>
      <c r="C521" s="10">
        <v>43618.645833333336</v>
      </c>
      <c r="D521">
        <v>15229.7</v>
      </c>
      <c r="E521">
        <v>15433.85</v>
      </c>
      <c r="F521">
        <v>15209</v>
      </c>
      <c r="G521">
        <v>15394.15</v>
      </c>
      <c r="H521">
        <v>0</v>
      </c>
      <c r="I521" s="8">
        <f t="shared" si="33"/>
        <v>1.2842992443556911E-2</v>
      </c>
      <c r="J521" s="8">
        <f t="shared" si="34"/>
        <v>1.2761220601976476E-2</v>
      </c>
      <c r="K521" s="8">
        <f t="shared" si="31"/>
        <v>9.3753996561181108E-2</v>
      </c>
    </row>
    <row r="522" spans="1:11" x14ac:dyDescent="0.25">
      <c r="A522" t="str">
        <f t="shared" si="32"/>
        <v>22019</v>
      </c>
      <c r="B522" s="1">
        <v>43503</v>
      </c>
      <c r="C522" s="10">
        <v>43648.645833333336</v>
      </c>
      <c r="D522">
        <v>15395.3</v>
      </c>
      <c r="E522">
        <v>15472.65</v>
      </c>
      <c r="F522">
        <v>15185.5</v>
      </c>
      <c r="G522">
        <v>15225.1</v>
      </c>
      <c r="H522">
        <v>0</v>
      </c>
      <c r="I522" s="8">
        <f t="shared" si="33"/>
        <v>-1.0981444249926087E-2</v>
      </c>
      <c r="J522" s="8">
        <f t="shared" si="34"/>
        <v>-1.1042185401888678E-2</v>
      </c>
      <c r="K522" s="8">
        <f t="shared" si="31"/>
        <v>9.9340760904883307E-2</v>
      </c>
    </row>
    <row r="523" spans="1:11" x14ac:dyDescent="0.25">
      <c r="A523" t="str">
        <f t="shared" si="32"/>
        <v>22019</v>
      </c>
      <c r="B523" s="1">
        <v>43504</v>
      </c>
      <c r="C523" s="10">
        <v>43679.645833333336</v>
      </c>
      <c r="D523">
        <v>15161.5</v>
      </c>
      <c r="E523">
        <v>15307.4</v>
      </c>
      <c r="F523">
        <v>14983.85</v>
      </c>
      <c r="G523">
        <v>15013.65</v>
      </c>
      <c r="H523">
        <v>0</v>
      </c>
      <c r="I523" s="8">
        <f t="shared" si="33"/>
        <v>-1.3888250323479068E-2</v>
      </c>
      <c r="J523" s="8">
        <f t="shared" si="34"/>
        <v>-1.3985594415660723E-2</v>
      </c>
      <c r="K523" s="8">
        <f t="shared" si="31"/>
        <v>6.5474183967837662E-2</v>
      </c>
    </row>
    <row r="524" spans="1:11" x14ac:dyDescent="0.25">
      <c r="A524" t="str">
        <f t="shared" si="32"/>
        <v>22019</v>
      </c>
      <c r="B524" s="1">
        <v>43507</v>
      </c>
      <c r="C524" s="10">
        <v>43771.645833333336</v>
      </c>
      <c r="D524">
        <v>14975.4</v>
      </c>
      <c r="E524">
        <v>14977.15</v>
      </c>
      <c r="F524">
        <v>14730.2</v>
      </c>
      <c r="G524">
        <v>14762.9</v>
      </c>
      <c r="H524">
        <v>0</v>
      </c>
      <c r="I524" s="8">
        <f t="shared" si="33"/>
        <v>-1.6701468330485914E-2</v>
      </c>
      <c r="J524" s="8">
        <f t="shared" si="34"/>
        <v>-1.6842510465203991E-2</v>
      </c>
      <c r="K524" s="8">
        <f t="shared" si="31"/>
        <v>4.2522465264904774E-2</v>
      </c>
    </row>
    <row r="525" spans="1:11" x14ac:dyDescent="0.25">
      <c r="A525" t="str">
        <f t="shared" si="32"/>
        <v>22019</v>
      </c>
      <c r="B525" s="1">
        <v>43508</v>
      </c>
      <c r="C525" s="10">
        <v>43801.645833333336</v>
      </c>
      <c r="D525">
        <v>14747.2</v>
      </c>
      <c r="E525">
        <v>14943.8</v>
      </c>
      <c r="F525">
        <v>14747.05</v>
      </c>
      <c r="G525">
        <v>14802.15</v>
      </c>
      <c r="H525">
        <v>0</v>
      </c>
      <c r="I525" s="8">
        <f t="shared" si="33"/>
        <v>2.6586917204614036E-3</v>
      </c>
      <c r="J525" s="8">
        <f t="shared" si="34"/>
        <v>2.6551636516106208E-3</v>
      </c>
      <c r="K525" s="8">
        <f t="shared" si="31"/>
        <v>4.7524521251751439E-2</v>
      </c>
    </row>
    <row r="526" spans="1:11" x14ac:dyDescent="0.25">
      <c r="A526" t="str">
        <f t="shared" si="32"/>
        <v>22019</v>
      </c>
      <c r="B526" s="1">
        <v>43509</v>
      </c>
      <c r="C526" t="s">
        <v>339</v>
      </c>
      <c r="D526">
        <v>14848.9</v>
      </c>
      <c r="E526">
        <v>14899.05</v>
      </c>
      <c r="F526">
        <v>14495.85</v>
      </c>
      <c r="G526">
        <v>14576.15</v>
      </c>
      <c r="H526">
        <v>0</v>
      </c>
      <c r="I526" s="8">
        <f t="shared" si="33"/>
        <v>-1.5268052276189659E-2</v>
      </c>
      <c r="J526" s="8">
        <f t="shared" si="34"/>
        <v>-1.5385809135851287E-2</v>
      </c>
      <c r="K526" s="8">
        <f t="shared" si="31"/>
        <v>1.8413845143439911E-2</v>
      </c>
    </row>
    <row r="527" spans="1:11" x14ac:dyDescent="0.25">
      <c r="A527" t="str">
        <f t="shared" si="32"/>
        <v>22019</v>
      </c>
      <c r="B527" s="1">
        <v>43510</v>
      </c>
      <c r="C527" t="s">
        <v>340</v>
      </c>
      <c r="D527">
        <v>14526.4</v>
      </c>
      <c r="E527">
        <v>14530.1</v>
      </c>
      <c r="F527">
        <v>14261.3</v>
      </c>
      <c r="G527">
        <v>14335.1</v>
      </c>
      <c r="H527">
        <v>0</v>
      </c>
      <c r="I527" s="8">
        <f t="shared" si="33"/>
        <v>-1.6537288653039384E-2</v>
      </c>
      <c r="J527" s="8">
        <f t="shared" si="34"/>
        <v>-1.6675556109752E-2</v>
      </c>
      <c r="K527" s="8">
        <f t="shared" si="31"/>
        <v>-9.0796290727856999E-3</v>
      </c>
    </row>
    <row r="528" spans="1:11" x14ac:dyDescent="0.25">
      <c r="A528" t="str">
        <f t="shared" si="32"/>
        <v>22019</v>
      </c>
      <c r="B528" s="1">
        <v>43511</v>
      </c>
      <c r="C528" t="s">
        <v>341</v>
      </c>
      <c r="D528">
        <v>14455.5</v>
      </c>
      <c r="E528">
        <v>14651.65</v>
      </c>
      <c r="F528">
        <v>14329</v>
      </c>
      <c r="G528">
        <v>14618.45</v>
      </c>
      <c r="H528">
        <v>0</v>
      </c>
      <c r="I528" s="8">
        <f t="shared" si="33"/>
        <v>1.9766168355993319E-2</v>
      </c>
      <c r="J528" s="8">
        <f t="shared" si="34"/>
        <v>1.9573354305325624E-2</v>
      </c>
      <c r="K528" s="8">
        <f t="shared" si="31"/>
        <v>1.9865770875628685E-2</v>
      </c>
    </row>
    <row r="529" spans="1:11" x14ac:dyDescent="0.25">
      <c r="A529" t="str">
        <f t="shared" si="32"/>
        <v>22019</v>
      </c>
      <c r="B529" s="1">
        <v>43514</v>
      </c>
      <c r="C529" t="s">
        <v>342</v>
      </c>
      <c r="D529">
        <v>14665.55</v>
      </c>
      <c r="E529">
        <v>14696.05</v>
      </c>
      <c r="F529">
        <v>14377.25</v>
      </c>
      <c r="G529">
        <v>14433.8</v>
      </c>
      <c r="H529">
        <v>0</v>
      </c>
      <c r="I529" s="8">
        <f t="shared" si="33"/>
        <v>-1.2631298119841761E-2</v>
      </c>
      <c r="J529" s="8">
        <f t="shared" si="34"/>
        <v>-1.2711751168199384E-2</v>
      </c>
      <c r="K529" s="8">
        <f t="shared" si="31"/>
        <v>2.1908972802288096E-2</v>
      </c>
    </row>
    <row r="530" spans="1:11" x14ac:dyDescent="0.25">
      <c r="A530" t="str">
        <f t="shared" si="32"/>
        <v>22019</v>
      </c>
      <c r="B530" s="1">
        <v>43515</v>
      </c>
      <c r="C530" t="s">
        <v>343</v>
      </c>
      <c r="D530">
        <v>14410.65</v>
      </c>
      <c r="E530">
        <v>14635.65</v>
      </c>
      <c r="F530">
        <v>14377.75</v>
      </c>
      <c r="G530">
        <v>14411.05</v>
      </c>
      <c r="H530">
        <v>0</v>
      </c>
      <c r="I530" s="8">
        <f t="shared" si="33"/>
        <v>-1.5761615097895643E-3</v>
      </c>
      <c r="J530" s="8">
        <f t="shared" si="34"/>
        <v>-1.5774049590984221E-3</v>
      </c>
      <c r="K530" s="8">
        <f t="shared" si="31"/>
        <v>3.0932886938295212E-2</v>
      </c>
    </row>
    <row r="531" spans="1:11" x14ac:dyDescent="0.25">
      <c r="A531" t="str">
        <f t="shared" si="32"/>
        <v>22019</v>
      </c>
      <c r="B531" s="1">
        <v>43516</v>
      </c>
      <c r="C531" t="s">
        <v>344</v>
      </c>
      <c r="D531">
        <v>14515.7</v>
      </c>
      <c r="E531">
        <v>14747.9</v>
      </c>
      <c r="F531">
        <v>14477.9</v>
      </c>
      <c r="G531">
        <v>14679.15</v>
      </c>
      <c r="H531">
        <v>0</v>
      </c>
      <c r="I531" s="8">
        <f t="shared" si="33"/>
        <v>1.860377973846461E-2</v>
      </c>
      <c r="J531" s="8">
        <f t="shared" si="34"/>
        <v>1.8432846180572036E-2</v>
      </c>
      <c r="K531" s="8">
        <f t="shared" si="31"/>
        <v>4.8241166557170923E-2</v>
      </c>
    </row>
    <row r="532" spans="1:11" x14ac:dyDescent="0.25">
      <c r="A532" t="str">
        <f t="shared" si="32"/>
        <v>22019</v>
      </c>
      <c r="B532" s="1">
        <v>43517</v>
      </c>
      <c r="C532" t="s">
        <v>345</v>
      </c>
      <c r="D532">
        <v>14686.3</v>
      </c>
      <c r="E532">
        <v>14844.35</v>
      </c>
      <c r="F532">
        <v>14627.5</v>
      </c>
      <c r="G532">
        <v>14796.8</v>
      </c>
      <c r="H532">
        <v>0</v>
      </c>
      <c r="I532" s="8">
        <f t="shared" si="33"/>
        <v>8.0147692475380783E-3</v>
      </c>
      <c r="J532" s="8">
        <f t="shared" si="34"/>
        <v>7.9828215731246877E-3</v>
      </c>
      <c r="K532" s="8">
        <f t="shared" si="31"/>
        <v>4.3085946311752776E-2</v>
      </c>
    </row>
    <row r="533" spans="1:11" x14ac:dyDescent="0.25">
      <c r="A533" t="str">
        <f t="shared" si="32"/>
        <v>22019</v>
      </c>
      <c r="B533" s="1">
        <v>43518</v>
      </c>
      <c r="C533" t="s">
        <v>346</v>
      </c>
      <c r="D533">
        <v>14807.05</v>
      </c>
      <c r="E533">
        <v>14844.5</v>
      </c>
      <c r="F533">
        <v>14719.1</v>
      </c>
      <c r="G533">
        <v>14777.05</v>
      </c>
      <c r="H533">
        <v>0</v>
      </c>
      <c r="I533" s="8">
        <f t="shared" si="33"/>
        <v>-1.3347480536332057E-3</v>
      </c>
      <c r="J533" s="8">
        <f t="shared" si="34"/>
        <v>-1.3356396232520596E-3</v>
      </c>
      <c r="K533" s="8">
        <f t="shared" si="31"/>
        <v>3.591370335968036E-2</v>
      </c>
    </row>
    <row r="534" spans="1:11" x14ac:dyDescent="0.25">
      <c r="A534" t="str">
        <f t="shared" si="32"/>
        <v>22019</v>
      </c>
      <c r="B534" s="1">
        <v>43521</v>
      </c>
      <c r="C534" t="s">
        <v>347</v>
      </c>
      <c r="D534">
        <v>14806.2</v>
      </c>
      <c r="E534">
        <v>14825.75</v>
      </c>
      <c r="F534">
        <v>14646.05</v>
      </c>
      <c r="G534">
        <v>14762.95</v>
      </c>
      <c r="H534">
        <v>0</v>
      </c>
      <c r="I534" s="8">
        <f t="shared" si="33"/>
        <v>-9.5418233003197184E-4</v>
      </c>
      <c r="J534" s="8">
        <f t="shared" si="34"/>
        <v>-9.5463785178170012E-4</v>
      </c>
      <c r="K534" s="8">
        <f t="shared" si="31"/>
        <v>2.749531942733463E-2</v>
      </c>
    </row>
    <row r="535" spans="1:11" x14ac:dyDescent="0.25">
      <c r="A535" t="str">
        <f t="shared" si="32"/>
        <v>22019</v>
      </c>
      <c r="B535" s="1">
        <v>43522</v>
      </c>
      <c r="C535" t="s">
        <v>348</v>
      </c>
      <c r="D535">
        <v>14532.8</v>
      </c>
      <c r="E535">
        <v>14807.9</v>
      </c>
      <c r="F535">
        <v>14474.1</v>
      </c>
      <c r="G535">
        <v>14695.6</v>
      </c>
      <c r="H535">
        <v>0</v>
      </c>
      <c r="I535" s="8">
        <f t="shared" si="33"/>
        <v>-4.562096328985743E-3</v>
      </c>
      <c r="J535" s="8">
        <f t="shared" si="34"/>
        <v>-4.5725344490145838E-3</v>
      </c>
      <c r="K535" s="8">
        <f t="shared" si="31"/>
        <v>2.5946055382767952E-2</v>
      </c>
    </row>
    <row r="536" spans="1:11" x14ac:dyDescent="0.25">
      <c r="A536" t="str">
        <f t="shared" si="32"/>
        <v>22019</v>
      </c>
      <c r="B536" s="1">
        <v>43523</v>
      </c>
      <c r="C536" t="s">
        <v>349</v>
      </c>
      <c r="D536">
        <v>14769.5</v>
      </c>
      <c r="E536">
        <v>14919.1</v>
      </c>
      <c r="F536">
        <v>14586.4</v>
      </c>
      <c r="G536">
        <v>14689.05</v>
      </c>
      <c r="H536">
        <v>0</v>
      </c>
      <c r="I536" s="8">
        <f t="shared" si="33"/>
        <v>-4.4571164157991561E-4</v>
      </c>
      <c r="J536" s="8">
        <f t="shared" si="34"/>
        <v>-4.4581100053836206E-4</v>
      </c>
      <c r="K536" s="8">
        <f t="shared" si="31"/>
        <v>2.4787651521757992E-2</v>
      </c>
    </row>
    <row r="537" spans="1:11" x14ac:dyDescent="0.25">
      <c r="A537" t="str">
        <f t="shared" si="32"/>
        <v>22019</v>
      </c>
      <c r="B537" s="1">
        <v>43524</v>
      </c>
      <c r="C537" t="s">
        <v>350</v>
      </c>
      <c r="D537">
        <v>14785.45</v>
      </c>
      <c r="E537">
        <v>14873.05</v>
      </c>
      <c r="F537">
        <v>14704.9</v>
      </c>
      <c r="G537">
        <v>14818.5</v>
      </c>
      <c r="H537">
        <v>0</v>
      </c>
      <c r="I537" s="8">
        <f t="shared" si="33"/>
        <v>8.812687001541919E-3</v>
      </c>
      <c r="J537" s="8">
        <f t="shared" si="34"/>
        <v>8.7740819193307101E-3</v>
      </c>
      <c r="K537" s="8">
        <f t="shared" si="31"/>
        <v>3.1993648627003157E-2</v>
      </c>
    </row>
    <row r="538" spans="1:11" x14ac:dyDescent="0.25">
      <c r="A538" t="str">
        <f t="shared" si="32"/>
        <v>32019</v>
      </c>
      <c r="B538" s="1">
        <v>43525</v>
      </c>
      <c r="C538" s="10">
        <v>43468.645833333336</v>
      </c>
      <c r="D538">
        <v>14885.9</v>
      </c>
      <c r="E538">
        <v>14930.6</v>
      </c>
      <c r="F538">
        <v>14796.55</v>
      </c>
      <c r="G538">
        <v>14857.85</v>
      </c>
      <c r="H538">
        <v>0</v>
      </c>
      <c r="I538" s="8">
        <f t="shared" si="33"/>
        <v>2.6554644532172933E-3</v>
      </c>
      <c r="J538" s="8">
        <f t="shared" si="34"/>
        <v>2.6519449367432496E-3</v>
      </c>
      <c r="K538" s="8">
        <f t="shared" si="31"/>
        <v>3.9428441506200063E-2</v>
      </c>
    </row>
    <row r="539" spans="1:11" x14ac:dyDescent="0.25">
      <c r="A539" t="str">
        <f t="shared" si="32"/>
        <v>32019</v>
      </c>
      <c r="B539" s="1">
        <v>43529</v>
      </c>
      <c r="C539" s="10">
        <v>43588.645833333336</v>
      </c>
      <c r="D539">
        <v>14834</v>
      </c>
      <c r="E539">
        <v>15130.15</v>
      </c>
      <c r="F539">
        <v>14793.15</v>
      </c>
      <c r="G539">
        <v>15108.6</v>
      </c>
      <c r="H539">
        <v>0</v>
      </c>
      <c r="I539" s="8">
        <f t="shared" si="33"/>
        <v>1.6876600584875945E-2</v>
      </c>
      <c r="J539" s="8">
        <f t="shared" si="34"/>
        <v>1.6735773013160291E-2</v>
      </c>
      <c r="K539" s="8">
        <f t="shared" si="31"/>
        <v>7.9968691587114948E-2</v>
      </c>
    </row>
    <row r="540" spans="1:11" x14ac:dyDescent="0.25">
      <c r="A540" t="str">
        <f t="shared" si="32"/>
        <v>32019</v>
      </c>
      <c r="B540" s="1">
        <v>43530</v>
      </c>
      <c r="C540" s="10">
        <v>43619.645833333336</v>
      </c>
      <c r="D540">
        <v>15151.6</v>
      </c>
      <c r="E540">
        <v>15409.2</v>
      </c>
      <c r="F540">
        <v>15127.8</v>
      </c>
      <c r="G540">
        <v>15363.05</v>
      </c>
      <c r="H540">
        <v>0</v>
      </c>
      <c r="I540" s="8">
        <f t="shared" si="33"/>
        <v>1.684140158585179E-2</v>
      </c>
      <c r="J540" s="8">
        <f t="shared" si="34"/>
        <v>1.6701157595496587E-2</v>
      </c>
      <c r="K540" s="8">
        <f t="shared" si="31"/>
        <v>9.6291829751706359E-2</v>
      </c>
    </row>
    <row r="541" spans="1:11" x14ac:dyDescent="0.25">
      <c r="A541" t="str">
        <f t="shared" si="32"/>
        <v>32019</v>
      </c>
      <c r="B541" s="1">
        <v>43531</v>
      </c>
      <c r="C541" s="10">
        <v>43649.645833333336</v>
      </c>
      <c r="D541">
        <v>15383.3</v>
      </c>
      <c r="E541">
        <v>15485.9</v>
      </c>
      <c r="F541">
        <v>15319</v>
      </c>
      <c r="G541">
        <v>15348.35</v>
      </c>
      <c r="H541">
        <v>0</v>
      </c>
      <c r="I541" s="8">
        <f t="shared" si="33"/>
        <v>-9.5684125222528227E-4</v>
      </c>
      <c r="J541" s="8">
        <f t="shared" si="34"/>
        <v>-9.5729931703644473E-4</v>
      </c>
      <c r="K541" s="8">
        <f t="shared" si="31"/>
        <v>0.12380788507371432</v>
      </c>
    </row>
    <row r="542" spans="1:11" x14ac:dyDescent="0.25">
      <c r="A542" t="str">
        <f t="shared" si="32"/>
        <v>32019</v>
      </c>
      <c r="B542" s="1">
        <v>43532</v>
      </c>
      <c r="C542" s="10">
        <v>43680.645833333336</v>
      </c>
      <c r="D542">
        <v>15331.5</v>
      </c>
      <c r="E542">
        <v>15390.65</v>
      </c>
      <c r="F542">
        <v>15253.1</v>
      </c>
      <c r="G542">
        <v>15352.55</v>
      </c>
      <c r="H542">
        <v>0</v>
      </c>
      <c r="I542" s="8">
        <f t="shared" si="33"/>
        <v>2.736450497935472E-4</v>
      </c>
      <c r="J542" s="8">
        <f t="shared" si="34"/>
        <v>2.7360761581583505E-4</v>
      </c>
      <c r="K542" s="8">
        <f t="shared" si="31"/>
        <v>0.11984755096830657</v>
      </c>
    </row>
    <row r="543" spans="1:11" x14ac:dyDescent="0.25">
      <c r="A543" t="str">
        <f t="shared" si="32"/>
        <v>32019</v>
      </c>
      <c r="B543" s="1">
        <v>43535</v>
      </c>
      <c r="C543" s="10">
        <v>43772.645833333336</v>
      </c>
      <c r="D543">
        <v>15412.85</v>
      </c>
      <c r="E543">
        <v>15821.4</v>
      </c>
      <c r="F543">
        <v>15386.85</v>
      </c>
      <c r="G543">
        <v>15770.95</v>
      </c>
      <c r="H543">
        <v>0</v>
      </c>
      <c r="I543" s="8">
        <f t="shared" si="33"/>
        <v>2.7252801651842962E-2</v>
      </c>
      <c r="J543" s="8">
        <f t="shared" si="34"/>
        <v>2.688805610970766E-2</v>
      </c>
      <c r="K543" s="8">
        <f t="shared" si="31"/>
        <v>0.1335487209711852</v>
      </c>
    </row>
    <row r="544" spans="1:11" x14ac:dyDescent="0.25">
      <c r="A544" t="str">
        <f t="shared" si="32"/>
        <v>32019</v>
      </c>
      <c r="B544" s="1">
        <v>43536</v>
      </c>
      <c r="C544" s="10">
        <v>43802.645833333336</v>
      </c>
      <c r="D544">
        <v>15891.15</v>
      </c>
      <c r="E544">
        <v>16032.75</v>
      </c>
      <c r="F544">
        <v>15870.9</v>
      </c>
      <c r="G544">
        <v>15991.15</v>
      </c>
      <c r="H544">
        <v>0</v>
      </c>
      <c r="I544" s="8">
        <f t="shared" si="33"/>
        <v>1.3962380199036728E-2</v>
      </c>
      <c r="J544" s="8">
        <f t="shared" si="34"/>
        <v>1.3865804085327438E-2</v>
      </c>
      <c r="K544" s="8">
        <f t="shared" si="31"/>
        <v>0.14844299852056131</v>
      </c>
    </row>
    <row r="545" spans="1:11" x14ac:dyDescent="0.25">
      <c r="A545" t="str">
        <f t="shared" si="32"/>
        <v>32019</v>
      </c>
      <c r="B545" s="1">
        <v>43537</v>
      </c>
      <c r="C545" t="s">
        <v>351</v>
      </c>
      <c r="D545">
        <v>16025.25</v>
      </c>
      <c r="E545">
        <v>16091.25</v>
      </c>
      <c r="F545">
        <v>15850.95</v>
      </c>
      <c r="G545">
        <v>16041.8</v>
      </c>
      <c r="H545">
        <v>0</v>
      </c>
      <c r="I545" s="8">
        <f t="shared" si="33"/>
        <v>3.167376955378387E-3</v>
      </c>
      <c r="J545" s="8">
        <f t="shared" si="34"/>
        <v>3.1623713838923591E-3</v>
      </c>
      <c r="K545" s="8">
        <f t="shared" si="31"/>
        <v>0.13997605181903139</v>
      </c>
    </row>
    <row r="546" spans="1:11" x14ac:dyDescent="0.25">
      <c r="A546" t="str">
        <f t="shared" si="32"/>
        <v>32019</v>
      </c>
      <c r="B546" s="1">
        <v>43538</v>
      </c>
      <c r="C546" t="s">
        <v>352</v>
      </c>
      <c r="D546">
        <v>16041.8</v>
      </c>
      <c r="E546">
        <v>16148.1</v>
      </c>
      <c r="F546">
        <v>15986.9</v>
      </c>
      <c r="G546">
        <v>16024.95</v>
      </c>
      <c r="H546">
        <v>0</v>
      </c>
      <c r="I546" s="8">
        <f t="shared" si="33"/>
        <v>-1.0503808799510184E-3</v>
      </c>
      <c r="J546" s="8">
        <f t="shared" si="34"/>
        <v>-1.0509329165471479E-3</v>
      </c>
      <c r="K546" s="8">
        <f t="shared" si="31"/>
        <v>0.1218850528040214</v>
      </c>
    </row>
    <row r="547" spans="1:11" x14ac:dyDescent="0.25">
      <c r="A547" t="str">
        <f t="shared" si="32"/>
        <v>32019</v>
      </c>
      <c r="B547" s="1">
        <v>43539</v>
      </c>
      <c r="C547" t="s">
        <v>353</v>
      </c>
      <c r="D547">
        <v>16075.7</v>
      </c>
      <c r="E547">
        <v>16219.5</v>
      </c>
      <c r="F547">
        <v>15981.95</v>
      </c>
      <c r="G547">
        <v>16046.2</v>
      </c>
      <c r="H547">
        <v>0</v>
      </c>
      <c r="I547" s="8">
        <f t="shared" si="33"/>
        <v>1.3260571795856713E-3</v>
      </c>
      <c r="J547" s="8">
        <f t="shared" si="34"/>
        <v>1.3251787422502419E-3</v>
      </c>
      <c r="K547" s="8">
        <f t="shared" si="31"/>
        <v>0.11538835828780369</v>
      </c>
    </row>
    <row r="548" spans="1:11" x14ac:dyDescent="0.25">
      <c r="A548" t="str">
        <f t="shared" si="32"/>
        <v>32019</v>
      </c>
      <c r="B548" s="1">
        <v>43542</v>
      </c>
      <c r="C548" t="s">
        <v>354</v>
      </c>
      <c r="D548">
        <v>16138</v>
      </c>
      <c r="E548">
        <v>16394.7</v>
      </c>
      <c r="F548">
        <v>16119.95</v>
      </c>
      <c r="G548">
        <v>16333.15</v>
      </c>
      <c r="H548">
        <v>0</v>
      </c>
      <c r="I548" s="8">
        <f t="shared" si="33"/>
        <v>1.7882738592314595E-2</v>
      </c>
      <c r="J548" s="8">
        <f t="shared" si="34"/>
        <v>1.7724723470414549E-2</v>
      </c>
      <c r="K548" s="8">
        <f t="shared" si="31"/>
        <v>0.12934485738980128</v>
      </c>
    </row>
    <row r="549" spans="1:11" x14ac:dyDescent="0.25">
      <c r="A549" t="str">
        <f t="shared" si="32"/>
        <v>32019</v>
      </c>
      <c r="B549" s="1">
        <v>43543</v>
      </c>
      <c r="C549" t="s">
        <v>355</v>
      </c>
      <c r="D549">
        <v>16458.8</v>
      </c>
      <c r="E549">
        <v>16632.900000000001</v>
      </c>
      <c r="F549">
        <v>16358.15</v>
      </c>
      <c r="G549">
        <v>16593.900000000001</v>
      </c>
      <c r="H549">
        <v>0</v>
      </c>
      <c r="I549" s="8">
        <f t="shared" si="33"/>
        <v>1.5964464907259224E-2</v>
      </c>
      <c r="J549" s="8">
        <f t="shared" si="34"/>
        <v>1.5838373059652532E-2</v>
      </c>
      <c r="K549" s="8">
        <f t="shared" si="31"/>
        <v>0.15038094379779143</v>
      </c>
    </row>
    <row r="550" spans="1:11" x14ac:dyDescent="0.25">
      <c r="A550" t="str">
        <f t="shared" si="32"/>
        <v>32019</v>
      </c>
      <c r="B550" s="1">
        <v>43544</v>
      </c>
      <c r="C550" t="s">
        <v>356</v>
      </c>
      <c r="D550">
        <v>16607.25</v>
      </c>
      <c r="E550">
        <v>16607.25</v>
      </c>
      <c r="F550">
        <v>16353.3</v>
      </c>
      <c r="G550">
        <v>16397.400000000001</v>
      </c>
      <c r="H550">
        <v>0</v>
      </c>
      <c r="I550" s="8">
        <f t="shared" si="33"/>
        <v>-1.1841700865980909E-2</v>
      </c>
      <c r="J550" s="8">
        <f t="shared" si="34"/>
        <v>-1.1912372272844389E-2</v>
      </c>
      <c r="K550" s="8">
        <f t="shared" si="31"/>
        <v>0.15802892000211877</v>
      </c>
    </row>
    <row r="551" spans="1:11" x14ac:dyDescent="0.25">
      <c r="A551" t="str">
        <f t="shared" si="32"/>
        <v>32019</v>
      </c>
      <c r="B551" s="1">
        <v>43546</v>
      </c>
      <c r="C551" t="s">
        <v>357</v>
      </c>
      <c r="D551">
        <v>16408.05</v>
      </c>
      <c r="E551">
        <v>16501.599999999999</v>
      </c>
      <c r="F551">
        <v>16103.85</v>
      </c>
      <c r="G551">
        <v>16152.3</v>
      </c>
      <c r="H551">
        <v>0</v>
      </c>
      <c r="I551" s="8">
        <f t="shared" si="33"/>
        <v>-1.4947491675509683E-2</v>
      </c>
      <c r="J551" s="8">
        <f t="shared" si="34"/>
        <v>-1.5060331287221113E-2</v>
      </c>
      <c r="K551" s="8">
        <f t="shared" si="31"/>
        <v>0.15460579222199566</v>
      </c>
    </row>
    <row r="552" spans="1:11" x14ac:dyDescent="0.25">
      <c r="A552" t="str">
        <f t="shared" si="32"/>
        <v>32019</v>
      </c>
      <c r="B552" s="1">
        <v>43549</v>
      </c>
      <c r="C552" t="s">
        <v>358</v>
      </c>
      <c r="D552">
        <v>16048.45</v>
      </c>
      <c r="E552">
        <v>16198</v>
      </c>
      <c r="F552">
        <v>15973.45</v>
      </c>
      <c r="G552">
        <v>16147.9</v>
      </c>
      <c r="H552">
        <v>0</v>
      </c>
      <c r="I552" s="8">
        <f t="shared" si="33"/>
        <v>-2.7240702562481012E-4</v>
      </c>
      <c r="J552" s="8">
        <f t="shared" si="34"/>
        <v>-2.7244413515803304E-4</v>
      </c>
      <c r="K552" s="8">
        <f t="shared" si="31"/>
        <v>0.14819713162254589</v>
      </c>
    </row>
    <row r="553" spans="1:11" x14ac:dyDescent="0.25">
      <c r="A553" t="str">
        <f t="shared" si="32"/>
        <v>32019</v>
      </c>
      <c r="B553" s="1">
        <v>43550</v>
      </c>
      <c r="C553" t="s">
        <v>359</v>
      </c>
      <c r="D553">
        <v>16218</v>
      </c>
      <c r="E553">
        <v>16575.900000000001</v>
      </c>
      <c r="F553">
        <v>16218</v>
      </c>
      <c r="G553">
        <v>16541.349999999999</v>
      </c>
      <c r="H553">
        <v>0</v>
      </c>
      <c r="I553" s="8">
        <f t="shared" si="33"/>
        <v>2.4365397358170338E-2</v>
      </c>
      <c r="J553" s="8">
        <f t="shared" si="34"/>
        <v>2.4073296325022871E-2</v>
      </c>
      <c r="K553" s="8">
        <f t="shared" si="31"/>
        <v>0.15798482281617954</v>
      </c>
    </row>
    <row r="554" spans="1:11" x14ac:dyDescent="0.25">
      <c r="A554" t="str">
        <f t="shared" si="32"/>
        <v>32019</v>
      </c>
      <c r="B554" s="1">
        <v>43551</v>
      </c>
      <c r="C554" t="s">
        <v>360</v>
      </c>
      <c r="D554">
        <v>16624.05</v>
      </c>
      <c r="E554">
        <v>16624.05</v>
      </c>
      <c r="F554">
        <v>16283.95</v>
      </c>
      <c r="G554">
        <v>16330.1</v>
      </c>
      <c r="H554">
        <v>0</v>
      </c>
      <c r="I554" s="8">
        <f t="shared" si="33"/>
        <v>-1.2771025339527786E-2</v>
      </c>
      <c r="J554" s="8">
        <f t="shared" si="34"/>
        <v>-1.2853275916839865E-2</v>
      </c>
      <c r="K554" s="8">
        <f t="shared" si="31"/>
        <v>0.13641804339656782</v>
      </c>
    </row>
    <row r="555" spans="1:11" x14ac:dyDescent="0.25">
      <c r="A555" t="str">
        <f t="shared" si="32"/>
        <v>32019</v>
      </c>
      <c r="B555" s="1">
        <v>43552</v>
      </c>
      <c r="C555" t="s">
        <v>361</v>
      </c>
      <c r="D555">
        <v>16344.05</v>
      </c>
      <c r="E555">
        <v>16493.400000000001</v>
      </c>
      <c r="F555">
        <v>16266.75</v>
      </c>
      <c r="G555">
        <v>16384.5</v>
      </c>
      <c r="H555">
        <v>0</v>
      </c>
      <c r="I555" s="8">
        <f t="shared" si="33"/>
        <v>3.3312717007243364E-3</v>
      </c>
      <c r="J555" s="8">
        <f t="shared" si="34"/>
        <v>3.325735307232373E-3</v>
      </c>
      <c r="K555" s="8">
        <f t="shared" si="31"/>
        <v>0.14298370753792322</v>
      </c>
    </row>
    <row r="556" spans="1:11" x14ac:dyDescent="0.25">
      <c r="A556" t="str">
        <f t="shared" si="32"/>
        <v>32019</v>
      </c>
      <c r="B556" s="1">
        <v>43553</v>
      </c>
      <c r="C556" t="s">
        <v>362</v>
      </c>
      <c r="D556">
        <v>16495.55</v>
      </c>
      <c r="E556">
        <v>16605.900000000001</v>
      </c>
      <c r="F556">
        <v>16455.150000000001</v>
      </c>
      <c r="G556">
        <v>16484</v>
      </c>
      <c r="H556">
        <v>0</v>
      </c>
      <c r="I556" s="8">
        <f t="shared" si="33"/>
        <v>6.0728127193383497E-3</v>
      </c>
      <c r="J556" s="8">
        <f t="shared" si="34"/>
        <v>6.0544475070004019E-3</v>
      </c>
      <c r="K556" s="8">
        <f t="shared" si="31"/>
        <v>0.14887092277669356</v>
      </c>
    </row>
    <row r="557" spans="1:11" x14ac:dyDescent="0.25">
      <c r="A557" t="str">
        <f t="shared" si="32"/>
        <v>42019</v>
      </c>
      <c r="B557" s="1">
        <v>43556</v>
      </c>
      <c r="C557" s="10">
        <v>43469.645833333336</v>
      </c>
      <c r="D557">
        <v>16571.400000000001</v>
      </c>
      <c r="E557">
        <v>16660.95</v>
      </c>
      <c r="F557">
        <v>16393.45</v>
      </c>
      <c r="G557">
        <v>16532.099999999999</v>
      </c>
      <c r="H557">
        <v>0</v>
      </c>
      <c r="I557" s="8">
        <f t="shared" si="33"/>
        <v>2.9179810725550315E-3</v>
      </c>
      <c r="J557" s="8">
        <f t="shared" si="34"/>
        <v>2.9137320295297329E-3</v>
      </c>
      <c r="K557" s="8">
        <f t="shared" si="31"/>
        <v>0.16912708487293626</v>
      </c>
    </row>
    <row r="558" spans="1:11" x14ac:dyDescent="0.25">
      <c r="A558" t="str">
        <f t="shared" si="32"/>
        <v>42019</v>
      </c>
      <c r="B558" s="1">
        <v>43557</v>
      </c>
      <c r="C558" s="10">
        <v>43500.645833333336</v>
      </c>
      <c r="D558">
        <v>16585.900000000001</v>
      </c>
      <c r="E558">
        <v>16631</v>
      </c>
      <c r="F558">
        <v>16469.7</v>
      </c>
      <c r="G558">
        <v>16523.5</v>
      </c>
      <c r="H558">
        <v>0</v>
      </c>
      <c r="I558" s="8">
        <f t="shared" si="33"/>
        <v>-5.2020009557152136E-4</v>
      </c>
      <c r="J558" s="8">
        <f t="shared" si="34"/>
        <v>-5.2033544658301246E-4</v>
      </c>
      <c r="K558" s="8">
        <f t="shared" si="31"/>
        <v>0.18749371164101003</v>
      </c>
    </row>
    <row r="559" spans="1:11" x14ac:dyDescent="0.25">
      <c r="A559" t="str">
        <f t="shared" si="32"/>
        <v>42019</v>
      </c>
      <c r="B559" s="1">
        <v>43558</v>
      </c>
      <c r="C559" s="10">
        <v>43528.645833333336</v>
      </c>
      <c r="D559">
        <v>16575.95</v>
      </c>
      <c r="E559">
        <v>16590.400000000001</v>
      </c>
      <c r="F559">
        <v>16232.35</v>
      </c>
      <c r="G559">
        <v>16258.65</v>
      </c>
      <c r="H559">
        <v>0</v>
      </c>
      <c r="I559" s="8">
        <f t="shared" si="33"/>
        <v>-1.6028686416316162E-2</v>
      </c>
      <c r="J559" s="8">
        <f t="shared" si="34"/>
        <v>-1.6158535216946494E-2</v>
      </c>
      <c r="K559" s="8">
        <f t="shared" si="31"/>
        <v>0.15777199397566766</v>
      </c>
    </row>
    <row r="560" spans="1:11" x14ac:dyDescent="0.25">
      <c r="A560" t="str">
        <f t="shared" si="32"/>
        <v>42019</v>
      </c>
      <c r="B560" s="1">
        <v>43559</v>
      </c>
      <c r="C560" s="10">
        <v>43559.645833333336</v>
      </c>
      <c r="D560">
        <v>16297.3</v>
      </c>
      <c r="E560">
        <v>16316.3</v>
      </c>
      <c r="F560">
        <v>16054.85</v>
      </c>
      <c r="G560">
        <v>16120.6</v>
      </c>
      <c r="H560">
        <v>0</v>
      </c>
      <c r="I560" s="8">
        <f t="shared" si="33"/>
        <v>-8.4908648627037842E-3</v>
      </c>
      <c r="J560" s="8">
        <f t="shared" si="34"/>
        <v>-8.5271176130948551E-3</v>
      </c>
      <c r="K560" s="8">
        <f t="shared" si="31"/>
        <v>0.14030862167142377</v>
      </c>
    </row>
    <row r="561" spans="1:11" x14ac:dyDescent="0.25">
      <c r="A561" t="str">
        <f t="shared" si="32"/>
        <v>42019</v>
      </c>
      <c r="B561" s="1">
        <v>43560</v>
      </c>
      <c r="C561" s="10">
        <v>43589.645833333336</v>
      </c>
      <c r="D561">
        <v>16188.9</v>
      </c>
      <c r="E561">
        <v>16227.05</v>
      </c>
      <c r="F561">
        <v>16084.2</v>
      </c>
      <c r="G561">
        <v>16171.45</v>
      </c>
      <c r="H561">
        <v>0</v>
      </c>
      <c r="I561" s="8">
        <f t="shared" si="33"/>
        <v>3.1543490937062657E-3</v>
      </c>
      <c r="J561" s="8">
        <f t="shared" si="34"/>
        <v>3.1493845717543486E-3</v>
      </c>
      <c r="K561" s="8">
        <f t="shared" si="31"/>
        <v>0.14639506321621121</v>
      </c>
    </row>
    <row r="562" spans="1:11" x14ac:dyDescent="0.25">
      <c r="A562" t="str">
        <f t="shared" si="32"/>
        <v>42019</v>
      </c>
      <c r="B562" s="1">
        <v>43563</v>
      </c>
      <c r="C562" s="10">
        <v>43681.645833333336</v>
      </c>
      <c r="D562">
        <v>16193.75</v>
      </c>
      <c r="E562">
        <v>16203.05</v>
      </c>
      <c r="F562">
        <v>15915.3</v>
      </c>
      <c r="G562">
        <v>15983.3</v>
      </c>
      <c r="H562">
        <v>0</v>
      </c>
      <c r="I562" s="8">
        <f t="shared" si="33"/>
        <v>-1.1634701897479949E-2</v>
      </c>
      <c r="J562" s="8">
        <f t="shared" si="34"/>
        <v>-1.1702914647802955E-2</v>
      </c>
      <c r="K562" s="8">
        <f t="shared" si="31"/>
        <v>0.13671147144584306</v>
      </c>
    </row>
    <row r="563" spans="1:11" x14ac:dyDescent="0.25">
      <c r="A563" t="str">
        <f t="shared" si="32"/>
        <v>42019</v>
      </c>
      <c r="B563" s="1">
        <v>43564</v>
      </c>
      <c r="C563" s="10">
        <v>43712.645833333336</v>
      </c>
      <c r="D563">
        <v>15943.1</v>
      </c>
      <c r="E563">
        <v>16092.05</v>
      </c>
      <c r="F563">
        <v>15887.35</v>
      </c>
      <c r="G563">
        <v>16068.25</v>
      </c>
      <c r="H563">
        <v>0</v>
      </c>
      <c r="I563" s="8">
        <f t="shared" si="33"/>
        <v>5.3149224503075132E-3</v>
      </c>
      <c r="J563" s="8">
        <f t="shared" si="34"/>
        <v>5.300848097352184E-3</v>
      </c>
      <c r="K563" s="8">
        <f t="shared" si="31"/>
        <v>0.14735925110053527</v>
      </c>
    </row>
    <row r="564" spans="1:11" x14ac:dyDescent="0.25">
      <c r="A564" t="str">
        <f t="shared" si="32"/>
        <v>42019</v>
      </c>
      <c r="B564" s="1">
        <v>43565</v>
      </c>
      <c r="C564" s="10">
        <v>43742.645833333336</v>
      </c>
      <c r="D564">
        <v>16067.5</v>
      </c>
      <c r="E564">
        <v>16190.1</v>
      </c>
      <c r="F564">
        <v>16003.65</v>
      </c>
      <c r="G564">
        <v>16026.9</v>
      </c>
      <c r="H564">
        <v>0</v>
      </c>
      <c r="I564" s="8">
        <f t="shared" si="33"/>
        <v>-2.5733978497969323E-3</v>
      </c>
      <c r="J564" s="8">
        <f t="shared" si="34"/>
        <v>-2.5767147296999996E-3</v>
      </c>
      <c r="K564" s="8">
        <f t="shared" si="31"/>
        <v>0.14990798239288838</v>
      </c>
    </row>
    <row r="565" spans="1:11" x14ac:dyDescent="0.25">
      <c r="A565" t="str">
        <f t="shared" si="32"/>
        <v>42019</v>
      </c>
      <c r="B565" s="1">
        <v>43566</v>
      </c>
      <c r="C565" s="10">
        <v>43773.645833333336</v>
      </c>
      <c r="D565">
        <v>16051.35</v>
      </c>
      <c r="E565">
        <v>16195.75</v>
      </c>
      <c r="F565">
        <v>16029.55</v>
      </c>
      <c r="G565">
        <v>16159.15</v>
      </c>
      <c r="H565">
        <v>0</v>
      </c>
      <c r="I565" s="8">
        <f t="shared" si="33"/>
        <v>8.2517517423830178E-3</v>
      </c>
      <c r="J565" s="8">
        <f t="shared" si="34"/>
        <v>8.2178921785919234E-3</v>
      </c>
      <c r="K565" s="8">
        <f t="shared" si="31"/>
        <v>0.1654465856965639</v>
      </c>
    </row>
    <row r="566" spans="1:11" x14ac:dyDescent="0.25">
      <c r="A566" t="str">
        <f t="shared" si="32"/>
        <v>42019</v>
      </c>
      <c r="B566" s="1">
        <v>43567</v>
      </c>
      <c r="C566" s="10">
        <v>43803.645833333336</v>
      </c>
      <c r="D566">
        <v>16202.75</v>
      </c>
      <c r="E566">
        <v>16253.85</v>
      </c>
      <c r="F566">
        <v>16118.9</v>
      </c>
      <c r="G566">
        <v>16169.75</v>
      </c>
      <c r="H566">
        <v>0</v>
      </c>
      <c r="I566" s="8">
        <f t="shared" si="33"/>
        <v>6.5597509769999007E-4</v>
      </c>
      <c r="J566" s="8">
        <f t="shared" si="34"/>
        <v>6.5576004007874558E-4</v>
      </c>
      <c r="K566" s="8">
        <f t="shared" si="31"/>
        <v>0.14172185898069567</v>
      </c>
    </row>
    <row r="567" spans="1:11" x14ac:dyDescent="0.25">
      <c r="A567" t="str">
        <f t="shared" si="32"/>
        <v>42019</v>
      </c>
      <c r="B567" s="1">
        <v>43570</v>
      </c>
      <c r="C567" t="s">
        <v>363</v>
      </c>
      <c r="D567">
        <v>16209.95</v>
      </c>
      <c r="E567">
        <v>16231.8</v>
      </c>
      <c r="F567">
        <v>16084.8</v>
      </c>
      <c r="G567">
        <v>16114.45</v>
      </c>
      <c r="H567">
        <v>0</v>
      </c>
      <c r="I567" s="8">
        <f t="shared" si="33"/>
        <v>-3.4199662950880061E-3</v>
      </c>
      <c r="J567" s="8">
        <f t="shared" si="34"/>
        <v>-3.4258277476134857E-3</v>
      </c>
      <c r="K567" s="8">
        <f t="shared" si="31"/>
        <v>0.13142614410290254</v>
      </c>
    </row>
    <row r="568" spans="1:11" x14ac:dyDescent="0.25">
      <c r="A568" t="str">
        <f t="shared" si="32"/>
        <v>42019</v>
      </c>
      <c r="B568" s="1">
        <v>43571</v>
      </c>
      <c r="C568" t="s">
        <v>364</v>
      </c>
      <c r="D568">
        <v>16191.05</v>
      </c>
      <c r="E568">
        <v>16277.2</v>
      </c>
      <c r="F568">
        <v>16159.4</v>
      </c>
      <c r="G568">
        <v>16203.55</v>
      </c>
      <c r="H568">
        <v>0</v>
      </c>
      <c r="I568" s="8">
        <f t="shared" si="33"/>
        <v>5.5291989487695758E-3</v>
      </c>
      <c r="J568" s="8">
        <f t="shared" si="34"/>
        <v>5.5139690419274629E-3</v>
      </c>
      <c r="K568" s="8">
        <f t="shared" si="31"/>
        <v>0.13649307382079612</v>
      </c>
    </row>
    <row r="569" spans="1:11" x14ac:dyDescent="0.25">
      <c r="A569" t="str">
        <f t="shared" si="32"/>
        <v>42019</v>
      </c>
      <c r="B569" s="1">
        <v>43573</v>
      </c>
      <c r="C569" t="s">
        <v>365</v>
      </c>
      <c r="D569">
        <v>16369.7</v>
      </c>
      <c r="E569">
        <v>16385.599999999999</v>
      </c>
      <c r="F569">
        <v>16194.7</v>
      </c>
      <c r="G569">
        <v>16336.25</v>
      </c>
      <c r="H569">
        <v>0</v>
      </c>
      <c r="I569" s="8">
        <f t="shared" si="33"/>
        <v>8.1895633981443616E-3</v>
      </c>
      <c r="J569" s="8">
        <f t="shared" si="34"/>
        <v>8.1562108950440915E-3</v>
      </c>
      <c r="K569" s="8">
        <f t="shared" si="31"/>
        <v>0.11834673968851628</v>
      </c>
    </row>
    <row r="570" spans="1:11" x14ac:dyDescent="0.25">
      <c r="A570" t="str">
        <f t="shared" si="32"/>
        <v>42019</v>
      </c>
      <c r="B570" s="1">
        <v>43577</v>
      </c>
      <c r="C570" t="s">
        <v>366</v>
      </c>
      <c r="D570">
        <v>16135.65</v>
      </c>
      <c r="E570">
        <v>16144.85</v>
      </c>
      <c r="F570">
        <v>15921.1</v>
      </c>
      <c r="G570">
        <v>15944.3</v>
      </c>
      <c r="H570">
        <v>0</v>
      </c>
      <c r="I570" s="8">
        <f t="shared" si="33"/>
        <v>-2.3992654372943623E-2</v>
      </c>
      <c r="J570" s="8">
        <f t="shared" si="34"/>
        <v>-2.4285166340136801E-2</v>
      </c>
      <c r="K570" s="8">
        <f t="shared" si="31"/>
        <v>6.5521239520577756E-2</v>
      </c>
    </row>
    <row r="571" spans="1:11" x14ac:dyDescent="0.25">
      <c r="A571" t="str">
        <f t="shared" si="32"/>
        <v>42019</v>
      </c>
      <c r="B571" s="1">
        <v>43578</v>
      </c>
      <c r="C571" t="s">
        <v>367</v>
      </c>
      <c r="D571">
        <v>15915</v>
      </c>
      <c r="E571">
        <v>16035.5</v>
      </c>
      <c r="F571">
        <v>15849.2</v>
      </c>
      <c r="G571">
        <v>16010.7</v>
      </c>
      <c r="H571">
        <v>0</v>
      </c>
      <c r="I571" s="8">
        <f t="shared" si="33"/>
        <v>4.1644976574701786E-3</v>
      </c>
      <c r="J571" s="8">
        <f t="shared" si="34"/>
        <v>4.1558501371725407E-3</v>
      </c>
      <c r="K571" s="8">
        <f t="shared" si="31"/>
        <v>7.0960578199781299E-2</v>
      </c>
    </row>
    <row r="572" spans="1:11" x14ac:dyDescent="0.25">
      <c r="A572" t="str">
        <f t="shared" si="32"/>
        <v>42019</v>
      </c>
      <c r="B572" s="1">
        <v>43579</v>
      </c>
      <c r="C572" t="s">
        <v>368</v>
      </c>
      <c r="D572">
        <v>16096.3</v>
      </c>
      <c r="E572">
        <v>16332.45</v>
      </c>
      <c r="F572">
        <v>16093.9</v>
      </c>
      <c r="G572">
        <v>16305.75</v>
      </c>
      <c r="H572">
        <v>0</v>
      </c>
      <c r="I572" s="8">
        <f t="shared" si="33"/>
        <v>1.8428301073657005E-2</v>
      </c>
      <c r="J572" s="8">
        <f t="shared" si="34"/>
        <v>1.8260557617328876E-2</v>
      </c>
      <c r="K572" s="8">
        <f t="shared" si="31"/>
        <v>9.8045091516384186E-2</v>
      </c>
    </row>
    <row r="573" spans="1:11" x14ac:dyDescent="0.25">
      <c r="A573" t="str">
        <f t="shared" si="32"/>
        <v>42019</v>
      </c>
      <c r="B573" s="1">
        <v>43580</v>
      </c>
      <c r="C573" t="s">
        <v>369</v>
      </c>
      <c r="D573">
        <v>16305.3</v>
      </c>
      <c r="E573">
        <v>16476.25</v>
      </c>
      <c r="F573">
        <v>16199.8</v>
      </c>
      <c r="G573">
        <v>16243.55</v>
      </c>
      <c r="H573">
        <v>0</v>
      </c>
      <c r="I573" s="8">
        <f t="shared" si="33"/>
        <v>-3.8146052772795036E-3</v>
      </c>
      <c r="J573" s="8">
        <f t="shared" si="34"/>
        <v>-3.8218994394652382E-3</v>
      </c>
      <c r="K573" s="8">
        <f t="shared" si="31"/>
        <v>8.3596835307930384E-2</v>
      </c>
    </row>
    <row r="574" spans="1:11" x14ac:dyDescent="0.25">
      <c r="A574" t="str">
        <f t="shared" si="32"/>
        <v>42019</v>
      </c>
      <c r="B574" s="1">
        <v>43581</v>
      </c>
      <c r="C574" t="s">
        <v>370</v>
      </c>
      <c r="D574">
        <v>16277.15</v>
      </c>
      <c r="E574">
        <v>16449.2</v>
      </c>
      <c r="F574">
        <v>16272.8</v>
      </c>
      <c r="G574">
        <v>16431.5</v>
      </c>
      <c r="H574">
        <v>0</v>
      </c>
      <c r="I574" s="8">
        <f t="shared" si="33"/>
        <v>1.157074654247392E-2</v>
      </c>
      <c r="J574" s="8">
        <f t="shared" si="34"/>
        <v>1.150431738691334E-2</v>
      </c>
      <c r="K574" s="8">
        <f t="shared" si="31"/>
        <v>9.7624924432450078E-2</v>
      </c>
    </row>
    <row r="575" spans="1:11" x14ac:dyDescent="0.25">
      <c r="A575" t="str">
        <f t="shared" si="32"/>
        <v>42019</v>
      </c>
      <c r="B575" s="1">
        <v>43585</v>
      </c>
      <c r="C575" t="s">
        <v>371</v>
      </c>
      <c r="D575">
        <v>16473</v>
      </c>
      <c r="E575">
        <v>16552.099999999999</v>
      </c>
      <c r="F575">
        <v>16272.4</v>
      </c>
      <c r="G575">
        <v>16500</v>
      </c>
      <c r="H575">
        <v>0</v>
      </c>
      <c r="I575" s="8">
        <f t="shared" si="33"/>
        <v>4.1688220795423891E-3</v>
      </c>
      <c r="J575" s="8">
        <f t="shared" si="34"/>
        <v>4.1601566156138619E-3</v>
      </c>
      <c r="K575" s="8">
        <f t="shared" si="31"/>
        <v>0.11335656762291624</v>
      </c>
    </row>
    <row r="576" spans="1:11" x14ac:dyDescent="0.25">
      <c r="A576" t="str">
        <f t="shared" si="32"/>
        <v>52019</v>
      </c>
      <c r="B576" s="1">
        <v>43587</v>
      </c>
      <c r="C576" s="10">
        <v>43501.645833333336</v>
      </c>
      <c r="D576">
        <v>16491.2</v>
      </c>
      <c r="E576">
        <v>16566.75</v>
      </c>
      <c r="F576">
        <v>16419.7</v>
      </c>
      <c r="G576">
        <v>16499.05</v>
      </c>
      <c r="H576">
        <v>0</v>
      </c>
      <c r="I576" s="8">
        <f t="shared" si="33"/>
        <v>-5.7575757575811792E-5</v>
      </c>
      <c r="J576" s="8">
        <f t="shared" si="34"/>
        <v>-5.7577415123365351E-5</v>
      </c>
      <c r="K576" s="8">
        <f t="shared" ref="K576:K639" si="35">+G576/G515-1</f>
        <v>0.12771607258808637</v>
      </c>
    </row>
    <row r="577" spans="1:11" x14ac:dyDescent="0.25">
      <c r="A577" t="str">
        <f t="shared" si="32"/>
        <v>52019</v>
      </c>
      <c r="B577" s="1">
        <v>43588</v>
      </c>
      <c r="C577" s="10">
        <v>43529.645833333336</v>
      </c>
      <c r="D577">
        <v>16557.75</v>
      </c>
      <c r="E577">
        <v>16664.650000000001</v>
      </c>
      <c r="F577">
        <v>16526.849999999999</v>
      </c>
      <c r="G577">
        <v>16568.3</v>
      </c>
      <c r="H577">
        <v>0</v>
      </c>
      <c r="I577" s="8">
        <f t="shared" si="33"/>
        <v>4.1972113545931666E-3</v>
      </c>
      <c r="J577" s="8">
        <f t="shared" si="34"/>
        <v>4.1884276325301608E-3</v>
      </c>
      <c r="K577" s="8">
        <f t="shared" si="35"/>
        <v>0.14427888184816196</v>
      </c>
    </row>
    <row r="578" spans="1:11" x14ac:dyDescent="0.25">
      <c r="A578" t="str">
        <f t="shared" si="32"/>
        <v>52019</v>
      </c>
      <c r="B578" s="1">
        <v>43591</v>
      </c>
      <c r="C578" s="10">
        <v>43621.645833333336</v>
      </c>
      <c r="D578">
        <v>16498.599999999999</v>
      </c>
      <c r="E578">
        <v>16580.55</v>
      </c>
      <c r="F578">
        <v>16442.099999999999</v>
      </c>
      <c r="G578">
        <v>16503.150000000001</v>
      </c>
      <c r="H578">
        <v>0</v>
      </c>
      <c r="I578" s="8">
        <f t="shared" si="33"/>
        <v>-3.9322078909723723E-3</v>
      </c>
      <c r="J578" s="8">
        <f t="shared" si="34"/>
        <v>-3.9399593473191065E-3</v>
      </c>
      <c r="K578" s="8">
        <f t="shared" si="35"/>
        <v>0.11560912461679385</v>
      </c>
    </row>
    <row r="579" spans="1:11" x14ac:dyDescent="0.25">
      <c r="A579" t="str">
        <f t="shared" ref="A579:A642" si="36">+MONTH(B579)&amp;YEAR(B579)</f>
        <v>52019</v>
      </c>
      <c r="B579" s="1">
        <v>43592</v>
      </c>
      <c r="C579" s="10">
        <v>43651.791666666664</v>
      </c>
      <c r="D579">
        <v>16552.55</v>
      </c>
      <c r="E579">
        <v>16552.55</v>
      </c>
      <c r="F579">
        <v>16204.7</v>
      </c>
      <c r="G579">
        <v>16231.2</v>
      </c>
      <c r="H579">
        <v>0</v>
      </c>
      <c r="I579" s="8">
        <f t="shared" si="33"/>
        <v>-1.6478672253478877E-2</v>
      </c>
      <c r="J579" s="8">
        <f t="shared" si="34"/>
        <v>-1.6615955829919659E-2</v>
      </c>
      <c r="K579" s="8">
        <f t="shared" si="35"/>
        <v>8.3832195382535168E-2</v>
      </c>
    </row>
    <row r="580" spans="1:11" x14ac:dyDescent="0.25">
      <c r="A580" t="str">
        <f t="shared" si="36"/>
        <v>52019</v>
      </c>
      <c r="B580" s="1">
        <v>43593</v>
      </c>
      <c r="C580" s="10">
        <v>43682.645833333336</v>
      </c>
      <c r="D580">
        <v>16219.65</v>
      </c>
      <c r="E580">
        <v>16219.65</v>
      </c>
      <c r="F580">
        <v>15873.6</v>
      </c>
      <c r="G580">
        <v>15925.8</v>
      </c>
      <c r="H580">
        <v>0</v>
      </c>
      <c r="I580" s="8">
        <f t="shared" ref="I580:I643" si="37">+G580/G579-1</f>
        <v>-1.8815614372320044E-2</v>
      </c>
      <c r="J580" s="8">
        <f t="shared" ref="J580:J643" si="38">+LN(1+I580)</f>
        <v>-1.8994880271428361E-2</v>
      </c>
      <c r="K580" s="8">
        <f t="shared" si="35"/>
        <v>4.6692977815166792E-2</v>
      </c>
    </row>
    <row r="581" spans="1:11" x14ac:dyDescent="0.25">
      <c r="A581" t="str">
        <f t="shared" si="36"/>
        <v>52019</v>
      </c>
      <c r="B581" s="1">
        <v>43594</v>
      </c>
      <c r="C581" s="10">
        <v>43713.645833333336</v>
      </c>
      <c r="D581">
        <v>15861.45</v>
      </c>
      <c r="E581">
        <v>15861.65</v>
      </c>
      <c r="F581">
        <v>15585.5</v>
      </c>
      <c r="G581">
        <v>15635.45</v>
      </c>
      <c r="H581">
        <v>0</v>
      </c>
      <c r="I581" s="8">
        <f t="shared" si="37"/>
        <v>-1.8231423225206767E-2</v>
      </c>
      <c r="J581" s="8">
        <f t="shared" si="38"/>
        <v>-1.8399663599862587E-2</v>
      </c>
      <c r="K581" s="8">
        <f t="shared" si="35"/>
        <v>2.8719089147605681E-2</v>
      </c>
    </row>
    <row r="582" spans="1:11" x14ac:dyDescent="0.25">
      <c r="A582" t="str">
        <f t="shared" si="36"/>
        <v>52019</v>
      </c>
      <c r="B582" s="1">
        <v>43595</v>
      </c>
      <c r="C582" s="10">
        <v>43743.645833333336</v>
      </c>
      <c r="D582">
        <v>15662.95</v>
      </c>
      <c r="E582">
        <v>15683.35</v>
      </c>
      <c r="F582">
        <v>15450.7</v>
      </c>
      <c r="G582">
        <v>15493.85</v>
      </c>
      <c r="H582">
        <v>0</v>
      </c>
      <c r="I582" s="8">
        <f t="shared" si="37"/>
        <v>-9.0563431177228537E-3</v>
      </c>
      <c r="J582" s="8">
        <f t="shared" si="38"/>
        <v>-9.097601079467145E-3</v>
      </c>
      <c r="K582" s="8">
        <f t="shared" si="35"/>
        <v>6.4764861976789323E-3</v>
      </c>
    </row>
    <row r="583" spans="1:11" x14ac:dyDescent="0.25">
      <c r="A583" t="str">
        <f t="shared" si="36"/>
        <v>52019</v>
      </c>
      <c r="B583" s="1">
        <v>43598</v>
      </c>
      <c r="C583" t="s">
        <v>372</v>
      </c>
      <c r="D583">
        <v>15464.15</v>
      </c>
      <c r="E583">
        <v>15533.55</v>
      </c>
      <c r="F583">
        <v>15128.25</v>
      </c>
      <c r="G583">
        <v>15172.1</v>
      </c>
      <c r="H583">
        <v>0</v>
      </c>
      <c r="I583" s="8">
        <f t="shared" si="37"/>
        <v>-2.076630404967128E-2</v>
      </c>
      <c r="J583" s="8">
        <f t="shared" si="38"/>
        <v>-2.0984956102165369E-2</v>
      </c>
      <c r="K583" s="8">
        <f t="shared" si="35"/>
        <v>-3.4810937202383041E-3</v>
      </c>
    </row>
    <row r="584" spans="1:11" x14ac:dyDescent="0.25">
      <c r="A584" t="str">
        <f t="shared" si="36"/>
        <v>52019</v>
      </c>
      <c r="B584" s="1">
        <v>43599</v>
      </c>
      <c r="C584" t="s">
        <v>373</v>
      </c>
      <c r="D584">
        <v>15152.65</v>
      </c>
      <c r="E584">
        <v>15484.9</v>
      </c>
      <c r="F584">
        <v>15101.6</v>
      </c>
      <c r="G584">
        <v>15399.3</v>
      </c>
      <c r="H584">
        <v>0</v>
      </c>
      <c r="I584" s="8">
        <f t="shared" si="37"/>
        <v>1.4974855161777212E-2</v>
      </c>
      <c r="J584" s="8">
        <f t="shared" si="38"/>
        <v>1.4863838947260523E-2</v>
      </c>
      <c r="K584" s="8">
        <f t="shared" si="35"/>
        <v>2.5686625171094324E-2</v>
      </c>
    </row>
    <row r="585" spans="1:11" x14ac:dyDescent="0.25">
      <c r="A585" t="str">
        <f t="shared" si="36"/>
        <v>52019</v>
      </c>
      <c r="B585" s="1">
        <v>43600</v>
      </c>
      <c r="C585" t="s">
        <v>374</v>
      </c>
      <c r="D585">
        <v>15491.65</v>
      </c>
      <c r="E585">
        <v>15530.5</v>
      </c>
      <c r="F585">
        <v>15230.6</v>
      </c>
      <c r="G585">
        <v>15274.3</v>
      </c>
      <c r="H585">
        <v>0</v>
      </c>
      <c r="I585" s="8">
        <f t="shared" si="37"/>
        <v>-8.1172520828869388E-3</v>
      </c>
      <c r="J585" s="8">
        <f t="shared" si="38"/>
        <v>-8.1503763473591961E-3</v>
      </c>
      <c r="K585" s="8">
        <f t="shared" si="35"/>
        <v>3.4640890339973751E-2</v>
      </c>
    </row>
    <row r="586" spans="1:11" x14ac:dyDescent="0.25">
      <c r="A586" t="str">
        <f t="shared" si="36"/>
        <v>52019</v>
      </c>
      <c r="B586" s="1">
        <v>43601</v>
      </c>
      <c r="C586" t="s">
        <v>375</v>
      </c>
      <c r="D586">
        <v>15290.5</v>
      </c>
      <c r="E586">
        <v>15571.45</v>
      </c>
      <c r="F586">
        <v>15237.85</v>
      </c>
      <c r="G586">
        <v>15530.95</v>
      </c>
      <c r="H586">
        <v>0</v>
      </c>
      <c r="I586" s="8">
        <f t="shared" si="37"/>
        <v>1.6802734004176978E-2</v>
      </c>
      <c r="J586" s="8">
        <f t="shared" si="38"/>
        <v>1.6663129721295033E-2</v>
      </c>
      <c r="K586" s="8">
        <f t="shared" si="35"/>
        <v>4.9236090703039803E-2</v>
      </c>
    </row>
    <row r="587" spans="1:11" x14ac:dyDescent="0.25">
      <c r="A587" t="str">
        <f t="shared" si="36"/>
        <v>52019</v>
      </c>
      <c r="B587" s="1">
        <v>43602</v>
      </c>
      <c r="C587" t="s">
        <v>376</v>
      </c>
      <c r="D587">
        <v>15509.6</v>
      </c>
      <c r="E587">
        <v>15595</v>
      </c>
      <c r="F587">
        <v>15364.9</v>
      </c>
      <c r="G587">
        <v>15538.65</v>
      </c>
      <c r="H587">
        <v>0</v>
      </c>
      <c r="I587" s="8">
        <f t="shared" si="37"/>
        <v>4.9578422440355041E-4</v>
      </c>
      <c r="J587" s="8">
        <f t="shared" si="38"/>
        <v>4.9566136401145216E-4</v>
      </c>
      <c r="K587" s="8">
        <f t="shared" si="35"/>
        <v>6.6032525735533643E-2</v>
      </c>
    </row>
    <row r="588" spans="1:11" x14ac:dyDescent="0.25">
      <c r="A588" t="str">
        <f t="shared" si="36"/>
        <v>52019</v>
      </c>
      <c r="B588" s="1">
        <v>43605</v>
      </c>
      <c r="C588" t="s">
        <v>377</v>
      </c>
      <c r="D588">
        <v>15991.45</v>
      </c>
      <c r="E588">
        <v>16272.25</v>
      </c>
      <c r="F588">
        <v>15944.15</v>
      </c>
      <c r="G588">
        <v>16240.4</v>
      </c>
      <c r="H588">
        <v>0</v>
      </c>
      <c r="I588" s="8">
        <f t="shared" si="37"/>
        <v>4.5161580961023073E-2</v>
      </c>
      <c r="J588" s="8">
        <f t="shared" si="38"/>
        <v>4.4171496393090003E-2</v>
      </c>
      <c r="K588" s="8">
        <f t="shared" si="35"/>
        <v>0.13291152485856395</v>
      </c>
    </row>
    <row r="589" spans="1:11" x14ac:dyDescent="0.25">
      <c r="A589" t="str">
        <f t="shared" si="36"/>
        <v>52019</v>
      </c>
      <c r="B589" s="1">
        <v>43606</v>
      </c>
      <c r="C589" t="s">
        <v>378</v>
      </c>
      <c r="D589">
        <v>16324.45</v>
      </c>
      <c r="E589">
        <v>16341.3</v>
      </c>
      <c r="F589">
        <v>16024.55</v>
      </c>
      <c r="G589">
        <v>16087.4</v>
      </c>
      <c r="H589">
        <v>0</v>
      </c>
      <c r="I589" s="8">
        <f t="shared" si="37"/>
        <v>-9.4209502229009034E-3</v>
      </c>
      <c r="J589" s="8">
        <f t="shared" si="38"/>
        <v>-9.4656080753673898E-3</v>
      </c>
      <c r="K589" s="8">
        <f t="shared" si="35"/>
        <v>0.10048602964062536</v>
      </c>
    </row>
    <row r="590" spans="1:11" x14ac:dyDescent="0.25">
      <c r="A590" t="str">
        <f t="shared" si="36"/>
        <v>52019</v>
      </c>
      <c r="B590" s="1">
        <v>43607</v>
      </c>
      <c r="C590" t="s">
        <v>379</v>
      </c>
      <c r="D590">
        <v>16143.15</v>
      </c>
      <c r="E590">
        <v>16261</v>
      </c>
      <c r="F590">
        <v>16097.65</v>
      </c>
      <c r="G590">
        <v>16171.95</v>
      </c>
      <c r="H590">
        <v>0</v>
      </c>
      <c r="I590" s="8">
        <f t="shared" si="37"/>
        <v>5.2556659248854665E-3</v>
      </c>
      <c r="J590" s="8">
        <f t="shared" si="38"/>
        <v>5.2419031134935557E-3</v>
      </c>
      <c r="K590" s="8">
        <f t="shared" si="35"/>
        <v>0.12042220343914978</v>
      </c>
    </row>
    <row r="591" spans="1:11" x14ac:dyDescent="0.25">
      <c r="A591" t="str">
        <f t="shared" si="36"/>
        <v>52019</v>
      </c>
      <c r="B591" s="1">
        <v>43608</v>
      </c>
      <c r="C591" t="s">
        <v>380</v>
      </c>
      <c r="D591">
        <v>16454.95</v>
      </c>
      <c r="E591">
        <v>16647.150000000001</v>
      </c>
      <c r="F591">
        <v>16072.65</v>
      </c>
      <c r="G591">
        <v>16129.1</v>
      </c>
      <c r="H591">
        <v>0</v>
      </c>
      <c r="I591" s="8">
        <f t="shared" si="37"/>
        <v>-2.6496495475190063E-3</v>
      </c>
      <c r="J591" s="8">
        <f t="shared" si="38"/>
        <v>-2.6531660819774801E-3</v>
      </c>
      <c r="K591" s="8">
        <f t="shared" si="35"/>
        <v>0.11921754487008251</v>
      </c>
    </row>
    <row r="592" spans="1:11" x14ac:dyDescent="0.25">
      <c r="A592" t="str">
        <f t="shared" si="36"/>
        <v>52019</v>
      </c>
      <c r="B592" s="1">
        <v>43609</v>
      </c>
      <c r="C592" t="s">
        <v>381</v>
      </c>
      <c r="D592">
        <v>16309.3</v>
      </c>
      <c r="E592">
        <v>16363.35</v>
      </c>
      <c r="F592">
        <v>16031.5</v>
      </c>
      <c r="G592">
        <v>16267.3</v>
      </c>
      <c r="H592">
        <v>0</v>
      </c>
      <c r="I592" s="8">
        <f t="shared" si="37"/>
        <v>8.5683640128710881E-3</v>
      </c>
      <c r="J592" s="8">
        <f t="shared" si="38"/>
        <v>8.531863931070631E-3</v>
      </c>
      <c r="K592" s="8">
        <f t="shared" si="35"/>
        <v>0.1081908693623268</v>
      </c>
    </row>
    <row r="593" spans="1:11" x14ac:dyDescent="0.25">
      <c r="A593" t="str">
        <f t="shared" si="36"/>
        <v>52019</v>
      </c>
      <c r="B593" s="1">
        <v>43612</v>
      </c>
      <c r="C593" t="s">
        <v>382</v>
      </c>
      <c r="D593">
        <v>16306.4</v>
      </c>
      <c r="E593">
        <v>16455.3</v>
      </c>
      <c r="F593">
        <v>16200.6</v>
      </c>
      <c r="G593">
        <v>16382.65</v>
      </c>
      <c r="H593">
        <v>0</v>
      </c>
      <c r="I593" s="8">
        <f t="shared" si="37"/>
        <v>7.0909124439826332E-3</v>
      </c>
      <c r="J593" s="8">
        <f t="shared" si="38"/>
        <v>7.0658901420062193E-3</v>
      </c>
      <c r="K593" s="8">
        <f t="shared" si="35"/>
        <v>0.10717520004325265</v>
      </c>
    </row>
    <row r="594" spans="1:11" x14ac:dyDescent="0.25">
      <c r="A594" t="str">
        <f t="shared" si="36"/>
        <v>52019</v>
      </c>
      <c r="B594" s="1">
        <v>43613</v>
      </c>
      <c r="C594" t="s">
        <v>383</v>
      </c>
      <c r="D594">
        <v>16455.900000000001</v>
      </c>
      <c r="E594">
        <v>16556.75</v>
      </c>
      <c r="F594">
        <v>16390.150000000001</v>
      </c>
      <c r="G594">
        <v>16487.95</v>
      </c>
      <c r="H594">
        <v>0</v>
      </c>
      <c r="I594" s="8">
        <f t="shared" si="37"/>
        <v>6.4275315654060972E-3</v>
      </c>
      <c r="J594" s="8">
        <f t="shared" si="38"/>
        <v>6.4069630737663237E-3</v>
      </c>
      <c r="K594" s="8">
        <f t="shared" si="35"/>
        <v>0.11578088996112235</v>
      </c>
    </row>
    <row r="595" spans="1:11" x14ac:dyDescent="0.25">
      <c r="A595" t="str">
        <f t="shared" si="36"/>
        <v>52019</v>
      </c>
      <c r="B595" s="1">
        <v>43614</v>
      </c>
      <c r="C595" t="s">
        <v>384</v>
      </c>
      <c r="D595">
        <v>16478.099999999999</v>
      </c>
      <c r="E595">
        <v>16506.8</v>
      </c>
      <c r="F595">
        <v>16278.15</v>
      </c>
      <c r="G595">
        <v>16325.95</v>
      </c>
      <c r="H595">
        <v>0</v>
      </c>
      <c r="I595" s="8">
        <f t="shared" si="37"/>
        <v>-9.8253573063964428E-3</v>
      </c>
      <c r="J595" s="8">
        <f t="shared" si="38"/>
        <v>-9.8739446501287832E-3</v>
      </c>
      <c r="K595" s="8">
        <f t="shared" si="35"/>
        <v>0.10587314865931274</v>
      </c>
    </row>
    <row r="596" spans="1:11" x14ac:dyDescent="0.25">
      <c r="A596" t="str">
        <f t="shared" si="36"/>
        <v>52019</v>
      </c>
      <c r="B596" s="1">
        <v>43615</v>
      </c>
      <c r="C596" t="s">
        <v>385</v>
      </c>
      <c r="D596">
        <v>16389.2</v>
      </c>
      <c r="E596">
        <v>16562.5</v>
      </c>
      <c r="F596">
        <v>16373.3</v>
      </c>
      <c r="G596">
        <v>16524.3</v>
      </c>
      <c r="H596">
        <v>0</v>
      </c>
      <c r="I596" s="8">
        <f t="shared" si="37"/>
        <v>1.2149369561955004E-2</v>
      </c>
      <c r="J596" s="8">
        <f t="shared" si="38"/>
        <v>1.2076158355082876E-2</v>
      </c>
      <c r="K596" s="8">
        <f t="shared" si="35"/>
        <v>0.12443860747434599</v>
      </c>
    </row>
    <row r="597" spans="1:11" x14ac:dyDescent="0.25">
      <c r="A597" t="str">
        <f t="shared" si="36"/>
        <v>52019</v>
      </c>
      <c r="B597" s="1">
        <v>43616</v>
      </c>
      <c r="C597" t="s">
        <v>386</v>
      </c>
      <c r="D597">
        <v>16607.8</v>
      </c>
      <c r="E597">
        <v>16701.45</v>
      </c>
      <c r="F597">
        <v>16423.150000000001</v>
      </c>
      <c r="G597">
        <v>16560.349999999999</v>
      </c>
      <c r="H597">
        <v>0</v>
      </c>
      <c r="I597" s="8">
        <f t="shared" si="37"/>
        <v>2.1816355307031632E-3</v>
      </c>
      <c r="J597" s="8">
        <f t="shared" si="38"/>
        <v>2.1792592194445218E-3</v>
      </c>
      <c r="K597" s="8">
        <f t="shared" si="35"/>
        <v>0.12739421541896845</v>
      </c>
    </row>
    <row r="598" spans="1:11" x14ac:dyDescent="0.25">
      <c r="A598" t="str">
        <f t="shared" si="36"/>
        <v>62019</v>
      </c>
      <c r="B598" s="1">
        <v>43619</v>
      </c>
      <c r="C598" s="10">
        <v>43530.645833333336</v>
      </c>
      <c r="D598">
        <v>16696.25</v>
      </c>
      <c r="E598">
        <v>16808.8</v>
      </c>
      <c r="F598">
        <v>16572.8</v>
      </c>
      <c r="G598">
        <v>16760.150000000001</v>
      </c>
      <c r="H598">
        <v>0</v>
      </c>
      <c r="I598" s="8">
        <f t="shared" si="37"/>
        <v>1.2064962395118561E-2</v>
      </c>
      <c r="J598" s="8">
        <f t="shared" si="38"/>
        <v>1.199276089508786E-2</v>
      </c>
      <c r="K598" s="8">
        <f t="shared" si="35"/>
        <v>0.13102878159057951</v>
      </c>
    </row>
    <row r="599" spans="1:11" x14ac:dyDescent="0.25">
      <c r="A599" t="str">
        <f t="shared" si="36"/>
        <v>62019</v>
      </c>
      <c r="B599" s="1">
        <v>43620</v>
      </c>
      <c r="C599" s="10">
        <v>43561.645833333336</v>
      </c>
      <c r="D599">
        <v>16740.05</v>
      </c>
      <c r="E599">
        <v>16841.849999999999</v>
      </c>
      <c r="F599">
        <v>16622.400000000001</v>
      </c>
      <c r="G599">
        <v>16642.05</v>
      </c>
      <c r="H599">
        <v>0</v>
      </c>
      <c r="I599" s="8">
        <f t="shared" si="37"/>
        <v>-7.0464763143529563E-3</v>
      </c>
      <c r="J599" s="8">
        <f t="shared" si="38"/>
        <v>-7.0714199742497111E-3</v>
      </c>
      <c r="K599" s="8">
        <f t="shared" si="35"/>
        <v>0.1200846690470021</v>
      </c>
    </row>
    <row r="600" spans="1:11" x14ac:dyDescent="0.25">
      <c r="A600" t="str">
        <f t="shared" si="36"/>
        <v>62019</v>
      </c>
      <c r="B600" s="1">
        <v>43622</v>
      </c>
      <c r="C600" s="10">
        <v>43622.645833333336</v>
      </c>
      <c r="D600">
        <v>16656.25</v>
      </c>
      <c r="E600">
        <v>16667.150000000001</v>
      </c>
      <c r="F600">
        <v>16269.5</v>
      </c>
      <c r="G600">
        <v>16334.55</v>
      </c>
      <c r="H600">
        <v>0</v>
      </c>
      <c r="I600" s="8">
        <f t="shared" si="37"/>
        <v>-1.8477290958746062E-2</v>
      </c>
      <c r="J600" s="8">
        <f t="shared" si="38"/>
        <v>-1.8650128456097537E-2</v>
      </c>
      <c r="K600" s="8">
        <f t="shared" si="35"/>
        <v>8.1142528096580735E-2</v>
      </c>
    </row>
    <row r="601" spans="1:11" x14ac:dyDescent="0.25">
      <c r="A601" t="str">
        <f t="shared" si="36"/>
        <v>62019</v>
      </c>
      <c r="B601" s="1">
        <v>43623</v>
      </c>
      <c r="C601" s="10">
        <v>43652.645833333336</v>
      </c>
      <c r="D601">
        <v>16319.7</v>
      </c>
      <c r="E601">
        <v>16336.95</v>
      </c>
      <c r="F601">
        <v>16156.65</v>
      </c>
      <c r="G601">
        <v>16231.15</v>
      </c>
      <c r="H601">
        <v>0</v>
      </c>
      <c r="I601" s="8">
        <f t="shared" si="37"/>
        <v>-6.330140714008059E-3</v>
      </c>
      <c r="J601" s="8">
        <f t="shared" si="38"/>
        <v>-6.3502610092134809E-3</v>
      </c>
      <c r="K601" s="8">
        <f t="shared" si="35"/>
        <v>5.6505706874611539E-2</v>
      </c>
    </row>
    <row r="602" spans="1:11" x14ac:dyDescent="0.25">
      <c r="A602" t="str">
        <f t="shared" si="36"/>
        <v>62019</v>
      </c>
      <c r="B602" s="1">
        <v>43626</v>
      </c>
      <c r="C602" s="10">
        <v>43744.645833333336</v>
      </c>
      <c r="D602">
        <v>16268.65</v>
      </c>
      <c r="E602">
        <v>16296.9</v>
      </c>
      <c r="F602">
        <v>16039.2</v>
      </c>
      <c r="G602">
        <v>16125.05</v>
      </c>
      <c r="H602">
        <v>0</v>
      </c>
      <c r="I602" s="8">
        <f t="shared" si="37"/>
        <v>-6.5368134728592819E-3</v>
      </c>
      <c r="J602" s="8">
        <f t="shared" si="38"/>
        <v>-6.5582720027721492E-3</v>
      </c>
      <c r="K602" s="8">
        <f t="shared" si="35"/>
        <v>5.0604788136835444E-2</v>
      </c>
    </row>
    <row r="603" spans="1:11" x14ac:dyDescent="0.25">
      <c r="A603" t="str">
        <f t="shared" si="36"/>
        <v>62019</v>
      </c>
      <c r="B603" s="1">
        <v>43627</v>
      </c>
      <c r="C603" s="10">
        <v>43775.645833333336</v>
      </c>
      <c r="D603">
        <v>16158.1</v>
      </c>
      <c r="E603">
        <v>16261.8</v>
      </c>
      <c r="F603">
        <v>16114.85</v>
      </c>
      <c r="G603">
        <v>16230.15</v>
      </c>
      <c r="H603">
        <v>0</v>
      </c>
      <c r="I603" s="8">
        <f t="shared" si="37"/>
        <v>6.5178092471032123E-3</v>
      </c>
      <c r="J603" s="8">
        <f t="shared" si="38"/>
        <v>6.4966601757464534E-3</v>
      </c>
      <c r="K603" s="8">
        <f t="shared" si="35"/>
        <v>5.7163142279295753E-2</v>
      </c>
    </row>
    <row r="604" spans="1:11" x14ac:dyDescent="0.25">
      <c r="A604" t="str">
        <f t="shared" si="36"/>
        <v>62019</v>
      </c>
      <c r="B604" s="1">
        <v>43628</v>
      </c>
      <c r="C604" s="10">
        <v>43805.645833333336</v>
      </c>
      <c r="D604">
        <v>16237</v>
      </c>
      <c r="E604">
        <v>16303.5</v>
      </c>
      <c r="F604">
        <v>16138.95</v>
      </c>
      <c r="G604">
        <v>16202</v>
      </c>
      <c r="H604">
        <v>0</v>
      </c>
      <c r="I604" s="8">
        <f t="shared" si="37"/>
        <v>-1.7344263608161103E-3</v>
      </c>
      <c r="J604" s="8">
        <f t="shared" si="38"/>
        <v>-1.7359322196694163E-3</v>
      </c>
      <c r="K604" s="8">
        <f t="shared" si="35"/>
        <v>2.7331898205244398E-2</v>
      </c>
    </row>
    <row r="605" spans="1:11" x14ac:dyDescent="0.25">
      <c r="A605" t="str">
        <f t="shared" si="36"/>
        <v>62019</v>
      </c>
      <c r="B605" s="1">
        <v>43629</v>
      </c>
      <c r="C605" t="s">
        <v>387</v>
      </c>
      <c r="D605">
        <v>16200.55</v>
      </c>
      <c r="E605">
        <v>16240.75</v>
      </c>
      <c r="F605">
        <v>16061.7</v>
      </c>
      <c r="G605">
        <v>16209.15</v>
      </c>
      <c r="H605">
        <v>0</v>
      </c>
      <c r="I605" s="8">
        <f t="shared" si="37"/>
        <v>4.4130354277238659E-4</v>
      </c>
      <c r="J605" s="8">
        <f t="shared" si="38"/>
        <v>4.4120619700225737E-4</v>
      </c>
      <c r="K605" s="8">
        <f t="shared" si="35"/>
        <v>1.3632540498963452E-2</v>
      </c>
    </row>
    <row r="606" spans="1:11" x14ac:dyDescent="0.25">
      <c r="A606" t="str">
        <f t="shared" si="36"/>
        <v>62019</v>
      </c>
      <c r="B606" s="1">
        <v>43630</v>
      </c>
      <c r="C606" t="s">
        <v>388</v>
      </c>
      <c r="D606">
        <v>16174.75</v>
      </c>
      <c r="E606">
        <v>16222.3</v>
      </c>
      <c r="F606">
        <v>16090.9</v>
      </c>
      <c r="G606">
        <v>16117.4</v>
      </c>
      <c r="H606">
        <v>0</v>
      </c>
      <c r="I606" s="8">
        <f t="shared" si="37"/>
        <v>-5.6603831786367076E-3</v>
      </c>
      <c r="J606" s="8">
        <f t="shared" si="38"/>
        <v>-5.676463858083112E-3</v>
      </c>
      <c r="K606" s="8">
        <f t="shared" si="35"/>
        <v>4.7126881023327183E-3</v>
      </c>
    </row>
    <row r="607" spans="1:11" x14ac:dyDescent="0.25">
      <c r="A607" t="str">
        <f t="shared" si="36"/>
        <v>62019</v>
      </c>
      <c r="B607" s="1">
        <v>43633</v>
      </c>
      <c r="C607" t="s">
        <v>389</v>
      </c>
      <c r="D607">
        <v>16150.35</v>
      </c>
      <c r="E607">
        <v>16150.6</v>
      </c>
      <c r="F607">
        <v>15748.3</v>
      </c>
      <c r="G607">
        <v>15790.05</v>
      </c>
      <c r="H607">
        <v>0</v>
      </c>
      <c r="I607" s="8">
        <f t="shared" si="37"/>
        <v>-2.0310347822849906E-2</v>
      </c>
      <c r="J607" s="8">
        <f t="shared" si="38"/>
        <v>-2.0519438923566967E-2</v>
      </c>
      <c r="K607" s="8">
        <f t="shared" si="35"/>
        <v>-1.4658392069866188E-2</v>
      </c>
    </row>
    <row r="608" spans="1:11" x14ac:dyDescent="0.25">
      <c r="A608" t="str">
        <f t="shared" si="36"/>
        <v>62019</v>
      </c>
      <c r="B608" s="1">
        <v>43634</v>
      </c>
      <c r="C608" t="s">
        <v>390</v>
      </c>
      <c r="D608">
        <v>15787.4</v>
      </c>
      <c r="E608">
        <v>15937.85</v>
      </c>
      <c r="F608">
        <v>15742.65</v>
      </c>
      <c r="G608">
        <v>15904.2</v>
      </c>
      <c r="H608">
        <v>0</v>
      </c>
      <c r="I608" s="8">
        <f t="shared" si="37"/>
        <v>7.2292361328811783E-3</v>
      </c>
      <c r="J608" s="8">
        <f t="shared" si="38"/>
        <v>7.2032304642123965E-3</v>
      </c>
      <c r="K608" s="8">
        <f t="shared" si="35"/>
        <v>-8.8494472211488873E-3</v>
      </c>
    </row>
    <row r="609" spans="1:11" x14ac:dyDescent="0.25">
      <c r="A609" t="str">
        <f t="shared" si="36"/>
        <v>62019</v>
      </c>
      <c r="B609" s="1">
        <v>43635</v>
      </c>
      <c r="C609" t="s">
        <v>391</v>
      </c>
      <c r="D609">
        <v>15937.5</v>
      </c>
      <c r="E609">
        <v>16034.1</v>
      </c>
      <c r="F609">
        <v>15757.8</v>
      </c>
      <c r="G609">
        <v>15887.15</v>
      </c>
      <c r="H609">
        <v>0</v>
      </c>
      <c r="I609" s="8">
        <f t="shared" si="37"/>
        <v>-1.072043862627603E-3</v>
      </c>
      <c r="J609" s="8">
        <f t="shared" si="38"/>
        <v>-1.0726189126719528E-3</v>
      </c>
      <c r="K609" s="8">
        <f t="shared" si="35"/>
        <v>-2.7306428949712691E-2</v>
      </c>
    </row>
    <row r="610" spans="1:11" x14ac:dyDescent="0.25">
      <c r="A610" t="str">
        <f t="shared" si="36"/>
        <v>62019</v>
      </c>
      <c r="B610" s="1">
        <v>43636</v>
      </c>
      <c r="C610" t="s">
        <v>392</v>
      </c>
      <c r="D610">
        <v>15886.3</v>
      </c>
      <c r="E610">
        <v>16111.05</v>
      </c>
      <c r="F610">
        <v>15885.95</v>
      </c>
      <c r="G610">
        <v>16081</v>
      </c>
      <c r="H610">
        <v>0</v>
      </c>
      <c r="I610" s="8">
        <f t="shared" si="37"/>
        <v>1.2201685009583185E-2</v>
      </c>
      <c r="J610" s="8">
        <f t="shared" si="38"/>
        <v>1.2127844496695208E-2</v>
      </c>
      <c r="K610" s="8">
        <f t="shared" si="35"/>
        <v>-3.0908948469015818E-2</v>
      </c>
    </row>
    <row r="611" spans="1:11" x14ac:dyDescent="0.25">
      <c r="A611" t="str">
        <f t="shared" si="36"/>
        <v>62019</v>
      </c>
      <c r="B611" s="1">
        <v>43637</v>
      </c>
      <c r="C611" t="s">
        <v>393</v>
      </c>
      <c r="D611">
        <v>16019.65</v>
      </c>
      <c r="E611">
        <v>16053.4</v>
      </c>
      <c r="F611">
        <v>15899.95</v>
      </c>
      <c r="G611">
        <v>15951.4</v>
      </c>
      <c r="H611">
        <v>0</v>
      </c>
      <c r="I611" s="8">
        <f t="shared" si="37"/>
        <v>-8.0592002984889444E-3</v>
      </c>
      <c r="J611" s="8">
        <f t="shared" si="38"/>
        <v>-8.0918511983012077E-3</v>
      </c>
      <c r="K611" s="8">
        <f t="shared" si="35"/>
        <v>-2.7199434056618843E-2</v>
      </c>
    </row>
    <row r="612" spans="1:11" x14ac:dyDescent="0.25">
      <c r="A612" t="str">
        <f t="shared" si="36"/>
        <v>62019</v>
      </c>
      <c r="B612" s="1">
        <v>43640</v>
      </c>
      <c r="C612" t="s">
        <v>394</v>
      </c>
      <c r="D612">
        <v>15909.15</v>
      </c>
      <c r="E612">
        <v>15955.5</v>
      </c>
      <c r="F612">
        <v>15718.95</v>
      </c>
      <c r="G612">
        <v>15782.1</v>
      </c>
      <c r="H612">
        <v>0</v>
      </c>
      <c r="I612" s="8">
        <f t="shared" si="37"/>
        <v>-1.0613488471231336E-2</v>
      </c>
      <c r="J612" s="8">
        <f t="shared" si="38"/>
        <v>-1.0670213262286874E-2</v>
      </c>
      <c r="K612" s="8">
        <f t="shared" si="35"/>
        <v>-2.2919336565071169E-2</v>
      </c>
    </row>
    <row r="613" spans="1:11" x14ac:dyDescent="0.25">
      <c r="A613" t="str">
        <f t="shared" si="36"/>
        <v>62019</v>
      </c>
      <c r="B613" s="1">
        <v>43641</v>
      </c>
      <c r="C613" t="s">
        <v>395</v>
      </c>
      <c r="D613">
        <v>15766</v>
      </c>
      <c r="E613">
        <v>16129.15</v>
      </c>
      <c r="F613">
        <v>15751.8</v>
      </c>
      <c r="G613">
        <v>16092.85</v>
      </c>
      <c r="H613">
        <v>0</v>
      </c>
      <c r="I613" s="8">
        <f t="shared" si="37"/>
        <v>1.9690028576678564E-2</v>
      </c>
      <c r="J613" s="8">
        <f t="shared" si="38"/>
        <v>1.9498687558901117E-2</v>
      </c>
      <c r="K613" s="8">
        <f t="shared" si="35"/>
        <v>-3.4091120207581094E-3</v>
      </c>
    </row>
    <row r="614" spans="1:11" x14ac:dyDescent="0.25">
      <c r="A614" t="str">
        <f t="shared" si="36"/>
        <v>62019</v>
      </c>
      <c r="B614" s="1">
        <v>43642</v>
      </c>
      <c r="C614" t="s">
        <v>396</v>
      </c>
      <c r="D614">
        <v>16054.8</v>
      </c>
      <c r="E614">
        <v>16228.6</v>
      </c>
      <c r="F614">
        <v>16033.4</v>
      </c>
      <c r="G614">
        <v>16191.9</v>
      </c>
      <c r="H614">
        <v>0</v>
      </c>
      <c r="I614" s="8">
        <f t="shared" si="37"/>
        <v>6.154907303554058E-3</v>
      </c>
      <c r="J614" s="8">
        <f t="shared" si="38"/>
        <v>6.1360432264553769E-3</v>
      </c>
      <c r="K614" s="8">
        <f t="shared" si="35"/>
        <v>-2.1125845230286489E-2</v>
      </c>
    </row>
    <row r="615" spans="1:11" x14ac:dyDescent="0.25">
      <c r="A615" t="str">
        <f t="shared" si="36"/>
        <v>62019</v>
      </c>
      <c r="B615" s="1">
        <v>43643</v>
      </c>
      <c r="C615" t="s">
        <v>397</v>
      </c>
      <c r="D615">
        <v>16192.95</v>
      </c>
      <c r="E615">
        <v>16260.6</v>
      </c>
      <c r="F615">
        <v>16106.3</v>
      </c>
      <c r="G615">
        <v>16142</v>
      </c>
      <c r="H615">
        <v>0</v>
      </c>
      <c r="I615" s="8">
        <f t="shared" si="37"/>
        <v>-3.0817878074839156E-3</v>
      </c>
      <c r="J615" s="8">
        <f t="shared" si="38"/>
        <v>-3.0865462944754309E-3</v>
      </c>
      <c r="K615" s="8">
        <f t="shared" si="35"/>
        <v>-1.1518606744600479E-2</v>
      </c>
    </row>
    <row r="616" spans="1:11" x14ac:dyDescent="0.25">
      <c r="A616" t="str">
        <f t="shared" si="36"/>
        <v>62019</v>
      </c>
      <c r="B616" s="1">
        <v>43644</v>
      </c>
      <c r="C616" t="s">
        <v>398</v>
      </c>
      <c r="D616">
        <v>16151.5</v>
      </c>
      <c r="E616">
        <v>16204.75</v>
      </c>
      <c r="F616">
        <v>16024.1</v>
      </c>
      <c r="G616">
        <v>16046.8</v>
      </c>
      <c r="H616">
        <v>0</v>
      </c>
      <c r="I616" s="8">
        <f t="shared" si="37"/>
        <v>-5.897658282740692E-3</v>
      </c>
      <c r="J616" s="8">
        <f t="shared" si="38"/>
        <v>-5.9151181514219544E-3</v>
      </c>
      <c r="K616" s="8">
        <f t="shared" si="35"/>
        <v>-2.0610943269553594E-2</v>
      </c>
    </row>
    <row r="617" spans="1:11" x14ac:dyDescent="0.25">
      <c r="A617" t="str">
        <f t="shared" si="36"/>
        <v>72019</v>
      </c>
      <c r="B617" s="1">
        <v>43647</v>
      </c>
      <c r="C617" s="10">
        <v>43472.645833333336</v>
      </c>
      <c r="D617">
        <v>16078.5</v>
      </c>
      <c r="E617">
        <v>16178</v>
      </c>
      <c r="F617">
        <v>15881.05</v>
      </c>
      <c r="G617">
        <v>15964</v>
      </c>
      <c r="H617">
        <v>0</v>
      </c>
      <c r="I617" s="8">
        <f t="shared" si="37"/>
        <v>-5.1599072712316119E-3</v>
      </c>
      <c r="J617" s="8">
        <f t="shared" si="38"/>
        <v>-5.1732655642711583E-3</v>
      </c>
      <c r="K617" s="8">
        <f t="shared" si="35"/>
        <v>-3.1545741324921162E-2</v>
      </c>
    </row>
    <row r="618" spans="1:11" x14ac:dyDescent="0.25">
      <c r="A618" t="str">
        <f t="shared" si="36"/>
        <v>72019</v>
      </c>
      <c r="B618" s="1">
        <v>43648</v>
      </c>
      <c r="C618" s="10">
        <v>43503.645833333336</v>
      </c>
      <c r="D618">
        <v>16046.05</v>
      </c>
      <c r="E618">
        <v>16136</v>
      </c>
      <c r="F618">
        <v>15994.05</v>
      </c>
      <c r="G618">
        <v>16121.7</v>
      </c>
      <c r="H618">
        <v>0</v>
      </c>
      <c r="I618" s="8">
        <f t="shared" si="37"/>
        <v>9.8784765722876866E-3</v>
      </c>
      <c r="J618" s="8">
        <f t="shared" si="38"/>
        <v>9.8300033886513441E-3</v>
      </c>
      <c r="K618" s="8">
        <f t="shared" si="35"/>
        <v>-2.4824432467744462E-2</v>
      </c>
    </row>
    <row r="619" spans="1:11" x14ac:dyDescent="0.25">
      <c r="A619" t="str">
        <f t="shared" si="36"/>
        <v>72019</v>
      </c>
      <c r="B619" s="1">
        <v>43649</v>
      </c>
      <c r="C619" s="10">
        <v>43531.645833333336</v>
      </c>
      <c r="D619">
        <v>16201.75</v>
      </c>
      <c r="E619">
        <v>16209.75</v>
      </c>
      <c r="F619">
        <v>16124.3</v>
      </c>
      <c r="G619">
        <v>16175.5</v>
      </c>
      <c r="H619">
        <v>0</v>
      </c>
      <c r="I619" s="8">
        <f t="shared" si="37"/>
        <v>3.3371170534124417E-3</v>
      </c>
      <c r="J619" s="8">
        <f t="shared" si="38"/>
        <v>3.331561235144409E-3</v>
      </c>
      <c r="K619" s="8">
        <f t="shared" si="35"/>
        <v>-2.106091324477255E-2</v>
      </c>
    </row>
    <row r="620" spans="1:11" x14ac:dyDescent="0.25">
      <c r="A620" t="str">
        <f t="shared" si="36"/>
        <v>72019</v>
      </c>
      <c r="B620" s="1">
        <v>43650</v>
      </c>
      <c r="C620" s="10">
        <v>43562.645833333336</v>
      </c>
      <c r="D620">
        <v>16199.2</v>
      </c>
      <c r="E620">
        <v>16237.3</v>
      </c>
      <c r="F620">
        <v>16162</v>
      </c>
      <c r="G620">
        <v>16203.65</v>
      </c>
      <c r="H620">
        <v>0</v>
      </c>
      <c r="I620" s="8">
        <f t="shared" si="37"/>
        <v>1.7402862353559367E-3</v>
      </c>
      <c r="J620" s="8">
        <f t="shared" si="38"/>
        <v>1.73877369185029E-3</v>
      </c>
      <c r="K620" s="8">
        <f t="shared" si="35"/>
        <v>-3.3828146863361663E-3</v>
      </c>
    </row>
    <row r="621" spans="1:11" x14ac:dyDescent="0.25">
      <c r="A621" t="str">
        <f t="shared" si="36"/>
        <v>72019</v>
      </c>
      <c r="B621" s="1">
        <v>43651</v>
      </c>
      <c r="C621" s="10">
        <v>43592.645833333336</v>
      </c>
      <c r="D621">
        <v>16211.75</v>
      </c>
      <c r="E621">
        <v>16247.1</v>
      </c>
      <c r="F621">
        <v>15772.15</v>
      </c>
      <c r="G621">
        <v>15818.4</v>
      </c>
      <c r="H621">
        <v>0</v>
      </c>
      <c r="I621" s="8">
        <f t="shared" si="37"/>
        <v>-2.3775507370253024E-2</v>
      </c>
      <c r="J621" s="8">
        <f t="shared" si="38"/>
        <v>-2.4062706077650747E-2</v>
      </c>
      <c r="K621" s="8">
        <f t="shared" si="35"/>
        <v>-1.8746200513628519E-2</v>
      </c>
    </row>
    <row r="622" spans="1:11" x14ac:dyDescent="0.25">
      <c r="A622" t="str">
        <f t="shared" si="36"/>
        <v>72019</v>
      </c>
      <c r="B622" s="1">
        <v>43654</v>
      </c>
      <c r="C622" s="10">
        <v>43684.645833333336</v>
      </c>
      <c r="D622">
        <v>15753.3</v>
      </c>
      <c r="E622">
        <v>15753.3</v>
      </c>
      <c r="F622">
        <v>15323.7</v>
      </c>
      <c r="G622">
        <v>15379.95</v>
      </c>
      <c r="H622">
        <v>0</v>
      </c>
      <c r="I622" s="8">
        <f t="shared" si="37"/>
        <v>-2.7717721134880802E-2</v>
      </c>
      <c r="J622" s="8">
        <f t="shared" si="38"/>
        <v>-2.8109106327561788E-2</v>
      </c>
      <c r="K622" s="8">
        <f t="shared" si="35"/>
        <v>-4.8944281434255998E-2</v>
      </c>
    </row>
    <row r="623" spans="1:11" x14ac:dyDescent="0.25">
      <c r="A623" t="str">
        <f t="shared" si="36"/>
        <v>72019</v>
      </c>
      <c r="B623" s="1">
        <v>43655</v>
      </c>
      <c r="C623" s="10">
        <v>43715.645833333336</v>
      </c>
      <c r="D623">
        <v>15350</v>
      </c>
      <c r="E623">
        <v>15625.45</v>
      </c>
      <c r="F623">
        <v>15326.85</v>
      </c>
      <c r="G623">
        <v>15587.5</v>
      </c>
      <c r="H623">
        <v>0</v>
      </c>
      <c r="I623" s="8">
        <f t="shared" si="37"/>
        <v>1.3494842310930677E-2</v>
      </c>
      <c r="J623" s="8">
        <f t="shared" si="38"/>
        <v>1.3404597909233831E-2</v>
      </c>
      <c r="K623" s="8">
        <f t="shared" si="35"/>
        <v>-2.4763346743163162E-2</v>
      </c>
    </row>
    <row r="624" spans="1:11" x14ac:dyDescent="0.25">
      <c r="A624" t="str">
        <f t="shared" si="36"/>
        <v>72019</v>
      </c>
      <c r="B624" s="1">
        <v>43656</v>
      </c>
      <c r="C624" s="10">
        <v>43745.645833333336</v>
      </c>
      <c r="D624">
        <v>15574.5</v>
      </c>
      <c r="E624">
        <v>15669.3</v>
      </c>
      <c r="F624">
        <v>15376.95</v>
      </c>
      <c r="G624">
        <v>15466.4</v>
      </c>
      <c r="H624">
        <v>0</v>
      </c>
      <c r="I624" s="8">
        <f t="shared" si="37"/>
        <v>-7.7690457097032706E-3</v>
      </c>
      <c r="J624" s="8">
        <f t="shared" si="38"/>
        <v>-7.7993819699995652E-3</v>
      </c>
      <c r="K624" s="8">
        <f t="shared" si="35"/>
        <v>-3.7455852379692844E-2</v>
      </c>
    </row>
    <row r="625" spans="1:11" x14ac:dyDescent="0.25">
      <c r="A625" t="str">
        <f t="shared" si="36"/>
        <v>72019</v>
      </c>
      <c r="B625" s="1">
        <v>43657</v>
      </c>
      <c r="C625" s="10">
        <v>43776.645833333336</v>
      </c>
      <c r="D625">
        <v>15537.25</v>
      </c>
      <c r="E625">
        <v>15627.55</v>
      </c>
      <c r="F625">
        <v>15507.35</v>
      </c>
      <c r="G625">
        <v>15547.65</v>
      </c>
      <c r="H625">
        <v>0</v>
      </c>
      <c r="I625" s="8">
        <f t="shared" si="37"/>
        <v>5.2533233331608642E-3</v>
      </c>
      <c r="J625" s="8">
        <f t="shared" si="38"/>
        <v>5.2395727665643758E-3</v>
      </c>
      <c r="K625" s="8">
        <f t="shared" si="35"/>
        <v>-2.9902850832038586E-2</v>
      </c>
    </row>
    <row r="626" spans="1:11" x14ac:dyDescent="0.25">
      <c r="A626" t="str">
        <f t="shared" si="36"/>
        <v>72019</v>
      </c>
      <c r="B626" s="1">
        <v>43658</v>
      </c>
      <c r="C626" s="10">
        <v>43806.645833333336</v>
      </c>
      <c r="D626">
        <v>15575.05</v>
      </c>
      <c r="E626">
        <v>15649.15</v>
      </c>
      <c r="F626">
        <v>15370.55</v>
      </c>
      <c r="G626">
        <v>15432.55</v>
      </c>
      <c r="H626">
        <v>0</v>
      </c>
      <c r="I626" s="8">
        <f t="shared" si="37"/>
        <v>-7.4030480490621109E-3</v>
      </c>
      <c r="J626" s="8">
        <f t="shared" si="38"/>
        <v>-7.4305866062921427E-3</v>
      </c>
      <c r="K626" s="8">
        <f t="shared" si="35"/>
        <v>-4.4965236414044041E-2</v>
      </c>
    </row>
    <row r="627" spans="1:11" x14ac:dyDescent="0.25">
      <c r="A627" t="str">
        <f t="shared" si="36"/>
        <v>72019</v>
      </c>
      <c r="B627" s="1">
        <v>43661</v>
      </c>
      <c r="C627" t="s">
        <v>399</v>
      </c>
      <c r="D627">
        <v>15448.2</v>
      </c>
      <c r="E627">
        <v>15509.9</v>
      </c>
      <c r="F627">
        <v>15349.5</v>
      </c>
      <c r="G627">
        <v>15411.5</v>
      </c>
      <c r="H627">
        <v>0</v>
      </c>
      <c r="I627" s="8">
        <f t="shared" si="37"/>
        <v>-1.3640001166365101E-3</v>
      </c>
      <c r="J627" s="8">
        <f t="shared" si="38"/>
        <v>-1.364931211567641E-3</v>
      </c>
      <c r="K627" s="8">
        <f t="shared" si="35"/>
        <v>-4.6893118322794081E-2</v>
      </c>
    </row>
    <row r="628" spans="1:11" x14ac:dyDescent="0.25">
      <c r="A628" t="str">
        <f t="shared" si="36"/>
        <v>72019</v>
      </c>
      <c r="B628" s="1">
        <v>43662</v>
      </c>
      <c r="C628" t="s">
        <v>400</v>
      </c>
      <c r="D628">
        <v>15458.3</v>
      </c>
      <c r="E628">
        <v>15674.95</v>
      </c>
      <c r="F628">
        <v>15447.75</v>
      </c>
      <c r="G628">
        <v>15650.15</v>
      </c>
      <c r="H628">
        <v>0</v>
      </c>
      <c r="I628" s="8">
        <f t="shared" si="37"/>
        <v>1.5485189631119667E-2</v>
      </c>
      <c r="J628" s="8">
        <f t="shared" si="38"/>
        <v>1.5366517619906555E-2</v>
      </c>
      <c r="K628" s="8">
        <f t="shared" si="35"/>
        <v>-2.8812649516427924E-2</v>
      </c>
    </row>
    <row r="629" spans="1:11" x14ac:dyDescent="0.25">
      <c r="A629" t="str">
        <f t="shared" si="36"/>
        <v>72019</v>
      </c>
      <c r="B629" s="1">
        <v>43663</v>
      </c>
      <c r="C629" t="s">
        <v>401</v>
      </c>
      <c r="D629">
        <v>15700.2</v>
      </c>
      <c r="E629">
        <v>15717.45</v>
      </c>
      <c r="F629">
        <v>15490.35</v>
      </c>
      <c r="G629">
        <v>15518</v>
      </c>
      <c r="H629">
        <v>0</v>
      </c>
      <c r="I629" s="8">
        <f t="shared" si="37"/>
        <v>-8.4440085238799423E-3</v>
      </c>
      <c r="J629" s="8">
        <f t="shared" si="38"/>
        <v>-8.4798611330088175E-3</v>
      </c>
      <c r="K629" s="8">
        <f t="shared" si="35"/>
        <v>-4.2308629899003525E-2</v>
      </c>
    </row>
    <row r="630" spans="1:11" x14ac:dyDescent="0.25">
      <c r="A630" t="str">
        <f t="shared" si="36"/>
        <v>72019</v>
      </c>
      <c r="B630" s="1">
        <v>43664</v>
      </c>
      <c r="C630" t="s">
        <v>402</v>
      </c>
      <c r="D630">
        <v>15553.4</v>
      </c>
      <c r="E630">
        <v>15571.75</v>
      </c>
      <c r="F630">
        <v>15235.85</v>
      </c>
      <c r="G630">
        <v>15256.65</v>
      </c>
      <c r="H630">
        <v>0</v>
      </c>
      <c r="I630" s="8">
        <f t="shared" si="37"/>
        <v>-1.6841732181982261E-2</v>
      </c>
      <c r="J630" s="8">
        <f t="shared" si="38"/>
        <v>-1.6985166893528046E-2</v>
      </c>
      <c r="K630" s="8">
        <f t="shared" si="35"/>
        <v>-6.6086158084015634E-2</v>
      </c>
    </row>
    <row r="631" spans="1:11" x14ac:dyDescent="0.25">
      <c r="A631" t="str">
        <f t="shared" si="36"/>
        <v>72019</v>
      </c>
      <c r="B631" s="1">
        <v>43665</v>
      </c>
      <c r="C631" t="s">
        <v>403</v>
      </c>
      <c r="D631">
        <v>15341.45</v>
      </c>
      <c r="E631">
        <v>15372.45</v>
      </c>
      <c r="F631">
        <v>15146.3</v>
      </c>
      <c r="G631">
        <v>15223.1</v>
      </c>
      <c r="H631">
        <v>0</v>
      </c>
      <c r="I631" s="8">
        <f t="shared" si="37"/>
        <v>-2.1990410738923494E-3</v>
      </c>
      <c r="J631" s="8">
        <f t="shared" si="38"/>
        <v>-2.2014625152653356E-3</v>
      </c>
      <c r="K631" s="8">
        <f t="shared" si="35"/>
        <v>-4.5232465520593457E-2</v>
      </c>
    </row>
    <row r="632" spans="1:11" x14ac:dyDescent="0.25">
      <c r="A632" t="str">
        <f t="shared" si="36"/>
        <v>72019</v>
      </c>
      <c r="B632" s="1">
        <v>43668</v>
      </c>
      <c r="C632" t="s">
        <v>404</v>
      </c>
      <c r="D632">
        <v>15215.15</v>
      </c>
      <c r="E632">
        <v>15457.9</v>
      </c>
      <c r="F632">
        <v>15026.75</v>
      </c>
      <c r="G632">
        <v>15419.9</v>
      </c>
      <c r="H632">
        <v>0</v>
      </c>
      <c r="I632" s="8">
        <f t="shared" si="37"/>
        <v>1.2927721686121663E-2</v>
      </c>
      <c r="J632" s="8">
        <f t="shared" si="38"/>
        <v>1.284487196688483E-2</v>
      </c>
      <c r="K632" s="8">
        <f t="shared" si="35"/>
        <v>-3.690032290905465E-2</v>
      </c>
    </row>
    <row r="633" spans="1:11" x14ac:dyDescent="0.25">
      <c r="A633" t="str">
        <f t="shared" si="36"/>
        <v>72019</v>
      </c>
      <c r="B633" s="1">
        <v>43669</v>
      </c>
      <c r="C633" t="s">
        <v>405</v>
      </c>
      <c r="D633">
        <v>15448.5</v>
      </c>
      <c r="E633">
        <v>15574.1</v>
      </c>
      <c r="F633">
        <v>15349.6</v>
      </c>
      <c r="G633">
        <v>15456.65</v>
      </c>
      <c r="H633">
        <v>0</v>
      </c>
      <c r="I633" s="8">
        <f t="shared" si="37"/>
        <v>2.3832839382875726E-3</v>
      </c>
      <c r="J633" s="8">
        <f t="shared" si="38"/>
        <v>2.3804484214565019E-3</v>
      </c>
      <c r="K633" s="8">
        <f t="shared" si="35"/>
        <v>-5.2073654999003405E-2</v>
      </c>
    </row>
    <row r="634" spans="1:11" x14ac:dyDescent="0.25">
      <c r="A634" t="str">
        <f t="shared" si="36"/>
        <v>72019</v>
      </c>
      <c r="B634" s="1">
        <v>43670</v>
      </c>
      <c r="C634" t="s">
        <v>406</v>
      </c>
      <c r="D634">
        <v>15458.15</v>
      </c>
      <c r="E634">
        <v>15481.45</v>
      </c>
      <c r="F634">
        <v>15238.65</v>
      </c>
      <c r="G634">
        <v>15275.7</v>
      </c>
      <c r="H634">
        <v>0</v>
      </c>
      <c r="I634" s="8">
        <f t="shared" si="37"/>
        <v>-1.1706935202647317E-2</v>
      </c>
      <c r="J634" s="8">
        <f t="shared" si="38"/>
        <v>-1.1776000929737435E-2</v>
      </c>
      <c r="K634" s="8">
        <f t="shared" si="35"/>
        <v>-5.9583650125742182E-2</v>
      </c>
    </row>
    <row r="635" spans="1:11" x14ac:dyDescent="0.25">
      <c r="A635" t="str">
        <f t="shared" si="36"/>
        <v>72019</v>
      </c>
      <c r="B635" s="1">
        <v>43671</v>
      </c>
      <c r="C635" t="s">
        <v>407</v>
      </c>
      <c r="D635">
        <v>15316.15</v>
      </c>
      <c r="E635">
        <v>15321</v>
      </c>
      <c r="F635">
        <v>15005.9</v>
      </c>
      <c r="G635">
        <v>15061.45</v>
      </c>
      <c r="H635">
        <v>0</v>
      </c>
      <c r="I635" s="8">
        <f t="shared" si="37"/>
        <v>-1.4025543837598242E-2</v>
      </c>
      <c r="J635" s="8">
        <f t="shared" si="38"/>
        <v>-1.4124831244085857E-2</v>
      </c>
      <c r="K635" s="8">
        <f t="shared" si="35"/>
        <v>-8.3379484526671321E-2</v>
      </c>
    </row>
    <row r="636" spans="1:11" x14ac:dyDescent="0.25">
      <c r="A636" t="str">
        <f t="shared" si="36"/>
        <v>72019</v>
      </c>
      <c r="B636" s="1">
        <v>43672</v>
      </c>
      <c r="C636" t="s">
        <v>408</v>
      </c>
      <c r="D636">
        <v>15063.95</v>
      </c>
      <c r="E636">
        <v>15078.35</v>
      </c>
      <c r="F636">
        <v>14890.8</v>
      </c>
      <c r="G636">
        <v>14920.75</v>
      </c>
      <c r="H636">
        <v>0</v>
      </c>
      <c r="I636" s="8">
        <f t="shared" si="37"/>
        <v>-9.341730045911989E-3</v>
      </c>
      <c r="J636" s="8">
        <f t="shared" si="38"/>
        <v>-9.3856376687511019E-3</v>
      </c>
      <c r="K636" s="8">
        <f t="shared" si="35"/>
        <v>-9.5712121212121248E-2</v>
      </c>
    </row>
    <row r="637" spans="1:11" x14ac:dyDescent="0.25">
      <c r="A637" t="str">
        <f t="shared" si="36"/>
        <v>72019</v>
      </c>
      <c r="B637" s="1">
        <v>43675</v>
      </c>
      <c r="C637" t="s">
        <v>409</v>
      </c>
      <c r="D637">
        <v>14938.9</v>
      </c>
      <c r="E637">
        <v>14955.9</v>
      </c>
      <c r="F637">
        <v>14729.75</v>
      </c>
      <c r="G637">
        <v>14764.2</v>
      </c>
      <c r="H637">
        <v>0</v>
      </c>
      <c r="I637" s="8">
        <f t="shared" si="37"/>
        <v>-1.0492099927952636E-2</v>
      </c>
      <c r="J637" s="8">
        <f t="shared" si="38"/>
        <v>-1.0547530068358648E-2</v>
      </c>
      <c r="K637" s="8">
        <f t="shared" si="35"/>
        <v>-0.10514847824571705</v>
      </c>
    </row>
    <row r="638" spans="1:11" x14ac:dyDescent="0.25">
      <c r="A638" t="str">
        <f t="shared" si="36"/>
        <v>72019</v>
      </c>
      <c r="B638" s="1">
        <v>43676</v>
      </c>
      <c r="C638" t="s">
        <v>410</v>
      </c>
      <c r="D638">
        <v>14798.2</v>
      </c>
      <c r="E638">
        <v>14821.3</v>
      </c>
      <c r="F638">
        <v>14451.05</v>
      </c>
      <c r="G638">
        <v>14496.3</v>
      </c>
      <c r="H638">
        <v>0</v>
      </c>
      <c r="I638" s="8">
        <f t="shared" si="37"/>
        <v>-1.8145243223473106E-2</v>
      </c>
      <c r="J638" s="8">
        <f t="shared" si="38"/>
        <v>-1.8311887089656701E-2</v>
      </c>
      <c r="K638" s="8">
        <f t="shared" si="35"/>
        <v>-0.12505809286408387</v>
      </c>
    </row>
    <row r="639" spans="1:11" x14ac:dyDescent="0.25">
      <c r="A639" t="str">
        <f t="shared" si="36"/>
        <v>72019</v>
      </c>
      <c r="B639" s="1">
        <v>43677</v>
      </c>
      <c r="C639" t="s">
        <v>411</v>
      </c>
      <c r="D639">
        <v>14410.4</v>
      </c>
      <c r="E639">
        <v>14624.15</v>
      </c>
      <c r="F639">
        <v>14365.8</v>
      </c>
      <c r="G639">
        <v>14559.45</v>
      </c>
      <c r="H639">
        <v>0</v>
      </c>
      <c r="I639" s="8">
        <f t="shared" si="37"/>
        <v>4.3562840173010375E-3</v>
      </c>
      <c r="J639" s="8">
        <f t="shared" si="38"/>
        <v>4.3468228790665238E-3</v>
      </c>
      <c r="K639" s="8">
        <f t="shared" si="35"/>
        <v>-0.11777751520164337</v>
      </c>
    </row>
    <row r="640" spans="1:11" x14ac:dyDescent="0.25">
      <c r="A640" t="str">
        <f t="shared" si="36"/>
        <v>82019</v>
      </c>
      <c r="B640" s="1">
        <v>43678</v>
      </c>
      <c r="C640" s="10">
        <v>43473.645833333336</v>
      </c>
      <c r="D640">
        <v>14531.5</v>
      </c>
      <c r="E640">
        <v>14630.8</v>
      </c>
      <c r="F640">
        <v>14407.35</v>
      </c>
      <c r="G640">
        <v>14590</v>
      </c>
      <c r="H640">
        <v>0</v>
      </c>
      <c r="I640" s="8">
        <f t="shared" si="37"/>
        <v>2.0982935481765885E-3</v>
      </c>
      <c r="J640" s="8">
        <f t="shared" si="38"/>
        <v>2.0960952049119698E-3</v>
      </c>
      <c r="K640" s="8">
        <f t="shared" ref="K640:K703" si="39">+G640/G579-1</f>
        <v>-0.101113904085958</v>
      </c>
    </row>
    <row r="641" spans="1:11" x14ac:dyDescent="0.25">
      <c r="A641" t="str">
        <f t="shared" si="36"/>
        <v>82019</v>
      </c>
      <c r="B641" s="1">
        <v>43679</v>
      </c>
      <c r="C641" s="10">
        <v>43504.645833333336</v>
      </c>
      <c r="D641">
        <v>14546.2</v>
      </c>
      <c r="E641">
        <v>14611.6</v>
      </c>
      <c r="F641">
        <v>14331.95</v>
      </c>
      <c r="G641">
        <v>14433.95</v>
      </c>
      <c r="H641">
        <v>0</v>
      </c>
      <c r="I641" s="8">
        <f t="shared" si="37"/>
        <v>-1.0695681973954763E-2</v>
      </c>
      <c r="J641" s="8">
        <f t="shared" si="38"/>
        <v>-1.075329193384386E-2</v>
      </c>
      <c r="K641" s="8">
        <f t="shared" si="39"/>
        <v>-9.367504301196794E-2</v>
      </c>
    </row>
    <row r="642" spans="1:11" x14ac:dyDescent="0.25">
      <c r="A642" t="str">
        <f t="shared" si="36"/>
        <v>82019</v>
      </c>
      <c r="B642" s="1">
        <v>43682</v>
      </c>
      <c r="C642" s="10">
        <v>43593.645833333336</v>
      </c>
      <c r="D642">
        <v>14289.8</v>
      </c>
      <c r="E642">
        <v>14289.9</v>
      </c>
      <c r="F642">
        <v>13964.35</v>
      </c>
      <c r="G642">
        <v>14040.7</v>
      </c>
      <c r="H642">
        <v>0</v>
      </c>
      <c r="I642" s="8">
        <f t="shared" si="37"/>
        <v>-2.7244794391001803E-2</v>
      </c>
      <c r="J642" s="8">
        <f t="shared" si="38"/>
        <v>-2.7622815696174169E-2</v>
      </c>
      <c r="K642" s="8">
        <f t="shared" si="39"/>
        <v>-0.10199578521884567</v>
      </c>
    </row>
    <row r="643" spans="1:11" x14ac:dyDescent="0.25">
      <c r="A643" t="str">
        <f t="shared" ref="A643:A706" si="40">+MONTH(B643)&amp;YEAR(B643)</f>
        <v>82019</v>
      </c>
      <c r="B643" s="1">
        <v>43683</v>
      </c>
      <c r="C643" s="10">
        <v>43624.645833333336</v>
      </c>
      <c r="D643">
        <v>13970.9</v>
      </c>
      <c r="E643">
        <v>14152.75</v>
      </c>
      <c r="F643">
        <v>13929.7</v>
      </c>
      <c r="G643">
        <v>14016.85</v>
      </c>
      <c r="H643">
        <v>0</v>
      </c>
      <c r="I643" s="8">
        <f t="shared" si="37"/>
        <v>-1.6986332590255282E-3</v>
      </c>
      <c r="J643" s="8">
        <f t="shared" si="38"/>
        <v>-1.7000775723039726E-3</v>
      </c>
      <c r="K643" s="8">
        <f t="shared" si="39"/>
        <v>-9.5328146329027308E-2</v>
      </c>
    </row>
    <row r="644" spans="1:11" x14ac:dyDescent="0.25">
      <c r="A644" t="str">
        <f t="shared" si="40"/>
        <v>82019</v>
      </c>
      <c r="B644" s="1">
        <v>43684</v>
      </c>
      <c r="C644" s="10">
        <v>43654.645833333336</v>
      </c>
      <c r="D644">
        <v>14040.5</v>
      </c>
      <c r="E644">
        <v>14059.2</v>
      </c>
      <c r="F644">
        <v>13775</v>
      </c>
      <c r="G644">
        <v>13819.15</v>
      </c>
      <c r="H644">
        <v>0</v>
      </c>
      <c r="I644" s="8">
        <f t="shared" ref="I644:I707" si="41">+G644/G643-1</f>
        <v>-1.4104452854956762E-2</v>
      </c>
      <c r="J644" s="8">
        <f t="shared" ref="J644:J707" si="42">+LN(1+I644)</f>
        <v>-1.4204865949485588E-2</v>
      </c>
      <c r="K644" s="8">
        <f t="shared" si="39"/>
        <v>-8.9173548816577797E-2</v>
      </c>
    </row>
    <row r="645" spans="1:11" x14ac:dyDescent="0.25">
      <c r="A645" t="str">
        <f t="shared" si="40"/>
        <v>82019</v>
      </c>
      <c r="B645" s="1">
        <v>43685</v>
      </c>
      <c r="C645" s="10">
        <v>43685.645833333336</v>
      </c>
      <c r="D645">
        <v>13832.35</v>
      </c>
      <c r="E645">
        <v>14207.65</v>
      </c>
      <c r="F645">
        <v>13739.85</v>
      </c>
      <c r="G645">
        <v>14122.55</v>
      </c>
      <c r="H645">
        <v>0</v>
      </c>
      <c r="I645" s="8">
        <f t="shared" si="41"/>
        <v>2.1955040650112334E-2</v>
      </c>
      <c r="J645" s="8">
        <f t="shared" si="42"/>
        <v>2.1717499277763081E-2</v>
      </c>
      <c r="K645" s="8">
        <f t="shared" si="39"/>
        <v>-8.2909612774606622E-2</v>
      </c>
    </row>
    <row r="646" spans="1:11" x14ac:dyDescent="0.25">
      <c r="A646" t="str">
        <f t="shared" si="40"/>
        <v>82019</v>
      </c>
      <c r="B646" s="1">
        <v>43686</v>
      </c>
      <c r="C646" s="10">
        <v>43716.645833333336</v>
      </c>
      <c r="D646">
        <v>14184.2</v>
      </c>
      <c r="E646">
        <v>14285.65</v>
      </c>
      <c r="F646">
        <v>14120.85</v>
      </c>
      <c r="G646">
        <v>14155.4</v>
      </c>
      <c r="H646">
        <v>0</v>
      </c>
      <c r="I646" s="8">
        <f t="shared" si="41"/>
        <v>2.326067176253499E-3</v>
      </c>
      <c r="J646" s="8">
        <f t="shared" si="42"/>
        <v>2.3233660698250306E-3</v>
      </c>
      <c r="K646" s="8">
        <f t="shared" si="39"/>
        <v>-7.3253766130035425E-2</v>
      </c>
    </row>
    <row r="647" spans="1:11" x14ac:dyDescent="0.25">
      <c r="A647" t="str">
        <f t="shared" si="40"/>
        <v>82019</v>
      </c>
      <c r="B647" s="1">
        <v>43690</v>
      </c>
      <c r="C647" t="s">
        <v>412</v>
      </c>
      <c r="D647">
        <v>14438.7</v>
      </c>
      <c r="E647">
        <v>14698.5</v>
      </c>
      <c r="F647">
        <v>14357.95</v>
      </c>
      <c r="G647">
        <v>14423.95</v>
      </c>
      <c r="H647">
        <v>0</v>
      </c>
      <c r="I647" s="8">
        <f t="shared" si="41"/>
        <v>1.8971558557158374E-2</v>
      </c>
      <c r="J647" s="8">
        <f t="shared" si="42"/>
        <v>1.8793842719718835E-2</v>
      </c>
      <c r="K647" s="8">
        <f t="shared" si="39"/>
        <v>-7.1277030703208788E-2</v>
      </c>
    </row>
    <row r="648" spans="1:11" x14ac:dyDescent="0.25">
      <c r="A648" t="str">
        <f t="shared" si="40"/>
        <v>82019</v>
      </c>
      <c r="B648" s="1">
        <v>43691</v>
      </c>
      <c r="C648" t="s">
        <v>413</v>
      </c>
      <c r="D648">
        <v>14556.95</v>
      </c>
      <c r="E648">
        <v>14649.4</v>
      </c>
      <c r="F648">
        <v>14455.7</v>
      </c>
      <c r="G648">
        <v>14564.5</v>
      </c>
      <c r="H648">
        <v>0</v>
      </c>
      <c r="I648" s="8">
        <f t="shared" si="41"/>
        <v>9.7442101504787715E-3</v>
      </c>
      <c r="J648" s="8">
        <f t="shared" si="42"/>
        <v>9.6970415013746709E-3</v>
      </c>
      <c r="K648" s="8">
        <f t="shared" si="39"/>
        <v>-6.2692061408166078E-2</v>
      </c>
    </row>
    <row r="649" spans="1:11" x14ac:dyDescent="0.25">
      <c r="A649" t="str">
        <f t="shared" si="40"/>
        <v>82019</v>
      </c>
      <c r="B649" s="1">
        <v>43693</v>
      </c>
      <c r="C649" t="s">
        <v>414</v>
      </c>
      <c r="D649">
        <v>14593.95</v>
      </c>
      <c r="E649">
        <v>14652.85</v>
      </c>
      <c r="F649">
        <v>14441.8</v>
      </c>
      <c r="G649">
        <v>14594.7</v>
      </c>
      <c r="H649">
        <v>0</v>
      </c>
      <c r="I649" s="8">
        <f t="shared" si="41"/>
        <v>2.073534965155055E-3</v>
      </c>
      <c r="J649" s="8">
        <f t="shared" si="42"/>
        <v>2.0713881586691745E-3</v>
      </c>
      <c r="K649" s="8">
        <f t="shared" si="39"/>
        <v>-0.10133371099234001</v>
      </c>
    </row>
    <row r="650" spans="1:11" x14ac:dyDescent="0.25">
      <c r="A650" t="str">
        <f t="shared" si="40"/>
        <v>82019</v>
      </c>
      <c r="B650" s="1">
        <v>43696</v>
      </c>
      <c r="C650" t="s">
        <v>415</v>
      </c>
      <c r="D650">
        <v>14611.05</v>
      </c>
      <c r="E650">
        <v>14675.25</v>
      </c>
      <c r="F650">
        <v>14551.3</v>
      </c>
      <c r="G650">
        <v>14593.1</v>
      </c>
      <c r="H650">
        <v>0</v>
      </c>
      <c r="I650" s="8">
        <f t="shared" si="41"/>
        <v>-1.0962883786580502E-4</v>
      </c>
      <c r="J650" s="8">
        <f t="shared" si="42"/>
        <v>-1.0963484754607778E-4</v>
      </c>
      <c r="K650" s="8">
        <f t="shared" si="39"/>
        <v>-9.2886358267961211E-2</v>
      </c>
    </row>
    <row r="651" spans="1:11" x14ac:dyDescent="0.25">
      <c r="A651" t="str">
        <f t="shared" si="40"/>
        <v>82019</v>
      </c>
      <c r="B651" s="1">
        <v>43697</v>
      </c>
      <c r="C651" t="s">
        <v>416</v>
      </c>
      <c r="D651">
        <v>14590.9</v>
      </c>
      <c r="E651">
        <v>14611.95</v>
      </c>
      <c r="F651">
        <v>14419.1</v>
      </c>
      <c r="G651">
        <v>14439.6</v>
      </c>
      <c r="H651">
        <v>0</v>
      </c>
      <c r="I651" s="8">
        <f t="shared" si="41"/>
        <v>-1.0518669782294321E-2</v>
      </c>
      <c r="J651" s="8">
        <f t="shared" si="42"/>
        <v>-1.0574382012711464E-2</v>
      </c>
      <c r="K651" s="8">
        <f t="shared" si="39"/>
        <v>-0.10712066262881104</v>
      </c>
    </row>
    <row r="652" spans="1:11" x14ac:dyDescent="0.25">
      <c r="A652" t="str">
        <f t="shared" si="40"/>
        <v>82019</v>
      </c>
      <c r="B652" s="1">
        <v>43698</v>
      </c>
      <c r="C652" t="s">
        <v>417</v>
      </c>
      <c r="D652">
        <v>14424.45</v>
      </c>
      <c r="E652">
        <v>14439.75</v>
      </c>
      <c r="F652">
        <v>14200.75</v>
      </c>
      <c r="G652">
        <v>14221.45</v>
      </c>
      <c r="H652">
        <v>0</v>
      </c>
      <c r="I652" s="8">
        <f t="shared" si="41"/>
        <v>-1.5107759217706795E-2</v>
      </c>
      <c r="J652" s="8">
        <f t="shared" si="42"/>
        <v>-1.5223044015710962E-2</v>
      </c>
      <c r="K652" s="8">
        <f t="shared" si="39"/>
        <v>-0.11827380325002634</v>
      </c>
    </row>
    <row r="653" spans="1:11" x14ac:dyDescent="0.25">
      <c r="A653" t="str">
        <f t="shared" si="40"/>
        <v>82019</v>
      </c>
      <c r="B653" s="1">
        <v>43699</v>
      </c>
      <c r="C653" t="s">
        <v>418</v>
      </c>
      <c r="D653">
        <v>14217.05</v>
      </c>
      <c r="E653">
        <v>14230.2</v>
      </c>
      <c r="F653">
        <v>13847.95</v>
      </c>
      <c r="G653">
        <v>13897.2</v>
      </c>
      <c r="H653">
        <v>0</v>
      </c>
      <c r="I653" s="8">
        <f t="shared" si="41"/>
        <v>-2.2800066097338867E-2</v>
      </c>
      <c r="J653" s="8">
        <f t="shared" si="42"/>
        <v>-2.3064007238073857E-2</v>
      </c>
      <c r="K653" s="8">
        <f t="shared" si="39"/>
        <v>-0.14569719621572108</v>
      </c>
    </row>
    <row r="654" spans="1:11" x14ac:dyDescent="0.25">
      <c r="A654" t="str">
        <f t="shared" si="40"/>
        <v>82019</v>
      </c>
      <c r="B654" s="1">
        <v>43700</v>
      </c>
      <c r="C654" t="s">
        <v>419</v>
      </c>
      <c r="D654">
        <v>13847.5</v>
      </c>
      <c r="E654">
        <v>14347.5</v>
      </c>
      <c r="F654">
        <v>13757.2</v>
      </c>
      <c r="G654">
        <v>14286.1</v>
      </c>
      <c r="H654">
        <v>0</v>
      </c>
      <c r="I654" s="8">
        <f t="shared" si="41"/>
        <v>2.7984054341881892E-2</v>
      </c>
      <c r="J654" s="8">
        <f t="shared" si="42"/>
        <v>2.759965557208946E-2</v>
      </c>
      <c r="K654" s="8">
        <f t="shared" si="39"/>
        <v>-0.12797380155225191</v>
      </c>
    </row>
    <row r="655" spans="1:11" x14ac:dyDescent="0.25">
      <c r="A655" t="str">
        <f t="shared" si="40"/>
        <v>82019</v>
      </c>
      <c r="B655" s="1">
        <v>43703</v>
      </c>
      <c r="C655" t="s">
        <v>420</v>
      </c>
      <c r="D655">
        <v>14438.55</v>
      </c>
      <c r="E655">
        <v>14458.95</v>
      </c>
      <c r="F655">
        <v>14127.95</v>
      </c>
      <c r="G655">
        <v>14406.65</v>
      </c>
      <c r="H655">
        <v>0</v>
      </c>
      <c r="I655" s="8">
        <f t="shared" si="41"/>
        <v>8.4382721666513838E-3</v>
      </c>
      <c r="J655" s="8">
        <f t="shared" si="42"/>
        <v>8.4028689698577054E-3</v>
      </c>
      <c r="K655" s="8">
        <f t="shared" si="39"/>
        <v>-0.12623158124569767</v>
      </c>
    </row>
    <row r="656" spans="1:11" x14ac:dyDescent="0.25">
      <c r="A656" t="str">
        <f t="shared" si="40"/>
        <v>82019</v>
      </c>
      <c r="B656" s="1">
        <v>43704</v>
      </c>
      <c r="C656" t="s">
        <v>421</v>
      </c>
      <c r="D656">
        <v>14512.35</v>
      </c>
      <c r="E656">
        <v>14664.2</v>
      </c>
      <c r="F656">
        <v>14427.4</v>
      </c>
      <c r="G656">
        <v>14604.6</v>
      </c>
      <c r="H656">
        <v>0</v>
      </c>
      <c r="I656" s="8">
        <f t="shared" si="41"/>
        <v>1.3740182485171726E-2</v>
      </c>
      <c r="J656" s="8">
        <f t="shared" si="42"/>
        <v>1.3646642045644215E-2</v>
      </c>
      <c r="K656" s="8">
        <f t="shared" si="39"/>
        <v>-0.10543643708329375</v>
      </c>
    </row>
    <row r="657" spans="1:11" x14ac:dyDescent="0.25">
      <c r="A657" t="str">
        <f t="shared" si="40"/>
        <v>82019</v>
      </c>
      <c r="B657" s="1">
        <v>43705</v>
      </c>
      <c r="C657" t="s">
        <v>422</v>
      </c>
      <c r="D657">
        <v>14615.55</v>
      </c>
      <c r="E657">
        <v>14702.8</v>
      </c>
      <c r="F657">
        <v>14361.8</v>
      </c>
      <c r="G657">
        <v>14445</v>
      </c>
      <c r="H657">
        <v>0</v>
      </c>
      <c r="I657" s="8">
        <f t="shared" si="41"/>
        <v>-1.0928063760732964E-2</v>
      </c>
      <c r="J657" s="8">
        <f t="shared" si="42"/>
        <v>-1.0988213665588185E-2</v>
      </c>
      <c r="K657" s="8">
        <f t="shared" si="39"/>
        <v>-0.12583286432708185</v>
      </c>
    </row>
    <row r="658" spans="1:11" x14ac:dyDescent="0.25">
      <c r="A658" t="str">
        <f t="shared" si="40"/>
        <v>82019</v>
      </c>
      <c r="B658" s="1">
        <v>43706</v>
      </c>
      <c r="C658" t="s">
        <v>423</v>
      </c>
      <c r="D658">
        <v>14371.95</v>
      </c>
      <c r="E658">
        <v>14496.2</v>
      </c>
      <c r="F658">
        <v>14299.95</v>
      </c>
      <c r="G658">
        <v>14440.65</v>
      </c>
      <c r="H658">
        <v>0</v>
      </c>
      <c r="I658" s="8">
        <f t="shared" si="41"/>
        <v>-3.0114226375910214E-4</v>
      </c>
      <c r="J658" s="8">
        <f t="shared" si="42"/>
        <v>-3.0118761619586529E-4</v>
      </c>
      <c r="K658" s="8">
        <f t="shared" si="39"/>
        <v>-0.12799850244711009</v>
      </c>
    </row>
    <row r="659" spans="1:11" x14ac:dyDescent="0.25">
      <c r="A659" t="str">
        <f t="shared" si="40"/>
        <v>82019</v>
      </c>
      <c r="B659" s="1">
        <v>43707</v>
      </c>
      <c r="C659" t="s">
        <v>424</v>
      </c>
      <c r="D659">
        <v>14470.35</v>
      </c>
      <c r="E659">
        <v>14552.9</v>
      </c>
      <c r="F659">
        <v>14060.8</v>
      </c>
      <c r="G659">
        <v>14382.25</v>
      </c>
      <c r="H659">
        <v>0</v>
      </c>
      <c r="I659" s="8">
        <f t="shared" si="41"/>
        <v>-4.0441392873589166E-3</v>
      </c>
      <c r="J659" s="8">
        <f t="shared" si="42"/>
        <v>-4.0523389331195009E-3</v>
      </c>
      <c r="K659" s="8">
        <f t="shared" si="39"/>
        <v>-0.14187820514732874</v>
      </c>
    </row>
    <row r="660" spans="1:11" x14ac:dyDescent="0.25">
      <c r="A660" t="str">
        <f t="shared" si="40"/>
        <v>92019</v>
      </c>
      <c r="B660" s="1">
        <v>43711</v>
      </c>
      <c r="C660" s="10">
        <v>43533.645833333336</v>
      </c>
      <c r="D660">
        <v>14289.8</v>
      </c>
      <c r="E660">
        <v>14294.05</v>
      </c>
      <c r="F660">
        <v>13929.95</v>
      </c>
      <c r="G660">
        <v>13972.15</v>
      </c>
      <c r="H660">
        <v>0</v>
      </c>
      <c r="I660" s="8">
        <f t="shared" si="41"/>
        <v>-2.8514314519633599E-2</v>
      </c>
      <c r="J660" s="8">
        <f t="shared" si="42"/>
        <v>-2.892874472469676E-2</v>
      </c>
      <c r="K660" s="8">
        <f t="shared" si="39"/>
        <v>-0.16043095652278416</v>
      </c>
    </row>
    <row r="661" spans="1:11" x14ac:dyDescent="0.25">
      <c r="A661" t="str">
        <f t="shared" si="40"/>
        <v>92019</v>
      </c>
      <c r="B661" s="1">
        <v>43712</v>
      </c>
      <c r="C661" s="10">
        <v>43564.645833333336</v>
      </c>
      <c r="D661">
        <v>13960.7</v>
      </c>
      <c r="E661">
        <v>14073</v>
      </c>
      <c r="F661">
        <v>13838.9</v>
      </c>
      <c r="G661">
        <v>14052.65</v>
      </c>
      <c r="H661">
        <v>0</v>
      </c>
      <c r="I661" s="8">
        <f t="shared" si="41"/>
        <v>5.7614611924434733E-3</v>
      </c>
      <c r="J661" s="8">
        <f t="shared" si="42"/>
        <v>5.7449274501865958E-3</v>
      </c>
      <c r="K661" s="8">
        <f t="shared" si="39"/>
        <v>-0.13969775720788147</v>
      </c>
    </row>
    <row r="662" spans="1:11" x14ac:dyDescent="0.25">
      <c r="A662" t="str">
        <f t="shared" si="40"/>
        <v>92019</v>
      </c>
      <c r="B662" s="1">
        <v>43713</v>
      </c>
      <c r="C662" s="10">
        <v>43594.645833333336</v>
      </c>
      <c r="D662">
        <v>14092.7</v>
      </c>
      <c r="E662">
        <v>14596.15</v>
      </c>
      <c r="F662">
        <v>14088.4</v>
      </c>
      <c r="G662">
        <v>14338.8</v>
      </c>
      <c r="H662">
        <v>0</v>
      </c>
      <c r="I662" s="8">
        <f t="shared" si="41"/>
        <v>2.0362707389709467E-2</v>
      </c>
      <c r="J662" s="8">
        <f t="shared" si="42"/>
        <v>2.0158159567198429E-2</v>
      </c>
      <c r="K662" s="8">
        <f t="shared" si="39"/>
        <v>-0.11658754924943704</v>
      </c>
    </row>
    <row r="663" spans="1:11" x14ac:dyDescent="0.25">
      <c r="A663" t="str">
        <f t="shared" si="40"/>
        <v>92019</v>
      </c>
      <c r="B663" s="1">
        <v>43714</v>
      </c>
      <c r="C663" s="10">
        <v>43625.645833333336</v>
      </c>
      <c r="D663">
        <v>14380.8</v>
      </c>
      <c r="E663">
        <v>14615.4</v>
      </c>
      <c r="F663">
        <v>14332.25</v>
      </c>
      <c r="G663">
        <v>14591.4</v>
      </c>
      <c r="H663">
        <v>0</v>
      </c>
      <c r="I663" s="8">
        <f t="shared" si="41"/>
        <v>1.7616536948698691E-2</v>
      </c>
      <c r="J663" s="8">
        <f t="shared" si="42"/>
        <v>1.7463164403966058E-2</v>
      </c>
      <c r="K663" s="8">
        <f t="shared" si="39"/>
        <v>-9.510978260532521E-2</v>
      </c>
    </row>
    <row r="664" spans="1:11" x14ac:dyDescent="0.25">
      <c r="A664" t="str">
        <f t="shared" si="40"/>
        <v>92019</v>
      </c>
      <c r="B664" s="1">
        <v>43717</v>
      </c>
      <c r="C664" s="10">
        <v>43717.645833333336</v>
      </c>
      <c r="D664">
        <v>14570</v>
      </c>
      <c r="E664">
        <v>14687.95</v>
      </c>
      <c r="F664">
        <v>14510.65</v>
      </c>
      <c r="G664">
        <v>14617.85</v>
      </c>
      <c r="H664">
        <v>0</v>
      </c>
      <c r="I664" s="8">
        <f t="shared" si="41"/>
        <v>1.812711597242167E-3</v>
      </c>
      <c r="J664" s="8">
        <f t="shared" si="42"/>
        <v>1.8110706183564766E-3</v>
      </c>
      <c r="K664" s="8">
        <f t="shared" si="39"/>
        <v>-9.9339808935838492E-2</v>
      </c>
    </row>
    <row r="665" spans="1:11" x14ac:dyDescent="0.25">
      <c r="A665" t="str">
        <f t="shared" si="40"/>
        <v>92019</v>
      </c>
      <c r="B665" s="1">
        <v>43719</v>
      </c>
      <c r="C665" s="10">
        <v>43778.645833333336</v>
      </c>
      <c r="D665">
        <v>14582.95</v>
      </c>
      <c r="E665">
        <v>14733.15</v>
      </c>
      <c r="F665">
        <v>14542.9</v>
      </c>
      <c r="G665">
        <v>14585.1</v>
      </c>
      <c r="H665">
        <v>0</v>
      </c>
      <c r="I665" s="8">
        <f t="shared" si="41"/>
        <v>-2.2404115516303502E-3</v>
      </c>
      <c r="J665" s="8">
        <f t="shared" si="42"/>
        <v>-2.2429250284407517E-3</v>
      </c>
      <c r="K665" s="8">
        <f t="shared" si="39"/>
        <v>-9.9796321441797287E-2</v>
      </c>
    </row>
    <row r="666" spans="1:11" x14ac:dyDescent="0.25">
      <c r="A666" t="str">
        <f t="shared" si="40"/>
        <v>92019</v>
      </c>
      <c r="B666" s="1">
        <v>43720</v>
      </c>
      <c r="C666" s="10">
        <v>43808.645833333336</v>
      </c>
      <c r="D666">
        <v>14614.05</v>
      </c>
      <c r="E666">
        <v>14688.9</v>
      </c>
      <c r="F666">
        <v>14366.7</v>
      </c>
      <c r="G666">
        <v>14404.65</v>
      </c>
      <c r="H666">
        <v>0</v>
      </c>
      <c r="I666" s="8">
        <f t="shared" si="41"/>
        <v>-1.2372215480181858E-2</v>
      </c>
      <c r="J666" s="8">
        <f t="shared" si="42"/>
        <v>-1.2449388533197129E-2</v>
      </c>
      <c r="K666" s="8">
        <f t="shared" si="39"/>
        <v>-0.11132601030899214</v>
      </c>
    </row>
    <row r="667" spans="1:11" x14ac:dyDescent="0.25">
      <c r="A667" t="str">
        <f t="shared" si="40"/>
        <v>92019</v>
      </c>
      <c r="B667" s="1">
        <v>43721</v>
      </c>
      <c r="C667" t="s">
        <v>425</v>
      </c>
      <c r="D667">
        <v>14435.55</v>
      </c>
      <c r="E667">
        <v>14755.7</v>
      </c>
      <c r="F667">
        <v>14353.85</v>
      </c>
      <c r="G667">
        <v>14727.15</v>
      </c>
      <c r="H667">
        <v>0</v>
      </c>
      <c r="I667" s="8">
        <f t="shared" si="41"/>
        <v>2.238860368006157E-2</v>
      </c>
      <c r="J667" s="8">
        <f t="shared" si="42"/>
        <v>2.2141657943701563E-2</v>
      </c>
      <c r="K667" s="8">
        <f t="shared" si="39"/>
        <v>-8.6257709059773924E-2</v>
      </c>
    </row>
    <row r="668" spans="1:11" x14ac:dyDescent="0.25">
      <c r="A668" t="str">
        <f t="shared" si="40"/>
        <v>92019</v>
      </c>
      <c r="B668" s="1">
        <v>43724</v>
      </c>
      <c r="C668" t="s">
        <v>426</v>
      </c>
      <c r="D668">
        <v>14448.9</v>
      </c>
      <c r="E668">
        <v>14587.2</v>
      </c>
      <c r="F668">
        <v>14429.5</v>
      </c>
      <c r="G668">
        <v>14533.45</v>
      </c>
      <c r="H668">
        <v>0</v>
      </c>
      <c r="I668" s="8">
        <f t="shared" si="41"/>
        <v>-1.3152578740625254E-2</v>
      </c>
      <c r="J668" s="8">
        <f t="shared" si="42"/>
        <v>-1.3239839888363395E-2</v>
      </c>
      <c r="K668" s="8">
        <f t="shared" si="39"/>
        <v>-7.9581761932355999E-2</v>
      </c>
    </row>
    <row r="669" spans="1:11" x14ac:dyDescent="0.25">
      <c r="A669" t="str">
        <f t="shared" si="40"/>
        <v>92019</v>
      </c>
      <c r="B669" s="1">
        <v>43725</v>
      </c>
      <c r="C669" t="s">
        <v>427</v>
      </c>
      <c r="D669">
        <v>14521.1</v>
      </c>
      <c r="E669">
        <v>14521.1</v>
      </c>
      <c r="F669">
        <v>14313.8</v>
      </c>
      <c r="G669">
        <v>14336.15</v>
      </c>
      <c r="H669">
        <v>0</v>
      </c>
      <c r="I669" s="8">
        <f t="shared" si="41"/>
        <v>-1.357557909512197E-2</v>
      </c>
      <c r="J669" s="8">
        <f t="shared" si="42"/>
        <v>-1.3668569830115425E-2</v>
      </c>
      <c r="K669" s="8">
        <f t="shared" si="39"/>
        <v>-9.8593453301643708E-2</v>
      </c>
    </row>
    <row r="670" spans="1:11" x14ac:dyDescent="0.25">
      <c r="A670" t="str">
        <f t="shared" si="40"/>
        <v>92019</v>
      </c>
      <c r="B670" s="1">
        <v>43726</v>
      </c>
      <c r="C670" t="s">
        <v>428</v>
      </c>
      <c r="D670">
        <v>14458.65</v>
      </c>
      <c r="E670">
        <v>14528.85</v>
      </c>
      <c r="F670">
        <v>14332.15</v>
      </c>
      <c r="G670">
        <v>14489.55</v>
      </c>
      <c r="H670">
        <v>0</v>
      </c>
      <c r="I670" s="8">
        <f t="shared" si="41"/>
        <v>1.0700222863181619E-2</v>
      </c>
      <c r="J670" s="8">
        <f t="shared" si="42"/>
        <v>1.0643380602246571E-2</v>
      </c>
      <c r="K670" s="8">
        <f t="shared" si="39"/>
        <v>-8.7970466697928851E-2</v>
      </c>
    </row>
    <row r="671" spans="1:11" x14ac:dyDescent="0.25">
      <c r="A671" t="str">
        <f t="shared" si="40"/>
        <v>92019</v>
      </c>
      <c r="B671" s="1">
        <v>43727</v>
      </c>
      <c r="C671" t="s">
        <v>429</v>
      </c>
      <c r="D671">
        <v>14526.5</v>
      </c>
      <c r="E671">
        <v>14532.3</v>
      </c>
      <c r="F671">
        <v>14231.15</v>
      </c>
      <c r="G671">
        <v>14281.95</v>
      </c>
      <c r="H671">
        <v>0</v>
      </c>
      <c r="I671" s="8">
        <f t="shared" si="41"/>
        <v>-1.4327567108709305E-2</v>
      </c>
      <c r="J671" s="8">
        <f t="shared" si="42"/>
        <v>-1.4431197739171958E-2</v>
      </c>
      <c r="K671" s="8">
        <f t="shared" si="39"/>
        <v>-0.11187426155089852</v>
      </c>
    </row>
    <row r="672" spans="1:11" x14ac:dyDescent="0.25">
      <c r="A672" t="str">
        <f t="shared" si="40"/>
        <v>92019</v>
      </c>
      <c r="B672" s="1">
        <v>43728</v>
      </c>
      <c r="C672" t="s">
        <v>430</v>
      </c>
      <c r="D672">
        <v>14290</v>
      </c>
      <c r="E672">
        <v>15093.8</v>
      </c>
      <c r="F672">
        <v>14120.25</v>
      </c>
      <c r="G672">
        <v>14859.05</v>
      </c>
      <c r="H672">
        <v>0</v>
      </c>
      <c r="I672" s="8">
        <f t="shared" si="41"/>
        <v>4.0407647415093839E-2</v>
      </c>
      <c r="J672" s="8">
        <f t="shared" si="42"/>
        <v>3.9612605021990321E-2</v>
      </c>
      <c r="K672" s="8">
        <f t="shared" si="39"/>
        <v>-6.8479882643529777E-2</v>
      </c>
    </row>
    <row r="673" spans="1:11" x14ac:dyDescent="0.25">
      <c r="A673" t="str">
        <f t="shared" si="40"/>
        <v>92019</v>
      </c>
      <c r="B673" s="1">
        <v>43731</v>
      </c>
      <c r="C673" t="s">
        <v>431</v>
      </c>
      <c r="D673">
        <v>15092.8</v>
      </c>
      <c r="E673">
        <v>15162.85</v>
      </c>
      <c r="F673">
        <v>14875.45</v>
      </c>
      <c r="G673">
        <v>14999.5</v>
      </c>
      <c r="H673">
        <v>0</v>
      </c>
      <c r="I673" s="8">
        <f t="shared" si="41"/>
        <v>9.4521520554813332E-3</v>
      </c>
      <c r="J673" s="8">
        <f t="shared" si="42"/>
        <v>9.4077599807650784E-3</v>
      </c>
      <c r="K673" s="8">
        <f t="shared" si="39"/>
        <v>-4.9587824180558959E-2</v>
      </c>
    </row>
    <row r="674" spans="1:11" x14ac:dyDescent="0.25">
      <c r="A674" t="str">
        <f t="shared" si="40"/>
        <v>92019</v>
      </c>
      <c r="B674" s="1">
        <v>43732</v>
      </c>
      <c r="C674" t="s">
        <v>432</v>
      </c>
      <c r="D674">
        <v>15029.35</v>
      </c>
      <c r="E674">
        <v>15246.85</v>
      </c>
      <c r="F674">
        <v>14961.4</v>
      </c>
      <c r="G674">
        <v>15100.85</v>
      </c>
      <c r="H674">
        <v>0</v>
      </c>
      <c r="I674" s="8">
        <f t="shared" si="41"/>
        <v>6.7568918963964997E-3</v>
      </c>
      <c r="J674" s="8">
        <f t="shared" si="42"/>
        <v>6.7341664139973639E-3</v>
      </c>
      <c r="K674" s="8">
        <f t="shared" si="39"/>
        <v>-6.1642282131505577E-2</v>
      </c>
    </row>
    <row r="675" spans="1:11" x14ac:dyDescent="0.25">
      <c r="A675" t="str">
        <f t="shared" si="40"/>
        <v>92019</v>
      </c>
      <c r="B675" s="1">
        <v>43733</v>
      </c>
      <c r="C675" t="s">
        <v>433</v>
      </c>
      <c r="D675">
        <v>15118.8</v>
      </c>
      <c r="E675">
        <v>15278.6</v>
      </c>
      <c r="F675">
        <v>15080</v>
      </c>
      <c r="G675">
        <v>15179.2</v>
      </c>
      <c r="H675">
        <v>0</v>
      </c>
      <c r="I675" s="8">
        <f t="shared" si="41"/>
        <v>5.1884496568073146E-3</v>
      </c>
      <c r="J675" s="8">
        <f t="shared" si="42"/>
        <v>5.1750360291690075E-3</v>
      </c>
      <c r="K675" s="8">
        <f t="shared" si="39"/>
        <v>-6.2543617487756165E-2</v>
      </c>
    </row>
    <row r="676" spans="1:11" x14ac:dyDescent="0.25">
      <c r="A676" t="str">
        <f t="shared" si="40"/>
        <v>92019</v>
      </c>
      <c r="B676" s="1">
        <v>43734</v>
      </c>
      <c r="C676" t="s">
        <v>434</v>
      </c>
      <c r="D676">
        <v>15281.15</v>
      </c>
      <c r="E676">
        <v>15475.45</v>
      </c>
      <c r="F676">
        <v>15246.8</v>
      </c>
      <c r="G676">
        <v>15446.9</v>
      </c>
      <c r="H676">
        <v>0</v>
      </c>
      <c r="I676" s="8">
        <f t="shared" si="41"/>
        <v>1.7635975545483129E-2</v>
      </c>
      <c r="J676" s="8">
        <f t="shared" si="42"/>
        <v>1.7482266305735687E-2</v>
      </c>
      <c r="K676" s="8">
        <f t="shared" si="39"/>
        <v>-4.3061578490893315E-2</v>
      </c>
    </row>
    <row r="677" spans="1:11" x14ac:dyDescent="0.25">
      <c r="A677" t="str">
        <f t="shared" si="40"/>
        <v>92019</v>
      </c>
      <c r="B677" s="1">
        <v>43735</v>
      </c>
      <c r="C677" t="s">
        <v>435</v>
      </c>
      <c r="D677">
        <v>15426.15</v>
      </c>
      <c r="E677">
        <v>15477.7</v>
      </c>
      <c r="F677">
        <v>15351.8</v>
      </c>
      <c r="G677">
        <v>15383.45</v>
      </c>
      <c r="H677">
        <v>0</v>
      </c>
      <c r="I677" s="8">
        <f t="shared" si="41"/>
        <v>-4.1076202992185173E-3</v>
      </c>
      <c r="J677" s="8">
        <f t="shared" si="42"/>
        <v>-4.1160797448872872E-3</v>
      </c>
      <c r="K677" s="8">
        <f t="shared" si="39"/>
        <v>-4.1338460004486821E-2</v>
      </c>
    </row>
    <row r="678" spans="1:11" x14ac:dyDescent="0.25">
      <c r="A678" t="str">
        <f t="shared" si="40"/>
        <v>92019</v>
      </c>
      <c r="B678" s="1">
        <v>43738</v>
      </c>
      <c r="C678" t="s">
        <v>436</v>
      </c>
      <c r="D678">
        <v>15397.15</v>
      </c>
      <c r="E678">
        <v>15543.45</v>
      </c>
      <c r="F678">
        <v>15297.8</v>
      </c>
      <c r="G678">
        <v>15501.6</v>
      </c>
      <c r="H678">
        <v>0</v>
      </c>
      <c r="I678" s="8">
        <f t="shared" si="41"/>
        <v>7.6803317851326103E-3</v>
      </c>
      <c r="J678" s="8">
        <f t="shared" si="42"/>
        <v>7.6509881869116954E-3</v>
      </c>
      <c r="K678" s="8">
        <f t="shared" si="39"/>
        <v>-2.8965171636181397E-2</v>
      </c>
    </row>
    <row r="679" spans="1:11" x14ac:dyDescent="0.25">
      <c r="A679" t="str">
        <f t="shared" si="40"/>
        <v>102019</v>
      </c>
      <c r="B679" s="1">
        <v>43739</v>
      </c>
      <c r="C679" s="10">
        <v>43475.645833333336</v>
      </c>
      <c r="D679">
        <v>15651.95</v>
      </c>
      <c r="E679">
        <v>15789</v>
      </c>
      <c r="F679">
        <v>15236.4</v>
      </c>
      <c r="G679">
        <v>15386.35</v>
      </c>
      <c r="H679">
        <v>0</v>
      </c>
      <c r="I679" s="8">
        <f t="shared" si="41"/>
        <v>-7.4347164163699464E-3</v>
      </c>
      <c r="J679" s="8">
        <f t="shared" si="42"/>
        <v>-7.4624916735391974E-3</v>
      </c>
      <c r="K679" s="8">
        <f t="shared" si="39"/>
        <v>-4.5612435413138863E-2</v>
      </c>
    </row>
    <row r="680" spans="1:11" x14ac:dyDescent="0.25">
      <c r="A680" t="str">
        <f t="shared" si="40"/>
        <v>102019</v>
      </c>
      <c r="B680" s="1">
        <v>43741</v>
      </c>
      <c r="C680" s="10">
        <v>43534.645833333336</v>
      </c>
      <c r="D680">
        <v>15348.45</v>
      </c>
      <c r="E680">
        <v>15635.85</v>
      </c>
      <c r="F680">
        <v>15245.8</v>
      </c>
      <c r="G680">
        <v>15592.7</v>
      </c>
      <c r="H680">
        <v>0</v>
      </c>
      <c r="I680" s="8">
        <f t="shared" si="41"/>
        <v>1.341123788292875E-2</v>
      </c>
      <c r="J680" s="8">
        <f t="shared" si="42"/>
        <v>1.3322103284676442E-2</v>
      </c>
      <c r="K680" s="8">
        <f t="shared" si="39"/>
        <v>-3.6029798151525405E-2</v>
      </c>
    </row>
    <row r="681" spans="1:11" x14ac:dyDescent="0.25">
      <c r="A681" t="str">
        <f t="shared" si="40"/>
        <v>102019</v>
      </c>
      <c r="B681" s="1">
        <v>43742</v>
      </c>
      <c r="C681" s="10">
        <v>43565.645833333336</v>
      </c>
      <c r="D681">
        <v>15730.25</v>
      </c>
      <c r="E681">
        <v>15743.3</v>
      </c>
      <c r="F681">
        <v>15460.25</v>
      </c>
      <c r="G681">
        <v>15525.1</v>
      </c>
      <c r="H681">
        <v>0</v>
      </c>
      <c r="I681" s="8">
        <f t="shared" si="41"/>
        <v>-4.3353620604513754E-3</v>
      </c>
      <c r="J681" s="8">
        <f t="shared" si="42"/>
        <v>-4.3447869927424375E-3</v>
      </c>
      <c r="K681" s="8">
        <f t="shared" si="39"/>
        <v>-4.187636736167466E-2</v>
      </c>
    </row>
    <row r="682" spans="1:11" x14ac:dyDescent="0.25">
      <c r="A682" t="str">
        <f t="shared" si="40"/>
        <v>102019</v>
      </c>
      <c r="B682" s="1">
        <v>43745</v>
      </c>
      <c r="C682" s="10">
        <v>43656.645833333336</v>
      </c>
      <c r="D682">
        <v>15468.3</v>
      </c>
      <c r="E682">
        <v>15498.1</v>
      </c>
      <c r="F682">
        <v>15295</v>
      </c>
      <c r="G682">
        <v>15331.6</v>
      </c>
      <c r="H682">
        <v>0</v>
      </c>
      <c r="I682" s="8">
        <f t="shared" si="41"/>
        <v>-1.2463687834538884E-2</v>
      </c>
      <c r="J682" s="8">
        <f t="shared" si="42"/>
        <v>-1.2542011069801485E-2</v>
      </c>
      <c r="K682" s="8">
        <f t="shared" si="39"/>
        <v>-3.0774288170737796E-2</v>
      </c>
    </row>
    <row r="683" spans="1:11" x14ac:dyDescent="0.25">
      <c r="A683" t="str">
        <f t="shared" si="40"/>
        <v>102019</v>
      </c>
      <c r="B683" s="1">
        <v>43747</v>
      </c>
      <c r="C683" s="10">
        <v>43718.645833333336</v>
      </c>
      <c r="D683">
        <v>15326.45</v>
      </c>
      <c r="E683">
        <v>15492.75</v>
      </c>
      <c r="F683">
        <v>15228.55</v>
      </c>
      <c r="G683">
        <v>15469.95</v>
      </c>
      <c r="H683">
        <v>0</v>
      </c>
      <c r="I683" s="8">
        <f t="shared" si="41"/>
        <v>9.0238461739153841E-3</v>
      </c>
      <c r="J683" s="8">
        <f t="shared" si="42"/>
        <v>8.9833745648672213E-3</v>
      </c>
      <c r="K683" s="8">
        <f t="shared" si="39"/>
        <v>5.8517745506325713E-3</v>
      </c>
    </row>
    <row r="684" spans="1:11" x14ac:dyDescent="0.25">
      <c r="A684" t="str">
        <f t="shared" si="40"/>
        <v>102019</v>
      </c>
      <c r="B684" s="1">
        <v>43748</v>
      </c>
      <c r="C684" s="10">
        <v>43748.645833333336</v>
      </c>
      <c r="D684">
        <v>15455.15</v>
      </c>
      <c r="E684">
        <v>15612.3</v>
      </c>
      <c r="F684">
        <v>15438.75</v>
      </c>
      <c r="G684">
        <v>15579.3</v>
      </c>
      <c r="H684">
        <v>0</v>
      </c>
      <c r="I684" s="8">
        <f t="shared" si="41"/>
        <v>7.0685425615466535E-3</v>
      </c>
      <c r="J684" s="8">
        <f t="shared" si="42"/>
        <v>7.0436775188881173E-3</v>
      </c>
      <c r="K684" s="8">
        <f t="shared" si="39"/>
        <v>-5.2606255012033198E-4</v>
      </c>
    </row>
    <row r="685" spans="1:11" x14ac:dyDescent="0.25">
      <c r="A685" t="str">
        <f t="shared" si="40"/>
        <v>102019</v>
      </c>
      <c r="B685" s="1">
        <v>43749</v>
      </c>
      <c r="C685" s="10">
        <v>43779.645833333336</v>
      </c>
      <c r="D685">
        <v>15578</v>
      </c>
      <c r="E685">
        <v>15640.8</v>
      </c>
      <c r="F685">
        <v>15394.35</v>
      </c>
      <c r="G685">
        <v>15510.5</v>
      </c>
      <c r="H685">
        <v>0</v>
      </c>
      <c r="I685" s="8">
        <f t="shared" si="41"/>
        <v>-4.4161162568279178E-3</v>
      </c>
      <c r="J685" s="8">
        <f t="shared" si="42"/>
        <v>-4.4258961014664172E-3</v>
      </c>
      <c r="K685" s="8">
        <f t="shared" si="39"/>
        <v>2.8513422645217723E-3</v>
      </c>
    </row>
    <row r="686" spans="1:11" x14ac:dyDescent="0.25">
      <c r="A686" t="str">
        <f t="shared" si="40"/>
        <v>102019</v>
      </c>
      <c r="B686" s="1">
        <v>43752</v>
      </c>
      <c r="C686" t="s">
        <v>437</v>
      </c>
      <c r="D686">
        <v>15579.2</v>
      </c>
      <c r="E686">
        <v>15701.4</v>
      </c>
      <c r="F686">
        <v>15542.2</v>
      </c>
      <c r="G686">
        <v>15610.2</v>
      </c>
      <c r="H686">
        <v>0</v>
      </c>
      <c r="I686" s="8">
        <f t="shared" si="41"/>
        <v>6.4279036781536014E-3</v>
      </c>
      <c r="J686" s="8">
        <f t="shared" si="42"/>
        <v>6.4073328099540187E-3</v>
      </c>
      <c r="K686" s="8">
        <f t="shared" si="39"/>
        <v>4.023116033612828E-3</v>
      </c>
    </row>
    <row r="687" spans="1:11" x14ac:dyDescent="0.25">
      <c r="A687" t="str">
        <f t="shared" si="40"/>
        <v>102019</v>
      </c>
      <c r="B687" s="1">
        <v>43753</v>
      </c>
      <c r="C687" t="s">
        <v>438</v>
      </c>
      <c r="D687">
        <v>15668</v>
      </c>
      <c r="E687">
        <v>15810.7</v>
      </c>
      <c r="F687">
        <v>15652.55</v>
      </c>
      <c r="G687">
        <v>15782.85</v>
      </c>
      <c r="H687">
        <v>0</v>
      </c>
      <c r="I687" s="8">
        <f t="shared" si="41"/>
        <v>1.106007610408577E-2</v>
      </c>
      <c r="J687" s="8">
        <f t="shared" si="42"/>
        <v>1.099936072994823E-2</v>
      </c>
      <c r="K687" s="8">
        <f t="shared" si="39"/>
        <v>2.2698776287781497E-2</v>
      </c>
    </row>
    <row r="688" spans="1:11" x14ac:dyDescent="0.25">
      <c r="A688" t="str">
        <f t="shared" si="40"/>
        <v>102019</v>
      </c>
      <c r="B688" s="1">
        <v>43754</v>
      </c>
      <c r="C688" t="s">
        <v>439</v>
      </c>
      <c r="D688">
        <v>15875.65</v>
      </c>
      <c r="E688">
        <v>15942.95</v>
      </c>
      <c r="F688">
        <v>15780.05</v>
      </c>
      <c r="G688">
        <v>15833.35</v>
      </c>
      <c r="H688">
        <v>0</v>
      </c>
      <c r="I688" s="8">
        <f t="shared" si="41"/>
        <v>3.1996755972463209E-3</v>
      </c>
      <c r="J688" s="8">
        <f t="shared" si="42"/>
        <v>3.1945675284907583E-3</v>
      </c>
      <c r="K688" s="8">
        <f t="shared" si="39"/>
        <v>2.7372416701813673E-2</v>
      </c>
    </row>
    <row r="689" spans="1:11" x14ac:dyDescent="0.25">
      <c r="A689" t="str">
        <f t="shared" si="40"/>
        <v>102019</v>
      </c>
      <c r="B689" s="1">
        <v>43755</v>
      </c>
      <c r="C689" t="s">
        <v>440</v>
      </c>
      <c r="D689">
        <v>15851.3</v>
      </c>
      <c r="E689">
        <v>15998.65</v>
      </c>
      <c r="F689">
        <v>15763.3</v>
      </c>
      <c r="G689">
        <v>15976.6</v>
      </c>
      <c r="H689">
        <v>0</v>
      </c>
      <c r="I689" s="8">
        <f t="shared" si="41"/>
        <v>9.047358897516844E-3</v>
      </c>
      <c r="J689" s="8">
        <f t="shared" si="42"/>
        <v>9.0066767392835007E-3</v>
      </c>
      <c r="K689" s="8">
        <f t="shared" si="39"/>
        <v>2.0859224991453873E-2</v>
      </c>
    </row>
    <row r="690" spans="1:11" x14ac:dyDescent="0.25">
      <c r="A690" t="str">
        <f t="shared" si="40"/>
        <v>102019</v>
      </c>
      <c r="B690" s="1">
        <v>43756</v>
      </c>
      <c r="C690" t="s">
        <v>441</v>
      </c>
      <c r="D690">
        <v>15979.35</v>
      </c>
      <c r="E690">
        <v>16249.65</v>
      </c>
      <c r="F690">
        <v>15940.4</v>
      </c>
      <c r="G690">
        <v>16183.7</v>
      </c>
      <c r="H690">
        <v>0</v>
      </c>
      <c r="I690" s="8">
        <f t="shared" si="41"/>
        <v>1.2962707960392006E-2</v>
      </c>
      <c r="J690" s="8">
        <f t="shared" si="42"/>
        <v>1.2879411124345508E-2</v>
      </c>
      <c r="K690" s="8">
        <f t="shared" si="39"/>
        <v>4.2898569403273745E-2</v>
      </c>
    </row>
    <row r="691" spans="1:11" x14ac:dyDescent="0.25">
      <c r="A691" t="str">
        <f t="shared" si="40"/>
        <v>102019</v>
      </c>
      <c r="B691" s="1">
        <v>43760</v>
      </c>
      <c r="C691" t="s">
        <v>442</v>
      </c>
      <c r="D691">
        <v>16271</v>
      </c>
      <c r="E691">
        <v>16376.85</v>
      </c>
      <c r="F691">
        <v>16149.25</v>
      </c>
      <c r="G691">
        <v>16268.9</v>
      </c>
      <c r="H691">
        <v>0</v>
      </c>
      <c r="I691" s="8">
        <f t="shared" si="41"/>
        <v>5.2645563128332906E-3</v>
      </c>
      <c r="J691" s="8">
        <f t="shared" si="42"/>
        <v>5.2507469817118894E-3</v>
      </c>
      <c r="K691" s="8">
        <f t="shared" si="39"/>
        <v>6.634811705059751E-2</v>
      </c>
    </row>
    <row r="692" spans="1:11" x14ac:dyDescent="0.25">
      <c r="A692" t="str">
        <f t="shared" si="40"/>
        <v>102019</v>
      </c>
      <c r="B692" s="1">
        <v>43761</v>
      </c>
      <c r="C692" t="s">
        <v>443</v>
      </c>
      <c r="D692">
        <v>16253.1</v>
      </c>
      <c r="E692">
        <v>16312</v>
      </c>
      <c r="F692">
        <v>16056.05</v>
      </c>
      <c r="G692">
        <v>16122.5</v>
      </c>
      <c r="H692">
        <v>0</v>
      </c>
      <c r="I692" s="8">
        <f t="shared" si="41"/>
        <v>-8.9987645138884798E-3</v>
      </c>
      <c r="J692" s="8">
        <f t="shared" si="42"/>
        <v>-9.0394979464564519E-3</v>
      </c>
      <c r="K692" s="8">
        <f t="shared" si="39"/>
        <v>5.9081264657001586E-2</v>
      </c>
    </row>
    <row r="693" spans="1:11" x14ac:dyDescent="0.25">
      <c r="A693" t="str">
        <f t="shared" si="40"/>
        <v>102019</v>
      </c>
      <c r="B693" s="1">
        <v>43762</v>
      </c>
      <c r="C693" t="s">
        <v>444</v>
      </c>
      <c r="D693">
        <v>16172.05</v>
      </c>
      <c r="E693">
        <v>16172.85</v>
      </c>
      <c r="F693">
        <v>15926.4</v>
      </c>
      <c r="G693">
        <v>16116.3</v>
      </c>
      <c r="H693">
        <v>0</v>
      </c>
      <c r="I693" s="8">
        <f t="shared" si="41"/>
        <v>-3.8455574507678669E-4</v>
      </c>
      <c r="J693" s="8">
        <f t="shared" si="42"/>
        <v>-3.8462970559922612E-4</v>
      </c>
      <c r="K693" s="8">
        <f t="shared" si="39"/>
        <v>4.5162419989753566E-2</v>
      </c>
    </row>
    <row r="694" spans="1:11" x14ac:dyDescent="0.25">
      <c r="A694" t="str">
        <f t="shared" si="40"/>
        <v>102019</v>
      </c>
      <c r="B694" s="1">
        <v>43763</v>
      </c>
      <c r="C694" t="s">
        <v>445</v>
      </c>
      <c r="D694">
        <v>16189.6</v>
      </c>
      <c r="E694">
        <v>16189.6</v>
      </c>
      <c r="F694">
        <v>15990.1</v>
      </c>
      <c r="G694">
        <v>16071.65</v>
      </c>
      <c r="H694">
        <v>0</v>
      </c>
      <c r="I694" s="8">
        <f t="shared" si="41"/>
        <v>-2.7704870224555256E-3</v>
      </c>
      <c r="J694" s="8">
        <f t="shared" si="42"/>
        <v>-2.7743319247696104E-3</v>
      </c>
      <c r="K694" s="8">
        <f t="shared" si="39"/>
        <v>3.9788699362410362E-2</v>
      </c>
    </row>
    <row r="695" spans="1:11" x14ac:dyDescent="0.25">
      <c r="A695" t="str">
        <f t="shared" si="40"/>
        <v>102019</v>
      </c>
      <c r="B695" s="1">
        <v>43765</v>
      </c>
      <c r="C695" t="s">
        <v>446</v>
      </c>
      <c r="D695">
        <v>16179.25</v>
      </c>
      <c r="E695">
        <v>16199.35</v>
      </c>
      <c r="F695">
        <v>16080.45</v>
      </c>
      <c r="G695">
        <v>16113.75</v>
      </c>
      <c r="H695">
        <v>0</v>
      </c>
      <c r="I695" s="8">
        <f t="shared" si="41"/>
        <v>2.6195194643985342E-3</v>
      </c>
      <c r="J695" s="8">
        <f t="shared" si="42"/>
        <v>2.6160945031509599E-3</v>
      </c>
      <c r="K695" s="8">
        <f t="shared" si="39"/>
        <v>5.4861643001629989E-2</v>
      </c>
    </row>
    <row r="696" spans="1:11" x14ac:dyDescent="0.25">
      <c r="A696" t="str">
        <f t="shared" si="40"/>
        <v>102019</v>
      </c>
      <c r="B696" s="1">
        <v>43767</v>
      </c>
      <c r="C696" t="s">
        <v>447</v>
      </c>
      <c r="D696">
        <v>16211.6</v>
      </c>
      <c r="E696">
        <v>16391.05</v>
      </c>
      <c r="F696">
        <v>16152.25</v>
      </c>
      <c r="G696">
        <v>16318.4</v>
      </c>
      <c r="H696">
        <v>0</v>
      </c>
      <c r="I696" s="8">
        <f t="shared" si="41"/>
        <v>1.2700333566053823E-2</v>
      </c>
      <c r="J696" s="8">
        <f t="shared" si="42"/>
        <v>1.2620360738939124E-2</v>
      </c>
      <c r="K696" s="8">
        <f t="shared" si="39"/>
        <v>8.3454780250241445E-2</v>
      </c>
    </row>
    <row r="697" spans="1:11" x14ac:dyDescent="0.25">
      <c r="A697" t="str">
        <f t="shared" si="40"/>
        <v>102019</v>
      </c>
      <c r="B697" s="1">
        <v>43768</v>
      </c>
      <c r="C697" t="s">
        <v>448</v>
      </c>
      <c r="D697">
        <v>16486.7</v>
      </c>
      <c r="E697">
        <v>16488.900000000001</v>
      </c>
      <c r="F697">
        <v>16287.4</v>
      </c>
      <c r="G697">
        <v>16463.8</v>
      </c>
      <c r="H697">
        <v>0</v>
      </c>
      <c r="I697" s="8">
        <f t="shared" si="41"/>
        <v>8.9101872732619825E-3</v>
      </c>
      <c r="J697" s="8">
        <f t="shared" si="42"/>
        <v>8.8707257875636006E-3</v>
      </c>
      <c r="K697" s="8">
        <f t="shared" si="39"/>
        <v>0.1034163832247037</v>
      </c>
    </row>
    <row r="698" spans="1:11" x14ac:dyDescent="0.25">
      <c r="A698" t="str">
        <f t="shared" si="40"/>
        <v>102019</v>
      </c>
      <c r="B698" s="1">
        <v>43769</v>
      </c>
      <c r="C698" t="s">
        <v>449</v>
      </c>
      <c r="D698">
        <v>16523.8</v>
      </c>
      <c r="E698">
        <v>16544.05</v>
      </c>
      <c r="F698">
        <v>16440.45</v>
      </c>
      <c r="G698">
        <v>16486.150000000001</v>
      </c>
      <c r="H698">
        <v>0</v>
      </c>
      <c r="I698" s="8">
        <f t="shared" si="41"/>
        <v>1.3575237794434258E-3</v>
      </c>
      <c r="J698" s="8">
        <f t="shared" si="42"/>
        <v>1.3566031771030762E-3</v>
      </c>
      <c r="K698" s="8">
        <f t="shared" si="39"/>
        <v>0.11663009170832161</v>
      </c>
    </row>
    <row r="699" spans="1:11" x14ac:dyDescent="0.25">
      <c r="A699" t="str">
        <f t="shared" si="40"/>
        <v>112019</v>
      </c>
      <c r="B699" s="1">
        <v>43770</v>
      </c>
      <c r="C699" s="10">
        <v>43476.645833333336</v>
      </c>
      <c r="D699">
        <v>16375.3</v>
      </c>
      <c r="E699">
        <v>16416.95</v>
      </c>
      <c r="F699">
        <v>16296.8</v>
      </c>
      <c r="G699">
        <v>16381.05</v>
      </c>
      <c r="H699">
        <v>0</v>
      </c>
      <c r="I699" s="8">
        <f t="shared" si="41"/>
        <v>-6.3750481464746045E-3</v>
      </c>
      <c r="J699" s="8">
        <f t="shared" si="42"/>
        <v>-6.3954555442391516E-3</v>
      </c>
      <c r="K699" s="8">
        <f t="shared" si="39"/>
        <v>0.13001593510068088</v>
      </c>
    </row>
    <row r="700" spans="1:11" x14ac:dyDescent="0.25">
      <c r="A700" t="str">
        <f t="shared" si="40"/>
        <v>112019</v>
      </c>
      <c r="B700" s="1">
        <v>43773</v>
      </c>
      <c r="C700" s="10">
        <v>43566.645833333336</v>
      </c>
      <c r="D700">
        <v>16431.25</v>
      </c>
      <c r="E700">
        <v>16485.7</v>
      </c>
      <c r="F700">
        <v>16335.4</v>
      </c>
      <c r="G700">
        <v>16373.5</v>
      </c>
      <c r="H700">
        <v>0</v>
      </c>
      <c r="I700" s="8">
        <f t="shared" si="41"/>
        <v>-4.6089841615759575E-4</v>
      </c>
      <c r="J700" s="8">
        <f t="shared" si="42"/>
        <v>-4.6100466247969929E-4</v>
      </c>
      <c r="K700" s="8">
        <f t="shared" si="39"/>
        <v>0.12459605273550856</v>
      </c>
    </row>
    <row r="701" spans="1:11" x14ac:dyDescent="0.25">
      <c r="A701" t="str">
        <f t="shared" si="40"/>
        <v>112019</v>
      </c>
      <c r="B701" s="1">
        <v>43774</v>
      </c>
      <c r="C701" s="10">
        <v>43596.645833333336</v>
      </c>
      <c r="D701">
        <v>16382.6</v>
      </c>
      <c r="E701">
        <v>16422.400000000001</v>
      </c>
      <c r="F701">
        <v>16190.05</v>
      </c>
      <c r="G701">
        <v>16274.8</v>
      </c>
      <c r="H701">
        <v>0</v>
      </c>
      <c r="I701" s="8">
        <f t="shared" si="41"/>
        <v>-6.0280331022689593E-3</v>
      </c>
      <c r="J701" s="8">
        <f t="shared" si="42"/>
        <v>-6.0462750394217673E-3</v>
      </c>
      <c r="K701" s="8">
        <f t="shared" si="39"/>
        <v>0.11547635366689502</v>
      </c>
    </row>
    <row r="702" spans="1:11" x14ac:dyDescent="0.25">
      <c r="A702" t="str">
        <f t="shared" si="40"/>
        <v>112019</v>
      </c>
      <c r="B702" s="1">
        <v>43775</v>
      </c>
      <c r="C702" s="10">
        <v>43627.645833333336</v>
      </c>
      <c r="D702">
        <v>16247.75</v>
      </c>
      <c r="E702">
        <v>16294.15</v>
      </c>
      <c r="F702">
        <v>16159.4</v>
      </c>
      <c r="G702">
        <v>16209.1</v>
      </c>
      <c r="H702">
        <v>0</v>
      </c>
      <c r="I702" s="8">
        <f t="shared" si="41"/>
        <v>-4.0369159682452915E-3</v>
      </c>
      <c r="J702" s="8">
        <f t="shared" si="42"/>
        <v>-4.0450863095800593E-3</v>
      </c>
      <c r="K702" s="8">
        <f t="shared" si="39"/>
        <v>0.12298435286252207</v>
      </c>
    </row>
    <row r="703" spans="1:11" x14ac:dyDescent="0.25">
      <c r="A703" t="str">
        <f t="shared" si="40"/>
        <v>112019</v>
      </c>
      <c r="B703" s="1">
        <v>43776</v>
      </c>
      <c r="C703" s="10">
        <v>43657.645833333336</v>
      </c>
      <c r="D703">
        <v>16255.6</v>
      </c>
      <c r="E703">
        <v>16277.15</v>
      </c>
      <c r="F703">
        <v>16108.9</v>
      </c>
      <c r="G703">
        <v>16194.65</v>
      </c>
      <c r="H703">
        <v>0</v>
      </c>
      <c r="I703" s="8">
        <f t="shared" si="41"/>
        <v>-8.9147454207827437E-4</v>
      </c>
      <c r="J703" s="8">
        <f t="shared" si="42"/>
        <v>-8.9187214182545919E-4</v>
      </c>
      <c r="K703" s="8">
        <f t="shared" si="39"/>
        <v>0.15340759363849377</v>
      </c>
    </row>
    <row r="704" spans="1:11" x14ac:dyDescent="0.25">
      <c r="A704" t="str">
        <f t="shared" si="40"/>
        <v>112019</v>
      </c>
      <c r="B704" s="1">
        <v>43777</v>
      </c>
      <c r="C704" s="10">
        <v>43688.645833333336</v>
      </c>
      <c r="D704">
        <v>16167.35</v>
      </c>
      <c r="E704">
        <v>16169.75</v>
      </c>
      <c r="F704">
        <v>15888.05</v>
      </c>
      <c r="G704">
        <v>15911</v>
      </c>
      <c r="H704">
        <v>0</v>
      </c>
      <c r="I704" s="8">
        <f t="shared" si="41"/>
        <v>-1.7515043548332332E-2</v>
      </c>
      <c r="J704" s="8">
        <f t="shared" si="42"/>
        <v>-1.7670246855517852E-2</v>
      </c>
      <c r="K704" s="8">
        <f t="shared" ref="K704:K767" si="43">+G704/G643-1</f>
        <v>0.13513378540827636</v>
      </c>
    </row>
    <row r="705" spans="1:11" x14ac:dyDescent="0.25">
      <c r="A705" t="str">
        <f t="shared" si="40"/>
        <v>112019</v>
      </c>
      <c r="B705" s="1">
        <v>43780</v>
      </c>
      <c r="C705" s="10">
        <v>43780.645833333336</v>
      </c>
      <c r="D705">
        <v>15921.75</v>
      </c>
      <c r="E705">
        <v>15982.25</v>
      </c>
      <c r="F705">
        <v>15830.65</v>
      </c>
      <c r="G705">
        <v>15934.65</v>
      </c>
      <c r="H705">
        <v>0</v>
      </c>
      <c r="I705" s="8">
        <f t="shared" si="41"/>
        <v>1.4863930614039678E-3</v>
      </c>
      <c r="J705" s="8">
        <f t="shared" si="42"/>
        <v>1.485289472679871E-3</v>
      </c>
      <c r="K705" s="8">
        <f t="shared" si="43"/>
        <v>0.15308466873867066</v>
      </c>
    </row>
    <row r="706" spans="1:11" x14ac:dyDescent="0.25">
      <c r="A706" t="str">
        <f t="shared" si="40"/>
        <v>112019</v>
      </c>
      <c r="B706" s="1">
        <v>43782</v>
      </c>
      <c r="C706" t="s">
        <v>450</v>
      </c>
      <c r="D706">
        <v>15923.75</v>
      </c>
      <c r="E706">
        <v>16072.8</v>
      </c>
      <c r="F706">
        <v>15899.35</v>
      </c>
      <c r="G706">
        <v>15962.65</v>
      </c>
      <c r="H706">
        <v>0</v>
      </c>
      <c r="I706" s="8">
        <f t="shared" si="41"/>
        <v>1.757176969685581E-3</v>
      </c>
      <c r="J706" s="8">
        <f t="shared" si="42"/>
        <v>1.7556349403821687E-3</v>
      </c>
      <c r="K706" s="8">
        <f t="shared" si="43"/>
        <v>0.13029516624122417</v>
      </c>
    </row>
    <row r="707" spans="1:11" x14ac:dyDescent="0.25">
      <c r="A707" t="str">
        <f t="shared" ref="A707:A770" si="44">+MONTH(B707)&amp;YEAR(B707)</f>
        <v>112019</v>
      </c>
      <c r="B707" s="1">
        <v>43783</v>
      </c>
      <c r="C707" t="s">
        <v>451</v>
      </c>
      <c r="D707">
        <v>15976.35</v>
      </c>
      <c r="E707">
        <v>15998.1</v>
      </c>
      <c r="F707">
        <v>15829.75</v>
      </c>
      <c r="G707">
        <v>15905</v>
      </c>
      <c r="H707">
        <v>0</v>
      </c>
      <c r="I707" s="8">
        <f t="shared" si="41"/>
        <v>-3.6115557253963981E-3</v>
      </c>
      <c r="J707" s="8">
        <f t="shared" si="42"/>
        <v>-3.6180931376740629E-3</v>
      </c>
      <c r="K707" s="8">
        <f t="shared" si="43"/>
        <v>0.12359947440552732</v>
      </c>
    </row>
    <row r="708" spans="1:11" x14ac:dyDescent="0.25">
      <c r="A708" t="str">
        <f t="shared" si="44"/>
        <v>112019</v>
      </c>
      <c r="B708" s="1">
        <v>43784</v>
      </c>
      <c r="C708" t="s">
        <v>452</v>
      </c>
      <c r="D708">
        <v>15935.95</v>
      </c>
      <c r="E708">
        <v>15979.55</v>
      </c>
      <c r="F708">
        <v>15807.3</v>
      </c>
      <c r="G708">
        <v>15856.65</v>
      </c>
      <c r="H708">
        <v>0</v>
      </c>
      <c r="I708" s="8">
        <f t="shared" ref="I708:I771" si="45">+G708/G707-1</f>
        <v>-3.0399245520277285E-3</v>
      </c>
      <c r="J708" s="8">
        <f t="shared" ref="J708:J771" si="46">+LN(1+I708)</f>
        <v>-3.0445545081945555E-3</v>
      </c>
      <c r="K708" s="8">
        <f t="shared" si="43"/>
        <v>9.9327854020569983E-2</v>
      </c>
    </row>
    <row r="709" spans="1:11" x14ac:dyDescent="0.25">
      <c r="A709" t="str">
        <f t="shared" si="44"/>
        <v>112019</v>
      </c>
      <c r="B709" s="1">
        <v>43787</v>
      </c>
      <c r="C709" t="s">
        <v>453</v>
      </c>
      <c r="D709">
        <v>15906.75</v>
      </c>
      <c r="E709">
        <v>15982.4</v>
      </c>
      <c r="F709">
        <v>15853.4</v>
      </c>
      <c r="G709">
        <v>15883.2</v>
      </c>
      <c r="H709">
        <v>0</v>
      </c>
      <c r="I709" s="8">
        <f t="shared" si="45"/>
        <v>1.6743763657520727E-3</v>
      </c>
      <c r="J709" s="8">
        <f t="shared" si="46"/>
        <v>1.6729761604075786E-3</v>
      </c>
      <c r="K709" s="8">
        <f t="shared" si="43"/>
        <v>9.0542071475162356E-2</v>
      </c>
    </row>
    <row r="710" spans="1:11" x14ac:dyDescent="0.25">
      <c r="A710" t="str">
        <f t="shared" si="44"/>
        <v>112019</v>
      </c>
      <c r="B710" s="1">
        <v>43788</v>
      </c>
      <c r="C710" t="s">
        <v>454</v>
      </c>
      <c r="D710">
        <v>15933.5</v>
      </c>
      <c r="E710">
        <v>16144.65</v>
      </c>
      <c r="F710">
        <v>15891.35</v>
      </c>
      <c r="G710">
        <v>16114.45</v>
      </c>
      <c r="H710">
        <v>0</v>
      </c>
      <c r="I710" s="8">
        <f t="shared" si="45"/>
        <v>1.4559408683388675E-2</v>
      </c>
      <c r="J710" s="8">
        <f t="shared" si="46"/>
        <v>1.4454438138816772E-2</v>
      </c>
      <c r="K710" s="8">
        <f t="shared" si="43"/>
        <v>0.10413026646659396</v>
      </c>
    </row>
    <row r="711" spans="1:11" x14ac:dyDescent="0.25">
      <c r="A711" t="str">
        <f t="shared" si="44"/>
        <v>112019</v>
      </c>
      <c r="B711" s="1">
        <v>43789</v>
      </c>
      <c r="C711" t="s">
        <v>455</v>
      </c>
      <c r="D711">
        <v>16348.7</v>
      </c>
      <c r="E711">
        <v>16424.349999999999</v>
      </c>
      <c r="F711">
        <v>16280.55</v>
      </c>
      <c r="G711">
        <v>16337.4</v>
      </c>
      <c r="H711">
        <v>0</v>
      </c>
      <c r="I711" s="8">
        <f t="shared" si="45"/>
        <v>1.3835408592908882E-2</v>
      </c>
      <c r="J711" s="8">
        <f t="shared" si="46"/>
        <v>1.3740573051941778E-2</v>
      </c>
      <c r="K711" s="8">
        <f t="shared" si="43"/>
        <v>0.11952909251632615</v>
      </c>
    </row>
    <row r="712" spans="1:11" x14ac:dyDescent="0.25">
      <c r="A712" t="str">
        <f t="shared" si="44"/>
        <v>112019</v>
      </c>
      <c r="B712" s="1">
        <v>43790</v>
      </c>
      <c r="C712" t="s">
        <v>456</v>
      </c>
      <c r="D712">
        <v>16364.9</v>
      </c>
      <c r="E712">
        <v>16364.9</v>
      </c>
      <c r="F712">
        <v>16056.3</v>
      </c>
      <c r="G712">
        <v>16085.45</v>
      </c>
      <c r="H712">
        <v>0</v>
      </c>
      <c r="I712" s="8">
        <f t="shared" si="45"/>
        <v>-1.5421670522849373E-2</v>
      </c>
      <c r="J712" s="8">
        <f t="shared" si="46"/>
        <v>-1.554182136891559E-2</v>
      </c>
      <c r="K712" s="8">
        <f t="shared" si="43"/>
        <v>0.1139816892434693</v>
      </c>
    </row>
    <row r="713" spans="1:11" x14ac:dyDescent="0.25">
      <c r="A713" t="str">
        <f t="shared" si="44"/>
        <v>112019</v>
      </c>
      <c r="B713" s="1">
        <v>43791</v>
      </c>
      <c r="C713" t="s">
        <v>457</v>
      </c>
      <c r="D713">
        <v>16122.75</v>
      </c>
      <c r="E713">
        <v>16316.15</v>
      </c>
      <c r="F713">
        <v>16120.6</v>
      </c>
      <c r="G713">
        <v>16221.4</v>
      </c>
      <c r="H713">
        <v>0</v>
      </c>
      <c r="I713" s="8">
        <f t="shared" si="45"/>
        <v>8.4517374397359291E-3</v>
      </c>
      <c r="J713" s="8">
        <f t="shared" si="46"/>
        <v>8.4162214809223746E-3</v>
      </c>
      <c r="K713" s="8">
        <f t="shared" si="43"/>
        <v>0.1406291200967551</v>
      </c>
    </row>
    <row r="714" spans="1:11" x14ac:dyDescent="0.25">
      <c r="A714" t="str">
        <f t="shared" si="44"/>
        <v>112019</v>
      </c>
      <c r="B714" s="1">
        <v>43794</v>
      </c>
      <c r="C714" t="s">
        <v>458</v>
      </c>
      <c r="D714">
        <v>16243.6</v>
      </c>
      <c r="E714">
        <v>16341.45</v>
      </c>
      <c r="F714">
        <v>16223.25</v>
      </c>
      <c r="G714">
        <v>16274.05</v>
      </c>
      <c r="H714">
        <v>0</v>
      </c>
      <c r="I714" s="8">
        <f t="shared" si="45"/>
        <v>3.2457124539189142E-3</v>
      </c>
      <c r="J714" s="8">
        <f t="shared" si="46"/>
        <v>3.2404564990601362E-3</v>
      </c>
      <c r="K714" s="8">
        <f t="shared" si="43"/>
        <v>0.17103085513628624</v>
      </c>
    </row>
    <row r="715" spans="1:11" x14ac:dyDescent="0.25">
      <c r="A715" t="str">
        <f t="shared" si="44"/>
        <v>112019</v>
      </c>
      <c r="B715" s="1">
        <v>43795</v>
      </c>
      <c r="C715" t="s">
        <v>459</v>
      </c>
      <c r="D715">
        <v>16322.25</v>
      </c>
      <c r="E715">
        <v>16381.1</v>
      </c>
      <c r="F715">
        <v>16142.1</v>
      </c>
      <c r="G715">
        <v>16176.05</v>
      </c>
      <c r="H715">
        <v>0</v>
      </c>
      <c r="I715" s="8">
        <f t="shared" si="45"/>
        <v>-6.0218568825830543E-3</v>
      </c>
      <c r="J715" s="8">
        <f t="shared" si="46"/>
        <v>-6.0400613827964727E-3</v>
      </c>
      <c r="K715" s="8">
        <f t="shared" si="43"/>
        <v>0.13229292809094151</v>
      </c>
    </row>
    <row r="716" spans="1:11" x14ac:dyDescent="0.25">
      <c r="A716" t="str">
        <f t="shared" si="44"/>
        <v>112019</v>
      </c>
      <c r="B716" s="1">
        <v>43796</v>
      </c>
      <c r="C716" t="s">
        <v>460</v>
      </c>
      <c r="D716">
        <v>16175.95</v>
      </c>
      <c r="E716">
        <v>16303.3</v>
      </c>
      <c r="F716">
        <v>16144.85</v>
      </c>
      <c r="G716">
        <v>16271.85</v>
      </c>
      <c r="H716">
        <v>0</v>
      </c>
      <c r="I716" s="8">
        <f t="shared" si="45"/>
        <v>5.922335798912659E-3</v>
      </c>
      <c r="J716" s="8">
        <f t="shared" si="46"/>
        <v>5.9048677022806176E-3</v>
      </c>
      <c r="K716" s="8">
        <f t="shared" si="43"/>
        <v>0.12946798874131038</v>
      </c>
    </row>
    <row r="717" spans="1:11" x14ac:dyDescent="0.25">
      <c r="A717" t="str">
        <f t="shared" si="44"/>
        <v>112019</v>
      </c>
      <c r="B717" s="1">
        <v>43797</v>
      </c>
      <c r="C717" t="s">
        <v>461</v>
      </c>
      <c r="D717">
        <v>16302.45</v>
      </c>
      <c r="E717">
        <v>16402</v>
      </c>
      <c r="F717">
        <v>16215.15</v>
      </c>
      <c r="G717">
        <v>16367.05</v>
      </c>
      <c r="H717">
        <v>0</v>
      </c>
      <c r="I717" s="8">
        <f t="shared" si="45"/>
        <v>5.8505947387665902E-3</v>
      </c>
      <c r="J717" s="8">
        <f t="shared" si="46"/>
        <v>5.8335464720488291E-3</v>
      </c>
      <c r="K717" s="8">
        <f t="shared" si="43"/>
        <v>0.12067773167358231</v>
      </c>
    </row>
    <row r="718" spans="1:11" x14ac:dyDescent="0.25">
      <c r="A718" t="str">
        <f t="shared" si="44"/>
        <v>112019</v>
      </c>
      <c r="B718" s="1">
        <v>43798</v>
      </c>
      <c r="C718" t="s">
        <v>462</v>
      </c>
      <c r="D718">
        <v>16381.55</v>
      </c>
      <c r="E718">
        <v>16387.7</v>
      </c>
      <c r="F718">
        <v>16194.65</v>
      </c>
      <c r="G718">
        <v>16232.15</v>
      </c>
      <c r="H718">
        <v>0</v>
      </c>
      <c r="I718" s="8">
        <f t="shared" si="45"/>
        <v>-8.2421694807555124E-3</v>
      </c>
      <c r="J718" s="8">
        <f t="shared" si="46"/>
        <v>-8.2763239604415721E-3</v>
      </c>
      <c r="K718" s="8">
        <f t="shared" si="43"/>
        <v>0.12372101073035657</v>
      </c>
    </row>
    <row r="719" spans="1:11" x14ac:dyDescent="0.25">
      <c r="A719" t="str">
        <f t="shared" si="44"/>
        <v>122019</v>
      </c>
      <c r="B719" s="1">
        <v>43801</v>
      </c>
      <c r="C719" s="10">
        <v>43508.645833333336</v>
      </c>
      <c r="D719">
        <v>16431.5</v>
      </c>
      <c r="E719">
        <v>16431.5</v>
      </c>
      <c r="F719">
        <v>16213.3</v>
      </c>
      <c r="G719">
        <v>16269.2</v>
      </c>
      <c r="H719">
        <v>0</v>
      </c>
      <c r="I719" s="8">
        <f t="shared" si="45"/>
        <v>2.282507246421428E-3</v>
      </c>
      <c r="J719" s="8">
        <f t="shared" si="46"/>
        <v>2.279906283815213E-3</v>
      </c>
      <c r="K719" s="8">
        <f t="shared" si="43"/>
        <v>0.12662518653938726</v>
      </c>
    </row>
    <row r="720" spans="1:11" x14ac:dyDescent="0.25">
      <c r="A720" t="str">
        <f t="shared" si="44"/>
        <v>122019</v>
      </c>
      <c r="B720" s="1">
        <v>43802</v>
      </c>
      <c r="C720" s="10">
        <v>43536.645833333336</v>
      </c>
      <c r="D720">
        <v>16296.45</v>
      </c>
      <c r="E720">
        <v>16300.25</v>
      </c>
      <c r="F720">
        <v>16096.6</v>
      </c>
      <c r="G720">
        <v>16111.65</v>
      </c>
      <c r="H720">
        <v>0</v>
      </c>
      <c r="I720" s="8">
        <f t="shared" si="45"/>
        <v>-9.6839426646671001E-3</v>
      </c>
      <c r="J720" s="8">
        <f t="shared" si="46"/>
        <v>-9.7311369692165608E-3</v>
      </c>
      <c r="K720" s="8">
        <f t="shared" si="43"/>
        <v>0.12024544142953997</v>
      </c>
    </row>
    <row r="721" spans="1:11" x14ac:dyDescent="0.25">
      <c r="A721" t="str">
        <f t="shared" si="44"/>
        <v>122019</v>
      </c>
      <c r="B721" s="1">
        <v>43803</v>
      </c>
      <c r="C721" s="10">
        <v>43567.645833333336</v>
      </c>
      <c r="D721">
        <v>16062.55</v>
      </c>
      <c r="E721">
        <v>16128.8</v>
      </c>
      <c r="F721">
        <v>15905.15</v>
      </c>
      <c r="G721">
        <v>16031.5</v>
      </c>
      <c r="H721">
        <v>0</v>
      </c>
      <c r="I721" s="8">
        <f t="shared" si="45"/>
        <v>-4.9746611923670025E-3</v>
      </c>
      <c r="J721" s="8">
        <f t="shared" si="46"/>
        <v>-4.9870760094762575E-3</v>
      </c>
      <c r="K721" s="8">
        <f t="shared" si="43"/>
        <v>0.14738962865414407</v>
      </c>
    </row>
    <row r="722" spans="1:11" x14ac:dyDescent="0.25">
      <c r="A722" t="str">
        <f t="shared" si="44"/>
        <v>122019</v>
      </c>
      <c r="B722" s="1">
        <v>43804</v>
      </c>
      <c r="C722" s="10">
        <v>43597.645833333336</v>
      </c>
      <c r="D722">
        <v>16086.4</v>
      </c>
      <c r="E722">
        <v>16120</v>
      </c>
      <c r="F722">
        <v>15895.9</v>
      </c>
      <c r="G722">
        <v>15930.1</v>
      </c>
      <c r="H722">
        <v>0</v>
      </c>
      <c r="I722" s="8">
        <f t="shared" si="45"/>
        <v>-6.3250475626110969E-3</v>
      </c>
      <c r="J722" s="8">
        <f t="shared" si="46"/>
        <v>-6.3451354252011564E-3</v>
      </c>
      <c r="K722" s="8">
        <f t="shared" si="43"/>
        <v>0.13360113572884824</v>
      </c>
    </row>
    <row r="723" spans="1:11" x14ac:dyDescent="0.25">
      <c r="A723" t="str">
        <f t="shared" si="44"/>
        <v>122019</v>
      </c>
      <c r="B723" s="1">
        <v>43805</v>
      </c>
      <c r="C723" s="10">
        <v>43628.645833333336</v>
      </c>
      <c r="D723">
        <v>15963.4</v>
      </c>
      <c r="E723">
        <v>16008.05</v>
      </c>
      <c r="F723">
        <v>15751.35</v>
      </c>
      <c r="G723">
        <v>15811.75</v>
      </c>
      <c r="H723">
        <v>0</v>
      </c>
      <c r="I723" s="8">
        <f t="shared" si="45"/>
        <v>-7.4293318937106445E-3</v>
      </c>
      <c r="J723" s="8">
        <f t="shared" si="46"/>
        <v>-7.457066833336458E-3</v>
      </c>
      <c r="K723" s="8">
        <f t="shared" si="43"/>
        <v>0.10272477473707697</v>
      </c>
    </row>
    <row r="724" spans="1:11" x14ac:dyDescent="0.25">
      <c r="A724" t="str">
        <f t="shared" si="44"/>
        <v>122019</v>
      </c>
      <c r="B724" s="1">
        <v>43808</v>
      </c>
      <c r="C724" s="10">
        <v>43720.645833333336</v>
      </c>
      <c r="D724">
        <v>15836</v>
      </c>
      <c r="E724">
        <v>15988.15</v>
      </c>
      <c r="F724">
        <v>15760</v>
      </c>
      <c r="G724">
        <v>15950.5</v>
      </c>
      <c r="H724">
        <v>0</v>
      </c>
      <c r="I724" s="8">
        <f t="shared" si="45"/>
        <v>8.7751197685266291E-3</v>
      </c>
      <c r="J724" s="8">
        <f t="shared" si="46"/>
        <v>8.736842169076893E-3</v>
      </c>
      <c r="K724" s="8">
        <f t="shared" si="43"/>
        <v>9.314390668475947E-2</v>
      </c>
    </row>
    <row r="725" spans="1:11" x14ac:dyDescent="0.25">
      <c r="A725" t="str">
        <f t="shared" si="44"/>
        <v>122019</v>
      </c>
      <c r="B725" s="1">
        <v>43809</v>
      </c>
      <c r="C725" s="10">
        <v>43750.645833333336</v>
      </c>
      <c r="D725">
        <v>15935.85</v>
      </c>
      <c r="E725">
        <v>15965.05</v>
      </c>
      <c r="F725">
        <v>15655.15</v>
      </c>
      <c r="G725">
        <v>15682.65</v>
      </c>
      <c r="H725">
        <v>0</v>
      </c>
      <c r="I725" s="8">
        <f t="shared" si="45"/>
        <v>-1.6792577035202649E-2</v>
      </c>
      <c r="J725" s="8">
        <f t="shared" si="46"/>
        <v>-1.6935170957349685E-2</v>
      </c>
      <c r="K725" s="8">
        <f t="shared" si="43"/>
        <v>7.2842449471023363E-2</v>
      </c>
    </row>
    <row r="726" spans="1:11" x14ac:dyDescent="0.25">
      <c r="A726" t="str">
        <f t="shared" si="44"/>
        <v>122019</v>
      </c>
      <c r="B726" s="1">
        <v>43810</v>
      </c>
      <c r="C726" s="10">
        <v>43781.645833333336</v>
      </c>
      <c r="D726">
        <v>15679.1</v>
      </c>
      <c r="E726">
        <v>15866</v>
      </c>
      <c r="F726">
        <v>15661.45</v>
      </c>
      <c r="G726">
        <v>15834.1</v>
      </c>
      <c r="H726">
        <v>0</v>
      </c>
      <c r="I726" s="8">
        <f t="shared" si="45"/>
        <v>9.6571689095912294E-3</v>
      </c>
      <c r="J726" s="8">
        <f t="shared" si="46"/>
        <v>9.610836508306915E-3</v>
      </c>
      <c r="K726" s="8">
        <f t="shared" si="43"/>
        <v>8.5635340175932884E-2</v>
      </c>
    </row>
    <row r="727" spans="1:11" x14ac:dyDescent="0.25">
      <c r="A727" t="str">
        <f t="shared" si="44"/>
        <v>122019</v>
      </c>
      <c r="B727" s="1">
        <v>43811</v>
      </c>
      <c r="C727" s="10">
        <v>43811.645833333336</v>
      </c>
      <c r="D727">
        <v>15914.05</v>
      </c>
      <c r="E727">
        <v>16000.4</v>
      </c>
      <c r="F727">
        <v>15843.15</v>
      </c>
      <c r="G727">
        <v>15949.95</v>
      </c>
      <c r="H727">
        <v>0</v>
      </c>
      <c r="I727" s="8">
        <f t="shared" si="45"/>
        <v>7.3164878332208083E-3</v>
      </c>
      <c r="J727" s="8">
        <f t="shared" si="46"/>
        <v>7.2898521768458647E-3</v>
      </c>
      <c r="K727" s="8">
        <f t="shared" si="43"/>
        <v>0.10727785819162561</v>
      </c>
    </row>
    <row r="728" spans="1:11" x14ac:dyDescent="0.25">
      <c r="A728" t="str">
        <f t="shared" si="44"/>
        <v>122019</v>
      </c>
      <c r="B728" s="1">
        <v>43812</v>
      </c>
      <c r="C728" t="s">
        <v>463</v>
      </c>
      <c r="D728">
        <v>16028.55</v>
      </c>
      <c r="E728">
        <v>16093.9</v>
      </c>
      <c r="F728">
        <v>15965.35</v>
      </c>
      <c r="G728">
        <v>16068.05</v>
      </c>
      <c r="H728">
        <v>0</v>
      </c>
      <c r="I728" s="8">
        <f t="shared" si="45"/>
        <v>7.4044119260561203E-3</v>
      </c>
      <c r="J728" s="8">
        <f t="shared" si="46"/>
        <v>7.3771338374487155E-3</v>
      </c>
      <c r="K728" s="8">
        <f t="shared" si="43"/>
        <v>9.1049524178133501E-2</v>
      </c>
    </row>
    <row r="729" spans="1:11" x14ac:dyDescent="0.25">
      <c r="A729" t="str">
        <f t="shared" si="44"/>
        <v>122019</v>
      </c>
      <c r="B729" s="1">
        <v>43815</v>
      </c>
      <c r="C729" t="s">
        <v>464</v>
      </c>
      <c r="D729">
        <v>16117.25</v>
      </c>
      <c r="E729">
        <v>16141.4</v>
      </c>
      <c r="F729">
        <v>15959.5</v>
      </c>
      <c r="G729">
        <v>15974.2</v>
      </c>
      <c r="H729">
        <v>0</v>
      </c>
      <c r="I729" s="8">
        <f t="shared" si="45"/>
        <v>-5.8407834180250751E-3</v>
      </c>
      <c r="J729" s="8">
        <f t="shared" si="46"/>
        <v>-5.857907504770634E-3</v>
      </c>
      <c r="K729" s="8">
        <f t="shared" si="43"/>
        <v>9.913337851645676E-2</v>
      </c>
    </row>
    <row r="730" spans="1:11" x14ac:dyDescent="0.25">
      <c r="A730" t="str">
        <f t="shared" si="44"/>
        <v>122019</v>
      </c>
      <c r="B730" s="1">
        <v>43816</v>
      </c>
      <c r="C730" t="s">
        <v>465</v>
      </c>
      <c r="D730">
        <v>15964.85</v>
      </c>
      <c r="E730">
        <v>16019.05</v>
      </c>
      <c r="F730">
        <v>15907.2</v>
      </c>
      <c r="G730">
        <v>15975.55</v>
      </c>
      <c r="H730">
        <v>0</v>
      </c>
      <c r="I730" s="8">
        <f t="shared" si="45"/>
        <v>8.4511274429877048E-5</v>
      </c>
      <c r="J730" s="8">
        <f t="shared" si="46"/>
        <v>8.4507703553308964E-5</v>
      </c>
      <c r="K730" s="8">
        <f t="shared" si="43"/>
        <v>0.11435427224185002</v>
      </c>
    </row>
    <row r="731" spans="1:11" x14ac:dyDescent="0.25">
      <c r="A731" t="str">
        <f t="shared" si="44"/>
        <v>122019</v>
      </c>
      <c r="B731" s="1">
        <v>43817</v>
      </c>
      <c r="C731" t="s">
        <v>466</v>
      </c>
      <c r="D731">
        <v>15961</v>
      </c>
      <c r="E731">
        <v>16000.95</v>
      </c>
      <c r="F731">
        <v>15899.2</v>
      </c>
      <c r="G731">
        <v>15956.85</v>
      </c>
      <c r="H731">
        <v>0</v>
      </c>
      <c r="I731" s="8">
        <f t="shared" si="45"/>
        <v>-1.1705387294959069E-3</v>
      </c>
      <c r="J731" s="8">
        <f t="shared" si="46"/>
        <v>-1.1712243450331134E-3</v>
      </c>
      <c r="K731" s="8">
        <f t="shared" si="43"/>
        <v>0.10126608486806021</v>
      </c>
    </row>
    <row r="732" spans="1:11" x14ac:dyDescent="0.25">
      <c r="A732" t="str">
        <f t="shared" si="44"/>
        <v>122019</v>
      </c>
      <c r="B732" s="1">
        <v>43818</v>
      </c>
      <c r="C732" t="s">
        <v>467</v>
      </c>
      <c r="D732">
        <v>15941.5</v>
      </c>
      <c r="E732">
        <v>16138.35</v>
      </c>
      <c r="F732">
        <v>15901.8</v>
      </c>
      <c r="G732">
        <v>16112.9</v>
      </c>
      <c r="H732">
        <v>0</v>
      </c>
      <c r="I732" s="8">
        <f t="shared" si="45"/>
        <v>9.7794990865991416E-3</v>
      </c>
      <c r="J732" s="8">
        <f t="shared" si="46"/>
        <v>9.7319892823415927E-3</v>
      </c>
      <c r="K732" s="8">
        <f t="shared" si="43"/>
        <v>0.12820028077398393</v>
      </c>
    </row>
    <row r="733" spans="1:11" x14ac:dyDescent="0.25">
      <c r="A733" t="str">
        <f t="shared" si="44"/>
        <v>122019</v>
      </c>
      <c r="B733" s="1">
        <v>43819</v>
      </c>
      <c r="C733" t="s">
        <v>468</v>
      </c>
      <c r="D733">
        <v>16126.85</v>
      </c>
      <c r="E733">
        <v>16184.75</v>
      </c>
      <c r="F733">
        <v>16052.05</v>
      </c>
      <c r="G733">
        <v>16081.15</v>
      </c>
      <c r="H733">
        <v>0</v>
      </c>
      <c r="I733" s="8">
        <f t="shared" si="45"/>
        <v>-1.9704708649591618E-3</v>
      </c>
      <c r="J733" s="8">
        <f t="shared" si="46"/>
        <v>-1.9724147967343699E-3</v>
      </c>
      <c r="K733" s="8">
        <f t="shared" si="43"/>
        <v>8.2246173207573881E-2</v>
      </c>
    </row>
    <row r="734" spans="1:11" x14ac:dyDescent="0.25">
      <c r="A734" t="str">
        <f t="shared" si="44"/>
        <v>122019</v>
      </c>
      <c r="B734" s="1">
        <v>43822</v>
      </c>
      <c r="C734" t="s">
        <v>469</v>
      </c>
      <c r="D734">
        <v>15903.1</v>
      </c>
      <c r="E734">
        <v>16033.3</v>
      </c>
      <c r="F734">
        <v>15902.9</v>
      </c>
      <c r="G734">
        <v>15971.6</v>
      </c>
      <c r="H734">
        <v>0</v>
      </c>
      <c r="I734" s="8">
        <f t="shared" si="45"/>
        <v>-6.8123237455032237E-3</v>
      </c>
      <c r="J734" s="8">
        <f t="shared" si="46"/>
        <v>-6.8356335458310234E-3</v>
      </c>
      <c r="K734" s="8">
        <f t="shared" si="43"/>
        <v>6.4808826960898624E-2</v>
      </c>
    </row>
    <row r="735" spans="1:11" x14ac:dyDescent="0.25">
      <c r="A735" t="str">
        <f t="shared" si="44"/>
        <v>122019</v>
      </c>
      <c r="B735" s="1">
        <v>43823</v>
      </c>
      <c r="C735" t="s">
        <v>470</v>
      </c>
      <c r="D735">
        <v>15972.65</v>
      </c>
      <c r="E735">
        <v>16018.15</v>
      </c>
      <c r="F735">
        <v>15826.4</v>
      </c>
      <c r="G735">
        <v>15861.3</v>
      </c>
      <c r="H735">
        <v>0</v>
      </c>
      <c r="I735" s="8">
        <f t="shared" si="45"/>
        <v>-6.9060081644920501E-3</v>
      </c>
      <c r="J735" s="8">
        <f t="shared" si="46"/>
        <v>-6.9299649999881594E-3</v>
      </c>
      <c r="K735" s="8">
        <f t="shared" si="43"/>
        <v>5.0358092425260681E-2</v>
      </c>
    </row>
    <row r="736" spans="1:11" x14ac:dyDescent="0.25">
      <c r="A736" t="str">
        <f t="shared" si="44"/>
        <v>122019</v>
      </c>
      <c r="B736" s="1">
        <v>43825</v>
      </c>
      <c r="C736" t="s">
        <v>471</v>
      </c>
      <c r="D736">
        <v>15828.75</v>
      </c>
      <c r="E736">
        <v>15881.5</v>
      </c>
      <c r="F736">
        <v>15664.75</v>
      </c>
      <c r="G736">
        <v>15705.3</v>
      </c>
      <c r="H736">
        <v>0</v>
      </c>
      <c r="I736" s="8">
        <f t="shared" si="45"/>
        <v>-9.8352594049667674E-3</v>
      </c>
      <c r="J736" s="8">
        <f t="shared" si="46"/>
        <v>-9.8839450557703275E-3</v>
      </c>
      <c r="K736" s="8">
        <f t="shared" si="43"/>
        <v>3.4659270580794654E-2</v>
      </c>
    </row>
    <row r="737" spans="1:11" x14ac:dyDescent="0.25">
      <c r="A737" t="str">
        <f t="shared" si="44"/>
        <v>122019</v>
      </c>
      <c r="B737" s="1">
        <v>43826</v>
      </c>
      <c r="C737" t="s">
        <v>472</v>
      </c>
      <c r="D737">
        <v>15787.75</v>
      </c>
      <c r="E737">
        <v>15967.5</v>
      </c>
      <c r="F737">
        <v>15771.75</v>
      </c>
      <c r="G737">
        <v>15944.95</v>
      </c>
      <c r="H737">
        <v>0</v>
      </c>
      <c r="I737" s="8">
        <f t="shared" si="45"/>
        <v>1.5259180022030971E-2</v>
      </c>
      <c r="J737" s="8">
        <f t="shared" si="46"/>
        <v>1.5143929672945566E-2</v>
      </c>
      <c r="K737" s="8">
        <f t="shared" si="43"/>
        <v>3.2242715366837427E-2</v>
      </c>
    </row>
    <row r="738" spans="1:11" x14ac:dyDescent="0.25">
      <c r="A738" t="str">
        <f t="shared" si="44"/>
        <v>122019</v>
      </c>
      <c r="B738" s="1">
        <v>43829</v>
      </c>
      <c r="C738" t="s">
        <v>473</v>
      </c>
      <c r="D738">
        <v>15952.9</v>
      </c>
      <c r="E738">
        <v>15985.35</v>
      </c>
      <c r="F738">
        <v>15871.4</v>
      </c>
      <c r="G738">
        <v>15962.15</v>
      </c>
      <c r="H738">
        <v>0</v>
      </c>
      <c r="I738" s="8">
        <f t="shared" si="45"/>
        <v>1.0787114415535815E-3</v>
      </c>
      <c r="J738" s="8">
        <f t="shared" si="46"/>
        <v>1.0781300504311201E-3</v>
      </c>
      <c r="K738" s="8">
        <f t="shared" si="43"/>
        <v>3.7618349589981337E-2</v>
      </c>
    </row>
    <row r="739" spans="1:11" x14ac:dyDescent="0.25">
      <c r="A739" t="str">
        <f t="shared" si="44"/>
        <v>122019</v>
      </c>
      <c r="B739" s="1">
        <v>43830</v>
      </c>
      <c r="C739" t="s">
        <v>474</v>
      </c>
      <c r="D739">
        <v>15933.2</v>
      </c>
      <c r="E739">
        <v>16028.7</v>
      </c>
      <c r="F739">
        <v>15879.5</v>
      </c>
      <c r="G739">
        <v>15908.2</v>
      </c>
      <c r="H739">
        <v>0</v>
      </c>
      <c r="I739" s="8">
        <f t="shared" si="45"/>
        <v>-3.3798705061660606E-3</v>
      </c>
      <c r="J739" s="8">
        <f t="shared" si="46"/>
        <v>-3.3855951712093105E-3</v>
      </c>
      <c r="K739" s="8">
        <f t="shared" si="43"/>
        <v>2.6229550498013232E-2</v>
      </c>
    </row>
    <row r="740" spans="1:11" x14ac:dyDescent="0.25">
      <c r="A740" t="str">
        <f t="shared" si="44"/>
        <v>12020</v>
      </c>
      <c r="B740" s="1">
        <v>43831</v>
      </c>
      <c r="C740" s="10">
        <v>43831.645833333336</v>
      </c>
      <c r="D740">
        <v>15936.4</v>
      </c>
      <c r="E740">
        <v>16009.65</v>
      </c>
      <c r="F740">
        <v>15910.15</v>
      </c>
      <c r="G740">
        <v>15987.8</v>
      </c>
      <c r="H740">
        <v>0</v>
      </c>
      <c r="I740" s="8">
        <f t="shared" si="45"/>
        <v>5.0037087791201529E-3</v>
      </c>
      <c r="J740" s="8">
        <f t="shared" si="46"/>
        <v>4.9912318317125708E-3</v>
      </c>
      <c r="K740" s="8">
        <f t="shared" si="43"/>
        <v>3.9089842620244397E-2</v>
      </c>
    </row>
    <row r="741" spans="1:11" x14ac:dyDescent="0.25">
      <c r="A741" t="str">
        <f t="shared" si="44"/>
        <v>12020</v>
      </c>
      <c r="B741" s="1">
        <v>43832</v>
      </c>
      <c r="C741" s="10">
        <v>43862.645833333336</v>
      </c>
      <c r="D741">
        <v>16007.55</v>
      </c>
      <c r="E741">
        <v>16146.8</v>
      </c>
      <c r="F741">
        <v>15981.25</v>
      </c>
      <c r="G741">
        <v>16128.5</v>
      </c>
      <c r="H741">
        <v>0</v>
      </c>
      <c r="I741" s="8">
        <f t="shared" si="45"/>
        <v>8.8004603510176693E-3</v>
      </c>
      <c r="J741" s="8">
        <f t="shared" si="46"/>
        <v>8.7619620037359472E-3</v>
      </c>
      <c r="K741" s="8">
        <f t="shared" si="43"/>
        <v>3.4362233609317228E-2</v>
      </c>
    </row>
    <row r="742" spans="1:11" x14ac:dyDescent="0.25">
      <c r="A742" t="str">
        <f t="shared" si="44"/>
        <v>12020</v>
      </c>
      <c r="B742" s="1">
        <v>43833</v>
      </c>
      <c r="C742" s="10">
        <v>43891.645833333336</v>
      </c>
      <c r="D742">
        <v>16114.3</v>
      </c>
      <c r="E742">
        <v>16169.55</v>
      </c>
      <c r="F742">
        <v>16013.9</v>
      </c>
      <c r="G742">
        <v>16054.8</v>
      </c>
      <c r="H742">
        <v>0</v>
      </c>
      <c r="I742" s="8">
        <f t="shared" si="45"/>
        <v>-4.5695507951762915E-3</v>
      </c>
      <c r="J742" s="8">
        <f t="shared" si="46"/>
        <v>-4.5800231070966865E-3</v>
      </c>
      <c r="K742" s="8">
        <f t="shared" si="43"/>
        <v>3.4118942873153646E-2</v>
      </c>
    </row>
    <row r="743" spans="1:11" x14ac:dyDescent="0.25">
      <c r="A743" t="str">
        <f t="shared" si="44"/>
        <v>12020</v>
      </c>
      <c r="B743" s="1">
        <v>43836</v>
      </c>
      <c r="C743" s="10">
        <v>43983.645833333336</v>
      </c>
      <c r="D743">
        <v>15936.05</v>
      </c>
      <c r="E743">
        <v>15968.3</v>
      </c>
      <c r="F743">
        <v>15690.25</v>
      </c>
      <c r="G743">
        <v>15737.05</v>
      </c>
      <c r="H743">
        <v>0</v>
      </c>
      <c r="I743" s="8">
        <f t="shared" si="45"/>
        <v>-1.9791588808331428E-2</v>
      </c>
      <c r="J743" s="8">
        <f t="shared" si="46"/>
        <v>-1.9990065446110299E-2</v>
      </c>
      <c r="K743" s="8">
        <f t="shared" si="43"/>
        <v>2.6445380782175398E-2</v>
      </c>
    </row>
    <row r="744" spans="1:11" x14ac:dyDescent="0.25">
      <c r="A744" t="str">
        <f t="shared" si="44"/>
        <v>12020</v>
      </c>
      <c r="B744" s="1">
        <v>43837</v>
      </c>
      <c r="C744" s="10">
        <v>44013.645833333336</v>
      </c>
      <c r="D744">
        <v>15819.25</v>
      </c>
      <c r="E744">
        <v>15948.65</v>
      </c>
      <c r="F744">
        <v>15753.95</v>
      </c>
      <c r="G744">
        <v>15793.75</v>
      </c>
      <c r="H744">
        <v>0</v>
      </c>
      <c r="I744" s="8">
        <f t="shared" si="45"/>
        <v>3.6029624357805101E-3</v>
      </c>
      <c r="J744" s="8">
        <f t="shared" si="46"/>
        <v>3.5964873150407385E-3</v>
      </c>
      <c r="K744" s="8">
        <f t="shared" si="43"/>
        <v>2.0930901521982959E-2</v>
      </c>
    </row>
    <row r="745" spans="1:11" x14ac:dyDescent="0.25">
      <c r="A745" t="str">
        <f t="shared" si="44"/>
        <v>12020</v>
      </c>
      <c r="B745" s="1">
        <v>43838</v>
      </c>
      <c r="C745" s="10">
        <v>44044.645833333336</v>
      </c>
      <c r="D745">
        <v>15630.25</v>
      </c>
      <c r="E745">
        <v>15760.5</v>
      </c>
      <c r="F745">
        <v>15581.6</v>
      </c>
      <c r="G745">
        <v>15664.95</v>
      </c>
      <c r="H745">
        <v>0</v>
      </c>
      <c r="I745" s="8">
        <f t="shared" si="45"/>
        <v>-8.1551246537395761E-3</v>
      </c>
      <c r="J745" s="8">
        <f t="shared" si="46"/>
        <v>-8.1885595842240803E-3</v>
      </c>
      <c r="K745" s="8">
        <f t="shared" si="43"/>
        <v>5.4976796133332506E-3</v>
      </c>
    </row>
    <row r="746" spans="1:11" x14ac:dyDescent="0.25">
      <c r="A746" t="str">
        <f t="shared" si="44"/>
        <v>12020</v>
      </c>
      <c r="B746" s="1">
        <v>43839</v>
      </c>
      <c r="C746" s="10">
        <v>44075.645833333336</v>
      </c>
      <c r="D746">
        <v>15897.35</v>
      </c>
      <c r="E746">
        <v>15921.15</v>
      </c>
      <c r="F746">
        <v>15820.9</v>
      </c>
      <c r="G746">
        <v>15900.35</v>
      </c>
      <c r="H746">
        <v>0</v>
      </c>
      <c r="I746" s="8">
        <f t="shared" si="45"/>
        <v>1.5027178509985584E-2</v>
      </c>
      <c r="J746" s="8">
        <f t="shared" si="46"/>
        <v>1.491538899238567E-2</v>
      </c>
      <c r="K746" s="8">
        <f t="shared" si="43"/>
        <v>2.5134586248025448E-2</v>
      </c>
    </row>
    <row r="747" spans="1:11" x14ac:dyDescent="0.25">
      <c r="A747" t="str">
        <f t="shared" si="44"/>
        <v>12020</v>
      </c>
      <c r="B747" s="1">
        <v>43840</v>
      </c>
      <c r="C747" s="10">
        <v>44105.645833333336</v>
      </c>
      <c r="D747">
        <v>15972.65</v>
      </c>
      <c r="E747">
        <v>16037.7</v>
      </c>
      <c r="F747">
        <v>15872.55</v>
      </c>
      <c r="G747">
        <v>15940.15</v>
      </c>
      <c r="H747">
        <v>0</v>
      </c>
      <c r="I747" s="8">
        <f t="shared" si="45"/>
        <v>2.5030895546322984E-3</v>
      </c>
      <c r="J747" s="8">
        <f t="shared" si="46"/>
        <v>2.4999620438455892E-3</v>
      </c>
      <c r="K747" s="8">
        <f t="shared" si="43"/>
        <v>2.1136820796658462E-2</v>
      </c>
    </row>
    <row r="748" spans="1:11" x14ac:dyDescent="0.25">
      <c r="A748" t="str">
        <f t="shared" si="44"/>
        <v>12020</v>
      </c>
      <c r="B748" s="1">
        <v>43843</v>
      </c>
      <c r="C748" t="s">
        <v>475</v>
      </c>
      <c r="D748">
        <v>15951.75</v>
      </c>
      <c r="E748">
        <v>16090.6</v>
      </c>
      <c r="F748">
        <v>15951.75</v>
      </c>
      <c r="G748">
        <v>16043.35</v>
      </c>
      <c r="H748">
        <v>0</v>
      </c>
      <c r="I748" s="8">
        <f t="shared" si="45"/>
        <v>6.4742176202858825E-3</v>
      </c>
      <c r="J748" s="8">
        <f t="shared" si="46"/>
        <v>6.4533498931001968E-3</v>
      </c>
      <c r="K748" s="8">
        <f t="shared" si="43"/>
        <v>1.6505257288766062E-2</v>
      </c>
    </row>
    <row r="749" spans="1:11" x14ac:dyDescent="0.25">
      <c r="A749" t="str">
        <f t="shared" si="44"/>
        <v>12020</v>
      </c>
      <c r="B749" s="1">
        <v>43844</v>
      </c>
      <c r="C749" t="s">
        <v>476</v>
      </c>
      <c r="D749">
        <v>16062.25</v>
      </c>
      <c r="E749">
        <v>16152.75</v>
      </c>
      <c r="F749">
        <v>15994.85</v>
      </c>
      <c r="G749">
        <v>16053.25</v>
      </c>
      <c r="H749">
        <v>0</v>
      </c>
      <c r="I749" s="8">
        <f t="shared" si="45"/>
        <v>6.1707810401201435E-4</v>
      </c>
      <c r="J749" s="8">
        <f t="shared" si="46"/>
        <v>6.1688778960733209E-4</v>
      </c>
      <c r="K749" s="8">
        <f t="shared" si="43"/>
        <v>1.3888406433256284E-2</v>
      </c>
    </row>
    <row r="750" spans="1:11" x14ac:dyDescent="0.25">
      <c r="A750" t="str">
        <f t="shared" si="44"/>
        <v>12020</v>
      </c>
      <c r="B750" s="1">
        <v>43845</v>
      </c>
      <c r="C750" t="s">
        <v>477</v>
      </c>
      <c r="D750">
        <v>16067.65</v>
      </c>
      <c r="E750">
        <v>16075.4</v>
      </c>
      <c r="F750">
        <v>15941.1</v>
      </c>
      <c r="G750">
        <v>16019</v>
      </c>
      <c r="H750">
        <v>0</v>
      </c>
      <c r="I750" s="8">
        <f t="shared" si="45"/>
        <v>-2.1335243642253143E-3</v>
      </c>
      <c r="J750" s="8">
        <f t="shared" si="46"/>
        <v>-2.1358035697357108E-3</v>
      </c>
      <c r="K750" s="8">
        <f t="shared" si="43"/>
        <v>2.6538813014032048E-3</v>
      </c>
    </row>
    <row r="751" spans="1:11" x14ac:dyDescent="0.25">
      <c r="A751" t="str">
        <f t="shared" si="44"/>
        <v>12020</v>
      </c>
      <c r="B751" s="1">
        <v>43846</v>
      </c>
      <c r="C751" t="s">
        <v>478</v>
      </c>
      <c r="D751">
        <v>16045.2</v>
      </c>
      <c r="E751">
        <v>16076.75</v>
      </c>
      <c r="F751">
        <v>15955.15</v>
      </c>
      <c r="G751">
        <v>15974.4</v>
      </c>
      <c r="H751">
        <v>0</v>
      </c>
      <c r="I751" s="8">
        <f t="shared" si="45"/>
        <v>-2.7841937698982466E-3</v>
      </c>
      <c r="J751" s="8">
        <f t="shared" si="46"/>
        <v>-2.7880768465390199E-3</v>
      </c>
      <c r="K751" s="8">
        <f t="shared" si="43"/>
        <v>-1.293276568399071E-2</v>
      </c>
    </row>
    <row r="752" spans="1:11" x14ac:dyDescent="0.25">
      <c r="A752" t="str">
        <f t="shared" si="44"/>
        <v>12020</v>
      </c>
      <c r="B752" s="1">
        <v>43847</v>
      </c>
      <c r="C752" t="s">
        <v>479</v>
      </c>
      <c r="D752">
        <v>15997.7</v>
      </c>
      <c r="E752">
        <v>16101.35</v>
      </c>
      <c r="F752">
        <v>15944.75</v>
      </c>
      <c r="G752">
        <v>16077.65</v>
      </c>
      <c r="H752">
        <v>0</v>
      </c>
      <c r="I752" s="8">
        <f t="shared" si="45"/>
        <v>6.4634665464744501E-3</v>
      </c>
      <c r="J752" s="8">
        <f t="shared" si="46"/>
        <v>6.4426679192903765E-3</v>
      </c>
      <c r="K752" s="8">
        <f t="shared" si="43"/>
        <v>-1.1755558150827627E-2</v>
      </c>
    </row>
    <row r="753" spans="1:11" x14ac:dyDescent="0.25">
      <c r="A753" t="str">
        <f t="shared" si="44"/>
        <v>12020</v>
      </c>
      <c r="B753" s="1">
        <v>43850</v>
      </c>
      <c r="C753" t="s">
        <v>480</v>
      </c>
      <c r="D753">
        <v>16196.35</v>
      </c>
      <c r="E753">
        <v>16196.35</v>
      </c>
      <c r="F753">
        <v>15833.2</v>
      </c>
      <c r="G753">
        <v>15854.85</v>
      </c>
      <c r="H753">
        <v>0</v>
      </c>
      <c r="I753" s="8">
        <f t="shared" si="45"/>
        <v>-1.385774662341821E-2</v>
      </c>
      <c r="J753" s="8">
        <f t="shared" si="46"/>
        <v>-1.395466158447765E-2</v>
      </c>
      <c r="K753" s="8">
        <f t="shared" si="43"/>
        <v>-1.6601023414482885E-2</v>
      </c>
    </row>
    <row r="754" spans="1:11" x14ac:dyDescent="0.25">
      <c r="A754" t="str">
        <f t="shared" si="44"/>
        <v>12020</v>
      </c>
      <c r="B754" s="1">
        <v>43851</v>
      </c>
      <c r="C754" t="s">
        <v>481</v>
      </c>
      <c r="D754">
        <v>15843.05</v>
      </c>
      <c r="E754">
        <v>15908.6</v>
      </c>
      <c r="F754">
        <v>15762.75</v>
      </c>
      <c r="G754">
        <v>15776.95</v>
      </c>
      <c r="H754">
        <v>0</v>
      </c>
      <c r="I754" s="8">
        <f t="shared" si="45"/>
        <v>-4.9133230525675309E-3</v>
      </c>
      <c r="J754" s="8">
        <f t="shared" si="46"/>
        <v>-4.9254331076362592E-3</v>
      </c>
      <c r="K754" s="8">
        <f t="shared" si="43"/>
        <v>-2.1056321860476568E-2</v>
      </c>
    </row>
    <row r="755" spans="1:11" x14ac:dyDescent="0.25">
      <c r="A755" t="str">
        <f t="shared" si="44"/>
        <v>12020</v>
      </c>
      <c r="B755" s="1">
        <v>43852</v>
      </c>
      <c r="C755" t="s">
        <v>482</v>
      </c>
      <c r="D755">
        <v>15797.7</v>
      </c>
      <c r="E755">
        <v>15811</v>
      </c>
      <c r="F755">
        <v>15498.8</v>
      </c>
      <c r="G755">
        <v>15534.6</v>
      </c>
      <c r="H755">
        <v>0</v>
      </c>
      <c r="I755" s="8">
        <f t="shared" si="45"/>
        <v>-1.5361017180126724E-2</v>
      </c>
      <c r="J755" s="8">
        <f t="shared" si="46"/>
        <v>-1.5480219896733651E-2</v>
      </c>
      <c r="K755" s="8">
        <f t="shared" si="43"/>
        <v>-3.3415984046441971E-2</v>
      </c>
    </row>
    <row r="756" spans="1:11" x14ac:dyDescent="0.25">
      <c r="A756" t="str">
        <f t="shared" si="44"/>
        <v>12020</v>
      </c>
      <c r="B756" s="1">
        <v>43853</v>
      </c>
      <c r="C756" t="s">
        <v>483</v>
      </c>
      <c r="D756">
        <v>15567.1</v>
      </c>
      <c r="E756">
        <v>15771.05</v>
      </c>
      <c r="F756">
        <v>15543.5</v>
      </c>
      <c r="G756">
        <v>15704.85</v>
      </c>
      <c r="H756">
        <v>0</v>
      </c>
      <c r="I756" s="8">
        <f t="shared" si="45"/>
        <v>1.0959406743656031E-2</v>
      </c>
      <c r="J756" s="8">
        <f t="shared" si="46"/>
        <v>1.0899787643371303E-2</v>
      </c>
      <c r="K756" s="8">
        <f t="shared" si="43"/>
        <v>-2.5375843611822213E-2</v>
      </c>
    </row>
    <row r="757" spans="1:11" x14ac:dyDescent="0.25">
      <c r="A757" t="str">
        <f t="shared" si="44"/>
        <v>12020</v>
      </c>
      <c r="B757" s="1">
        <v>43854</v>
      </c>
      <c r="C757" t="s">
        <v>484</v>
      </c>
      <c r="D757">
        <v>15701.15</v>
      </c>
      <c r="E757">
        <v>15768.7</v>
      </c>
      <c r="F757">
        <v>15649.75</v>
      </c>
      <c r="G757">
        <v>15674.65</v>
      </c>
      <c r="H757">
        <v>0</v>
      </c>
      <c r="I757" s="8">
        <f t="shared" si="45"/>
        <v>-1.922972839600523E-3</v>
      </c>
      <c r="J757" s="8">
        <f t="shared" si="46"/>
        <v>-1.9248241255672407E-3</v>
      </c>
      <c r="K757" s="8">
        <f t="shared" si="43"/>
        <v>-3.9449333267967401E-2</v>
      </c>
    </row>
    <row r="758" spans="1:11" x14ac:dyDescent="0.25">
      <c r="A758" t="str">
        <f t="shared" si="44"/>
        <v>12020</v>
      </c>
      <c r="B758" s="1">
        <v>43857</v>
      </c>
      <c r="C758" t="s">
        <v>485</v>
      </c>
      <c r="D758">
        <v>15642.4</v>
      </c>
      <c r="E758">
        <v>15671.75</v>
      </c>
      <c r="F758">
        <v>15458.45</v>
      </c>
      <c r="G758">
        <v>15489.25</v>
      </c>
      <c r="H758">
        <v>0</v>
      </c>
      <c r="I758" s="8">
        <f t="shared" si="45"/>
        <v>-1.1828015298587236E-2</v>
      </c>
      <c r="J758" s="8">
        <f t="shared" si="46"/>
        <v>-1.1898522798891753E-2</v>
      </c>
      <c r="K758" s="8">
        <f t="shared" si="43"/>
        <v>-5.9193503322440666E-2</v>
      </c>
    </row>
    <row r="759" spans="1:11" x14ac:dyDescent="0.25">
      <c r="A759" t="str">
        <f t="shared" si="44"/>
        <v>12020</v>
      </c>
      <c r="B759" s="1">
        <v>43858</v>
      </c>
      <c r="C759" t="s">
        <v>486</v>
      </c>
      <c r="D759">
        <v>15526.9</v>
      </c>
      <c r="E759">
        <v>15529.7</v>
      </c>
      <c r="F759">
        <v>15309.6</v>
      </c>
      <c r="G759">
        <v>15363.35</v>
      </c>
      <c r="H759">
        <v>0</v>
      </c>
      <c r="I759" s="8">
        <f t="shared" si="45"/>
        <v>-8.1282179576157576E-3</v>
      </c>
      <c r="J759" s="8">
        <f t="shared" si="46"/>
        <v>-8.1614320244233884E-3</v>
      </c>
      <c r="K759" s="8">
        <f t="shared" si="43"/>
        <v>-6.8105652320280985E-2</v>
      </c>
    </row>
    <row r="760" spans="1:11" x14ac:dyDescent="0.25">
      <c r="A760" t="str">
        <f t="shared" si="44"/>
        <v>12020</v>
      </c>
      <c r="B760" s="1">
        <v>43859</v>
      </c>
      <c r="C760" t="s">
        <v>487</v>
      </c>
      <c r="D760">
        <v>15421.7</v>
      </c>
      <c r="E760">
        <v>15532.6</v>
      </c>
      <c r="F760">
        <v>15399.95</v>
      </c>
      <c r="G760">
        <v>15451.9</v>
      </c>
      <c r="H760">
        <v>0</v>
      </c>
      <c r="I760" s="8">
        <f t="shared" si="45"/>
        <v>5.7637168976818476E-3</v>
      </c>
      <c r="J760" s="8">
        <f t="shared" si="46"/>
        <v>5.7471702311996742E-3</v>
      </c>
      <c r="K760" s="8">
        <f t="shared" si="43"/>
        <v>-5.6721028261314088E-2</v>
      </c>
    </row>
    <row r="761" spans="1:11" x14ac:dyDescent="0.25">
      <c r="A761" t="str">
        <f t="shared" si="44"/>
        <v>12020</v>
      </c>
      <c r="B761" s="1">
        <v>43860</v>
      </c>
      <c r="C761" t="s">
        <v>488</v>
      </c>
      <c r="D761">
        <v>15473.55</v>
      </c>
      <c r="E761">
        <v>15477.7</v>
      </c>
      <c r="F761">
        <v>15195.65</v>
      </c>
      <c r="G761">
        <v>15244.8</v>
      </c>
      <c r="H761">
        <v>0</v>
      </c>
      <c r="I761" s="8">
        <f t="shared" si="45"/>
        <v>-1.3402882493415036E-2</v>
      </c>
      <c r="J761" s="8">
        <f t="shared" si="46"/>
        <v>-1.3493511830204278E-2</v>
      </c>
      <c r="K761" s="8">
        <f t="shared" si="43"/>
        <v>-6.893455889089084E-2</v>
      </c>
    </row>
    <row r="762" spans="1:11" x14ac:dyDescent="0.25">
      <c r="A762" t="str">
        <f t="shared" si="44"/>
        <v>12020</v>
      </c>
      <c r="B762" s="1">
        <v>43861</v>
      </c>
      <c r="C762" t="s">
        <v>489</v>
      </c>
      <c r="D762">
        <v>15318.85</v>
      </c>
      <c r="E762">
        <v>15322.8</v>
      </c>
      <c r="F762">
        <v>14790.55</v>
      </c>
      <c r="G762">
        <v>14838.8</v>
      </c>
      <c r="H762">
        <v>0</v>
      </c>
      <c r="I762" s="8">
        <f t="shared" si="45"/>
        <v>-2.6632031905961417E-2</v>
      </c>
      <c r="J762" s="8">
        <f t="shared" si="46"/>
        <v>-2.6993089362743843E-2</v>
      </c>
      <c r="K762" s="8">
        <f t="shared" si="43"/>
        <v>-8.8234571238970716E-2</v>
      </c>
    </row>
    <row r="763" spans="1:11" x14ac:dyDescent="0.25">
      <c r="A763" t="str">
        <f t="shared" si="44"/>
        <v>22020</v>
      </c>
      <c r="B763" s="1">
        <v>43862</v>
      </c>
      <c r="C763" s="10">
        <v>43832.708333333336</v>
      </c>
      <c r="D763">
        <v>14820</v>
      </c>
      <c r="E763">
        <v>14885.55</v>
      </c>
      <c r="F763">
        <v>14358.65</v>
      </c>
      <c r="G763">
        <v>14388.3</v>
      </c>
      <c r="H763">
        <v>0</v>
      </c>
      <c r="I763" s="8">
        <f t="shared" si="45"/>
        <v>-3.0359597811143724E-2</v>
      </c>
      <c r="J763" s="8">
        <f t="shared" si="46"/>
        <v>-3.0829995611062099E-2</v>
      </c>
      <c r="K763" s="8">
        <f t="shared" si="43"/>
        <v>-0.1123319616758488</v>
      </c>
    </row>
    <row r="764" spans="1:11" x14ac:dyDescent="0.25">
      <c r="A764" t="str">
        <f t="shared" si="44"/>
        <v>22020</v>
      </c>
      <c r="B764" s="1">
        <v>43864</v>
      </c>
      <c r="C764" s="10">
        <v>43892.645833333336</v>
      </c>
      <c r="D764">
        <v>14374.55</v>
      </c>
      <c r="E764">
        <v>14602.3</v>
      </c>
      <c r="F764">
        <v>14271.85</v>
      </c>
      <c r="G764">
        <v>14499.75</v>
      </c>
      <c r="H764">
        <v>0</v>
      </c>
      <c r="I764" s="8">
        <f t="shared" si="45"/>
        <v>7.7458768582807647E-3</v>
      </c>
      <c r="J764" s="8">
        <f t="shared" si="46"/>
        <v>7.7160315736555657E-3</v>
      </c>
      <c r="K764" s="8">
        <f t="shared" si="43"/>
        <v>-0.1046580197781366</v>
      </c>
    </row>
    <row r="765" spans="1:11" x14ac:dyDescent="0.25">
      <c r="A765" t="str">
        <f t="shared" si="44"/>
        <v>22020</v>
      </c>
      <c r="B765" s="1">
        <v>43865</v>
      </c>
      <c r="C765" s="10">
        <v>43923.645833333336</v>
      </c>
      <c r="D765">
        <v>14619.85</v>
      </c>
      <c r="E765">
        <v>14968.55</v>
      </c>
      <c r="F765">
        <v>14619.5</v>
      </c>
      <c r="G765">
        <v>14953.8</v>
      </c>
      <c r="H765">
        <v>0</v>
      </c>
      <c r="I765" s="8">
        <f t="shared" si="45"/>
        <v>3.131433300574149E-2</v>
      </c>
      <c r="J765" s="8">
        <f t="shared" si="46"/>
        <v>3.0834040241701804E-2</v>
      </c>
      <c r="K765" s="8">
        <f t="shared" si="43"/>
        <v>-6.0159637986298864E-2</v>
      </c>
    </row>
    <row r="766" spans="1:11" x14ac:dyDescent="0.25">
      <c r="A766" t="str">
        <f t="shared" si="44"/>
        <v>22020</v>
      </c>
      <c r="B766" s="1">
        <v>43866</v>
      </c>
      <c r="C766" s="10">
        <v>43953.645833333336</v>
      </c>
      <c r="D766">
        <v>14998.25</v>
      </c>
      <c r="E766">
        <v>15184.55</v>
      </c>
      <c r="F766">
        <v>14965.85</v>
      </c>
      <c r="G766">
        <v>15099.15</v>
      </c>
      <c r="H766">
        <v>0</v>
      </c>
      <c r="I766" s="8">
        <f t="shared" si="45"/>
        <v>9.7199374072143296E-3</v>
      </c>
      <c r="J766" s="8">
        <f t="shared" si="46"/>
        <v>9.6730027054446072E-3</v>
      </c>
      <c r="K766" s="8">
        <f t="shared" si="43"/>
        <v>-5.2432905649010153E-2</v>
      </c>
    </row>
    <row r="767" spans="1:11" x14ac:dyDescent="0.25">
      <c r="A767" t="str">
        <f t="shared" si="44"/>
        <v>22020</v>
      </c>
      <c r="B767" s="1">
        <v>43867</v>
      </c>
      <c r="C767" s="10">
        <v>43984.645833333336</v>
      </c>
      <c r="D767">
        <v>15120.4</v>
      </c>
      <c r="E767">
        <v>15266.9</v>
      </c>
      <c r="F767">
        <v>15112.35</v>
      </c>
      <c r="G767">
        <v>15228.8</v>
      </c>
      <c r="H767">
        <v>0</v>
      </c>
      <c r="I767" s="8">
        <f t="shared" si="45"/>
        <v>8.5865760655401413E-3</v>
      </c>
      <c r="J767" s="8">
        <f t="shared" si="46"/>
        <v>8.5499210989239249E-3</v>
      </c>
      <c r="K767" s="8">
        <f t="shared" si="43"/>
        <v>-4.5972943089023444E-2</v>
      </c>
    </row>
    <row r="768" spans="1:11" x14ac:dyDescent="0.25">
      <c r="A768" t="str">
        <f t="shared" si="44"/>
        <v>22020</v>
      </c>
      <c r="B768" s="1">
        <v>43868</v>
      </c>
      <c r="C768" s="10">
        <v>44014.645833333336</v>
      </c>
      <c r="D768">
        <v>15206.35</v>
      </c>
      <c r="E768">
        <v>15237.25</v>
      </c>
      <c r="F768">
        <v>15106.35</v>
      </c>
      <c r="G768">
        <v>15189.95</v>
      </c>
      <c r="H768">
        <v>0</v>
      </c>
      <c r="I768" s="8">
        <f t="shared" si="45"/>
        <v>-2.5510874133219952E-3</v>
      </c>
      <c r="J768" s="8">
        <f t="shared" si="46"/>
        <v>-2.5543469816264462E-3</v>
      </c>
      <c r="K768" s="8">
        <f t="shared" ref="K768:K831" si="47">+G768/G707-1</f>
        <v>-4.4957560515561101E-2</v>
      </c>
    </row>
    <row r="769" spans="1:11" x14ac:dyDescent="0.25">
      <c r="A769" t="str">
        <f t="shared" si="44"/>
        <v>22020</v>
      </c>
      <c r="B769" s="1">
        <v>43871</v>
      </c>
      <c r="C769" s="10">
        <v>44106.645833333336</v>
      </c>
      <c r="D769">
        <v>15185.85</v>
      </c>
      <c r="E769">
        <v>15186.55</v>
      </c>
      <c r="F769">
        <v>14947.25</v>
      </c>
      <c r="G769">
        <v>15025.5</v>
      </c>
      <c r="H769">
        <v>0</v>
      </c>
      <c r="I769" s="8">
        <f t="shared" si="45"/>
        <v>-1.0826237084388124E-2</v>
      </c>
      <c r="J769" s="8">
        <f t="shared" si="46"/>
        <v>-1.088526722523624E-2</v>
      </c>
      <c r="K769" s="8">
        <f t="shared" si="47"/>
        <v>-5.2416494026165661E-2</v>
      </c>
    </row>
    <row r="770" spans="1:11" x14ac:dyDescent="0.25">
      <c r="A770" t="str">
        <f t="shared" si="44"/>
        <v>22020</v>
      </c>
      <c r="B770" s="1">
        <v>43872</v>
      </c>
      <c r="C770" s="10">
        <v>44137.645833333336</v>
      </c>
      <c r="D770">
        <v>15152.05</v>
      </c>
      <c r="E770">
        <v>15319.25</v>
      </c>
      <c r="F770">
        <v>15134.85</v>
      </c>
      <c r="G770">
        <v>15233.45</v>
      </c>
      <c r="H770">
        <v>0</v>
      </c>
      <c r="I770" s="8">
        <f t="shared" si="45"/>
        <v>1.3839805663705018E-2</v>
      </c>
      <c r="J770" s="8">
        <f t="shared" si="46"/>
        <v>1.3744910108256545E-2</v>
      </c>
      <c r="K770" s="8">
        <f t="shared" si="47"/>
        <v>-4.0908003425002559E-2</v>
      </c>
    </row>
    <row r="771" spans="1:11" x14ac:dyDescent="0.25">
      <c r="A771" t="str">
        <f t="shared" ref="A771:A834" si="48">+MONTH(B771)&amp;YEAR(B771)</f>
        <v>22020</v>
      </c>
      <c r="B771" s="1">
        <v>43873</v>
      </c>
      <c r="C771" s="10">
        <v>44167.645833333336</v>
      </c>
      <c r="D771">
        <v>15268.6</v>
      </c>
      <c r="E771">
        <v>15380.75</v>
      </c>
      <c r="F771">
        <v>15198.8</v>
      </c>
      <c r="G771">
        <v>15234.2</v>
      </c>
      <c r="H771">
        <v>0</v>
      </c>
      <c r="I771" s="8">
        <f t="shared" si="45"/>
        <v>4.9233758603550726E-5</v>
      </c>
      <c r="J771" s="8">
        <f t="shared" si="46"/>
        <v>4.9232546661836409E-5</v>
      </c>
      <c r="K771" s="8">
        <f t="shared" si="47"/>
        <v>-5.4624886359757818E-2</v>
      </c>
    </row>
    <row r="772" spans="1:11" x14ac:dyDescent="0.25">
      <c r="A772" t="str">
        <f t="shared" si="48"/>
        <v>22020</v>
      </c>
      <c r="B772" s="1">
        <v>43874</v>
      </c>
      <c r="C772" t="s">
        <v>490</v>
      </c>
      <c r="D772">
        <v>15263.8</v>
      </c>
      <c r="E772">
        <v>15317.9</v>
      </c>
      <c r="F772">
        <v>15140.4</v>
      </c>
      <c r="G772">
        <v>15191.25</v>
      </c>
      <c r="H772">
        <v>0</v>
      </c>
      <c r="I772" s="8">
        <f t="shared" ref="I772:I835" si="49">+G772/G771-1</f>
        <v>-2.8193144372530288E-3</v>
      </c>
      <c r="J772" s="8">
        <f t="shared" ref="J772:J835" si="50">+LN(1+I772)</f>
        <v>-2.8232961898370427E-3</v>
      </c>
      <c r="K772" s="8">
        <f t="shared" si="47"/>
        <v>-7.015498182085278E-2</v>
      </c>
    </row>
    <row r="773" spans="1:11" x14ac:dyDescent="0.25">
      <c r="A773" t="str">
        <f t="shared" si="48"/>
        <v>22020</v>
      </c>
      <c r="B773" s="1">
        <v>43875</v>
      </c>
      <c r="C773" t="s">
        <v>491</v>
      </c>
      <c r="D773">
        <v>15205.25</v>
      </c>
      <c r="E773">
        <v>15276.35</v>
      </c>
      <c r="F773">
        <v>15028.4</v>
      </c>
      <c r="G773">
        <v>15048.65</v>
      </c>
      <c r="H773">
        <v>0</v>
      </c>
      <c r="I773" s="8">
        <f t="shared" si="49"/>
        <v>-9.3869826380318377E-3</v>
      </c>
      <c r="J773" s="8">
        <f t="shared" si="50"/>
        <v>-9.4313180280410393E-3</v>
      </c>
      <c r="K773" s="8">
        <f t="shared" si="47"/>
        <v>-6.4455765925106268E-2</v>
      </c>
    </row>
    <row r="774" spans="1:11" x14ac:dyDescent="0.25">
      <c r="A774" t="str">
        <f t="shared" si="48"/>
        <v>22020</v>
      </c>
      <c r="B774" s="1">
        <v>43878</v>
      </c>
      <c r="C774" t="s">
        <v>492</v>
      </c>
      <c r="D774">
        <v>15095.95</v>
      </c>
      <c r="E774">
        <v>15148.85</v>
      </c>
      <c r="F774">
        <v>14761.7</v>
      </c>
      <c r="G774">
        <v>14816.45</v>
      </c>
      <c r="H774">
        <v>0</v>
      </c>
      <c r="I774" s="8">
        <f t="shared" si="49"/>
        <v>-1.5429955510959381E-2</v>
      </c>
      <c r="J774" s="8">
        <f t="shared" si="50"/>
        <v>-1.5550236162051131E-2</v>
      </c>
      <c r="K774" s="8">
        <f t="shared" si="47"/>
        <v>-8.6610896716682872E-2</v>
      </c>
    </row>
    <row r="775" spans="1:11" x14ac:dyDescent="0.25">
      <c r="A775" t="str">
        <f t="shared" si="48"/>
        <v>22020</v>
      </c>
      <c r="B775" s="1">
        <v>43879</v>
      </c>
      <c r="C775" t="s">
        <v>493</v>
      </c>
      <c r="D775">
        <v>14782.45</v>
      </c>
      <c r="E775">
        <v>14826.6</v>
      </c>
      <c r="F775">
        <v>14568.6</v>
      </c>
      <c r="G775">
        <v>14789.85</v>
      </c>
      <c r="H775">
        <v>0</v>
      </c>
      <c r="I775" s="8">
        <f t="shared" si="49"/>
        <v>-1.7953018435590273E-3</v>
      </c>
      <c r="J775" s="8">
        <f t="shared" si="50"/>
        <v>-1.7969153293322831E-3</v>
      </c>
      <c r="K775" s="8">
        <f t="shared" si="47"/>
        <v>-9.1200408011527512E-2</v>
      </c>
    </row>
    <row r="776" spans="1:11" x14ac:dyDescent="0.25">
      <c r="A776" t="str">
        <f t="shared" si="48"/>
        <v>22020</v>
      </c>
      <c r="B776" s="1">
        <v>43880</v>
      </c>
      <c r="C776" t="s">
        <v>494</v>
      </c>
      <c r="D776">
        <v>14935.8</v>
      </c>
      <c r="E776">
        <v>15071.6</v>
      </c>
      <c r="F776">
        <v>14877.9</v>
      </c>
      <c r="G776">
        <v>15057.2</v>
      </c>
      <c r="H776">
        <v>0</v>
      </c>
      <c r="I776" s="8">
        <f t="shared" si="49"/>
        <v>1.8076586307501419E-2</v>
      </c>
      <c r="J776" s="8">
        <f t="shared" si="50"/>
        <v>1.7915147427712542E-2</v>
      </c>
      <c r="K776" s="8">
        <f t="shared" si="47"/>
        <v>-6.9167071071120523E-2</v>
      </c>
    </row>
    <row r="777" spans="1:11" x14ac:dyDescent="0.25">
      <c r="A777" t="str">
        <f t="shared" si="48"/>
        <v>22020</v>
      </c>
      <c r="B777" s="1">
        <v>43881</v>
      </c>
      <c r="C777" t="s">
        <v>495</v>
      </c>
      <c r="D777">
        <v>15012.75</v>
      </c>
      <c r="E777">
        <v>15088.25</v>
      </c>
      <c r="F777">
        <v>14964.75</v>
      </c>
      <c r="G777">
        <v>14987.65</v>
      </c>
      <c r="H777">
        <v>0</v>
      </c>
      <c r="I777" s="8">
        <f t="shared" si="49"/>
        <v>-4.6190526791169972E-3</v>
      </c>
      <c r="J777" s="8">
        <f t="shared" si="50"/>
        <v>-4.6297534673279944E-3</v>
      </c>
      <c r="K777" s="8">
        <f t="shared" si="47"/>
        <v>-7.8921573146261803E-2</v>
      </c>
    </row>
    <row r="778" spans="1:11" x14ac:dyDescent="0.25">
      <c r="A778" t="str">
        <f t="shared" si="48"/>
        <v>22020</v>
      </c>
      <c r="B778" s="1">
        <v>43885</v>
      </c>
      <c r="C778" t="s">
        <v>496</v>
      </c>
      <c r="D778">
        <v>14911.9</v>
      </c>
      <c r="E778">
        <v>14911.9</v>
      </c>
      <c r="F778">
        <v>14602.6</v>
      </c>
      <c r="G778">
        <v>14627.45</v>
      </c>
      <c r="H778">
        <v>0</v>
      </c>
      <c r="I778" s="8">
        <f t="shared" si="49"/>
        <v>-2.403312060262941E-2</v>
      </c>
      <c r="J778" s="8">
        <f t="shared" si="50"/>
        <v>-2.4326628188528862E-2</v>
      </c>
      <c r="K778" s="8">
        <f t="shared" si="47"/>
        <v>-0.10628671629890529</v>
      </c>
    </row>
    <row r="779" spans="1:11" x14ac:dyDescent="0.25">
      <c r="A779" t="str">
        <f t="shared" si="48"/>
        <v>22020</v>
      </c>
      <c r="B779" s="1">
        <v>43886</v>
      </c>
      <c r="C779" t="s">
        <v>497</v>
      </c>
      <c r="D779">
        <v>14726.6</v>
      </c>
      <c r="E779">
        <v>14740</v>
      </c>
      <c r="F779">
        <v>14421.2</v>
      </c>
      <c r="G779">
        <v>14455.85</v>
      </c>
      <c r="H779">
        <v>0</v>
      </c>
      <c r="I779" s="8">
        <f t="shared" si="49"/>
        <v>-1.1731368078509941E-2</v>
      </c>
      <c r="J779" s="8">
        <f t="shared" si="50"/>
        <v>-1.1800723533544263E-2</v>
      </c>
      <c r="K779" s="8">
        <f t="shared" si="47"/>
        <v>-0.1094309749478658</v>
      </c>
    </row>
    <row r="780" spans="1:11" x14ac:dyDescent="0.25">
      <c r="A780" t="str">
        <f t="shared" si="48"/>
        <v>22020</v>
      </c>
      <c r="B780" s="1">
        <v>43887</v>
      </c>
      <c r="C780" t="s">
        <v>498</v>
      </c>
      <c r="D780">
        <v>14411.7</v>
      </c>
      <c r="E780">
        <v>14426.65</v>
      </c>
      <c r="F780">
        <v>14148.3</v>
      </c>
      <c r="G780">
        <v>14189.7</v>
      </c>
      <c r="H780">
        <v>0</v>
      </c>
      <c r="I780" s="8">
        <f t="shared" si="49"/>
        <v>-1.8411231439175113E-2</v>
      </c>
      <c r="J780" s="8">
        <f t="shared" si="50"/>
        <v>-1.8582827622345015E-2</v>
      </c>
      <c r="K780" s="8">
        <f t="shared" si="47"/>
        <v>-0.12781820863963811</v>
      </c>
    </row>
    <row r="781" spans="1:11" x14ac:dyDescent="0.25">
      <c r="A781" t="str">
        <f t="shared" si="48"/>
        <v>22020</v>
      </c>
      <c r="B781" s="1">
        <v>43888</v>
      </c>
      <c r="C781" t="s">
        <v>499</v>
      </c>
      <c r="D781">
        <v>14161.45</v>
      </c>
      <c r="E781">
        <v>14178.65</v>
      </c>
      <c r="F781">
        <v>13934.5</v>
      </c>
      <c r="G781">
        <v>14069.05</v>
      </c>
      <c r="H781">
        <v>0</v>
      </c>
      <c r="I781" s="8">
        <f t="shared" si="49"/>
        <v>-8.5026462856861995E-3</v>
      </c>
      <c r="J781" s="8">
        <f t="shared" si="50"/>
        <v>-8.5389999977958514E-3</v>
      </c>
      <c r="K781" s="8">
        <f t="shared" si="47"/>
        <v>-0.1267778284657376</v>
      </c>
    </row>
    <row r="782" spans="1:11" x14ac:dyDescent="0.25">
      <c r="A782" t="str">
        <f t="shared" si="48"/>
        <v>22020</v>
      </c>
      <c r="B782" s="1">
        <v>43889</v>
      </c>
      <c r="C782" t="s">
        <v>500</v>
      </c>
      <c r="D782">
        <v>13748.1</v>
      </c>
      <c r="E782">
        <v>13804.05</v>
      </c>
      <c r="F782">
        <v>13564.8</v>
      </c>
      <c r="G782">
        <v>13651</v>
      </c>
      <c r="H782">
        <v>0</v>
      </c>
      <c r="I782" s="8">
        <f t="shared" si="49"/>
        <v>-2.971415980467762E-2</v>
      </c>
      <c r="J782" s="8">
        <f t="shared" si="50"/>
        <v>-3.0164570280778381E-2</v>
      </c>
      <c r="K782" s="8">
        <f t="shared" si="47"/>
        <v>-0.14848891245360696</v>
      </c>
    </row>
    <row r="783" spans="1:11" x14ac:dyDescent="0.25">
      <c r="A783" t="str">
        <f t="shared" si="48"/>
        <v>32020</v>
      </c>
      <c r="B783" s="1">
        <v>43892</v>
      </c>
      <c r="C783" s="10">
        <v>43864.645833333336</v>
      </c>
      <c r="D783">
        <v>13914.65</v>
      </c>
      <c r="E783">
        <v>14048.5</v>
      </c>
      <c r="F783">
        <v>13311.7</v>
      </c>
      <c r="G783">
        <v>13419.05</v>
      </c>
      <c r="H783">
        <v>0</v>
      </c>
      <c r="I783" s="8">
        <f t="shared" si="49"/>
        <v>-1.6991429199326058E-2</v>
      </c>
      <c r="J783" s="8">
        <f t="shared" si="50"/>
        <v>-1.7137439848897609E-2</v>
      </c>
      <c r="K783" s="8">
        <f t="shared" si="47"/>
        <v>-0.15762926786398079</v>
      </c>
    </row>
    <row r="784" spans="1:11" x14ac:dyDescent="0.25">
      <c r="A784" t="str">
        <f t="shared" si="48"/>
        <v>32020</v>
      </c>
      <c r="B784" s="1">
        <v>43893</v>
      </c>
      <c r="C784" s="10">
        <v>43893.645833333336</v>
      </c>
      <c r="D784">
        <v>13554.3</v>
      </c>
      <c r="E784">
        <v>13940.45</v>
      </c>
      <c r="F784">
        <v>13534.05</v>
      </c>
      <c r="G784">
        <v>13863.7</v>
      </c>
      <c r="H784">
        <v>0</v>
      </c>
      <c r="I784" s="8">
        <f t="shared" si="49"/>
        <v>3.3135728684221322E-2</v>
      </c>
      <c r="J784" s="8">
        <f t="shared" si="50"/>
        <v>3.2598574230552339E-2</v>
      </c>
      <c r="K784" s="8">
        <f t="shared" si="47"/>
        <v>-0.12320268155011305</v>
      </c>
    </row>
    <row r="785" spans="1:11" x14ac:dyDescent="0.25">
      <c r="A785" t="str">
        <f t="shared" si="48"/>
        <v>32020</v>
      </c>
      <c r="B785" s="1">
        <v>43894</v>
      </c>
      <c r="C785" s="10">
        <v>43924.645833333336</v>
      </c>
      <c r="D785">
        <v>13893.55</v>
      </c>
      <c r="E785">
        <v>13975.2</v>
      </c>
      <c r="F785">
        <v>13657.65</v>
      </c>
      <c r="G785">
        <v>13876.65</v>
      </c>
      <c r="H785">
        <v>0</v>
      </c>
      <c r="I785" s="8">
        <f t="shared" si="49"/>
        <v>9.3409407301070502E-4</v>
      </c>
      <c r="J785" s="8">
        <f t="shared" si="50"/>
        <v>9.3365807862747711E-4</v>
      </c>
      <c r="K785" s="8">
        <f t="shared" si="47"/>
        <v>-0.1300178677784396</v>
      </c>
    </row>
    <row r="786" spans="1:11" x14ac:dyDescent="0.25">
      <c r="A786" t="str">
        <f t="shared" si="48"/>
        <v>32020</v>
      </c>
      <c r="B786" s="1">
        <v>43895</v>
      </c>
      <c r="C786" s="10">
        <v>43954.645833333336</v>
      </c>
      <c r="D786">
        <v>13956</v>
      </c>
      <c r="E786">
        <v>14039.8</v>
      </c>
      <c r="F786">
        <v>13707.05</v>
      </c>
      <c r="G786">
        <v>13743.65</v>
      </c>
      <c r="H786">
        <v>0</v>
      </c>
      <c r="I786" s="8">
        <f t="shared" si="49"/>
        <v>-9.5844458136510324E-3</v>
      </c>
      <c r="J786" s="8">
        <f t="shared" si="50"/>
        <v>-9.6306722212204238E-3</v>
      </c>
      <c r="K786" s="8">
        <f t="shared" si="47"/>
        <v>-0.12363981852556805</v>
      </c>
    </row>
    <row r="787" spans="1:11" x14ac:dyDescent="0.25">
      <c r="A787" t="str">
        <f t="shared" si="48"/>
        <v>32020</v>
      </c>
      <c r="B787" s="1">
        <v>43896</v>
      </c>
      <c r="C787" s="10">
        <v>43985.645833333336</v>
      </c>
      <c r="D787">
        <v>13314.45</v>
      </c>
      <c r="E787">
        <v>13469.2</v>
      </c>
      <c r="F787">
        <v>13118.05</v>
      </c>
      <c r="G787">
        <v>13342.6</v>
      </c>
      <c r="H787">
        <v>0</v>
      </c>
      <c r="I787" s="8">
        <f t="shared" si="49"/>
        <v>-2.9180748927686517E-2</v>
      </c>
      <c r="J787" s="8">
        <f t="shared" si="50"/>
        <v>-2.9614975214733434E-2</v>
      </c>
      <c r="K787" s="8">
        <f t="shared" si="47"/>
        <v>-0.15735027567086224</v>
      </c>
    </row>
    <row r="788" spans="1:11" x14ac:dyDescent="0.25">
      <c r="A788" t="str">
        <f t="shared" si="48"/>
        <v>32020</v>
      </c>
      <c r="B788" s="1">
        <v>43899</v>
      </c>
      <c r="C788" s="10">
        <v>44077.645833333336</v>
      </c>
      <c r="D788">
        <v>13071.85</v>
      </c>
      <c r="E788">
        <v>13116.4</v>
      </c>
      <c r="F788">
        <v>12366.35</v>
      </c>
      <c r="G788">
        <v>12480.3</v>
      </c>
      <c r="H788">
        <v>0</v>
      </c>
      <c r="I788" s="8">
        <f t="shared" si="49"/>
        <v>-6.4627583829238722E-2</v>
      </c>
      <c r="J788" s="8">
        <f t="shared" si="50"/>
        <v>-6.6810522931268268E-2</v>
      </c>
      <c r="K788" s="8">
        <f t="shared" si="47"/>
        <v>-0.21753359728400412</v>
      </c>
    </row>
    <row r="789" spans="1:11" x14ac:dyDescent="0.25">
      <c r="A789" t="str">
        <f t="shared" si="48"/>
        <v>32020</v>
      </c>
      <c r="B789" s="1">
        <v>43901</v>
      </c>
      <c r="C789" s="10">
        <v>44138.645833333336</v>
      </c>
      <c r="D789">
        <v>12439.9</v>
      </c>
      <c r="E789">
        <v>12682.8</v>
      </c>
      <c r="F789">
        <v>12343.1</v>
      </c>
      <c r="G789">
        <v>12398.7</v>
      </c>
      <c r="H789">
        <v>0</v>
      </c>
      <c r="I789" s="8">
        <f t="shared" si="49"/>
        <v>-6.538304367683323E-3</v>
      </c>
      <c r="J789" s="8">
        <f t="shared" si="50"/>
        <v>-6.5597727085486262E-3</v>
      </c>
      <c r="K789" s="8">
        <f t="shared" si="47"/>
        <v>-0.22836311811327437</v>
      </c>
    </row>
    <row r="790" spans="1:11" x14ac:dyDescent="0.25">
      <c r="A790" t="str">
        <f t="shared" si="48"/>
        <v>32020</v>
      </c>
      <c r="B790" s="1">
        <v>43902</v>
      </c>
      <c r="C790" s="10">
        <v>44168.645833333336</v>
      </c>
      <c r="D790">
        <v>11807.85</v>
      </c>
      <c r="E790">
        <v>11813.65</v>
      </c>
      <c r="F790">
        <v>11144.75</v>
      </c>
      <c r="G790">
        <v>11204.9</v>
      </c>
      <c r="H790">
        <v>0</v>
      </c>
      <c r="I790" s="8">
        <f t="shared" si="49"/>
        <v>-9.628428786888954E-2</v>
      </c>
      <c r="J790" s="8">
        <f t="shared" si="50"/>
        <v>-0.10124044577952405</v>
      </c>
      <c r="K790" s="8">
        <f t="shared" si="47"/>
        <v>-0.29856268232524952</v>
      </c>
    </row>
    <row r="791" spans="1:11" x14ac:dyDescent="0.25">
      <c r="A791" t="str">
        <f t="shared" si="48"/>
        <v>32020</v>
      </c>
      <c r="B791" s="1">
        <v>43903</v>
      </c>
      <c r="C791" t="s">
        <v>501</v>
      </c>
      <c r="D791">
        <v>10658.3</v>
      </c>
      <c r="E791">
        <v>11925.1</v>
      </c>
      <c r="F791">
        <v>9767.7999999999993</v>
      </c>
      <c r="G791">
        <v>11721.25</v>
      </c>
      <c r="H791">
        <v>0</v>
      </c>
      <c r="I791" s="8">
        <f t="shared" si="49"/>
        <v>4.6082517470035445E-2</v>
      </c>
      <c r="J791" s="8">
        <f t="shared" si="50"/>
        <v>4.5052251125869774E-2</v>
      </c>
      <c r="K791" s="8">
        <f t="shared" si="47"/>
        <v>-0.26630069074304163</v>
      </c>
    </row>
    <row r="792" spans="1:11" x14ac:dyDescent="0.25">
      <c r="A792" t="str">
        <f t="shared" si="48"/>
        <v>32020</v>
      </c>
      <c r="B792" s="1">
        <v>43906</v>
      </c>
      <c r="C792" t="s">
        <v>502</v>
      </c>
      <c r="D792">
        <v>11296.6</v>
      </c>
      <c r="E792">
        <v>11511.45</v>
      </c>
      <c r="F792">
        <v>10973.45</v>
      </c>
      <c r="G792">
        <v>11017.45</v>
      </c>
      <c r="H792">
        <v>0</v>
      </c>
      <c r="I792" s="8">
        <f t="shared" si="49"/>
        <v>-6.0044790444705121E-2</v>
      </c>
      <c r="J792" s="8">
        <f t="shared" si="50"/>
        <v>-6.1923054262617405E-2</v>
      </c>
      <c r="K792" s="8">
        <f t="shared" si="47"/>
        <v>-0.30954731040274241</v>
      </c>
    </row>
    <row r="793" spans="1:11" x14ac:dyDescent="0.25">
      <c r="A793" t="str">
        <f t="shared" si="48"/>
        <v>32020</v>
      </c>
      <c r="B793" s="1">
        <v>43907</v>
      </c>
      <c r="C793" t="s">
        <v>503</v>
      </c>
      <c r="D793">
        <v>11142.75</v>
      </c>
      <c r="E793">
        <v>11542.15</v>
      </c>
      <c r="F793">
        <v>10906.2</v>
      </c>
      <c r="G793">
        <v>10960.3</v>
      </c>
      <c r="H793">
        <v>0</v>
      </c>
      <c r="I793" s="8">
        <f t="shared" si="49"/>
        <v>-5.1872257192001614E-3</v>
      </c>
      <c r="J793" s="8">
        <f t="shared" si="50"/>
        <v>-5.2007260810509777E-3</v>
      </c>
      <c r="K793" s="8">
        <f t="shared" si="47"/>
        <v>-0.3197810450012103</v>
      </c>
    </row>
    <row r="794" spans="1:11" x14ac:dyDescent="0.25">
      <c r="A794" t="str">
        <f t="shared" si="48"/>
        <v>32020</v>
      </c>
      <c r="B794" s="1">
        <v>43908</v>
      </c>
      <c r="C794" t="s">
        <v>504</v>
      </c>
      <c r="D794">
        <v>11124.9</v>
      </c>
      <c r="E794">
        <v>11195.3</v>
      </c>
      <c r="F794">
        <v>10129.549999999999</v>
      </c>
      <c r="G794">
        <v>10466.9</v>
      </c>
      <c r="H794">
        <v>0</v>
      </c>
      <c r="I794" s="8">
        <f t="shared" si="49"/>
        <v>-4.5017015957592332E-2</v>
      </c>
      <c r="J794" s="8">
        <f t="shared" si="50"/>
        <v>-4.6061756416786101E-2</v>
      </c>
      <c r="K794" s="8">
        <f t="shared" si="47"/>
        <v>-0.34911993234314709</v>
      </c>
    </row>
    <row r="795" spans="1:11" x14ac:dyDescent="0.25">
      <c r="A795" t="str">
        <f t="shared" si="48"/>
        <v>32020</v>
      </c>
      <c r="B795" s="1">
        <v>43909</v>
      </c>
      <c r="C795" t="s">
        <v>505</v>
      </c>
      <c r="D795">
        <v>10033.299999999999</v>
      </c>
      <c r="E795">
        <v>10430.35</v>
      </c>
      <c r="F795">
        <v>9802.65</v>
      </c>
      <c r="G795">
        <v>10042.950000000001</v>
      </c>
      <c r="H795">
        <v>0</v>
      </c>
      <c r="I795" s="8">
        <f t="shared" si="49"/>
        <v>-4.0503874117455929E-2</v>
      </c>
      <c r="J795" s="8">
        <f t="shared" si="50"/>
        <v>-4.1347001184488863E-2</v>
      </c>
      <c r="K795" s="8">
        <f t="shared" si="47"/>
        <v>-0.37119950411981262</v>
      </c>
    </row>
    <row r="796" spans="1:11" x14ac:dyDescent="0.25">
      <c r="A796" t="str">
        <f t="shared" si="48"/>
        <v>32020</v>
      </c>
      <c r="B796" s="1">
        <v>43910</v>
      </c>
      <c r="C796" t="s">
        <v>506</v>
      </c>
      <c r="D796">
        <v>10213.950000000001</v>
      </c>
      <c r="E796">
        <v>11019.35</v>
      </c>
      <c r="F796">
        <v>10196.049999999999</v>
      </c>
      <c r="G796">
        <v>10910.1</v>
      </c>
      <c r="H796">
        <v>0</v>
      </c>
      <c r="I796" s="8">
        <f t="shared" si="49"/>
        <v>8.6344151867728147E-2</v>
      </c>
      <c r="J796" s="8">
        <f t="shared" si="50"/>
        <v>8.2818069899059724E-2</v>
      </c>
      <c r="K796" s="8">
        <f t="shared" si="47"/>
        <v>-0.31215600234533103</v>
      </c>
    </row>
    <row r="797" spans="1:11" x14ac:dyDescent="0.25">
      <c r="A797" t="str">
        <f t="shared" si="48"/>
        <v>32020</v>
      </c>
      <c r="B797" s="1">
        <v>43913</v>
      </c>
      <c r="C797" t="s">
        <v>507</v>
      </c>
      <c r="D797">
        <v>9904.15</v>
      </c>
      <c r="E797">
        <v>10220</v>
      </c>
      <c r="F797">
        <v>9799.9500000000007</v>
      </c>
      <c r="G797">
        <v>9850.5</v>
      </c>
      <c r="H797">
        <v>0</v>
      </c>
      <c r="I797" s="8">
        <f t="shared" si="49"/>
        <v>-9.7121016305991681E-2</v>
      </c>
      <c r="J797" s="8">
        <f t="shared" si="50"/>
        <v>-0.10216675038881427</v>
      </c>
      <c r="K797" s="8">
        <f t="shared" si="47"/>
        <v>-0.37279135069053115</v>
      </c>
    </row>
    <row r="798" spans="1:11" x14ac:dyDescent="0.25">
      <c r="A798" t="str">
        <f t="shared" si="48"/>
        <v>32020</v>
      </c>
      <c r="B798" s="1">
        <v>43914</v>
      </c>
      <c r="C798" t="s">
        <v>508</v>
      </c>
      <c r="D798">
        <v>10154.299999999999</v>
      </c>
      <c r="E798">
        <v>10352.4</v>
      </c>
      <c r="F798">
        <v>9750</v>
      </c>
      <c r="G798">
        <v>10024</v>
      </c>
      <c r="H798">
        <v>0</v>
      </c>
      <c r="I798" s="8">
        <f t="shared" si="49"/>
        <v>1.761331912085673E-2</v>
      </c>
      <c r="J798" s="8">
        <f t="shared" si="50"/>
        <v>1.7460002276767139E-2</v>
      </c>
      <c r="K798" s="8">
        <f t="shared" si="47"/>
        <v>-0.37133700638760236</v>
      </c>
    </row>
    <row r="799" spans="1:11" x14ac:dyDescent="0.25">
      <c r="A799" t="str">
        <f t="shared" si="48"/>
        <v>32020</v>
      </c>
      <c r="B799" s="1">
        <v>43915</v>
      </c>
      <c r="C799" t="s">
        <v>509</v>
      </c>
      <c r="D799">
        <v>10033.9</v>
      </c>
      <c r="E799">
        <v>10878</v>
      </c>
      <c r="F799">
        <v>10027.799999999999</v>
      </c>
      <c r="G799">
        <v>10558.5</v>
      </c>
      <c r="H799">
        <v>0</v>
      </c>
      <c r="I799" s="8">
        <f t="shared" si="49"/>
        <v>5.3322027134876215E-2</v>
      </c>
      <c r="J799" s="8">
        <f t="shared" si="50"/>
        <v>5.1949005140391677E-2</v>
      </c>
      <c r="K799" s="8">
        <f t="shared" si="47"/>
        <v>-0.33852895756524026</v>
      </c>
    </row>
    <row r="800" spans="1:11" x14ac:dyDescent="0.25">
      <c r="A800" t="str">
        <f t="shared" si="48"/>
        <v>32020</v>
      </c>
      <c r="B800" s="1">
        <v>43916</v>
      </c>
      <c r="C800" t="s">
        <v>510</v>
      </c>
      <c r="D800">
        <v>10674.15</v>
      </c>
      <c r="E800">
        <v>10749.05</v>
      </c>
      <c r="F800">
        <v>10416.799999999999</v>
      </c>
      <c r="G800">
        <v>10640.7</v>
      </c>
      <c r="H800">
        <v>0</v>
      </c>
      <c r="I800" s="8">
        <f t="shared" si="49"/>
        <v>7.7851967609035011E-3</v>
      </c>
      <c r="J800" s="8">
        <f t="shared" si="50"/>
        <v>7.7550484889910556E-3</v>
      </c>
      <c r="K800" s="8">
        <f t="shared" si="47"/>
        <v>-0.33111854263838769</v>
      </c>
    </row>
    <row r="801" spans="1:11" x14ac:dyDescent="0.25">
      <c r="A801" t="str">
        <f t="shared" si="48"/>
        <v>32020</v>
      </c>
      <c r="B801" s="1">
        <v>43917</v>
      </c>
      <c r="C801" t="s">
        <v>511</v>
      </c>
      <c r="D801">
        <v>10849.75</v>
      </c>
      <c r="E801">
        <v>10937.45</v>
      </c>
      <c r="F801">
        <v>10517.8</v>
      </c>
      <c r="G801">
        <v>10626.3</v>
      </c>
      <c r="H801">
        <v>0</v>
      </c>
      <c r="I801" s="8">
        <f t="shared" si="49"/>
        <v>-1.3532944261187563E-3</v>
      </c>
      <c r="J801" s="8">
        <f t="shared" si="50"/>
        <v>-1.3542109560038143E-3</v>
      </c>
      <c r="K801" s="8">
        <f t="shared" si="47"/>
        <v>-0.33534945395864346</v>
      </c>
    </row>
    <row r="802" spans="1:11" x14ac:dyDescent="0.25">
      <c r="A802" t="str">
        <f t="shared" si="48"/>
        <v>32020</v>
      </c>
      <c r="B802" s="1">
        <v>43920</v>
      </c>
      <c r="C802" t="s">
        <v>512</v>
      </c>
      <c r="D802">
        <v>10338.1</v>
      </c>
      <c r="E802">
        <v>10652.5</v>
      </c>
      <c r="F802">
        <v>10210.85</v>
      </c>
      <c r="G802">
        <v>10401.1</v>
      </c>
      <c r="H802">
        <v>0</v>
      </c>
      <c r="I802" s="8">
        <f t="shared" si="49"/>
        <v>-2.1192701128332381E-2</v>
      </c>
      <c r="J802" s="8">
        <f t="shared" si="50"/>
        <v>-2.1420490482220719E-2</v>
      </c>
      <c r="K802" s="8">
        <f t="shared" si="47"/>
        <v>-0.35511051864711529</v>
      </c>
    </row>
    <row r="803" spans="1:11" x14ac:dyDescent="0.25">
      <c r="A803" t="str">
        <f t="shared" si="48"/>
        <v>32020</v>
      </c>
      <c r="B803" s="1">
        <v>43921</v>
      </c>
      <c r="C803" t="s">
        <v>513</v>
      </c>
      <c r="D803">
        <v>10689</v>
      </c>
      <c r="E803">
        <v>11176.4</v>
      </c>
      <c r="F803">
        <v>10556.15</v>
      </c>
      <c r="G803">
        <v>11124.15</v>
      </c>
      <c r="H803">
        <v>0</v>
      </c>
      <c r="I803" s="8">
        <f t="shared" si="49"/>
        <v>6.9516685735162564E-2</v>
      </c>
      <c r="J803" s="8">
        <f t="shared" si="50"/>
        <v>6.7206850854024253E-2</v>
      </c>
      <c r="K803" s="8">
        <f t="shared" si="47"/>
        <v>-0.30711376037073024</v>
      </c>
    </row>
    <row r="804" spans="1:11" x14ac:dyDescent="0.25">
      <c r="A804" t="str">
        <f t="shared" si="48"/>
        <v>42020</v>
      </c>
      <c r="B804" s="1">
        <v>43922</v>
      </c>
      <c r="C804" s="10">
        <v>43834.645833333336</v>
      </c>
      <c r="D804">
        <v>11119.45</v>
      </c>
      <c r="E804">
        <v>11133.1</v>
      </c>
      <c r="F804">
        <v>10657</v>
      </c>
      <c r="G804">
        <v>10771.9</v>
      </c>
      <c r="H804">
        <v>0</v>
      </c>
      <c r="I804" s="8">
        <f t="shared" si="49"/>
        <v>-3.1665340722661917E-2</v>
      </c>
      <c r="J804" s="8">
        <f t="shared" si="50"/>
        <v>-3.2177529059832101E-2</v>
      </c>
      <c r="K804" s="8">
        <f t="shared" si="47"/>
        <v>-0.31550703594383955</v>
      </c>
    </row>
    <row r="805" spans="1:11" x14ac:dyDescent="0.25">
      <c r="A805" t="str">
        <f t="shared" si="48"/>
        <v>42020</v>
      </c>
      <c r="B805" s="1">
        <v>43924</v>
      </c>
      <c r="C805" s="10">
        <v>43894.645833333336</v>
      </c>
      <c r="D805">
        <v>11040</v>
      </c>
      <c r="E805">
        <v>11040.5</v>
      </c>
      <c r="F805">
        <v>10641.1</v>
      </c>
      <c r="G805">
        <v>10888.4</v>
      </c>
      <c r="H805">
        <v>0</v>
      </c>
      <c r="I805" s="8">
        <f t="shared" si="49"/>
        <v>1.0815176524104464E-2</v>
      </c>
      <c r="J805" s="8">
        <f t="shared" si="50"/>
        <v>1.0757110788107725E-2</v>
      </c>
      <c r="K805" s="8">
        <f t="shared" si="47"/>
        <v>-0.31058804907004356</v>
      </c>
    </row>
    <row r="806" spans="1:11" x14ac:dyDescent="0.25">
      <c r="A806" t="str">
        <f t="shared" si="48"/>
        <v>42020</v>
      </c>
      <c r="B806" s="1">
        <v>43928</v>
      </c>
      <c r="C806" s="10">
        <v>44016.645833333336</v>
      </c>
      <c r="D806">
        <v>11184.9</v>
      </c>
      <c r="E806">
        <v>11700.05</v>
      </c>
      <c r="F806">
        <v>11079.3</v>
      </c>
      <c r="G806">
        <v>11667.75</v>
      </c>
      <c r="H806">
        <v>0</v>
      </c>
      <c r="I806" s="8">
        <f t="shared" si="49"/>
        <v>7.1576172807758853E-2</v>
      </c>
      <c r="J806" s="8">
        <f t="shared" si="50"/>
        <v>6.9130623285978313E-2</v>
      </c>
      <c r="K806" s="8">
        <f t="shared" si="47"/>
        <v>-0.25516838547202514</v>
      </c>
    </row>
    <row r="807" spans="1:11" x14ac:dyDescent="0.25">
      <c r="A807" t="str">
        <f t="shared" si="48"/>
        <v>42020</v>
      </c>
      <c r="B807" s="1">
        <v>43929</v>
      </c>
      <c r="C807" s="10">
        <v>44047.645833333336</v>
      </c>
      <c r="D807">
        <v>11566.75</v>
      </c>
      <c r="E807">
        <v>11990.55</v>
      </c>
      <c r="F807">
        <v>11427.9</v>
      </c>
      <c r="G807">
        <v>11685.15</v>
      </c>
      <c r="H807">
        <v>0</v>
      </c>
      <c r="I807" s="8">
        <f t="shared" si="49"/>
        <v>1.4912900944912266E-3</v>
      </c>
      <c r="J807" s="8">
        <f t="shared" si="50"/>
        <v>1.4901792256995379E-3</v>
      </c>
      <c r="K807" s="8">
        <f t="shared" si="47"/>
        <v>-0.26510108268056998</v>
      </c>
    </row>
    <row r="808" spans="1:11" x14ac:dyDescent="0.25">
      <c r="A808" t="str">
        <f t="shared" si="48"/>
        <v>42020</v>
      </c>
      <c r="B808" s="1">
        <v>43930</v>
      </c>
      <c r="C808" s="10">
        <v>44078.645833333336</v>
      </c>
      <c r="D808">
        <v>11916.25</v>
      </c>
      <c r="E808">
        <v>12037.25</v>
      </c>
      <c r="F808">
        <v>11818.55</v>
      </c>
      <c r="G808">
        <v>11987</v>
      </c>
      <c r="H808">
        <v>0</v>
      </c>
      <c r="I808" s="8">
        <f t="shared" si="49"/>
        <v>2.5831931982045697E-2</v>
      </c>
      <c r="J808" s="8">
        <f t="shared" si="50"/>
        <v>2.5503924346059831E-2</v>
      </c>
      <c r="K808" s="8">
        <f t="shared" si="47"/>
        <v>-0.24799954831039861</v>
      </c>
    </row>
    <row r="809" spans="1:11" x14ac:dyDescent="0.25">
      <c r="A809" t="str">
        <f t="shared" si="48"/>
        <v>42020</v>
      </c>
      <c r="B809" s="1">
        <v>43934</v>
      </c>
      <c r="C809" t="s">
        <v>514</v>
      </c>
      <c r="D809">
        <v>11972.35</v>
      </c>
      <c r="E809">
        <v>11992.95</v>
      </c>
      <c r="F809">
        <v>11635.8</v>
      </c>
      <c r="G809">
        <v>11830.65</v>
      </c>
      <c r="H809">
        <v>0</v>
      </c>
      <c r="I809" s="8">
        <f t="shared" si="49"/>
        <v>-1.3043296904980406E-2</v>
      </c>
      <c r="J809" s="8">
        <f t="shared" si="50"/>
        <v>-1.3129107689146557E-2</v>
      </c>
      <c r="K809" s="8">
        <f t="shared" si="47"/>
        <v>-0.26258231603748594</v>
      </c>
    </row>
    <row r="810" spans="1:11" x14ac:dyDescent="0.25">
      <c r="A810" t="str">
        <f t="shared" si="48"/>
        <v>42020</v>
      </c>
      <c r="B810" s="1">
        <v>43936</v>
      </c>
      <c r="C810" t="s">
        <v>515</v>
      </c>
      <c r="D810">
        <v>11945.2</v>
      </c>
      <c r="E810">
        <v>12260.6</v>
      </c>
      <c r="F810">
        <v>11676.95</v>
      </c>
      <c r="G810">
        <v>11721.9</v>
      </c>
      <c r="H810">
        <v>0</v>
      </c>
      <c r="I810" s="8">
        <f t="shared" si="49"/>
        <v>-9.192225279253452E-3</v>
      </c>
      <c r="J810" s="8">
        <f t="shared" si="50"/>
        <v>-9.2347344853793388E-3</v>
      </c>
      <c r="K810" s="8">
        <f t="shared" si="47"/>
        <v>-0.26981140890473898</v>
      </c>
    </row>
    <row r="811" spans="1:11" x14ac:dyDescent="0.25">
      <c r="A811" t="str">
        <f t="shared" si="48"/>
        <v>42020</v>
      </c>
      <c r="B811" s="1">
        <v>43937</v>
      </c>
      <c r="C811" t="s">
        <v>516</v>
      </c>
      <c r="D811">
        <v>11656.7</v>
      </c>
      <c r="E811">
        <v>12064.45</v>
      </c>
      <c r="F811">
        <v>11631.9</v>
      </c>
      <c r="G811">
        <v>11978.75</v>
      </c>
      <c r="H811">
        <v>0</v>
      </c>
      <c r="I811" s="8">
        <f t="shared" si="49"/>
        <v>2.1911976727322369E-2</v>
      </c>
      <c r="J811" s="8">
        <f t="shared" si="50"/>
        <v>2.1675359625398034E-2</v>
      </c>
      <c r="K811" s="8">
        <f t="shared" si="47"/>
        <v>-0.25221611835944813</v>
      </c>
    </row>
    <row r="812" spans="1:11" x14ac:dyDescent="0.25">
      <c r="A812" t="str">
        <f t="shared" si="48"/>
        <v>42020</v>
      </c>
      <c r="B812" s="1">
        <v>43938</v>
      </c>
      <c r="C812" t="s">
        <v>517</v>
      </c>
      <c r="D812">
        <v>12419.35</v>
      </c>
      <c r="E812">
        <v>12419.35</v>
      </c>
      <c r="F812">
        <v>12143.05</v>
      </c>
      <c r="G812">
        <v>12281.15</v>
      </c>
      <c r="H812">
        <v>0</v>
      </c>
      <c r="I812" s="8">
        <f t="shared" si="49"/>
        <v>2.5244704163623011E-2</v>
      </c>
      <c r="J812" s="8">
        <f t="shared" si="50"/>
        <v>2.4931319866910762E-2</v>
      </c>
      <c r="K812" s="8">
        <f t="shared" si="47"/>
        <v>-0.23119804186698723</v>
      </c>
    </row>
    <row r="813" spans="1:11" x14ac:dyDescent="0.25">
      <c r="A813" t="str">
        <f t="shared" si="48"/>
        <v>42020</v>
      </c>
      <c r="B813" s="1">
        <v>43941</v>
      </c>
      <c r="C813" t="s">
        <v>518</v>
      </c>
      <c r="D813">
        <v>12361.1</v>
      </c>
      <c r="E813">
        <v>12466.45</v>
      </c>
      <c r="F813">
        <v>12106.8</v>
      </c>
      <c r="G813">
        <v>12402.05</v>
      </c>
      <c r="H813">
        <v>0</v>
      </c>
      <c r="I813" s="8">
        <f t="shared" si="49"/>
        <v>9.8443549667579511E-3</v>
      </c>
      <c r="J813" s="8">
        <f t="shared" si="50"/>
        <v>9.7962149846187157E-3</v>
      </c>
      <c r="K813" s="8">
        <f t="shared" si="47"/>
        <v>-0.22861550039962308</v>
      </c>
    </row>
    <row r="814" spans="1:11" x14ac:dyDescent="0.25">
      <c r="A814" t="str">
        <f t="shared" si="48"/>
        <v>42020</v>
      </c>
      <c r="B814" s="1">
        <v>43942</v>
      </c>
      <c r="C814" t="s">
        <v>519</v>
      </c>
      <c r="D814">
        <v>12138.25</v>
      </c>
      <c r="E814">
        <v>12144.1</v>
      </c>
      <c r="F814">
        <v>11864.45</v>
      </c>
      <c r="G814">
        <v>12090.55</v>
      </c>
      <c r="H814">
        <v>0</v>
      </c>
      <c r="I814" s="8">
        <f t="shared" si="49"/>
        <v>-2.5116815365201717E-2</v>
      </c>
      <c r="J814" s="8">
        <f t="shared" si="50"/>
        <v>-2.5437625793132971E-2</v>
      </c>
      <c r="K814" s="8">
        <f t="shared" si="47"/>
        <v>-0.23742261831553124</v>
      </c>
    </row>
    <row r="815" spans="1:11" x14ac:dyDescent="0.25">
      <c r="A815" t="str">
        <f t="shared" si="48"/>
        <v>42020</v>
      </c>
      <c r="B815" s="1">
        <v>43943</v>
      </c>
      <c r="C815" t="s">
        <v>520</v>
      </c>
      <c r="D815">
        <v>12316.75</v>
      </c>
      <c r="E815">
        <v>12519.95</v>
      </c>
      <c r="F815">
        <v>12044.35</v>
      </c>
      <c r="G815">
        <v>12485.8</v>
      </c>
      <c r="H815">
        <v>0</v>
      </c>
      <c r="I815" s="8">
        <f t="shared" si="49"/>
        <v>3.2690820516849906E-2</v>
      </c>
      <c r="J815" s="8">
        <f t="shared" si="50"/>
        <v>3.2167842836939346E-2</v>
      </c>
      <c r="K815" s="8">
        <f t="shared" si="47"/>
        <v>-0.20860495849958338</v>
      </c>
    </row>
    <row r="816" spans="1:11" x14ac:dyDescent="0.25">
      <c r="A816" t="str">
        <f t="shared" si="48"/>
        <v>42020</v>
      </c>
      <c r="B816" s="1">
        <v>43944</v>
      </c>
      <c r="C816" t="s">
        <v>521</v>
      </c>
      <c r="D816">
        <v>12529.95</v>
      </c>
      <c r="E816">
        <v>12627.45</v>
      </c>
      <c r="F816">
        <v>12409.65</v>
      </c>
      <c r="G816">
        <v>12438.7</v>
      </c>
      <c r="H816">
        <v>0</v>
      </c>
      <c r="I816" s="8">
        <f t="shared" si="49"/>
        <v>-3.7722853161189507E-3</v>
      </c>
      <c r="J816" s="8">
        <f t="shared" si="50"/>
        <v>-3.779418328527837E-3</v>
      </c>
      <c r="K816" s="8">
        <f t="shared" si="47"/>
        <v>-0.19929061578669549</v>
      </c>
    </row>
    <row r="817" spans="1:11" x14ac:dyDescent="0.25">
      <c r="A817" t="str">
        <f t="shared" si="48"/>
        <v>42020</v>
      </c>
      <c r="B817" s="1">
        <v>43945</v>
      </c>
      <c r="C817" t="s">
        <v>522</v>
      </c>
      <c r="D817">
        <v>12322.55</v>
      </c>
      <c r="E817">
        <v>12831.4</v>
      </c>
      <c r="F817">
        <v>12284.5</v>
      </c>
      <c r="G817">
        <v>12500.8</v>
      </c>
      <c r="H817">
        <v>0</v>
      </c>
      <c r="I817" s="8">
        <f t="shared" si="49"/>
        <v>4.9924831373051592E-3</v>
      </c>
      <c r="J817" s="8">
        <f t="shared" si="50"/>
        <v>4.9800620176997327E-3</v>
      </c>
      <c r="K817" s="8">
        <f t="shared" si="47"/>
        <v>-0.2040165936000663</v>
      </c>
    </row>
    <row r="818" spans="1:11" x14ac:dyDescent="0.25">
      <c r="A818" t="str">
        <f t="shared" si="48"/>
        <v>42020</v>
      </c>
      <c r="B818" s="1">
        <v>43948</v>
      </c>
      <c r="C818" t="s">
        <v>523</v>
      </c>
      <c r="D818">
        <v>12640.95</v>
      </c>
      <c r="E818">
        <v>12785.05</v>
      </c>
      <c r="F818">
        <v>12558.05</v>
      </c>
      <c r="G818">
        <v>12581.95</v>
      </c>
      <c r="H818">
        <v>0</v>
      </c>
      <c r="I818" s="8">
        <f t="shared" si="49"/>
        <v>6.4915845385895565E-3</v>
      </c>
      <c r="J818" s="8">
        <f t="shared" si="50"/>
        <v>6.4706049485864633E-3</v>
      </c>
      <c r="K818" s="8">
        <f t="shared" si="47"/>
        <v>-0.19730584095976622</v>
      </c>
    </row>
    <row r="819" spans="1:11" x14ac:dyDescent="0.25">
      <c r="A819" t="str">
        <f t="shared" si="48"/>
        <v>42020</v>
      </c>
      <c r="B819" s="1">
        <v>43949</v>
      </c>
      <c r="C819" t="s">
        <v>524</v>
      </c>
      <c r="D819">
        <v>12677.95</v>
      </c>
      <c r="E819">
        <v>12713</v>
      </c>
      <c r="F819">
        <v>12433.45</v>
      </c>
      <c r="G819">
        <v>12547.7</v>
      </c>
      <c r="H819">
        <v>0</v>
      </c>
      <c r="I819" s="8">
        <f t="shared" si="49"/>
        <v>-2.7221535612523828E-3</v>
      </c>
      <c r="J819" s="8">
        <f t="shared" si="50"/>
        <v>-2.725865358843527E-3</v>
      </c>
      <c r="K819" s="8">
        <f t="shared" si="47"/>
        <v>-0.18990913052600988</v>
      </c>
    </row>
    <row r="820" spans="1:11" x14ac:dyDescent="0.25">
      <c r="A820" t="str">
        <f t="shared" si="48"/>
        <v>42020</v>
      </c>
      <c r="B820" s="1">
        <v>43950</v>
      </c>
      <c r="C820" t="s">
        <v>525</v>
      </c>
      <c r="D820">
        <v>12664.5</v>
      </c>
      <c r="E820">
        <v>12721.3</v>
      </c>
      <c r="F820">
        <v>12581.25</v>
      </c>
      <c r="G820">
        <v>12611.55</v>
      </c>
      <c r="H820">
        <v>0</v>
      </c>
      <c r="I820" s="8">
        <f t="shared" si="49"/>
        <v>5.0885819711978808E-3</v>
      </c>
      <c r="J820" s="8">
        <f t="shared" si="50"/>
        <v>5.0756788916995381E-3</v>
      </c>
      <c r="K820" s="8">
        <f t="shared" si="47"/>
        <v>-0.17911458112976664</v>
      </c>
    </row>
    <row r="821" spans="1:11" x14ac:dyDescent="0.25">
      <c r="A821" t="str">
        <f t="shared" si="48"/>
        <v>42020</v>
      </c>
      <c r="B821" s="1">
        <v>43951</v>
      </c>
      <c r="C821" t="s">
        <v>526</v>
      </c>
      <c r="D821">
        <v>12821.2</v>
      </c>
      <c r="E821">
        <v>13228.65</v>
      </c>
      <c r="F821">
        <v>12711.2</v>
      </c>
      <c r="G821">
        <v>13154.7</v>
      </c>
      <c r="H821">
        <v>0</v>
      </c>
      <c r="I821" s="8">
        <f t="shared" si="49"/>
        <v>4.3067664164991637E-2</v>
      </c>
      <c r="J821" s="8">
        <f t="shared" si="50"/>
        <v>4.2166048473328707E-2</v>
      </c>
      <c r="K821" s="8">
        <f t="shared" si="47"/>
        <v>-0.14866780137070512</v>
      </c>
    </row>
    <row r="822" spans="1:11" x14ac:dyDescent="0.25">
      <c r="A822" t="str">
        <f t="shared" si="48"/>
        <v>52020</v>
      </c>
      <c r="B822" s="1">
        <v>43955</v>
      </c>
      <c r="C822" s="10">
        <v>43926.645833333336</v>
      </c>
      <c r="D822">
        <v>12825.55</v>
      </c>
      <c r="E822">
        <v>12919.65</v>
      </c>
      <c r="F822">
        <v>12689.15</v>
      </c>
      <c r="G822">
        <v>12726.65</v>
      </c>
      <c r="H822">
        <v>0</v>
      </c>
      <c r="I822" s="8">
        <f t="shared" si="49"/>
        <v>-3.2539700639315328E-2</v>
      </c>
      <c r="J822" s="8">
        <f t="shared" si="50"/>
        <v>-3.3080889172650452E-2</v>
      </c>
      <c r="K822" s="8">
        <f t="shared" si="47"/>
        <v>-0.16518091414777492</v>
      </c>
    </row>
    <row r="823" spans="1:11" x14ac:dyDescent="0.25">
      <c r="A823" t="str">
        <f t="shared" si="48"/>
        <v>52020</v>
      </c>
      <c r="B823" s="1">
        <v>43956</v>
      </c>
      <c r="C823" s="10">
        <v>43956.645833333336</v>
      </c>
      <c r="D823">
        <v>12917.25</v>
      </c>
      <c r="E823">
        <v>13119.1</v>
      </c>
      <c r="F823">
        <v>12857.3</v>
      </c>
      <c r="G823">
        <v>12897.9</v>
      </c>
      <c r="H823">
        <v>0</v>
      </c>
      <c r="I823" s="8">
        <f t="shared" si="49"/>
        <v>1.3456015526474019E-2</v>
      </c>
      <c r="J823" s="8">
        <f t="shared" si="50"/>
        <v>1.3366287375644643E-2</v>
      </c>
      <c r="K823" s="8">
        <f t="shared" si="47"/>
        <v>-0.13079898644095211</v>
      </c>
    </row>
    <row r="824" spans="1:11" x14ac:dyDescent="0.25">
      <c r="A824" t="str">
        <f t="shared" si="48"/>
        <v>52020</v>
      </c>
      <c r="B824" s="1">
        <v>43957</v>
      </c>
      <c r="C824" s="10">
        <v>43987.645833333336</v>
      </c>
      <c r="D824">
        <v>12816.95</v>
      </c>
      <c r="E824">
        <v>12966.4</v>
      </c>
      <c r="F824">
        <v>12697.6</v>
      </c>
      <c r="G824">
        <v>12912.4</v>
      </c>
      <c r="H824">
        <v>0</v>
      </c>
      <c r="I824" s="8">
        <f t="shared" si="49"/>
        <v>1.1242140193363781E-3</v>
      </c>
      <c r="J824" s="8">
        <f t="shared" si="50"/>
        <v>1.1235825639720799E-3</v>
      </c>
      <c r="K824" s="8">
        <f t="shared" si="47"/>
        <v>-0.1025763988796452</v>
      </c>
    </row>
    <row r="825" spans="1:11" x14ac:dyDescent="0.25">
      <c r="A825" t="str">
        <f t="shared" si="48"/>
        <v>52020</v>
      </c>
      <c r="B825" s="1">
        <v>43958</v>
      </c>
      <c r="C825" s="10">
        <v>44017.645833333336</v>
      </c>
      <c r="D825">
        <v>12852.7</v>
      </c>
      <c r="E825">
        <v>12867.95</v>
      </c>
      <c r="F825">
        <v>12748</v>
      </c>
      <c r="G825">
        <v>12829.4</v>
      </c>
      <c r="H825">
        <v>0</v>
      </c>
      <c r="I825" s="8">
        <f t="shared" si="49"/>
        <v>-6.4279297419534975E-3</v>
      </c>
      <c r="J825" s="8">
        <f t="shared" si="50"/>
        <v>-6.4486778416791759E-3</v>
      </c>
      <c r="K825" s="8">
        <f t="shared" si="47"/>
        <v>-0.11519853790582602</v>
      </c>
    </row>
    <row r="826" spans="1:11" x14ac:dyDescent="0.25">
      <c r="A826" t="str">
        <f t="shared" si="48"/>
        <v>52020</v>
      </c>
      <c r="B826" s="1">
        <v>43959</v>
      </c>
      <c r="C826" s="10">
        <v>44048.645833333336</v>
      </c>
      <c r="D826">
        <v>13043.65</v>
      </c>
      <c r="E826">
        <v>13075.65</v>
      </c>
      <c r="F826">
        <v>12872.4</v>
      </c>
      <c r="G826">
        <v>12896.7</v>
      </c>
      <c r="H826">
        <v>0</v>
      </c>
      <c r="I826" s="8">
        <f t="shared" si="49"/>
        <v>5.2457636366471938E-3</v>
      </c>
      <c r="J826" s="8">
        <f t="shared" si="50"/>
        <v>5.2320525477662664E-3</v>
      </c>
      <c r="K826" s="8">
        <f t="shared" si="47"/>
        <v>-0.13756369618424735</v>
      </c>
    </row>
    <row r="827" spans="1:11" x14ac:dyDescent="0.25">
      <c r="A827" t="str">
        <f t="shared" si="48"/>
        <v>52020</v>
      </c>
      <c r="B827" s="1">
        <v>43962</v>
      </c>
      <c r="C827" s="10">
        <v>44140.645833333336</v>
      </c>
      <c r="D827">
        <v>13007.5</v>
      </c>
      <c r="E827">
        <v>13188.85</v>
      </c>
      <c r="F827">
        <v>12890.25</v>
      </c>
      <c r="G827">
        <v>12920.15</v>
      </c>
      <c r="H827">
        <v>0</v>
      </c>
      <c r="I827" s="8">
        <f t="shared" si="49"/>
        <v>1.8182946024951629E-3</v>
      </c>
      <c r="J827" s="8">
        <f t="shared" si="50"/>
        <v>1.8166435060146683E-3</v>
      </c>
      <c r="K827" s="8">
        <f t="shared" si="47"/>
        <v>-0.14431275932751186</v>
      </c>
    </row>
    <row r="828" spans="1:11" x14ac:dyDescent="0.25">
      <c r="A828" t="str">
        <f t="shared" si="48"/>
        <v>52020</v>
      </c>
      <c r="B828" s="1">
        <v>43963</v>
      </c>
      <c r="C828" s="10">
        <v>44170.645833333336</v>
      </c>
      <c r="D828">
        <v>12859.9</v>
      </c>
      <c r="E828">
        <v>12919.45</v>
      </c>
      <c r="F828">
        <v>12584.45</v>
      </c>
      <c r="G828">
        <v>12664.4</v>
      </c>
      <c r="H828">
        <v>0</v>
      </c>
      <c r="I828" s="8">
        <f t="shared" si="49"/>
        <v>-1.9794661826681548E-2</v>
      </c>
      <c r="J828" s="8">
        <f t="shared" si="50"/>
        <v>-1.9993200517317709E-2</v>
      </c>
      <c r="K828" s="8">
        <f t="shared" si="47"/>
        <v>-0.16839146879596556</v>
      </c>
    </row>
    <row r="829" spans="1:11" x14ac:dyDescent="0.25">
      <c r="A829" t="str">
        <f t="shared" si="48"/>
        <v>52020</v>
      </c>
      <c r="B829" s="1">
        <v>43964</v>
      </c>
      <c r="C829" t="s">
        <v>527</v>
      </c>
      <c r="D829">
        <v>13176.8</v>
      </c>
      <c r="E829">
        <v>13176.8</v>
      </c>
      <c r="F829">
        <v>12742</v>
      </c>
      <c r="G829">
        <v>12911.45</v>
      </c>
      <c r="H829">
        <v>0</v>
      </c>
      <c r="I829" s="8">
        <f t="shared" si="49"/>
        <v>1.9507438173146818E-2</v>
      </c>
      <c r="J829" s="8">
        <f t="shared" si="50"/>
        <v>1.9319606908795427E-2</v>
      </c>
      <c r="K829" s="8">
        <f t="shared" si="47"/>
        <v>-0.15000049374751068</v>
      </c>
    </row>
    <row r="830" spans="1:11" x14ac:dyDescent="0.25">
      <c r="A830" t="str">
        <f t="shared" si="48"/>
        <v>52020</v>
      </c>
      <c r="B830" s="1">
        <v>43965</v>
      </c>
      <c r="C830" t="s">
        <v>528</v>
      </c>
      <c r="D830">
        <v>12764.35</v>
      </c>
      <c r="E830">
        <v>12782.4</v>
      </c>
      <c r="F830">
        <v>12456.25</v>
      </c>
      <c r="G830">
        <v>12485.95</v>
      </c>
      <c r="H830">
        <v>0</v>
      </c>
      <c r="I830" s="8">
        <f t="shared" si="49"/>
        <v>-3.2955245150622092E-2</v>
      </c>
      <c r="J830" s="8">
        <f t="shared" si="50"/>
        <v>-3.3510502439148521E-2</v>
      </c>
      <c r="K830" s="8">
        <f t="shared" si="47"/>
        <v>-0.16901600612292433</v>
      </c>
    </row>
    <row r="831" spans="1:11" x14ac:dyDescent="0.25">
      <c r="A831" t="str">
        <f t="shared" si="48"/>
        <v>52020</v>
      </c>
      <c r="B831" s="1">
        <v>43966</v>
      </c>
      <c r="C831" t="s">
        <v>529</v>
      </c>
      <c r="D831">
        <v>12547</v>
      </c>
      <c r="E831">
        <v>12687.6</v>
      </c>
      <c r="F831">
        <v>12440.7</v>
      </c>
      <c r="G831">
        <v>12615.45</v>
      </c>
      <c r="H831">
        <v>0</v>
      </c>
      <c r="I831" s="8">
        <f t="shared" si="49"/>
        <v>1.0371657743303508E-2</v>
      </c>
      <c r="J831" s="8">
        <f t="shared" si="50"/>
        <v>1.0318241129548494E-2</v>
      </c>
      <c r="K831" s="8">
        <f t="shared" si="47"/>
        <v>-0.17185864003229734</v>
      </c>
    </row>
    <row r="832" spans="1:11" x14ac:dyDescent="0.25">
      <c r="A832" t="str">
        <f t="shared" si="48"/>
        <v>52020</v>
      </c>
      <c r="B832" s="1">
        <v>43969</v>
      </c>
      <c r="C832" t="s">
        <v>530</v>
      </c>
      <c r="D832">
        <v>12672.5</v>
      </c>
      <c r="E832">
        <v>12672.5</v>
      </c>
      <c r="F832">
        <v>12189.25</v>
      </c>
      <c r="G832">
        <v>12214.55</v>
      </c>
      <c r="H832">
        <v>0</v>
      </c>
      <c r="I832" s="8">
        <f t="shared" si="49"/>
        <v>-3.1778493830977195E-2</v>
      </c>
      <c r="J832" s="8">
        <f t="shared" si="50"/>
        <v>-3.2294389195843667E-2</v>
      </c>
      <c r="K832" s="8">
        <f t="shared" ref="K832:K895" si="51">+G832/G771-1</f>
        <v>-0.19821520001050275</v>
      </c>
    </row>
    <row r="833" spans="1:11" x14ac:dyDescent="0.25">
      <c r="A833" t="str">
        <f t="shared" si="48"/>
        <v>52020</v>
      </c>
      <c r="B833" s="1">
        <v>43970</v>
      </c>
      <c r="C833" t="s">
        <v>531</v>
      </c>
      <c r="D833">
        <v>12369</v>
      </c>
      <c r="E833">
        <v>12497.2</v>
      </c>
      <c r="F833">
        <v>12217.55</v>
      </c>
      <c r="G833">
        <v>12247.7</v>
      </c>
      <c r="H833">
        <v>0</v>
      </c>
      <c r="I833" s="8">
        <f t="shared" si="49"/>
        <v>2.7139763642543002E-3</v>
      </c>
      <c r="J833" s="8">
        <f t="shared" si="50"/>
        <v>2.7103001802835716E-3</v>
      </c>
      <c r="K833" s="8">
        <f t="shared" si="51"/>
        <v>-0.1937661482761458</v>
      </c>
    </row>
    <row r="834" spans="1:11" x14ac:dyDescent="0.25">
      <c r="A834" t="str">
        <f t="shared" si="48"/>
        <v>52020</v>
      </c>
      <c r="B834" s="1">
        <v>43971</v>
      </c>
      <c r="C834" t="s">
        <v>532</v>
      </c>
      <c r="D834">
        <v>12233.25</v>
      </c>
      <c r="E834">
        <v>12551</v>
      </c>
      <c r="F834">
        <v>12190.7</v>
      </c>
      <c r="G834">
        <v>12508.5</v>
      </c>
      <c r="H834">
        <v>0</v>
      </c>
      <c r="I834" s="8">
        <f t="shared" si="49"/>
        <v>2.1293793936820737E-2</v>
      </c>
      <c r="J834" s="8">
        <f t="shared" si="50"/>
        <v>2.1070248952513183E-2</v>
      </c>
      <c r="K834" s="8">
        <f t="shared" si="51"/>
        <v>-0.16879587205496838</v>
      </c>
    </row>
    <row r="835" spans="1:11" x14ac:dyDescent="0.25">
      <c r="A835" t="str">
        <f t="shared" ref="A835:A898" si="52">+MONTH(B835)&amp;YEAR(B835)</f>
        <v>52020</v>
      </c>
      <c r="B835" s="1">
        <v>43972</v>
      </c>
      <c r="C835" t="s">
        <v>533</v>
      </c>
      <c r="D835">
        <v>12510</v>
      </c>
      <c r="E835">
        <v>12574.1</v>
      </c>
      <c r="F835">
        <v>12417.45</v>
      </c>
      <c r="G835">
        <v>12502.6</v>
      </c>
      <c r="H835">
        <v>0</v>
      </c>
      <c r="I835" s="8">
        <f t="shared" si="49"/>
        <v>-4.7167925810442934E-4</v>
      </c>
      <c r="J835" s="8">
        <f t="shared" si="50"/>
        <v>-4.7179053375801319E-4</v>
      </c>
      <c r="K835" s="8">
        <f t="shared" si="51"/>
        <v>-0.1561676379969561</v>
      </c>
    </row>
    <row r="836" spans="1:11" x14ac:dyDescent="0.25">
      <c r="A836" t="str">
        <f t="shared" si="52"/>
        <v>52020</v>
      </c>
      <c r="B836" s="1">
        <v>43973</v>
      </c>
      <c r="C836" t="s">
        <v>534</v>
      </c>
      <c r="D836">
        <v>12492.5</v>
      </c>
      <c r="E836">
        <v>12518.35</v>
      </c>
      <c r="F836">
        <v>12346.7</v>
      </c>
      <c r="G836">
        <v>12463.55</v>
      </c>
      <c r="H836">
        <v>0</v>
      </c>
      <c r="I836" s="8">
        <f t="shared" ref="I836:I899" si="53">+G836/G835-1</f>
        <v>-3.1233503431287168E-3</v>
      </c>
      <c r="J836" s="8">
        <f t="shared" ref="J836:J899" si="54">+LN(1+I836)</f>
        <v>-3.1282381820874491E-3</v>
      </c>
      <c r="K836" s="8">
        <f t="shared" si="51"/>
        <v>-0.15729030382323017</v>
      </c>
    </row>
    <row r="837" spans="1:11" x14ac:dyDescent="0.25">
      <c r="A837" t="str">
        <f t="shared" si="52"/>
        <v>52020</v>
      </c>
      <c r="B837" s="1">
        <v>43977</v>
      </c>
      <c r="C837" t="s">
        <v>535</v>
      </c>
      <c r="D837">
        <v>12534.05</v>
      </c>
      <c r="E837">
        <v>12610.7</v>
      </c>
      <c r="F837">
        <v>12474.7</v>
      </c>
      <c r="G837">
        <v>12519.55</v>
      </c>
      <c r="H837">
        <v>0</v>
      </c>
      <c r="I837" s="8">
        <f t="shared" si="53"/>
        <v>4.493101885096884E-3</v>
      </c>
      <c r="J837" s="8">
        <f t="shared" si="54"/>
        <v>4.4830380368255374E-3</v>
      </c>
      <c r="K837" s="8">
        <f t="shared" si="51"/>
        <v>-0.16853399038333827</v>
      </c>
    </row>
    <row r="838" spans="1:11" x14ac:dyDescent="0.25">
      <c r="A838" t="str">
        <f t="shared" si="52"/>
        <v>52020</v>
      </c>
      <c r="B838" s="1">
        <v>43978</v>
      </c>
      <c r="C838" t="s">
        <v>536</v>
      </c>
      <c r="D838">
        <v>12562.75</v>
      </c>
      <c r="E838">
        <v>12750.45</v>
      </c>
      <c r="F838">
        <v>12441.8</v>
      </c>
      <c r="G838">
        <v>12715.95</v>
      </c>
      <c r="H838">
        <v>0</v>
      </c>
      <c r="I838" s="8">
        <f t="shared" si="53"/>
        <v>1.5687464805045126E-2</v>
      </c>
      <c r="J838" s="8">
        <f t="shared" si="54"/>
        <v>1.5565688452728032E-2</v>
      </c>
      <c r="K838" s="8">
        <f t="shared" si="51"/>
        <v>-0.15157146050248027</v>
      </c>
    </row>
    <row r="839" spans="1:11" x14ac:dyDescent="0.25">
      <c r="A839" t="str">
        <f t="shared" si="52"/>
        <v>52020</v>
      </c>
      <c r="B839" s="1">
        <v>43979</v>
      </c>
      <c r="C839" t="s">
        <v>537</v>
      </c>
      <c r="D839">
        <v>12783.5</v>
      </c>
      <c r="E839">
        <v>12871.6</v>
      </c>
      <c r="F839">
        <v>12747.1</v>
      </c>
      <c r="G839">
        <v>12845</v>
      </c>
      <c r="H839">
        <v>0</v>
      </c>
      <c r="I839" s="8">
        <f t="shared" si="53"/>
        <v>1.0148671550296973E-2</v>
      </c>
      <c r="J839" s="8">
        <f t="shared" si="54"/>
        <v>1.0097519575126144E-2</v>
      </c>
      <c r="K839" s="8">
        <f t="shared" si="51"/>
        <v>-0.12185650950780902</v>
      </c>
    </row>
    <row r="840" spans="1:11" x14ac:dyDescent="0.25">
      <c r="A840" t="str">
        <f t="shared" si="52"/>
        <v>52020</v>
      </c>
      <c r="B840" s="1">
        <v>43980</v>
      </c>
      <c r="C840" t="s">
        <v>538</v>
      </c>
      <c r="D840">
        <v>12794.9</v>
      </c>
      <c r="E840">
        <v>13117.15</v>
      </c>
      <c r="F840">
        <v>12737.15</v>
      </c>
      <c r="G840">
        <v>13060.5</v>
      </c>
      <c r="H840">
        <v>0</v>
      </c>
      <c r="I840" s="8">
        <f t="shared" si="53"/>
        <v>1.6776956014013189E-2</v>
      </c>
      <c r="J840" s="8">
        <f t="shared" si="54"/>
        <v>1.6637777392795983E-2</v>
      </c>
      <c r="K840" s="8">
        <f t="shared" si="51"/>
        <v>-9.6524936271474848E-2</v>
      </c>
    </row>
    <row r="841" spans="1:11" x14ac:dyDescent="0.25">
      <c r="A841" t="str">
        <f t="shared" si="52"/>
        <v>62020</v>
      </c>
      <c r="B841" s="1">
        <v>43983</v>
      </c>
      <c r="C841" s="10">
        <v>43836.645833333336</v>
      </c>
      <c r="D841">
        <v>13205.9</v>
      </c>
      <c r="E841">
        <v>13488.5</v>
      </c>
      <c r="F841">
        <v>13161.3</v>
      </c>
      <c r="G841">
        <v>13345.6</v>
      </c>
      <c r="H841">
        <v>0</v>
      </c>
      <c r="I841" s="8">
        <f t="shared" si="53"/>
        <v>2.1829179587305347E-2</v>
      </c>
      <c r="J841" s="8">
        <f t="shared" si="54"/>
        <v>2.1594334550567498E-2</v>
      </c>
      <c r="K841" s="8">
        <f t="shared" si="51"/>
        <v>-5.9486810855761574E-2</v>
      </c>
    </row>
    <row r="842" spans="1:11" x14ac:dyDescent="0.25">
      <c r="A842" t="str">
        <f t="shared" si="52"/>
        <v>62020</v>
      </c>
      <c r="B842" s="1">
        <v>43984</v>
      </c>
      <c r="C842" s="10">
        <v>43867.645833333336</v>
      </c>
      <c r="D842">
        <v>13430.3</v>
      </c>
      <c r="E842">
        <v>13511.6</v>
      </c>
      <c r="F842">
        <v>13297.3</v>
      </c>
      <c r="G842">
        <v>13479.9</v>
      </c>
      <c r="H842">
        <v>0</v>
      </c>
      <c r="I842" s="8">
        <f t="shared" si="53"/>
        <v>1.0063241817527713E-2</v>
      </c>
      <c r="J842" s="8">
        <f t="shared" si="54"/>
        <v>1.0012944553807943E-2</v>
      </c>
      <c r="K842" s="8">
        <f t="shared" si="51"/>
        <v>-4.1875606384226383E-2</v>
      </c>
    </row>
    <row r="843" spans="1:11" x14ac:dyDescent="0.25">
      <c r="A843" t="str">
        <f t="shared" si="52"/>
        <v>62020</v>
      </c>
      <c r="B843" s="1">
        <v>43985</v>
      </c>
      <c r="C843" s="10">
        <v>43896.645833333336</v>
      </c>
      <c r="D843">
        <v>13595.65</v>
      </c>
      <c r="E843">
        <v>13666.2</v>
      </c>
      <c r="F843">
        <v>13478.95</v>
      </c>
      <c r="G843">
        <v>13519.55</v>
      </c>
      <c r="H843">
        <v>0</v>
      </c>
      <c r="I843" s="8">
        <f t="shared" si="53"/>
        <v>2.9414164793506448E-3</v>
      </c>
      <c r="J843" s="8">
        <f t="shared" si="54"/>
        <v>2.9370989782054793E-3</v>
      </c>
      <c r="K843" s="8">
        <f t="shared" si="51"/>
        <v>-9.6293311845286889E-3</v>
      </c>
    </row>
    <row r="844" spans="1:11" x14ac:dyDescent="0.25">
      <c r="A844" t="str">
        <f t="shared" si="52"/>
        <v>62020</v>
      </c>
      <c r="B844" s="1">
        <v>43986</v>
      </c>
      <c r="C844" s="10">
        <v>43927.645833333336</v>
      </c>
      <c r="D844">
        <v>13469.1</v>
      </c>
      <c r="E844">
        <v>13739.5</v>
      </c>
      <c r="F844">
        <v>13453.6</v>
      </c>
      <c r="G844">
        <v>13704.6</v>
      </c>
      <c r="H844">
        <v>0</v>
      </c>
      <c r="I844" s="8">
        <f t="shared" si="53"/>
        <v>1.3687585755443044E-2</v>
      </c>
      <c r="J844" s="8">
        <f t="shared" si="54"/>
        <v>1.3594756863282206E-2</v>
      </c>
      <c r="K844" s="8">
        <f t="shared" si="51"/>
        <v>2.1279449737500178E-2</v>
      </c>
    </row>
    <row r="845" spans="1:11" x14ac:dyDescent="0.25">
      <c r="A845" t="str">
        <f t="shared" si="52"/>
        <v>62020</v>
      </c>
      <c r="B845" s="1">
        <v>43987</v>
      </c>
      <c r="C845" s="10">
        <v>43957.645833333336</v>
      </c>
      <c r="D845">
        <v>13762.15</v>
      </c>
      <c r="E845">
        <v>14002.5</v>
      </c>
      <c r="F845">
        <v>13738.85</v>
      </c>
      <c r="G845">
        <v>13925.4</v>
      </c>
      <c r="H845">
        <v>0</v>
      </c>
      <c r="I845" s="8">
        <f t="shared" si="53"/>
        <v>1.611137866117951E-2</v>
      </c>
      <c r="J845" s="8">
        <f t="shared" si="54"/>
        <v>1.5982967814460763E-2</v>
      </c>
      <c r="K845" s="8">
        <f t="shared" si="51"/>
        <v>4.4504713748854119E-3</v>
      </c>
    </row>
    <row r="846" spans="1:11" x14ac:dyDescent="0.25">
      <c r="A846" t="str">
        <f t="shared" si="52"/>
        <v>62020</v>
      </c>
      <c r="B846" s="1">
        <v>43990</v>
      </c>
      <c r="C846" s="10">
        <v>44049.645833333336</v>
      </c>
      <c r="D846">
        <v>14234.2</v>
      </c>
      <c r="E846">
        <v>14328.5</v>
      </c>
      <c r="F846">
        <v>14099.25</v>
      </c>
      <c r="G846">
        <v>14140.55</v>
      </c>
      <c r="H846">
        <v>0</v>
      </c>
      <c r="I846" s="8">
        <f t="shared" si="53"/>
        <v>1.5450184554842261E-2</v>
      </c>
      <c r="J846" s="8">
        <f t="shared" si="54"/>
        <v>1.533204574381852E-2</v>
      </c>
      <c r="K846" s="8">
        <f t="shared" si="51"/>
        <v>1.9017558272349522E-2</v>
      </c>
    </row>
    <row r="847" spans="1:11" x14ac:dyDescent="0.25">
      <c r="A847" t="str">
        <f t="shared" si="52"/>
        <v>62020</v>
      </c>
      <c r="B847" s="1">
        <v>43991</v>
      </c>
      <c r="C847" s="10">
        <v>44080.645833333336</v>
      </c>
      <c r="D847">
        <v>14179</v>
      </c>
      <c r="E847">
        <v>14239.75</v>
      </c>
      <c r="F847">
        <v>13845</v>
      </c>
      <c r="G847">
        <v>13894.9</v>
      </c>
      <c r="H847">
        <v>0</v>
      </c>
      <c r="I847" s="8">
        <f t="shared" si="53"/>
        <v>-1.7372025840579064E-2</v>
      </c>
      <c r="J847" s="8">
        <f t="shared" si="54"/>
        <v>-1.7524690123609011E-2</v>
      </c>
      <c r="K847" s="8">
        <f t="shared" si="51"/>
        <v>1.1005082347120387E-2</v>
      </c>
    </row>
    <row r="848" spans="1:11" x14ac:dyDescent="0.25">
      <c r="A848" t="str">
        <f t="shared" si="52"/>
        <v>62020</v>
      </c>
      <c r="B848" s="1">
        <v>43992</v>
      </c>
      <c r="C848" s="10">
        <v>44110.645833333336</v>
      </c>
      <c r="D848">
        <v>13943.1</v>
      </c>
      <c r="E848">
        <v>14000.95</v>
      </c>
      <c r="F848">
        <v>13805.1</v>
      </c>
      <c r="G848">
        <v>13954.3</v>
      </c>
      <c r="H848">
        <v>0</v>
      </c>
      <c r="I848" s="8">
        <f t="shared" si="53"/>
        <v>4.2749498017258247E-3</v>
      </c>
      <c r="J848" s="8">
        <f t="shared" si="54"/>
        <v>4.2658381624592605E-3</v>
      </c>
      <c r="K848" s="8">
        <f t="shared" si="51"/>
        <v>4.5845637282088791E-2</v>
      </c>
    </row>
    <row r="849" spans="1:11" x14ac:dyDescent="0.25">
      <c r="A849" t="str">
        <f t="shared" si="52"/>
        <v>62020</v>
      </c>
      <c r="B849" s="1">
        <v>43993</v>
      </c>
      <c r="C849" s="10">
        <v>44141.645833333336</v>
      </c>
      <c r="D849">
        <v>13917.95</v>
      </c>
      <c r="E849">
        <v>14037.75</v>
      </c>
      <c r="F849">
        <v>13709.85</v>
      </c>
      <c r="G849">
        <v>13745.7</v>
      </c>
      <c r="H849">
        <v>0</v>
      </c>
      <c r="I849" s="8">
        <f t="shared" si="53"/>
        <v>-1.4948797144965997E-2</v>
      </c>
      <c r="J849" s="8">
        <f t="shared" si="54"/>
        <v>-1.5061656567153237E-2</v>
      </c>
      <c r="K849" s="8">
        <f t="shared" si="51"/>
        <v>0.1013917934665034</v>
      </c>
    </row>
    <row r="850" spans="1:11" x14ac:dyDescent="0.25">
      <c r="A850" t="str">
        <f t="shared" si="52"/>
        <v>62020</v>
      </c>
      <c r="B850" s="1">
        <v>43994</v>
      </c>
      <c r="C850" s="10">
        <v>44171.645833333336</v>
      </c>
      <c r="D850">
        <v>13274.5</v>
      </c>
      <c r="E850">
        <v>13891.15</v>
      </c>
      <c r="F850">
        <v>13269.4</v>
      </c>
      <c r="G850">
        <v>13855.75</v>
      </c>
      <c r="H850">
        <v>0</v>
      </c>
      <c r="I850" s="8">
        <f t="shared" si="53"/>
        <v>8.0061401019955181E-3</v>
      </c>
      <c r="J850" s="8">
        <f t="shared" si="54"/>
        <v>7.9742610016518486E-3</v>
      </c>
      <c r="K850" s="8">
        <f t="shared" si="51"/>
        <v>0.1175163525208287</v>
      </c>
    </row>
    <row r="851" spans="1:11" x14ac:dyDescent="0.25">
      <c r="A851" t="str">
        <f t="shared" si="52"/>
        <v>62020</v>
      </c>
      <c r="B851" s="1">
        <v>43997</v>
      </c>
      <c r="C851" t="s">
        <v>539</v>
      </c>
      <c r="D851">
        <v>13755.65</v>
      </c>
      <c r="E851">
        <v>13907.75</v>
      </c>
      <c r="F851">
        <v>13589.6</v>
      </c>
      <c r="G851">
        <v>13815.45</v>
      </c>
      <c r="H851">
        <v>0</v>
      </c>
      <c r="I851" s="8">
        <f t="shared" si="53"/>
        <v>-2.9085397759052167E-3</v>
      </c>
      <c r="J851" s="8">
        <f t="shared" si="54"/>
        <v>-2.9127777973500628E-3</v>
      </c>
      <c r="K851" s="8">
        <f t="shared" si="51"/>
        <v>0.23298289141357809</v>
      </c>
    </row>
    <row r="852" spans="1:11" x14ac:dyDescent="0.25">
      <c r="A852" t="str">
        <f t="shared" si="52"/>
        <v>62020</v>
      </c>
      <c r="B852" s="1">
        <v>43998</v>
      </c>
      <c r="C852" t="s">
        <v>540</v>
      </c>
      <c r="D852">
        <v>14062.35</v>
      </c>
      <c r="E852">
        <v>14080.65</v>
      </c>
      <c r="F852">
        <v>13597.5</v>
      </c>
      <c r="G852">
        <v>13780.55</v>
      </c>
      <c r="H852">
        <v>0</v>
      </c>
      <c r="I852" s="8">
        <f t="shared" si="53"/>
        <v>-2.5261573093892098E-3</v>
      </c>
      <c r="J852" s="8">
        <f t="shared" si="54"/>
        <v>-2.5293534284995052E-3</v>
      </c>
      <c r="K852" s="8">
        <f t="shared" si="51"/>
        <v>0.17568945291671101</v>
      </c>
    </row>
    <row r="853" spans="1:11" x14ac:dyDescent="0.25">
      <c r="A853" t="str">
        <f t="shared" si="52"/>
        <v>62020</v>
      </c>
      <c r="B853" s="1">
        <v>43999</v>
      </c>
      <c r="C853" t="s">
        <v>541</v>
      </c>
      <c r="D853">
        <v>13708.85</v>
      </c>
      <c r="E853">
        <v>13864.05</v>
      </c>
      <c r="F853">
        <v>13675.8</v>
      </c>
      <c r="G853">
        <v>13742.95</v>
      </c>
      <c r="H853">
        <v>0</v>
      </c>
      <c r="I853" s="8">
        <f t="shared" si="53"/>
        <v>-2.728483260827641E-3</v>
      </c>
      <c r="J853" s="8">
        <f t="shared" si="54"/>
        <v>-2.7322123560070311E-3</v>
      </c>
      <c r="K853" s="8">
        <f t="shared" si="51"/>
        <v>0.24738029217287116</v>
      </c>
    </row>
    <row r="854" spans="1:11" x14ac:dyDescent="0.25">
      <c r="A854" t="str">
        <f t="shared" si="52"/>
        <v>62020</v>
      </c>
      <c r="B854" s="1">
        <v>44000</v>
      </c>
      <c r="C854" t="s">
        <v>542</v>
      </c>
      <c r="D854">
        <v>13714.2</v>
      </c>
      <c r="E854">
        <v>14078.5</v>
      </c>
      <c r="F854">
        <v>13670.6</v>
      </c>
      <c r="G854">
        <v>14023.45</v>
      </c>
      <c r="H854">
        <v>0</v>
      </c>
      <c r="I854" s="8">
        <f t="shared" si="53"/>
        <v>2.0410465002055567E-2</v>
      </c>
      <c r="J854" s="8">
        <f t="shared" si="54"/>
        <v>2.0204963016989812E-2</v>
      </c>
      <c r="K854" s="8">
        <f t="shared" si="51"/>
        <v>0.27947683913761501</v>
      </c>
    </row>
    <row r="855" spans="1:11" x14ac:dyDescent="0.25">
      <c r="A855" t="str">
        <f t="shared" si="52"/>
        <v>62020</v>
      </c>
      <c r="B855" s="1">
        <v>44001</v>
      </c>
      <c r="C855" t="s">
        <v>543</v>
      </c>
      <c r="D855">
        <v>14135.65</v>
      </c>
      <c r="E855">
        <v>14604.65</v>
      </c>
      <c r="F855">
        <v>14093.9</v>
      </c>
      <c r="G855">
        <v>14535.25</v>
      </c>
      <c r="H855">
        <v>0</v>
      </c>
      <c r="I855" s="8">
        <f t="shared" si="53"/>
        <v>3.6496012036980829E-2</v>
      </c>
      <c r="J855" s="8">
        <f t="shared" si="54"/>
        <v>3.5845805358057002E-2</v>
      </c>
      <c r="K855" s="8">
        <f t="shared" si="51"/>
        <v>0.38868719487145187</v>
      </c>
    </row>
    <row r="856" spans="1:11" x14ac:dyDescent="0.25">
      <c r="A856" t="str">
        <f t="shared" si="52"/>
        <v>62020</v>
      </c>
      <c r="B856" s="1">
        <v>44004</v>
      </c>
      <c r="C856" t="s">
        <v>544</v>
      </c>
      <c r="D856">
        <v>14684.5</v>
      </c>
      <c r="E856">
        <v>14785.65</v>
      </c>
      <c r="F856">
        <v>14581.75</v>
      </c>
      <c r="G856">
        <v>14675.6</v>
      </c>
      <c r="H856">
        <v>0</v>
      </c>
      <c r="I856" s="8">
        <f t="shared" si="53"/>
        <v>9.6558366729158074E-3</v>
      </c>
      <c r="J856" s="8">
        <f t="shared" si="54"/>
        <v>9.6095170133383406E-3</v>
      </c>
      <c r="K856" s="8">
        <f t="shared" si="51"/>
        <v>0.46128378613853482</v>
      </c>
    </row>
    <row r="857" spans="1:11" x14ac:dyDescent="0.25">
      <c r="A857" t="str">
        <f t="shared" si="52"/>
        <v>62020</v>
      </c>
      <c r="B857" s="1">
        <v>44005</v>
      </c>
      <c r="C857" t="s">
        <v>545</v>
      </c>
      <c r="D857">
        <v>14748</v>
      </c>
      <c r="E857">
        <v>14867.05</v>
      </c>
      <c r="F857">
        <v>14695.05</v>
      </c>
      <c r="G857">
        <v>14837.55</v>
      </c>
      <c r="H857">
        <v>0</v>
      </c>
      <c r="I857" s="8">
        <f t="shared" si="53"/>
        <v>1.1035323939055264E-2</v>
      </c>
      <c r="J857" s="8">
        <f t="shared" si="54"/>
        <v>1.0974879031378308E-2</v>
      </c>
      <c r="K857" s="8">
        <f t="shared" si="51"/>
        <v>0.35998295157697902</v>
      </c>
    </row>
    <row r="858" spans="1:11" x14ac:dyDescent="0.25">
      <c r="A858" t="str">
        <f t="shared" si="52"/>
        <v>62020</v>
      </c>
      <c r="B858" s="1">
        <v>44006</v>
      </c>
      <c r="C858" t="s">
        <v>546</v>
      </c>
      <c r="D858">
        <v>14942.6</v>
      </c>
      <c r="E858">
        <v>14957.2</v>
      </c>
      <c r="F858">
        <v>14571.15</v>
      </c>
      <c r="G858">
        <v>14603.65</v>
      </c>
      <c r="H858">
        <v>0</v>
      </c>
      <c r="I858" s="8">
        <f t="shared" si="53"/>
        <v>-1.5764058082365362E-2</v>
      </c>
      <c r="J858" s="8">
        <f t="shared" si="54"/>
        <v>-1.5889632300543032E-2</v>
      </c>
      <c r="K858" s="8">
        <f t="shared" si="51"/>
        <v>0.4825288056443835</v>
      </c>
    </row>
    <row r="859" spans="1:11" x14ac:dyDescent="0.25">
      <c r="A859" t="str">
        <f t="shared" si="52"/>
        <v>62020</v>
      </c>
      <c r="B859" s="1">
        <v>44007</v>
      </c>
      <c r="C859" t="s">
        <v>547</v>
      </c>
      <c r="D859">
        <v>14575.75</v>
      </c>
      <c r="E859">
        <v>14733.55</v>
      </c>
      <c r="F859">
        <v>14462.4</v>
      </c>
      <c r="G859">
        <v>14505.2</v>
      </c>
      <c r="H859">
        <v>0</v>
      </c>
      <c r="I859" s="8">
        <f t="shared" si="53"/>
        <v>-6.7414653186017581E-3</v>
      </c>
      <c r="J859" s="8">
        <f t="shared" si="54"/>
        <v>-6.7642916423438556E-3</v>
      </c>
      <c r="K859" s="8">
        <f t="shared" si="51"/>
        <v>0.44704708699122109</v>
      </c>
    </row>
    <row r="860" spans="1:11" x14ac:dyDescent="0.25">
      <c r="A860" t="str">
        <f t="shared" si="52"/>
        <v>62020</v>
      </c>
      <c r="B860" s="1">
        <v>44008</v>
      </c>
      <c r="C860" t="s">
        <v>548</v>
      </c>
      <c r="D860">
        <v>14665.55</v>
      </c>
      <c r="E860">
        <v>14879.2</v>
      </c>
      <c r="F860">
        <v>14596.05</v>
      </c>
      <c r="G860">
        <v>14832.65</v>
      </c>
      <c r="H860">
        <v>0</v>
      </c>
      <c r="I860" s="8">
        <f t="shared" si="53"/>
        <v>2.2574662879518925E-2</v>
      </c>
      <c r="J860" s="8">
        <f t="shared" si="54"/>
        <v>2.2323626200064218E-2</v>
      </c>
      <c r="K860" s="8">
        <f t="shared" si="51"/>
        <v>0.4048065539612633</v>
      </c>
    </row>
    <row r="861" spans="1:11" x14ac:dyDescent="0.25">
      <c r="A861" t="str">
        <f t="shared" si="52"/>
        <v>62020</v>
      </c>
      <c r="B861" s="1">
        <v>44011</v>
      </c>
      <c r="C861" t="s">
        <v>549</v>
      </c>
      <c r="D861">
        <v>14775.45</v>
      </c>
      <c r="E861">
        <v>14833.45</v>
      </c>
      <c r="F861">
        <v>14536.85</v>
      </c>
      <c r="G861">
        <v>14588.5</v>
      </c>
      <c r="H861">
        <v>0</v>
      </c>
      <c r="I861" s="8">
        <f t="shared" si="53"/>
        <v>-1.6460308845688387E-2</v>
      </c>
      <c r="J861" s="8">
        <f t="shared" si="54"/>
        <v>-1.6597284921783535E-2</v>
      </c>
      <c r="K861" s="8">
        <f t="shared" si="51"/>
        <v>0.37100942607159304</v>
      </c>
    </row>
    <row r="862" spans="1:11" x14ac:dyDescent="0.25">
      <c r="A862" t="str">
        <f t="shared" si="52"/>
        <v>62020</v>
      </c>
      <c r="B862" s="1">
        <v>44012</v>
      </c>
      <c r="C862" t="s">
        <v>550</v>
      </c>
      <c r="D862">
        <v>14737.1</v>
      </c>
      <c r="E862">
        <v>14737.1</v>
      </c>
      <c r="F862">
        <v>14368.85</v>
      </c>
      <c r="G862">
        <v>14396.55</v>
      </c>
      <c r="H862">
        <v>0</v>
      </c>
      <c r="I862" s="8">
        <f t="shared" si="53"/>
        <v>-1.3157624156013403E-2</v>
      </c>
      <c r="J862" s="8">
        <f t="shared" si="54"/>
        <v>-1.3244952561485144E-2</v>
      </c>
      <c r="K862" s="8">
        <f t="shared" si="51"/>
        <v>0.35480364755371108</v>
      </c>
    </row>
    <row r="863" spans="1:11" x14ac:dyDescent="0.25">
      <c r="A863" t="str">
        <f t="shared" si="52"/>
        <v>72020</v>
      </c>
      <c r="B863" s="1">
        <v>44013</v>
      </c>
      <c r="C863" s="10">
        <v>43837.645833333336</v>
      </c>
      <c r="D863">
        <v>14399.85</v>
      </c>
      <c r="E863">
        <v>14495.05</v>
      </c>
      <c r="F863">
        <v>14275.7</v>
      </c>
      <c r="G863">
        <v>14474.35</v>
      </c>
      <c r="H863">
        <v>0</v>
      </c>
      <c r="I863" s="8">
        <f t="shared" si="53"/>
        <v>5.4040725034818493E-3</v>
      </c>
      <c r="J863" s="8">
        <f t="shared" si="54"/>
        <v>5.3895228982134575E-3</v>
      </c>
      <c r="K863" s="8">
        <f t="shared" si="51"/>
        <v>0.39161723279268545</v>
      </c>
    </row>
    <row r="864" spans="1:11" x14ac:dyDescent="0.25">
      <c r="A864" t="str">
        <f t="shared" si="52"/>
        <v>72020</v>
      </c>
      <c r="B864" s="1">
        <v>44014</v>
      </c>
      <c r="C864" s="10">
        <v>43868.645833333336</v>
      </c>
      <c r="D864">
        <v>14538.75</v>
      </c>
      <c r="E864">
        <v>14707.6</v>
      </c>
      <c r="F864">
        <v>14509.55</v>
      </c>
      <c r="G864">
        <v>14625.2</v>
      </c>
      <c r="H864">
        <v>0</v>
      </c>
      <c r="I864" s="8">
        <f t="shared" si="53"/>
        <v>1.0421884229689038E-2</v>
      </c>
      <c r="J864" s="8">
        <f t="shared" si="54"/>
        <v>1.0367950795927212E-2</v>
      </c>
      <c r="K864" s="8">
        <f t="shared" si="51"/>
        <v>0.31472517001298983</v>
      </c>
    </row>
    <row r="865" spans="1:11" x14ac:dyDescent="0.25">
      <c r="A865" t="str">
        <f t="shared" si="52"/>
        <v>72020</v>
      </c>
      <c r="B865" s="1">
        <v>44015</v>
      </c>
      <c r="C865" s="10">
        <v>43897.645833333336</v>
      </c>
      <c r="D865">
        <v>14738.55</v>
      </c>
      <c r="E865">
        <v>14797.15</v>
      </c>
      <c r="F865">
        <v>14644.3</v>
      </c>
      <c r="G865">
        <v>14771.05</v>
      </c>
      <c r="H865">
        <v>0</v>
      </c>
      <c r="I865" s="8">
        <f t="shared" si="53"/>
        <v>9.9725131964005787E-3</v>
      </c>
      <c r="J865" s="8">
        <f t="shared" si="54"/>
        <v>9.9231158258134555E-3</v>
      </c>
      <c r="K865" s="8">
        <f t="shared" si="51"/>
        <v>0.37125762400319351</v>
      </c>
    </row>
    <row r="866" spans="1:11" x14ac:dyDescent="0.25">
      <c r="A866" t="str">
        <f t="shared" si="52"/>
        <v>72020</v>
      </c>
      <c r="B866" s="1">
        <v>44018</v>
      </c>
      <c r="C866" s="10">
        <v>43989.645833333336</v>
      </c>
      <c r="D866">
        <v>14887.7</v>
      </c>
      <c r="E866">
        <v>15057</v>
      </c>
      <c r="F866">
        <v>14822.7</v>
      </c>
      <c r="G866">
        <v>14997.85</v>
      </c>
      <c r="H866">
        <v>0</v>
      </c>
      <c r="I866" s="8">
        <f t="shared" si="53"/>
        <v>1.5354358694879666E-2</v>
      </c>
      <c r="J866" s="8">
        <f t="shared" si="54"/>
        <v>1.523767343176886E-2</v>
      </c>
      <c r="K866" s="8">
        <f t="shared" si="51"/>
        <v>0.37741541456963379</v>
      </c>
    </row>
    <row r="867" spans="1:11" x14ac:dyDescent="0.25">
      <c r="A867" t="str">
        <f t="shared" si="52"/>
        <v>72020</v>
      </c>
      <c r="B867" s="1">
        <v>44019</v>
      </c>
      <c r="C867" s="10">
        <v>44019.645833333336</v>
      </c>
      <c r="D867">
        <v>15037.6</v>
      </c>
      <c r="E867">
        <v>15046.85</v>
      </c>
      <c r="F867">
        <v>14667</v>
      </c>
      <c r="G867">
        <v>14696.7</v>
      </c>
      <c r="H867">
        <v>0</v>
      </c>
      <c r="I867" s="8">
        <f t="shared" si="53"/>
        <v>-2.0079544734745269E-2</v>
      </c>
      <c r="J867" s="8">
        <f t="shared" si="54"/>
        <v>-2.0283878708506516E-2</v>
      </c>
      <c r="K867" s="8">
        <f t="shared" si="51"/>
        <v>0.25960017998328744</v>
      </c>
    </row>
    <row r="868" spans="1:11" x14ac:dyDescent="0.25">
      <c r="A868" t="str">
        <f t="shared" si="52"/>
        <v>72020</v>
      </c>
      <c r="B868" s="1">
        <v>44020</v>
      </c>
      <c r="C868" s="10">
        <v>44050.645833333336</v>
      </c>
      <c r="D868">
        <v>14715.95</v>
      </c>
      <c r="E868">
        <v>14768.9</v>
      </c>
      <c r="F868">
        <v>14514.55</v>
      </c>
      <c r="G868">
        <v>14554.35</v>
      </c>
      <c r="H868">
        <v>0</v>
      </c>
      <c r="I868" s="8">
        <f t="shared" si="53"/>
        <v>-9.6858478433934359E-3</v>
      </c>
      <c r="J868" s="8">
        <f t="shared" si="54"/>
        <v>-9.7330607798473447E-3</v>
      </c>
      <c r="K868" s="8">
        <f t="shared" si="51"/>
        <v>0.24554241922440023</v>
      </c>
    </row>
    <row r="869" spans="1:11" x14ac:dyDescent="0.25">
      <c r="A869" t="str">
        <f t="shared" si="52"/>
        <v>72020</v>
      </c>
      <c r="B869" s="1">
        <v>44021</v>
      </c>
      <c r="C869" s="10">
        <v>44081.645833333336</v>
      </c>
      <c r="D869">
        <v>14639.05</v>
      </c>
      <c r="E869">
        <v>14682.25</v>
      </c>
      <c r="F869">
        <v>14565.35</v>
      </c>
      <c r="G869">
        <v>14620.85</v>
      </c>
      <c r="H869">
        <v>0</v>
      </c>
      <c r="I869" s="8">
        <f t="shared" si="53"/>
        <v>4.5690807215712503E-3</v>
      </c>
      <c r="J869" s="8">
        <f t="shared" si="54"/>
        <v>4.5586741591599981E-3</v>
      </c>
      <c r="K869" s="8">
        <f t="shared" si="51"/>
        <v>0.21972553599733047</v>
      </c>
    </row>
    <row r="870" spans="1:11" x14ac:dyDescent="0.25">
      <c r="A870" t="str">
        <f t="shared" si="52"/>
        <v>72020</v>
      </c>
      <c r="B870" s="1">
        <v>44022</v>
      </c>
      <c r="C870" s="10">
        <v>44111.645833333336</v>
      </c>
      <c r="D870">
        <v>14604.7</v>
      </c>
      <c r="E870">
        <v>14724.4</v>
      </c>
      <c r="F870">
        <v>14522.9</v>
      </c>
      <c r="G870">
        <v>14698.5</v>
      </c>
      <c r="H870">
        <v>0</v>
      </c>
      <c r="I870" s="8">
        <f t="shared" si="53"/>
        <v>5.3109087364962004E-3</v>
      </c>
      <c r="J870" s="8">
        <f t="shared" si="54"/>
        <v>5.2968555953669203E-3</v>
      </c>
      <c r="K870" s="8">
        <f t="shared" si="51"/>
        <v>0.24240848981247853</v>
      </c>
    </row>
    <row r="871" spans="1:11" x14ac:dyDescent="0.25">
      <c r="A871" t="str">
        <f t="shared" si="52"/>
        <v>72020</v>
      </c>
      <c r="B871" s="1">
        <v>44025</v>
      </c>
      <c r="C871" t="s">
        <v>551</v>
      </c>
      <c r="D871">
        <v>14827.75</v>
      </c>
      <c r="E871">
        <v>15025.1</v>
      </c>
      <c r="F871">
        <v>14754.3</v>
      </c>
      <c r="G871">
        <v>14835.1</v>
      </c>
      <c r="H871">
        <v>0</v>
      </c>
      <c r="I871" s="8">
        <f t="shared" si="53"/>
        <v>9.2934653195904104E-3</v>
      </c>
      <c r="J871" s="8">
        <f t="shared" si="54"/>
        <v>9.2505467738588001E-3</v>
      </c>
      <c r="K871" s="8">
        <f t="shared" si="51"/>
        <v>0.26558834318668478</v>
      </c>
    </row>
    <row r="872" spans="1:11" x14ac:dyDescent="0.25">
      <c r="A872" t="str">
        <f t="shared" si="52"/>
        <v>72020</v>
      </c>
      <c r="B872" s="1">
        <v>44026</v>
      </c>
      <c r="C872" t="s">
        <v>552</v>
      </c>
      <c r="D872">
        <v>14808.95</v>
      </c>
      <c r="E872">
        <v>14825.15</v>
      </c>
      <c r="F872">
        <v>14539.45</v>
      </c>
      <c r="G872">
        <v>14581.9</v>
      </c>
      <c r="H872">
        <v>0</v>
      </c>
      <c r="I872" s="8">
        <f t="shared" si="53"/>
        <v>-1.7067630147420743E-2</v>
      </c>
      <c r="J872" s="8">
        <f t="shared" si="54"/>
        <v>-1.7214960944834018E-2</v>
      </c>
      <c r="K872" s="8">
        <f t="shared" si="51"/>
        <v>0.21731399353020975</v>
      </c>
    </row>
    <row r="873" spans="1:11" x14ac:dyDescent="0.25">
      <c r="A873" t="str">
        <f t="shared" si="52"/>
        <v>72020</v>
      </c>
      <c r="B873" s="1">
        <v>44027</v>
      </c>
      <c r="C873" t="s">
        <v>553</v>
      </c>
      <c r="D873">
        <v>14718.35</v>
      </c>
      <c r="E873">
        <v>14822.8</v>
      </c>
      <c r="F873">
        <v>14162.6</v>
      </c>
      <c r="G873">
        <v>14302.95</v>
      </c>
      <c r="H873">
        <v>0</v>
      </c>
      <c r="I873" s="8">
        <f t="shared" si="53"/>
        <v>-1.912988019393902E-2</v>
      </c>
      <c r="J873" s="8">
        <f t="shared" si="54"/>
        <v>-1.9315223894336021E-2</v>
      </c>
      <c r="K873" s="8">
        <f t="shared" si="51"/>
        <v>0.1646262768551805</v>
      </c>
    </row>
    <row r="874" spans="1:11" x14ac:dyDescent="0.25">
      <c r="A874" t="str">
        <f t="shared" si="52"/>
        <v>72020</v>
      </c>
      <c r="B874" s="1">
        <v>44028</v>
      </c>
      <c r="C874" t="s">
        <v>554</v>
      </c>
      <c r="D874">
        <v>14345.55</v>
      </c>
      <c r="E874">
        <v>14365.45</v>
      </c>
      <c r="F874">
        <v>14070.75</v>
      </c>
      <c r="G874">
        <v>14339.9</v>
      </c>
      <c r="H874">
        <v>0</v>
      </c>
      <c r="I874" s="8">
        <f t="shared" si="53"/>
        <v>2.5833831482315883E-3</v>
      </c>
      <c r="J874" s="8">
        <f t="shared" si="54"/>
        <v>2.5800519499272691E-3</v>
      </c>
      <c r="K874" s="8">
        <f t="shared" si="51"/>
        <v>0.15625239375748379</v>
      </c>
    </row>
    <row r="875" spans="1:11" x14ac:dyDescent="0.25">
      <c r="A875" t="str">
        <f t="shared" si="52"/>
        <v>72020</v>
      </c>
      <c r="B875" s="1">
        <v>44029</v>
      </c>
      <c r="C875" t="s">
        <v>555</v>
      </c>
      <c r="D875">
        <v>14400.45</v>
      </c>
      <c r="E875">
        <v>14980.6</v>
      </c>
      <c r="F875">
        <v>14400.45</v>
      </c>
      <c r="G875">
        <v>14942.25</v>
      </c>
      <c r="H875">
        <v>0</v>
      </c>
      <c r="I875" s="8">
        <f t="shared" si="53"/>
        <v>4.2005174373600962E-2</v>
      </c>
      <c r="J875" s="8">
        <f t="shared" si="54"/>
        <v>4.1146909128443439E-2</v>
      </c>
      <c r="K875" s="8">
        <f t="shared" si="51"/>
        <v>0.23586189213890196</v>
      </c>
    </row>
    <row r="876" spans="1:11" x14ac:dyDescent="0.25">
      <c r="A876" t="str">
        <f t="shared" si="52"/>
        <v>72020</v>
      </c>
      <c r="B876" s="1">
        <v>44032</v>
      </c>
      <c r="C876" t="s">
        <v>556</v>
      </c>
      <c r="D876">
        <v>14985.3</v>
      </c>
      <c r="E876">
        <v>15044.2</v>
      </c>
      <c r="F876">
        <v>14887.5</v>
      </c>
      <c r="G876">
        <v>14936</v>
      </c>
      <c r="H876">
        <v>0</v>
      </c>
      <c r="I876" s="8">
        <f t="shared" si="53"/>
        <v>-4.1827703324470722E-4</v>
      </c>
      <c r="J876" s="8">
        <f t="shared" si="54"/>
        <v>-4.1836453548394593E-4</v>
      </c>
      <c r="K876" s="8">
        <f t="shared" si="51"/>
        <v>0.19623892742155102</v>
      </c>
    </row>
    <row r="877" spans="1:11" x14ac:dyDescent="0.25">
      <c r="A877" t="str">
        <f t="shared" si="52"/>
        <v>72020</v>
      </c>
      <c r="B877" s="1">
        <v>44033</v>
      </c>
      <c r="C877" t="s">
        <v>557</v>
      </c>
      <c r="D877">
        <v>15026.05</v>
      </c>
      <c r="E877">
        <v>15478.65</v>
      </c>
      <c r="F877">
        <v>15005.1</v>
      </c>
      <c r="G877">
        <v>15457.35</v>
      </c>
      <c r="H877">
        <v>0</v>
      </c>
      <c r="I877" s="8">
        <f t="shared" si="53"/>
        <v>3.4905597214783146E-2</v>
      </c>
      <c r="J877" s="8">
        <f t="shared" si="54"/>
        <v>3.4310212136909664E-2</v>
      </c>
      <c r="K877" s="8">
        <f t="shared" si="51"/>
        <v>0.24268211308255672</v>
      </c>
    </row>
    <row r="878" spans="1:11" x14ac:dyDescent="0.25">
      <c r="A878" t="str">
        <f t="shared" si="52"/>
        <v>72020</v>
      </c>
      <c r="B878" s="1">
        <v>44034</v>
      </c>
      <c r="C878" t="s">
        <v>558</v>
      </c>
      <c r="D878">
        <v>15520.1</v>
      </c>
      <c r="E878">
        <v>15711.75</v>
      </c>
      <c r="F878">
        <v>15405.55</v>
      </c>
      <c r="G878">
        <v>15565.4</v>
      </c>
      <c r="H878">
        <v>0</v>
      </c>
      <c r="I878" s="8">
        <f t="shared" si="53"/>
        <v>6.9902020721532843E-3</v>
      </c>
      <c r="J878" s="8">
        <f t="shared" si="54"/>
        <v>6.9658838699773202E-3</v>
      </c>
      <c r="K878" s="8">
        <f t="shared" si="51"/>
        <v>0.24515231025214401</v>
      </c>
    </row>
    <row r="879" spans="1:11" x14ac:dyDescent="0.25">
      <c r="A879" t="str">
        <f t="shared" si="52"/>
        <v>72020</v>
      </c>
      <c r="B879" s="1">
        <v>44035</v>
      </c>
      <c r="C879" t="s">
        <v>559</v>
      </c>
      <c r="D879">
        <v>15536.3</v>
      </c>
      <c r="E879">
        <v>15854.65</v>
      </c>
      <c r="F879">
        <v>15480.4</v>
      </c>
      <c r="G879">
        <v>15803.25</v>
      </c>
      <c r="H879">
        <v>0</v>
      </c>
      <c r="I879" s="8">
        <f t="shared" si="53"/>
        <v>1.5280686651162112E-2</v>
      </c>
      <c r="J879" s="8">
        <f t="shared" si="54"/>
        <v>1.516511283658094E-2</v>
      </c>
      <c r="K879" s="8">
        <f t="shared" si="51"/>
        <v>0.25602549684269915</v>
      </c>
    </row>
    <row r="880" spans="1:11" x14ac:dyDescent="0.25">
      <c r="A880" t="str">
        <f t="shared" si="52"/>
        <v>72020</v>
      </c>
      <c r="B880" s="1">
        <v>44036</v>
      </c>
      <c r="C880" t="s">
        <v>560</v>
      </c>
      <c r="D880">
        <v>15732.35</v>
      </c>
      <c r="E880">
        <v>15964.8</v>
      </c>
      <c r="F880">
        <v>15700.3</v>
      </c>
      <c r="G880">
        <v>15895.85</v>
      </c>
      <c r="H880">
        <v>0</v>
      </c>
      <c r="I880" s="8">
        <f t="shared" si="53"/>
        <v>5.8595542056223415E-3</v>
      </c>
      <c r="J880" s="8">
        <f t="shared" si="54"/>
        <v>5.8424537859185846E-3</v>
      </c>
      <c r="K880" s="8">
        <f t="shared" si="51"/>
        <v>0.26683376236282341</v>
      </c>
    </row>
    <row r="881" spans="1:11" x14ac:dyDescent="0.25">
      <c r="A881" t="str">
        <f t="shared" si="52"/>
        <v>72020</v>
      </c>
      <c r="B881" s="1">
        <v>44039</v>
      </c>
      <c r="C881" t="s">
        <v>561</v>
      </c>
      <c r="D881">
        <v>16030.75</v>
      </c>
      <c r="E881">
        <v>16047</v>
      </c>
      <c r="F881">
        <v>15764.45</v>
      </c>
      <c r="G881">
        <v>15903.05</v>
      </c>
      <c r="H881">
        <v>0</v>
      </c>
      <c r="I881" s="8">
        <f t="shared" si="53"/>
        <v>4.5294841106313655E-4</v>
      </c>
      <c r="J881" s="8">
        <f t="shared" si="54"/>
        <v>4.5284586089704886E-4</v>
      </c>
      <c r="K881" s="8">
        <f t="shared" si="51"/>
        <v>0.2609909170561906</v>
      </c>
    </row>
    <row r="882" spans="1:11" x14ac:dyDescent="0.25">
      <c r="A882" t="str">
        <f t="shared" si="52"/>
        <v>72020</v>
      </c>
      <c r="B882" s="1">
        <v>44040</v>
      </c>
      <c r="C882" t="s">
        <v>562</v>
      </c>
      <c r="D882">
        <v>15925.45</v>
      </c>
      <c r="E882">
        <v>16029.35</v>
      </c>
      <c r="F882">
        <v>15916.15</v>
      </c>
      <c r="G882">
        <v>16001.95</v>
      </c>
      <c r="H882">
        <v>0</v>
      </c>
      <c r="I882" s="8">
        <f t="shared" si="53"/>
        <v>6.2189328462152194E-3</v>
      </c>
      <c r="J882" s="8">
        <f t="shared" si="54"/>
        <v>6.199675083921781E-3</v>
      </c>
      <c r="K882" s="8">
        <f t="shared" si="51"/>
        <v>0.21644355249454561</v>
      </c>
    </row>
    <row r="883" spans="1:11" x14ac:dyDescent="0.25">
      <c r="A883" t="str">
        <f t="shared" si="52"/>
        <v>72020</v>
      </c>
      <c r="B883" s="1">
        <v>44041</v>
      </c>
      <c r="C883" t="s">
        <v>563</v>
      </c>
      <c r="D883">
        <v>15994.7</v>
      </c>
      <c r="E883">
        <v>16064</v>
      </c>
      <c r="F883">
        <v>15629.35</v>
      </c>
      <c r="G883">
        <v>15737.55</v>
      </c>
      <c r="H883">
        <v>0</v>
      </c>
      <c r="I883" s="8">
        <f t="shared" si="53"/>
        <v>-1.6522986261049533E-2</v>
      </c>
      <c r="J883" s="8">
        <f t="shared" si="54"/>
        <v>-1.6661013323506245E-2</v>
      </c>
      <c r="K883" s="8">
        <f t="shared" si="51"/>
        <v>0.2365822899191854</v>
      </c>
    </row>
    <row r="884" spans="1:11" x14ac:dyDescent="0.25">
      <c r="A884" t="str">
        <f t="shared" si="52"/>
        <v>72020</v>
      </c>
      <c r="B884" s="1">
        <v>44042</v>
      </c>
      <c r="C884" t="s">
        <v>564</v>
      </c>
      <c r="D884">
        <v>15695</v>
      </c>
      <c r="E884">
        <v>15719.75</v>
      </c>
      <c r="F884">
        <v>15379.75</v>
      </c>
      <c r="G884">
        <v>15439</v>
      </c>
      <c r="H884">
        <v>0</v>
      </c>
      <c r="I884" s="8">
        <f t="shared" si="53"/>
        <v>-1.8970551324697937E-2</v>
      </c>
      <c r="J884" s="8">
        <f t="shared" si="54"/>
        <v>-1.9152800830331083E-2</v>
      </c>
      <c r="K884" s="8">
        <f t="shared" si="51"/>
        <v>0.1970165685886851</v>
      </c>
    </row>
    <row r="885" spans="1:11" x14ac:dyDescent="0.25">
      <c r="A885" t="str">
        <f t="shared" si="52"/>
        <v>72020</v>
      </c>
      <c r="B885" s="1">
        <v>44043</v>
      </c>
      <c r="C885" t="s">
        <v>565</v>
      </c>
      <c r="D885">
        <v>15478.4</v>
      </c>
      <c r="E885">
        <v>15542.5</v>
      </c>
      <c r="F885">
        <v>15238.45</v>
      </c>
      <c r="G885">
        <v>15309.15</v>
      </c>
      <c r="H885">
        <v>0</v>
      </c>
      <c r="I885" s="8">
        <f t="shared" si="53"/>
        <v>-8.4105188159855349E-3</v>
      </c>
      <c r="J885" s="8">
        <f t="shared" si="54"/>
        <v>-8.4460867999008489E-3</v>
      </c>
      <c r="K885" s="8">
        <f t="shared" si="51"/>
        <v>0.18561615191598779</v>
      </c>
    </row>
    <row r="886" spans="1:11" x14ac:dyDescent="0.25">
      <c r="A886" t="str">
        <f t="shared" si="52"/>
        <v>82020</v>
      </c>
      <c r="B886" s="1">
        <v>44046</v>
      </c>
      <c r="C886" s="10">
        <v>43898.645833333336</v>
      </c>
      <c r="D886">
        <v>15280.5</v>
      </c>
      <c r="E886">
        <v>15283.45</v>
      </c>
      <c r="F886">
        <v>15003.6</v>
      </c>
      <c r="G886">
        <v>15055.55</v>
      </c>
      <c r="H886">
        <v>0</v>
      </c>
      <c r="I886" s="8">
        <f t="shared" si="53"/>
        <v>-1.656525672555309E-2</v>
      </c>
      <c r="J886" s="8">
        <f t="shared" si="54"/>
        <v>-1.6703994880110748E-2</v>
      </c>
      <c r="K886" s="8">
        <f t="shared" si="51"/>
        <v>0.17351941634059265</v>
      </c>
    </row>
    <row r="887" spans="1:11" x14ac:dyDescent="0.25">
      <c r="A887" t="str">
        <f t="shared" si="52"/>
        <v>82020</v>
      </c>
      <c r="B887" s="1">
        <v>44047</v>
      </c>
      <c r="C887" s="10">
        <v>43929.645833333336</v>
      </c>
      <c r="D887">
        <v>15111.05</v>
      </c>
      <c r="E887">
        <v>15462.2</v>
      </c>
      <c r="F887">
        <v>15024.75</v>
      </c>
      <c r="G887">
        <v>15408.15</v>
      </c>
      <c r="H887">
        <v>0</v>
      </c>
      <c r="I887" s="8">
        <f t="shared" si="53"/>
        <v>2.3419934841304446E-2</v>
      </c>
      <c r="J887" s="8">
        <f t="shared" si="54"/>
        <v>2.3149896231097162E-2</v>
      </c>
      <c r="K887" s="8">
        <f t="shared" si="51"/>
        <v>0.1947358626625415</v>
      </c>
    </row>
    <row r="888" spans="1:11" x14ac:dyDescent="0.25">
      <c r="A888" t="str">
        <f t="shared" si="52"/>
        <v>82020</v>
      </c>
      <c r="B888" s="1">
        <v>44048</v>
      </c>
      <c r="C888" s="10">
        <v>43959.645833333336</v>
      </c>
      <c r="D888">
        <v>15476.9</v>
      </c>
      <c r="E888">
        <v>15566.5</v>
      </c>
      <c r="F888">
        <v>15297.7</v>
      </c>
      <c r="G888">
        <v>15328.3</v>
      </c>
      <c r="H888">
        <v>0</v>
      </c>
      <c r="I888" s="8">
        <f t="shared" si="53"/>
        <v>-5.1823223423967946E-3</v>
      </c>
      <c r="J888" s="8">
        <f t="shared" si="54"/>
        <v>-5.1957971488479143E-3</v>
      </c>
      <c r="K888" s="8">
        <f t="shared" si="51"/>
        <v>0.18638715494789149</v>
      </c>
    </row>
    <row r="889" spans="1:11" x14ac:dyDescent="0.25">
      <c r="A889" t="str">
        <f t="shared" si="52"/>
        <v>82020</v>
      </c>
      <c r="B889" s="1">
        <v>44049</v>
      </c>
      <c r="C889" s="10">
        <v>43990.645833333336</v>
      </c>
      <c r="D889">
        <v>15467.6</v>
      </c>
      <c r="E889">
        <v>15539.8</v>
      </c>
      <c r="F889">
        <v>15337.5</v>
      </c>
      <c r="G889">
        <v>15408.15</v>
      </c>
      <c r="H889">
        <v>0</v>
      </c>
      <c r="I889" s="8">
        <f t="shared" si="53"/>
        <v>5.2093187111421635E-3</v>
      </c>
      <c r="J889" s="8">
        <f t="shared" si="54"/>
        <v>5.1957971488478657E-3</v>
      </c>
      <c r="K889" s="8">
        <f t="shared" si="51"/>
        <v>0.21665061116199746</v>
      </c>
    </row>
    <row r="890" spans="1:11" x14ac:dyDescent="0.25">
      <c r="A890" t="str">
        <f t="shared" si="52"/>
        <v>82020</v>
      </c>
      <c r="B890" s="1">
        <v>44050</v>
      </c>
      <c r="C890" s="10">
        <v>44020.645833333336</v>
      </c>
      <c r="D890">
        <v>15444.6</v>
      </c>
      <c r="E890">
        <v>15562.15</v>
      </c>
      <c r="F890">
        <v>15413.1</v>
      </c>
      <c r="G890">
        <v>15498.05</v>
      </c>
      <c r="H890">
        <v>0</v>
      </c>
      <c r="I890" s="8">
        <f t="shared" si="53"/>
        <v>5.8345745595673737E-3</v>
      </c>
      <c r="J890" s="8">
        <f t="shared" si="54"/>
        <v>5.8176193484173085E-3</v>
      </c>
      <c r="K890" s="8">
        <f t="shared" si="51"/>
        <v>0.20033381223642577</v>
      </c>
    </row>
    <row r="891" spans="1:11" x14ac:dyDescent="0.25">
      <c r="A891" t="str">
        <f t="shared" si="52"/>
        <v>82020</v>
      </c>
      <c r="B891" s="1">
        <v>44053</v>
      </c>
      <c r="C891" s="10">
        <v>44112.645833333336</v>
      </c>
      <c r="D891">
        <v>15601.2</v>
      </c>
      <c r="E891">
        <v>15638.6</v>
      </c>
      <c r="F891">
        <v>15457.95</v>
      </c>
      <c r="G891">
        <v>15515.35</v>
      </c>
      <c r="H891">
        <v>0</v>
      </c>
      <c r="I891" s="8">
        <f t="shared" si="53"/>
        <v>1.1162694661586148E-3</v>
      </c>
      <c r="J891" s="8">
        <f t="shared" si="54"/>
        <v>1.1156469006555784E-3</v>
      </c>
      <c r="K891" s="8">
        <f t="shared" si="51"/>
        <v>0.24262471017423581</v>
      </c>
    </row>
    <row r="892" spans="1:11" x14ac:dyDescent="0.25">
      <c r="A892" t="str">
        <f t="shared" si="52"/>
        <v>82020</v>
      </c>
      <c r="B892" s="1">
        <v>44054</v>
      </c>
      <c r="C892" s="10">
        <v>44143.645833333336</v>
      </c>
      <c r="D892">
        <v>15608.3</v>
      </c>
      <c r="E892">
        <v>15705.3</v>
      </c>
      <c r="F892">
        <v>15499.6</v>
      </c>
      <c r="G892">
        <v>15588.25</v>
      </c>
      <c r="H892">
        <v>0</v>
      </c>
      <c r="I892" s="8">
        <f t="shared" si="53"/>
        <v>4.6985727038062475E-3</v>
      </c>
      <c r="J892" s="8">
        <f t="shared" si="54"/>
        <v>4.6875688658393399E-3</v>
      </c>
      <c r="K892" s="8">
        <f t="shared" si="51"/>
        <v>0.23564755914374835</v>
      </c>
    </row>
    <row r="893" spans="1:11" x14ac:dyDescent="0.25">
      <c r="A893" t="str">
        <f t="shared" si="52"/>
        <v>82020</v>
      </c>
      <c r="B893" s="1">
        <v>44055</v>
      </c>
      <c r="C893" s="10">
        <v>44173.645833333336</v>
      </c>
      <c r="D893">
        <v>15542.5</v>
      </c>
      <c r="E893">
        <v>15594.4</v>
      </c>
      <c r="F893">
        <v>15452.05</v>
      </c>
      <c r="G893">
        <v>15549</v>
      </c>
      <c r="H893">
        <v>0</v>
      </c>
      <c r="I893" s="8">
        <f t="shared" si="53"/>
        <v>-2.5179221529035845E-3</v>
      </c>
      <c r="J893" s="8">
        <f t="shared" si="54"/>
        <v>-2.5210974501083108E-3</v>
      </c>
      <c r="K893" s="8">
        <f t="shared" si="51"/>
        <v>0.27298999963158699</v>
      </c>
    </row>
    <row r="894" spans="1:11" x14ac:dyDescent="0.25">
      <c r="A894" t="str">
        <f t="shared" si="52"/>
        <v>82020</v>
      </c>
      <c r="B894" s="1">
        <v>44056</v>
      </c>
      <c r="C894" t="s">
        <v>566</v>
      </c>
      <c r="D894">
        <v>15575.6</v>
      </c>
      <c r="E894">
        <v>15608</v>
      </c>
      <c r="F894">
        <v>15492.35</v>
      </c>
      <c r="G894">
        <v>15540.55</v>
      </c>
      <c r="H894">
        <v>0</v>
      </c>
      <c r="I894" s="8">
        <f t="shared" si="53"/>
        <v>-5.4344330825140119E-4</v>
      </c>
      <c r="J894" s="8">
        <f t="shared" si="54"/>
        <v>-5.4359102708634202E-4</v>
      </c>
      <c r="K894" s="8">
        <f t="shared" si="51"/>
        <v>0.26885456044808409</v>
      </c>
    </row>
    <row r="895" spans="1:11" x14ac:dyDescent="0.25">
      <c r="A895" t="str">
        <f t="shared" si="52"/>
        <v>82020</v>
      </c>
      <c r="B895" s="1">
        <v>44057</v>
      </c>
      <c r="C895" t="s">
        <v>567</v>
      </c>
      <c r="D895">
        <v>15615.85</v>
      </c>
      <c r="E895">
        <v>15639.15</v>
      </c>
      <c r="F895">
        <v>15282.1</v>
      </c>
      <c r="G895">
        <v>15394.95</v>
      </c>
      <c r="H895">
        <v>0</v>
      </c>
      <c r="I895" s="8">
        <f t="shared" si="53"/>
        <v>-9.3690377753682386E-3</v>
      </c>
      <c r="J895" s="8">
        <f t="shared" si="54"/>
        <v>-9.4132032851330667E-3</v>
      </c>
      <c r="K895" s="8">
        <f t="shared" si="51"/>
        <v>0.23075908382300048</v>
      </c>
    </row>
    <row r="896" spans="1:11" x14ac:dyDescent="0.25">
      <c r="A896" t="str">
        <f t="shared" si="52"/>
        <v>82020</v>
      </c>
      <c r="B896" s="1">
        <v>44060</v>
      </c>
      <c r="C896" t="s">
        <v>568</v>
      </c>
      <c r="D896">
        <v>15444</v>
      </c>
      <c r="E896">
        <v>15640.95</v>
      </c>
      <c r="F896">
        <v>15315.55</v>
      </c>
      <c r="G896">
        <v>15588.45</v>
      </c>
      <c r="H896">
        <v>0</v>
      </c>
      <c r="I896" s="8">
        <f t="shared" si="53"/>
        <v>1.2569056736137396E-2</v>
      </c>
      <c r="J896" s="8">
        <f t="shared" si="54"/>
        <v>1.2490721856596963E-2</v>
      </c>
      <c r="K896" s="8">
        <f t="shared" ref="K896:K959" si="55">+G896/G835-1</f>
        <v>0.246816662134276</v>
      </c>
    </row>
    <row r="897" spans="1:11" x14ac:dyDescent="0.25">
      <c r="A897" t="str">
        <f t="shared" si="52"/>
        <v>82020</v>
      </c>
      <c r="B897" s="1">
        <v>44061</v>
      </c>
      <c r="C897" t="s">
        <v>569</v>
      </c>
      <c r="D897">
        <v>15624.5</v>
      </c>
      <c r="E897">
        <v>15749.4</v>
      </c>
      <c r="F897">
        <v>15595.9</v>
      </c>
      <c r="G897">
        <v>15634.35</v>
      </c>
      <c r="H897">
        <v>0</v>
      </c>
      <c r="I897" s="8">
        <f t="shared" si="53"/>
        <v>2.9444877457347474E-3</v>
      </c>
      <c r="J897" s="8">
        <f t="shared" si="54"/>
        <v>2.940161232521775E-3</v>
      </c>
      <c r="K897" s="8">
        <f t="shared" si="55"/>
        <v>0.25440584745116768</v>
      </c>
    </row>
    <row r="898" spans="1:11" x14ac:dyDescent="0.25">
      <c r="A898" t="str">
        <f t="shared" si="52"/>
        <v>82020</v>
      </c>
      <c r="B898" s="1">
        <v>44062</v>
      </c>
      <c r="C898" t="s">
        <v>570</v>
      </c>
      <c r="D898">
        <v>15748.1</v>
      </c>
      <c r="E898">
        <v>15824.7</v>
      </c>
      <c r="F898">
        <v>15684.2</v>
      </c>
      <c r="G898">
        <v>15712</v>
      </c>
      <c r="H898">
        <v>0</v>
      </c>
      <c r="I898" s="8">
        <f t="shared" si="53"/>
        <v>4.9666279698228344E-3</v>
      </c>
      <c r="J898" s="8">
        <f t="shared" si="54"/>
        <v>4.954334959531361E-3</v>
      </c>
      <c r="K898" s="8">
        <f t="shared" si="55"/>
        <v>0.25499718440359276</v>
      </c>
    </row>
    <row r="899" spans="1:11" x14ac:dyDescent="0.25">
      <c r="A899" t="str">
        <f t="shared" ref="A899:A962" si="56">+MONTH(B899)&amp;YEAR(B899)</f>
        <v>82020</v>
      </c>
      <c r="B899" s="1">
        <v>44063</v>
      </c>
      <c r="C899" t="s">
        <v>571</v>
      </c>
      <c r="D899">
        <v>15650.5</v>
      </c>
      <c r="E899">
        <v>16049.2</v>
      </c>
      <c r="F899">
        <v>15592.55</v>
      </c>
      <c r="G899">
        <v>15960.95</v>
      </c>
      <c r="H899">
        <v>0</v>
      </c>
      <c r="I899" s="8">
        <f t="shared" si="53"/>
        <v>1.5844577393075321E-2</v>
      </c>
      <c r="J899" s="8">
        <f t="shared" si="54"/>
        <v>1.5720362447604753E-2</v>
      </c>
      <c r="K899" s="8">
        <f t="shared" si="55"/>
        <v>0.25519131484474222</v>
      </c>
    </row>
    <row r="900" spans="1:11" x14ac:dyDescent="0.25">
      <c r="A900" t="str">
        <f t="shared" si="56"/>
        <v>82020</v>
      </c>
      <c r="B900" s="1">
        <v>44064</v>
      </c>
      <c r="C900" t="s">
        <v>572</v>
      </c>
      <c r="D900">
        <v>16146.8</v>
      </c>
      <c r="E900">
        <v>16252.85</v>
      </c>
      <c r="F900">
        <v>16047.5</v>
      </c>
      <c r="G900">
        <v>16085.35</v>
      </c>
      <c r="H900">
        <v>0</v>
      </c>
      <c r="I900" s="8">
        <f t="shared" ref="I900:I963" si="57">+G900/G899-1</f>
        <v>7.7940222856409669E-3</v>
      </c>
      <c r="J900" s="8">
        <f t="shared" ref="J900:J963" si="58">+LN(1+I900)</f>
        <v>7.763805797713158E-3</v>
      </c>
      <c r="K900" s="8">
        <f t="shared" si="55"/>
        <v>0.25226547294667179</v>
      </c>
    </row>
    <row r="901" spans="1:11" x14ac:dyDescent="0.25">
      <c r="A901" t="str">
        <f t="shared" si="56"/>
        <v>82020</v>
      </c>
      <c r="B901" s="1">
        <v>44067</v>
      </c>
      <c r="C901" t="s">
        <v>573</v>
      </c>
      <c r="D901">
        <v>16171.9</v>
      </c>
      <c r="E901">
        <v>16243.4</v>
      </c>
      <c r="F901">
        <v>15974.15</v>
      </c>
      <c r="G901">
        <v>16071</v>
      </c>
      <c r="H901">
        <v>0</v>
      </c>
      <c r="I901" s="8">
        <f t="shared" si="57"/>
        <v>-8.9211611808259761E-4</v>
      </c>
      <c r="J901" s="8">
        <f t="shared" si="58"/>
        <v>-8.9251429049496712E-4</v>
      </c>
      <c r="K901" s="8">
        <f t="shared" si="55"/>
        <v>0.23050419202940153</v>
      </c>
    </row>
    <row r="902" spans="1:11" x14ac:dyDescent="0.25">
      <c r="A902" t="str">
        <f t="shared" si="56"/>
        <v>82020</v>
      </c>
      <c r="B902" s="1">
        <v>44068</v>
      </c>
      <c r="C902" t="s">
        <v>574</v>
      </c>
      <c r="D902">
        <v>16141.05</v>
      </c>
      <c r="E902">
        <v>16166.1</v>
      </c>
      <c r="F902">
        <v>15925.3</v>
      </c>
      <c r="G902">
        <v>15980.2</v>
      </c>
      <c r="H902">
        <v>0</v>
      </c>
      <c r="I902" s="8">
        <f t="shared" si="57"/>
        <v>-5.6499284425362006E-3</v>
      </c>
      <c r="J902" s="8">
        <f t="shared" si="58"/>
        <v>-5.6659496625686518E-3</v>
      </c>
      <c r="K902" s="8">
        <f t="shared" si="55"/>
        <v>0.19741337969068451</v>
      </c>
    </row>
    <row r="903" spans="1:11" x14ac:dyDescent="0.25">
      <c r="A903" t="str">
        <f t="shared" si="56"/>
        <v>82020</v>
      </c>
      <c r="B903" s="1">
        <v>44069</v>
      </c>
      <c r="C903" t="s">
        <v>575</v>
      </c>
      <c r="D903">
        <v>16056.75</v>
      </c>
      <c r="E903">
        <v>16153.95</v>
      </c>
      <c r="F903">
        <v>15914.85</v>
      </c>
      <c r="G903">
        <v>16115.05</v>
      </c>
      <c r="H903">
        <v>0</v>
      </c>
      <c r="I903" s="8">
        <f t="shared" si="57"/>
        <v>8.4385677275626847E-3</v>
      </c>
      <c r="J903" s="8">
        <f t="shared" si="58"/>
        <v>8.4031620575717933E-3</v>
      </c>
      <c r="K903" s="8">
        <f t="shared" si="55"/>
        <v>0.19548735524744254</v>
      </c>
    </row>
    <row r="904" spans="1:11" x14ac:dyDescent="0.25">
      <c r="A904" t="str">
        <f t="shared" si="56"/>
        <v>82020</v>
      </c>
      <c r="B904" s="1">
        <v>44070</v>
      </c>
      <c r="C904" t="s">
        <v>576</v>
      </c>
      <c r="D904">
        <v>16198.4</v>
      </c>
      <c r="E904">
        <v>16212.2</v>
      </c>
      <c r="F904">
        <v>15971.15</v>
      </c>
      <c r="G904">
        <v>15996.1</v>
      </c>
      <c r="H904">
        <v>0</v>
      </c>
      <c r="I904" s="8">
        <f t="shared" si="57"/>
        <v>-7.3812988479712294E-3</v>
      </c>
      <c r="J904" s="8">
        <f t="shared" si="58"/>
        <v>-7.4086754340144537E-3</v>
      </c>
      <c r="K904" s="8">
        <f t="shared" si="55"/>
        <v>0.18318287221098339</v>
      </c>
    </row>
    <row r="905" spans="1:11" x14ac:dyDescent="0.25">
      <c r="A905" t="str">
        <f t="shared" si="56"/>
        <v>82020</v>
      </c>
      <c r="B905" s="1">
        <v>44071</v>
      </c>
      <c r="C905" t="s">
        <v>577</v>
      </c>
      <c r="D905">
        <v>16075.6</v>
      </c>
      <c r="E905">
        <v>16139.95</v>
      </c>
      <c r="F905">
        <v>15941</v>
      </c>
      <c r="G905">
        <v>15970.75</v>
      </c>
      <c r="H905">
        <v>0</v>
      </c>
      <c r="I905" s="8">
        <f t="shared" si="57"/>
        <v>-1.5847612855633963E-3</v>
      </c>
      <c r="J905" s="8">
        <f t="shared" si="58"/>
        <v>-1.5860183480009709E-3</v>
      </c>
      <c r="K905" s="8">
        <f t="shared" si="55"/>
        <v>0.16535688746844124</v>
      </c>
    </row>
    <row r="906" spans="1:11" x14ac:dyDescent="0.25">
      <c r="A906" t="str">
        <f t="shared" si="56"/>
        <v>82020</v>
      </c>
      <c r="B906" s="1">
        <v>44074</v>
      </c>
      <c r="C906" t="s">
        <v>578</v>
      </c>
      <c r="D906">
        <v>16208.1</v>
      </c>
      <c r="E906">
        <v>16301.7</v>
      </c>
      <c r="F906">
        <v>15534.35</v>
      </c>
      <c r="G906">
        <v>15605.25</v>
      </c>
      <c r="H906">
        <v>0</v>
      </c>
      <c r="I906" s="8">
        <f t="shared" si="57"/>
        <v>-2.2885587715041567E-2</v>
      </c>
      <c r="J906" s="8">
        <f t="shared" si="58"/>
        <v>-2.3151528079256977E-2</v>
      </c>
      <c r="K906" s="8">
        <f t="shared" si="55"/>
        <v>0.12063208238183476</v>
      </c>
    </row>
    <row r="907" spans="1:11" x14ac:dyDescent="0.25">
      <c r="A907" t="str">
        <f t="shared" si="56"/>
        <v>92020</v>
      </c>
      <c r="B907" s="1">
        <v>44075</v>
      </c>
      <c r="C907" s="10">
        <v>43839.645833333336</v>
      </c>
      <c r="D907">
        <v>15712.2</v>
      </c>
      <c r="E907">
        <v>15734.7</v>
      </c>
      <c r="F907">
        <v>15509.7</v>
      </c>
      <c r="G907">
        <v>15673.05</v>
      </c>
      <c r="H907">
        <v>0</v>
      </c>
      <c r="I907" s="8">
        <f t="shared" si="57"/>
        <v>4.3446916902964983E-3</v>
      </c>
      <c r="J907" s="8">
        <f t="shared" si="58"/>
        <v>4.3352807658850589E-3</v>
      </c>
      <c r="K907" s="8">
        <f t="shared" si="55"/>
        <v>0.10837626542107626</v>
      </c>
    </row>
    <row r="908" spans="1:11" x14ac:dyDescent="0.25">
      <c r="A908" t="str">
        <f t="shared" si="56"/>
        <v>92020</v>
      </c>
      <c r="B908" s="1">
        <v>44076</v>
      </c>
      <c r="C908" s="10">
        <v>43870.645833333336</v>
      </c>
      <c r="D908">
        <v>15709.45</v>
      </c>
      <c r="E908">
        <v>15895.45</v>
      </c>
      <c r="F908">
        <v>15633.9</v>
      </c>
      <c r="G908">
        <v>15857.25</v>
      </c>
      <c r="H908">
        <v>0</v>
      </c>
      <c r="I908" s="8">
        <f t="shared" si="57"/>
        <v>1.1752658225425261E-2</v>
      </c>
      <c r="J908" s="8">
        <f t="shared" si="58"/>
        <v>1.1684132124401992E-2</v>
      </c>
      <c r="K908" s="8">
        <f t="shared" si="55"/>
        <v>0.14122807648849589</v>
      </c>
    </row>
    <row r="909" spans="1:11" x14ac:dyDescent="0.25">
      <c r="A909" t="str">
        <f t="shared" si="56"/>
        <v>92020</v>
      </c>
      <c r="B909" s="1">
        <v>44077</v>
      </c>
      <c r="C909" s="10">
        <v>43899.645833333336</v>
      </c>
      <c r="D909">
        <v>15864.6</v>
      </c>
      <c r="E909">
        <v>15928.55</v>
      </c>
      <c r="F909">
        <v>15679.3</v>
      </c>
      <c r="G909">
        <v>15734.75</v>
      </c>
      <c r="H909">
        <v>0</v>
      </c>
      <c r="I909" s="8">
        <f t="shared" si="57"/>
        <v>-7.7251730281101549E-3</v>
      </c>
      <c r="J909" s="8">
        <f t="shared" si="58"/>
        <v>-7.7551667482405641E-3</v>
      </c>
      <c r="K909" s="8">
        <f t="shared" si="55"/>
        <v>0.12759149509470213</v>
      </c>
    </row>
    <row r="910" spans="1:11" x14ac:dyDescent="0.25">
      <c r="A910" t="str">
        <f t="shared" si="56"/>
        <v>92020</v>
      </c>
      <c r="B910" s="1">
        <v>44078</v>
      </c>
      <c r="C910" s="10">
        <v>43930.645833333336</v>
      </c>
      <c r="D910">
        <v>15537</v>
      </c>
      <c r="E910">
        <v>15612.95</v>
      </c>
      <c r="F910">
        <v>15393.15</v>
      </c>
      <c r="G910">
        <v>15434.7</v>
      </c>
      <c r="H910">
        <v>0</v>
      </c>
      <c r="I910" s="8">
        <f t="shared" si="57"/>
        <v>-1.9069257535073603E-2</v>
      </c>
      <c r="J910" s="8">
        <f t="shared" si="58"/>
        <v>-1.9253420823442745E-2</v>
      </c>
      <c r="K910" s="8">
        <f t="shared" si="55"/>
        <v>0.12287478993430678</v>
      </c>
    </row>
    <row r="911" spans="1:11" x14ac:dyDescent="0.25">
      <c r="A911" t="str">
        <f t="shared" si="56"/>
        <v>92020</v>
      </c>
      <c r="B911" s="1">
        <v>44081</v>
      </c>
      <c r="C911" s="10">
        <v>44021.645833333336</v>
      </c>
      <c r="D911">
        <v>15507.05</v>
      </c>
      <c r="E911">
        <v>15554.85</v>
      </c>
      <c r="F911">
        <v>15231.2</v>
      </c>
      <c r="G911">
        <v>15356.45</v>
      </c>
      <c r="H911">
        <v>0</v>
      </c>
      <c r="I911" s="8">
        <f t="shared" si="57"/>
        <v>-5.0697454437079736E-3</v>
      </c>
      <c r="J911" s="8">
        <f t="shared" si="58"/>
        <v>-5.082640203702922E-3</v>
      </c>
      <c r="K911" s="8">
        <f t="shared" si="55"/>
        <v>0.10830882485610682</v>
      </c>
    </row>
    <row r="912" spans="1:11" x14ac:dyDescent="0.25">
      <c r="A912" t="str">
        <f t="shared" si="56"/>
        <v>92020</v>
      </c>
      <c r="B912" s="1">
        <v>44082</v>
      </c>
      <c r="C912" s="10">
        <v>44052.645833333336</v>
      </c>
      <c r="D912">
        <v>15413.85</v>
      </c>
      <c r="E912">
        <v>15487</v>
      </c>
      <c r="F912">
        <v>15293.8</v>
      </c>
      <c r="G912">
        <v>15336.45</v>
      </c>
      <c r="H912">
        <v>0</v>
      </c>
      <c r="I912" s="8">
        <f t="shared" si="57"/>
        <v>-1.3023843401307467E-3</v>
      </c>
      <c r="J912" s="8">
        <f t="shared" si="58"/>
        <v>-1.3032331797057468E-3</v>
      </c>
      <c r="K912" s="8">
        <f t="shared" si="55"/>
        <v>0.11009413374157195</v>
      </c>
    </row>
    <row r="913" spans="1:11" x14ac:dyDescent="0.25">
      <c r="A913" t="str">
        <f t="shared" si="56"/>
        <v>92020</v>
      </c>
      <c r="B913" s="1">
        <v>44083</v>
      </c>
      <c r="C913" s="10">
        <v>44083.645833333336</v>
      </c>
      <c r="D913">
        <v>15223.6</v>
      </c>
      <c r="E913">
        <v>15424.8</v>
      </c>
      <c r="F913">
        <v>15095.3</v>
      </c>
      <c r="G913">
        <v>15365.85</v>
      </c>
      <c r="H913">
        <v>0</v>
      </c>
      <c r="I913" s="8">
        <f t="shared" si="57"/>
        <v>1.9170016529248546E-3</v>
      </c>
      <c r="J913" s="8">
        <f t="shared" si="58"/>
        <v>1.9151665501452972E-3</v>
      </c>
      <c r="K913" s="8">
        <f t="shared" si="55"/>
        <v>0.11503894982420881</v>
      </c>
    </row>
    <row r="914" spans="1:11" x14ac:dyDescent="0.25">
      <c r="A914" t="str">
        <f t="shared" si="56"/>
        <v>92020</v>
      </c>
      <c r="B914" s="1">
        <v>44084</v>
      </c>
      <c r="C914" s="10">
        <v>44113.645833333336</v>
      </c>
      <c r="D914">
        <v>15490.95</v>
      </c>
      <c r="E914">
        <v>16029.7</v>
      </c>
      <c r="F914">
        <v>15453</v>
      </c>
      <c r="G914">
        <v>15978.05</v>
      </c>
      <c r="H914">
        <v>0</v>
      </c>
      <c r="I914" s="8">
        <f t="shared" si="57"/>
        <v>3.9841596787681732E-2</v>
      </c>
      <c r="J914" s="8">
        <f t="shared" si="58"/>
        <v>3.9068390771741089E-2</v>
      </c>
      <c r="K914" s="8">
        <f t="shared" si="55"/>
        <v>0.16263611524454347</v>
      </c>
    </row>
    <row r="915" spans="1:11" x14ac:dyDescent="0.25">
      <c r="A915" t="str">
        <f t="shared" si="56"/>
        <v>92020</v>
      </c>
      <c r="B915" s="1">
        <v>44085</v>
      </c>
      <c r="C915" s="10">
        <v>44144.645833333336</v>
      </c>
      <c r="D915">
        <v>15968.9</v>
      </c>
      <c r="E915">
        <v>16046.3</v>
      </c>
      <c r="F915">
        <v>15833.05</v>
      </c>
      <c r="G915">
        <v>15942.3</v>
      </c>
      <c r="H915">
        <v>0</v>
      </c>
      <c r="I915" s="8">
        <f t="shared" si="57"/>
        <v>-2.2374444941654081E-3</v>
      </c>
      <c r="J915" s="8">
        <f t="shared" si="58"/>
        <v>-2.239951313041067E-3</v>
      </c>
      <c r="K915" s="8">
        <f t="shared" si="55"/>
        <v>0.13683152148722311</v>
      </c>
    </row>
    <row r="916" spans="1:11" x14ac:dyDescent="0.25">
      <c r="A916" t="str">
        <f t="shared" si="56"/>
        <v>92020</v>
      </c>
      <c r="B916" s="1">
        <v>44088</v>
      </c>
      <c r="C916" t="s">
        <v>579</v>
      </c>
      <c r="D916">
        <v>16010.7</v>
      </c>
      <c r="E916">
        <v>16092.4</v>
      </c>
      <c r="F916">
        <v>15765.5</v>
      </c>
      <c r="G916">
        <v>15829.15</v>
      </c>
      <c r="H916">
        <v>0</v>
      </c>
      <c r="I916" s="8">
        <f t="shared" si="57"/>
        <v>-7.097470252096616E-3</v>
      </c>
      <c r="J916" s="8">
        <f t="shared" si="58"/>
        <v>-7.1227771082843748E-3</v>
      </c>
      <c r="K916" s="8">
        <f t="shared" si="55"/>
        <v>8.9018076744465935E-2</v>
      </c>
    </row>
    <row r="917" spans="1:11" x14ac:dyDescent="0.25">
      <c r="A917" t="str">
        <f t="shared" si="56"/>
        <v>92020</v>
      </c>
      <c r="B917" s="1">
        <v>44089</v>
      </c>
      <c r="C917" t="s">
        <v>580</v>
      </c>
      <c r="D917">
        <v>15869.2</v>
      </c>
      <c r="E917">
        <v>15966.8</v>
      </c>
      <c r="F917">
        <v>15833.3</v>
      </c>
      <c r="G917">
        <v>15898.6</v>
      </c>
      <c r="H917">
        <v>0</v>
      </c>
      <c r="I917" s="8">
        <f t="shared" si="57"/>
        <v>4.3874750065544532E-3</v>
      </c>
      <c r="J917" s="8">
        <f t="shared" si="58"/>
        <v>4.377878098644236E-3</v>
      </c>
      <c r="K917" s="8">
        <f t="shared" si="55"/>
        <v>8.3335604677151176E-2</v>
      </c>
    </row>
    <row r="918" spans="1:11" x14ac:dyDescent="0.25">
      <c r="A918" t="str">
        <f t="shared" si="56"/>
        <v>92020</v>
      </c>
      <c r="B918" s="1">
        <v>44090</v>
      </c>
      <c r="C918" t="s">
        <v>581</v>
      </c>
      <c r="D918">
        <v>15922.95</v>
      </c>
      <c r="E918">
        <v>15997.4</v>
      </c>
      <c r="F918">
        <v>15801.1</v>
      </c>
      <c r="G918">
        <v>15829.45</v>
      </c>
      <c r="H918">
        <v>0</v>
      </c>
      <c r="I918" s="8">
        <f t="shared" si="57"/>
        <v>-4.3494395732956992E-3</v>
      </c>
      <c r="J918" s="8">
        <f t="shared" si="58"/>
        <v>-4.358925902399842E-3</v>
      </c>
      <c r="K918" s="8">
        <f t="shared" si="55"/>
        <v>6.6850659306961102E-2</v>
      </c>
    </row>
    <row r="919" spans="1:11" x14ac:dyDescent="0.25">
      <c r="A919" t="str">
        <f t="shared" si="56"/>
        <v>92020</v>
      </c>
      <c r="B919" s="1">
        <v>44091</v>
      </c>
      <c r="C919" t="s">
        <v>582</v>
      </c>
      <c r="D919">
        <v>15793.35</v>
      </c>
      <c r="E919">
        <v>15866.3</v>
      </c>
      <c r="F919">
        <v>15658.75</v>
      </c>
      <c r="G919">
        <v>15688.45</v>
      </c>
      <c r="H919">
        <v>0</v>
      </c>
      <c r="I919" s="8">
        <f t="shared" si="57"/>
        <v>-8.907447826677517E-3</v>
      </c>
      <c r="J919" s="8">
        <f t="shared" si="58"/>
        <v>-8.947356305284768E-3</v>
      </c>
      <c r="K919" s="8">
        <f t="shared" si="55"/>
        <v>7.428279916322289E-2</v>
      </c>
    </row>
    <row r="920" spans="1:11" x14ac:dyDescent="0.25">
      <c r="A920" t="str">
        <f t="shared" si="56"/>
        <v>92020</v>
      </c>
      <c r="B920" s="1">
        <v>44092</v>
      </c>
      <c r="C920" t="s">
        <v>583</v>
      </c>
      <c r="D920">
        <v>15796.25</v>
      </c>
      <c r="E920">
        <v>15830</v>
      </c>
      <c r="F920">
        <v>15649.3</v>
      </c>
      <c r="G920">
        <v>15777.1</v>
      </c>
      <c r="H920">
        <v>0</v>
      </c>
      <c r="I920" s="8">
        <f t="shared" si="57"/>
        <v>5.6506538249476712E-3</v>
      </c>
      <c r="J920" s="8">
        <f t="shared" si="58"/>
        <v>5.6347487684727908E-3</v>
      </c>
      <c r="K920" s="8">
        <f t="shared" si="55"/>
        <v>8.7685795438877001E-2</v>
      </c>
    </row>
    <row r="921" spans="1:11" x14ac:dyDescent="0.25">
      <c r="A921" t="str">
        <f t="shared" si="56"/>
        <v>92020</v>
      </c>
      <c r="B921" s="1">
        <v>44095</v>
      </c>
      <c r="C921" t="s">
        <v>584</v>
      </c>
      <c r="D921">
        <v>15771.1</v>
      </c>
      <c r="E921">
        <v>15784</v>
      </c>
      <c r="F921">
        <v>15304.7</v>
      </c>
      <c r="G921">
        <v>15366.3</v>
      </c>
      <c r="H921">
        <v>0</v>
      </c>
      <c r="I921" s="8">
        <f t="shared" si="57"/>
        <v>-2.6037738240868191E-2</v>
      </c>
      <c r="J921" s="8">
        <f t="shared" si="58"/>
        <v>-2.6382721717407888E-2</v>
      </c>
      <c r="K921" s="8">
        <f t="shared" si="55"/>
        <v>3.5978061910717285E-2</v>
      </c>
    </row>
    <row r="922" spans="1:11" x14ac:dyDescent="0.25">
      <c r="A922" t="str">
        <f t="shared" si="56"/>
        <v>92020</v>
      </c>
      <c r="B922" s="1">
        <v>44096</v>
      </c>
      <c r="C922" t="s">
        <v>585</v>
      </c>
      <c r="D922">
        <v>15407.75</v>
      </c>
      <c r="E922">
        <v>15418.15</v>
      </c>
      <c r="F922">
        <v>14923.7</v>
      </c>
      <c r="G922">
        <v>15064.9</v>
      </c>
      <c r="H922">
        <v>0</v>
      </c>
      <c r="I922" s="8">
        <f t="shared" si="57"/>
        <v>-1.9614350884728293E-2</v>
      </c>
      <c r="J922" s="8">
        <f t="shared" si="58"/>
        <v>-1.9809265220633542E-2</v>
      </c>
      <c r="K922" s="8">
        <f t="shared" si="55"/>
        <v>3.2655859067073356E-2</v>
      </c>
    </row>
    <row r="923" spans="1:11" x14ac:dyDescent="0.25">
      <c r="A923" t="str">
        <f t="shared" si="56"/>
        <v>92020</v>
      </c>
      <c r="B923" s="1">
        <v>44097</v>
      </c>
      <c r="C923" t="s">
        <v>586</v>
      </c>
      <c r="D923">
        <v>15247.7</v>
      </c>
      <c r="E923">
        <v>15247.7</v>
      </c>
      <c r="F923">
        <v>14841.8</v>
      </c>
      <c r="G923">
        <v>14956.6</v>
      </c>
      <c r="H923">
        <v>0</v>
      </c>
      <c r="I923" s="8">
        <f t="shared" si="57"/>
        <v>-7.1888960431200077E-3</v>
      </c>
      <c r="J923" s="8">
        <f t="shared" si="58"/>
        <v>-7.2148606691122465E-3</v>
      </c>
      <c r="K923" s="8">
        <f t="shared" si="55"/>
        <v>3.8901681305590685E-2</v>
      </c>
    </row>
    <row r="924" spans="1:11" x14ac:dyDescent="0.25">
      <c r="A924" t="str">
        <f t="shared" si="56"/>
        <v>92020</v>
      </c>
      <c r="B924" s="1">
        <v>44098</v>
      </c>
      <c r="C924" t="s">
        <v>587</v>
      </c>
      <c r="D924">
        <v>14751.6</v>
      </c>
      <c r="E924">
        <v>14849.9</v>
      </c>
      <c r="F924">
        <v>14492.3</v>
      </c>
      <c r="G924">
        <v>14548.45</v>
      </c>
      <c r="H924">
        <v>0</v>
      </c>
      <c r="I924" s="8">
        <f t="shared" si="57"/>
        <v>-2.7288956046160218E-2</v>
      </c>
      <c r="J924" s="8">
        <f t="shared" si="58"/>
        <v>-2.7668215255458144E-2</v>
      </c>
      <c r="K924" s="8">
        <f t="shared" si="55"/>
        <v>5.1194008711963335E-3</v>
      </c>
    </row>
    <row r="925" spans="1:11" x14ac:dyDescent="0.25">
      <c r="A925" t="str">
        <f t="shared" si="56"/>
        <v>92020</v>
      </c>
      <c r="B925" s="1">
        <v>44099</v>
      </c>
      <c r="C925" t="s">
        <v>588</v>
      </c>
      <c r="D925">
        <v>14701.8</v>
      </c>
      <c r="E925">
        <v>14870.8</v>
      </c>
      <c r="F925">
        <v>14602.35</v>
      </c>
      <c r="G925">
        <v>14826.3</v>
      </c>
      <c r="H925">
        <v>0</v>
      </c>
      <c r="I925" s="8">
        <f t="shared" si="57"/>
        <v>1.909825445322344E-2</v>
      </c>
      <c r="J925" s="8">
        <f t="shared" si="58"/>
        <v>1.8918172019352718E-2</v>
      </c>
      <c r="K925" s="8">
        <f t="shared" si="55"/>
        <v>1.3750239312966483E-2</v>
      </c>
    </row>
    <row r="926" spans="1:11" x14ac:dyDescent="0.25">
      <c r="A926" t="str">
        <f t="shared" si="56"/>
        <v>92020</v>
      </c>
      <c r="B926" s="1">
        <v>44102</v>
      </c>
      <c r="C926" t="s">
        <v>589</v>
      </c>
      <c r="D926">
        <v>15004.8</v>
      </c>
      <c r="E926">
        <v>15305.9</v>
      </c>
      <c r="F926">
        <v>14963.85</v>
      </c>
      <c r="G926">
        <v>15210.2</v>
      </c>
      <c r="H926">
        <v>0</v>
      </c>
      <c r="I926" s="8">
        <f t="shared" si="57"/>
        <v>2.5893176315061828E-2</v>
      </c>
      <c r="J926" s="8">
        <f t="shared" si="58"/>
        <v>2.556362467607641E-2</v>
      </c>
      <c r="K926" s="8">
        <f t="shared" si="55"/>
        <v>2.9730452472911617E-2</v>
      </c>
    </row>
    <row r="927" spans="1:11" x14ac:dyDescent="0.25">
      <c r="A927" t="str">
        <f t="shared" si="56"/>
        <v>92020</v>
      </c>
      <c r="B927" s="1">
        <v>44103</v>
      </c>
      <c r="C927" t="s">
        <v>590</v>
      </c>
      <c r="D927">
        <v>15378.35</v>
      </c>
      <c r="E927">
        <v>15378.95</v>
      </c>
      <c r="F927">
        <v>15109.8</v>
      </c>
      <c r="G927">
        <v>15175.1</v>
      </c>
      <c r="H927">
        <v>0</v>
      </c>
      <c r="I927" s="8">
        <f t="shared" si="57"/>
        <v>-2.3076619636822615E-3</v>
      </c>
      <c r="J927" s="8">
        <f t="shared" si="58"/>
        <v>-2.3103287189880305E-3</v>
      </c>
      <c r="K927" s="8">
        <f t="shared" si="55"/>
        <v>1.1818360631690616E-2</v>
      </c>
    </row>
    <row r="928" spans="1:11" x14ac:dyDescent="0.25">
      <c r="A928" t="str">
        <f t="shared" si="56"/>
        <v>92020</v>
      </c>
      <c r="B928" s="1">
        <v>44104</v>
      </c>
      <c r="C928" t="s">
        <v>591</v>
      </c>
      <c r="D928">
        <v>15283.25</v>
      </c>
      <c r="E928">
        <v>15333.7</v>
      </c>
      <c r="F928">
        <v>14959.7</v>
      </c>
      <c r="G928">
        <v>15026.95</v>
      </c>
      <c r="H928">
        <v>0</v>
      </c>
      <c r="I928" s="8">
        <f t="shared" si="57"/>
        <v>-9.762703375924997E-3</v>
      </c>
      <c r="J928" s="8">
        <f t="shared" si="58"/>
        <v>-9.8106710157414481E-3</v>
      </c>
      <c r="K928" s="8">
        <f t="shared" si="55"/>
        <v>2.2471030911701328E-2</v>
      </c>
    </row>
    <row r="929" spans="1:11" x14ac:dyDescent="0.25">
      <c r="A929" t="str">
        <f t="shared" si="56"/>
        <v>102020</v>
      </c>
      <c r="B929" s="1">
        <v>44105</v>
      </c>
      <c r="C929" s="10">
        <v>43840.645833333336</v>
      </c>
      <c r="D929">
        <v>15157.6</v>
      </c>
      <c r="E929">
        <v>15157.6</v>
      </c>
      <c r="F929">
        <v>14984.15</v>
      </c>
      <c r="G929">
        <v>15049.7</v>
      </c>
      <c r="H929">
        <v>0</v>
      </c>
      <c r="I929" s="8">
        <f t="shared" si="57"/>
        <v>1.5139466092586318E-3</v>
      </c>
      <c r="J929" s="8">
        <f t="shared" si="58"/>
        <v>1.5128017474515592E-3</v>
      </c>
      <c r="K929" s="8">
        <f t="shared" si="55"/>
        <v>3.403449827714744E-2</v>
      </c>
    </row>
    <row r="930" spans="1:11" x14ac:dyDescent="0.25">
      <c r="A930" t="str">
        <f t="shared" si="56"/>
        <v>102020</v>
      </c>
      <c r="B930" s="1">
        <v>44109</v>
      </c>
      <c r="C930" s="10">
        <v>43961.645833333336</v>
      </c>
      <c r="D930">
        <v>15134.75</v>
      </c>
      <c r="E930">
        <v>15149.5</v>
      </c>
      <c r="F930">
        <v>14971.85</v>
      </c>
      <c r="G930">
        <v>14999.05</v>
      </c>
      <c r="H930">
        <v>0</v>
      </c>
      <c r="I930" s="8">
        <f t="shared" si="57"/>
        <v>-3.365515591672974E-3</v>
      </c>
      <c r="J930" s="8">
        <f t="shared" si="58"/>
        <v>-3.3711916781550715E-3</v>
      </c>
      <c r="K930" s="8">
        <f t="shared" si="55"/>
        <v>2.5867169145432634E-2</v>
      </c>
    </row>
    <row r="931" spans="1:11" x14ac:dyDescent="0.25">
      <c r="A931" t="str">
        <f t="shared" si="56"/>
        <v>102020</v>
      </c>
      <c r="B931" s="1">
        <v>44110</v>
      </c>
      <c r="C931" s="10">
        <v>43992.645833333336</v>
      </c>
      <c r="D931">
        <v>15072.95</v>
      </c>
      <c r="E931">
        <v>15084.1</v>
      </c>
      <c r="F931">
        <v>14920.8</v>
      </c>
      <c r="G931">
        <v>14966.8</v>
      </c>
      <c r="H931">
        <v>0</v>
      </c>
      <c r="I931" s="8">
        <f t="shared" si="57"/>
        <v>-2.1501361752911397E-3</v>
      </c>
      <c r="J931" s="8">
        <f t="shared" si="58"/>
        <v>-2.1524510368509018E-3</v>
      </c>
      <c r="K931" s="8">
        <f t="shared" si="55"/>
        <v>1.8253563288770813E-2</v>
      </c>
    </row>
    <row r="932" spans="1:11" x14ac:dyDescent="0.25">
      <c r="A932" t="str">
        <f t="shared" si="56"/>
        <v>102020</v>
      </c>
      <c r="B932" s="1">
        <v>44111</v>
      </c>
      <c r="C932" s="10">
        <v>44022.645833333336</v>
      </c>
      <c r="D932">
        <v>14990.25</v>
      </c>
      <c r="E932">
        <v>15166.35</v>
      </c>
      <c r="F932">
        <v>14889.65</v>
      </c>
      <c r="G932">
        <v>14914.4</v>
      </c>
      <c r="H932">
        <v>0</v>
      </c>
      <c r="I932" s="8">
        <f t="shared" si="57"/>
        <v>-3.5010823957024595E-3</v>
      </c>
      <c r="J932" s="8">
        <f t="shared" si="58"/>
        <v>-3.5072255272708915E-3</v>
      </c>
      <c r="K932" s="8">
        <f t="shared" si="55"/>
        <v>5.345430768919579E-3</v>
      </c>
    </row>
    <row r="933" spans="1:11" x14ac:dyDescent="0.25">
      <c r="A933" t="str">
        <f t="shared" si="56"/>
        <v>102020</v>
      </c>
      <c r="B933" s="1">
        <v>44112</v>
      </c>
      <c r="C933" s="10">
        <v>44053.645833333336</v>
      </c>
      <c r="D933">
        <v>14945.4</v>
      </c>
      <c r="E933">
        <v>14953</v>
      </c>
      <c r="F933">
        <v>14714.25</v>
      </c>
      <c r="G933">
        <v>14780.15</v>
      </c>
      <c r="H933">
        <v>0</v>
      </c>
      <c r="I933" s="8">
        <f t="shared" si="57"/>
        <v>-9.0013678056106716E-3</v>
      </c>
      <c r="J933" s="8">
        <f t="shared" si="58"/>
        <v>-9.0421248807611848E-3</v>
      </c>
      <c r="K933" s="8">
        <f t="shared" si="55"/>
        <v>1.359562196970221E-2</v>
      </c>
    </row>
    <row r="934" spans="1:11" x14ac:dyDescent="0.25">
      <c r="A934" t="str">
        <f t="shared" si="56"/>
        <v>102020</v>
      </c>
      <c r="B934" s="1">
        <v>44113</v>
      </c>
      <c r="C934" s="10">
        <v>44084.645833333336</v>
      </c>
      <c r="D934">
        <v>14784.1</v>
      </c>
      <c r="E934">
        <v>14857.7</v>
      </c>
      <c r="F934">
        <v>14721.2</v>
      </c>
      <c r="G934">
        <v>14833.8</v>
      </c>
      <c r="H934">
        <v>0</v>
      </c>
      <c r="I934" s="8">
        <f t="shared" si="57"/>
        <v>3.629868438412398E-3</v>
      </c>
      <c r="J934" s="8">
        <f t="shared" si="58"/>
        <v>3.6232963650120677E-3</v>
      </c>
      <c r="K934" s="8">
        <f t="shared" si="55"/>
        <v>3.7114721089005931E-2</v>
      </c>
    </row>
    <row r="935" spans="1:11" x14ac:dyDescent="0.25">
      <c r="A935" t="str">
        <f t="shared" si="56"/>
        <v>102020</v>
      </c>
      <c r="B935" s="1">
        <v>44116</v>
      </c>
      <c r="C935" s="10">
        <v>44175.645833333336</v>
      </c>
      <c r="D935">
        <v>14883.75</v>
      </c>
      <c r="E935">
        <v>14969.9</v>
      </c>
      <c r="F935">
        <v>14723.55</v>
      </c>
      <c r="G935">
        <v>14754.6</v>
      </c>
      <c r="H935">
        <v>0</v>
      </c>
      <c r="I935" s="8">
        <f t="shared" si="57"/>
        <v>-5.3391578691905917E-3</v>
      </c>
      <c r="J935" s="8">
        <f t="shared" si="58"/>
        <v>-5.3534621103528673E-3</v>
      </c>
      <c r="K935" s="8">
        <f t="shared" si="55"/>
        <v>2.8919309060732701E-2</v>
      </c>
    </row>
    <row r="936" spans="1:11" x14ac:dyDescent="0.25">
      <c r="A936" t="str">
        <f t="shared" si="56"/>
        <v>102020</v>
      </c>
      <c r="B936" s="1">
        <v>44117</v>
      </c>
      <c r="C936" t="s">
        <v>592</v>
      </c>
      <c r="D936">
        <v>14742.5</v>
      </c>
      <c r="E936">
        <v>14935.05</v>
      </c>
      <c r="F936">
        <v>14708.9</v>
      </c>
      <c r="G936">
        <v>14911.95</v>
      </c>
      <c r="H936">
        <v>0</v>
      </c>
      <c r="I936" s="8">
        <f t="shared" si="57"/>
        <v>1.0664470741328147E-2</v>
      </c>
      <c r="J936" s="8">
        <f t="shared" si="58"/>
        <v>1.0608006360309608E-2</v>
      </c>
      <c r="K936" s="8">
        <f t="shared" si="55"/>
        <v>-2.0278070571700946E-3</v>
      </c>
    </row>
    <row r="937" spans="1:11" x14ac:dyDescent="0.25">
      <c r="A937" t="str">
        <f t="shared" si="56"/>
        <v>102020</v>
      </c>
      <c r="B937" s="1">
        <v>44118</v>
      </c>
      <c r="C937" t="s">
        <v>593</v>
      </c>
      <c r="D937">
        <v>14902.8</v>
      </c>
      <c r="E937">
        <v>14952.65</v>
      </c>
      <c r="F937">
        <v>14645.75</v>
      </c>
      <c r="G937">
        <v>14755</v>
      </c>
      <c r="H937">
        <v>0</v>
      </c>
      <c r="I937" s="8">
        <f t="shared" si="57"/>
        <v>-1.0525115762861414E-2</v>
      </c>
      <c r="J937" s="8">
        <f t="shared" si="58"/>
        <v>-1.0580896538419544E-2</v>
      </c>
      <c r="K937" s="8">
        <f t="shared" si="55"/>
        <v>-1.211837171933583E-2</v>
      </c>
    </row>
    <row r="938" spans="1:11" x14ac:dyDescent="0.25">
      <c r="A938" t="str">
        <f t="shared" si="56"/>
        <v>102020</v>
      </c>
      <c r="B938" s="1">
        <v>44119</v>
      </c>
      <c r="C938" t="s">
        <v>594</v>
      </c>
      <c r="D938">
        <v>14767.05</v>
      </c>
      <c r="E938">
        <v>14832.65</v>
      </c>
      <c r="F938">
        <v>14399.65</v>
      </c>
      <c r="G938">
        <v>14460.2</v>
      </c>
      <c r="H938">
        <v>0</v>
      </c>
      <c r="I938" s="8">
        <f t="shared" si="57"/>
        <v>-1.9979667909183263E-2</v>
      </c>
      <c r="J938" s="8">
        <f t="shared" si="58"/>
        <v>-2.018196050129048E-2</v>
      </c>
      <c r="K938" s="8">
        <f t="shared" si="55"/>
        <v>-6.4509763963421896E-2</v>
      </c>
    </row>
    <row r="939" spans="1:11" x14ac:dyDescent="0.25">
      <c r="A939" t="str">
        <f t="shared" si="56"/>
        <v>102020</v>
      </c>
      <c r="B939" s="1">
        <v>44120</v>
      </c>
      <c r="C939" t="s">
        <v>595</v>
      </c>
      <c r="D939">
        <v>14520.35</v>
      </c>
      <c r="E939">
        <v>14667.3</v>
      </c>
      <c r="F939">
        <v>14435.95</v>
      </c>
      <c r="G939">
        <v>14562.55</v>
      </c>
      <c r="H939">
        <v>0</v>
      </c>
      <c r="I939" s="8">
        <f t="shared" si="57"/>
        <v>7.0780487130190917E-3</v>
      </c>
      <c r="J939" s="8">
        <f t="shared" si="58"/>
        <v>7.05311690280753E-3</v>
      </c>
      <c r="K939" s="8">
        <f t="shared" si="55"/>
        <v>-6.4428154753491729E-2</v>
      </c>
    </row>
    <row r="940" spans="1:11" x14ac:dyDescent="0.25">
      <c r="A940" t="str">
        <f t="shared" si="56"/>
        <v>102020</v>
      </c>
      <c r="B940" s="1">
        <v>44123</v>
      </c>
      <c r="C940" t="s">
        <v>596</v>
      </c>
      <c r="D940">
        <v>14656.85</v>
      </c>
      <c r="E940">
        <v>14832.75</v>
      </c>
      <c r="F940">
        <v>14642.8</v>
      </c>
      <c r="G940">
        <v>14743.25</v>
      </c>
      <c r="H940">
        <v>0</v>
      </c>
      <c r="I940" s="8">
        <f t="shared" si="57"/>
        <v>1.2408541086554203E-2</v>
      </c>
      <c r="J940" s="8">
        <f t="shared" si="58"/>
        <v>1.2332186127518302E-2</v>
      </c>
      <c r="K940" s="8">
        <f t="shared" si="55"/>
        <v>-6.7074810561118747E-2</v>
      </c>
    </row>
    <row r="941" spans="1:11" x14ac:dyDescent="0.25">
      <c r="A941" t="str">
        <f t="shared" si="56"/>
        <v>102020</v>
      </c>
      <c r="B941" s="1">
        <v>44124</v>
      </c>
      <c r="C941" t="s">
        <v>597</v>
      </c>
      <c r="D941">
        <v>14718.3</v>
      </c>
      <c r="E941">
        <v>14751.3</v>
      </c>
      <c r="F941">
        <v>14504.5</v>
      </c>
      <c r="G941">
        <v>14529.15</v>
      </c>
      <c r="H941">
        <v>0</v>
      </c>
      <c r="I941" s="8">
        <f t="shared" si="57"/>
        <v>-1.4521899852474873E-2</v>
      </c>
      <c r="J941" s="8">
        <f t="shared" si="58"/>
        <v>-1.4628374708802577E-2</v>
      </c>
      <c r="K941" s="8">
        <f t="shared" si="55"/>
        <v>-8.5978415750022852E-2</v>
      </c>
    </row>
    <row r="942" spans="1:11" x14ac:dyDescent="0.25">
      <c r="A942" t="str">
        <f t="shared" si="56"/>
        <v>102020</v>
      </c>
      <c r="B942" s="1">
        <v>44125</v>
      </c>
      <c r="C942" t="s">
        <v>598</v>
      </c>
      <c r="D942">
        <v>14667.5</v>
      </c>
      <c r="E942">
        <v>14834.55</v>
      </c>
      <c r="F942">
        <v>14478.7</v>
      </c>
      <c r="G942">
        <v>14643.55</v>
      </c>
      <c r="H942">
        <v>0</v>
      </c>
      <c r="I942" s="8">
        <f t="shared" si="57"/>
        <v>7.8738260669068971E-3</v>
      </c>
      <c r="J942" s="8">
        <f t="shared" si="58"/>
        <v>7.8429892617673698E-3</v>
      </c>
      <c r="K942" s="8">
        <f t="shared" si="55"/>
        <v>-7.9198644285215725E-2</v>
      </c>
    </row>
    <row r="943" spans="1:11" x14ac:dyDescent="0.25">
      <c r="A943" t="str">
        <f t="shared" si="56"/>
        <v>102020</v>
      </c>
      <c r="B943" s="1">
        <v>44126</v>
      </c>
      <c r="C943" t="s">
        <v>599</v>
      </c>
      <c r="D943">
        <v>14591.3</v>
      </c>
      <c r="E943">
        <v>14831.5</v>
      </c>
      <c r="F943">
        <v>14510.2</v>
      </c>
      <c r="G943">
        <v>14789.45</v>
      </c>
      <c r="H943">
        <v>0</v>
      </c>
      <c r="I943" s="8">
        <f t="shared" si="57"/>
        <v>9.9634309986309511E-3</v>
      </c>
      <c r="J943" s="8">
        <f t="shared" si="58"/>
        <v>9.9141232656327332E-3</v>
      </c>
      <c r="K943" s="8">
        <f t="shared" si="55"/>
        <v>-7.577201528563704E-2</v>
      </c>
    </row>
    <row r="944" spans="1:11" x14ac:dyDescent="0.25">
      <c r="A944" t="str">
        <f t="shared" si="56"/>
        <v>102020</v>
      </c>
      <c r="B944" s="1">
        <v>44127</v>
      </c>
      <c r="C944" t="s">
        <v>600</v>
      </c>
      <c r="D944">
        <v>14845.45</v>
      </c>
      <c r="E944">
        <v>14947.6</v>
      </c>
      <c r="F944">
        <v>14809.3</v>
      </c>
      <c r="G944">
        <v>14901.7</v>
      </c>
      <c r="H944">
        <v>0</v>
      </c>
      <c r="I944" s="8">
        <f t="shared" si="57"/>
        <v>7.5898698058414205E-3</v>
      </c>
      <c r="J944" s="8">
        <f t="shared" si="58"/>
        <v>7.5612116603888174E-3</v>
      </c>
      <c r="K944" s="8">
        <f t="shared" si="55"/>
        <v>-5.3111824902859595E-2</v>
      </c>
    </row>
    <row r="945" spans="1:11" x14ac:dyDescent="0.25">
      <c r="A945" t="str">
        <f t="shared" si="56"/>
        <v>102020</v>
      </c>
      <c r="B945" s="1">
        <v>44130</v>
      </c>
      <c r="C945" t="s">
        <v>601</v>
      </c>
      <c r="D945">
        <v>14905.7</v>
      </c>
      <c r="E945">
        <v>14912.4</v>
      </c>
      <c r="F945">
        <v>14537.95</v>
      </c>
      <c r="G945">
        <v>14613.45</v>
      </c>
      <c r="H945">
        <v>0</v>
      </c>
      <c r="I945" s="8">
        <f t="shared" si="57"/>
        <v>-1.9343430615298973E-2</v>
      </c>
      <c r="J945" s="8">
        <f t="shared" si="58"/>
        <v>-1.9532962886500093E-2</v>
      </c>
      <c r="K945" s="8">
        <f t="shared" si="55"/>
        <v>-5.3471727443487271E-2</v>
      </c>
    </row>
    <row r="946" spans="1:11" x14ac:dyDescent="0.25">
      <c r="A946" t="str">
        <f t="shared" si="56"/>
        <v>102020</v>
      </c>
      <c r="B946" s="1">
        <v>44131</v>
      </c>
      <c r="C946" t="s">
        <v>602</v>
      </c>
      <c r="D946">
        <v>14712.45</v>
      </c>
      <c r="E946">
        <v>14780.55</v>
      </c>
      <c r="F946">
        <v>14560.6</v>
      </c>
      <c r="G946">
        <v>14752.25</v>
      </c>
      <c r="H946">
        <v>0</v>
      </c>
      <c r="I946" s="8">
        <f t="shared" si="57"/>
        <v>9.4980993536775138E-3</v>
      </c>
      <c r="J946" s="8">
        <f t="shared" si="58"/>
        <v>9.453276008881217E-3</v>
      </c>
      <c r="K946" s="8">
        <f t="shared" si="55"/>
        <v>-3.6376937975001855E-2</v>
      </c>
    </row>
    <row r="947" spans="1:11" x14ac:dyDescent="0.25">
      <c r="A947" t="str">
        <f t="shared" si="56"/>
        <v>102020</v>
      </c>
      <c r="B947" s="1">
        <v>44132</v>
      </c>
      <c r="C947" t="s">
        <v>603</v>
      </c>
      <c r="D947">
        <v>14857.1</v>
      </c>
      <c r="E947">
        <v>14869.25</v>
      </c>
      <c r="F947">
        <v>14660.5</v>
      </c>
      <c r="G947">
        <v>14688.35</v>
      </c>
      <c r="H947">
        <v>0</v>
      </c>
      <c r="I947" s="8">
        <f t="shared" si="57"/>
        <v>-4.3315426460369677E-3</v>
      </c>
      <c r="J947" s="8">
        <f t="shared" si="58"/>
        <v>-4.3409509550414224E-3</v>
      </c>
      <c r="K947" s="8">
        <f t="shared" si="55"/>
        <v>-2.4389676896559687E-2</v>
      </c>
    </row>
    <row r="948" spans="1:11" x14ac:dyDescent="0.25">
      <c r="A948" t="str">
        <f t="shared" si="56"/>
        <v>102020</v>
      </c>
      <c r="B948" s="1">
        <v>44133</v>
      </c>
      <c r="C948" t="s">
        <v>604</v>
      </c>
      <c r="D948">
        <v>14535.2</v>
      </c>
      <c r="E948">
        <v>14758.6</v>
      </c>
      <c r="F948">
        <v>14534.35</v>
      </c>
      <c r="G948">
        <v>14722.15</v>
      </c>
      <c r="H948">
        <v>0</v>
      </c>
      <c r="I948" s="8">
        <f t="shared" si="57"/>
        <v>2.3011434231889893E-3</v>
      </c>
      <c r="J948" s="8">
        <f t="shared" si="58"/>
        <v>2.2984998473832619E-3</v>
      </c>
      <c r="K948" s="8">
        <f t="shared" si="55"/>
        <v>-4.4521892634742044E-2</v>
      </c>
    </row>
    <row r="949" spans="1:11" x14ac:dyDescent="0.25">
      <c r="A949" t="str">
        <f t="shared" si="56"/>
        <v>102020</v>
      </c>
      <c r="B949" s="1">
        <v>44134</v>
      </c>
      <c r="C949" t="s">
        <v>605</v>
      </c>
      <c r="D949">
        <v>14827.9</v>
      </c>
      <c r="E949">
        <v>15024.05</v>
      </c>
      <c r="F949">
        <v>14810.7</v>
      </c>
      <c r="G949">
        <v>14977.8</v>
      </c>
      <c r="H949">
        <v>0</v>
      </c>
      <c r="I949" s="8">
        <f t="shared" si="57"/>
        <v>1.736499084712495E-2</v>
      </c>
      <c r="J949" s="8">
        <f t="shared" si="58"/>
        <v>1.7215942402764521E-2</v>
      </c>
      <c r="K949" s="8">
        <f t="shared" si="55"/>
        <v>-2.2866201731437941E-2</v>
      </c>
    </row>
    <row r="950" spans="1:11" x14ac:dyDescent="0.25">
      <c r="A950" t="str">
        <f t="shared" si="56"/>
        <v>112020</v>
      </c>
      <c r="B950" s="1">
        <v>44137</v>
      </c>
      <c r="C950" s="10">
        <v>43872.645833333336</v>
      </c>
      <c r="D950">
        <v>14972.55</v>
      </c>
      <c r="E950">
        <v>15002.25</v>
      </c>
      <c r="F950">
        <v>14554</v>
      </c>
      <c r="G950">
        <v>14606.1</v>
      </c>
      <c r="H950">
        <v>0</v>
      </c>
      <c r="I950" s="8">
        <f t="shared" si="57"/>
        <v>-2.4816728758562556E-2</v>
      </c>
      <c r="J950" s="8">
        <f t="shared" si="58"/>
        <v>-2.5129855144493129E-2</v>
      </c>
      <c r="K950" s="8">
        <f t="shared" si="55"/>
        <v>-5.2053620973316006E-2</v>
      </c>
    </row>
    <row r="951" spans="1:11" x14ac:dyDescent="0.25">
      <c r="A951" t="str">
        <f t="shared" si="56"/>
        <v>112020</v>
      </c>
      <c r="B951" s="1">
        <v>44138</v>
      </c>
      <c r="C951" s="10">
        <v>43901.645833333336</v>
      </c>
      <c r="D951">
        <v>14754.65</v>
      </c>
      <c r="E951">
        <v>14800.65</v>
      </c>
      <c r="F951">
        <v>14478.35</v>
      </c>
      <c r="G951">
        <v>14528.45</v>
      </c>
      <c r="H951">
        <v>0</v>
      </c>
      <c r="I951" s="8">
        <f t="shared" si="57"/>
        <v>-5.3162719685611037E-3</v>
      </c>
      <c r="J951" s="8">
        <f t="shared" si="58"/>
        <v>-5.3304536270827908E-3</v>
      </c>
      <c r="K951" s="8">
        <f t="shared" si="55"/>
        <v>-6.2562709502163139E-2</v>
      </c>
    </row>
    <row r="952" spans="1:11" x14ac:dyDescent="0.25">
      <c r="A952" t="str">
        <f t="shared" si="56"/>
        <v>112020</v>
      </c>
      <c r="B952" s="1">
        <v>44139</v>
      </c>
      <c r="C952" s="10">
        <v>43932.645833333336</v>
      </c>
      <c r="D952">
        <v>14512.7</v>
      </c>
      <c r="E952">
        <v>14650.1</v>
      </c>
      <c r="F952">
        <v>14444.5</v>
      </c>
      <c r="G952">
        <v>14628.5</v>
      </c>
      <c r="H952">
        <v>0</v>
      </c>
      <c r="I952" s="8">
        <f t="shared" si="57"/>
        <v>6.8864882351522549E-3</v>
      </c>
      <c r="J952" s="8">
        <f t="shared" si="58"/>
        <v>6.8628846768371546E-3</v>
      </c>
      <c r="K952" s="8">
        <f t="shared" si="55"/>
        <v>-5.7159522666262785E-2</v>
      </c>
    </row>
    <row r="953" spans="1:11" x14ac:dyDescent="0.25">
      <c r="A953" t="str">
        <f t="shared" si="56"/>
        <v>112020</v>
      </c>
      <c r="B953" s="1">
        <v>44140</v>
      </c>
      <c r="C953" s="10">
        <v>43962.645833333336</v>
      </c>
      <c r="D953">
        <v>14787.8</v>
      </c>
      <c r="E953">
        <v>15040.9</v>
      </c>
      <c r="F953">
        <v>14731.25</v>
      </c>
      <c r="G953">
        <v>15020.35</v>
      </c>
      <c r="H953">
        <v>0</v>
      </c>
      <c r="I953" s="8">
        <f t="shared" si="57"/>
        <v>2.6786751888437044E-2</v>
      </c>
      <c r="J953" s="8">
        <f t="shared" si="58"/>
        <v>2.6434267602470574E-2</v>
      </c>
      <c r="K953" s="8">
        <f t="shared" si="55"/>
        <v>-3.6431286385578909E-2</v>
      </c>
    </row>
    <row r="954" spans="1:11" x14ac:dyDescent="0.25">
      <c r="A954" t="str">
        <f t="shared" si="56"/>
        <v>112020</v>
      </c>
      <c r="B954" s="1">
        <v>44141</v>
      </c>
      <c r="C954" s="10">
        <v>43993.645833333336</v>
      </c>
      <c r="D954">
        <v>15112.55</v>
      </c>
      <c r="E954">
        <v>15232.95</v>
      </c>
      <c r="F954">
        <v>15085.4</v>
      </c>
      <c r="G954">
        <v>15180.75</v>
      </c>
      <c r="H954">
        <v>0</v>
      </c>
      <c r="I954" s="8">
        <f t="shared" si="57"/>
        <v>1.0678845699334527E-2</v>
      </c>
      <c r="J954" s="8">
        <f t="shared" si="58"/>
        <v>1.0622229533473419E-2</v>
      </c>
      <c r="K954" s="8">
        <f t="shared" si="55"/>
        <v>-2.3683195060775653E-2</v>
      </c>
    </row>
    <row r="955" spans="1:11" x14ac:dyDescent="0.25">
      <c r="A955" t="str">
        <f t="shared" si="56"/>
        <v>112020</v>
      </c>
      <c r="B955" s="1">
        <v>44144</v>
      </c>
      <c r="C955" s="10">
        <v>44085.645833333336</v>
      </c>
      <c r="D955">
        <v>15379.2</v>
      </c>
      <c r="E955">
        <v>15513.2</v>
      </c>
      <c r="F955">
        <v>15282.55</v>
      </c>
      <c r="G955">
        <v>15491.5</v>
      </c>
      <c r="H955">
        <v>0</v>
      </c>
      <c r="I955" s="8">
        <f t="shared" si="57"/>
        <v>2.0470003128962633E-2</v>
      </c>
      <c r="J955" s="8">
        <f t="shared" si="58"/>
        <v>2.026330854761119E-2</v>
      </c>
      <c r="K955" s="8">
        <f t="shared" si="55"/>
        <v>-3.1562589483640213E-3</v>
      </c>
    </row>
    <row r="956" spans="1:11" x14ac:dyDescent="0.25">
      <c r="A956" t="str">
        <f t="shared" si="56"/>
        <v>112020</v>
      </c>
      <c r="B956" s="1">
        <v>44145</v>
      </c>
      <c r="C956" s="10">
        <v>44115.645833333336</v>
      </c>
      <c r="D956">
        <v>15595.65</v>
      </c>
      <c r="E956">
        <v>15740.5</v>
      </c>
      <c r="F956">
        <v>15466.15</v>
      </c>
      <c r="G956">
        <v>15713.05</v>
      </c>
      <c r="H956">
        <v>0</v>
      </c>
      <c r="I956" s="8">
        <f t="shared" si="57"/>
        <v>1.4301391085433934E-2</v>
      </c>
      <c r="J956" s="8">
        <f t="shared" si="58"/>
        <v>1.4200090872237297E-2</v>
      </c>
      <c r="K956" s="8">
        <f t="shared" si="55"/>
        <v>2.0662619885092104E-2</v>
      </c>
    </row>
    <row r="957" spans="1:11" x14ac:dyDescent="0.25">
      <c r="A957" t="str">
        <f t="shared" si="56"/>
        <v>112020</v>
      </c>
      <c r="B957" s="1">
        <v>44146</v>
      </c>
      <c r="C957" s="10">
        <v>44146.645833333336</v>
      </c>
      <c r="D957">
        <v>15761.1</v>
      </c>
      <c r="E957">
        <v>15926.15</v>
      </c>
      <c r="F957">
        <v>15635.35</v>
      </c>
      <c r="G957">
        <v>15773.55</v>
      </c>
      <c r="H957">
        <v>0</v>
      </c>
      <c r="I957" s="8">
        <f t="shared" si="57"/>
        <v>3.8503027738090445E-3</v>
      </c>
      <c r="J957" s="8">
        <f t="shared" si="58"/>
        <v>3.842909330005387E-3</v>
      </c>
      <c r="K957" s="8">
        <f t="shared" si="55"/>
        <v>1.1874176072669052E-2</v>
      </c>
    </row>
    <row r="958" spans="1:11" x14ac:dyDescent="0.25">
      <c r="A958" t="str">
        <f t="shared" si="56"/>
        <v>112020</v>
      </c>
      <c r="B958" s="1">
        <v>44147</v>
      </c>
      <c r="C958" s="10">
        <v>44176.645833333336</v>
      </c>
      <c r="D958">
        <v>15779.25</v>
      </c>
      <c r="E958">
        <v>15857.9</v>
      </c>
      <c r="F958">
        <v>15694.15</v>
      </c>
      <c r="G958">
        <v>15743.2</v>
      </c>
      <c r="H958">
        <v>0</v>
      </c>
      <c r="I958" s="8">
        <f t="shared" si="57"/>
        <v>-1.924107128705832E-3</v>
      </c>
      <c r="J958" s="8">
        <f t="shared" si="58"/>
        <v>-1.9259606007279626E-3</v>
      </c>
      <c r="K958" s="8">
        <f t="shared" si="55"/>
        <v>6.9622337992945038E-3</v>
      </c>
    </row>
    <row r="959" spans="1:11" x14ac:dyDescent="0.25">
      <c r="A959" t="str">
        <f t="shared" si="56"/>
        <v>112020</v>
      </c>
      <c r="B959" s="1">
        <v>44148</v>
      </c>
      <c r="C959" t="s">
        <v>606</v>
      </c>
      <c r="D959">
        <v>15691.95</v>
      </c>
      <c r="E959">
        <v>15917.55</v>
      </c>
      <c r="F959">
        <v>15667.55</v>
      </c>
      <c r="G959">
        <v>15869.25</v>
      </c>
      <c r="H959">
        <v>0</v>
      </c>
      <c r="I959" s="8">
        <f t="shared" si="57"/>
        <v>8.0066314345239586E-3</v>
      </c>
      <c r="J959" s="8">
        <f t="shared" si="58"/>
        <v>7.9747484316278656E-3</v>
      </c>
      <c r="K959" s="8">
        <f t="shared" si="55"/>
        <v>1.0008273930753653E-2</v>
      </c>
    </row>
    <row r="960" spans="1:11" x14ac:dyDescent="0.25">
      <c r="A960" t="str">
        <f t="shared" si="56"/>
        <v>112020</v>
      </c>
      <c r="B960" s="1">
        <v>44152</v>
      </c>
      <c r="C960" t="s">
        <v>607</v>
      </c>
      <c r="D960">
        <v>16277.3</v>
      </c>
      <c r="E960">
        <v>16284.75</v>
      </c>
      <c r="F960">
        <v>15885.55</v>
      </c>
      <c r="G960">
        <v>15925.3</v>
      </c>
      <c r="H960">
        <v>0</v>
      </c>
      <c r="I960" s="8">
        <f t="shared" si="57"/>
        <v>3.5319879641444452E-3</v>
      </c>
      <c r="J960" s="8">
        <f t="shared" si="58"/>
        <v>3.5257651429700409E-3</v>
      </c>
      <c r="K960" s="8">
        <f t="shared" ref="K960:K1023" si="59">+G960/G899-1</f>
        <v>-2.2335763222114391E-3</v>
      </c>
    </row>
    <row r="961" spans="1:11" x14ac:dyDescent="0.25">
      <c r="A961" t="str">
        <f t="shared" si="56"/>
        <v>112020</v>
      </c>
      <c r="B961" s="1">
        <v>44153</v>
      </c>
      <c r="C961" t="s">
        <v>608</v>
      </c>
      <c r="D961">
        <v>15942.55</v>
      </c>
      <c r="E961">
        <v>16025.25</v>
      </c>
      <c r="F961">
        <v>15770.5</v>
      </c>
      <c r="G961">
        <v>15911.1</v>
      </c>
      <c r="H961">
        <v>0</v>
      </c>
      <c r="I961" s="8">
        <f t="shared" si="57"/>
        <v>-8.9166295140430396E-4</v>
      </c>
      <c r="J961" s="8">
        <f t="shared" si="58"/>
        <v>-8.9206071928125475E-4</v>
      </c>
      <c r="K961" s="8">
        <f t="shared" si="59"/>
        <v>-1.0832838576717352E-2</v>
      </c>
    </row>
    <row r="962" spans="1:11" x14ac:dyDescent="0.25">
      <c r="A962" t="str">
        <f t="shared" si="56"/>
        <v>112020</v>
      </c>
      <c r="B962" s="1">
        <v>44154</v>
      </c>
      <c r="C962" t="s">
        <v>609</v>
      </c>
      <c r="D962">
        <v>15813.55</v>
      </c>
      <c r="E962">
        <v>16160.95</v>
      </c>
      <c r="F962">
        <v>15809.45</v>
      </c>
      <c r="G962">
        <v>15951.55</v>
      </c>
      <c r="H962">
        <v>0</v>
      </c>
      <c r="I962" s="8">
        <f t="shared" si="57"/>
        <v>2.5422503786662887E-3</v>
      </c>
      <c r="J962" s="8">
        <f t="shared" si="58"/>
        <v>2.5390243266369323E-3</v>
      </c>
      <c r="K962" s="8">
        <f t="shared" si="59"/>
        <v>-7.4326426482483887E-3</v>
      </c>
    </row>
    <row r="963" spans="1:11" x14ac:dyDescent="0.25">
      <c r="A963" t="str">
        <f t="shared" ref="A963:A1026" si="60">+MONTH(B963)&amp;YEAR(B963)</f>
        <v>112020</v>
      </c>
      <c r="B963" s="1">
        <v>44155</v>
      </c>
      <c r="C963" t="s">
        <v>610</v>
      </c>
      <c r="D963">
        <v>15978.5</v>
      </c>
      <c r="E963">
        <v>16081.4</v>
      </c>
      <c r="F963">
        <v>15837.95</v>
      </c>
      <c r="G963">
        <v>15959.75</v>
      </c>
      <c r="H963">
        <v>0</v>
      </c>
      <c r="I963" s="8">
        <f t="shared" si="57"/>
        <v>5.1405662772596727E-4</v>
      </c>
      <c r="J963" s="8">
        <f t="shared" si="58"/>
        <v>5.1392454588080618E-4</v>
      </c>
      <c r="K963" s="8">
        <f t="shared" si="59"/>
        <v>-1.2797086394413792E-3</v>
      </c>
    </row>
    <row r="964" spans="1:11" x14ac:dyDescent="0.25">
      <c r="A964" t="str">
        <f t="shared" si="60"/>
        <v>112020</v>
      </c>
      <c r="B964" s="1">
        <v>44158</v>
      </c>
      <c r="C964" t="s">
        <v>611</v>
      </c>
      <c r="D964">
        <v>16182.05</v>
      </c>
      <c r="E964">
        <v>16463.45</v>
      </c>
      <c r="F964">
        <v>16124.05</v>
      </c>
      <c r="G964">
        <v>16405.55</v>
      </c>
      <c r="H964">
        <v>0</v>
      </c>
      <c r="I964" s="8">
        <f t="shared" ref="I964:I1027" si="61">+G964/G963-1</f>
        <v>2.7932768370431793E-2</v>
      </c>
      <c r="J964" s="8">
        <f t="shared" ref="J964:J1027" si="62">+LN(1+I964)</f>
        <v>2.7549764476404882E-2</v>
      </c>
      <c r="K964" s="8">
        <f t="shared" si="59"/>
        <v>1.802662728319171E-2</v>
      </c>
    </row>
    <row r="965" spans="1:11" x14ac:dyDescent="0.25">
      <c r="A965" t="str">
        <f t="shared" si="60"/>
        <v>112020</v>
      </c>
      <c r="B965" s="1">
        <v>44159</v>
      </c>
      <c r="C965" t="s">
        <v>612</v>
      </c>
      <c r="D965">
        <v>16528.349999999999</v>
      </c>
      <c r="E965">
        <v>16584.05</v>
      </c>
      <c r="F965">
        <v>16342.5</v>
      </c>
      <c r="G965">
        <v>16460.55</v>
      </c>
      <c r="H965">
        <v>0</v>
      </c>
      <c r="I965" s="8">
        <f t="shared" si="61"/>
        <v>3.352523993404688E-3</v>
      </c>
      <c r="J965" s="8">
        <f t="shared" si="62"/>
        <v>3.346916813483381E-3</v>
      </c>
      <c r="K965" s="8">
        <f t="shared" si="59"/>
        <v>2.9035202330568E-2</v>
      </c>
    </row>
    <row r="966" spans="1:11" x14ac:dyDescent="0.25">
      <c r="A966" t="str">
        <f t="shared" si="60"/>
        <v>112020</v>
      </c>
      <c r="B966" s="1">
        <v>44160</v>
      </c>
      <c r="C966" t="s">
        <v>613</v>
      </c>
      <c r="D966">
        <v>16542.2</v>
      </c>
      <c r="E966">
        <v>16597.150000000001</v>
      </c>
      <c r="F966">
        <v>16356.45</v>
      </c>
      <c r="G966">
        <v>16388</v>
      </c>
      <c r="H966">
        <v>0</v>
      </c>
      <c r="I966" s="8">
        <f t="shared" si="61"/>
        <v>-4.4075076470713181E-3</v>
      </c>
      <c r="J966" s="8">
        <f t="shared" si="62"/>
        <v>-4.4172493438411264E-3</v>
      </c>
      <c r="K966" s="8">
        <f t="shared" si="59"/>
        <v>2.6125886386049402E-2</v>
      </c>
    </row>
    <row r="967" spans="1:11" x14ac:dyDescent="0.25">
      <c r="A967" t="str">
        <f t="shared" si="60"/>
        <v>112020</v>
      </c>
      <c r="B967" s="1">
        <v>44161</v>
      </c>
      <c r="C967" t="s">
        <v>614</v>
      </c>
      <c r="D967">
        <v>16317.9</v>
      </c>
      <c r="E967">
        <v>16388.2</v>
      </c>
      <c r="F967">
        <v>16201.35</v>
      </c>
      <c r="G967">
        <v>16346</v>
      </c>
      <c r="H967">
        <v>0</v>
      </c>
      <c r="I967" s="8">
        <f t="shared" si="61"/>
        <v>-2.5628508664876648E-3</v>
      </c>
      <c r="J967" s="8">
        <f t="shared" si="62"/>
        <v>-2.5661405906866673E-3</v>
      </c>
      <c r="K967" s="8">
        <f t="shared" si="59"/>
        <v>4.7467999551433104E-2</v>
      </c>
    </row>
    <row r="968" spans="1:11" x14ac:dyDescent="0.25">
      <c r="A968" t="str">
        <f t="shared" si="60"/>
        <v>112020</v>
      </c>
      <c r="B968" s="1">
        <v>44162</v>
      </c>
      <c r="C968" t="s">
        <v>615</v>
      </c>
      <c r="D968">
        <v>16386.3</v>
      </c>
      <c r="E968">
        <v>16516.900000000001</v>
      </c>
      <c r="F968">
        <v>16066.5</v>
      </c>
      <c r="G968">
        <v>16251.85</v>
      </c>
      <c r="H968">
        <v>0</v>
      </c>
      <c r="I968" s="8">
        <f t="shared" si="61"/>
        <v>-5.7598189159426827E-3</v>
      </c>
      <c r="J968" s="8">
        <f t="shared" si="62"/>
        <v>-5.7764706443268286E-3</v>
      </c>
      <c r="K968" s="8">
        <f t="shared" si="59"/>
        <v>3.6929633989555288E-2</v>
      </c>
    </row>
    <row r="969" spans="1:11" x14ac:dyDescent="0.25">
      <c r="A969" t="str">
        <f t="shared" si="60"/>
        <v>122020</v>
      </c>
      <c r="B969" s="1">
        <v>44166</v>
      </c>
      <c r="C969" s="10">
        <v>43842.645833333336</v>
      </c>
      <c r="D969">
        <v>16326.6</v>
      </c>
      <c r="E969">
        <v>16537.849999999999</v>
      </c>
      <c r="F969">
        <v>16207.45</v>
      </c>
      <c r="G969">
        <v>16475.349999999999</v>
      </c>
      <c r="H969">
        <v>0</v>
      </c>
      <c r="I969" s="8">
        <f t="shared" si="61"/>
        <v>1.375228050960331E-2</v>
      </c>
      <c r="J969" s="8">
        <f t="shared" si="62"/>
        <v>1.3658576022862415E-2</v>
      </c>
      <c r="K969" s="8">
        <f t="shared" si="59"/>
        <v>3.8979015907550041E-2</v>
      </c>
    </row>
    <row r="970" spans="1:11" x14ac:dyDescent="0.25">
      <c r="A970" t="str">
        <f t="shared" si="60"/>
        <v>122020</v>
      </c>
      <c r="B970" s="1">
        <v>44167</v>
      </c>
      <c r="C970" s="10">
        <v>43873.645833333336</v>
      </c>
      <c r="D970">
        <v>16536.25</v>
      </c>
      <c r="E970">
        <v>16729.900000000001</v>
      </c>
      <c r="F970">
        <v>16439.8</v>
      </c>
      <c r="G970">
        <v>16701.05</v>
      </c>
      <c r="H970">
        <v>0</v>
      </c>
      <c r="I970" s="8">
        <f t="shared" si="61"/>
        <v>1.369925373360803E-2</v>
      </c>
      <c r="J970" s="8">
        <f t="shared" si="62"/>
        <v>1.3606267225229762E-2</v>
      </c>
      <c r="K970" s="8">
        <f t="shared" si="59"/>
        <v>6.1411843213269979E-2</v>
      </c>
    </row>
    <row r="971" spans="1:11" x14ac:dyDescent="0.25">
      <c r="A971" t="str">
        <f t="shared" si="60"/>
        <v>122020</v>
      </c>
      <c r="B971" s="1">
        <v>44168</v>
      </c>
      <c r="C971" s="10">
        <v>43902.645833333336</v>
      </c>
      <c r="D971">
        <v>16821.45</v>
      </c>
      <c r="E971">
        <v>16964</v>
      </c>
      <c r="F971">
        <v>16740.650000000001</v>
      </c>
      <c r="G971">
        <v>16941.25</v>
      </c>
      <c r="H971">
        <v>0</v>
      </c>
      <c r="I971" s="8">
        <f t="shared" si="61"/>
        <v>1.4382329254747583E-2</v>
      </c>
      <c r="J971" s="8">
        <f t="shared" si="62"/>
        <v>1.4279884650385249E-2</v>
      </c>
      <c r="K971" s="8">
        <f t="shared" si="59"/>
        <v>9.7607987197677826E-2</v>
      </c>
    </row>
    <row r="972" spans="1:11" x14ac:dyDescent="0.25">
      <c r="A972" t="str">
        <f t="shared" si="60"/>
        <v>122020</v>
      </c>
      <c r="B972" s="1">
        <v>44169</v>
      </c>
      <c r="C972" s="10">
        <v>43933.645833333336</v>
      </c>
      <c r="D972">
        <v>17048.099999999999</v>
      </c>
      <c r="E972">
        <v>17102.099999999999</v>
      </c>
      <c r="F972">
        <v>16802.900000000001</v>
      </c>
      <c r="G972">
        <v>16923.55</v>
      </c>
      <c r="H972">
        <v>0</v>
      </c>
      <c r="I972" s="8">
        <f t="shared" si="61"/>
        <v>-1.0447871320002911E-3</v>
      </c>
      <c r="J972" s="8">
        <f t="shared" si="62"/>
        <v>-1.0453333025303223E-3</v>
      </c>
      <c r="K972" s="8">
        <f t="shared" si="59"/>
        <v>0.10204832497094052</v>
      </c>
    </row>
    <row r="973" spans="1:11" x14ac:dyDescent="0.25">
      <c r="A973" t="str">
        <f t="shared" si="60"/>
        <v>122020</v>
      </c>
      <c r="B973" s="1">
        <v>44172</v>
      </c>
      <c r="C973" s="10">
        <v>44024.645833333336</v>
      </c>
      <c r="D973">
        <v>16953.5</v>
      </c>
      <c r="E973">
        <v>17081.7</v>
      </c>
      <c r="F973">
        <v>16940.25</v>
      </c>
      <c r="G973">
        <v>16998.599999999999</v>
      </c>
      <c r="H973">
        <v>0</v>
      </c>
      <c r="I973" s="8">
        <f t="shared" si="61"/>
        <v>4.4346487586823802E-3</v>
      </c>
      <c r="J973" s="8">
        <f t="shared" si="62"/>
        <v>4.4248446782915955E-3</v>
      </c>
      <c r="K973" s="8">
        <f t="shared" si="59"/>
        <v>0.10837905773500367</v>
      </c>
    </row>
    <row r="974" spans="1:11" x14ac:dyDescent="0.25">
      <c r="A974" t="str">
        <f t="shared" si="60"/>
        <v>122020</v>
      </c>
      <c r="B974" s="1">
        <v>44173</v>
      </c>
      <c r="C974" s="10">
        <v>44055.645833333336</v>
      </c>
      <c r="D974">
        <v>17103.349999999999</v>
      </c>
      <c r="E974">
        <v>17176.900000000001</v>
      </c>
      <c r="F974">
        <v>16905</v>
      </c>
      <c r="G974">
        <v>16967.55</v>
      </c>
      <c r="H974">
        <v>0</v>
      </c>
      <c r="I974" s="8">
        <f t="shared" si="61"/>
        <v>-1.8266210158482954E-3</v>
      </c>
      <c r="J974" s="8">
        <f t="shared" si="62"/>
        <v>-1.8282913223372711E-3</v>
      </c>
      <c r="K974" s="8">
        <f t="shared" si="59"/>
        <v>0.10423764386610568</v>
      </c>
    </row>
    <row r="975" spans="1:11" x14ac:dyDescent="0.25">
      <c r="A975" t="str">
        <f t="shared" si="60"/>
        <v>122020</v>
      </c>
      <c r="B975" s="1">
        <v>44174</v>
      </c>
      <c r="C975" s="10">
        <v>44086.645833333336</v>
      </c>
      <c r="D975">
        <v>17088.25</v>
      </c>
      <c r="E975">
        <v>17166.900000000001</v>
      </c>
      <c r="F975">
        <v>17026.8</v>
      </c>
      <c r="G975">
        <v>17087.75</v>
      </c>
      <c r="H975">
        <v>0</v>
      </c>
      <c r="I975" s="8">
        <f t="shared" si="61"/>
        <v>7.0841105522012615E-3</v>
      </c>
      <c r="J975" s="8">
        <f t="shared" si="62"/>
        <v>7.0591361194374362E-3</v>
      </c>
      <c r="K975" s="8">
        <f t="shared" si="59"/>
        <v>6.9451528816094621E-2</v>
      </c>
    </row>
    <row r="976" spans="1:11" x14ac:dyDescent="0.25">
      <c r="A976" t="str">
        <f t="shared" si="60"/>
        <v>122020</v>
      </c>
      <c r="B976" s="1">
        <v>44175</v>
      </c>
      <c r="C976" s="10">
        <v>44116.645833333336</v>
      </c>
      <c r="D976">
        <v>17071.05</v>
      </c>
      <c r="E976">
        <v>17104.8</v>
      </c>
      <c r="F976">
        <v>16785</v>
      </c>
      <c r="G976">
        <v>16931.599999999999</v>
      </c>
      <c r="H976">
        <v>0</v>
      </c>
      <c r="I976" s="8">
        <f t="shared" si="61"/>
        <v>-9.1381252651754341E-3</v>
      </c>
      <c r="J976" s="8">
        <f t="shared" si="62"/>
        <v>-9.1801340487159214E-3</v>
      </c>
      <c r="K976" s="8">
        <f t="shared" si="59"/>
        <v>6.2055035973479278E-2</v>
      </c>
    </row>
    <row r="977" spans="1:11" x14ac:dyDescent="0.25">
      <c r="A977" t="str">
        <f t="shared" si="60"/>
        <v>122020</v>
      </c>
      <c r="B977" s="1">
        <v>44176</v>
      </c>
      <c r="C977" s="10">
        <v>44147.645833333336</v>
      </c>
      <c r="D977">
        <v>16930.95</v>
      </c>
      <c r="E977">
        <v>17400.8</v>
      </c>
      <c r="F977">
        <v>16927.95</v>
      </c>
      <c r="G977">
        <v>17204.05</v>
      </c>
      <c r="H977">
        <v>0</v>
      </c>
      <c r="I977" s="8">
        <f t="shared" si="61"/>
        <v>1.6091214061281889E-2</v>
      </c>
      <c r="J977" s="8">
        <f t="shared" si="62"/>
        <v>1.5963122745892806E-2</v>
      </c>
      <c r="K977" s="8">
        <f t="shared" si="59"/>
        <v>8.6858738466689678E-2</v>
      </c>
    </row>
    <row r="978" spans="1:11" x14ac:dyDescent="0.25">
      <c r="A978" t="str">
        <f t="shared" si="60"/>
        <v>122020</v>
      </c>
      <c r="B978" s="1">
        <v>44179</v>
      </c>
      <c r="C978" t="s">
        <v>616</v>
      </c>
      <c r="D978">
        <v>17298.5</v>
      </c>
      <c r="E978">
        <v>17388.150000000001</v>
      </c>
      <c r="F978">
        <v>17255.05</v>
      </c>
      <c r="G978">
        <v>17351.349999999999</v>
      </c>
      <c r="H978">
        <v>0</v>
      </c>
      <c r="I978" s="8">
        <f t="shared" si="61"/>
        <v>8.5619374507746038E-3</v>
      </c>
      <c r="J978" s="8">
        <f t="shared" si="62"/>
        <v>8.5254919459868284E-3</v>
      </c>
      <c r="K978" s="8">
        <f t="shared" si="59"/>
        <v>9.1375970211213353E-2</v>
      </c>
    </row>
    <row r="979" spans="1:11" x14ac:dyDescent="0.25">
      <c r="A979" t="str">
        <f t="shared" si="60"/>
        <v>122020</v>
      </c>
      <c r="B979" s="1">
        <v>44180</v>
      </c>
      <c r="C979" t="s">
        <v>617</v>
      </c>
      <c r="D979">
        <v>17393</v>
      </c>
      <c r="E979">
        <v>17393</v>
      </c>
      <c r="F979">
        <v>17101.8</v>
      </c>
      <c r="G979">
        <v>17281.349999999999</v>
      </c>
      <c r="H979">
        <v>0</v>
      </c>
      <c r="I979" s="8">
        <f t="shared" si="61"/>
        <v>-4.034268226967952E-3</v>
      </c>
      <c r="J979" s="8">
        <f t="shared" si="62"/>
        <v>-4.0424278398030946E-3</v>
      </c>
      <c r="K979" s="8">
        <f t="shared" si="59"/>
        <v>9.1721443259241253E-2</v>
      </c>
    </row>
    <row r="980" spans="1:11" x14ac:dyDescent="0.25">
      <c r="A980" t="str">
        <f t="shared" si="60"/>
        <v>122020</v>
      </c>
      <c r="B980" s="1">
        <v>44181</v>
      </c>
      <c r="C980" t="s">
        <v>618</v>
      </c>
      <c r="D980">
        <v>17440.599999999999</v>
      </c>
      <c r="E980">
        <v>17456.599999999999</v>
      </c>
      <c r="F980">
        <v>17316.3</v>
      </c>
      <c r="G980">
        <v>17383.150000000001</v>
      </c>
      <c r="H980">
        <v>0</v>
      </c>
      <c r="I980" s="8">
        <f t="shared" si="61"/>
        <v>5.8907434893686883E-3</v>
      </c>
      <c r="J980" s="8">
        <f t="shared" si="62"/>
        <v>5.8734608982670524E-3</v>
      </c>
      <c r="K980" s="8">
        <f t="shared" si="59"/>
        <v>0.10802214367894858</v>
      </c>
    </row>
    <row r="981" spans="1:11" x14ac:dyDescent="0.25">
      <c r="A981" t="str">
        <f t="shared" si="60"/>
        <v>122020</v>
      </c>
      <c r="B981" s="1">
        <v>44182</v>
      </c>
      <c r="C981" t="s">
        <v>619</v>
      </c>
      <c r="D981">
        <v>17454.95</v>
      </c>
      <c r="E981">
        <v>17484.099999999999</v>
      </c>
      <c r="F981">
        <v>17285.2</v>
      </c>
      <c r="G981">
        <v>17323.55</v>
      </c>
      <c r="H981">
        <v>0</v>
      </c>
      <c r="I981" s="8">
        <f t="shared" si="61"/>
        <v>-3.4286075883831479E-3</v>
      </c>
      <c r="J981" s="8">
        <f t="shared" si="62"/>
        <v>-3.4344987328502E-3</v>
      </c>
      <c r="K981" s="8">
        <f t="shared" si="59"/>
        <v>9.801864727991827E-2</v>
      </c>
    </row>
    <row r="982" spans="1:11" x14ac:dyDescent="0.25">
      <c r="A982" t="str">
        <f t="shared" si="60"/>
        <v>122020</v>
      </c>
      <c r="B982" s="1">
        <v>44183</v>
      </c>
      <c r="C982" t="s">
        <v>620</v>
      </c>
      <c r="D982">
        <v>17355.849999999999</v>
      </c>
      <c r="E982">
        <v>17375.55</v>
      </c>
      <c r="F982">
        <v>17098.900000000001</v>
      </c>
      <c r="G982">
        <v>17231.95</v>
      </c>
      <c r="H982">
        <v>0</v>
      </c>
      <c r="I982" s="8">
        <f t="shared" si="61"/>
        <v>-5.287599827979772E-3</v>
      </c>
      <c r="J982" s="8">
        <f t="shared" si="62"/>
        <v>-5.3016286583630525E-3</v>
      </c>
      <c r="K982" s="8">
        <f t="shared" si="59"/>
        <v>0.12141179073687236</v>
      </c>
    </row>
    <row r="983" spans="1:11" x14ac:dyDescent="0.25">
      <c r="A983" t="str">
        <f t="shared" si="60"/>
        <v>122020</v>
      </c>
      <c r="B983" s="1">
        <v>44186</v>
      </c>
      <c r="C983" t="s">
        <v>621</v>
      </c>
      <c r="D983">
        <v>17223.05</v>
      </c>
      <c r="E983">
        <v>17223.05</v>
      </c>
      <c r="F983">
        <v>15989.8</v>
      </c>
      <c r="G983">
        <v>16377.45</v>
      </c>
      <c r="H983">
        <v>0</v>
      </c>
      <c r="I983" s="8">
        <f t="shared" si="61"/>
        <v>-4.9588119742687287E-2</v>
      </c>
      <c r="J983" s="8">
        <f t="shared" si="62"/>
        <v>-5.0859830181142811E-2</v>
      </c>
      <c r="K983" s="8">
        <f t="shared" si="59"/>
        <v>8.7126366587232607E-2</v>
      </c>
    </row>
    <row r="984" spans="1:11" x14ac:dyDescent="0.25">
      <c r="A984" t="str">
        <f t="shared" si="60"/>
        <v>122020</v>
      </c>
      <c r="B984" s="1">
        <v>44187</v>
      </c>
      <c r="C984" t="s">
        <v>622</v>
      </c>
      <c r="D984">
        <v>16320.2</v>
      </c>
      <c r="E984">
        <v>16617.25</v>
      </c>
      <c r="F984">
        <v>16065.1</v>
      </c>
      <c r="G984">
        <v>16569</v>
      </c>
      <c r="H984">
        <v>0</v>
      </c>
      <c r="I984" s="8">
        <f t="shared" si="61"/>
        <v>1.1695959993771821E-2</v>
      </c>
      <c r="J984" s="8">
        <f t="shared" si="62"/>
        <v>1.1628090936938404E-2</v>
      </c>
      <c r="K984" s="8">
        <f t="shared" si="59"/>
        <v>0.10780524985625073</v>
      </c>
    </row>
    <row r="985" spans="1:11" x14ac:dyDescent="0.25">
      <c r="A985" t="str">
        <f t="shared" si="60"/>
        <v>122020</v>
      </c>
      <c r="B985" s="1">
        <v>44188</v>
      </c>
      <c r="C985" t="s">
        <v>623</v>
      </c>
      <c r="D985">
        <v>16590.5</v>
      </c>
      <c r="E985">
        <v>16663.8</v>
      </c>
      <c r="F985">
        <v>16420.599999999999</v>
      </c>
      <c r="G985">
        <v>16628.2</v>
      </c>
      <c r="H985">
        <v>0</v>
      </c>
      <c r="I985" s="8">
        <f t="shared" si="61"/>
        <v>3.5729374132416059E-3</v>
      </c>
      <c r="J985" s="8">
        <f t="shared" si="62"/>
        <v>3.5665696356351599E-3</v>
      </c>
      <c r="K985" s="8">
        <f t="shared" si="59"/>
        <v>0.14295337303973965</v>
      </c>
    </row>
    <row r="986" spans="1:11" x14ac:dyDescent="0.25">
      <c r="A986" t="str">
        <f t="shared" si="60"/>
        <v>122020</v>
      </c>
      <c r="B986" s="1">
        <v>44189</v>
      </c>
      <c r="C986" t="s">
        <v>624</v>
      </c>
      <c r="D986">
        <v>16727.55</v>
      </c>
      <c r="E986">
        <v>16919.900000000001</v>
      </c>
      <c r="F986">
        <v>16706.8</v>
      </c>
      <c r="G986">
        <v>16860.7</v>
      </c>
      <c r="H986">
        <v>0</v>
      </c>
      <c r="I986" s="8">
        <f t="shared" si="61"/>
        <v>1.3982271081656394E-2</v>
      </c>
      <c r="J986" s="8">
        <f t="shared" si="62"/>
        <v>1.3885420875763747E-2</v>
      </c>
      <c r="K986" s="8">
        <f t="shared" si="59"/>
        <v>0.1372156235878137</v>
      </c>
    </row>
    <row r="987" spans="1:11" x14ac:dyDescent="0.25">
      <c r="A987" t="str">
        <f t="shared" si="60"/>
        <v>122020</v>
      </c>
      <c r="B987" s="1">
        <v>44193</v>
      </c>
      <c r="C987" t="s">
        <v>625</v>
      </c>
      <c r="D987">
        <v>16958.650000000001</v>
      </c>
      <c r="E987">
        <v>17057.849999999999</v>
      </c>
      <c r="F987">
        <v>16915.650000000001</v>
      </c>
      <c r="G987">
        <v>17005.5</v>
      </c>
      <c r="H987">
        <v>0</v>
      </c>
      <c r="I987" s="8">
        <f t="shared" si="61"/>
        <v>8.5880182910553771E-3</v>
      </c>
      <c r="J987" s="8">
        <f t="shared" si="62"/>
        <v>8.5513510450666835E-3</v>
      </c>
      <c r="K987" s="8">
        <f t="shared" si="59"/>
        <v>0.11803263599426694</v>
      </c>
    </row>
    <row r="988" spans="1:11" x14ac:dyDescent="0.25">
      <c r="A988" t="str">
        <f t="shared" si="60"/>
        <v>122020</v>
      </c>
      <c r="B988" s="1">
        <v>44194</v>
      </c>
      <c r="C988" t="s">
        <v>626</v>
      </c>
      <c r="D988">
        <v>17055.150000000001</v>
      </c>
      <c r="E988">
        <v>17110.150000000001</v>
      </c>
      <c r="F988">
        <v>16807.45</v>
      </c>
      <c r="G988">
        <v>16899.349999999999</v>
      </c>
      <c r="H988">
        <v>0</v>
      </c>
      <c r="I988" s="8">
        <f t="shared" si="61"/>
        <v>-6.2420981447179891E-3</v>
      </c>
      <c r="J988" s="8">
        <f t="shared" si="62"/>
        <v>-6.2616614927237793E-3</v>
      </c>
      <c r="K988" s="8">
        <f t="shared" si="59"/>
        <v>0.1136236334521683</v>
      </c>
    </row>
    <row r="989" spans="1:11" x14ac:dyDescent="0.25">
      <c r="A989" t="str">
        <f t="shared" si="60"/>
        <v>122020</v>
      </c>
      <c r="B989" s="1">
        <v>44195</v>
      </c>
      <c r="C989" t="s">
        <v>627</v>
      </c>
      <c r="D989">
        <v>16938.2</v>
      </c>
      <c r="E989">
        <v>16976.05</v>
      </c>
      <c r="F989">
        <v>16818.5</v>
      </c>
      <c r="G989">
        <v>16948.75</v>
      </c>
      <c r="H989">
        <v>0</v>
      </c>
      <c r="I989" s="8">
        <f t="shared" si="61"/>
        <v>2.923189353436717E-3</v>
      </c>
      <c r="J989" s="8">
        <f t="shared" si="62"/>
        <v>2.9189251434796185E-3</v>
      </c>
      <c r="K989" s="8">
        <f t="shared" si="59"/>
        <v>0.12789022389773042</v>
      </c>
    </row>
    <row r="990" spans="1:11" x14ac:dyDescent="0.25">
      <c r="A990" t="str">
        <f t="shared" si="60"/>
        <v>122020</v>
      </c>
      <c r="B990" s="1">
        <v>44196</v>
      </c>
      <c r="C990" t="s">
        <v>628</v>
      </c>
      <c r="D990">
        <v>16933.650000000001</v>
      </c>
      <c r="E990">
        <v>17066.8</v>
      </c>
      <c r="F990">
        <v>16892.599999999999</v>
      </c>
      <c r="G990">
        <v>16922.5</v>
      </c>
      <c r="H990">
        <v>0</v>
      </c>
      <c r="I990" s="8">
        <f t="shared" si="61"/>
        <v>-1.5487867836860847E-3</v>
      </c>
      <c r="J990" s="8">
        <f t="shared" si="62"/>
        <v>-1.5499873937562139E-3</v>
      </c>
      <c r="K990" s="8">
        <f t="shared" si="59"/>
        <v>0.12444101875784885</v>
      </c>
    </row>
    <row r="991" spans="1:11" x14ac:dyDescent="0.25">
      <c r="A991" t="str">
        <f t="shared" si="60"/>
        <v>12021</v>
      </c>
      <c r="B991" s="1">
        <v>44197</v>
      </c>
      <c r="C991" s="10">
        <v>44197.645833333336</v>
      </c>
      <c r="D991">
        <v>17002.400000000001</v>
      </c>
      <c r="E991">
        <v>17011.349999999999</v>
      </c>
      <c r="F991">
        <v>16922.3</v>
      </c>
      <c r="G991">
        <v>16976.2</v>
      </c>
      <c r="H991">
        <v>0</v>
      </c>
      <c r="I991" s="8">
        <f t="shared" si="61"/>
        <v>3.1732899985226215E-3</v>
      </c>
      <c r="J991" s="8">
        <f t="shared" si="62"/>
        <v>3.1682657399622373E-3</v>
      </c>
      <c r="K991" s="8">
        <f t="shared" si="59"/>
        <v>0.13181834849540475</v>
      </c>
    </row>
    <row r="992" spans="1:11" x14ac:dyDescent="0.25">
      <c r="A992" t="str">
        <f t="shared" si="60"/>
        <v>12021</v>
      </c>
      <c r="B992" s="1">
        <v>44200</v>
      </c>
      <c r="C992" s="10">
        <v>44287.645833333336</v>
      </c>
      <c r="D992">
        <v>17096.150000000001</v>
      </c>
      <c r="E992">
        <v>17193.95</v>
      </c>
      <c r="F992">
        <v>16969.3</v>
      </c>
      <c r="G992">
        <v>17176.150000000001</v>
      </c>
      <c r="H992">
        <v>0</v>
      </c>
      <c r="I992" s="8">
        <f t="shared" si="61"/>
        <v>1.1778254261848975E-2</v>
      </c>
      <c r="J992" s="8">
        <f t="shared" si="62"/>
        <v>1.1709430513734347E-2</v>
      </c>
      <c r="K992" s="8">
        <f t="shared" si="59"/>
        <v>0.14761672501804002</v>
      </c>
    </row>
    <row r="993" spans="1:11" x14ac:dyDescent="0.25">
      <c r="A993" t="str">
        <f t="shared" si="60"/>
        <v>12021</v>
      </c>
      <c r="B993" s="1">
        <v>44201</v>
      </c>
      <c r="C993" s="10">
        <v>44317.645833333336</v>
      </c>
      <c r="D993">
        <v>17058.8</v>
      </c>
      <c r="E993">
        <v>17087.849999999999</v>
      </c>
      <c r="F993">
        <v>16926.25</v>
      </c>
      <c r="G993">
        <v>17070.55</v>
      </c>
      <c r="H993">
        <v>0</v>
      </c>
      <c r="I993" s="8">
        <f t="shared" si="61"/>
        <v>-6.148059955228713E-3</v>
      </c>
      <c r="J993" s="8">
        <f t="shared" si="62"/>
        <v>-6.1670370975562185E-3</v>
      </c>
      <c r="K993" s="8">
        <f t="shared" si="59"/>
        <v>0.14456833664109858</v>
      </c>
    </row>
    <row r="994" spans="1:11" x14ac:dyDescent="0.25">
      <c r="A994" t="str">
        <f t="shared" si="60"/>
        <v>12021</v>
      </c>
      <c r="B994" s="1">
        <v>44202</v>
      </c>
      <c r="C994" s="10">
        <v>44348.645833333336</v>
      </c>
      <c r="D994">
        <v>17168.400000000001</v>
      </c>
      <c r="E994">
        <v>17272.349999999999</v>
      </c>
      <c r="F994">
        <v>16952.7</v>
      </c>
      <c r="G994">
        <v>17097.849999999999</v>
      </c>
      <c r="H994">
        <v>0</v>
      </c>
      <c r="I994" s="8">
        <f t="shared" si="61"/>
        <v>1.5992454841817771E-3</v>
      </c>
      <c r="J994" s="8">
        <f t="shared" si="62"/>
        <v>1.5979680528919005E-3</v>
      </c>
      <c r="K994" s="8">
        <f t="shared" si="59"/>
        <v>0.15681166970565252</v>
      </c>
    </row>
    <row r="995" spans="1:11" x14ac:dyDescent="0.25">
      <c r="A995" t="str">
        <f t="shared" si="60"/>
        <v>12021</v>
      </c>
      <c r="B995" s="1">
        <v>44203</v>
      </c>
      <c r="C995" s="10">
        <v>44378.645833333336</v>
      </c>
      <c r="D995">
        <v>17206.400000000001</v>
      </c>
      <c r="E995">
        <v>17283.7</v>
      </c>
      <c r="F995">
        <v>16998.150000000001</v>
      </c>
      <c r="G995">
        <v>17042.75</v>
      </c>
      <c r="H995">
        <v>0</v>
      </c>
      <c r="I995" s="8">
        <f t="shared" si="61"/>
        <v>-3.2226274063696936E-3</v>
      </c>
      <c r="J995" s="8">
        <f t="shared" si="62"/>
        <v>-3.227831253116863E-3</v>
      </c>
      <c r="K995" s="8">
        <f t="shared" si="59"/>
        <v>0.14891329261551323</v>
      </c>
    </row>
    <row r="996" spans="1:11" x14ac:dyDescent="0.25">
      <c r="A996" t="str">
        <f t="shared" si="60"/>
        <v>12021</v>
      </c>
      <c r="B996" s="1">
        <v>44204</v>
      </c>
      <c r="C996" s="10">
        <v>44409.645833333336</v>
      </c>
      <c r="D996">
        <v>17166.8</v>
      </c>
      <c r="E996">
        <v>17273.349999999999</v>
      </c>
      <c r="F996">
        <v>17126.5</v>
      </c>
      <c r="G996">
        <v>17255.150000000001</v>
      </c>
      <c r="H996">
        <v>0</v>
      </c>
      <c r="I996" s="8">
        <f t="shared" si="61"/>
        <v>1.2462777427351801E-2</v>
      </c>
      <c r="J996" s="8">
        <f t="shared" si="62"/>
        <v>1.2385756288065959E-2</v>
      </c>
      <c r="K996" s="8">
        <f t="shared" si="59"/>
        <v>0.16947596003958099</v>
      </c>
    </row>
    <row r="997" spans="1:11" x14ac:dyDescent="0.25">
      <c r="A997" t="str">
        <f t="shared" si="60"/>
        <v>12021</v>
      </c>
      <c r="B997" s="1">
        <v>44207</v>
      </c>
      <c r="C997" s="10">
        <v>44501.645833333336</v>
      </c>
      <c r="D997">
        <v>17336.5</v>
      </c>
      <c r="E997">
        <v>17345.3</v>
      </c>
      <c r="F997">
        <v>17051.349999999999</v>
      </c>
      <c r="G997">
        <v>17108.55</v>
      </c>
      <c r="H997">
        <v>0</v>
      </c>
      <c r="I997" s="8">
        <f t="shared" si="61"/>
        <v>-8.4960142334319366E-3</v>
      </c>
      <c r="J997" s="8">
        <f t="shared" si="62"/>
        <v>-8.5323110943420349E-3</v>
      </c>
      <c r="K997" s="8">
        <f t="shared" si="59"/>
        <v>0.14730467846257511</v>
      </c>
    </row>
    <row r="998" spans="1:11" x14ac:dyDescent="0.25">
      <c r="A998" t="str">
        <f t="shared" si="60"/>
        <v>12021</v>
      </c>
      <c r="B998" s="1">
        <v>44208</v>
      </c>
      <c r="C998" s="10">
        <v>44531.645833333336</v>
      </c>
      <c r="D998">
        <v>17140.3</v>
      </c>
      <c r="E998">
        <v>17376.900000000001</v>
      </c>
      <c r="F998">
        <v>17092.3</v>
      </c>
      <c r="G998">
        <v>17329.599999999999</v>
      </c>
      <c r="H998">
        <v>0</v>
      </c>
      <c r="I998" s="8">
        <f t="shared" si="61"/>
        <v>1.2920440364613039E-2</v>
      </c>
      <c r="J998" s="8">
        <f t="shared" si="62"/>
        <v>1.2837683549070453E-2</v>
      </c>
      <c r="K998" s="8">
        <f t="shared" si="59"/>
        <v>0.17449000338868181</v>
      </c>
    </row>
    <row r="999" spans="1:11" x14ac:dyDescent="0.25">
      <c r="A999" t="str">
        <f t="shared" si="60"/>
        <v>12021</v>
      </c>
      <c r="B999" s="1">
        <v>44209</v>
      </c>
      <c r="C999" t="s">
        <v>629</v>
      </c>
      <c r="D999">
        <v>17425.400000000001</v>
      </c>
      <c r="E999">
        <v>17615.45</v>
      </c>
      <c r="F999">
        <v>17229.05</v>
      </c>
      <c r="G999">
        <v>17430.150000000001</v>
      </c>
      <c r="H999">
        <v>0</v>
      </c>
      <c r="I999" s="8">
        <f t="shared" si="61"/>
        <v>5.8022112454991781E-3</v>
      </c>
      <c r="J999" s="8">
        <f t="shared" si="62"/>
        <v>5.785443247543277E-3</v>
      </c>
      <c r="K999" s="8">
        <f t="shared" si="59"/>
        <v>0.20538789228364762</v>
      </c>
    </row>
    <row r="1000" spans="1:11" x14ac:dyDescent="0.25">
      <c r="A1000" t="str">
        <f t="shared" si="60"/>
        <v>12021</v>
      </c>
      <c r="B1000" s="1">
        <v>44210</v>
      </c>
      <c r="C1000" t="s">
        <v>630</v>
      </c>
      <c r="D1000">
        <v>17531.7</v>
      </c>
      <c r="E1000">
        <v>17694.95</v>
      </c>
      <c r="F1000">
        <v>17463</v>
      </c>
      <c r="G1000">
        <v>17669.400000000001</v>
      </c>
      <c r="H1000">
        <v>0</v>
      </c>
      <c r="I1000" s="8">
        <f t="shared" si="61"/>
        <v>1.3726215781275641E-2</v>
      </c>
      <c r="J1000" s="8">
        <f t="shared" si="62"/>
        <v>1.3632864550827779E-2</v>
      </c>
      <c r="K1000" s="8">
        <f t="shared" si="59"/>
        <v>0.21334519023110676</v>
      </c>
    </row>
    <row r="1001" spans="1:11" x14ac:dyDescent="0.25">
      <c r="A1001" t="str">
        <f t="shared" si="60"/>
        <v>12021</v>
      </c>
      <c r="B1001" s="1">
        <v>44211</v>
      </c>
      <c r="C1001" t="s">
        <v>631</v>
      </c>
      <c r="D1001">
        <v>17771.099999999999</v>
      </c>
      <c r="E1001">
        <v>17811.95</v>
      </c>
      <c r="F1001">
        <v>17266.7</v>
      </c>
      <c r="G1001">
        <v>17341.05</v>
      </c>
      <c r="H1001">
        <v>0</v>
      </c>
      <c r="I1001" s="8">
        <f t="shared" si="61"/>
        <v>-1.8582973954973103E-2</v>
      </c>
      <c r="J1001" s="8">
        <f t="shared" si="62"/>
        <v>-1.8757806745390009E-2</v>
      </c>
      <c r="K1001" s="8">
        <f t="shared" si="59"/>
        <v>0.17620266901802517</v>
      </c>
    </row>
    <row r="1002" spans="1:11" x14ac:dyDescent="0.25">
      <c r="A1002" t="str">
        <f t="shared" si="60"/>
        <v>12021</v>
      </c>
      <c r="B1002" s="1">
        <v>44214</v>
      </c>
      <c r="C1002" t="s">
        <v>632</v>
      </c>
      <c r="D1002">
        <v>17371.2</v>
      </c>
      <c r="E1002">
        <v>17400.25</v>
      </c>
      <c r="F1002">
        <v>16933.3</v>
      </c>
      <c r="G1002">
        <v>17200.75</v>
      </c>
      <c r="H1002">
        <v>0</v>
      </c>
      <c r="I1002" s="8">
        <f t="shared" si="61"/>
        <v>-8.0906288834874385E-3</v>
      </c>
      <c r="J1002" s="8">
        <f t="shared" si="62"/>
        <v>-8.1235356324015542E-3</v>
      </c>
      <c r="K1002" s="8">
        <f t="shared" si="59"/>
        <v>0.18387861643661196</v>
      </c>
    </row>
    <row r="1003" spans="1:11" x14ac:dyDescent="0.25">
      <c r="A1003" t="str">
        <f t="shared" si="60"/>
        <v>12021</v>
      </c>
      <c r="B1003" s="1">
        <v>44215</v>
      </c>
      <c r="C1003" t="s">
        <v>633</v>
      </c>
      <c r="D1003">
        <v>17346.25</v>
      </c>
      <c r="E1003">
        <v>17552.349999999999</v>
      </c>
      <c r="F1003">
        <v>17334.55</v>
      </c>
      <c r="G1003">
        <v>17518.55</v>
      </c>
      <c r="H1003">
        <v>0</v>
      </c>
      <c r="I1003" s="8">
        <f t="shared" si="61"/>
        <v>1.8475938549191051E-2</v>
      </c>
      <c r="J1003" s="8">
        <f t="shared" si="62"/>
        <v>1.8307332006243255E-2</v>
      </c>
      <c r="K1003" s="8">
        <f t="shared" si="59"/>
        <v>0.19633217355081256</v>
      </c>
    </row>
    <row r="1004" spans="1:11" x14ac:dyDescent="0.25">
      <c r="A1004" t="str">
        <f t="shared" si="60"/>
        <v>12021</v>
      </c>
      <c r="B1004" s="1">
        <v>44216</v>
      </c>
      <c r="C1004" t="s">
        <v>634</v>
      </c>
      <c r="D1004">
        <v>17565.05</v>
      </c>
      <c r="E1004">
        <v>17634.2</v>
      </c>
      <c r="F1004">
        <v>17394.650000000001</v>
      </c>
      <c r="G1004">
        <v>17596.3</v>
      </c>
      <c r="H1004">
        <v>0</v>
      </c>
      <c r="I1004" s="8">
        <f t="shared" si="61"/>
        <v>4.4381527009940136E-3</v>
      </c>
      <c r="J1004" s="8">
        <f t="shared" si="62"/>
        <v>4.428333144369777E-3</v>
      </c>
      <c r="K1004" s="8">
        <f t="shared" si="59"/>
        <v>0.18978731460601983</v>
      </c>
    </row>
    <row r="1005" spans="1:11" x14ac:dyDescent="0.25">
      <c r="A1005" t="str">
        <f t="shared" si="60"/>
        <v>12021</v>
      </c>
      <c r="B1005" s="1">
        <v>44217</v>
      </c>
      <c r="C1005" t="s">
        <v>635</v>
      </c>
      <c r="D1005">
        <v>17710.45</v>
      </c>
      <c r="E1005">
        <v>17835.650000000001</v>
      </c>
      <c r="F1005">
        <v>17480.05</v>
      </c>
      <c r="G1005">
        <v>17564.150000000001</v>
      </c>
      <c r="H1005">
        <v>0</v>
      </c>
      <c r="I1005" s="8">
        <f t="shared" si="61"/>
        <v>-1.8270886493182426E-3</v>
      </c>
      <c r="J1005" s="8">
        <f t="shared" si="62"/>
        <v>-1.8287598116692183E-3</v>
      </c>
      <c r="K1005" s="8">
        <f t="shared" si="59"/>
        <v>0.17866753457659201</v>
      </c>
    </row>
    <row r="1006" spans="1:11" x14ac:dyDescent="0.25">
      <c r="A1006" t="str">
        <f t="shared" si="60"/>
        <v>12021</v>
      </c>
      <c r="B1006" s="1">
        <v>44218</v>
      </c>
      <c r="C1006" t="s">
        <v>636</v>
      </c>
      <c r="D1006">
        <v>17596.349999999999</v>
      </c>
      <c r="E1006">
        <v>17631.900000000001</v>
      </c>
      <c r="F1006">
        <v>17172.900000000001</v>
      </c>
      <c r="G1006">
        <v>17259.8</v>
      </c>
      <c r="H1006">
        <v>0</v>
      </c>
      <c r="I1006" s="8">
        <f t="shared" si="61"/>
        <v>-1.7327909406376185E-2</v>
      </c>
      <c r="J1006" s="8">
        <f t="shared" si="62"/>
        <v>-1.7479794756228222E-2</v>
      </c>
      <c r="K1006" s="8">
        <f t="shared" si="59"/>
        <v>0.1810900232320225</v>
      </c>
    </row>
    <row r="1007" spans="1:11" x14ac:dyDescent="0.25">
      <c r="A1007" t="str">
        <f t="shared" si="60"/>
        <v>12021</v>
      </c>
      <c r="B1007" s="1">
        <v>44221</v>
      </c>
      <c r="C1007" t="s">
        <v>637</v>
      </c>
      <c r="D1007">
        <v>17327.95</v>
      </c>
      <c r="E1007">
        <v>17340.7</v>
      </c>
      <c r="F1007">
        <v>16730.7</v>
      </c>
      <c r="G1007">
        <v>16772.3</v>
      </c>
      <c r="H1007">
        <v>0</v>
      </c>
      <c r="I1007" s="8">
        <f t="shared" si="61"/>
        <v>-2.8244823230860194E-2</v>
      </c>
      <c r="J1007" s="8">
        <f t="shared" si="62"/>
        <v>-2.8651381999636412E-2</v>
      </c>
      <c r="K1007" s="8">
        <f t="shared" si="59"/>
        <v>0.13693165449338229</v>
      </c>
    </row>
    <row r="1008" spans="1:11" x14ac:dyDescent="0.25">
      <c r="A1008" t="str">
        <f t="shared" si="60"/>
        <v>12021</v>
      </c>
      <c r="B1008" s="1">
        <v>44223</v>
      </c>
      <c r="C1008" t="s">
        <v>638</v>
      </c>
      <c r="D1008">
        <v>16695.5</v>
      </c>
      <c r="E1008">
        <v>16706.75</v>
      </c>
      <c r="F1008">
        <v>16439.45</v>
      </c>
      <c r="G1008">
        <v>16482.900000000001</v>
      </c>
      <c r="H1008">
        <v>0</v>
      </c>
      <c r="I1008" s="8">
        <f t="shared" si="61"/>
        <v>-1.7254640091102447E-2</v>
      </c>
      <c r="J1008" s="8">
        <f t="shared" si="62"/>
        <v>-1.7405236228940347E-2</v>
      </c>
      <c r="K1008" s="8">
        <f t="shared" si="59"/>
        <v>0.12217505710307841</v>
      </c>
    </row>
    <row r="1009" spans="1:11" x14ac:dyDescent="0.25">
      <c r="A1009" t="str">
        <f t="shared" si="60"/>
        <v>12021</v>
      </c>
      <c r="B1009" s="1">
        <v>44224</v>
      </c>
      <c r="C1009" t="s">
        <v>639</v>
      </c>
      <c r="D1009">
        <v>16340.25</v>
      </c>
      <c r="E1009">
        <v>16585</v>
      </c>
      <c r="F1009">
        <v>16334.15</v>
      </c>
      <c r="G1009">
        <v>16459.75</v>
      </c>
      <c r="H1009">
        <v>0</v>
      </c>
      <c r="I1009" s="8">
        <f t="shared" si="61"/>
        <v>-1.4044858611046429E-3</v>
      </c>
      <c r="J1009" s="8">
        <f t="shared" si="62"/>
        <v>-1.4054730758326838E-3</v>
      </c>
      <c r="K1009" s="8">
        <f t="shared" si="59"/>
        <v>0.11802623937400458</v>
      </c>
    </row>
    <row r="1010" spans="1:11" x14ac:dyDescent="0.25">
      <c r="A1010" t="str">
        <f t="shared" si="60"/>
        <v>12021</v>
      </c>
      <c r="B1010" s="1">
        <v>44225</v>
      </c>
      <c r="C1010" t="s">
        <v>640</v>
      </c>
      <c r="D1010">
        <v>16586.400000000001</v>
      </c>
      <c r="E1010">
        <v>16696.5</v>
      </c>
      <c r="F1010">
        <v>16104.6</v>
      </c>
      <c r="G1010">
        <v>16159.2</v>
      </c>
      <c r="H1010">
        <v>0</v>
      </c>
      <c r="I1010" s="8">
        <f t="shared" si="61"/>
        <v>-1.8259694102279789E-2</v>
      </c>
      <c r="J1010" s="8">
        <f t="shared" si="62"/>
        <v>-1.8428459881177594E-2</v>
      </c>
      <c r="K1010" s="8">
        <f t="shared" si="59"/>
        <v>7.8876737571606181E-2</v>
      </c>
    </row>
    <row r="1011" spans="1:11" x14ac:dyDescent="0.25">
      <c r="A1011" t="str">
        <f t="shared" si="60"/>
        <v>22021</v>
      </c>
      <c r="B1011" s="1">
        <v>44228</v>
      </c>
      <c r="C1011" s="10">
        <v>44198.645833333336</v>
      </c>
      <c r="D1011">
        <v>16294.4</v>
      </c>
      <c r="E1011">
        <v>16643.8</v>
      </c>
      <c r="F1011">
        <v>16202.8</v>
      </c>
      <c r="G1011">
        <v>16587.55</v>
      </c>
      <c r="H1011">
        <v>0</v>
      </c>
      <c r="I1011" s="8">
        <f t="shared" si="61"/>
        <v>2.6508119213822345E-2</v>
      </c>
      <c r="J1011" s="8">
        <f t="shared" si="62"/>
        <v>2.6162867054749517E-2</v>
      </c>
      <c r="K1011" s="8">
        <f t="shared" si="59"/>
        <v>0.1356590739485557</v>
      </c>
    </row>
    <row r="1012" spans="1:11" x14ac:dyDescent="0.25">
      <c r="A1012" t="str">
        <f t="shared" si="60"/>
        <v>22021</v>
      </c>
      <c r="B1012" s="1">
        <v>44229</v>
      </c>
      <c r="C1012" s="10">
        <v>44229.645833333336</v>
      </c>
      <c r="D1012">
        <v>16779.599999999999</v>
      </c>
      <c r="E1012">
        <v>17034.650000000001</v>
      </c>
      <c r="F1012">
        <v>16618.400000000001</v>
      </c>
      <c r="G1012">
        <v>16950.5</v>
      </c>
      <c r="H1012">
        <v>0</v>
      </c>
      <c r="I1012" s="8">
        <f t="shared" si="61"/>
        <v>2.1880868482687443E-2</v>
      </c>
      <c r="J1012" s="8">
        <f t="shared" si="62"/>
        <v>2.1644917944666803E-2</v>
      </c>
      <c r="K1012" s="8">
        <f t="shared" si="59"/>
        <v>0.16671083288306732</v>
      </c>
    </row>
    <row r="1013" spans="1:11" x14ac:dyDescent="0.25">
      <c r="A1013" t="str">
        <f t="shared" si="60"/>
        <v>22021</v>
      </c>
      <c r="B1013" s="1">
        <v>44230</v>
      </c>
      <c r="C1013" s="10">
        <v>44257.645833333336</v>
      </c>
      <c r="D1013">
        <v>17040.650000000001</v>
      </c>
      <c r="E1013">
        <v>17317.150000000001</v>
      </c>
      <c r="F1013">
        <v>16927.25</v>
      </c>
      <c r="G1013">
        <v>17221.5</v>
      </c>
      <c r="H1013">
        <v>0</v>
      </c>
      <c r="I1013" s="8">
        <f t="shared" si="61"/>
        <v>1.5987728975546345E-2</v>
      </c>
      <c r="J1013" s="8">
        <f t="shared" si="62"/>
        <v>1.5861271303379106E-2</v>
      </c>
      <c r="K1013" s="8">
        <f t="shared" si="59"/>
        <v>0.17725672488635191</v>
      </c>
    </row>
    <row r="1014" spans="1:11" x14ac:dyDescent="0.25">
      <c r="A1014" t="str">
        <f t="shared" si="60"/>
        <v>22021</v>
      </c>
      <c r="B1014" s="1">
        <v>44231</v>
      </c>
      <c r="C1014" s="10">
        <v>44288.645833333336</v>
      </c>
      <c r="D1014">
        <v>17274.25</v>
      </c>
      <c r="E1014">
        <v>17524.849999999999</v>
      </c>
      <c r="F1014">
        <v>17213.5</v>
      </c>
      <c r="G1014">
        <v>17462.95</v>
      </c>
      <c r="H1014">
        <v>0</v>
      </c>
      <c r="I1014" s="8">
        <f t="shared" si="61"/>
        <v>1.40202653659669E-2</v>
      </c>
      <c r="J1014" s="8">
        <f t="shared" si="62"/>
        <v>1.3922890537297311E-2</v>
      </c>
      <c r="K1014" s="8">
        <f t="shared" si="59"/>
        <v>0.16261937970819584</v>
      </c>
    </row>
    <row r="1015" spans="1:11" x14ac:dyDescent="0.25">
      <c r="A1015" t="str">
        <f t="shared" si="60"/>
        <v>22021</v>
      </c>
      <c r="B1015" s="1">
        <v>44232</v>
      </c>
      <c r="C1015" s="10">
        <v>44318.645833333336</v>
      </c>
      <c r="D1015">
        <v>17614.849999999999</v>
      </c>
      <c r="E1015">
        <v>17644.45</v>
      </c>
      <c r="F1015">
        <v>17321.150000000001</v>
      </c>
      <c r="G1015">
        <v>17415.5</v>
      </c>
      <c r="H1015">
        <v>0</v>
      </c>
      <c r="I1015" s="8">
        <f t="shared" si="61"/>
        <v>-2.7171812322660527E-3</v>
      </c>
      <c r="J1015" s="8">
        <f t="shared" si="62"/>
        <v>-2.7208794698975764E-3</v>
      </c>
      <c r="K1015" s="8">
        <f t="shared" si="59"/>
        <v>0.14720945934818763</v>
      </c>
    </row>
    <row r="1016" spans="1:11" x14ac:dyDescent="0.25">
      <c r="A1016" t="str">
        <f t="shared" si="60"/>
        <v>22021</v>
      </c>
      <c r="B1016" s="1">
        <v>44235</v>
      </c>
      <c r="C1016" s="10">
        <v>44410.645833333336</v>
      </c>
      <c r="D1016">
        <v>17441.5</v>
      </c>
      <c r="E1016">
        <v>17718.349999999999</v>
      </c>
      <c r="F1016">
        <v>17422.599999999999</v>
      </c>
      <c r="G1016">
        <v>17664.05</v>
      </c>
      <c r="H1016">
        <v>0</v>
      </c>
      <c r="I1016" s="8">
        <f t="shared" si="61"/>
        <v>1.4271769400820977E-2</v>
      </c>
      <c r="J1016" s="8">
        <f t="shared" si="62"/>
        <v>1.4170886419381416E-2</v>
      </c>
      <c r="K1016" s="8">
        <f t="shared" si="59"/>
        <v>0.14024142271568274</v>
      </c>
    </row>
    <row r="1017" spans="1:11" x14ac:dyDescent="0.25">
      <c r="A1017" t="str">
        <f t="shared" si="60"/>
        <v>22021</v>
      </c>
      <c r="B1017" s="1">
        <v>44236</v>
      </c>
      <c r="C1017" s="10">
        <v>44441.645833333336</v>
      </c>
      <c r="D1017">
        <v>17751.8</v>
      </c>
      <c r="E1017">
        <v>17913.55</v>
      </c>
      <c r="F1017">
        <v>17604.900000000001</v>
      </c>
      <c r="G1017">
        <v>17685.400000000001</v>
      </c>
      <c r="H1017">
        <v>0</v>
      </c>
      <c r="I1017" s="8">
        <f t="shared" si="61"/>
        <v>1.2086695859669927E-3</v>
      </c>
      <c r="J1017" s="8">
        <f t="shared" si="62"/>
        <v>1.2079397329245582E-3</v>
      </c>
      <c r="K1017" s="8">
        <f t="shared" si="59"/>
        <v>0.12552305249458273</v>
      </c>
    </row>
    <row r="1018" spans="1:11" x14ac:dyDescent="0.25">
      <c r="A1018" t="str">
        <f t="shared" si="60"/>
        <v>22021</v>
      </c>
      <c r="B1018" s="1">
        <v>44237</v>
      </c>
      <c r="C1018" s="10">
        <v>44471.645833333336</v>
      </c>
      <c r="D1018">
        <v>17709.3</v>
      </c>
      <c r="E1018">
        <v>17790.900000000001</v>
      </c>
      <c r="F1018">
        <v>17502.650000000001</v>
      </c>
      <c r="G1018">
        <v>17706.400000000001</v>
      </c>
      <c r="H1018">
        <v>0</v>
      </c>
      <c r="I1018" s="8">
        <f t="shared" si="61"/>
        <v>1.1874201318602395E-3</v>
      </c>
      <c r="J1018" s="8">
        <f t="shared" si="62"/>
        <v>1.1867157061531662E-3</v>
      </c>
      <c r="K1018" s="8">
        <f t="shared" si="59"/>
        <v>0.12253741231365178</v>
      </c>
    </row>
    <row r="1019" spans="1:11" x14ac:dyDescent="0.25">
      <c r="A1019" t="str">
        <f t="shared" si="60"/>
        <v>22021</v>
      </c>
      <c r="B1019" s="1">
        <v>44238</v>
      </c>
      <c r="C1019" s="10">
        <v>44502.645833333336</v>
      </c>
      <c r="D1019">
        <v>17661</v>
      </c>
      <c r="E1019">
        <v>17969.849999999999</v>
      </c>
      <c r="F1019">
        <v>17621.900000000001</v>
      </c>
      <c r="G1019">
        <v>17945.900000000001</v>
      </c>
      <c r="H1019">
        <v>0</v>
      </c>
      <c r="I1019" s="8">
        <f t="shared" si="61"/>
        <v>1.3526182623232241E-2</v>
      </c>
      <c r="J1019" s="8">
        <f t="shared" si="62"/>
        <v>1.3435520442269797E-2</v>
      </c>
      <c r="K1019" s="8">
        <f t="shared" si="59"/>
        <v>0.13991437573047416</v>
      </c>
    </row>
    <row r="1020" spans="1:11" x14ac:dyDescent="0.25">
      <c r="A1020" t="str">
        <f t="shared" si="60"/>
        <v>22021</v>
      </c>
      <c r="B1020" s="1">
        <v>44239</v>
      </c>
      <c r="C1020" s="10">
        <v>44532.645833333336</v>
      </c>
      <c r="D1020">
        <v>17997.7</v>
      </c>
      <c r="E1020">
        <v>18041.25</v>
      </c>
      <c r="F1020">
        <v>17625.099999999999</v>
      </c>
      <c r="G1020">
        <v>17753.05</v>
      </c>
      <c r="H1020">
        <v>0</v>
      </c>
      <c r="I1020" s="8">
        <f t="shared" si="61"/>
        <v>-1.0746187151382869E-2</v>
      </c>
      <c r="J1020" s="8">
        <f t="shared" si="62"/>
        <v>-1.080434444188086E-2</v>
      </c>
      <c r="K1020" s="8">
        <f t="shared" si="59"/>
        <v>0.11870756336940924</v>
      </c>
    </row>
    <row r="1021" spans="1:11" x14ac:dyDescent="0.25">
      <c r="A1021" t="str">
        <f t="shared" si="60"/>
        <v>22021</v>
      </c>
      <c r="B1021" s="1">
        <v>44242</v>
      </c>
      <c r="C1021" t="s">
        <v>641</v>
      </c>
      <c r="D1021">
        <v>17829</v>
      </c>
      <c r="E1021">
        <v>17867.8</v>
      </c>
      <c r="F1021">
        <v>17676.25</v>
      </c>
      <c r="G1021">
        <v>17714.55</v>
      </c>
      <c r="H1021">
        <v>0</v>
      </c>
      <c r="I1021" s="8">
        <f t="shared" si="61"/>
        <v>-2.1686414447095181E-3</v>
      </c>
      <c r="J1021" s="8">
        <f t="shared" si="62"/>
        <v>-2.1709963528175869E-3</v>
      </c>
      <c r="K1021" s="8">
        <f t="shared" si="59"/>
        <v>0.1123526715352301</v>
      </c>
    </row>
    <row r="1022" spans="1:11" x14ac:dyDescent="0.25">
      <c r="A1022" t="str">
        <f t="shared" si="60"/>
        <v>22021</v>
      </c>
      <c r="B1022" s="1">
        <v>44243</v>
      </c>
      <c r="C1022" t="s">
        <v>642</v>
      </c>
      <c r="D1022">
        <v>17749.849999999999</v>
      </c>
      <c r="E1022">
        <v>18235.849999999999</v>
      </c>
      <c r="F1022">
        <v>17734.599999999999</v>
      </c>
      <c r="G1022">
        <v>18129.3</v>
      </c>
      <c r="H1022">
        <v>0</v>
      </c>
      <c r="I1022" s="8">
        <f t="shared" si="61"/>
        <v>2.3412957145397373E-2</v>
      </c>
      <c r="J1022" s="8">
        <f t="shared" si="62"/>
        <v>2.3143078189493065E-2</v>
      </c>
      <c r="K1022" s="8">
        <f t="shared" si="59"/>
        <v>0.13941210852800867</v>
      </c>
    </row>
    <row r="1023" spans="1:11" x14ac:dyDescent="0.25">
      <c r="A1023" t="str">
        <f t="shared" si="60"/>
        <v>22021</v>
      </c>
      <c r="B1023" s="1">
        <v>44244</v>
      </c>
      <c r="C1023" t="s">
        <v>643</v>
      </c>
      <c r="D1023">
        <v>18066.650000000001</v>
      </c>
      <c r="E1023">
        <v>18347.7</v>
      </c>
      <c r="F1023">
        <v>17988.75</v>
      </c>
      <c r="G1023">
        <v>18305.45</v>
      </c>
      <c r="H1023">
        <v>0</v>
      </c>
      <c r="I1023" s="8">
        <f t="shared" si="61"/>
        <v>9.7163155775459309E-3</v>
      </c>
      <c r="J1023" s="8">
        <f t="shared" si="62"/>
        <v>9.6694157344143997E-3</v>
      </c>
      <c r="K1023" s="8">
        <f t="shared" si="59"/>
        <v>0.1475655970736387</v>
      </c>
    </row>
    <row r="1024" spans="1:11" x14ac:dyDescent="0.25">
      <c r="A1024" t="str">
        <f t="shared" si="60"/>
        <v>22021</v>
      </c>
      <c r="B1024" s="1">
        <v>44245</v>
      </c>
      <c r="C1024" t="s">
        <v>644</v>
      </c>
      <c r="D1024">
        <v>18404.55</v>
      </c>
      <c r="E1024">
        <v>18893.55</v>
      </c>
      <c r="F1024">
        <v>18389.5</v>
      </c>
      <c r="G1024">
        <v>18770.650000000001</v>
      </c>
      <c r="H1024">
        <v>0</v>
      </c>
      <c r="I1024" s="8">
        <f t="shared" si="61"/>
        <v>2.5413196616308253E-2</v>
      </c>
      <c r="J1024" s="8">
        <f t="shared" si="62"/>
        <v>2.5095650009934939E-2</v>
      </c>
      <c r="K1024" s="8">
        <f t="shared" ref="K1024:K1087" si="63">+G1024/G963-1</f>
        <v>0.17612431272419693</v>
      </c>
    </row>
    <row r="1025" spans="1:11" x14ac:dyDescent="0.25">
      <c r="A1025" t="str">
        <f t="shared" si="60"/>
        <v>22021</v>
      </c>
      <c r="B1025" s="1">
        <v>44246</v>
      </c>
      <c r="C1025" t="s">
        <v>645</v>
      </c>
      <c r="D1025">
        <v>18747.400000000001</v>
      </c>
      <c r="E1025">
        <v>19035.55</v>
      </c>
      <c r="F1025">
        <v>18479.849999999999</v>
      </c>
      <c r="G1025">
        <v>18681.5</v>
      </c>
      <c r="H1025">
        <v>0</v>
      </c>
      <c r="I1025" s="8">
        <f t="shared" si="61"/>
        <v>-4.7494359545354747E-3</v>
      </c>
      <c r="J1025" s="8">
        <f t="shared" si="62"/>
        <v>-4.76075036440357E-3</v>
      </c>
      <c r="K1025" s="8">
        <f t="shared" si="63"/>
        <v>0.13873049059617015</v>
      </c>
    </row>
    <row r="1026" spans="1:11" x14ac:dyDescent="0.25">
      <c r="A1026" t="str">
        <f t="shared" si="60"/>
        <v>22021</v>
      </c>
      <c r="B1026" s="1">
        <v>44249</v>
      </c>
      <c r="C1026" t="s">
        <v>646</v>
      </c>
      <c r="D1026">
        <v>18669.8</v>
      </c>
      <c r="E1026">
        <v>18794.3</v>
      </c>
      <c r="F1026">
        <v>18252.599999999999</v>
      </c>
      <c r="G1026">
        <v>18336.849999999999</v>
      </c>
      <c r="H1026">
        <v>0</v>
      </c>
      <c r="I1026" s="8">
        <f t="shared" si="61"/>
        <v>-1.84487327034768E-2</v>
      </c>
      <c r="J1026" s="8">
        <f t="shared" si="62"/>
        <v>-1.8621033011284444E-2</v>
      </c>
      <c r="K1026" s="8">
        <f t="shared" si="63"/>
        <v>0.11398768570916529</v>
      </c>
    </row>
    <row r="1027" spans="1:11" x14ac:dyDescent="0.25">
      <c r="A1027" t="str">
        <f t="shared" ref="A1027:A1090" si="64">+MONTH(B1027)&amp;YEAR(B1027)</f>
        <v>22021</v>
      </c>
      <c r="B1027" s="1">
        <v>44250</v>
      </c>
      <c r="C1027" t="s">
        <v>647</v>
      </c>
      <c r="D1027">
        <v>18576.75</v>
      </c>
      <c r="E1027">
        <v>18865.849999999999</v>
      </c>
      <c r="F1027">
        <v>18534.599999999999</v>
      </c>
      <c r="G1027">
        <v>18717.5</v>
      </c>
      <c r="H1027">
        <v>0</v>
      </c>
      <c r="I1027" s="8">
        <f t="shared" si="61"/>
        <v>2.0758745367934095E-2</v>
      </c>
      <c r="J1027" s="8">
        <f t="shared" si="62"/>
        <v>2.0546218771279118E-2</v>
      </c>
      <c r="K1027" s="8">
        <f t="shared" si="63"/>
        <v>0.142146692701977</v>
      </c>
    </row>
    <row r="1028" spans="1:11" x14ac:dyDescent="0.25">
      <c r="A1028" t="str">
        <f t="shared" si="64"/>
        <v>22021</v>
      </c>
      <c r="B1028" s="1">
        <v>44251</v>
      </c>
      <c r="C1028" t="s">
        <v>648</v>
      </c>
      <c r="D1028">
        <v>18843.5</v>
      </c>
      <c r="E1028">
        <v>18914.25</v>
      </c>
      <c r="F1028">
        <v>18663.2</v>
      </c>
      <c r="G1028">
        <v>18782.400000000001</v>
      </c>
      <c r="H1028">
        <v>0</v>
      </c>
      <c r="I1028" s="8">
        <f t="shared" ref="I1028:I1079" si="65">+G1028/G1027-1</f>
        <v>3.4673433952183697E-3</v>
      </c>
      <c r="J1028" s="8">
        <f t="shared" ref="J1028:J1091" si="66">+LN(1+I1028)</f>
        <v>3.4613460194174227E-3</v>
      </c>
      <c r="K1028" s="8">
        <f t="shared" si="63"/>
        <v>0.14905175578123098</v>
      </c>
    </row>
    <row r="1029" spans="1:11" x14ac:dyDescent="0.25">
      <c r="A1029" t="str">
        <f t="shared" si="64"/>
        <v>22021</v>
      </c>
      <c r="B1029" s="1">
        <v>44252</v>
      </c>
      <c r="C1029" t="s">
        <v>649</v>
      </c>
      <c r="D1029">
        <v>18934.150000000001</v>
      </c>
      <c r="E1029">
        <v>19519.2</v>
      </c>
      <c r="F1029">
        <v>18924.900000000001</v>
      </c>
      <c r="G1029">
        <v>19355.7</v>
      </c>
      <c r="H1029">
        <v>0</v>
      </c>
      <c r="I1029" s="8">
        <f t="shared" si="65"/>
        <v>3.0523255813953432E-2</v>
      </c>
      <c r="J1029" s="8">
        <f t="shared" si="66"/>
        <v>3.0066688598783784E-2</v>
      </c>
      <c r="K1029" s="8">
        <f t="shared" si="63"/>
        <v>0.19098441100551633</v>
      </c>
    </row>
    <row r="1030" spans="1:11" x14ac:dyDescent="0.25">
      <c r="A1030" t="str">
        <f t="shared" si="64"/>
        <v>22021</v>
      </c>
      <c r="B1030" s="1">
        <v>44253</v>
      </c>
      <c r="C1030" t="s">
        <v>650</v>
      </c>
      <c r="D1030">
        <v>19079.05</v>
      </c>
      <c r="E1030">
        <v>19315.099999999999</v>
      </c>
      <c r="F1030">
        <v>18656.2</v>
      </c>
      <c r="G1030">
        <v>18793.349999999999</v>
      </c>
      <c r="H1030">
        <v>0</v>
      </c>
      <c r="I1030" s="8">
        <f t="shared" si="65"/>
        <v>-2.9053457121158255E-2</v>
      </c>
      <c r="J1030" s="8">
        <f t="shared" si="66"/>
        <v>-2.948386588413637E-2</v>
      </c>
      <c r="K1030" s="8">
        <f t="shared" si="63"/>
        <v>0.14069503834516417</v>
      </c>
    </row>
    <row r="1031" spans="1:11" x14ac:dyDescent="0.25">
      <c r="A1031" t="str">
        <f t="shared" si="64"/>
        <v>32021</v>
      </c>
      <c r="B1031" s="1">
        <v>44256</v>
      </c>
      <c r="C1031" s="10">
        <v>44199.645833333336</v>
      </c>
      <c r="D1031">
        <v>19096.45</v>
      </c>
      <c r="E1031">
        <v>19209.599999999999</v>
      </c>
      <c r="F1031">
        <v>18962.150000000001</v>
      </c>
      <c r="G1031">
        <v>19159.099999999999</v>
      </c>
      <c r="H1031">
        <v>0</v>
      </c>
      <c r="I1031" s="8">
        <f t="shared" si="65"/>
        <v>1.9461671282661186E-2</v>
      </c>
      <c r="J1031" s="8">
        <f t="shared" si="66"/>
        <v>1.9274714722561637E-2</v>
      </c>
      <c r="K1031" s="8">
        <f t="shared" si="63"/>
        <v>0.1471793689618317</v>
      </c>
    </row>
    <row r="1032" spans="1:11" x14ac:dyDescent="0.25">
      <c r="A1032" t="str">
        <f t="shared" si="64"/>
        <v>32021</v>
      </c>
      <c r="B1032" s="1">
        <v>44257</v>
      </c>
      <c r="C1032" s="10">
        <v>44230.645833333336</v>
      </c>
      <c r="D1032">
        <v>19355.3</v>
      </c>
      <c r="E1032">
        <v>19477.05</v>
      </c>
      <c r="F1032">
        <v>19138.900000000001</v>
      </c>
      <c r="G1032">
        <v>19303.400000000001</v>
      </c>
      <c r="H1032">
        <v>0</v>
      </c>
      <c r="I1032" s="8">
        <f t="shared" si="65"/>
        <v>7.5316690241191697E-3</v>
      </c>
      <c r="J1032" s="8">
        <f t="shared" si="66"/>
        <v>7.5034476192459426E-3</v>
      </c>
      <c r="K1032" s="8">
        <f t="shared" si="63"/>
        <v>0.13943186010477393</v>
      </c>
    </row>
    <row r="1033" spans="1:11" x14ac:dyDescent="0.25">
      <c r="A1033" t="str">
        <f t="shared" si="64"/>
        <v>32021</v>
      </c>
      <c r="B1033" s="1">
        <v>44258</v>
      </c>
      <c r="C1033" s="10">
        <v>44258.645833333336</v>
      </c>
      <c r="D1033">
        <v>19567.150000000001</v>
      </c>
      <c r="E1033">
        <v>19727.2</v>
      </c>
      <c r="F1033">
        <v>19309.55</v>
      </c>
      <c r="G1033">
        <v>19670.05</v>
      </c>
      <c r="H1033">
        <v>0</v>
      </c>
      <c r="I1033" s="8">
        <f t="shared" si="65"/>
        <v>1.8994063222022906E-2</v>
      </c>
      <c r="J1033" s="8">
        <f t="shared" si="66"/>
        <v>1.8815928141204797E-2</v>
      </c>
      <c r="K1033" s="8">
        <f t="shared" si="63"/>
        <v>0.16228864511287533</v>
      </c>
    </row>
    <row r="1034" spans="1:11" x14ac:dyDescent="0.25">
      <c r="A1034" t="str">
        <f t="shared" si="64"/>
        <v>32021</v>
      </c>
      <c r="B1034" s="1">
        <v>44259</v>
      </c>
      <c r="C1034" s="10">
        <v>44289.645833333336</v>
      </c>
      <c r="D1034">
        <v>19486.05</v>
      </c>
      <c r="E1034">
        <v>19676.900000000001</v>
      </c>
      <c r="F1034">
        <v>19436.8</v>
      </c>
      <c r="G1034">
        <v>19507.3</v>
      </c>
      <c r="H1034">
        <v>0</v>
      </c>
      <c r="I1034" s="8">
        <f t="shared" si="65"/>
        <v>-8.2740003202839141E-3</v>
      </c>
      <c r="J1034" s="8">
        <f t="shared" si="66"/>
        <v>-8.308419850558248E-3</v>
      </c>
      <c r="K1034" s="8">
        <f t="shared" si="63"/>
        <v>0.14758274210817368</v>
      </c>
    </row>
    <row r="1035" spans="1:11" x14ac:dyDescent="0.25">
      <c r="A1035" t="str">
        <f t="shared" si="64"/>
        <v>32021</v>
      </c>
      <c r="B1035" s="1">
        <v>44260</v>
      </c>
      <c r="C1035" s="10">
        <v>44319.645833333336</v>
      </c>
      <c r="D1035">
        <v>19514.150000000001</v>
      </c>
      <c r="E1035">
        <v>19767.7</v>
      </c>
      <c r="F1035">
        <v>19323.55</v>
      </c>
      <c r="G1035">
        <v>19428.2</v>
      </c>
      <c r="H1035">
        <v>0</v>
      </c>
      <c r="I1035" s="8">
        <f t="shared" si="65"/>
        <v>-4.0548922710984536E-3</v>
      </c>
      <c r="J1035" s="8">
        <f t="shared" si="66"/>
        <v>-4.0631356382870819E-3</v>
      </c>
      <c r="K1035" s="8">
        <f t="shared" si="63"/>
        <v>0.1450209370239075</v>
      </c>
    </row>
    <row r="1036" spans="1:11" x14ac:dyDescent="0.25">
      <c r="A1036" t="str">
        <f t="shared" si="64"/>
        <v>32021</v>
      </c>
      <c r="B1036" s="1">
        <v>44263</v>
      </c>
      <c r="C1036" s="10">
        <v>44411.645833333336</v>
      </c>
      <c r="D1036">
        <v>19516.05</v>
      </c>
      <c r="E1036">
        <v>19907.95</v>
      </c>
      <c r="F1036">
        <v>19481.5</v>
      </c>
      <c r="G1036">
        <v>19650.349999999999</v>
      </c>
      <c r="H1036">
        <v>0</v>
      </c>
      <c r="I1036" s="8">
        <f t="shared" si="65"/>
        <v>1.1434409775480825E-2</v>
      </c>
      <c r="J1036" s="8">
        <f t="shared" si="66"/>
        <v>1.1369531010542805E-2</v>
      </c>
      <c r="K1036" s="8">
        <f t="shared" si="63"/>
        <v>0.14996708168132122</v>
      </c>
    </row>
    <row r="1037" spans="1:11" x14ac:dyDescent="0.25">
      <c r="A1037" t="str">
        <f t="shared" si="64"/>
        <v>32021</v>
      </c>
      <c r="B1037" s="1">
        <v>44264</v>
      </c>
      <c r="C1037" s="10">
        <v>44442.645833333336</v>
      </c>
      <c r="D1037">
        <v>19654.2</v>
      </c>
      <c r="E1037">
        <v>19692.95</v>
      </c>
      <c r="F1037">
        <v>19053.849999999999</v>
      </c>
      <c r="G1037">
        <v>19385.150000000001</v>
      </c>
      <c r="H1037">
        <v>0</v>
      </c>
      <c r="I1037" s="8">
        <f t="shared" si="65"/>
        <v>-1.349594282035671E-2</v>
      </c>
      <c r="J1037" s="8">
        <f t="shared" si="66"/>
        <v>-1.3587840826815896E-2</v>
      </c>
      <c r="K1037" s="8">
        <f t="shared" si="63"/>
        <v>0.14490951829714871</v>
      </c>
    </row>
    <row r="1038" spans="1:11" x14ac:dyDescent="0.25">
      <c r="A1038" t="str">
        <f t="shared" si="64"/>
        <v>32021</v>
      </c>
      <c r="B1038" s="1">
        <v>44265</v>
      </c>
      <c r="C1038" s="10">
        <v>44472.645833333336</v>
      </c>
      <c r="D1038">
        <v>19544.25</v>
      </c>
      <c r="E1038">
        <v>19548.45</v>
      </c>
      <c r="F1038">
        <v>19238.7</v>
      </c>
      <c r="G1038">
        <v>19331.25</v>
      </c>
      <c r="H1038">
        <v>0</v>
      </c>
      <c r="I1038" s="8">
        <f t="shared" si="65"/>
        <v>-2.7804788717137319E-3</v>
      </c>
      <c r="J1038" s="8">
        <f t="shared" si="66"/>
        <v>-2.7843515834196191E-3</v>
      </c>
      <c r="K1038" s="8">
        <f t="shared" si="63"/>
        <v>0.12364530444866184</v>
      </c>
    </row>
    <row r="1039" spans="1:11" x14ac:dyDescent="0.25">
      <c r="A1039" t="str">
        <f t="shared" si="64"/>
        <v>32021</v>
      </c>
      <c r="B1039" s="1">
        <v>44267</v>
      </c>
      <c r="C1039" s="10">
        <v>44533.645833333336</v>
      </c>
      <c r="D1039">
        <v>19546.55</v>
      </c>
      <c r="E1039">
        <v>19612.75</v>
      </c>
      <c r="F1039">
        <v>19203.7</v>
      </c>
      <c r="G1039">
        <v>19318.3</v>
      </c>
      <c r="H1039">
        <v>0</v>
      </c>
      <c r="I1039" s="8">
        <f t="shared" si="65"/>
        <v>-6.6989977368259179E-4</v>
      </c>
      <c r="J1039" s="8">
        <f t="shared" si="66"/>
        <v>-6.7012425679570495E-4</v>
      </c>
      <c r="K1039" s="8">
        <f t="shared" si="63"/>
        <v>0.11336005555763684</v>
      </c>
    </row>
    <row r="1040" spans="1:11" x14ac:dyDescent="0.25">
      <c r="A1040" t="str">
        <f t="shared" si="64"/>
        <v>32021</v>
      </c>
      <c r="B1040" s="1">
        <v>44270</v>
      </c>
      <c r="C1040" t="s">
        <v>651</v>
      </c>
      <c r="D1040">
        <v>19440.150000000001</v>
      </c>
      <c r="E1040">
        <v>19440.849999999999</v>
      </c>
      <c r="F1040">
        <v>19005.75</v>
      </c>
      <c r="G1040">
        <v>19322.900000000001</v>
      </c>
      <c r="H1040">
        <v>0</v>
      </c>
      <c r="I1040" s="8">
        <f t="shared" si="65"/>
        <v>2.3811619034819209E-4</v>
      </c>
      <c r="J1040" s="8">
        <f t="shared" si="66"/>
        <v>2.380878451876776E-4</v>
      </c>
      <c r="K1040" s="8">
        <f t="shared" si="63"/>
        <v>0.11813602525265687</v>
      </c>
    </row>
    <row r="1041" spans="1:11" x14ac:dyDescent="0.25">
      <c r="A1041" t="str">
        <f t="shared" si="64"/>
        <v>32021</v>
      </c>
      <c r="B1041" s="1">
        <v>44271</v>
      </c>
      <c r="C1041" t="s">
        <v>652</v>
      </c>
      <c r="D1041">
        <v>19404.2</v>
      </c>
      <c r="E1041">
        <v>19497</v>
      </c>
      <c r="F1041">
        <v>19249.349999999999</v>
      </c>
      <c r="G1041">
        <v>19293.2</v>
      </c>
      <c r="H1041">
        <v>0</v>
      </c>
      <c r="I1041" s="8">
        <f t="shared" si="65"/>
        <v>-1.5370363661769693E-3</v>
      </c>
      <c r="J1041" s="8">
        <f t="shared" si="66"/>
        <v>-1.538218818375788E-3</v>
      </c>
      <c r="K1041" s="8">
        <f t="shared" si="63"/>
        <v>0.10987939470119046</v>
      </c>
    </row>
    <row r="1042" spans="1:11" x14ac:dyDescent="0.25">
      <c r="A1042" t="str">
        <f t="shared" si="64"/>
        <v>32021</v>
      </c>
      <c r="B1042" s="1">
        <v>44272</v>
      </c>
      <c r="C1042" t="s">
        <v>653</v>
      </c>
      <c r="D1042">
        <v>19279</v>
      </c>
      <c r="E1042">
        <v>19298.599999999999</v>
      </c>
      <c r="F1042">
        <v>18654.55</v>
      </c>
      <c r="G1042">
        <v>18693.95</v>
      </c>
      <c r="H1042">
        <v>0</v>
      </c>
      <c r="I1042" s="8">
        <f t="shared" si="65"/>
        <v>-3.1060166276200896E-2</v>
      </c>
      <c r="J1042" s="8">
        <f t="shared" si="66"/>
        <v>-3.1552760119413506E-2</v>
      </c>
      <c r="K1042" s="8">
        <f t="shared" si="63"/>
        <v>7.9106187819471208E-2</v>
      </c>
    </row>
    <row r="1043" spans="1:11" x14ac:dyDescent="0.25">
      <c r="A1043" t="str">
        <f t="shared" si="64"/>
        <v>32021</v>
      </c>
      <c r="B1043" s="1">
        <v>44273</v>
      </c>
      <c r="C1043" t="s">
        <v>654</v>
      </c>
      <c r="D1043">
        <v>18834.900000000001</v>
      </c>
      <c r="E1043">
        <v>18952.95</v>
      </c>
      <c r="F1043">
        <v>18326.650000000001</v>
      </c>
      <c r="G1043">
        <v>18404.400000000001</v>
      </c>
      <c r="H1043">
        <v>0</v>
      </c>
      <c r="I1043" s="8">
        <f t="shared" si="65"/>
        <v>-1.5488968356072386E-2</v>
      </c>
      <c r="J1043" s="8">
        <f t="shared" si="66"/>
        <v>-1.5610175639247843E-2</v>
      </c>
      <c r="K1043" s="8">
        <f t="shared" si="63"/>
        <v>6.803931069902136E-2</v>
      </c>
    </row>
    <row r="1044" spans="1:11" x14ac:dyDescent="0.25">
      <c r="A1044" t="str">
        <f t="shared" si="64"/>
        <v>32021</v>
      </c>
      <c r="B1044" s="1">
        <v>44274</v>
      </c>
      <c r="C1044" t="s">
        <v>655</v>
      </c>
      <c r="D1044">
        <v>18264.150000000001</v>
      </c>
      <c r="E1044">
        <v>19066.5</v>
      </c>
      <c r="F1044">
        <v>18045.150000000001</v>
      </c>
      <c r="G1044">
        <v>18985.400000000001</v>
      </c>
      <c r="H1044">
        <v>0</v>
      </c>
      <c r="I1044" s="8">
        <f t="shared" si="65"/>
        <v>3.156853795831438E-2</v>
      </c>
      <c r="J1044" s="8">
        <f t="shared" si="66"/>
        <v>3.1080496264423833E-2</v>
      </c>
      <c r="K1044" s="8">
        <f t="shared" si="63"/>
        <v>0.15924029687161312</v>
      </c>
    </row>
    <row r="1045" spans="1:11" x14ac:dyDescent="0.25">
      <c r="A1045" t="str">
        <f t="shared" si="64"/>
        <v>32021</v>
      </c>
      <c r="B1045" s="1">
        <v>44277</v>
      </c>
      <c r="C1045" t="s">
        <v>656</v>
      </c>
      <c r="D1045">
        <v>19151.3</v>
      </c>
      <c r="E1045">
        <v>19152.2</v>
      </c>
      <c r="F1045">
        <v>18862.849999999999</v>
      </c>
      <c r="G1045">
        <v>18991.75</v>
      </c>
      <c r="H1045">
        <v>0</v>
      </c>
      <c r="I1045" s="8">
        <f t="shared" si="65"/>
        <v>3.3446753821353425E-4</v>
      </c>
      <c r="J1045" s="8">
        <f t="shared" si="66"/>
        <v>3.3441161641547818E-4</v>
      </c>
      <c r="K1045" s="8">
        <f t="shared" si="63"/>
        <v>0.14622186010018701</v>
      </c>
    </row>
    <row r="1046" spans="1:11" x14ac:dyDescent="0.25">
      <c r="A1046" t="str">
        <f t="shared" si="64"/>
        <v>32021</v>
      </c>
      <c r="B1046" s="1">
        <v>44278</v>
      </c>
      <c r="C1046" t="s">
        <v>657</v>
      </c>
      <c r="D1046">
        <v>19076.7</v>
      </c>
      <c r="E1046">
        <v>19143.599999999999</v>
      </c>
      <c r="F1046">
        <v>18952.55</v>
      </c>
      <c r="G1046">
        <v>19005.55</v>
      </c>
      <c r="H1046">
        <v>0</v>
      </c>
      <c r="I1046" s="8">
        <f t="shared" si="65"/>
        <v>7.2663130043304491E-4</v>
      </c>
      <c r="J1046" s="8">
        <f t="shared" si="66"/>
        <v>7.2636743172543145E-4</v>
      </c>
      <c r="K1046" s="8">
        <f t="shared" si="63"/>
        <v>0.14297097701495032</v>
      </c>
    </row>
    <row r="1047" spans="1:11" x14ac:dyDescent="0.25">
      <c r="A1047" t="str">
        <f t="shared" si="64"/>
        <v>32021</v>
      </c>
      <c r="B1047" s="1">
        <v>44279</v>
      </c>
      <c r="C1047" t="s">
        <v>658</v>
      </c>
      <c r="D1047">
        <v>18853.900000000001</v>
      </c>
      <c r="E1047">
        <v>18984.849999999999</v>
      </c>
      <c r="F1047">
        <v>18641.05</v>
      </c>
      <c r="G1047">
        <v>18676.75</v>
      </c>
      <c r="H1047">
        <v>0</v>
      </c>
      <c r="I1047" s="8">
        <f t="shared" si="65"/>
        <v>-1.7300209675594758E-2</v>
      </c>
      <c r="J1047" s="8">
        <f t="shared" si="66"/>
        <v>-1.7451606980619747E-2</v>
      </c>
      <c r="K1047" s="8">
        <f t="shared" si="63"/>
        <v>0.10770905122563112</v>
      </c>
    </row>
    <row r="1048" spans="1:11" x14ac:dyDescent="0.25">
      <c r="A1048" t="str">
        <f t="shared" si="64"/>
        <v>32021</v>
      </c>
      <c r="B1048" s="1">
        <v>44280</v>
      </c>
      <c r="C1048" t="s">
        <v>659</v>
      </c>
      <c r="D1048">
        <v>18719.599999999999</v>
      </c>
      <c r="E1048">
        <v>18724.349999999999</v>
      </c>
      <c r="F1048">
        <v>18094.2</v>
      </c>
      <c r="G1048">
        <v>18133.349999999999</v>
      </c>
      <c r="H1048">
        <v>0</v>
      </c>
      <c r="I1048" s="8">
        <f t="shared" si="65"/>
        <v>-2.9094997791371702E-2</v>
      </c>
      <c r="J1048" s="8">
        <f t="shared" si="66"/>
        <v>-2.9526650483530568E-2</v>
      </c>
      <c r="K1048" s="8">
        <f t="shared" si="63"/>
        <v>6.6322660315780047E-2</v>
      </c>
    </row>
    <row r="1049" spans="1:11" x14ac:dyDescent="0.25">
      <c r="A1049" t="str">
        <f t="shared" si="64"/>
        <v>32021</v>
      </c>
      <c r="B1049" s="1">
        <v>44281</v>
      </c>
      <c r="C1049" t="s">
        <v>660</v>
      </c>
      <c r="D1049">
        <v>18345.599999999999</v>
      </c>
      <c r="E1049">
        <v>18395.150000000001</v>
      </c>
      <c r="F1049">
        <v>18075.5</v>
      </c>
      <c r="G1049">
        <v>18217.650000000001</v>
      </c>
      <c r="H1049">
        <v>0</v>
      </c>
      <c r="I1049" s="8">
        <f t="shared" si="65"/>
        <v>4.6488927859442697E-3</v>
      </c>
      <c r="J1049" s="8">
        <f t="shared" si="66"/>
        <v>4.6381200584774017E-3</v>
      </c>
      <c r="K1049" s="8">
        <f t="shared" si="63"/>
        <v>7.8008917502744302E-2</v>
      </c>
    </row>
    <row r="1050" spans="1:11" x14ac:dyDescent="0.25">
      <c r="A1050" t="str">
        <f t="shared" si="64"/>
        <v>32021</v>
      </c>
      <c r="B1050" s="1">
        <v>44285</v>
      </c>
      <c r="C1050" t="s">
        <v>661</v>
      </c>
      <c r="D1050">
        <v>18392</v>
      </c>
      <c r="E1050">
        <v>18588.900000000001</v>
      </c>
      <c r="F1050">
        <v>18309.7</v>
      </c>
      <c r="G1050">
        <v>18418.900000000001</v>
      </c>
      <c r="H1050">
        <v>0</v>
      </c>
      <c r="I1050" s="8">
        <f t="shared" si="65"/>
        <v>1.104697916580899E-2</v>
      </c>
      <c r="J1050" s="8">
        <f t="shared" si="66"/>
        <v>1.09864069763447E-2</v>
      </c>
      <c r="K1050" s="8">
        <f t="shared" si="63"/>
        <v>8.6740910096614776E-2</v>
      </c>
    </row>
    <row r="1051" spans="1:11" x14ac:dyDescent="0.25">
      <c r="A1051" t="str">
        <f t="shared" si="64"/>
        <v>32021</v>
      </c>
      <c r="B1051" s="1">
        <v>44286</v>
      </c>
      <c r="C1051" t="s">
        <v>662</v>
      </c>
      <c r="D1051">
        <v>18372.45</v>
      </c>
      <c r="E1051">
        <v>18449.45</v>
      </c>
      <c r="F1051">
        <v>18160.400000000001</v>
      </c>
      <c r="G1051">
        <v>18185.099999999999</v>
      </c>
      <c r="H1051">
        <v>0</v>
      </c>
      <c r="I1051" s="8">
        <f t="shared" si="65"/>
        <v>-1.2693483324194288E-2</v>
      </c>
      <c r="J1051" s="8">
        <f t="shared" si="66"/>
        <v>-1.2774733884332885E-2</v>
      </c>
      <c r="K1051" s="8">
        <f t="shared" si="63"/>
        <v>7.4610725365637398E-2</v>
      </c>
    </row>
    <row r="1052" spans="1:11" x14ac:dyDescent="0.25">
      <c r="A1052" t="str">
        <f t="shared" si="64"/>
        <v>42021</v>
      </c>
      <c r="B1052" s="1">
        <v>44287</v>
      </c>
      <c r="C1052" s="10">
        <v>44200.645833333336</v>
      </c>
      <c r="D1052">
        <v>18295.25</v>
      </c>
      <c r="E1052">
        <v>18543</v>
      </c>
      <c r="F1052">
        <v>18246.8</v>
      </c>
      <c r="G1052">
        <v>18516.2</v>
      </c>
      <c r="H1052">
        <v>0</v>
      </c>
      <c r="I1052" s="8">
        <f t="shared" si="65"/>
        <v>1.8207213597945637E-2</v>
      </c>
      <c r="J1052" s="8">
        <f t="shared" si="66"/>
        <v>1.8043447118187388E-2</v>
      </c>
      <c r="K1052" s="8">
        <f t="shared" si="63"/>
        <v>9.0715236625393159E-2</v>
      </c>
    </row>
    <row r="1053" spans="1:11" x14ac:dyDescent="0.25">
      <c r="A1053" t="str">
        <f t="shared" si="64"/>
        <v>42021</v>
      </c>
      <c r="B1053" s="1">
        <v>44291</v>
      </c>
      <c r="C1053" s="10">
        <v>44320.645833333336</v>
      </c>
      <c r="D1053">
        <v>18438.8</v>
      </c>
      <c r="E1053">
        <v>18476.5</v>
      </c>
      <c r="F1053">
        <v>17973.400000000001</v>
      </c>
      <c r="G1053">
        <v>18232.2</v>
      </c>
      <c r="H1053">
        <v>0</v>
      </c>
      <c r="I1053" s="8">
        <f t="shared" si="65"/>
        <v>-1.5337920307622488E-2</v>
      </c>
      <c r="J1053" s="8">
        <f t="shared" si="66"/>
        <v>-1.5456762972909287E-2</v>
      </c>
      <c r="K1053" s="8">
        <f t="shared" si="63"/>
        <v>6.1483510565522481E-2</v>
      </c>
    </row>
    <row r="1054" spans="1:11" x14ac:dyDescent="0.25">
      <c r="A1054" t="str">
        <f t="shared" si="64"/>
        <v>42021</v>
      </c>
      <c r="B1054" s="1">
        <v>44292</v>
      </c>
      <c r="C1054" s="10">
        <v>44351.645833333336</v>
      </c>
      <c r="D1054">
        <v>18335.7</v>
      </c>
      <c r="E1054">
        <v>18425.099999999999</v>
      </c>
      <c r="F1054">
        <v>18139.45</v>
      </c>
      <c r="G1054">
        <v>18217.150000000001</v>
      </c>
      <c r="H1054">
        <v>0</v>
      </c>
      <c r="I1054" s="8">
        <f t="shared" si="65"/>
        <v>-8.2546264301619487E-4</v>
      </c>
      <c r="J1054" s="8">
        <f t="shared" si="66"/>
        <v>-8.2580352490678986E-4</v>
      </c>
      <c r="K1054" s="8">
        <f t="shared" si="63"/>
        <v>6.7168310335636638E-2</v>
      </c>
    </row>
    <row r="1055" spans="1:11" x14ac:dyDescent="0.25">
      <c r="A1055" t="str">
        <f t="shared" si="64"/>
        <v>42021</v>
      </c>
      <c r="B1055" s="1">
        <v>44293</v>
      </c>
      <c r="C1055" s="10">
        <v>44381.645833333336</v>
      </c>
      <c r="D1055">
        <v>18339.3</v>
      </c>
      <c r="E1055">
        <v>18537.349999999999</v>
      </c>
      <c r="F1055">
        <v>18284.349999999999</v>
      </c>
      <c r="G1055">
        <v>18333.349999999999</v>
      </c>
      <c r="H1055">
        <v>0</v>
      </c>
      <c r="I1055" s="8">
        <f t="shared" si="65"/>
        <v>6.3786047762683928E-3</v>
      </c>
      <c r="J1055" s="8">
        <f t="shared" si="66"/>
        <v>6.358347572984647E-3</v>
      </c>
      <c r="K1055" s="8">
        <f t="shared" si="63"/>
        <v>7.2260547378764084E-2</v>
      </c>
    </row>
    <row r="1056" spans="1:11" x14ac:dyDescent="0.25">
      <c r="A1056" t="str">
        <f t="shared" si="64"/>
        <v>42021</v>
      </c>
      <c r="B1056" s="1">
        <v>44294</v>
      </c>
      <c r="C1056" s="10">
        <v>44412.645833333336</v>
      </c>
      <c r="D1056">
        <v>18368.849999999999</v>
      </c>
      <c r="E1056">
        <v>18445.900000000001</v>
      </c>
      <c r="F1056">
        <v>18226.099999999999</v>
      </c>
      <c r="G1056">
        <v>18275.55</v>
      </c>
      <c r="H1056">
        <v>0</v>
      </c>
      <c r="I1056" s="8">
        <f t="shared" si="65"/>
        <v>-3.1527244066141824E-3</v>
      </c>
      <c r="J1056" s="8">
        <f t="shared" si="66"/>
        <v>-3.1577047126492507E-3</v>
      </c>
      <c r="K1056" s="8">
        <f t="shared" si="63"/>
        <v>7.23357439380381E-2</v>
      </c>
    </row>
    <row r="1057" spans="1:11" x14ac:dyDescent="0.25">
      <c r="A1057" t="str">
        <f t="shared" si="64"/>
        <v>42021</v>
      </c>
      <c r="B1057" s="1">
        <v>44295</v>
      </c>
      <c r="C1057" s="10">
        <v>44443.645833333336</v>
      </c>
      <c r="D1057">
        <v>18289.7</v>
      </c>
      <c r="E1057">
        <v>18305.099999999999</v>
      </c>
      <c r="F1057">
        <v>18058</v>
      </c>
      <c r="G1057">
        <v>18077.150000000001</v>
      </c>
      <c r="H1057">
        <v>0</v>
      </c>
      <c r="I1057" s="8">
        <f t="shared" si="65"/>
        <v>-1.085603442851224E-2</v>
      </c>
      <c r="J1057" s="8">
        <f t="shared" si="66"/>
        <v>-1.0915391146886741E-2</v>
      </c>
      <c r="K1057" s="8">
        <f t="shared" si="63"/>
        <v>4.7637951568082482E-2</v>
      </c>
    </row>
    <row r="1058" spans="1:11" x14ac:dyDescent="0.25">
      <c r="A1058" t="str">
        <f t="shared" si="64"/>
        <v>42021</v>
      </c>
      <c r="B1058" s="1">
        <v>44298</v>
      </c>
      <c r="C1058" s="10">
        <v>44534.645833333336</v>
      </c>
      <c r="D1058">
        <v>17796.95</v>
      </c>
      <c r="E1058">
        <v>17811.55</v>
      </c>
      <c r="F1058">
        <v>17215.25</v>
      </c>
      <c r="G1058">
        <v>17279.45</v>
      </c>
      <c r="H1058">
        <v>0</v>
      </c>
      <c r="I1058" s="8">
        <f t="shared" si="65"/>
        <v>-4.4127531165034317E-2</v>
      </c>
      <c r="J1058" s="8">
        <f t="shared" si="66"/>
        <v>-4.5130775629659024E-2</v>
      </c>
      <c r="K1058" s="8">
        <f t="shared" si="63"/>
        <v>9.9891574680497364E-3</v>
      </c>
    </row>
    <row r="1059" spans="1:11" x14ac:dyDescent="0.25">
      <c r="A1059" t="str">
        <f t="shared" si="64"/>
        <v>42021</v>
      </c>
      <c r="B1059" s="1">
        <v>44299</v>
      </c>
      <c r="C1059" t="s">
        <v>663</v>
      </c>
      <c r="D1059">
        <v>17381.75</v>
      </c>
      <c r="E1059">
        <v>17713.55</v>
      </c>
      <c r="F1059">
        <v>17348.05</v>
      </c>
      <c r="G1059">
        <v>17672.8</v>
      </c>
      <c r="H1059">
        <v>0</v>
      </c>
      <c r="I1059" s="8">
        <f t="shared" si="65"/>
        <v>2.276403473490185E-2</v>
      </c>
      <c r="J1059" s="8">
        <f t="shared" si="66"/>
        <v>2.2508800280176152E-2</v>
      </c>
      <c r="K1059" s="8">
        <f t="shared" si="63"/>
        <v>1.9804265534115073E-2</v>
      </c>
    </row>
    <row r="1060" spans="1:11" x14ac:dyDescent="0.25">
      <c r="A1060" t="str">
        <f t="shared" si="64"/>
        <v>42021</v>
      </c>
      <c r="B1060" s="1">
        <v>44301</v>
      </c>
      <c r="C1060" t="s">
        <v>664</v>
      </c>
      <c r="D1060">
        <v>17650.099999999999</v>
      </c>
      <c r="E1060">
        <v>17950.5</v>
      </c>
      <c r="F1060">
        <v>17544.45</v>
      </c>
      <c r="G1060">
        <v>17781.650000000001</v>
      </c>
      <c r="H1060">
        <v>0</v>
      </c>
      <c r="I1060" s="8">
        <f t="shared" si="65"/>
        <v>6.1591824725002464E-3</v>
      </c>
      <c r="J1060" s="8">
        <f t="shared" si="66"/>
        <v>6.140292234070953E-3</v>
      </c>
      <c r="K1060" s="8">
        <f t="shared" si="63"/>
        <v>2.0166206257548058E-2</v>
      </c>
    </row>
    <row r="1061" spans="1:11" x14ac:dyDescent="0.25">
      <c r="A1061" t="str">
        <f t="shared" si="64"/>
        <v>42021</v>
      </c>
      <c r="B1061" s="1">
        <v>44302</v>
      </c>
      <c r="C1061" t="s">
        <v>665</v>
      </c>
      <c r="D1061">
        <v>17757.349999999999</v>
      </c>
      <c r="E1061">
        <v>17982.75</v>
      </c>
      <c r="F1061">
        <v>17712.25</v>
      </c>
      <c r="G1061">
        <v>17841.05</v>
      </c>
      <c r="H1061">
        <v>0</v>
      </c>
      <c r="I1061" s="8">
        <f t="shared" si="65"/>
        <v>3.3405223924662941E-3</v>
      </c>
      <c r="J1061" s="8">
        <f t="shared" si="66"/>
        <v>3.3349552422204994E-3</v>
      </c>
      <c r="K1061" s="8">
        <f t="shared" si="63"/>
        <v>9.7145347323619458E-3</v>
      </c>
    </row>
    <row r="1062" spans="1:11" x14ac:dyDescent="0.25">
      <c r="A1062" t="str">
        <f t="shared" si="64"/>
        <v>42021</v>
      </c>
      <c r="B1062" s="1">
        <v>44305</v>
      </c>
      <c r="C1062" t="s">
        <v>666</v>
      </c>
      <c r="D1062">
        <v>17456</v>
      </c>
      <c r="E1062">
        <v>17518.099999999999</v>
      </c>
      <c r="F1062">
        <v>17302.3</v>
      </c>
      <c r="G1062">
        <v>17357.75</v>
      </c>
      <c r="H1062">
        <v>0</v>
      </c>
      <c r="I1062" s="8">
        <f t="shared" si="65"/>
        <v>-2.7089212798574014E-2</v>
      </c>
      <c r="J1062" s="8">
        <f t="shared" si="66"/>
        <v>-2.7462889384737066E-2</v>
      </c>
      <c r="K1062" s="8">
        <f t="shared" si="63"/>
        <v>9.6303280366538679E-4</v>
      </c>
    </row>
    <row r="1063" spans="1:11" x14ac:dyDescent="0.25">
      <c r="A1063" t="str">
        <f t="shared" si="64"/>
        <v>42021</v>
      </c>
      <c r="B1063" s="1">
        <v>44306</v>
      </c>
      <c r="C1063" t="s">
        <v>667</v>
      </c>
      <c r="D1063">
        <v>17476.599999999999</v>
      </c>
      <c r="E1063">
        <v>17570.5</v>
      </c>
      <c r="F1063">
        <v>17254.95</v>
      </c>
      <c r="G1063">
        <v>17342</v>
      </c>
      <c r="H1063">
        <v>0</v>
      </c>
      <c r="I1063" s="8">
        <f t="shared" si="65"/>
        <v>-9.0737566792931101E-4</v>
      </c>
      <c r="J1063" s="8">
        <f t="shared" si="66"/>
        <v>-9.0778758242366275E-4</v>
      </c>
      <c r="K1063" s="8">
        <f t="shared" si="63"/>
        <v>8.2118512274174105E-3</v>
      </c>
    </row>
    <row r="1064" spans="1:11" x14ac:dyDescent="0.25">
      <c r="A1064" t="str">
        <f t="shared" si="64"/>
        <v>42021</v>
      </c>
      <c r="B1064" s="1">
        <v>44308</v>
      </c>
      <c r="C1064" t="s">
        <v>668</v>
      </c>
      <c r="D1064">
        <v>17271.599999999999</v>
      </c>
      <c r="E1064">
        <v>17449.45</v>
      </c>
      <c r="F1064">
        <v>17159.3</v>
      </c>
      <c r="G1064">
        <v>17370.95</v>
      </c>
      <c r="H1064">
        <v>0</v>
      </c>
      <c r="I1064" s="8">
        <f t="shared" si="65"/>
        <v>1.6693576288779877E-3</v>
      </c>
      <c r="J1064" s="8">
        <f t="shared" si="66"/>
        <v>1.6679658001893766E-3</v>
      </c>
      <c r="K1064" s="8">
        <f t="shared" si="63"/>
        <v>-8.4253548381572063E-3</v>
      </c>
    </row>
    <row r="1065" spans="1:11" x14ac:dyDescent="0.25">
      <c r="A1065" t="str">
        <f t="shared" si="64"/>
        <v>42021</v>
      </c>
      <c r="B1065" s="1">
        <v>44309</v>
      </c>
      <c r="C1065" t="s">
        <v>669</v>
      </c>
      <c r="D1065">
        <v>17323.2</v>
      </c>
      <c r="E1065">
        <v>17594.099999999999</v>
      </c>
      <c r="F1065">
        <v>17304.400000000001</v>
      </c>
      <c r="G1065">
        <v>17537.7</v>
      </c>
      <c r="H1065">
        <v>0</v>
      </c>
      <c r="I1065" s="8">
        <f t="shared" si="65"/>
        <v>9.5993598507853051E-3</v>
      </c>
      <c r="J1065" s="8">
        <f t="shared" si="66"/>
        <v>9.5535787423932338E-3</v>
      </c>
      <c r="K1065" s="8">
        <f t="shared" si="63"/>
        <v>-3.3302455629875549E-3</v>
      </c>
    </row>
    <row r="1066" spans="1:11" x14ac:dyDescent="0.25">
      <c r="A1066" t="str">
        <f t="shared" si="64"/>
        <v>42021</v>
      </c>
      <c r="B1066" s="1">
        <v>44312</v>
      </c>
      <c r="C1066" t="s">
        <v>670</v>
      </c>
      <c r="D1066">
        <v>17662.7</v>
      </c>
      <c r="E1066">
        <v>17742.099999999999</v>
      </c>
      <c r="F1066">
        <v>17609.5</v>
      </c>
      <c r="G1066">
        <v>17675</v>
      </c>
      <c r="H1066">
        <v>0</v>
      </c>
      <c r="I1066" s="8">
        <f t="shared" si="65"/>
        <v>7.8288487087816439E-3</v>
      </c>
      <c r="J1066" s="8">
        <f t="shared" si="66"/>
        <v>7.7983622850851834E-3</v>
      </c>
      <c r="K1066" s="8">
        <f t="shared" si="63"/>
        <v>6.3111508384976478E-3</v>
      </c>
    </row>
    <row r="1067" spans="1:11" x14ac:dyDescent="0.25">
      <c r="A1067" t="str">
        <f t="shared" si="64"/>
        <v>42021</v>
      </c>
      <c r="B1067" s="1">
        <v>44313</v>
      </c>
      <c r="C1067" t="s">
        <v>671</v>
      </c>
      <c r="D1067">
        <v>17702.05</v>
      </c>
      <c r="E1067">
        <v>17919.150000000001</v>
      </c>
      <c r="F1067">
        <v>17686.55</v>
      </c>
      <c r="G1067">
        <v>17879.2</v>
      </c>
      <c r="H1067">
        <v>0</v>
      </c>
      <c r="I1067" s="8">
        <f t="shared" si="65"/>
        <v>1.15530410183875E-2</v>
      </c>
      <c r="J1067" s="8">
        <f t="shared" si="66"/>
        <v>1.1486814232439319E-2</v>
      </c>
      <c r="K1067" s="8">
        <f t="shared" si="63"/>
        <v>3.5886858480399519E-2</v>
      </c>
    </row>
    <row r="1068" spans="1:11" x14ac:dyDescent="0.25">
      <c r="A1068" t="str">
        <f t="shared" si="64"/>
        <v>42021</v>
      </c>
      <c r="B1068" s="1">
        <v>44314</v>
      </c>
      <c r="C1068" t="s">
        <v>672</v>
      </c>
      <c r="D1068">
        <v>17990.349999999999</v>
      </c>
      <c r="E1068">
        <v>18037.5</v>
      </c>
      <c r="F1068">
        <v>17914.95</v>
      </c>
      <c r="G1068">
        <v>17990.599999999999</v>
      </c>
      <c r="H1068">
        <v>0</v>
      </c>
      <c r="I1068" s="8">
        <f t="shared" si="65"/>
        <v>6.23070383462343E-3</v>
      </c>
      <c r="J1068" s="8">
        <f t="shared" si="66"/>
        <v>6.211373253350516E-3</v>
      </c>
      <c r="K1068" s="8">
        <f t="shared" si="63"/>
        <v>7.263762274702934E-2</v>
      </c>
    </row>
    <row r="1069" spans="1:11" x14ac:dyDescent="0.25">
      <c r="A1069" t="str">
        <f t="shared" si="64"/>
        <v>42021</v>
      </c>
      <c r="B1069" s="1">
        <v>44315</v>
      </c>
      <c r="C1069" t="s">
        <v>673</v>
      </c>
      <c r="D1069">
        <v>18176.8</v>
      </c>
      <c r="E1069">
        <v>18234.650000000001</v>
      </c>
      <c r="F1069">
        <v>18003.2</v>
      </c>
      <c r="G1069">
        <v>18063.099999999999</v>
      </c>
      <c r="H1069">
        <v>0</v>
      </c>
      <c r="I1069" s="8">
        <f t="shared" si="65"/>
        <v>4.0298822718529692E-3</v>
      </c>
      <c r="J1069" s="8">
        <f t="shared" si="66"/>
        <v>4.0217840455987006E-3</v>
      </c>
      <c r="K1069" s="8">
        <f t="shared" si="63"/>
        <v>9.5869052169217595E-2</v>
      </c>
    </row>
    <row r="1070" spans="1:11" x14ac:dyDescent="0.25">
      <c r="A1070" t="str">
        <f t="shared" si="64"/>
        <v>42021</v>
      </c>
      <c r="B1070" s="1">
        <v>44316</v>
      </c>
      <c r="C1070" t="s">
        <v>674</v>
      </c>
      <c r="D1070">
        <v>17926.7</v>
      </c>
      <c r="E1070">
        <v>18387.349999999999</v>
      </c>
      <c r="F1070">
        <v>17897.05</v>
      </c>
      <c r="G1070">
        <v>18031.099999999999</v>
      </c>
      <c r="H1070">
        <v>0</v>
      </c>
      <c r="I1070" s="8">
        <f t="shared" si="65"/>
        <v>-1.7715674496625589E-3</v>
      </c>
      <c r="J1070" s="8">
        <f t="shared" si="66"/>
        <v>-1.7731385310688879E-3</v>
      </c>
      <c r="K1070" s="8">
        <f t="shared" si="63"/>
        <v>9.5466213034827385E-2</v>
      </c>
    </row>
    <row r="1071" spans="1:11" x14ac:dyDescent="0.25">
      <c r="A1071" t="str">
        <f t="shared" si="64"/>
        <v>52021</v>
      </c>
      <c r="B1071" s="1">
        <v>44319</v>
      </c>
      <c r="C1071" s="10">
        <v>44260.645833333336</v>
      </c>
      <c r="D1071">
        <v>17854.900000000001</v>
      </c>
      <c r="E1071">
        <v>18048.900000000001</v>
      </c>
      <c r="F1071">
        <v>17789.55</v>
      </c>
      <c r="G1071">
        <v>17983.400000000001</v>
      </c>
      <c r="H1071">
        <v>0</v>
      </c>
      <c r="I1071" s="8">
        <f t="shared" si="65"/>
        <v>-2.6454292860667028E-3</v>
      </c>
      <c r="J1071" s="8">
        <f t="shared" si="66"/>
        <v>-2.6489346175563246E-3</v>
      </c>
      <c r="K1071" s="8">
        <f t="shared" si="63"/>
        <v>0.11288925194316546</v>
      </c>
    </row>
    <row r="1072" spans="1:11" x14ac:dyDescent="0.25">
      <c r="A1072" t="str">
        <f t="shared" si="64"/>
        <v>52021</v>
      </c>
      <c r="B1072" s="1">
        <v>44320</v>
      </c>
      <c r="C1072" s="10">
        <v>44291.645833333336</v>
      </c>
      <c r="D1072">
        <v>18031.75</v>
      </c>
      <c r="E1072">
        <v>18150.599999999999</v>
      </c>
      <c r="F1072">
        <v>17881.599999999999</v>
      </c>
      <c r="G1072">
        <v>17947.849999999999</v>
      </c>
      <c r="H1072">
        <v>0</v>
      </c>
      <c r="I1072" s="8">
        <f t="shared" si="65"/>
        <v>-1.9768230701648903E-3</v>
      </c>
      <c r="J1072" s="8">
        <f t="shared" si="66"/>
        <v>-1.9787795637432261E-3</v>
      </c>
      <c r="K1072" s="8">
        <f t="shared" si="63"/>
        <v>8.2007288598979322E-2</v>
      </c>
    </row>
    <row r="1073" spans="1:11" x14ac:dyDescent="0.25">
      <c r="A1073" t="str">
        <f t="shared" si="64"/>
        <v>52021</v>
      </c>
      <c r="B1073" s="1">
        <v>44321</v>
      </c>
      <c r="C1073" s="10">
        <v>44321.645833333336</v>
      </c>
      <c r="D1073">
        <v>18102.2</v>
      </c>
      <c r="E1073">
        <v>18203.75</v>
      </c>
      <c r="F1073">
        <v>17961.650000000001</v>
      </c>
      <c r="G1073">
        <v>18058.8</v>
      </c>
      <c r="H1073">
        <v>0</v>
      </c>
      <c r="I1073" s="8">
        <f t="shared" si="65"/>
        <v>6.181798934134175E-3</v>
      </c>
      <c r="J1073" s="8">
        <f t="shared" si="66"/>
        <v>6.1627699968793935E-3</v>
      </c>
      <c r="K1073" s="8">
        <f t="shared" si="63"/>
        <v>6.5384501932096439E-2</v>
      </c>
    </row>
    <row r="1074" spans="1:11" x14ac:dyDescent="0.25">
      <c r="A1074" t="str">
        <f t="shared" si="64"/>
        <v>52021</v>
      </c>
      <c r="B1074" s="1">
        <v>44322</v>
      </c>
      <c r="C1074" s="10">
        <v>44352.645833333336</v>
      </c>
      <c r="D1074">
        <v>18169.75</v>
      </c>
      <c r="E1074">
        <v>18209.8</v>
      </c>
      <c r="F1074">
        <v>18031.75</v>
      </c>
      <c r="G1074">
        <v>18178.2</v>
      </c>
      <c r="H1074">
        <v>0</v>
      </c>
      <c r="I1074" s="8">
        <f t="shared" si="65"/>
        <v>6.6117349990033603E-3</v>
      </c>
      <c r="J1074" s="8">
        <f t="shared" si="66"/>
        <v>6.5899733480028122E-3</v>
      </c>
      <c r="K1074" s="8">
        <f t="shared" si="63"/>
        <v>5.5552652207995878E-2</v>
      </c>
    </row>
    <row r="1075" spans="1:11" x14ac:dyDescent="0.25">
      <c r="A1075" t="str">
        <f t="shared" si="64"/>
        <v>52021</v>
      </c>
      <c r="B1075" s="1">
        <v>44323</v>
      </c>
      <c r="C1075" s="10">
        <v>44382.645833333336</v>
      </c>
      <c r="D1075">
        <v>18283.25</v>
      </c>
      <c r="E1075">
        <v>18366</v>
      </c>
      <c r="F1075">
        <v>18149.900000000001</v>
      </c>
      <c r="G1075">
        <v>18295.599999999999</v>
      </c>
      <c r="H1075">
        <v>0</v>
      </c>
      <c r="I1075" s="8">
        <f t="shared" si="65"/>
        <v>6.4582851987544654E-3</v>
      </c>
      <c r="J1075" s="8">
        <f t="shared" si="66"/>
        <v>6.4375198327187013E-3</v>
      </c>
      <c r="K1075" s="8">
        <f t="shared" si="63"/>
        <v>4.7680947377161331E-2</v>
      </c>
    </row>
    <row r="1076" spans="1:11" x14ac:dyDescent="0.25">
      <c r="A1076" t="str">
        <f t="shared" si="64"/>
        <v>52021</v>
      </c>
      <c r="B1076" s="1">
        <v>44326</v>
      </c>
      <c r="C1076" s="10">
        <v>44474.645833333336</v>
      </c>
      <c r="D1076">
        <v>18428.25</v>
      </c>
      <c r="E1076">
        <v>18614.349999999999</v>
      </c>
      <c r="F1076">
        <v>18379.3</v>
      </c>
      <c r="G1076">
        <v>18590.05</v>
      </c>
      <c r="H1076">
        <v>0</v>
      </c>
      <c r="I1076" s="8">
        <f t="shared" si="65"/>
        <v>1.6094033538118557E-2</v>
      </c>
      <c r="J1076" s="8">
        <f t="shared" si="66"/>
        <v>1.5965897568552306E-2</v>
      </c>
      <c r="K1076" s="8">
        <f t="shared" si="63"/>
        <v>6.7442795211162476E-2</v>
      </c>
    </row>
    <row r="1077" spans="1:11" x14ac:dyDescent="0.25">
      <c r="A1077" t="str">
        <f t="shared" si="64"/>
        <v>52021</v>
      </c>
      <c r="B1077" s="1">
        <v>44327</v>
      </c>
      <c r="C1077" s="10">
        <v>44505.645833333336</v>
      </c>
      <c r="D1077">
        <v>18489.650000000001</v>
      </c>
      <c r="E1077">
        <v>18944.75</v>
      </c>
      <c r="F1077">
        <v>18409.349999999999</v>
      </c>
      <c r="G1077">
        <v>18917.8</v>
      </c>
      <c r="H1077">
        <v>0</v>
      </c>
      <c r="I1077" s="8">
        <f t="shared" si="65"/>
        <v>1.7630399057560364E-2</v>
      </c>
      <c r="J1077" s="8">
        <f t="shared" si="66"/>
        <v>1.7476786445219772E-2</v>
      </c>
      <c r="K1077" s="8">
        <f t="shared" si="63"/>
        <v>7.0977493836351213E-2</v>
      </c>
    </row>
    <row r="1078" spans="1:11" x14ac:dyDescent="0.25">
      <c r="A1078" t="str">
        <f t="shared" si="64"/>
        <v>52021</v>
      </c>
      <c r="B1078" s="1">
        <v>44328</v>
      </c>
      <c r="C1078" s="10">
        <v>44535.645833333336</v>
      </c>
      <c r="D1078">
        <v>18968</v>
      </c>
      <c r="E1078">
        <v>19088.2</v>
      </c>
      <c r="F1078">
        <v>18585.5</v>
      </c>
      <c r="G1078">
        <v>18717.400000000001</v>
      </c>
      <c r="H1078">
        <v>0</v>
      </c>
      <c r="I1078" s="8">
        <f t="shared" si="65"/>
        <v>-1.0593197940563792E-2</v>
      </c>
      <c r="J1078" s="8">
        <f t="shared" si="66"/>
        <v>-1.0649705278427296E-2</v>
      </c>
      <c r="K1078" s="8">
        <f t="shared" si="63"/>
        <v>5.8353217908557298E-2</v>
      </c>
    </row>
    <row r="1079" spans="1:11" x14ac:dyDescent="0.25">
      <c r="A1079" t="str">
        <f t="shared" si="64"/>
        <v>52021</v>
      </c>
      <c r="B1079" s="1">
        <v>44330</v>
      </c>
      <c r="C1079" t="s">
        <v>675</v>
      </c>
      <c r="D1079">
        <v>18858.099999999999</v>
      </c>
      <c r="E1079">
        <v>18858.099999999999</v>
      </c>
      <c r="F1079">
        <v>18489.95</v>
      </c>
      <c r="G1079">
        <v>18652.95</v>
      </c>
      <c r="H1079">
        <v>0</v>
      </c>
      <c r="I1079" s="8">
        <f t="shared" si="65"/>
        <v>-3.4433201192474172E-3</v>
      </c>
      <c r="J1079" s="8">
        <f t="shared" si="66"/>
        <v>-3.4492619897317461E-3</v>
      </c>
      <c r="K1079" s="8">
        <f t="shared" si="63"/>
        <v>5.3458071657705553E-2</v>
      </c>
    </row>
    <row r="1080" spans="1:11" x14ac:dyDescent="0.25">
      <c r="A1080" t="str">
        <f t="shared" si="64"/>
        <v>11900</v>
      </c>
      <c r="I1080" s="8">
        <f t="shared" ref="I1080:I1143" si="67">+G1080/G1079-1</f>
        <v>-1</v>
      </c>
      <c r="J1080" s="8" t="e">
        <f t="shared" si="66"/>
        <v>#NUM!</v>
      </c>
      <c r="K1080" s="8">
        <f t="shared" si="63"/>
        <v>-1</v>
      </c>
    </row>
    <row r="1081" spans="1:11" x14ac:dyDescent="0.25">
      <c r="A1081" t="str">
        <f t="shared" si="64"/>
        <v>11900</v>
      </c>
      <c r="I1081" s="8" t="e">
        <f t="shared" si="67"/>
        <v>#DIV/0!</v>
      </c>
      <c r="J1081" s="8" t="e">
        <f t="shared" si="66"/>
        <v>#DIV/0!</v>
      </c>
      <c r="K1081" s="8">
        <f t="shared" si="63"/>
        <v>-1</v>
      </c>
    </row>
    <row r="1082" spans="1:11" x14ac:dyDescent="0.25">
      <c r="A1082" t="str">
        <f t="shared" si="64"/>
        <v>11900</v>
      </c>
      <c r="I1082" s="8" t="e">
        <f t="shared" si="67"/>
        <v>#DIV/0!</v>
      </c>
      <c r="J1082" s="8" t="e">
        <f t="shared" si="66"/>
        <v>#DIV/0!</v>
      </c>
      <c r="K1082" s="8">
        <f t="shared" si="63"/>
        <v>-1</v>
      </c>
    </row>
    <row r="1083" spans="1:11" x14ac:dyDescent="0.25">
      <c r="A1083" t="str">
        <f t="shared" si="64"/>
        <v>11900</v>
      </c>
      <c r="I1083" s="8" t="e">
        <f t="shared" si="67"/>
        <v>#DIV/0!</v>
      </c>
      <c r="J1083" s="8" t="e">
        <f t="shared" si="66"/>
        <v>#DIV/0!</v>
      </c>
      <c r="K1083" s="8">
        <f t="shared" si="63"/>
        <v>-1</v>
      </c>
    </row>
    <row r="1084" spans="1:11" x14ac:dyDescent="0.25">
      <c r="A1084" t="str">
        <f t="shared" si="64"/>
        <v>11900</v>
      </c>
      <c r="I1084" s="8" t="e">
        <f t="shared" si="67"/>
        <v>#DIV/0!</v>
      </c>
      <c r="J1084" s="8" t="e">
        <f t="shared" si="66"/>
        <v>#DIV/0!</v>
      </c>
      <c r="K1084" s="8">
        <f t="shared" si="63"/>
        <v>-1</v>
      </c>
    </row>
    <row r="1085" spans="1:11" x14ac:dyDescent="0.25">
      <c r="A1085" t="str">
        <f t="shared" si="64"/>
        <v>11900</v>
      </c>
      <c r="I1085" s="8" t="e">
        <f t="shared" si="67"/>
        <v>#DIV/0!</v>
      </c>
      <c r="J1085" s="8" t="e">
        <f t="shared" si="66"/>
        <v>#DIV/0!</v>
      </c>
      <c r="K1085" s="8">
        <f t="shared" si="63"/>
        <v>-1</v>
      </c>
    </row>
    <row r="1086" spans="1:11" x14ac:dyDescent="0.25">
      <c r="A1086" t="str">
        <f t="shared" si="64"/>
        <v>11900</v>
      </c>
      <c r="I1086" s="8" t="e">
        <f t="shared" si="67"/>
        <v>#DIV/0!</v>
      </c>
      <c r="J1086" s="8" t="e">
        <f t="shared" si="66"/>
        <v>#DIV/0!</v>
      </c>
      <c r="K1086" s="8">
        <f t="shared" si="63"/>
        <v>-1</v>
      </c>
    </row>
    <row r="1087" spans="1:11" x14ac:dyDescent="0.25">
      <c r="A1087" t="str">
        <f t="shared" si="64"/>
        <v>11900</v>
      </c>
      <c r="I1087" s="8" t="e">
        <f t="shared" si="67"/>
        <v>#DIV/0!</v>
      </c>
      <c r="J1087" s="8" t="e">
        <f t="shared" si="66"/>
        <v>#DIV/0!</v>
      </c>
      <c r="K1087" s="8">
        <f t="shared" si="63"/>
        <v>-1</v>
      </c>
    </row>
    <row r="1088" spans="1:11" x14ac:dyDescent="0.25">
      <c r="A1088" t="str">
        <f t="shared" si="64"/>
        <v>11900</v>
      </c>
      <c r="I1088" s="8" t="e">
        <f t="shared" si="67"/>
        <v>#DIV/0!</v>
      </c>
      <c r="J1088" s="8" t="e">
        <f t="shared" si="66"/>
        <v>#DIV/0!</v>
      </c>
      <c r="K1088" s="8">
        <f t="shared" ref="K1088:K1151" si="68">+G1088/G1027-1</f>
        <v>-1</v>
      </c>
    </row>
    <row r="1089" spans="1:11" x14ac:dyDescent="0.25">
      <c r="A1089" t="str">
        <f t="shared" si="64"/>
        <v>11900</v>
      </c>
      <c r="I1089" s="8" t="e">
        <f t="shared" si="67"/>
        <v>#DIV/0!</v>
      </c>
      <c r="J1089" s="8" t="e">
        <f t="shared" si="66"/>
        <v>#DIV/0!</v>
      </c>
      <c r="K1089" s="8">
        <f t="shared" si="68"/>
        <v>-1</v>
      </c>
    </row>
    <row r="1090" spans="1:11" x14ac:dyDescent="0.25">
      <c r="A1090" t="str">
        <f t="shared" si="64"/>
        <v>11900</v>
      </c>
      <c r="I1090" s="8" t="e">
        <f t="shared" si="67"/>
        <v>#DIV/0!</v>
      </c>
      <c r="J1090" s="8" t="e">
        <f t="shared" si="66"/>
        <v>#DIV/0!</v>
      </c>
      <c r="K1090" s="8">
        <f t="shared" si="68"/>
        <v>-1</v>
      </c>
    </row>
    <row r="1091" spans="1:11" x14ac:dyDescent="0.25">
      <c r="A1091" t="str">
        <f t="shared" ref="A1091:A1154" si="69">+MONTH(B1091)&amp;YEAR(B1091)</f>
        <v>11900</v>
      </c>
      <c r="I1091" s="8" t="e">
        <f t="shared" si="67"/>
        <v>#DIV/0!</v>
      </c>
      <c r="J1091" s="8" t="e">
        <f t="shared" si="66"/>
        <v>#DIV/0!</v>
      </c>
      <c r="K1091" s="8">
        <f t="shared" si="68"/>
        <v>-1</v>
      </c>
    </row>
    <row r="1092" spans="1:11" x14ac:dyDescent="0.25">
      <c r="A1092" t="str">
        <f t="shared" si="69"/>
        <v>11900</v>
      </c>
      <c r="I1092" s="8" t="e">
        <f t="shared" si="67"/>
        <v>#DIV/0!</v>
      </c>
      <c r="J1092" s="8" t="e">
        <f t="shared" ref="J1092:J1155" si="70">+LN(1+I1092)</f>
        <v>#DIV/0!</v>
      </c>
      <c r="K1092" s="8">
        <f t="shared" si="68"/>
        <v>-1</v>
      </c>
    </row>
    <row r="1093" spans="1:11" x14ac:dyDescent="0.25">
      <c r="A1093" t="str">
        <f t="shared" si="69"/>
        <v>11900</v>
      </c>
      <c r="I1093" s="8" t="e">
        <f t="shared" si="67"/>
        <v>#DIV/0!</v>
      </c>
      <c r="J1093" s="8" t="e">
        <f t="shared" si="70"/>
        <v>#DIV/0!</v>
      </c>
      <c r="K1093" s="8">
        <f t="shared" si="68"/>
        <v>-1</v>
      </c>
    </row>
    <row r="1094" spans="1:11" x14ac:dyDescent="0.25">
      <c r="A1094" t="str">
        <f t="shared" si="69"/>
        <v>11900</v>
      </c>
      <c r="I1094" s="8" t="e">
        <f t="shared" si="67"/>
        <v>#DIV/0!</v>
      </c>
      <c r="J1094" s="8" t="e">
        <f t="shared" si="70"/>
        <v>#DIV/0!</v>
      </c>
      <c r="K1094" s="8">
        <f t="shared" si="68"/>
        <v>-1</v>
      </c>
    </row>
    <row r="1095" spans="1:11" x14ac:dyDescent="0.25">
      <c r="A1095" t="str">
        <f t="shared" si="69"/>
        <v>11900</v>
      </c>
      <c r="I1095" s="8" t="e">
        <f t="shared" si="67"/>
        <v>#DIV/0!</v>
      </c>
      <c r="J1095" s="8" t="e">
        <f t="shared" si="70"/>
        <v>#DIV/0!</v>
      </c>
      <c r="K1095" s="8">
        <f t="shared" si="68"/>
        <v>-1</v>
      </c>
    </row>
    <row r="1096" spans="1:11" x14ac:dyDescent="0.25">
      <c r="A1096" t="str">
        <f t="shared" si="69"/>
        <v>11900</v>
      </c>
      <c r="I1096" s="8" t="e">
        <f t="shared" si="67"/>
        <v>#DIV/0!</v>
      </c>
      <c r="J1096" s="8" t="e">
        <f t="shared" si="70"/>
        <v>#DIV/0!</v>
      </c>
      <c r="K1096" s="8">
        <f t="shared" si="68"/>
        <v>-1</v>
      </c>
    </row>
    <row r="1097" spans="1:11" x14ac:dyDescent="0.25">
      <c r="A1097" t="str">
        <f t="shared" si="69"/>
        <v>11900</v>
      </c>
      <c r="I1097" s="8" t="e">
        <f t="shared" si="67"/>
        <v>#DIV/0!</v>
      </c>
      <c r="J1097" s="8" t="e">
        <f t="shared" si="70"/>
        <v>#DIV/0!</v>
      </c>
      <c r="K1097" s="8">
        <f t="shared" si="68"/>
        <v>-1</v>
      </c>
    </row>
    <row r="1098" spans="1:11" x14ac:dyDescent="0.25">
      <c r="A1098" t="str">
        <f t="shared" si="69"/>
        <v>11900</v>
      </c>
      <c r="I1098" s="8" t="e">
        <f t="shared" si="67"/>
        <v>#DIV/0!</v>
      </c>
      <c r="J1098" s="8" t="e">
        <f t="shared" si="70"/>
        <v>#DIV/0!</v>
      </c>
      <c r="K1098" s="8">
        <f t="shared" si="68"/>
        <v>-1</v>
      </c>
    </row>
    <row r="1099" spans="1:11" x14ac:dyDescent="0.25">
      <c r="A1099" t="str">
        <f t="shared" si="69"/>
        <v>11900</v>
      </c>
      <c r="I1099" s="8" t="e">
        <f t="shared" si="67"/>
        <v>#DIV/0!</v>
      </c>
      <c r="J1099" s="8" t="e">
        <f t="shared" si="70"/>
        <v>#DIV/0!</v>
      </c>
      <c r="K1099" s="8">
        <f t="shared" si="68"/>
        <v>-1</v>
      </c>
    </row>
    <row r="1100" spans="1:11" x14ac:dyDescent="0.25">
      <c r="A1100" t="str">
        <f t="shared" si="69"/>
        <v>11900</v>
      </c>
      <c r="I1100" s="8" t="e">
        <f t="shared" si="67"/>
        <v>#DIV/0!</v>
      </c>
      <c r="J1100" s="8" t="e">
        <f t="shared" si="70"/>
        <v>#DIV/0!</v>
      </c>
      <c r="K1100" s="8">
        <f t="shared" si="68"/>
        <v>-1</v>
      </c>
    </row>
    <row r="1101" spans="1:11" x14ac:dyDescent="0.25">
      <c r="A1101" t="str">
        <f t="shared" si="69"/>
        <v>11900</v>
      </c>
      <c r="I1101" s="8" t="e">
        <f t="shared" si="67"/>
        <v>#DIV/0!</v>
      </c>
      <c r="J1101" s="8" t="e">
        <f t="shared" si="70"/>
        <v>#DIV/0!</v>
      </c>
      <c r="K1101" s="8">
        <f t="shared" si="68"/>
        <v>-1</v>
      </c>
    </row>
    <row r="1102" spans="1:11" x14ac:dyDescent="0.25">
      <c r="A1102" t="str">
        <f t="shared" si="69"/>
        <v>11900</v>
      </c>
      <c r="I1102" s="8" t="e">
        <f t="shared" si="67"/>
        <v>#DIV/0!</v>
      </c>
      <c r="J1102" s="8" t="e">
        <f t="shared" si="70"/>
        <v>#DIV/0!</v>
      </c>
      <c r="K1102" s="8">
        <f t="shared" si="68"/>
        <v>-1</v>
      </c>
    </row>
    <row r="1103" spans="1:11" x14ac:dyDescent="0.25">
      <c r="A1103" t="str">
        <f t="shared" si="69"/>
        <v>11900</v>
      </c>
      <c r="I1103" s="8" t="e">
        <f t="shared" si="67"/>
        <v>#DIV/0!</v>
      </c>
      <c r="J1103" s="8" t="e">
        <f t="shared" si="70"/>
        <v>#DIV/0!</v>
      </c>
      <c r="K1103" s="8">
        <f t="shared" si="68"/>
        <v>-1</v>
      </c>
    </row>
    <row r="1104" spans="1:11" x14ac:dyDescent="0.25">
      <c r="A1104" t="str">
        <f t="shared" si="69"/>
        <v>11900</v>
      </c>
      <c r="I1104" s="8" t="e">
        <f t="shared" si="67"/>
        <v>#DIV/0!</v>
      </c>
      <c r="J1104" s="8" t="e">
        <f t="shared" si="70"/>
        <v>#DIV/0!</v>
      </c>
      <c r="K1104" s="8">
        <f t="shared" si="68"/>
        <v>-1</v>
      </c>
    </row>
    <row r="1105" spans="1:11" x14ac:dyDescent="0.25">
      <c r="A1105" t="str">
        <f t="shared" si="69"/>
        <v>11900</v>
      </c>
      <c r="I1105" s="8" t="e">
        <f t="shared" si="67"/>
        <v>#DIV/0!</v>
      </c>
      <c r="J1105" s="8" t="e">
        <f t="shared" si="70"/>
        <v>#DIV/0!</v>
      </c>
      <c r="K1105" s="8">
        <f t="shared" si="68"/>
        <v>-1</v>
      </c>
    </row>
    <row r="1106" spans="1:11" x14ac:dyDescent="0.25">
      <c r="A1106" t="str">
        <f t="shared" si="69"/>
        <v>11900</v>
      </c>
      <c r="I1106" s="8" t="e">
        <f t="shared" si="67"/>
        <v>#DIV/0!</v>
      </c>
      <c r="J1106" s="8" t="e">
        <f t="shared" si="70"/>
        <v>#DIV/0!</v>
      </c>
      <c r="K1106" s="8">
        <f t="shared" si="68"/>
        <v>-1</v>
      </c>
    </row>
    <row r="1107" spans="1:11" x14ac:dyDescent="0.25">
      <c r="A1107" t="str">
        <f t="shared" si="69"/>
        <v>11900</v>
      </c>
      <c r="I1107" s="8" t="e">
        <f t="shared" si="67"/>
        <v>#DIV/0!</v>
      </c>
      <c r="J1107" s="8" t="e">
        <f t="shared" si="70"/>
        <v>#DIV/0!</v>
      </c>
      <c r="K1107" s="8">
        <f t="shared" si="68"/>
        <v>-1</v>
      </c>
    </row>
    <row r="1108" spans="1:11" x14ac:dyDescent="0.25">
      <c r="A1108" t="str">
        <f t="shared" si="69"/>
        <v>11900</v>
      </c>
      <c r="I1108" s="8" t="e">
        <f t="shared" si="67"/>
        <v>#DIV/0!</v>
      </c>
      <c r="J1108" s="8" t="e">
        <f t="shared" si="70"/>
        <v>#DIV/0!</v>
      </c>
      <c r="K1108" s="8">
        <f t="shared" si="68"/>
        <v>-1</v>
      </c>
    </row>
    <row r="1109" spans="1:11" x14ac:dyDescent="0.25">
      <c r="A1109" t="str">
        <f t="shared" si="69"/>
        <v>11900</v>
      </c>
      <c r="I1109" s="8" t="e">
        <f t="shared" si="67"/>
        <v>#DIV/0!</v>
      </c>
      <c r="J1109" s="8" t="e">
        <f t="shared" si="70"/>
        <v>#DIV/0!</v>
      </c>
      <c r="K1109" s="8">
        <f t="shared" si="68"/>
        <v>-1</v>
      </c>
    </row>
    <row r="1110" spans="1:11" x14ac:dyDescent="0.25">
      <c r="A1110" t="str">
        <f t="shared" si="69"/>
        <v>11900</v>
      </c>
      <c r="I1110" s="8" t="e">
        <f t="shared" si="67"/>
        <v>#DIV/0!</v>
      </c>
      <c r="J1110" s="8" t="e">
        <f t="shared" si="70"/>
        <v>#DIV/0!</v>
      </c>
      <c r="K1110" s="8">
        <f t="shared" si="68"/>
        <v>-1</v>
      </c>
    </row>
    <row r="1111" spans="1:11" x14ac:dyDescent="0.25">
      <c r="A1111" t="str">
        <f t="shared" si="69"/>
        <v>11900</v>
      </c>
      <c r="I1111" s="8" t="e">
        <f t="shared" si="67"/>
        <v>#DIV/0!</v>
      </c>
      <c r="J1111" s="8" t="e">
        <f t="shared" si="70"/>
        <v>#DIV/0!</v>
      </c>
      <c r="K1111" s="8">
        <f t="shared" si="68"/>
        <v>-1</v>
      </c>
    </row>
    <row r="1112" spans="1:11" x14ac:dyDescent="0.25">
      <c r="A1112" t="str">
        <f t="shared" si="69"/>
        <v>11900</v>
      </c>
      <c r="I1112" s="8" t="e">
        <f t="shared" si="67"/>
        <v>#DIV/0!</v>
      </c>
      <c r="J1112" s="8" t="e">
        <f t="shared" si="70"/>
        <v>#DIV/0!</v>
      </c>
      <c r="K1112" s="8">
        <f t="shared" si="68"/>
        <v>-1</v>
      </c>
    </row>
    <row r="1113" spans="1:11" x14ac:dyDescent="0.25">
      <c r="A1113" t="str">
        <f t="shared" si="69"/>
        <v>11900</v>
      </c>
      <c r="I1113" s="8" t="e">
        <f t="shared" si="67"/>
        <v>#DIV/0!</v>
      </c>
      <c r="J1113" s="8" t="e">
        <f t="shared" si="70"/>
        <v>#DIV/0!</v>
      </c>
      <c r="K1113" s="8">
        <f t="shared" si="68"/>
        <v>-1</v>
      </c>
    </row>
    <row r="1114" spans="1:11" x14ac:dyDescent="0.25">
      <c r="A1114" t="str">
        <f t="shared" si="69"/>
        <v>11900</v>
      </c>
      <c r="I1114" s="8" t="e">
        <f t="shared" si="67"/>
        <v>#DIV/0!</v>
      </c>
      <c r="J1114" s="8" t="e">
        <f t="shared" si="70"/>
        <v>#DIV/0!</v>
      </c>
      <c r="K1114" s="8">
        <f t="shared" si="68"/>
        <v>-1</v>
      </c>
    </row>
    <row r="1115" spans="1:11" x14ac:dyDescent="0.25">
      <c r="A1115" t="str">
        <f t="shared" si="69"/>
        <v>11900</v>
      </c>
      <c r="I1115" s="8" t="e">
        <f t="shared" si="67"/>
        <v>#DIV/0!</v>
      </c>
      <c r="J1115" s="8" t="e">
        <f t="shared" si="70"/>
        <v>#DIV/0!</v>
      </c>
      <c r="K1115" s="8">
        <f t="shared" si="68"/>
        <v>-1</v>
      </c>
    </row>
    <row r="1116" spans="1:11" x14ac:dyDescent="0.25">
      <c r="A1116" t="str">
        <f t="shared" si="69"/>
        <v>11900</v>
      </c>
      <c r="I1116" s="8" t="e">
        <f t="shared" si="67"/>
        <v>#DIV/0!</v>
      </c>
      <c r="J1116" s="8" t="e">
        <f t="shared" si="70"/>
        <v>#DIV/0!</v>
      </c>
      <c r="K1116" s="8">
        <f t="shared" si="68"/>
        <v>-1</v>
      </c>
    </row>
    <row r="1117" spans="1:11" x14ac:dyDescent="0.25">
      <c r="A1117" t="str">
        <f t="shared" si="69"/>
        <v>11900</v>
      </c>
      <c r="I1117" s="8" t="e">
        <f t="shared" si="67"/>
        <v>#DIV/0!</v>
      </c>
      <c r="J1117" s="8" t="e">
        <f t="shared" si="70"/>
        <v>#DIV/0!</v>
      </c>
      <c r="K1117" s="8">
        <f t="shared" si="68"/>
        <v>-1</v>
      </c>
    </row>
    <row r="1118" spans="1:11" x14ac:dyDescent="0.25">
      <c r="A1118" t="str">
        <f t="shared" si="69"/>
        <v>11900</v>
      </c>
      <c r="I1118" s="8" t="e">
        <f t="shared" si="67"/>
        <v>#DIV/0!</v>
      </c>
      <c r="J1118" s="8" t="e">
        <f t="shared" si="70"/>
        <v>#DIV/0!</v>
      </c>
      <c r="K1118" s="8">
        <f t="shared" si="68"/>
        <v>-1</v>
      </c>
    </row>
    <row r="1119" spans="1:11" x14ac:dyDescent="0.25">
      <c r="A1119" t="str">
        <f t="shared" si="69"/>
        <v>11900</v>
      </c>
      <c r="I1119" s="8" t="e">
        <f t="shared" si="67"/>
        <v>#DIV/0!</v>
      </c>
      <c r="J1119" s="8" t="e">
        <f t="shared" si="70"/>
        <v>#DIV/0!</v>
      </c>
      <c r="K1119" s="8">
        <f t="shared" si="68"/>
        <v>-1</v>
      </c>
    </row>
    <row r="1120" spans="1:11" x14ac:dyDescent="0.25">
      <c r="A1120" t="str">
        <f t="shared" si="69"/>
        <v>11900</v>
      </c>
      <c r="I1120" s="8" t="e">
        <f t="shared" si="67"/>
        <v>#DIV/0!</v>
      </c>
      <c r="J1120" s="8" t="e">
        <f t="shared" si="70"/>
        <v>#DIV/0!</v>
      </c>
      <c r="K1120" s="8">
        <f t="shared" si="68"/>
        <v>-1</v>
      </c>
    </row>
    <row r="1121" spans="1:11" x14ac:dyDescent="0.25">
      <c r="A1121" t="str">
        <f t="shared" si="69"/>
        <v>11900</v>
      </c>
      <c r="I1121" s="8" t="e">
        <f t="shared" si="67"/>
        <v>#DIV/0!</v>
      </c>
      <c r="J1121" s="8" t="e">
        <f t="shared" si="70"/>
        <v>#DIV/0!</v>
      </c>
      <c r="K1121" s="8">
        <f t="shared" si="68"/>
        <v>-1</v>
      </c>
    </row>
    <row r="1122" spans="1:11" x14ac:dyDescent="0.25">
      <c r="A1122" t="str">
        <f t="shared" si="69"/>
        <v>11900</v>
      </c>
      <c r="I1122" s="8" t="e">
        <f t="shared" si="67"/>
        <v>#DIV/0!</v>
      </c>
      <c r="J1122" s="8" t="e">
        <f t="shared" si="70"/>
        <v>#DIV/0!</v>
      </c>
      <c r="K1122" s="8">
        <f t="shared" si="68"/>
        <v>-1</v>
      </c>
    </row>
    <row r="1123" spans="1:11" x14ac:dyDescent="0.25">
      <c r="A1123" t="str">
        <f t="shared" si="69"/>
        <v>11900</v>
      </c>
      <c r="I1123" s="8" t="e">
        <f t="shared" si="67"/>
        <v>#DIV/0!</v>
      </c>
      <c r="J1123" s="8" t="e">
        <f t="shared" si="70"/>
        <v>#DIV/0!</v>
      </c>
      <c r="K1123" s="8">
        <f t="shared" si="68"/>
        <v>-1</v>
      </c>
    </row>
    <row r="1124" spans="1:11" x14ac:dyDescent="0.25">
      <c r="A1124" t="str">
        <f t="shared" si="69"/>
        <v>11900</v>
      </c>
      <c r="I1124" s="8" t="e">
        <f t="shared" si="67"/>
        <v>#DIV/0!</v>
      </c>
      <c r="J1124" s="8" t="e">
        <f t="shared" si="70"/>
        <v>#DIV/0!</v>
      </c>
      <c r="K1124" s="8">
        <f t="shared" si="68"/>
        <v>-1</v>
      </c>
    </row>
    <row r="1125" spans="1:11" x14ac:dyDescent="0.25">
      <c r="A1125" t="str">
        <f t="shared" si="69"/>
        <v>11900</v>
      </c>
      <c r="I1125" s="8" t="e">
        <f t="shared" si="67"/>
        <v>#DIV/0!</v>
      </c>
      <c r="J1125" s="8" t="e">
        <f t="shared" si="70"/>
        <v>#DIV/0!</v>
      </c>
      <c r="K1125" s="8">
        <f t="shared" si="68"/>
        <v>-1</v>
      </c>
    </row>
    <row r="1126" spans="1:11" x14ac:dyDescent="0.25">
      <c r="A1126" t="str">
        <f t="shared" si="69"/>
        <v>11900</v>
      </c>
      <c r="I1126" s="8" t="e">
        <f t="shared" si="67"/>
        <v>#DIV/0!</v>
      </c>
      <c r="J1126" s="8" t="e">
        <f t="shared" si="70"/>
        <v>#DIV/0!</v>
      </c>
      <c r="K1126" s="8">
        <f t="shared" si="68"/>
        <v>-1</v>
      </c>
    </row>
    <row r="1127" spans="1:11" x14ac:dyDescent="0.25">
      <c r="A1127" t="str">
        <f t="shared" si="69"/>
        <v>11900</v>
      </c>
      <c r="I1127" s="8" t="e">
        <f t="shared" si="67"/>
        <v>#DIV/0!</v>
      </c>
      <c r="J1127" s="8" t="e">
        <f t="shared" si="70"/>
        <v>#DIV/0!</v>
      </c>
      <c r="K1127" s="8">
        <f t="shared" si="68"/>
        <v>-1</v>
      </c>
    </row>
    <row r="1128" spans="1:11" x14ac:dyDescent="0.25">
      <c r="A1128" t="str">
        <f t="shared" si="69"/>
        <v>11900</v>
      </c>
      <c r="I1128" s="8" t="e">
        <f t="shared" si="67"/>
        <v>#DIV/0!</v>
      </c>
      <c r="J1128" s="8" t="e">
        <f t="shared" si="70"/>
        <v>#DIV/0!</v>
      </c>
      <c r="K1128" s="8">
        <f t="shared" si="68"/>
        <v>-1</v>
      </c>
    </row>
    <row r="1129" spans="1:11" x14ac:dyDescent="0.25">
      <c r="A1129" t="str">
        <f t="shared" si="69"/>
        <v>11900</v>
      </c>
      <c r="I1129" s="8" t="e">
        <f t="shared" si="67"/>
        <v>#DIV/0!</v>
      </c>
      <c r="J1129" s="8" t="e">
        <f t="shared" si="70"/>
        <v>#DIV/0!</v>
      </c>
      <c r="K1129" s="8">
        <f t="shared" si="68"/>
        <v>-1</v>
      </c>
    </row>
    <row r="1130" spans="1:11" x14ac:dyDescent="0.25">
      <c r="A1130" t="str">
        <f t="shared" si="69"/>
        <v>11900</v>
      </c>
      <c r="I1130" s="8" t="e">
        <f t="shared" si="67"/>
        <v>#DIV/0!</v>
      </c>
      <c r="J1130" s="8" t="e">
        <f t="shared" si="70"/>
        <v>#DIV/0!</v>
      </c>
      <c r="K1130" s="8">
        <f t="shared" si="68"/>
        <v>-1</v>
      </c>
    </row>
    <row r="1131" spans="1:11" x14ac:dyDescent="0.25">
      <c r="A1131" t="str">
        <f t="shared" si="69"/>
        <v>11900</v>
      </c>
      <c r="I1131" s="8" t="e">
        <f t="shared" si="67"/>
        <v>#DIV/0!</v>
      </c>
      <c r="J1131" s="8" t="e">
        <f t="shared" si="70"/>
        <v>#DIV/0!</v>
      </c>
      <c r="K1131" s="8">
        <f t="shared" si="68"/>
        <v>-1</v>
      </c>
    </row>
    <row r="1132" spans="1:11" x14ac:dyDescent="0.25">
      <c r="A1132" t="str">
        <f t="shared" si="69"/>
        <v>11900</v>
      </c>
      <c r="I1132" s="8" t="e">
        <f t="shared" si="67"/>
        <v>#DIV/0!</v>
      </c>
      <c r="J1132" s="8" t="e">
        <f t="shared" si="70"/>
        <v>#DIV/0!</v>
      </c>
      <c r="K1132" s="8">
        <f t="shared" si="68"/>
        <v>-1</v>
      </c>
    </row>
    <row r="1133" spans="1:11" x14ac:dyDescent="0.25">
      <c r="A1133" t="str">
        <f t="shared" si="69"/>
        <v>11900</v>
      </c>
      <c r="I1133" s="8" t="e">
        <f t="shared" si="67"/>
        <v>#DIV/0!</v>
      </c>
      <c r="J1133" s="8" t="e">
        <f t="shared" si="70"/>
        <v>#DIV/0!</v>
      </c>
      <c r="K1133" s="8">
        <f t="shared" si="68"/>
        <v>-1</v>
      </c>
    </row>
    <row r="1134" spans="1:11" x14ac:dyDescent="0.25">
      <c r="A1134" t="str">
        <f t="shared" si="69"/>
        <v>11900</v>
      </c>
      <c r="I1134" s="8" t="e">
        <f t="shared" si="67"/>
        <v>#DIV/0!</v>
      </c>
      <c r="J1134" s="8" t="e">
        <f t="shared" si="70"/>
        <v>#DIV/0!</v>
      </c>
      <c r="K1134" s="8">
        <f t="shared" si="68"/>
        <v>-1</v>
      </c>
    </row>
    <row r="1135" spans="1:11" x14ac:dyDescent="0.25">
      <c r="A1135" t="str">
        <f t="shared" si="69"/>
        <v>11900</v>
      </c>
      <c r="I1135" s="8" t="e">
        <f t="shared" si="67"/>
        <v>#DIV/0!</v>
      </c>
      <c r="J1135" s="8" t="e">
        <f t="shared" si="70"/>
        <v>#DIV/0!</v>
      </c>
      <c r="K1135" s="8">
        <f t="shared" si="68"/>
        <v>-1</v>
      </c>
    </row>
    <row r="1136" spans="1:11" x14ac:dyDescent="0.25">
      <c r="A1136" t="str">
        <f t="shared" si="69"/>
        <v>11900</v>
      </c>
      <c r="I1136" s="8" t="e">
        <f t="shared" si="67"/>
        <v>#DIV/0!</v>
      </c>
      <c r="J1136" s="8" t="e">
        <f t="shared" si="70"/>
        <v>#DIV/0!</v>
      </c>
      <c r="K1136" s="8">
        <f t="shared" si="68"/>
        <v>-1</v>
      </c>
    </row>
    <row r="1137" spans="1:11" x14ac:dyDescent="0.25">
      <c r="A1137" t="str">
        <f t="shared" si="69"/>
        <v>11900</v>
      </c>
      <c r="I1137" s="8" t="e">
        <f t="shared" si="67"/>
        <v>#DIV/0!</v>
      </c>
      <c r="J1137" s="8" t="e">
        <f t="shared" si="70"/>
        <v>#DIV/0!</v>
      </c>
      <c r="K1137" s="8">
        <f t="shared" si="68"/>
        <v>-1</v>
      </c>
    </row>
    <row r="1138" spans="1:11" x14ac:dyDescent="0.25">
      <c r="A1138" t="str">
        <f t="shared" si="69"/>
        <v>11900</v>
      </c>
      <c r="I1138" s="8" t="e">
        <f t="shared" si="67"/>
        <v>#DIV/0!</v>
      </c>
      <c r="J1138" s="8" t="e">
        <f t="shared" si="70"/>
        <v>#DIV/0!</v>
      </c>
      <c r="K1138" s="8">
        <f t="shared" si="68"/>
        <v>-1</v>
      </c>
    </row>
    <row r="1139" spans="1:11" x14ac:dyDescent="0.25">
      <c r="A1139" t="str">
        <f t="shared" si="69"/>
        <v>11900</v>
      </c>
      <c r="I1139" s="8" t="e">
        <f t="shared" si="67"/>
        <v>#DIV/0!</v>
      </c>
      <c r="J1139" s="8" t="e">
        <f t="shared" si="70"/>
        <v>#DIV/0!</v>
      </c>
      <c r="K1139" s="8">
        <f t="shared" si="68"/>
        <v>-1</v>
      </c>
    </row>
    <row r="1140" spans="1:11" x14ac:dyDescent="0.25">
      <c r="A1140" t="str">
        <f t="shared" si="69"/>
        <v>11900</v>
      </c>
      <c r="I1140" s="8" t="e">
        <f t="shared" si="67"/>
        <v>#DIV/0!</v>
      </c>
      <c r="J1140" s="8" t="e">
        <f t="shared" si="70"/>
        <v>#DIV/0!</v>
      </c>
      <c r="K1140" s="8">
        <f t="shared" si="68"/>
        <v>-1</v>
      </c>
    </row>
    <row r="1141" spans="1:11" x14ac:dyDescent="0.25">
      <c r="A1141" t="str">
        <f t="shared" si="69"/>
        <v>11900</v>
      </c>
      <c r="I1141" s="8" t="e">
        <f t="shared" si="67"/>
        <v>#DIV/0!</v>
      </c>
      <c r="J1141" s="8" t="e">
        <f t="shared" si="70"/>
        <v>#DIV/0!</v>
      </c>
      <c r="K1141" s="8" t="e">
        <f t="shared" si="68"/>
        <v>#DIV/0!</v>
      </c>
    </row>
    <row r="1142" spans="1:11" x14ac:dyDescent="0.25">
      <c r="A1142" t="str">
        <f t="shared" si="69"/>
        <v>11900</v>
      </c>
      <c r="I1142" s="8" t="e">
        <f t="shared" si="67"/>
        <v>#DIV/0!</v>
      </c>
      <c r="J1142" s="8" t="e">
        <f t="shared" si="70"/>
        <v>#DIV/0!</v>
      </c>
      <c r="K1142" s="8" t="e">
        <f t="shared" si="68"/>
        <v>#DIV/0!</v>
      </c>
    </row>
    <row r="1143" spans="1:11" x14ac:dyDescent="0.25">
      <c r="A1143" t="str">
        <f t="shared" si="69"/>
        <v>11900</v>
      </c>
      <c r="I1143" s="8" t="e">
        <f t="shared" si="67"/>
        <v>#DIV/0!</v>
      </c>
      <c r="J1143" s="8" t="e">
        <f t="shared" si="70"/>
        <v>#DIV/0!</v>
      </c>
      <c r="K1143" s="8" t="e">
        <f t="shared" si="68"/>
        <v>#DIV/0!</v>
      </c>
    </row>
    <row r="1144" spans="1:11" x14ac:dyDescent="0.25">
      <c r="A1144" t="str">
        <f t="shared" si="69"/>
        <v>11900</v>
      </c>
      <c r="I1144" s="8" t="e">
        <f t="shared" ref="I1144:I1207" si="71">+G1144/G1143-1</f>
        <v>#DIV/0!</v>
      </c>
      <c r="J1144" s="8" t="e">
        <f t="shared" si="70"/>
        <v>#DIV/0!</v>
      </c>
      <c r="K1144" s="8" t="e">
        <f t="shared" si="68"/>
        <v>#DIV/0!</v>
      </c>
    </row>
    <row r="1145" spans="1:11" x14ac:dyDescent="0.25">
      <c r="A1145" t="str">
        <f t="shared" si="69"/>
        <v>11900</v>
      </c>
      <c r="I1145" s="8" t="e">
        <f t="shared" si="71"/>
        <v>#DIV/0!</v>
      </c>
      <c r="J1145" s="8" t="e">
        <f t="shared" si="70"/>
        <v>#DIV/0!</v>
      </c>
      <c r="K1145" s="8" t="e">
        <f t="shared" si="68"/>
        <v>#DIV/0!</v>
      </c>
    </row>
    <row r="1146" spans="1:11" x14ac:dyDescent="0.25">
      <c r="A1146" t="str">
        <f t="shared" si="69"/>
        <v>11900</v>
      </c>
      <c r="I1146" s="8" t="e">
        <f t="shared" si="71"/>
        <v>#DIV/0!</v>
      </c>
      <c r="J1146" s="8" t="e">
        <f t="shared" si="70"/>
        <v>#DIV/0!</v>
      </c>
      <c r="K1146" s="8" t="e">
        <f t="shared" si="68"/>
        <v>#DIV/0!</v>
      </c>
    </row>
    <row r="1147" spans="1:11" x14ac:dyDescent="0.25">
      <c r="A1147" t="str">
        <f t="shared" si="69"/>
        <v>11900</v>
      </c>
      <c r="I1147" s="8" t="e">
        <f t="shared" si="71"/>
        <v>#DIV/0!</v>
      </c>
      <c r="J1147" s="8" t="e">
        <f t="shared" si="70"/>
        <v>#DIV/0!</v>
      </c>
      <c r="K1147" s="8" t="e">
        <f t="shared" si="68"/>
        <v>#DIV/0!</v>
      </c>
    </row>
    <row r="1148" spans="1:11" x14ac:dyDescent="0.25">
      <c r="A1148" t="str">
        <f t="shared" si="69"/>
        <v>11900</v>
      </c>
      <c r="I1148" s="8" t="e">
        <f t="shared" si="71"/>
        <v>#DIV/0!</v>
      </c>
      <c r="J1148" s="8" t="e">
        <f t="shared" si="70"/>
        <v>#DIV/0!</v>
      </c>
      <c r="K1148" s="8" t="e">
        <f t="shared" si="68"/>
        <v>#DIV/0!</v>
      </c>
    </row>
    <row r="1149" spans="1:11" x14ac:dyDescent="0.25">
      <c r="A1149" t="str">
        <f t="shared" si="69"/>
        <v>11900</v>
      </c>
      <c r="I1149" s="8" t="e">
        <f t="shared" si="71"/>
        <v>#DIV/0!</v>
      </c>
      <c r="J1149" s="8" t="e">
        <f t="shared" si="70"/>
        <v>#DIV/0!</v>
      </c>
      <c r="K1149" s="8" t="e">
        <f t="shared" si="68"/>
        <v>#DIV/0!</v>
      </c>
    </row>
    <row r="1150" spans="1:11" x14ac:dyDescent="0.25">
      <c r="A1150" t="str">
        <f t="shared" si="69"/>
        <v>11900</v>
      </c>
      <c r="I1150" s="8" t="e">
        <f t="shared" si="71"/>
        <v>#DIV/0!</v>
      </c>
      <c r="J1150" s="8" t="e">
        <f t="shared" si="70"/>
        <v>#DIV/0!</v>
      </c>
      <c r="K1150" s="8" t="e">
        <f t="shared" si="68"/>
        <v>#DIV/0!</v>
      </c>
    </row>
    <row r="1151" spans="1:11" x14ac:dyDescent="0.25">
      <c r="A1151" t="str">
        <f t="shared" si="69"/>
        <v>11900</v>
      </c>
      <c r="I1151" s="8" t="e">
        <f t="shared" si="71"/>
        <v>#DIV/0!</v>
      </c>
      <c r="J1151" s="8" t="e">
        <f t="shared" si="70"/>
        <v>#DIV/0!</v>
      </c>
      <c r="K1151" s="8" t="e">
        <f t="shared" si="68"/>
        <v>#DIV/0!</v>
      </c>
    </row>
    <row r="1152" spans="1:11" x14ac:dyDescent="0.25">
      <c r="A1152" t="str">
        <f t="shared" si="69"/>
        <v>11900</v>
      </c>
      <c r="I1152" s="8" t="e">
        <f t="shared" si="71"/>
        <v>#DIV/0!</v>
      </c>
      <c r="J1152" s="8" t="e">
        <f t="shared" si="70"/>
        <v>#DIV/0!</v>
      </c>
      <c r="K1152" s="8" t="e">
        <f t="shared" ref="K1152:K1215" si="72">+G1152/G1091-1</f>
        <v>#DIV/0!</v>
      </c>
    </row>
    <row r="1153" spans="1:11" x14ac:dyDescent="0.25">
      <c r="A1153" t="str">
        <f t="shared" si="69"/>
        <v>11900</v>
      </c>
      <c r="I1153" s="8" t="e">
        <f t="shared" si="71"/>
        <v>#DIV/0!</v>
      </c>
      <c r="J1153" s="8" t="e">
        <f t="shared" si="70"/>
        <v>#DIV/0!</v>
      </c>
      <c r="K1153" s="8" t="e">
        <f t="shared" si="72"/>
        <v>#DIV/0!</v>
      </c>
    </row>
    <row r="1154" spans="1:11" x14ac:dyDescent="0.25">
      <c r="A1154" t="str">
        <f t="shared" si="69"/>
        <v>11900</v>
      </c>
      <c r="I1154" s="8" t="e">
        <f t="shared" si="71"/>
        <v>#DIV/0!</v>
      </c>
      <c r="J1154" s="8" t="e">
        <f t="shared" si="70"/>
        <v>#DIV/0!</v>
      </c>
      <c r="K1154" s="8" t="e">
        <f t="shared" si="72"/>
        <v>#DIV/0!</v>
      </c>
    </row>
    <row r="1155" spans="1:11" x14ac:dyDescent="0.25">
      <c r="A1155" t="str">
        <f t="shared" ref="A1155:A1218" si="73">+MONTH(B1155)&amp;YEAR(B1155)</f>
        <v>11900</v>
      </c>
      <c r="I1155" s="8" t="e">
        <f t="shared" si="71"/>
        <v>#DIV/0!</v>
      </c>
      <c r="J1155" s="8" t="e">
        <f t="shared" si="70"/>
        <v>#DIV/0!</v>
      </c>
      <c r="K1155" s="8" t="e">
        <f t="shared" si="72"/>
        <v>#DIV/0!</v>
      </c>
    </row>
    <row r="1156" spans="1:11" x14ac:dyDescent="0.25">
      <c r="A1156" t="str">
        <f t="shared" si="73"/>
        <v>11900</v>
      </c>
      <c r="I1156" s="8" t="e">
        <f t="shared" si="71"/>
        <v>#DIV/0!</v>
      </c>
      <c r="J1156" s="8" t="e">
        <f t="shared" ref="J1156:J1219" si="74">+LN(1+I1156)</f>
        <v>#DIV/0!</v>
      </c>
      <c r="K1156" s="8" t="e">
        <f t="shared" si="72"/>
        <v>#DIV/0!</v>
      </c>
    </row>
    <row r="1157" spans="1:11" x14ac:dyDescent="0.25">
      <c r="A1157" t="str">
        <f t="shared" si="73"/>
        <v>11900</v>
      </c>
      <c r="I1157" s="8" t="e">
        <f t="shared" si="71"/>
        <v>#DIV/0!</v>
      </c>
      <c r="J1157" s="8" t="e">
        <f t="shared" si="74"/>
        <v>#DIV/0!</v>
      </c>
      <c r="K1157" s="8" t="e">
        <f t="shared" si="72"/>
        <v>#DIV/0!</v>
      </c>
    </row>
    <row r="1158" spans="1:11" x14ac:dyDescent="0.25">
      <c r="A1158" t="str">
        <f t="shared" si="73"/>
        <v>11900</v>
      </c>
      <c r="I1158" s="8" t="e">
        <f t="shared" si="71"/>
        <v>#DIV/0!</v>
      </c>
      <c r="J1158" s="8" t="e">
        <f t="shared" si="74"/>
        <v>#DIV/0!</v>
      </c>
      <c r="K1158" s="8" t="e">
        <f t="shared" si="72"/>
        <v>#DIV/0!</v>
      </c>
    </row>
    <row r="1159" spans="1:11" x14ac:dyDescent="0.25">
      <c r="A1159" t="str">
        <f t="shared" si="73"/>
        <v>11900</v>
      </c>
      <c r="I1159" s="8" t="e">
        <f t="shared" si="71"/>
        <v>#DIV/0!</v>
      </c>
      <c r="J1159" s="8" t="e">
        <f t="shared" si="74"/>
        <v>#DIV/0!</v>
      </c>
      <c r="K1159" s="8" t="e">
        <f t="shared" si="72"/>
        <v>#DIV/0!</v>
      </c>
    </row>
    <row r="1160" spans="1:11" x14ac:dyDescent="0.25">
      <c r="A1160" t="str">
        <f t="shared" si="73"/>
        <v>11900</v>
      </c>
      <c r="I1160" s="8" t="e">
        <f t="shared" si="71"/>
        <v>#DIV/0!</v>
      </c>
      <c r="J1160" s="8" t="e">
        <f t="shared" si="74"/>
        <v>#DIV/0!</v>
      </c>
      <c r="K1160" s="8" t="e">
        <f t="shared" si="72"/>
        <v>#DIV/0!</v>
      </c>
    </row>
    <row r="1161" spans="1:11" x14ac:dyDescent="0.25">
      <c r="A1161" t="str">
        <f t="shared" si="73"/>
        <v>11900</v>
      </c>
      <c r="I1161" s="8" t="e">
        <f t="shared" si="71"/>
        <v>#DIV/0!</v>
      </c>
      <c r="J1161" s="8" t="e">
        <f t="shared" si="74"/>
        <v>#DIV/0!</v>
      </c>
      <c r="K1161" s="8" t="e">
        <f t="shared" si="72"/>
        <v>#DIV/0!</v>
      </c>
    </row>
    <row r="1162" spans="1:11" x14ac:dyDescent="0.25">
      <c r="A1162" t="str">
        <f t="shared" si="73"/>
        <v>11900</v>
      </c>
      <c r="I1162" s="8" t="e">
        <f t="shared" si="71"/>
        <v>#DIV/0!</v>
      </c>
      <c r="J1162" s="8" t="e">
        <f t="shared" si="74"/>
        <v>#DIV/0!</v>
      </c>
      <c r="K1162" s="8" t="e">
        <f t="shared" si="72"/>
        <v>#DIV/0!</v>
      </c>
    </row>
    <row r="1163" spans="1:11" x14ac:dyDescent="0.25">
      <c r="A1163" t="str">
        <f t="shared" si="73"/>
        <v>11900</v>
      </c>
      <c r="I1163" s="8" t="e">
        <f t="shared" si="71"/>
        <v>#DIV/0!</v>
      </c>
      <c r="J1163" s="8" t="e">
        <f t="shared" si="74"/>
        <v>#DIV/0!</v>
      </c>
      <c r="K1163" s="8" t="e">
        <f t="shared" si="72"/>
        <v>#DIV/0!</v>
      </c>
    </row>
    <row r="1164" spans="1:11" x14ac:dyDescent="0.25">
      <c r="A1164" t="str">
        <f t="shared" si="73"/>
        <v>11900</v>
      </c>
      <c r="I1164" s="8" t="e">
        <f t="shared" si="71"/>
        <v>#DIV/0!</v>
      </c>
      <c r="J1164" s="8" t="e">
        <f t="shared" si="74"/>
        <v>#DIV/0!</v>
      </c>
      <c r="K1164" s="8" t="e">
        <f t="shared" si="72"/>
        <v>#DIV/0!</v>
      </c>
    </row>
    <row r="1165" spans="1:11" x14ac:dyDescent="0.25">
      <c r="A1165" t="str">
        <f t="shared" si="73"/>
        <v>11900</v>
      </c>
      <c r="I1165" s="8" t="e">
        <f t="shared" si="71"/>
        <v>#DIV/0!</v>
      </c>
      <c r="J1165" s="8" t="e">
        <f t="shared" si="74"/>
        <v>#DIV/0!</v>
      </c>
      <c r="K1165" s="8" t="e">
        <f t="shared" si="72"/>
        <v>#DIV/0!</v>
      </c>
    </row>
    <row r="1166" spans="1:11" x14ac:dyDescent="0.25">
      <c r="A1166" t="str">
        <f t="shared" si="73"/>
        <v>11900</v>
      </c>
      <c r="I1166" s="8" t="e">
        <f t="shared" si="71"/>
        <v>#DIV/0!</v>
      </c>
      <c r="J1166" s="8" t="e">
        <f t="shared" si="74"/>
        <v>#DIV/0!</v>
      </c>
      <c r="K1166" s="8" t="e">
        <f t="shared" si="72"/>
        <v>#DIV/0!</v>
      </c>
    </row>
    <row r="1167" spans="1:11" x14ac:dyDescent="0.25">
      <c r="A1167" t="str">
        <f t="shared" si="73"/>
        <v>11900</v>
      </c>
      <c r="I1167" s="8" t="e">
        <f t="shared" si="71"/>
        <v>#DIV/0!</v>
      </c>
      <c r="J1167" s="8" t="e">
        <f t="shared" si="74"/>
        <v>#DIV/0!</v>
      </c>
      <c r="K1167" s="8" t="e">
        <f t="shared" si="72"/>
        <v>#DIV/0!</v>
      </c>
    </row>
    <row r="1168" spans="1:11" x14ac:dyDescent="0.25">
      <c r="A1168" t="str">
        <f t="shared" si="73"/>
        <v>11900</v>
      </c>
      <c r="I1168" s="8" t="e">
        <f t="shared" si="71"/>
        <v>#DIV/0!</v>
      </c>
      <c r="J1168" s="8" t="e">
        <f t="shared" si="74"/>
        <v>#DIV/0!</v>
      </c>
      <c r="K1168" s="8" t="e">
        <f t="shared" si="72"/>
        <v>#DIV/0!</v>
      </c>
    </row>
    <row r="1169" spans="1:11" x14ac:dyDescent="0.25">
      <c r="A1169" t="str">
        <f t="shared" si="73"/>
        <v>11900</v>
      </c>
      <c r="I1169" s="8" t="e">
        <f t="shared" si="71"/>
        <v>#DIV/0!</v>
      </c>
      <c r="J1169" s="8" t="e">
        <f t="shared" si="74"/>
        <v>#DIV/0!</v>
      </c>
      <c r="K1169" s="8" t="e">
        <f t="shared" si="72"/>
        <v>#DIV/0!</v>
      </c>
    </row>
    <row r="1170" spans="1:11" x14ac:dyDescent="0.25">
      <c r="A1170" t="str">
        <f t="shared" si="73"/>
        <v>11900</v>
      </c>
      <c r="I1170" s="8" t="e">
        <f t="shared" si="71"/>
        <v>#DIV/0!</v>
      </c>
      <c r="J1170" s="8" t="e">
        <f t="shared" si="74"/>
        <v>#DIV/0!</v>
      </c>
      <c r="K1170" s="8" t="e">
        <f t="shared" si="72"/>
        <v>#DIV/0!</v>
      </c>
    </row>
    <row r="1171" spans="1:11" x14ac:dyDescent="0.25">
      <c r="A1171" t="str">
        <f t="shared" si="73"/>
        <v>11900</v>
      </c>
      <c r="I1171" s="8" t="e">
        <f t="shared" si="71"/>
        <v>#DIV/0!</v>
      </c>
      <c r="J1171" s="8" t="e">
        <f t="shared" si="74"/>
        <v>#DIV/0!</v>
      </c>
      <c r="K1171" s="8" t="e">
        <f t="shared" si="72"/>
        <v>#DIV/0!</v>
      </c>
    </row>
    <row r="1172" spans="1:11" x14ac:dyDescent="0.25">
      <c r="A1172" t="str">
        <f t="shared" si="73"/>
        <v>11900</v>
      </c>
      <c r="I1172" s="8" t="e">
        <f t="shared" si="71"/>
        <v>#DIV/0!</v>
      </c>
      <c r="J1172" s="8" t="e">
        <f t="shared" si="74"/>
        <v>#DIV/0!</v>
      </c>
      <c r="K1172" s="8" t="e">
        <f t="shared" si="72"/>
        <v>#DIV/0!</v>
      </c>
    </row>
    <row r="1173" spans="1:11" x14ac:dyDescent="0.25">
      <c r="A1173" t="str">
        <f t="shared" si="73"/>
        <v>11900</v>
      </c>
      <c r="I1173" s="8" t="e">
        <f t="shared" si="71"/>
        <v>#DIV/0!</v>
      </c>
      <c r="J1173" s="8" t="e">
        <f t="shared" si="74"/>
        <v>#DIV/0!</v>
      </c>
      <c r="K1173" s="8" t="e">
        <f t="shared" si="72"/>
        <v>#DIV/0!</v>
      </c>
    </row>
    <row r="1174" spans="1:11" x14ac:dyDescent="0.25">
      <c r="A1174" t="str">
        <f t="shared" si="73"/>
        <v>11900</v>
      </c>
      <c r="I1174" s="8" t="e">
        <f t="shared" si="71"/>
        <v>#DIV/0!</v>
      </c>
      <c r="J1174" s="8" t="e">
        <f t="shared" si="74"/>
        <v>#DIV/0!</v>
      </c>
      <c r="K1174" s="8" t="e">
        <f t="shared" si="72"/>
        <v>#DIV/0!</v>
      </c>
    </row>
    <row r="1175" spans="1:11" x14ac:dyDescent="0.25">
      <c r="A1175" t="str">
        <f t="shared" si="73"/>
        <v>11900</v>
      </c>
      <c r="I1175" s="8" t="e">
        <f t="shared" si="71"/>
        <v>#DIV/0!</v>
      </c>
      <c r="J1175" s="8" t="e">
        <f t="shared" si="74"/>
        <v>#DIV/0!</v>
      </c>
      <c r="K1175" s="8" t="e">
        <f t="shared" si="72"/>
        <v>#DIV/0!</v>
      </c>
    </row>
    <row r="1176" spans="1:11" x14ac:dyDescent="0.25">
      <c r="A1176" t="str">
        <f t="shared" si="73"/>
        <v>11900</v>
      </c>
      <c r="I1176" s="8" t="e">
        <f t="shared" si="71"/>
        <v>#DIV/0!</v>
      </c>
      <c r="J1176" s="8" t="e">
        <f t="shared" si="74"/>
        <v>#DIV/0!</v>
      </c>
      <c r="K1176" s="8" t="e">
        <f t="shared" si="72"/>
        <v>#DIV/0!</v>
      </c>
    </row>
    <row r="1177" spans="1:11" x14ac:dyDescent="0.25">
      <c r="A1177" t="str">
        <f t="shared" si="73"/>
        <v>11900</v>
      </c>
      <c r="I1177" s="8" t="e">
        <f t="shared" si="71"/>
        <v>#DIV/0!</v>
      </c>
      <c r="J1177" s="8" t="e">
        <f t="shared" si="74"/>
        <v>#DIV/0!</v>
      </c>
      <c r="K1177" s="8" t="e">
        <f t="shared" si="72"/>
        <v>#DIV/0!</v>
      </c>
    </row>
    <row r="1178" spans="1:11" x14ac:dyDescent="0.25">
      <c r="A1178" t="str">
        <f t="shared" si="73"/>
        <v>11900</v>
      </c>
      <c r="I1178" s="8" t="e">
        <f t="shared" si="71"/>
        <v>#DIV/0!</v>
      </c>
      <c r="J1178" s="8" t="e">
        <f t="shared" si="74"/>
        <v>#DIV/0!</v>
      </c>
      <c r="K1178" s="8" t="e">
        <f t="shared" si="72"/>
        <v>#DIV/0!</v>
      </c>
    </row>
    <row r="1179" spans="1:11" x14ac:dyDescent="0.25">
      <c r="A1179" t="str">
        <f t="shared" si="73"/>
        <v>11900</v>
      </c>
      <c r="I1179" s="8" t="e">
        <f t="shared" si="71"/>
        <v>#DIV/0!</v>
      </c>
      <c r="J1179" s="8" t="e">
        <f t="shared" si="74"/>
        <v>#DIV/0!</v>
      </c>
      <c r="K1179" s="8" t="e">
        <f t="shared" si="72"/>
        <v>#DIV/0!</v>
      </c>
    </row>
    <row r="1180" spans="1:11" x14ac:dyDescent="0.25">
      <c r="A1180" t="str">
        <f t="shared" si="73"/>
        <v>11900</v>
      </c>
      <c r="I1180" s="8" t="e">
        <f t="shared" si="71"/>
        <v>#DIV/0!</v>
      </c>
      <c r="J1180" s="8" t="e">
        <f t="shared" si="74"/>
        <v>#DIV/0!</v>
      </c>
      <c r="K1180" s="8" t="e">
        <f t="shared" si="72"/>
        <v>#DIV/0!</v>
      </c>
    </row>
    <row r="1181" spans="1:11" x14ac:dyDescent="0.25">
      <c r="A1181" t="str">
        <f t="shared" si="73"/>
        <v>11900</v>
      </c>
      <c r="I1181" s="8" t="e">
        <f t="shared" si="71"/>
        <v>#DIV/0!</v>
      </c>
      <c r="J1181" s="8" t="e">
        <f t="shared" si="74"/>
        <v>#DIV/0!</v>
      </c>
      <c r="K1181" s="8" t="e">
        <f t="shared" si="72"/>
        <v>#DIV/0!</v>
      </c>
    </row>
    <row r="1182" spans="1:11" x14ac:dyDescent="0.25">
      <c r="A1182" t="str">
        <f t="shared" si="73"/>
        <v>11900</v>
      </c>
      <c r="I1182" s="8" t="e">
        <f t="shared" si="71"/>
        <v>#DIV/0!</v>
      </c>
      <c r="J1182" s="8" t="e">
        <f t="shared" si="74"/>
        <v>#DIV/0!</v>
      </c>
      <c r="K1182" s="8" t="e">
        <f t="shared" si="72"/>
        <v>#DIV/0!</v>
      </c>
    </row>
    <row r="1183" spans="1:11" x14ac:dyDescent="0.25">
      <c r="A1183" t="str">
        <f t="shared" si="73"/>
        <v>11900</v>
      </c>
      <c r="I1183" s="8" t="e">
        <f t="shared" si="71"/>
        <v>#DIV/0!</v>
      </c>
      <c r="J1183" s="8" t="e">
        <f t="shared" si="74"/>
        <v>#DIV/0!</v>
      </c>
      <c r="K1183" s="8" t="e">
        <f t="shared" si="72"/>
        <v>#DIV/0!</v>
      </c>
    </row>
    <row r="1184" spans="1:11" x14ac:dyDescent="0.25">
      <c r="A1184" t="str">
        <f t="shared" si="73"/>
        <v>11900</v>
      </c>
      <c r="I1184" s="8" t="e">
        <f t="shared" si="71"/>
        <v>#DIV/0!</v>
      </c>
      <c r="J1184" s="8" t="e">
        <f t="shared" si="74"/>
        <v>#DIV/0!</v>
      </c>
      <c r="K1184" s="8" t="e">
        <f t="shared" si="72"/>
        <v>#DIV/0!</v>
      </c>
    </row>
    <row r="1185" spans="1:11" x14ac:dyDescent="0.25">
      <c r="A1185" t="str">
        <f t="shared" si="73"/>
        <v>11900</v>
      </c>
      <c r="I1185" s="8" t="e">
        <f t="shared" si="71"/>
        <v>#DIV/0!</v>
      </c>
      <c r="J1185" s="8" t="e">
        <f t="shared" si="74"/>
        <v>#DIV/0!</v>
      </c>
      <c r="K1185" s="8" t="e">
        <f t="shared" si="72"/>
        <v>#DIV/0!</v>
      </c>
    </row>
    <row r="1186" spans="1:11" x14ac:dyDescent="0.25">
      <c r="A1186" t="str">
        <f t="shared" si="73"/>
        <v>11900</v>
      </c>
      <c r="I1186" s="8" t="e">
        <f t="shared" si="71"/>
        <v>#DIV/0!</v>
      </c>
      <c r="J1186" s="8" t="e">
        <f t="shared" si="74"/>
        <v>#DIV/0!</v>
      </c>
      <c r="K1186" s="8" t="e">
        <f t="shared" si="72"/>
        <v>#DIV/0!</v>
      </c>
    </row>
    <row r="1187" spans="1:11" x14ac:dyDescent="0.25">
      <c r="A1187" t="str">
        <f t="shared" si="73"/>
        <v>11900</v>
      </c>
      <c r="I1187" s="8" t="e">
        <f t="shared" si="71"/>
        <v>#DIV/0!</v>
      </c>
      <c r="J1187" s="8" t="e">
        <f t="shared" si="74"/>
        <v>#DIV/0!</v>
      </c>
      <c r="K1187" s="8" t="e">
        <f t="shared" si="72"/>
        <v>#DIV/0!</v>
      </c>
    </row>
    <row r="1188" spans="1:11" x14ac:dyDescent="0.25">
      <c r="A1188" t="str">
        <f t="shared" si="73"/>
        <v>11900</v>
      </c>
      <c r="I1188" s="8" t="e">
        <f t="shared" si="71"/>
        <v>#DIV/0!</v>
      </c>
      <c r="J1188" s="8" t="e">
        <f t="shared" si="74"/>
        <v>#DIV/0!</v>
      </c>
      <c r="K1188" s="8" t="e">
        <f t="shared" si="72"/>
        <v>#DIV/0!</v>
      </c>
    </row>
    <row r="1189" spans="1:11" x14ac:dyDescent="0.25">
      <c r="A1189" t="str">
        <f t="shared" si="73"/>
        <v>11900</v>
      </c>
      <c r="I1189" s="8" t="e">
        <f t="shared" si="71"/>
        <v>#DIV/0!</v>
      </c>
      <c r="J1189" s="8" t="e">
        <f t="shared" si="74"/>
        <v>#DIV/0!</v>
      </c>
      <c r="K1189" s="8" t="e">
        <f t="shared" si="72"/>
        <v>#DIV/0!</v>
      </c>
    </row>
    <row r="1190" spans="1:11" x14ac:dyDescent="0.25">
      <c r="A1190" t="str">
        <f t="shared" si="73"/>
        <v>11900</v>
      </c>
      <c r="I1190" s="8" t="e">
        <f t="shared" si="71"/>
        <v>#DIV/0!</v>
      </c>
      <c r="J1190" s="8" t="e">
        <f t="shared" si="74"/>
        <v>#DIV/0!</v>
      </c>
      <c r="K1190" s="8" t="e">
        <f t="shared" si="72"/>
        <v>#DIV/0!</v>
      </c>
    </row>
    <row r="1191" spans="1:11" x14ac:dyDescent="0.25">
      <c r="A1191" t="str">
        <f t="shared" si="73"/>
        <v>11900</v>
      </c>
      <c r="I1191" s="8" t="e">
        <f t="shared" si="71"/>
        <v>#DIV/0!</v>
      </c>
      <c r="J1191" s="8" t="e">
        <f t="shared" si="74"/>
        <v>#DIV/0!</v>
      </c>
      <c r="K1191" s="8" t="e">
        <f t="shared" si="72"/>
        <v>#DIV/0!</v>
      </c>
    </row>
    <row r="1192" spans="1:11" x14ac:dyDescent="0.25">
      <c r="A1192" t="str">
        <f t="shared" si="73"/>
        <v>11900</v>
      </c>
      <c r="I1192" s="8" t="e">
        <f t="shared" si="71"/>
        <v>#DIV/0!</v>
      </c>
      <c r="J1192" s="8" t="e">
        <f t="shared" si="74"/>
        <v>#DIV/0!</v>
      </c>
      <c r="K1192" s="8" t="e">
        <f t="shared" si="72"/>
        <v>#DIV/0!</v>
      </c>
    </row>
    <row r="1193" spans="1:11" x14ac:dyDescent="0.25">
      <c r="A1193" t="str">
        <f t="shared" si="73"/>
        <v>11900</v>
      </c>
      <c r="I1193" s="8" t="e">
        <f t="shared" si="71"/>
        <v>#DIV/0!</v>
      </c>
      <c r="J1193" s="8" t="e">
        <f t="shared" si="74"/>
        <v>#DIV/0!</v>
      </c>
      <c r="K1193" s="8" t="e">
        <f t="shared" si="72"/>
        <v>#DIV/0!</v>
      </c>
    </row>
    <row r="1194" spans="1:11" x14ac:dyDescent="0.25">
      <c r="A1194" t="str">
        <f t="shared" si="73"/>
        <v>11900</v>
      </c>
      <c r="I1194" s="8" t="e">
        <f t="shared" si="71"/>
        <v>#DIV/0!</v>
      </c>
      <c r="J1194" s="8" t="e">
        <f t="shared" si="74"/>
        <v>#DIV/0!</v>
      </c>
      <c r="K1194" s="8" t="e">
        <f t="shared" si="72"/>
        <v>#DIV/0!</v>
      </c>
    </row>
    <row r="1195" spans="1:11" x14ac:dyDescent="0.25">
      <c r="A1195" t="str">
        <f t="shared" si="73"/>
        <v>11900</v>
      </c>
      <c r="I1195" s="8" t="e">
        <f t="shared" si="71"/>
        <v>#DIV/0!</v>
      </c>
      <c r="J1195" s="8" t="e">
        <f t="shared" si="74"/>
        <v>#DIV/0!</v>
      </c>
      <c r="K1195" s="8" t="e">
        <f t="shared" si="72"/>
        <v>#DIV/0!</v>
      </c>
    </row>
    <row r="1196" spans="1:11" x14ac:dyDescent="0.25">
      <c r="A1196" t="str">
        <f t="shared" si="73"/>
        <v>11900</v>
      </c>
      <c r="I1196" s="8" t="e">
        <f t="shared" si="71"/>
        <v>#DIV/0!</v>
      </c>
      <c r="J1196" s="8" t="e">
        <f t="shared" si="74"/>
        <v>#DIV/0!</v>
      </c>
      <c r="K1196" s="8" t="e">
        <f t="shared" si="72"/>
        <v>#DIV/0!</v>
      </c>
    </row>
    <row r="1197" spans="1:11" x14ac:dyDescent="0.25">
      <c r="A1197" t="str">
        <f t="shared" si="73"/>
        <v>11900</v>
      </c>
      <c r="I1197" s="8" t="e">
        <f t="shared" si="71"/>
        <v>#DIV/0!</v>
      </c>
      <c r="J1197" s="8" t="e">
        <f t="shared" si="74"/>
        <v>#DIV/0!</v>
      </c>
      <c r="K1197" s="8" t="e">
        <f t="shared" si="72"/>
        <v>#DIV/0!</v>
      </c>
    </row>
    <row r="1198" spans="1:11" x14ac:dyDescent="0.25">
      <c r="A1198" t="str">
        <f t="shared" si="73"/>
        <v>11900</v>
      </c>
      <c r="I1198" s="8" t="e">
        <f t="shared" si="71"/>
        <v>#DIV/0!</v>
      </c>
      <c r="J1198" s="8" t="e">
        <f t="shared" si="74"/>
        <v>#DIV/0!</v>
      </c>
      <c r="K1198" s="8" t="e">
        <f t="shared" si="72"/>
        <v>#DIV/0!</v>
      </c>
    </row>
    <row r="1199" spans="1:11" x14ac:dyDescent="0.25">
      <c r="A1199" t="str">
        <f t="shared" si="73"/>
        <v>11900</v>
      </c>
      <c r="I1199" s="8" t="e">
        <f t="shared" si="71"/>
        <v>#DIV/0!</v>
      </c>
      <c r="J1199" s="8" t="e">
        <f t="shared" si="74"/>
        <v>#DIV/0!</v>
      </c>
      <c r="K1199" s="8" t="e">
        <f t="shared" si="72"/>
        <v>#DIV/0!</v>
      </c>
    </row>
    <row r="1200" spans="1:11" x14ac:dyDescent="0.25">
      <c r="A1200" t="str">
        <f t="shared" si="73"/>
        <v>11900</v>
      </c>
      <c r="I1200" s="8" t="e">
        <f t="shared" si="71"/>
        <v>#DIV/0!</v>
      </c>
      <c r="J1200" s="8" t="e">
        <f t="shared" si="74"/>
        <v>#DIV/0!</v>
      </c>
      <c r="K1200" s="8" t="e">
        <f t="shared" si="72"/>
        <v>#DIV/0!</v>
      </c>
    </row>
    <row r="1201" spans="1:11" x14ac:dyDescent="0.25">
      <c r="A1201" t="str">
        <f t="shared" si="73"/>
        <v>11900</v>
      </c>
      <c r="I1201" s="8" t="e">
        <f t="shared" si="71"/>
        <v>#DIV/0!</v>
      </c>
      <c r="J1201" s="8" t="e">
        <f t="shared" si="74"/>
        <v>#DIV/0!</v>
      </c>
      <c r="K1201" s="8" t="e">
        <f t="shared" si="72"/>
        <v>#DIV/0!</v>
      </c>
    </row>
    <row r="1202" spans="1:11" x14ac:dyDescent="0.25">
      <c r="A1202" t="str">
        <f t="shared" si="73"/>
        <v>11900</v>
      </c>
      <c r="I1202" s="8" t="e">
        <f t="shared" si="71"/>
        <v>#DIV/0!</v>
      </c>
      <c r="J1202" s="8" t="e">
        <f t="shared" si="74"/>
        <v>#DIV/0!</v>
      </c>
      <c r="K1202" s="8" t="e">
        <f t="shared" si="72"/>
        <v>#DIV/0!</v>
      </c>
    </row>
    <row r="1203" spans="1:11" x14ac:dyDescent="0.25">
      <c r="A1203" t="str">
        <f t="shared" si="73"/>
        <v>11900</v>
      </c>
      <c r="I1203" s="8" t="e">
        <f t="shared" si="71"/>
        <v>#DIV/0!</v>
      </c>
      <c r="J1203" s="8" t="e">
        <f t="shared" si="74"/>
        <v>#DIV/0!</v>
      </c>
      <c r="K1203" s="8" t="e">
        <f t="shared" si="72"/>
        <v>#DIV/0!</v>
      </c>
    </row>
    <row r="1204" spans="1:11" x14ac:dyDescent="0.25">
      <c r="A1204" t="str">
        <f t="shared" si="73"/>
        <v>11900</v>
      </c>
      <c r="I1204" s="8" t="e">
        <f t="shared" si="71"/>
        <v>#DIV/0!</v>
      </c>
      <c r="J1204" s="8" t="e">
        <f t="shared" si="74"/>
        <v>#DIV/0!</v>
      </c>
      <c r="K1204" s="8" t="e">
        <f t="shared" si="72"/>
        <v>#DIV/0!</v>
      </c>
    </row>
    <row r="1205" spans="1:11" x14ac:dyDescent="0.25">
      <c r="A1205" t="str">
        <f t="shared" si="73"/>
        <v>11900</v>
      </c>
      <c r="I1205" s="8" t="e">
        <f t="shared" si="71"/>
        <v>#DIV/0!</v>
      </c>
      <c r="J1205" s="8" t="e">
        <f t="shared" si="74"/>
        <v>#DIV/0!</v>
      </c>
      <c r="K1205" s="8" t="e">
        <f t="shared" si="72"/>
        <v>#DIV/0!</v>
      </c>
    </row>
    <row r="1206" spans="1:11" x14ac:dyDescent="0.25">
      <c r="A1206" t="str">
        <f t="shared" si="73"/>
        <v>11900</v>
      </c>
      <c r="I1206" s="8" t="e">
        <f t="shared" si="71"/>
        <v>#DIV/0!</v>
      </c>
      <c r="J1206" s="8" t="e">
        <f t="shared" si="74"/>
        <v>#DIV/0!</v>
      </c>
      <c r="K1206" s="8" t="e">
        <f t="shared" si="72"/>
        <v>#DIV/0!</v>
      </c>
    </row>
    <row r="1207" spans="1:11" x14ac:dyDescent="0.25">
      <c r="A1207" t="str">
        <f t="shared" si="73"/>
        <v>11900</v>
      </c>
      <c r="I1207" s="8" t="e">
        <f t="shared" si="71"/>
        <v>#DIV/0!</v>
      </c>
      <c r="J1207" s="8" t="e">
        <f t="shared" si="74"/>
        <v>#DIV/0!</v>
      </c>
      <c r="K1207" s="8" t="e">
        <f t="shared" si="72"/>
        <v>#DIV/0!</v>
      </c>
    </row>
    <row r="1208" spans="1:11" x14ac:dyDescent="0.25">
      <c r="A1208" t="str">
        <f t="shared" si="73"/>
        <v>11900</v>
      </c>
      <c r="I1208" s="8" t="e">
        <f t="shared" ref="I1208:I1238" si="75">+G1208/G1207-1</f>
        <v>#DIV/0!</v>
      </c>
      <c r="J1208" s="8" t="e">
        <f t="shared" si="74"/>
        <v>#DIV/0!</v>
      </c>
      <c r="K1208" s="8" t="e">
        <f t="shared" si="72"/>
        <v>#DIV/0!</v>
      </c>
    </row>
    <row r="1209" spans="1:11" x14ac:dyDescent="0.25">
      <c r="A1209" t="str">
        <f t="shared" si="73"/>
        <v>11900</v>
      </c>
      <c r="I1209" s="8" t="e">
        <f t="shared" si="75"/>
        <v>#DIV/0!</v>
      </c>
      <c r="J1209" s="8" t="e">
        <f t="shared" si="74"/>
        <v>#DIV/0!</v>
      </c>
      <c r="K1209" s="8" t="e">
        <f t="shared" si="72"/>
        <v>#DIV/0!</v>
      </c>
    </row>
    <row r="1210" spans="1:11" x14ac:dyDescent="0.25">
      <c r="A1210" t="str">
        <f t="shared" si="73"/>
        <v>11900</v>
      </c>
      <c r="I1210" s="8" t="e">
        <f t="shared" si="75"/>
        <v>#DIV/0!</v>
      </c>
      <c r="J1210" s="8" t="e">
        <f t="shared" si="74"/>
        <v>#DIV/0!</v>
      </c>
      <c r="K1210" s="8" t="e">
        <f t="shared" si="72"/>
        <v>#DIV/0!</v>
      </c>
    </row>
    <row r="1211" spans="1:11" x14ac:dyDescent="0.25">
      <c r="A1211" t="str">
        <f t="shared" si="73"/>
        <v>11900</v>
      </c>
      <c r="I1211" s="8" t="e">
        <f t="shared" si="75"/>
        <v>#DIV/0!</v>
      </c>
      <c r="J1211" s="8" t="e">
        <f t="shared" si="74"/>
        <v>#DIV/0!</v>
      </c>
      <c r="K1211" s="8" t="e">
        <f t="shared" si="72"/>
        <v>#DIV/0!</v>
      </c>
    </row>
    <row r="1212" spans="1:11" x14ac:dyDescent="0.25">
      <c r="A1212" t="str">
        <f t="shared" si="73"/>
        <v>11900</v>
      </c>
      <c r="I1212" s="8" t="e">
        <f t="shared" si="75"/>
        <v>#DIV/0!</v>
      </c>
      <c r="J1212" s="8" t="e">
        <f t="shared" si="74"/>
        <v>#DIV/0!</v>
      </c>
      <c r="K1212" s="8" t="e">
        <f t="shared" si="72"/>
        <v>#DIV/0!</v>
      </c>
    </row>
    <row r="1213" spans="1:11" x14ac:dyDescent="0.25">
      <c r="A1213" t="str">
        <f t="shared" si="73"/>
        <v>11900</v>
      </c>
      <c r="I1213" s="8" t="e">
        <f t="shared" si="75"/>
        <v>#DIV/0!</v>
      </c>
      <c r="J1213" s="8" t="e">
        <f t="shared" si="74"/>
        <v>#DIV/0!</v>
      </c>
      <c r="K1213" s="8" t="e">
        <f t="shared" si="72"/>
        <v>#DIV/0!</v>
      </c>
    </row>
    <row r="1214" spans="1:11" x14ac:dyDescent="0.25">
      <c r="A1214" t="str">
        <f t="shared" si="73"/>
        <v>11900</v>
      </c>
      <c r="I1214" s="8" t="e">
        <f t="shared" si="75"/>
        <v>#DIV/0!</v>
      </c>
      <c r="J1214" s="8" t="e">
        <f t="shared" si="74"/>
        <v>#DIV/0!</v>
      </c>
      <c r="K1214" s="8" t="e">
        <f t="shared" si="72"/>
        <v>#DIV/0!</v>
      </c>
    </row>
    <row r="1215" spans="1:11" x14ac:dyDescent="0.25">
      <c r="A1215" t="str">
        <f t="shared" si="73"/>
        <v>11900</v>
      </c>
      <c r="I1215" s="8" t="e">
        <f t="shared" si="75"/>
        <v>#DIV/0!</v>
      </c>
      <c r="J1215" s="8" t="e">
        <f t="shared" si="74"/>
        <v>#DIV/0!</v>
      </c>
      <c r="K1215" s="8" t="e">
        <f t="shared" si="72"/>
        <v>#DIV/0!</v>
      </c>
    </row>
    <row r="1216" spans="1:11" x14ac:dyDescent="0.25">
      <c r="A1216" t="str">
        <f t="shared" si="73"/>
        <v>11900</v>
      </c>
      <c r="I1216" s="8" t="e">
        <f t="shared" si="75"/>
        <v>#DIV/0!</v>
      </c>
      <c r="J1216" s="8" t="e">
        <f t="shared" si="74"/>
        <v>#DIV/0!</v>
      </c>
      <c r="K1216" s="8" t="e">
        <f t="shared" ref="K1216:K1238" si="76">+G1216/G1155-1</f>
        <v>#DIV/0!</v>
      </c>
    </row>
    <row r="1217" spans="1:11" x14ac:dyDescent="0.25">
      <c r="A1217" t="str">
        <f t="shared" si="73"/>
        <v>11900</v>
      </c>
      <c r="I1217" s="8" t="e">
        <f t="shared" si="75"/>
        <v>#DIV/0!</v>
      </c>
      <c r="J1217" s="8" t="e">
        <f t="shared" si="74"/>
        <v>#DIV/0!</v>
      </c>
      <c r="K1217" s="8" t="e">
        <f t="shared" si="76"/>
        <v>#DIV/0!</v>
      </c>
    </row>
    <row r="1218" spans="1:11" x14ac:dyDescent="0.25">
      <c r="A1218" t="str">
        <f t="shared" si="73"/>
        <v>11900</v>
      </c>
      <c r="I1218" s="8" t="e">
        <f t="shared" si="75"/>
        <v>#DIV/0!</v>
      </c>
      <c r="J1218" s="8" t="e">
        <f t="shared" si="74"/>
        <v>#DIV/0!</v>
      </c>
      <c r="K1218" s="8" t="e">
        <f t="shared" si="76"/>
        <v>#DIV/0!</v>
      </c>
    </row>
    <row r="1219" spans="1:11" x14ac:dyDescent="0.25">
      <c r="A1219" t="str">
        <f t="shared" ref="A1219:A1238" si="77">+MONTH(B1219)&amp;YEAR(B1219)</f>
        <v>11900</v>
      </c>
      <c r="I1219" s="8" t="e">
        <f t="shared" si="75"/>
        <v>#DIV/0!</v>
      </c>
      <c r="J1219" s="8" t="e">
        <f t="shared" si="74"/>
        <v>#DIV/0!</v>
      </c>
      <c r="K1219" s="8" t="e">
        <f t="shared" si="76"/>
        <v>#DIV/0!</v>
      </c>
    </row>
    <row r="1220" spans="1:11" x14ac:dyDescent="0.25">
      <c r="A1220" t="str">
        <f t="shared" si="77"/>
        <v>11900</v>
      </c>
      <c r="I1220" s="8" t="e">
        <f t="shared" si="75"/>
        <v>#DIV/0!</v>
      </c>
      <c r="J1220" s="8" t="e">
        <f t="shared" ref="J1220:J1238" si="78">+LN(1+I1220)</f>
        <v>#DIV/0!</v>
      </c>
      <c r="K1220" s="8" t="e">
        <f t="shared" si="76"/>
        <v>#DIV/0!</v>
      </c>
    </row>
    <row r="1221" spans="1:11" x14ac:dyDescent="0.25">
      <c r="A1221" t="str">
        <f t="shared" si="77"/>
        <v>11900</v>
      </c>
      <c r="I1221" s="8" t="e">
        <f t="shared" si="75"/>
        <v>#DIV/0!</v>
      </c>
      <c r="J1221" s="8" t="e">
        <f t="shared" si="78"/>
        <v>#DIV/0!</v>
      </c>
      <c r="K1221" s="8" t="e">
        <f t="shared" si="76"/>
        <v>#DIV/0!</v>
      </c>
    </row>
    <row r="1222" spans="1:11" x14ac:dyDescent="0.25">
      <c r="A1222" t="str">
        <f t="shared" si="77"/>
        <v>11900</v>
      </c>
      <c r="I1222" s="8" t="e">
        <f t="shared" si="75"/>
        <v>#DIV/0!</v>
      </c>
      <c r="J1222" s="8" t="e">
        <f t="shared" si="78"/>
        <v>#DIV/0!</v>
      </c>
      <c r="K1222" s="8" t="e">
        <f t="shared" si="76"/>
        <v>#DIV/0!</v>
      </c>
    </row>
    <row r="1223" spans="1:11" x14ac:dyDescent="0.25">
      <c r="A1223" t="str">
        <f t="shared" si="77"/>
        <v>11900</v>
      </c>
      <c r="I1223" s="8" t="e">
        <f t="shared" si="75"/>
        <v>#DIV/0!</v>
      </c>
      <c r="J1223" s="8" t="e">
        <f t="shared" si="78"/>
        <v>#DIV/0!</v>
      </c>
      <c r="K1223" s="8" t="e">
        <f t="shared" si="76"/>
        <v>#DIV/0!</v>
      </c>
    </row>
    <row r="1224" spans="1:11" x14ac:dyDescent="0.25">
      <c r="A1224" t="str">
        <f t="shared" si="77"/>
        <v>11900</v>
      </c>
      <c r="I1224" s="8" t="e">
        <f t="shared" si="75"/>
        <v>#DIV/0!</v>
      </c>
      <c r="J1224" s="8" t="e">
        <f t="shared" si="78"/>
        <v>#DIV/0!</v>
      </c>
      <c r="K1224" s="8" t="e">
        <f t="shared" si="76"/>
        <v>#DIV/0!</v>
      </c>
    </row>
    <row r="1225" spans="1:11" x14ac:dyDescent="0.25">
      <c r="A1225" t="str">
        <f t="shared" si="77"/>
        <v>11900</v>
      </c>
      <c r="I1225" s="8" t="e">
        <f t="shared" si="75"/>
        <v>#DIV/0!</v>
      </c>
      <c r="J1225" s="8" t="e">
        <f t="shared" si="78"/>
        <v>#DIV/0!</v>
      </c>
      <c r="K1225" s="8" t="e">
        <f t="shared" si="76"/>
        <v>#DIV/0!</v>
      </c>
    </row>
    <row r="1226" spans="1:11" x14ac:dyDescent="0.25">
      <c r="A1226" t="str">
        <f t="shared" si="77"/>
        <v>11900</v>
      </c>
      <c r="I1226" s="8" t="e">
        <f t="shared" si="75"/>
        <v>#DIV/0!</v>
      </c>
      <c r="J1226" s="8" t="e">
        <f t="shared" si="78"/>
        <v>#DIV/0!</v>
      </c>
      <c r="K1226" s="8" t="e">
        <f t="shared" si="76"/>
        <v>#DIV/0!</v>
      </c>
    </row>
    <row r="1227" spans="1:11" x14ac:dyDescent="0.25">
      <c r="A1227" t="str">
        <f t="shared" si="77"/>
        <v>11900</v>
      </c>
      <c r="I1227" s="8" t="e">
        <f t="shared" si="75"/>
        <v>#DIV/0!</v>
      </c>
      <c r="J1227" s="8" t="e">
        <f t="shared" si="78"/>
        <v>#DIV/0!</v>
      </c>
      <c r="K1227" s="8" t="e">
        <f t="shared" si="76"/>
        <v>#DIV/0!</v>
      </c>
    </row>
    <row r="1228" spans="1:11" x14ac:dyDescent="0.25">
      <c r="A1228" t="str">
        <f t="shared" si="77"/>
        <v>11900</v>
      </c>
      <c r="I1228" s="8" t="e">
        <f t="shared" si="75"/>
        <v>#DIV/0!</v>
      </c>
      <c r="J1228" s="8" t="e">
        <f t="shared" si="78"/>
        <v>#DIV/0!</v>
      </c>
      <c r="K1228" s="8" t="e">
        <f t="shared" si="76"/>
        <v>#DIV/0!</v>
      </c>
    </row>
    <row r="1229" spans="1:11" x14ac:dyDescent="0.25">
      <c r="A1229" t="str">
        <f t="shared" si="77"/>
        <v>11900</v>
      </c>
      <c r="I1229" s="8" t="e">
        <f t="shared" si="75"/>
        <v>#DIV/0!</v>
      </c>
      <c r="J1229" s="8" t="e">
        <f t="shared" si="78"/>
        <v>#DIV/0!</v>
      </c>
      <c r="K1229" s="8" t="e">
        <f t="shared" si="76"/>
        <v>#DIV/0!</v>
      </c>
    </row>
    <row r="1230" spans="1:11" x14ac:dyDescent="0.25">
      <c r="A1230" t="str">
        <f t="shared" si="77"/>
        <v>11900</v>
      </c>
      <c r="I1230" s="8" t="e">
        <f t="shared" si="75"/>
        <v>#DIV/0!</v>
      </c>
      <c r="J1230" s="8" t="e">
        <f t="shared" si="78"/>
        <v>#DIV/0!</v>
      </c>
      <c r="K1230" s="8" t="e">
        <f t="shared" si="76"/>
        <v>#DIV/0!</v>
      </c>
    </row>
    <row r="1231" spans="1:11" x14ac:dyDescent="0.25">
      <c r="A1231" t="str">
        <f t="shared" si="77"/>
        <v>11900</v>
      </c>
      <c r="I1231" s="8" t="e">
        <f t="shared" si="75"/>
        <v>#DIV/0!</v>
      </c>
      <c r="J1231" s="8" t="e">
        <f t="shared" si="78"/>
        <v>#DIV/0!</v>
      </c>
      <c r="K1231" s="8" t="e">
        <f t="shared" si="76"/>
        <v>#DIV/0!</v>
      </c>
    </row>
    <row r="1232" spans="1:11" x14ac:dyDescent="0.25">
      <c r="A1232" t="str">
        <f t="shared" si="77"/>
        <v>11900</v>
      </c>
      <c r="I1232" s="8" t="e">
        <f t="shared" si="75"/>
        <v>#DIV/0!</v>
      </c>
      <c r="J1232" s="8" t="e">
        <f t="shared" si="78"/>
        <v>#DIV/0!</v>
      </c>
      <c r="K1232" s="8" t="e">
        <f t="shared" si="76"/>
        <v>#DIV/0!</v>
      </c>
    </row>
    <row r="1233" spans="1:11" x14ac:dyDescent="0.25">
      <c r="A1233" t="str">
        <f t="shared" si="77"/>
        <v>11900</v>
      </c>
      <c r="I1233" s="8" t="e">
        <f t="shared" si="75"/>
        <v>#DIV/0!</v>
      </c>
      <c r="J1233" s="8" t="e">
        <f t="shared" si="78"/>
        <v>#DIV/0!</v>
      </c>
      <c r="K1233" s="8" t="e">
        <f t="shared" si="76"/>
        <v>#DIV/0!</v>
      </c>
    </row>
    <row r="1234" spans="1:11" x14ac:dyDescent="0.25">
      <c r="A1234" t="str">
        <f t="shared" si="77"/>
        <v>11900</v>
      </c>
      <c r="I1234" s="8" t="e">
        <f t="shared" si="75"/>
        <v>#DIV/0!</v>
      </c>
      <c r="J1234" s="8" t="e">
        <f t="shared" si="78"/>
        <v>#DIV/0!</v>
      </c>
      <c r="K1234" s="8" t="e">
        <f t="shared" si="76"/>
        <v>#DIV/0!</v>
      </c>
    </row>
    <row r="1235" spans="1:11" x14ac:dyDescent="0.25">
      <c r="A1235" t="str">
        <f t="shared" si="77"/>
        <v>11900</v>
      </c>
      <c r="I1235" s="8" t="e">
        <f t="shared" si="75"/>
        <v>#DIV/0!</v>
      </c>
      <c r="J1235" s="8" t="e">
        <f t="shared" si="78"/>
        <v>#DIV/0!</v>
      </c>
      <c r="K1235" s="8" t="e">
        <f t="shared" si="76"/>
        <v>#DIV/0!</v>
      </c>
    </row>
    <row r="1236" spans="1:11" x14ac:dyDescent="0.25">
      <c r="A1236" t="str">
        <f t="shared" si="77"/>
        <v>11900</v>
      </c>
      <c r="I1236" s="8" t="e">
        <f t="shared" si="75"/>
        <v>#DIV/0!</v>
      </c>
      <c r="J1236" s="8" t="e">
        <f t="shared" si="78"/>
        <v>#DIV/0!</v>
      </c>
      <c r="K1236" s="8" t="e">
        <f t="shared" si="76"/>
        <v>#DIV/0!</v>
      </c>
    </row>
    <row r="1237" spans="1:11" x14ac:dyDescent="0.25">
      <c r="A1237" t="str">
        <f t="shared" si="77"/>
        <v>11900</v>
      </c>
      <c r="I1237" s="8" t="e">
        <f t="shared" si="75"/>
        <v>#DIV/0!</v>
      </c>
      <c r="J1237" s="8" t="e">
        <f t="shared" si="78"/>
        <v>#DIV/0!</v>
      </c>
      <c r="K1237" s="8" t="e">
        <f t="shared" si="76"/>
        <v>#DIV/0!</v>
      </c>
    </row>
    <row r="1238" spans="1:11" x14ac:dyDescent="0.25">
      <c r="A1238" t="str">
        <f t="shared" si="77"/>
        <v>11900</v>
      </c>
      <c r="I1238" s="8" t="e">
        <f t="shared" si="75"/>
        <v>#DIV/0!</v>
      </c>
      <c r="J1238" s="8" t="e">
        <f t="shared" si="78"/>
        <v>#DIV/0!</v>
      </c>
      <c r="K1238" s="8" t="e">
        <f t="shared" si="76"/>
        <v>#DIV/0!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C0FE7-0EDF-4BA5-91C1-18BFAFEA7611}">
  <dimension ref="A1:K1238"/>
  <sheetViews>
    <sheetView topLeftCell="A1043" workbookViewId="0">
      <selection activeCell="B1051" sqref="B1051:K1051"/>
    </sheetView>
  </sheetViews>
  <sheetFormatPr defaultRowHeight="15" x14ac:dyDescent="0.25"/>
  <cols>
    <col min="2" max="2" width="10.7109375" bestFit="1" customWidth="1"/>
    <col min="3" max="3" width="18.5703125" customWidth="1"/>
  </cols>
  <sheetData>
    <row r="1" spans="1:11" x14ac:dyDescent="0.25">
      <c r="A1" t="s">
        <v>27</v>
      </c>
      <c r="B1" t="s">
        <v>7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26</v>
      </c>
      <c r="J1" t="s">
        <v>679</v>
      </c>
      <c r="K1" t="s">
        <v>688</v>
      </c>
    </row>
    <row r="2" spans="1:11" x14ac:dyDescent="0.25">
      <c r="A2" t="str">
        <f>+MONTH(B2)&amp;YEAR(B2)</f>
        <v>12017</v>
      </c>
      <c r="B2" s="1">
        <v>42737</v>
      </c>
      <c r="C2" s="10">
        <v>42767.645833333336</v>
      </c>
      <c r="D2">
        <v>9169.9500000000007</v>
      </c>
      <c r="E2">
        <v>9334.1</v>
      </c>
      <c r="F2">
        <v>9098.9</v>
      </c>
      <c r="G2">
        <v>9326.9</v>
      </c>
      <c r="H2">
        <v>0</v>
      </c>
    </row>
    <row r="3" spans="1:11" x14ac:dyDescent="0.25">
      <c r="A3" t="str">
        <f t="shared" ref="A3:A66" si="0">+MONTH(B3)&amp;YEAR(B3)</f>
        <v>12017</v>
      </c>
      <c r="B3" s="1">
        <v>42738</v>
      </c>
      <c r="C3" s="10">
        <v>42795.645833333336</v>
      </c>
      <c r="D3">
        <v>9331.4</v>
      </c>
      <c r="E3">
        <v>9340.5</v>
      </c>
      <c r="F3">
        <v>9289.9500000000007</v>
      </c>
      <c r="G3">
        <v>9300.2999999999993</v>
      </c>
      <c r="H3">
        <v>0</v>
      </c>
      <c r="I3" s="8">
        <f>+G3/G2-1</f>
        <v>-2.8519658192969199E-3</v>
      </c>
      <c r="J3" s="8">
        <f>+LN(1+I3)</f>
        <v>-2.8560404227446537E-3</v>
      </c>
    </row>
    <row r="4" spans="1:11" x14ac:dyDescent="0.25">
      <c r="A4" t="str">
        <f t="shared" si="0"/>
        <v>12017</v>
      </c>
      <c r="B4" s="1">
        <v>42739</v>
      </c>
      <c r="C4" s="10">
        <v>42826.645833333336</v>
      </c>
      <c r="D4">
        <v>9336.6</v>
      </c>
      <c r="E4">
        <v>9400.25</v>
      </c>
      <c r="F4">
        <v>9304.7999999999993</v>
      </c>
      <c r="G4">
        <v>9330.9</v>
      </c>
      <c r="H4">
        <v>0</v>
      </c>
      <c r="I4" s="8">
        <f t="shared" ref="I4:I67" si="1">+G4/G3-1</f>
        <v>3.2902164446309001E-3</v>
      </c>
      <c r="J4" s="8">
        <f t="shared" ref="J4:J67" si="2">+LN(1+I4)</f>
        <v>3.2848155260561921E-3</v>
      </c>
    </row>
    <row r="5" spans="1:11" x14ac:dyDescent="0.25">
      <c r="A5" t="str">
        <f t="shared" si="0"/>
        <v>12017</v>
      </c>
      <c r="B5" s="1">
        <v>42740</v>
      </c>
      <c r="C5" s="10">
        <v>42856.645833333336</v>
      </c>
      <c r="D5">
        <v>9410.65</v>
      </c>
      <c r="E5">
        <v>9537.35</v>
      </c>
      <c r="F5">
        <v>9403.4</v>
      </c>
      <c r="G5">
        <v>9522.2999999999993</v>
      </c>
      <c r="H5">
        <v>0</v>
      </c>
      <c r="I5" s="8">
        <f t="shared" si="1"/>
        <v>2.051249075651862E-2</v>
      </c>
      <c r="J5" s="8">
        <f t="shared" si="2"/>
        <v>2.0304943032658868E-2</v>
      </c>
    </row>
    <row r="6" spans="1:11" x14ac:dyDescent="0.25">
      <c r="A6" t="str">
        <f t="shared" si="0"/>
        <v>12017</v>
      </c>
      <c r="B6" s="1">
        <v>42741</v>
      </c>
      <c r="C6" s="10">
        <v>42887.645833333336</v>
      </c>
      <c r="D6">
        <v>9551.65</v>
      </c>
      <c r="E6">
        <v>9589.7999999999993</v>
      </c>
      <c r="F6">
        <v>9487.2000000000007</v>
      </c>
      <c r="G6">
        <v>9506.65</v>
      </c>
      <c r="H6">
        <v>0</v>
      </c>
      <c r="I6" s="8">
        <f t="shared" si="1"/>
        <v>-1.6435104964136471E-3</v>
      </c>
      <c r="J6" s="8">
        <f t="shared" si="2"/>
        <v>-1.6448625413927039E-3</v>
      </c>
    </row>
    <row r="7" spans="1:11" x14ac:dyDescent="0.25">
      <c r="A7" t="str">
        <f t="shared" si="0"/>
        <v>12017</v>
      </c>
      <c r="B7" s="1">
        <v>42744</v>
      </c>
      <c r="C7" s="10">
        <v>42979.645833333336</v>
      </c>
      <c r="D7">
        <v>9541.4</v>
      </c>
      <c r="E7">
        <v>9550</v>
      </c>
      <c r="F7">
        <v>9472.85</v>
      </c>
      <c r="G7">
        <v>9495.9500000000007</v>
      </c>
      <c r="H7">
        <v>0</v>
      </c>
      <c r="I7" s="8">
        <f t="shared" si="1"/>
        <v>-1.125527919929592E-3</v>
      </c>
      <c r="J7" s="8">
        <f t="shared" si="2"/>
        <v>-1.1261618021582652E-3</v>
      </c>
    </row>
    <row r="8" spans="1:11" x14ac:dyDescent="0.25">
      <c r="A8" t="str">
        <f t="shared" si="0"/>
        <v>12017</v>
      </c>
      <c r="B8" s="1">
        <v>42745</v>
      </c>
      <c r="C8" s="10">
        <v>43009.645833333336</v>
      </c>
      <c r="D8">
        <v>9542.6</v>
      </c>
      <c r="E8">
        <v>9626.2999999999993</v>
      </c>
      <c r="F8">
        <v>9540.9</v>
      </c>
      <c r="G8">
        <v>9616.6</v>
      </c>
      <c r="H8">
        <v>0</v>
      </c>
      <c r="I8" s="8">
        <f t="shared" si="1"/>
        <v>1.2705416519674051E-2</v>
      </c>
      <c r="J8" s="8">
        <f t="shared" si="2"/>
        <v>1.2625379934347276E-2</v>
      </c>
    </row>
    <row r="9" spans="1:11" x14ac:dyDescent="0.25">
      <c r="A9" t="str">
        <f t="shared" si="0"/>
        <v>12017</v>
      </c>
      <c r="B9" s="1">
        <v>42746</v>
      </c>
      <c r="C9" s="10">
        <v>43040.645833333336</v>
      </c>
      <c r="D9">
        <v>9661.6</v>
      </c>
      <c r="E9">
        <v>9712.0499999999993</v>
      </c>
      <c r="F9">
        <v>9635.4500000000007</v>
      </c>
      <c r="G9">
        <v>9703.65</v>
      </c>
      <c r="H9">
        <v>0</v>
      </c>
      <c r="I9" s="8">
        <f t="shared" si="1"/>
        <v>9.0520558201443446E-3</v>
      </c>
      <c r="J9" s="8">
        <f t="shared" si="2"/>
        <v>9.0113315373506874E-3</v>
      </c>
    </row>
    <row r="10" spans="1:11" x14ac:dyDescent="0.25">
      <c r="A10" t="str">
        <f t="shared" si="0"/>
        <v>12017</v>
      </c>
      <c r="B10" s="1">
        <v>42747</v>
      </c>
      <c r="C10" s="10">
        <v>43070.645833333336</v>
      </c>
      <c r="D10">
        <v>9732.35</v>
      </c>
      <c r="E10">
        <v>9740.6</v>
      </c>
      <c r="F10">
        <v>9644.9500000000007</v>
      </c>
      <c r="G10">
        <v>9676.9500000000007</v>
      </c>
      <c r="H10">
        <v>0</v>
      </c>
      <c r="I10" s="8">
        <f t="shared" si="1"/>
        <v>-2.7515419455564905E-3</v>
      </c>
      <c r="J10" s="8">
        <f t="shared" si="2"/>
        <v>-2.7553343954163007E-3</v>
      </c>
    </row>
    <row r="11" spans="1:11" x14ac:dyDescent="0.25">
      <c r="A11" t="str">
        <f t="shared" si="0"/>
        <v>12017</v>
      </c>
      <c r="B11" s="1">
        <v>42748</v>
      </c>
      <c r="C11" t="s">
        <v>28</v>
      </c>
      <c r="D11">
        <v>9725.9500000000007</v>
      </c>
      <c r="E11">
        <v>9726.65</v>
      </c>
      <c r="F11">
        <v>9558.7000000000007</v>
      </c>
      <c r="G11">
        <v>9600.7000000000007</v>
      </c>
      <c r="H11">
        <v>0</v>
      </c>
      <c r="I11" s="8">
        <f t="shared" si="1"/>
        <v>-7.879548824784699E-3</v>
      </c>
      <c r="J11" s="8">
        <f t="shared" si="2"/>
        <v>-7.910756512725511E-3</v>
      </c>
    </row>
    <row r="12" spans="1:11" x14ac:dyDescent="0.25">
      <c r="A12" t="str">
        <f t="shared" si="0"/>
        <v>12017</v>
      </c>
      <c r="B12" s="1">
        <v>42751</v>
      </c>
      <c r="C12" t="s">
        <v>29</v>
      </c>
      <c r="D12">
        <v>9605.7000000000007</v>
      </c>
      <c r="E12">
        <v>9664.1</v>
      </c>
      <c r="F12">
        <v>9580.35</v>
      </c>
      <c r="G12">
        <v>9650.7000000000007</v>
      </c>
      <c r="H12">
        <v>0</v>
      </c>
      <c r="I12" s="8">
        <f t="shared" si="1"/>
        <v>5.2079535867175508E-3</v>
      </c>
      <c r="J12" s="8">
        <f t="shared" si="2"/>
        <v>5.1944390980159082E-3</v>
      </c>
    </row>
    <row r="13" spans="1:11" x14ac:dyDescent="0.25">
      <c r="A13" t="str">
        <f t="shared" si="0"/>
        <v>12017</v>
      </c>
      <c r="B13" s="1">
        <v>42752</v>
      </c>
      <c r="C13" t="s">
        <v>30</v>
      </c>
      <c r="D13">
        <v>9661.25</v>
      </c>
      <c r="E13">
        <v>9689.1</v>
      </c>
      <c r="F13">
        <v>9620.6</v>
      </c>
      <c r="G13">
        <v>9641.85</v>
      </c>
      <c r="H13">
        <v>0</v>
      </c>
      <c r="I13" s="8">
        <f t="shared" si="1"/>
        <v>-9.170319251453618E-4</v>
      </c>
      <c r="J13" s="8">
        <f t="shared" si="2"/>
        <v>-9.1745265615674181E-4</v>
      </c>
    </row>
    <row r="14" spans="1:11" x14ac:dyDescent="0.25">
      <c r="A14" t="str">
        <f t="shared" si="0"/>
        <v>12017</v>
      </c>
      <c r="B14" s="1">
        <v>42753</v>
      </c>
      <c r="C14" t="s">
        <v>31</v>
      </c>
      <c r="D14">
        <v>9655.4500000000007</v>
      </c>
      <c r="E14">
        <v>9696.9</v>
      </c>
      <c r="F14">
        <v>9627.9</v>
      </c>
      <c r="G14">
        <v>9644.7999999999993</v>
      </c>
      <c r="H14">
        <v>0</v>
      </c>
      <c r="I14" s="8">
        <f t="shared" si="1"/>
        <v>3.0595788152676384E-4</v>
      </c>
      <c r="J14" s="8">
        <f t="shared" si="2"/>
        <v>3.0591108595886824E-4</v>
      </c>
    </row>
    <row r="15" spans="1:11" x14ac:dyDescent="0.25">
      <c r="A15" t="str">
        <f t="shared" si="0"/>
        <v>12017</v>
      </c>
      <c r="B15" s="1">
        <v>42754</v>
      </c>
      <c r="C15" t="s">
        <v>32</v>
      </c>
      <c r="D15">
        <v>9647.5</v>
      </c>
      <c r="E15">
        <v>9716.9500000000007</v>
      </c>
      <c r="F15">
        <v>9639.9</v>
      </c>
      <c r="G15">
        <v>9709</v>
      </c>
      <c r="H15">
        <v>0</v>
      </c>
      <c r="I15" s="8">
        <f t="shared" si="1"/>
        <v>6.656436629064455E-3</v>
      </c>
      <c r="J15" s="8">
        <f t="shared" si="2"/>
        <v>6.6343803780233501E-3</v>
      </c>
    </row>
    <row r="16" spans="1:11" x14ac:dyDescent="0.25">
      <c r="A16" t="str">
        <f t="shared" si="0"/>
        <v>12017</v>
      </c>
      <c r="B16" s="1">
        <v>42755</v>
      </c>
      <c r="C16" t="s">
        <v>33</v>
      </c>
      <c r="D16">
        <v>9684.2999999999993</v>
      </c>
      <c r="E16">
        <v>9716.15</v>
      </c>
      <c r="F16">
        <v>9590.5</v>
      </c>
      <c r="G16">
        <v>9601</v>
      </c>
      <c r="H16">
        <v>0</v>
      </c>
      <c r="I16" s="8">
        <f t="shared" si="1"/>
        <v>-1.1123699660109176E-2</v>
      </c>
      <c r="J16" s="8">
        <f t="shared" si="2"/>
        <v>-1.1186030672521111E-2</v>
      </c>
    </row>
    <row r="17" spans="1:10" x14ac:dyDescent="0.25">
      <c r="A17" t="str">
        <f t="shared" si="0"/>
        <v>12017</v>
      </c>
      <c r="B17" s="1">
        <v>42758</v>
      </c>
      <c r="C17" t="s">
        <v>34</v>
      </c>
      <c r="D17">
        <v>9601.2999999999993</v>
      </c>
      <c r="E17">
        <v>9681.7000000000007</v>
      </c>
      <c r="F17">
        <v>9586.4</v>
      </c>
      <c r="G17">
        <v>9665</v>
      </c>
      <c r="H17">
        <v>0</v>
      </c>
      <c r="I17" s="8">
        <f t="shared" si="1"/>
        <v>6.665972294552569E-3</v>
      </c>
      <c r="J17" s="8">
        <f t="shared" si="2"/>
        <v>6.643852944807409E-3</v>
      </c>
    </row>
    <row r="18" spans="1:10" x14ac:dyDescent="0.25">
      <c r="A18" t="str">
        <f t="shared" si="0"/>
        <v>12017</v>
      </c>
      <c r="B18" s="1">
        <v>42759</v>
      </c>
      <c r="C18" t="s">
        <v>35</v>
      </c>
      <c r="D18">
        <v>9688.35</v>
      </c>
      <c r="E18">
        <v>9837.25</v>
      </c>
      <c r="F18">
        <v>9674.1</v>
      </c>
      <c r="G18">
        <v>9828.2000000000007</v>
      </c>
      <c r="H18">
        <v>0</v>
      </c>
      <c r="I18" s="8">
        <f t="shared" si="1"/>
        <v>1.6885669943093706E-2</v>
      </c>
      <c r="J18" s="8">
        <f t="shared" si="2"/>
        <v>1.6744691811929696E-2</v>
      </c>
    </row>
    <row r="19" spans="1:10" x14ac:dyDescent="0.25">
      <c r="A19" t="str">
        <f t="shared" si="0"/>
        <v>12017</v>
      </c>
      <c r="B19" s="1">
        <v>42760</v>
      </c>
      <c r="C19" t="s">
        <v>36</v>
      </c>
      <c r="D19">
        <v>9873.2999999999993</v>
      </c>
      <c r="E19">
        <v>9987.75</v>
      </c>
      <c r="F19">
        <v>9819.4500000000007</v>
      </c>
      <c r="G19">
        <v>9967.7000000000007</v>
      </c>
      <c r="H19">
        <v>0</v>
      </c>
      <c r="I19" s="8">
        <f t="shared" si="1"/>
        <v>1.4193850348995785E-2</v>
      </c>
      <c r="J19" s="8">
        <f t="shared" si="2"/>
        <v>1.4094060811784352E-2</v>
      </c>
    </row>
    <row r="20" spans="1:10" x14ac:dyDescent="0.25">
      <c r="A20" t="str">
        <f t="shared" si="0"/>
        <v>12017</v>
      </c>
      <c r="B20" s="1">
        <v>42762</v>
      </c>
      <c r="C20" t="s">
        <v>37</v>
      </c>
      <c r="D20">
        <v>9989.7000000000007</v>
      </c>
      <c r="E20">
        <v>10051.5</v>
      </c>
      <c r="F20">
        <v>9971.75</v>
      </c>
      <c r="G20">
        <v>10014.85</v>
      </c>
      <c r="H20">
        <v>0</v>
      </c>
      <c r="I20" s="8">
        <f t="shared" si="1"/>
        <v>4.730278800525678E-3</v>
      </c>
      <c r="J20" s="8">
        <f t="shared" si="2"/>
        <v>4.7191261879095643E-3</v>
      </c>
    </row>
    <row r="21" spans="1:10" x14ac:dyDescent="0.25">
      <c r="A21" t="str">
        <f t="shared" si="0"/>
        <v>12017</v>
      </c>
      <c r="B21" s="1">
        <v>42765</v>
      </c>
      <c r="C21" t="s">
        <v>38</v>
      </c>
      <c r="D21">
        <v>10012.15</v>
      </c>
      <c r="E21">
        <v>10012.299999999999</v>
      </c>
      <c r="F21">
        <v>9917.9500000000007</v>
      </c>
      <c r="G21">
        <v>9928.65</v>
      </c>
      <c r="H21">
        <v>0</v>
      </c>
      <c r="I21" s="8">
        <f t="shared" si="1"/>
        <v>-8.6072182808529796E-3</v>
      </c>
      <c r="J21" s="8">
        <f t="shared" si="2"/>
        <v>-8.6444743187328171E-3</v>
      </c>
    </row>
    <row r="22" spans="1:10" x14ac:dyDescent="0.25">
      <c r="A22" t="str">
        <f t="shared" si="0"/>
        <v>12017</v>
      </c>
      <c r="B22" s="1">
        <v>42766</v>
      </c>
      <c r="C22" t="s">
        <v>39</v>
      </c>
      <c r="D22">
        <v>9907.2999999999993</v>
      </c>
      <c r="E22">
        <v>9922.5</v>
      </c>
      <c r="F22">
        <v>9822</v>
      </c>
      <c r="G22">
        <v>9837.75</v>
      </c>
      <c r="H22">
        <v>0</v>
      </c>
      <c r="I22" s="8">
        <f t="shared" si="1"/>
        <v>-9.1553232312550081E-3</v>
      </c>
      <c r="J22" s="8">
        <f t="shared" si="2"/>
        <v>-9.1974907719572681E-3</v>
      </c>
    </row>
    <row r="23" spans="1:10" x14ac:dyDescent="0.25">
      <c r="A23" t="str">
        <f t="shared" si="0"/>
        <v>22017</v>
      </c>
      <c r="B23" s="1">
        <v>42767</v>
      </c>
      <c r="C23" s="10">
        <v>42737.645833333336</v>
      </c>
      <c r="D23">
        <v>9871.4</v>
      </c>
      <c r="E23">
        <v>10210.200000000001</v>
      </c>
      <c r="F23">
        <v>9834.35</v>
      </c>
      <c r="G23">
        <v>10191.950000000001</v>
      </c>
      <c r="H23">
        <v>0</v>
      </c>
      <c r="I23" s="8">
        <f t="shared" si="1"/>
        <v>3.6004167619628547E-2</v>
      </c>
      <c r="J23" s="8">
        <f t="shared" si="2"/>
        <v>3.5371166628069134E-2</v>
      </c>
    </row>
    <row r="24" spans="1:10" x14ac:dyDescent="0.25">
      <c r="A24" t="str">
        <f t="shared" si="0"/>
        <v>22017</v>
      </c>
      <c r="B24" s="1">
        <v>42768</v>
      </c>
      <c r="C24" s="10">
        <v>42768.645833333336</v>
      </c>
      <c r="D24">
        <v>10171.049999999999</v>
      </c>
      <c r="E24">
        <v>10173.049999999999</v>
      </c>
      <c r="F24">
        <v>10031.75</v>
      </c>
      <c r="G24">
        <v>10058.799999999999</v>
      </c>
      <c r="H24">
        <v>0</v>
      </c>
      <c r="I24" s="8">
        <f t="shared" si="1"/>
        <v>-1.3064232065502779E-2</v>
      </c>
      <c r="J24" s="8">
        <f t="shared" si="2"/>
        <v>-1.3150319746875557E-2</v>
      </c>
    </row>
    <row r="25" spans="1:10" x14ac:dyDescent="0.25">
      <c r="A25" t="str">
        <f t="shared" si="0"/>
        <v>22017</v>
      </c>
      <c r="B25" s="1">
        <v>42769</v>
      </c>
      <c r="C25" s="10">
        <v>42796.645833333336</v>
      </c>
      <c r="D25">
        <v>10058.5</v>
      </c>
      <c r="E25">
        <v>10065.049999999999</v>
      </c>
      <c r="F25">
        <v>9952.25</v>
      </c>
      <c r="G25">
        <v>9975.1</v>
      </c>
      <c r="H25">
        <v>0</v>
      </c>
      <c r="I25" s="8">
        <f t="shared" si="1"/>
        <v>-8.3210720960750217E-3</v>
      </c>
      <c r="J25" s="8">
        <f t="shared" si="2"/>
        <v>-8.3558854740880765E-3</v>
      </c>
    </row>
    <row r="26" spans="1:10" x14ac:dyDescent="0.25">
      <c r="A26" t="str">
        <f t="shared" si="0"/>
        <v>22017</v>
      </c>
      <c r="B26" s="1">
        <v>42772</v>
      </c>
      <c r="C26" s="10">
        <v>42888.645833333336</v>
      </c>
      <c r="D26">
        <v>10051.200000000001</v>
      </c>
      <c r="E26">
        <v>10065.85</v>
      </c>
      <c r="F26">
        <v>10001.950000000001</v>
      </c>
      <c r="G26">
        <v>10031.1</v>
      </c>
      <c r="H26">
        <v>0</v>
      </c>
      <c r="I26" s="8">
        <f t="shared" si="1"/>
        <v>5.6139788072300245E-3</v>
      </c>
      <c r="J26" s="8">
        <f t="shared" si="2"/>
        <v>5.5982791591268396E-3</v>
      </c>
    </row>
    <row r="27" spans="1:10" x14ac:dyDescent="0.25">
      <c r="A27" t="str">
        <f t="shared" si="0"/>
        <v>22017</v>
      </c>
      <c r="B27" s="1">
        <v>42773</v>
      </c>
      <c r="C27" s="10">
        <v>42918.645833333336</v>
      </c>
      <c r="D27">
        <v>10039.85</v>
      </c>
      <c r="E27">
        <v>10041.4</v>
      </c>
      <c r="F27">
        <v>9875.7000000000007</v>
      </c>
      <c r="G27">
        <v>9931.7000000000007</v>
      </c>
      <c r="H27">
        <v>0</v>
      </c>
      <c r="I27" s="8">
        <f t="shared" si="1"/>
        <v>-9.9091824426034147E-3</v>
      </c>
      <c r="J27" s="8">
        <f t="shared" si="2"/>
        <v>-9.9586051544294681E-3</v>
      </c>
    </row>
    <row r="28" spans="1:10" x14ac:dyDescent="0.25">
      <c r="A28" t="str">
        <f t="shared" si="0"/>
        <v>22017</v>
      </c>
      <c r="B28" s="1">
        <v>42774</v>
      </c>
      <c r="C28" s="10">
        <v>42949.645833333336</v>
      </c>
      <c r="D28">
        <v>9961.1</v>
      </c>
      <c r="E28">
        <v>10020.85</v>
      </c>
      <c r="F28">
        <v>9940.15</v>
      </c>
      <c r="G28">
        <v>9994.25</v>
      </c>
      <c r="H28">
        <v>0</v>
      </c>
      <c r="I28" s="8">
        <f t="shared" si="1"/>
        <v>6.2980154454925774E-3</v>
      </c>
      <c r="J28" s="8">
        <f t="shared" si="2"/>
        <v>6.2782658251179634E-3</v>
      </c>
    </row>
    <row r="29" spans="1:10" x14ac:dyDescent="0.25">
      <c r="A29" t="str">
        <f t="shared" si="0"/>
        <v>22017</v>
      </c>
      <c r="B29" s="1">
        <v>42775</v>
      </c>
      <c r="C29" s="10">
        <v>42980.645833333336</v>
      </c>
      <c r="D29">
        <v>10036.25</v>
      </c>
      <c r="E29">
        <v>10061.1</v>
      </c>
      <c r="F29">
        <v>9903.7999999999993</v>
      </c>
      <c r="G29">
        <v>10028.049999999999</v>
      </c>
      <c r="H29">
        <v>0</v>
      </c>
      <c r="I29" s="8">
        <f t="shared" si="1"/>
        <v>3.3819446181553303E-3</v>
      </c>
      <c r="J29" s="8">
        <f t="shared" si="2"/>
        <v>3.3762387045585926E-3</v>
      </c>
    </row>
    <row r="30" spans="1:10" x14ac:dyDescent="0.25">
      <c r="A30" t="str">
        <f t="shared" si="0"/>
        <v>22017</v>
      </c>
      <c r="B30" s="1">
        <v>42776</v>
      </c>
      <c r="C30" s="10">
        <v>43010.645833333336</v>
      </c>
      <c r="D30">
        <v>10054.85</v>
      </c>
      <c r="E30">
        <v>10056.700000000001</v>
      </c>
      <c r="F30">
        <v>9971.6</v>
      </c>
      <c r="G30">
        <v>9987.2999999999993</v>
      </c>
      <c r="H30">
        <v>0</v>
      </c>
      <c r="I30" s="8">
        <f t="shared" si="1"/>
        <v>-4.063601597518951E-3</v>
      </c>
      <c r="J30" s="8">
        <f t="shared" si="2"/>
        <v>-4.0718804621069169E-3</v>
      </c>
    </row>
    <row r="31" spans="1:10" x14ac:dyDescent="0.25">
      <c r="A31" t="str">
        <f t="shared" si="0"/>
        <v>22017</v>
      </c>
      <c r="B31" s="1">
        <v>42779</v>
      </c>
      <c r="C31" t="s">
        <v>40</v>
      </c>
      <c r="D31">
        <v>10016.85</v>
      </c>
      <c r="E31">
        <v>10030</v>
      </c>
      <c r="F31">
        <v>9917.6</v>
      </c>
      <c r="G31">
        <v>9973.2999999999993</v>
      </c>
      <c r="H31">
        <v>0</v>
      </c>
      <c r="I31" s="8">
        <f t="shared" si="1"/>
        <v>-1.4017802609314067E-3</v>
      </c>
      <c r="J31" s="8">
        <f t="shared" si="2"/>
        <v>-1.4027636740081703E-3</v>
      </c>
    </row>
    <row r="32" spans="1:10" x14ac:dyDescent="0.25">
      <c r="A32" t="str">
        <f t="shared" si="0"/>
        <v>22017</v>
      </c>
      <c r="B32" s="1">
        <v>42780</v>
      </c>
      <c r="C32" t="s">
        <v>41</v>
      </c>
      <c r="D32">
        <v>9984.75</v>
      </c>
      <c r="E32">
        <v>9986.75</v>
      </c>
      <c r="F32">
        <v>9746.2999999999993</v>
      </c>
      <c r="G32">
        <v>9820.6</v>
      </c>
      <c r="H32">
        <v>0</v>
      </c>
      <c r="I32" s="8">
        <f t="shared" si="1"/>
        <v>-1.5310880049732689E-2</v>
      </c>
      <c r="J32" s="8">
        <f t="shared" si="2"/>
        <v>-1.5429301890400078E-2</v>
      </c>
    </row>
    <row r="33" spans="1:10" x14ac:dyDescent="0.25">
      <c r="A33" t="str">
        <f t="shared" si="0"/>
        <v>22017</v>
      </c>
      <c r="B33" s="1">
        <v>42781</v>
      </c>
      <c r="C33" t="s">
        <v>42</v>
      </c>
      <c r="D33">
        <v>9665.7999999999993</v>
      </c>
      <c r="E33">
        <v>9692.7999999999993</v>
      </c>
      <c r="F33">
        <v>9507.9500000000007</v>
      </c>
      <c r="G33">
        <v>9523.35</v>
      </c>
      <c r="H33">
        <v>0</v>
      </c>
      <c r="I33" s="8">
        <f t="shared" si="1"/>
        <v>-3.026800806468033E-2</v>
      </c>
      <c r="J33" s="8">
        <f t="shared" si="2"/>
        <v>-3.0735542635646981E-2</v>
      </c>
    </row>
    <row r="34" spans="1:10" x14ac:dyDescent="0.25">
      <c r="A34" t="str">
        <f t="shared" si="0"/>
        <v>22017</v>
      </c>
      <c r="B34" s="1">
        <v>42782</v>
      </c>
      <c r="C34" t="s">
        <v>43</v>
      </c>
      <c r="D34">
        <v>9559.1</v>
      </c>
      <c r="E34">
        <v>9698.25</v>
      </c>
      <c r="F34">
        <v>9518.2999999999993</v>
      </c>
      <c r="G34">
        <v>9686.35</v>
      </c>
      <c r="H34">
        <v>0</v>
      </c>
      <c r="I34" s="8">
        <f t="shared" si="1"/>
        <v>1.711582583859661E-2</v>
      </c>
      <c r="J34" s="8">
        <f t="shared" si="2"/>
        <v>1.6971000294949516E-2</v>
      </c>
    </row>
    <row r="35" spans="1:10" x14ac:dyDescent="0.25">
      <c r="A35" t="str">
        <f t="shared" si="0"/>
        <v>22017</v>
      </c>
      <c r="B35" s="1">
        <v>42783</v>
      </c>
      <c r="C35" t="s">
        <v>44</v>
      </c>
      <c r="D35">
        <v>9708.4500000000007</v>
      </c>
      <c r="E35">
        <v>9727.85</v>
      </c>
      <c r="F35">
        <v>9643</v>
      </c>
      <c r="G35">
        <v>9683.6</v>
      </c>
      <c r="H35">
        <v>0</v>
      </c>
      <c r="I35" s="8">
        <f t="shared" si="1"/>
        <v>-2.8390466997374464E-4</v>
      </c>
      <c r="J35" s="8">
        <f t="shared" si="2"/>
        <v>-2.8394497853393395E-4</v>
      </c>
    </row>
    <row r="36" spans="1:10" x14ac:dyDescent="0.25">
      <c r="A36" t="str">
        <f t="shared" si="0"/>
        <v>22017</v>
      </c>
      <c r="B36" s="1">
        <v>42786</v>
      </c>
      <c r="C36" t="s">
        <v>45</v>
      </c>
      <c r="D36">
        <v>9691.9500000000007</v>
      </c>
      <c r="E36">
        <v>9780.65</v>
      </c>
      <c r="F36">
        <v>9628.65</v>
      </c>
      <c r="G36">
        <v>9743.9500000000007</v>
      </c>
      <c r="H36">
        <v>0</v>
      </c>
      <c r="I36" s="8">
        <f t="shared" si="1"/>
        <v>6.2321863769672081E-3</v>
      </c>
      <c r="J36" s="8">
        <f t="shared" si="2"/>
        <v>6.2128466145250144E-3</v>
      </c>
    </row>
    <row r="37" spans="1:10" x14ac:dyDescent="0.25">
      <c r="A37" t="str">
        <f t="shared" si="0"/>
        <v>22017</v>
      </c>
      <c r="B37" s="1">
        <v>42787</v>
      </c>
      <c r="C37" t="s">
        <v>46</v>
      </c>
      <c r="D37">
        <v>9757.65</v>
      </c>
      <c r="E37">
        <v>9777.75</v>
      </c>
      <c r="F37">
        <v>9722.35</v>
      </c>
      <c r="G37">
        <v>9758.9</v>
      </c>
      <c r="H37">
        <v>0</v>
      </c>
      <c r="I37" s="8">
        <f t="shared" si="1"/>
        <v>1.5342853770801135E-3</v>
      </c>
      <c r="J37" s="8">
        <f t="shared" si="2"/>
        <v>1.5331095638060476E-3</v>
      </c>
    </row>
    <row r="38" spans="1:10" x14ac:dyDescent="0.25">
      <c r="A38" t="str">
        <f t="shared" si="0"/>
        <v>22017</v>
      </c>
      <c r="B38" s="1">
        <v>42788</v>
      </c>
      <c r="C38" t="s">
        <v>47</v>
      </c>
      <c r="D38">
        <v>9770.9500000000007</v>
      </c>
      <c r="E38">
        <v>9807.9500000000007</v>
      </c>
      <c r="F38">
        <v>9727.5499999999993</v>
      </c>
      <c r="G38">
        <v>9768.4500000000007</v>
      </c>
      <c r="H38">
        <v>0</v>
      </c>
      <c r="I38" s="8">
        <f t="shared" si="1"/>
        <v>9.7859389890264659E-4</v>
      </c>
      <c r="J38" s="8">
        <f t="shared" si="2"/>
        <v>9.7811538804625344E-4</v>
      </c>
    </row>
    <row r="39" spans="1:10" x14ac:dyDescent="0.25">
      <c r="A39" t="str">
        <f t="shared" si="0"/>
        <v>22017</v>
      </c>
      <c r="B39" s="1">
        <v>42789</v>
      </c>
      <c r="C39" t="s">
        <v>48</v>
      </c>
      <c r="D39">
        <v>9798.9500000000007</v>
      </c>
      <c r="E39">
        <v>9805.9</v>
      </c>
      <c r="F39">
        <v>9727.35</v>
      </c>
      <c r="G39">
        <v>9761.75</v>
      </c>
      <c r="H39">
        <v>0</v>
      </c>
      <c r="I39" s="8">
        <f t="shared" si="1"/>
        <v>-6.8588158817428635E-4</v>
      </c>
      <c r="J39" s="8">
        <f t="shared" si="2"/>
        <v>-6.8611691256004604E-4</v>
      </c>
    </row>
    <row r="40" spans="1:10" x14ac:dyDescent="0.25">
      <c r="A40" t="str">
        <f t="shared" si="0"/>
        <v>22017</v>
      </c>
      <c r="B40" s="1">
        <v>42793</v>
      </c>
      <c r="C40" t="s">
        <v>49</v>
      </c>
      <c r="D40">
        <v>9763.25</v>
      </c>
      <c r="E40">
        <v>9763.65</v>
      </c>
      <c r="F40">
        <v>9659.5</v>
      </c>
      <c r="G40">
        <v>9666.85</v>
      </c>
      <c r="H40">
        <v>0</v>
      </c>
      <c r="I40" s="8">
        <f t="shared" si="1"/>
        <v>-9.7216175378389558E-3</v>
      </c>
      <c r="J40" s="8">
        <f t="shared" si="2"/>
        <v>-9.7691809750153971E-3</v>
      </c>
    </row>
    <row r="41" spans="1:10" x14ac:dyDescent="0.25">
      <c r="A41" t="str">
        <f t="shared" si="0"/>
        <v>22017</v>
      </c>
      <c r="B41" s="1">
        <v>42794</v>
      </c>
      <c r="C41" t="s">
        <v>50</v>
      </c>
      <c r="D41">
        <v>9683.4</v>
      </c>
      <c r="E41">
        <v>9698.85</v>
      </c>
      <c r="F41">
        <v>9638.65</v>
      </c>
      <c r="G41">
        <v>9654.65</v>
      </c>
      <c r="H41">
        <v>0</v>
      </c>
      <c r="I41" s="8">
        <f t="shared" si="1"/>
        <v>-1.2620450301805697E-3</v>
      </c>
      <c r="J41" s="8">
        <f t="shared" si="2"/>
        <v>-1.262842079688494E-3</v>
      </c>
    </row>
    <row r="42" spans="1:10" x14ac:dyDescent="0.25">
      <c r="A42" t="str">
        <f t="shared" si="0"/>
        <v>32017</v>
      </c>
      <c r="B42" s="1">
        <v>42795</v>
      </c>
      <c r="C42" s="10">
        <v>42738.645833333336</v>
      </c>
      <c r="D42">
        <v>9682.85</v>
      </c>
      <c r="E42">
        <v>9702</v>
      </c>
      <c r="F42">
        <v>9616.6</v>
      </c>
      <c r="G42">
        <v>9670.6</v>
      </c>
      <c r="H42">
        <v>0</v>
      </c>
      <c r="I42" s="8">
        <f t="shared" si="1"/>
        <v>1.6520536736184255E-3</v>
      </c>
      <c r="J42" s="8">
        <f t="shared" si="2"/>
        <v>1.6506905340614693E-3</v>
      </c>
    </row>
    <row r="43" spans="1:10" x14ac:dyDescent="0.25">
      <c r="A43" t="str">
        <f t="shared" si="0"/>
        <v>32017</v>
      </c>
      <c r="B43" s="1">
        <v>42796</v>
      </c>
      <c r="C43" s="10">
        <v>42769.645833333336</v>
      </c>
      <c r="D43">
        <v>9756.1</v>
      </c>
      <c r="E43">
        <v>9820.5499999999993</v>
      </c>
      <c r="F43">
        <v>9679.25</v>
      </c>
      <c r="G43">
        <v>9705.5</v>
      </c>
      <c r="H43">
        <v>0</v>
      </c>
      <c r="I43" s="8">
        <f t="shared" si="1"/>
        <v>3.608876388228266E-3</v>
      </c>
      <c r="J43" s="8">
        <f t="shared" si="2"/>
        <v>3.6023800188733721E-3</v>
      </c>
    </row>
    <row r="44" spans="1:10" x14ac:dyDescent="0.25">
      <c r="A44" t="str">
        <f t="shared" si="0"/>
        <v>32017</v>
      </c>
      <c r="B44" s="1">
        <v>42797</v>
      </c>
      <c r="C44" s="10">
        <v>42797.645833333336</v>
      </c>
      <c r="D44">
        <v>9705.1</v>
      </c>
      <c r="E44">
        <v>9713.7000000000007</v>
      </c>
      <c r="F44">
        <v>9637.0499999999993</v>
      </c>
      <c r="G44">
        <v>9680.5</v>
      </c>
      <c r="H44">
        <v>0</v>
      </c>
      <c r="I44" s="8">
        <f t="shared" si="1"/>
        <v>-2.5758590489928235E-3</v>
      </c>
      <c r="J44" s="8">
        <f t="shared" si="2"/>
        <v>-2.5791822819260534E-3</v>
      </c>
    </row>
    <row r="45" spans="1:10" x14ac:dyDescent="0.25">
      <c r="A45" t="str">
        <f t="shared" si="0"/>
        <v>32017</v>
      </c>
      <c r="B45" s="1">
        <v>42800</v>
      </c>
      <c r="C45" s="10">
        <v>42889.645833333336</v>
      </c>
      <c r="D45">
        <v>9723.1</v>
      </c>
      <c r="E45">
        <v>9809.7000000000007</v>
      </c>
      <c r="F45">
        <v>9721.0499999999993</v>
      </c>
      <c r="G45">
        <v>9800</v>
      </c>
      <c r="H45">
        <v>0</v>
      </c>
      <c r="I45" s="8">
        <f t="shared" si="1"/>
        <v>1.2344403698156148E-2</v>
      </c>
      <c r="J45" s="8">
        <f t="shared" si="2"/>
        <v>1.2268832829443384E-2</v>
      </c>
    </row>
    <row r="46" spans="1:10" x14ac:dyDescent="0.25">
      <c r="A46" t="str">
        <f t="shared" si="0"/>
        <v>32017</v>
      </c>
      <c r="B46" s="1">
        <v>42801</v>
      </c>
      <c r="C46" s="10">
        <v>42919.645833333336</v>
      </c>
      <c r="D46">
        <v>9798.2999999999993</v>
      </c>
      <c r="E46">
        <v>9813.5499999999993</v>
      </c>
      <c r="F46">
        <v>9738.5</v>
      </c>
      <c r="G46">
        <v>9753.5499999999993</v>
      </c>
      <c r="H46">
        <v>0</v>
      </c>
      <c r="I46" s="8">
        <f t="shared" si="1"/>
        <v>-4.7397959183673732E-3</v>
      </c>
      <c r="J46" s="8">
        <f t="shared" si="2"/>
        <v>-4.7510643719211E-3</v>
      </c>
    </row>
    <row r="47" spans="1:10" x14ac:dyDescent="0.25">
      <c r="A47" t="str">
        <f t="shared" si="0"/>
        <v>32017</v>
      </c>
      <c r="B47" s="1">
        <v>42802</v>
      </c>
      <c r="C47" s="10">
        <v>42950.645833333336</v>
      </c>
      <c r="D47">
        <v>9770.85</v>
      </c>
      <c r="E47">
        <v>9776.7000000000007</v>
      </c>
      <c r="F47">
        <v>9644.5</v>
      </c>
      <c r="G47">
        <v>9701.25</v>
      </c>
      <c r="H47">
        <v>0</v>
      </c>
      <c r="I47" s="8">
        <f t="shared" si="1"/>
        <v>-5.3621501914686842E-3</v>
      </c>
      <c r="J47" s="8">
        <f t="shared" si="2"/>
        <v>-5.3765781183935718E-3</v>
      </c>
    </row>
    <row r="48" spans="1:10" x14ac:dyDescent="0.25">
      <c r="A48" t="str">
        <f t="shared" si="0"/>
        <v>32017</v>
      </c>
      <c r="B48" s="1">
        <v>42803</v>
      </c>
      <c r="C48" s="10">
        <v>42981.645833333336</v>
      </c>
      <c r="D48">
        <v>9701</v>
      </c>
      <c r="E48">
        <v>9774.7999999999993</v>
      </c>
      <c r="F48">
        <v>9685.7000000000007</v>
      </c>
      <c r="G48">
        <v>9754.35</v>
      </c>
      <c r="H48">
        <v>0</v>
      </c>
      <c r="I48" s="8">
        <f t="shared" si="1"/>
        <v>5.4735214534209486E-3</v>
      </c>
      <c r="J48" s="8">
        <f t="shared" si="2"/>
        <v>5.4585961726637969E-3</v>
      </c>
    </row>
    <row r="49" spans="1:11" x14ac:dyDescent="0.25">
      <c r="A49" t="str">
        <f t="shared" si="0"/>
        <v>32017</v>
      </c>
      <c r="B49" s="1">
        <v>42804</v>
      </c>
      <c r="C49" s="10">
        <v>43011.645833333336</v>
      </c>
      <c r="D49">
        <v>9797.85</v>
      </c>
      <c r="E49">
        <v>9820.4</v>
      </c>
      <c r="F49">
        <v>9741</v>
      </c>
      <c r="G49">
        <v>9779.25</v>
      </c>
      <c r="H49">
        <v>0</v>
      </c>
      <c r="I49" s="8">
        <f t="shared" si="1"/>
        <v>2.5527072536868367E-3</v>
      </c>
      <c r="J49" s="8">
        <f t="shared" si="2"/>
        <v>2.5494546306789817E-3</v>
      </c>
    </row>
    <row r="50" spans="1:11" x14ac:dyDescent="0.25">
      <c r="A50" t="str">
        <f t="shared" si="0"/>
        <v>32017</v>
      </c>
      <c r="B50" s="1">
        <v>42808</v>
      </c>
      <c r="C50" t="s">
        <v>51</v>
      </c>
      <c r="D50">
        <v>9970.2000000000007</v>
      </c>
      <c r="E50">
        <v>9992.2999999999993</v>
      </c>
      <c r="F50">
        <v>9873.4</v>
      </c>
      <c r="G50">
        <v>9910.4</v>
      </c>
      <c r="H50">
        <v>0</v>
      </c>
      <c r="I50" s="8">
        <f t="shared" si="1"/>
        <v>1.3411048904568235E-2</v>
      </c>
      <c r="J50" s="8">
        <f t="shared" si="2"/>
        <v>1.3321916807192207E-2</v>
      </c>
    </row>
    <row r="51" spans="1:11" x14ac:dyDescent="0.25">
      <c r="A51" t="str">
        <f t="shared" si="0"/>
        <v>32017</v>
      </c>
      <c r="B51" s="1">
        <v>42809</v>
      </c>
      <c r="C51" t="s">
        <v>52</v>
      </c>
      <c r="D51">
        <v>9923.2999999999993</v>
      </c>
      <c r="E51">
        <v>10020.25</v>
      </c>
      <c r="F51">
        <v>9901.65</v>
      </c>
      <c r="G51">
        <v>9987.65</v>
      </c>
      <c r="H51">
        <v>0</v>
      </c>
      <c r="I51" s="8">
        <f t="shared" si="1"/>
        <v>7.7948417823701099E-3</v>
      </c>
      <c r="J51" s="8">
        <f t="shared" si="2"/>
        <v>7.7646189563327084E-3</v>
      </c>
    </row>
    <row r="52" spans="1:11" x14ac:dyDescent="0.25">
      <c r="A52" t="str">
        <f t="shared" si="0"/>
        <v>32017</v>
      </c>
      <c r="B52" s="1">
        <v>42810</v>
      </c>
      <c r="C52" t="s">
        <v>53</v>
      </c>
      <c r="D52">
        <v>10032.65</v>
      </c>
      <c r="E52">
        <v>10064.25</v>
      </c>
      <c r="F52">
        <v>10025.299999999999</v>
      </c>
      <c r="G52">
        <v>10056.5</v>
      </c>
      <c r="H52">
        <v>0</v>
      </c>
      <c r="I52" s="8">
        <f t="shared" si="1"/>
        <v>6.8935134891592309E-3</v>
      </c>
      <c r="J52" s="8">
        <f t="shared" si="2"/>
        <v>6.8698618580595215E-3</v>
      </c>
    </row>
    <row r="53" spans="1:11" x14ac:dyDescent="0.25">
      <c r="A53" t="str">
        <f t="shared" si="0"/>
        <v>32017</v>
      </c>
      <c r="B53" s="1">
        <v>42811</v>
      </c>
      <c r="C53" t="s">
        <v>54</v>
      </c>
      <c r="D53">
        <v>10078.450000000001</v>
      </c>
      <c r="E53">
        <v>10088.450000000001</v>
      </c>
      <c r="F53">
        <v>9969.5499999999993</v>
      </c>
      <c r="G53">
        <v>10009.4</v>
      </c>
      <c r="H53">
        <v>0</v>
      </c>
      <c r="I53" s="8">
        <f t="shared" si="1"/>
        <v>-4.6835380102421276E-3</v>
      </c>
      <c r="J53" s="8">
        <f t="shared" si="2"/>
        <v>-4.6945401404266613E-3</v>
      </c>
    </row>
    <row r="54" spans="1:11" x14ac:dyDescent="0.25">
      <c r="A54" t="str">
        <f t="shared" si="0"/>
        <v>32017</v>
      </c>
      <c r="B54" s="1">
        <v>42814</v>
      </c>
      <c r="C54" t="s">
        <v>55</v>
      </c>
      <c r="D54">
        <v>10039.85</v>
      </c>
      <c r="E54">
        <v>10042.950000000001</v>
      </c>
      <c r="F54">
        <v>9981.9</v>
      </c>
      <c r="G54">
        <v>10009.299999999999</v>
      </c>
      <c r="H54">
        <v>0</v>
      </c>
      <c r="I54" s="8">
        <f t="shared" si="1"/>
        <v>-9.9906088277812444E-6</v>
      </c>
      <c r="J54" s="8">
        <f t="shared" si="2"/>
        <v>-9.9906587342460168E-6</v>
      </c>
    </row>
    <row r="55" spans="1:11" x14ac:dyDescent="0.25">
      <c r="A55" t="str">
        <f t="shared" si="0"/>
        <v>32017</v>
      </c>
      <c r="B55" s="1">
        <v>42815</v>
      </c>
      <c r="C55" t="s">
        <v>56</v>
      </c>
      <c r="D55">
        <v>10025.700000000001</v>
      </c>
      <c r="E55">
        <v>10027.85</v>
      </c>
      <c r="F55">
        <v>9913.2999999999993</v>
      </c>
      <c r="G55">
        <v>9963.75</v>
      </c>
      <c r="H55">
        <v>0</v>
      </c>
      <c r="I55" s="8">
        <f t="shared" si="1"/>
        <v>-4.5507677859589757E-3</v>
      </c>
      <c r="J55" s="8">
        <f t="shared" si="2"/>
        <v>-4.5611540519818273E-3</v>
      </c>
    </row>
    <row r="56" spans="1:11" x14ac:dyDescent="0.25">
      <c r="A56" t="str">
        <f t="shared" si="0"/>
        <v>32017</v>
      </c>
      <c r="B56" s="1">
        <v>42816</v>
      </c>
      <c r="C56" t="s">
        <v>57</v>
      </c>
      <c r="D56">
        <v>9900.35</v>
      </c>
      <c r="E56">
        <v>9902.7999999999993</v>
      </c>
      <c r="F56">
        <v>9789.4</v>
      </c>
      <c r="G56">
        <v>9803.9500000000007</v>
      </c>
      <c r="H56">
        <v>0</v>
      </c>
      <c r="I56" s="8">
        <f t="shared" si="1"/>
        <v>-1.6038138251160405E-2</v>
      </c>
      <c r="J56" s="8">
        <f t="shared" si="2"/>
        <v>-1.6168141066334869E-2</v>
      </c>
    </row>
    <row r="57" spans="1:11" x14ac:dyDescent="0.25">
      <c r="A57" t="str">
        <f t="shared" si="0"/>
        <v>32017</v>
      </c>
      <c r="B57" s="1">
        <v>42817</v>
      </c>
      <c r="C57" t="s">
        <v>58</v>
      </c>
      <c r="D57">
        <v>9830</v>
      </c>
      <c r="E57">
        <v>9915</v>
      </c>
      <c r="F57">
        <v>9818.15</v>
      </c>
      <c r="G57">
        <v>9897.9500000000007</v>
      </c>
      <c r="H57">
        <v>0</v>
      </c>
      <c r="I57" s="8">
        <f t="shared" si="1"/>
        <v>9.5879721948806118E-3</v>
      </c>
      <c r="J57" s="8">
        <f t="shared" si="2"/>
        <v>9.5422992977135992E-3</v>
      </c>
    </row>
    <row r="58" spans="1:11" x14ac:dyDescent="0.25">
      <c r="A58" t="str">
        <f t="shared" si="0"/>
        <v>32017</v>
      </c>
      <c r="B58" s="1">
        <v>42818</v>
      </c>
      <c r="C58" t="s">
        <v>59</v>
      </c>
      <c r="D58">
        <v>9904</v>
      </c>
      <c r="E58">
        <v>9913.2999999999993</v>
      </c>
      <c r="F58">
        <v>9865.65</v>
      </c>
      <c r="G58">
        <v>9878.35</v>
      </c>
      <c r="H58">
        <v>0</v>
      </c>
      <c r="I58" s="8">
        <f t="shared" si="1"/>
        <v>-1.9802080228734642E-3</v>
      </c>
      <c r="J58" s="8">
        <f t="shared" si="2"/>
        <v>-1.9821712269101075E-3</v>
      </c>
    </row>
    <row r="59" spans="1:11" x14ac:dyDescent="0.25">
      <c r="A59" t="str">
        <f t="shared" si="0"/>
        <v>32017</v>
      </c>
      <c r="B59" s="1">
        <v>42821</v>
      </c>
      <c r="C59" t="s">
        <v>60</v>
      </c>
      <c r="D59">
        <v>9873.5499999999993</v>
      </c>
      <c r="E59">
        <v>9881.2999999999993</v>
      </c>
      <c r="F59">
        <v>9801.65</v>
      </c>
      <c r="G59">
        <v>9808.2000000000007</v>
      </c>
      <c r="H59">
        <v>0</v>
      </c>
      <c r="I59" s="8">
        <f t="shared" si="1"/>
        <v>-7.1013883897613761E-3</v>
      </c>
      <c r="J59" s="8">
        <f t="shared" si="2"/>
        <v>-7.1267232613841614E-3</v>
      </c>
    </row>
    <row r="60" spans="1:11" x14ac:dyDescent="0.25">
      <c r="A60" t="str">
        <f t="shared" si="0"/>
        <v>32017</v>
      </c>
      <c r="B60" s="1">
        <v>42822</v>
      </c>
      <c r="C60" t="s">
        <v>61</v>
      </c>
      <c r="D60">
        <v>9830.25</v>
      </c>
      <c r="E60">
        <v>9911</v>
      </c>
      <c r="F60">
        <v>9830.25</v>
      </c>
      <c r="G60">
        <v>9887.7999999999993</v>
      </c>
      <c r="H60">
        <v>0</v>
      </c>
      <c r="I60" s="8">
        <f t="shared" si="1"/>
        <v>8.1156583267061322E-3</v>
      </c>
      <c r="J60" s="8">
        <f t="shared" si="2"/>
        <v>8.0829034704785734E-3</v>
      </c>
    </row>
    <row r="61" spans="1:11" x14ac:dyDescent="0.25">
      <c r="A61" t="str">
        <f t="shared" si="0"/>
        <v>32017</v>
      </c>
      <c r="B61" s="1">
        <v>42823</v>
      </c>
      <c r="C61" t="s">
        <v>62</v>
      </c>
      <c r="D61">
        <v>9929.9500000000007</v>
      </c>
      <c r="E61">
        <v>9929.9500000000007</v>
      </c>
      <c r="F61">
        <v>9795.35</v>
      </c>
      <c r="G61">
        <v>9845.75</v>
      </c>
      <c r="H61">
        <v>0</v>
      </c>
      <c r="I61" s="8">
        <f t="shared" si="1"/>
        <v>-4.2527154675457979E-3</v>
      </c>
      <c r="J61" s="8">
        <f t="shared" si="2"/>
        <v>-4.2617839816422171E-3</v>
      </c>
    </row>
    <row r="62" spans="1:11" x14ac:dyDescent="0.25">
      <c r="A62" t="str">
        <f t="shared" si="0"/>
        <v>32017</v>
      </c>
      <c r="B62" s="1">
        <v>42824</v>
      </c>
      <c r="C62" t="s">
        <v>63</v>
      </c>
      <c r="D62">
        <v>9821.5499999999993</v>
      </c>
      <c r="E62">
        <v>9878.2999999999993</v>
      </c>
      <c r="F62">
        <v>9815.85</v>
      </c>
      <c r="G62">
        <v>9860.2999999999993</v>
      </c>
      <c r="H62">
        <v>0</v>
      </c>
      <c r="I62" s="8">
        <f t="shared" si="1"/>
        <v>1.4777949876849661E-3</v>
      </c>
      <c r="J62" s="8">
        <f t="shared" si="2"/>
        <v>1.4767041232558965E-3</v>
      </c>
    </row>
    <row r="63" spans="1:11" x14ac:dyDescent="0.25">
      <c r="A63" t="str">
        <f t="shared" si="0"/>
        <v>32017</v>
      </c>
      <c r="B63" s="1">
        <v>42825</v>
      </c>
      <c r="C63" t="s">
        <v>64</v>
      </c>
      <c r="D63">
        <v>9845.9</v>
      </c>
      <c r="E63">
        <v>9905.6</v>
      </c>
      <c r="F63">
        <v>9835.0499999999993</v>
      </c>
      <c r="G63">
        <v>9880.2000000000007</v>
      </c>
      <c r="H63">
        <v>0</v>
      </c>
      <c r="I63" s="8">
        <f t="shared" si="1"/>
        <v>2.0181941725911923E-3</v>
      </c>
      <c r="J63" s="8">
        <f t="shared" si="2"/>
        <v>2.0161603546986059E-3</v>
      </c>
      <c r="K63" s="8">
        <f>+G63/G2-1</f>
        <v>5.9323033376577516E-2</v>
      </c>
    </row>
    <row r="64" spans="1:11" x14ac:dyDescent="0.25">
      <c r="A64" t="str">
        <f t="shared" si="0"/>
        <v>42017</v>
      </c>
      <c r="B64" s="1">
        <v>42828</v>
      </c>
      <c r="C64" s="10">
        <v>42798.645833333336</v>
      </c>
      <c r="D64">
        <v>9934.65</v>
      </c>
      <c r="E64">
        <v>9959.5</v>
      </c>
      <c r="F64">
        <v>9902.85</v>
      </c>
      <c r="G64">
        <v>9921.1</v>
      </c>
      <c r="H64">
        <v>0</v>
      </c>
      <c r="I64" s="8">
        <f t="shared" si="1"/>
        <v>4.1395923159450732E-3</v>
      </c>
      <c r="J64" s="8">
        <f t="shared" si="2"/>
        <v>4.1310477761648387E-3</v>
      </c>
      <c r="K64" s="8">
        <f t="shared" ref="K64:K127" si="3">+G64/G3-1</f>
        <v>6.6750534928980976E-2</v>
      </c>
    </row>
    <row r="65" spans="1:11" x14ac:dyDescent="0.25">
      <c r="A65" t="str">
        <f t="shared" si="0"/>
        <v>42017</v>
      </c>
      <c r="B65" s="1">
        <v>42830</v>
      </c>
      <c r="C65" s="10">
        <v>42859.645833333336</v>
      </c>
      <c r="D65">
        <v>9952.7000000000007</v>
      </c>
      <c r="E65">
        <v>10048.65</v>
      </c>
      <c r="F65">
        <v>9923</v>
      </c>
      <c r="G65">
        <v>10033.549999999999</v>
      </c>
      <c r="H65">
        <v>0</v>
      </c>
      <c r="I65" s="8">
        <f t="shared" si="1"/>
        <v>1.1334428641985195E-2</v>
      </c>
      <c r="J65" s="8">
        <f t="shared" si="2"/>
        <v>1.1270675291907874E-2</v>
      </c>
      <c r="K65" s="8">
        <f t="shared" si="3"/>
        <v>7.5303561285620768E-2</v>
      </c>
    </row>
    <row r="66" spans="1:11" x14ac:dyDescent="0.25">
      <c r="A66" t="str">
        <f t="shared" si="0"/>
        <v>42017</v>
      </c>
      <c r="B66" s="1">
        <v>42831</v>
      </c>
      <c r="C66" s="10">
        <v>42890.645833333336</v>
      </c>
      <c r="D66">
        <v>10032.9</v>
      </c>
      <c r="E66">
        <v>10054.450000000001</v>
      </c>
      <c r="F66">
        <v>9977.4500000000007</v>
      </c>
      <c r="G66">
        <v>10035.299999999999</v>
      </c>
      <c r="H66">
        <v>0</v>
      </c>
      <c r="I66" s="8">
        <f t="shared" si="1"/>
        <v>1.7441483821767356E-4</v>
      </c>
      <c r="J66" s="8">
        <f t="shared" si="2"/>
        <v>1.7439962971814459E-4</v>
      </c>
      <c r="K66" s="8">
        <f t="shared" si="3"/>
        <v>5.3873538955924616E-2</v>
      </c>
    </row>
    <row r="67" spans="1:11" x14ac:dyDescent="0.25">
      <c r="A67" t="str">
        <f t="shared" ref="A67:A130" si="4">+MONTH(B67)&amp;YEAR(B67)</f>
        <v>42017</v>
      </c>
      <c r="B67" s="1">
        <v>42832</v>
      </c>
      <c r="C67" s="10">
        <v>42920.645833333336</v>
      </c>
      <c r="D67">
        <v>9981.4500000000007</v>
      </c>
      <c r="E67">
        <v>10072.799999999999</v>
      </c>
      <c r="F67">
        <v>9964.1</v>
      </c>
      <c r="G67">
        <v>9993.75</v>
      </c>
      <c r="H67">
        <v>0</v>
      </c>
      <c r="I67" s="8">
        <f t="shared" si="1"/>
        <v>-4.1403844429164227E-3</v>
      </c>
      <c r="J67" s="8">
        <f t="shared" si="2"/>
        <v>-4.1489795675347533E-3</v>
      </c>
      <c r="K67" s="8">
        <f t="shared" si="3"/>
        <v>5.1237817738109648E-2</v>
      </c>
    </row>
    <row r="68" spans="1:11" x14ac:dyDescent="0.25">
      <c r="A68" t="str">
        <f t="shared" si="4"/>
        <v>42017</v>
      </c>
      <c r="B68" s="1">
        <v>42835</v>
      </c>
      <c r="C68" s="10">
        <v>43012.645833333336</v>
      </c>
      <c r="D68">
        <v>10037.35</v>
      </c>
      <c r="E68">
        <v>10053.799999999999</v>
      </c>
      <c r="F68">
        <v>9987.65</v>
      </c>
      <c r="G68">
        <v>10030.5</v>
      </c>
      <c r="H68">
        <v>0</v>
      </c>
      <c r="I68" s="8">
        <f t="shared" ref="I68:I131" si="5">+G68/G67-1</f>
        <v>3.6772983114445879E-3</v>
      </c>
      <c r="J68" s="8">
        <f t="shared" ref="J68:J131" si="6">+LN(1+I68)</f>
        <v>3.6705535798785033E-3</v>
      </c>
      <c r="K68" s="8">
        <f t="shared" si="3"/>
        <v>5.6292419399849303E-2</v>
      </c>
    </row>
    <row r="69" spans="1:11" x14ac:dyDescent="0.25">
      <c r="A69" t="str">
        <f t="shared" si="4"/>
        <v>42017</v>
      </c>
      <c r="B69" s="1">
        <v>42836</v>
      </c>
      <c r="C69" s="10">
        <v>43043.645833333336</v>
      </c>
      <c r="D69">
        <v>10036.85</v>
      </c>
      <c r="E69">
        <v>10060.5</v>
      </c>
      <c r="F69">
        <v>10012.799999999999</v>
      </c>
      <c r="G69">
        <v>10040.049999999999</v>
      </c>
      <c r="H69">
        <v>0</v>
      </c>
      <c r="I69" s="8">
        <f t="shared" si="5"/>
        <v>9.5209610687385648E-4</v>
      </c>
      <c r="J69" s="8">
        <f t="shared" si="6"/>
        <v>9.5164315085780114E-4</v>
      </c>
      <c r="K69" s="8">
        <f t="shared" si="3"/>
        <v>4.4033234199197135E-2</v>
      </c>
    </row>
    <row r="70" spans="1:11" x14ac:dyDescent="0.25">
      <c r="A70" t="str">
        <f t="shared" si="4"/>
        <v>42017</v>
      </c>
      <c r="B70" s="1">
        <v>42837</v>
      </c>
      <c r="C70" s="10">
        <v>43073.645833333336</v>
      </c>
      <c r="D70">
        <v>10046.5</v>
      </c>
      <c r="E70">
        <v>10055.700000000001</v>
      </c>
      <c r="F70">
        <v>9916.15</v>
      </c>
      <c r="G70">
        <v>9987.15</v>
      </c>
      <c r="H70">
        <v>0</v>
      </c>
      <c r="I70" s="8">
        <f t="shared" si="5"/>
        <v>-5.2688980632565885E-3</v>
      </c>
      <c r="J70" s="8">
        <f t="shared" si="6"/>
        <v>-5.2828276572751487E-3</v>
      </c>
      <c r="K70" s="8">
        <f t="shared" si="3"/>
        <v>2.9215810545516474E-2</v>
      </c>
    </row>
    <row r="71" spans="1:11" x14ac:dyDescent="0.25">
      <c r="A71" t="str">
        <f t="shared" si="4"/>
        <v>42017</v>
      </c>
      <c r="B71" s="1">
        <v>42838</v>
      </c>
      <c r="C71" t="s">
        <v>65</v>
      </c>
      <c r="D71">
        <v>9971</v>
      </c>
      <c r="E71">
        <v>9985.35</v>
      </c>
      <c r="F71">
        <v>9898.0499999999993</v>
      </c>
      <c r="G71">
        <v>9907.4</v>
      </c>
      <c r="H71">
        <v>0</v>
      </c>
      <c r="I71" s="8">
        <f t="shared" si="5"/>
        <v>-7.9852610604627117E-3</v>
      </c>
      <c r="J71" s="8">
        <f t="shared" si="6"/>
        <v>-8.0173140056873943E-3</v>
      </c>
      <c r="K71" s="8">
        <f t="shared" si="3"/>
        <v>2.3814321661267179E-2</v>
      </c>
    </row>
    <row r="72" spans="1:11" x14ac:dyDescent="0.25">
      <c r="A72" t="str">
        <f t="shared" si="4"/>
        <v>42017</v>
      </c>
      <c r="B72" s="1">
        <v>42842</v>
      </c>
      <c r="C72" t="s">
        <v>66</v>
      </c>
      <c r="D72">
        <v>9881.7999999999993</v>
      </c>
      <c r="E72">
        <v>9927.6</v>
      </c>
      <c r="F72">
        <v>9853.4500000000007</v>
      </c>
      <c r="G72">
        <v>9889.4500000000007</v>
      </c>
      <c r="H72">
        <v>0</v>
      </c>
      <c r="I72" s="8">
        <f t="shared" si="5"/>
        <v>-1.8117770555341473E-3</v>
      </c>
      <c r="J72" s="8">
        <f t="shared" si="6"/>
        <v>-1.8134203086891611E-3</v>
      </c>
      <c r="K72" s="8">
        <f t="shared" si="3"/>
        <v>3.0075931963294389E-2</v>
      </c>
    </row>
    <row r="73" spans="1:11" x14ac:dyDescent="0.25">
      <c r="A73" t="str">
        <f t="shared" si="4"/>
        <v>42017</v>
      </c>
      <c r="B73" s="1">
        <v>42843</v>
      </c>
      <c r="C73" t="s">
        <v>67</v>
      </c>
      <c r="D73">
        <v>9908.7000000000007</v>
      </c>
      <c r="E73">
        <v>9971.9</v>
      </c>
      <c r="F73">
        <v>9790.5</v>
      </c>
      <c r="G73">
        <v>9813.7000000000007</v>
      </c>
      <c r="H73">
        <v>0</v>
      </c>
      <c r="I73" s="8">
        <f t="shared" si="5"/>
        <v>-7.6596777373868496E-3</v>
      </c>
      <c r="J73" s="8">
        <f t="shared" si="6"/>
        <v>-7.6891637342331939E-3</v>
      </c>
      <c r="K73" s="8">
        <f t="shared" si="3"/>
        <v>1.6889966530925227E-2</v>
      </c>
    </row>
    <row r="74" spans="1:11" x14ac:dyDescent="0.25">
      <c r="A74" t="str">
        <f t="shared" si="4"/>
        <v>42017</v>
      </c>
      <c r="B74" s="1">
        <v>42844</v>
      </c>
      <c r="C74" t="s">
        <v>68</v>
      </c>
      <c r="D74">
        <v>9815.5</v>
      </c>
      <c r="E74">
        <v>9853.6</v>
      </c>
      <c r="F74">
        <v>9784</v>
      </c>
      <c r="G74">
        <v>9831.35</v>
      </c>
      <c r="H74">
        <v>0</v>
      </c>
      <c r="I74" s="8">
        <f t="shared" si="5"/>
        <v>1.7985061699461458E-3</v>
      </c>
      <c r="J74" s="8">
        <f t="shared" si="6"/>
        <v>1.7968907942765438E-3</v>
      </c>
      <c r="K74" s="8">
        <f t="shared" si="3"/>
        <v>1.9653904592998206E-2</v>
      </c>
    </row>
    <row r="75" spans="1:11" x14ac:dyDescent="0.25">
      <c r="A75" t="str">
        <f t="shared" si="4"/>
        <v>42017</v>
      </c>
      <c r="B75" s="1">
        <v>42845</v>
      </c>
      <c r="C75" t="s">
        <v>69</v>
      </c>
      <c r="D75">
        <v>9852.5</v>
      </c>
      <c r="E75">
        <v>9923.9500000000007</v>
      </c>
      <c r="F75">
        <v>9841.65</v>
      </c>
      <c r="G75">
        <v>9909.9</v>
      </c>
      <c r="H75">
        <v>0</v>
      </c>
      <c r="I75" s="8">
        <f t="shared" si="5"/>
        <v>7.9897470845813334E-3</v>
      </c>
      <c r="J75" s="8">
        <f t="shared" si="6"/>
        <v>7.9579980543723044E-3</v>
      </c>
      <c r="K75" s="8">
        <f t="shared" si="3"/>
        <v>2.7486313868613221E-2</v>
      </c>
    </row>
    <row r="76" spans="1:11" x14ac:dyDescent="0.25">
      <c r="A76" t="str">
        <f t="shared" si="4"/>
        <v>42017</v>
      </c>
      <c r="B76" s="1">
        <v>42846</v>
      </c>
      <c r="C76" t="s">
        <v>70</v>
      </c>
      <c r="D76">
        <v>9935.7999999999993</v>
      </c>
      <c r="E76">
        <v>9958.6</v>
      </c>
      <c r="F76">
        <v>9834.7999999999993</v>
      </c>
      <c r="G76">
        <v>9858.7999999999993</v>
      </c>
      <c r="H76">
        <v>0</v>
      </c>
      <c r="I76" s="8">
        <f t="shared" si="5"/>
        <v>-5.1564597019142511E-3</v>
      </c>
      <c r="J76" s="8">
        <f t="shared" si="6"/>
        <v>-5.1698001195540806E-3</v>
      </c>
      <c r="K76" s="8">
        <f t="shared" si="3"/>
        <v>1.5428983417447695E-2</v>
      </c>
    </row>
    <row r="77" spans="1:11" x14ac:dyDescent="0.25">
      <c r="A77" t="str">
        <f t="shared" si="4"/>
        <v>42017</v>
      </c>
      <c r="B77" s="1">
        <v>42849</v>
      </c>
      <c r="C77" t="s">
        <v>71</v>
      </c>
      <c r="D77">
        <v>9887.9500000000007</v>
      </c>
      <c r="E77">
        <v>9988</v>
      </c>
      <c r="F77">
        <v>9870.7000000000007</v>
      </c>
      <c r="G77">
        <v>9978.2000000000007</v>
      </c>
      <c r="H77">
        <v>0</v>
      </c>
      <c r="I77" s="8">
        <f t="shared" si="5"/>
        <v>1.2111007424838949E-2</v>
      </c>
      <c r="J77" s="8">
        <f t="shared" si="6"/>
        <v>1.2038255980905349E-2</v>
      </c>
      <c r="K77" s="8">
        <f t="shared" si="3"/>
        <v>3.9287574211019693E-2</v>
      </c>
    </row>
    <row r="78" spans="1:11" x14ac:dyDescent="0.25">
      <c r="A78" t="str">
        <f t="shared" si="4"/>
        <v>42017</v>
      </c>
      <c r="B78" s="1">
        <v>42850</v>
      </c>
      <c r="C78" t="s">
        <v>72</v>
      </c>
      <c r="D78">
        <v>10041.049999999999</v>
      </c>
      <c r="E78">
        <v>10098.799999999999</v>
      </c>
      <c r="F78">
        <v>9993.25</v>
      </c>
      <c r="G78">
        <v>10090.35</v>
      </c>
      <c r="H78">
        <v>0</v>
      </c>
      <c r="I78" s="8">
        <f t="shared" si="5"/>
        <v>1.1239502114609889E-2</v>
      </c>
      <c r="J78" s="8">
        <f t="shared" si="6"/>
        <v>1.117680823864323E-2</v>
      </c>
      <c r="K78" s="8">
        <f t="shared" si="3"/>
        <v>4.4009311950336194E-2</v>
      </c>
    </row>
    <row r="79" spans="1:11" x14ac:dyDescent="0.25">
      <c r="A79" t="str">
        <f t="shared" si="4"/>
        <v>42017</v>
      </c>
      <c r="B79" s="1">
        <v>42851</v>
      </c>
      <c r="C79" t="s">
        <v>73</v>
      </c>
      <c r="D79">
        <v>10112</v>
      </c>
      <c r="E79">
        <v>10212.6</v>
      </c>
      <c r="F79">
        <v>10103.5</v>
      </c>
      <c r="G79">
        <v>10189.700000000001</v>
      </c>
      <c r="H79">
        <v>0</v>
      </c>
      <c r="I79" s="8">
        <f t="shared" si="5"/>
        <v>9.8460410193899062E-3</v>
      </c>
      <c r="J79" s="8">
        <f t="shared" si="6"/>
        <v>9.7978845995609926E-3</v>
      </c>
      <c r="K79" s="8">
        <f t="shared" si="3"/>
        <v>3.6781913269978261E-2</v>
      </c>
    </row>
    <row r="80" spans="1:11" x14ac:dyDescent="0.25">
      <c r="A80" t="str">
        <f t="shared" si="4"/>
        <v>42017</v>
      </c>
      <c r="B80" s="1">
        <v>42852</v>
      </c>
      <c r="C80" t="s">
        <v>74</v>
      </c>
      <c r="D80">
        <v>10219.1</v>
      </c>
      <c r="E80">
        <v>10262.299999999999</v>
      </c>
      <c r="F80">
        <v>10155.5</v>
      </c>
      <c r="G80">
        <v>10173.1</v>
      </c>
      <c r="H80">
        <v>0</v>
      </c>
      <c r="I80" s="8">
        <f t="shared" si="5"/>
        <v>-1.6290960479700134E-3</v>
      </c>
      <c r="J80" s="8">
        <f t="shared" si="6"/>
        <v>-1.6304244678818898E-3</v>
      </c>
      <c r="K80" s="8">
        <f t="shared" si="3"/>
        <v>2.0606559186171269E-2</v>
      </c>
    </row>
    <row r="81" spans="1:11" x14ac:dyDescent="0.25">
      <c r="A81" t="str">
        <f t="shared" si="4"/>
        <v>42017</v>
      </c>
      <c r="B81" s="1">
        <v>42853</v>
      </c>
      <c r="C81" t="s">
        <v>75</v>
      </c>
      <c r="D81">
        <v>10195.9</v>
      </c>
      <c r="E81">
        <v>10292.35</v>
      </c>
      <c r="F81">
        <v>10177.25</v>
      </c>
      <c r="G81">
        <v>10255.15</v>
      </c>
      <c r="H81">
        <v>0</v>
      </c>
      <c r="I81" s="8">
        <f t="shared" si="5"/>
        <v>8.0653881314445286E-3</v>
      </c>
      <c r="J81" s="8">
        <f t="shared" si="6"/>
        <v>8.033036723283097E-3</v>
      </c>
      <c r="K81" s="8">
        <f t="shared" si="3"/>
        <v>2.3994368362980856E-2</v>
      </c>
    </row>
    <row r="82" spans="1:11" x14ac:dyDescent="0.25">
      <c r="A82" t="str">
        <f t="shared" si="4"/>
        <v>52017</v>
      </c>
      <c r="B82" s="1">
        <v>42857</v>
      </c>
      <c r="C82" s="10">
        <v>42771.645833333336</v>
      </c>
      <c r="D82">
        <v>10301.6</v>
      </c>
      <c r="E82">
        <v>10314.9</v>
      </c>
      <c r="F82">
        <v>10218.35</v>
      </c>
      <c r="G82">
        <v>10294.75</v>
      </c>
      <c r="H82">
        <v>0</v>
      </c>
      <c r="I82" s="8">
        <f t="shared" si="5"/>
        <v>3.8614744786766853E-3</v>
      </c>
      <c r="J82" s="8">
        <f t="shared" si="6"/>
        <v>3.8540381234849416E-3</v>
      </c>
      <c r="K82" s="8">
        <f t="shared" si="3"/>
        <v>3.6873089493536515E-2</v>
      </c>
    </row>
    <row r="83" spans="1:11" x14ac:dyDescent="0.25">
      <c r="A83" t="str">
        <f t="shared" si="4"/>
        <v>52017</v>
      </c>
      <c r="B83" s="1">
        <v>42858</v>
      </c>
      <c r="C83" s="10">
        <v>42799.645833333336</v>
      </c>
      <c r="D83">
        <v>10314.799999999999</v>
      </c>
      <c r="E83">
        <v>10352.450000000001</v>
      </c>
      <c r="F83">
        <v>10255</v>
      </c>
      <c r="G83">
        <v>10273</v>
      </c>
      <c r="H83">
        <v>0</v>
      </c>
      <c r="I83" s="8">
        <f t="shared" si="5"/>
        <v>-2.1127273610335173E-3</v>
      </c>
      <c r="J83" s="8">
        <f t="shared" si="6"/>
        <v>-2.114962317942469E-3</v>
      </c>
      <c r="K83" s="8">
        <f t="shared" si="3"/>
        <v>4.4242840080302992E-2</v>
      </c>
    </row>
    <row r="84" spans="1:11" x14ac:dyDescent="0.25">
      <c r="A84" t="str">
        <f t="shared" si="4"/>
        <v>52017</v>
      </c>
      <c r="B84" s="1">
        <v>42859</v>
      </c>
      <c r="C84" s="10">
        <v>42830.645833333336</v>
      </c>
      <c r="D84">
        <v>10282.35</v>
      </c>
      <c r="E84">
        <v>10313.700000000001</v>
      </c>
      <c r="F84">
        <v>10199.549999999999</v>
      </c>
      <c r="G84">
        <v>10211.799999999999</v>
      </c>
      <c r="H84">
        <v>0</v>
      </c>
      <c r="I84" s="8">
        <f t="shared" si="5"/>
        <v>-5.9573639637886533E-3</v>
      </c>
      <c r="J84" s="8">
        <f t="shared" si="6"/>
        <v>-5.975179848867555E-3</v>
      </c>
      <c r="K84" s="8">
        <f t="shared" si="3"/>
        <v>1.9476155200917056E-3</v>
      </c>
    </row>
    <row r="85" spans="1:11" x14ac:dyDescent="0.25">
      <c r="A85" t="str">
        <f t="shared" si="4"/>
        <v>52017</v>
      </c>
      <c r="B85" s="1">
        <v>42860</v>
      </c>
      <c r="C85" s="10">
        <v>42860.645833333336</v>
      </c>
      <c r="D85">
        <v>10204.049999999999</v>
      </c>
      <c r="E85">
        <v>10207.700000000001</v>
      </c>
      <c r="F85">
        <v>10091.049999999999</v>
      </c>
      <c r="G85">
        <v>10107.950000000001</v>
      </c>
      <c r="H85">
        <v>0</v>
      </c>
      <c r="I85" s="8">
        <f t="shared" si="5"/>
        <v>-1.0169607708728989E-2</v>
      </c>
      <c r="J85" s="8">
        <f t="shared" si="6"/>
        <v>-1.0221671448514321E-2</v>
      </c>
      <c r="K85" s="8">
        <f t="shared" si="3"/>
        <v>4.886268739810129E-3</v>
      </c>
    </row>
    <row r="86" spans="1:11" x14ac:dyDescent="0.25">
      <c r="A86" t="str">
        <f t="shared" si="4"/>
        <v>52017</v>
      </c>
      <c r="B86" s="1">
        <v>42863</v>
      </c>
      <c r="C86" s="10">
        <v>42952.645833333336</v>
      </c>
      <c r="D86">
        <v>10166.85</v>
      </c>
      <c r="E86">
        <v>10204.35</v>
      </c>
      <c r="F86">
        <v>10122.1</v>
      </c>
      <c r="G86">
        <v>10167.049999999999</v>
      </c>
      <c r="H86">
        <v>0</v>
      </c>
      <c r="I86" s="8">
        <f t="shared" si="5"/>
        <v>5.8468828991040667E-3</v>
      </c>
      <c r="J86" s="8">
        <f t="shared" si="6"/>
        <v>5.8298562157316752E-3</v>
      </c>
      <c r="K86" s="8">
        <f t="shared" si="3"/>
        <v>1.9242914857996229E-2</v>
      </c>
    </row>
    <row r="87" spans="1:11" x14ac:dyDescent="0.25">
      <c r="A87" t="str">
        <f t="shared" si="4"/>
        <v>52017</v>
      </c>
      <c r="B87" s="1">
        <v>42864</v>
      </c>
      <c r="C87" s="10">
        <v>42983.645833333336</v>
      </c>
      <c r="D87">
        <v>10204.799999999999</v>
      </c>
      <c r="E87">
        <v>10205.9</v>
      </c>
      <c r="F87">
        <v>10150.049999999999</v>
      </c>
      <c r="G87">
        <v>10157.799999999999</v>
      </c>
      <c r="H87">
        <v>0</v>
      </c>
      <c r="I87" s="8">
        <f t="shared" si="5"/>
        <v>-9.0980176157295922E-4</v>
      </c>
      <c r="J87" s="8">
        <f t="shared" si="6"/>
        <v>-9.1021588239326048E-4</v>
      </c>
      <c r="K87" s="8">
        <f t="shared" si="3"/>
        <v>1.2630718465572066E-2</v>
      </c>
    </row>
    <row r="88" spans="1:11" x14ac:dyDescent="0.25">
      <c r="A88" t="str">
        <f t="shared" si="4"/>
        <v>52017</v>
      </c>
      <c r="B88" s="1">
        <v>42865</v>
      </c>
      <c r="C88" s="10">
        <v>43013.645833333336</v>
      </c>
      <c r="D88">
        <v>10181.15</v>
      </c>
      <c r="E88">
        <v>10316.799999999999</v>
      </c>
      <c r="F88">
        <v>10168.200000000001</v>
      </c>
      <c r="G88">
        <v>10303.9</v>
      </c>
      <c r="H88">
        <v>0</v>
      </c>
      <c r="I88" s="8">
        <f t="shared" si="5"/>
        <v>1.438303569670607E-2</v>
      </c>
      <c r="J88" s="8">
        <f t="shared" si="6"/>
        <v>1.428058107587702E-2</v>
      </c>
      <c r="K88" s="8">
        <f t="shared" si="3"/>
        <v>3.7475960812348275E-2</v>
      </c>
    </row>
    <row r="89" spans="1:11" x14ac:dyDescent="0.25">
      <c r="A89" t="str">
        <f t="shared" si="4"/>
        <v>52017</v>
      </c>
      <c r="B89" s="1">
        <v>42866</v>
      </c>
      <c r="C89" s="10">
        <v>43044.645833333336</v>
      </c>
      <c r="D89">
        <v>10348.25</v>
      </c>
      <c r="E89">
        <v>10428.35</v>
      </c>
      <c r="F89">
        <v>10313.6</v>
      </c>
      <c r="G89">
        <v>10410.75</v>
      </c>
      <c r="H89">
        <v>0</v>
      </c>
      <c r="I89" s="8">
        <f t="shared" si="5"/>
        <v>1.0369859955938976E-2</v>
      </c>
      <c r="J89" s="8">
        <f t="shared" si="6"/>
        <v>1.0316461795231081E-2</v>
      </c>
      <c r="K89" s="8">
        <f t="shared" si="3"/>
        <v>4.1673962528453901E-2</v>
      </c>
    </row>
    <row r="90" spans="1:11" x14ac:dyDescent="0.25">
      <c r="A90" t="str">
        <f t="shared" si="4"/>
        <v>52017</v>
      </c>
      <c r="B90" s="1">
        <v>42867</v>
      </c>
      <c r="C90" s="10">
        <v>43074.645833333336</v>
      </c>
      <c r="D90">
        <v>10453.299999999999</v>
      </c>
      <c r="E90">
        <v>10461.15</v>
      </c>
      <c r="F90">
        <v>10359.65</v>
      </c>
      <c r="G90">
        <v>10429.200000000001</v>
      </c>
      <c r="H90">
        <v>0</v>
      </c>
      <c r="I90" s="8">
        <f t="shared" si="5"/>
        <v>1.7722066133565306E-3</v>
      </c>
      <c r="J90" s="8">
        <f t="shared" si="6"/>
        <v>1.7706381080865056E-3</v>
      </c>
      <c r="K90" s="8">
        <f t="shared" si="3"/>
        <v>4.0002792167969092E-2</v>
      </c>
    </row>
    <row r="91" spans="1:11" x14ac:dyDescent="0.25">
      <c r="A91" t="str">
        <f t="shared" si="4"/>
        <v>52017</v>
      </c>
      <c r="B91" s="1">
        <v>42870</v>
      </c>
      <c r="C91" t="s">
        <v>76</v>
      </c>
      <c r="D91">
        <v>10469.049999999999</v>
      </c>
      <c r="E91">
        <v>10486.45</v>
      </c>
      <c r="F91">
        <v>10438.35</v>
      </c>
      <c r="G91">
        <v>10481.299999999999</v>
      </c>
      <c r="H91">
        <v>0</v>
      </c>
      <c r="I91" s="8">
        <f t="shared" si="5"/>
        <v>4.9955893069457691E-3</v>
      </c>
      <c r="J91" s="8">
        <f t="shared" si="6"/>
        <v>4.9831527521007925E-3</v>
      </c>
      <c r="K91" s="8">
        <f t="shared" si="3"/>
        <v>4.9462817778578749E-2</v>
      </c>
    </row>
    <row r="92" spans="1:11" x14ac:dyDescent="0.25">
      <c r="A92" t="str">
        <f t="shared" si="4"/>
        <v>52017</v>
      </c>
      <c r="B92" s="1">
        <v>42871</v>
      </c>
      <c r="C92" t="s">
        <v>77</v>
      </c>
      <c r="D92">
        <v>10498.3</v>
      </c>
      <c r="E92">
        <v>10606.65</v>
      </c>
      <c r="F92">
        <v>10489</v>
      </c>
      <c r="G92">
        <v>10597.45</v>
      </c>
      <c r="H92">
        <v>0</v>
      </c>
      <c r="I92" s="8">
        <f t="shared" si="5"/>
        <v>1.1081640636180667E-2</v>
      </c>
      <c r="J92" s="8">
        <f t="shared" si="6"/>
        <v>1.1020689138256306E-2</v>
      </c>
      <c r="K92" s="8">
        <f t="shared" si="3"/>
        <v>6.2582094191491411E-2</v>
      </c>
    </row>
    <row r="93" spans="1:11" x14ac:dyDescent="0.25">
      <c r="A93" t="str">
        <f t="shared" si="4"/>
        <v>52017</v>
      </c>
      <c r="B93" s="1">
        <v>42872</v>
      </c>
      <c r="C93" t="s">
        <v>78</v>
      </c>
      <c r="D93">
        <v>10572.35</v>
      </c>
      <c r="E93">
        <v>10679.55</v>
      </c>
      <c r="F93">
        <v>10559.2</v>
      </c>
      <c r="G93">
        <v>10669.7</v>
      </c>
      <c r="H93">
        <v>0</v>
      </c>
      <c r="I93" s="8">
        <f t="shared" si="5"/>
        <v>6.8176778375930169E-3</v>
      </c>
      <c r="J93" s="8">
        <f t="shared" si="6"/>
        <v>6.7945425650758036E-3</v>
      </c>
      <c r="K93" s="8">
        <f t="shared" si="3"/>
        <v>8.6461112355660674E-2</v>
      </c>
    </row>
    <row r="94" spans="1:11" x14ac:dyDescent="0.25">
      <c r="A94" t="str">
        <f t="shared" si="4"/>
        <v>52017</v>
      </c>
      <c r="B94" s="1">
        <v>42873</v>
      </c>
      <c r="C94" t="s">
        <v>79</v>
      </c>
      <c r="D94">
        <v>10573.4</v>
      </c>
      <c r="E94">
        <v>10626.2</v>
      </c>
      <c r="F94">
        <v>10416.85</v>
      </c>
      <c r="G94">
        <v>10436.35</v>
      </c>
      <c r="H94">
        <v>0</v>
      </c>
      <c r="I94" s="8">
        <f t="shared" si="5"/>
        <v>-2.1870343121174973E-2</v>
      </c>
      <c r="J94" s="8">
        <f t="shared" si="6"/>
        <v>-2.2113044238677878E-2</v>
      </c>
      <c r="K94" s="8">
        <f t="shared" si="3"/>
        <v>9.5869625709440465E-2</v>
      </c>
    </row>
    <row r="95" spans="1:11" x14ac:dyDescent="0.25">
      <c r="A95" t="str">
        <f t="shared" si="4"/>
        <v>52017</v>
      </c>
      <c r="B95" s="1">
        <v>42874</v>
      </c>
      <c r="C95" t="s">
        <v>80</v>
      </c>
      <c r="D95">
        <v>10473.4</v>
      </c>
      <c r="E95">
        <v>10529.2</v>
      </c>
      <c r="F95">
        <v>10287.950000000001</v>
      </c>
      <c r="G95">
        <v>10409.799999999999</v>
      </c>
      <c r="H95">
        <v>0</v>
      </c>
      <c r="I95" s="8">
        <f t="shared" si="5"/>
        <v>-2.543992871070877E-3</v>
      </c>
      <c r="J95" s="8">
        <f t="shared" si="6"/>
        <v>-2.5472343195832251E-3</v>
      </c>
      <c r="K95" s="8">
        <f t="shared" si="3"/>
        <v>7.468757581545149E-2</v>
      </c>
    </row>
    <row r="96" spans="1:11" x14ac:dyDescent="0.25">
      <c r="A96" t="str">
        <f t="shared" si="4"/>
        <v>52017</v>
      </c>
      <c r="B96" s="1">
        <v>42877</v>
      </c>
      <c r="C96" t="s">
        <v>81</v>
      </c>
      <c r="D96">
        <v>10460.049999999999</v>
      </c>
      <c r="E96">
        <v>10517.05</v>
      </c>
      <c r="F96">
        <v>10328.450000000001</v>
      </c>
      <c r="G96">
        <v>10339.950000000001</v>
      </c>
      <c r="H96">
        <v>0</v>
      </c>
      <c r="I96" s="8">
        <f t="shared" si="5"/>
        <v>-6.7100232473245036E-3</v>
      </c>
      <c r="J96" s="8">
        <f t="shared" si="6"/>
        <v>-6.7326366677999093E-3</v>
      </c>
      <c r="K96" s="8">
        <f t="shared" si="3"/>
        <v>6.7779544797389457E-2</v>
      </c>
    </row>
    <row r="97" spans="1:11" x14ac:dyDescent="0.25">
      <c r="A97" t="str">
        <f t="shared" si="4"/>
        <v>52017</v>
      </c>
      <c r="B97" s="1">
        <v>42878</v>
      </c>
      <c r="C97" t="s">
        <v>82</v>
      </c>
      <c r="D97">
        <v>10387</v>
      </c>
      <c r="E97">
        <v>10448.25</v>
      </c>
      <c r="F97">
        <v>10296.35</v>
      </c>
      <c r="G97">
        <v>10380.65</v>
      </c>
      <c r="H97">
        <v>0</v>
      </c>
      <c r="I97" s="8">
        <f t="shared" si="5"/>
        <v>3.9361892465630266E-3</v>
      </c>
      <c r="J97" s="8">
        <f t="shared" si="6"/>
        <v>3.9284627224081261E-3</v>
      </c>
      <c r="K97" s="8">
        <f t="shared" si="3"/>
        <v>6.5343110340262411E-2</v>
      </c>
    </row>
    <row r="98" spans="1:11" x14ac:dyDescent="0.25">
      <c r="A98" t="str">
        <f t="shared" si="4"/>
        <v>52017</v>
      </c>
      <c r="B98" s="1">
        <v>42879</v>
      </c>
      <c r="C98" t="s">
        <v>83</v>
      </c>
      <c r="D98">
        <v>10477.950000000001</v>
      </c>
      <c r="E98">
        <v>10500.4</v>
      </c>
      <c r="F98">
        <v>10343.200000000001</v>
      </c>
      <c r="G98">
        <v>10386.299999999999</v>
      </c>
      <c r="H98">
        <v>0</v>
      </c>
      <c r="I98" s="8">
        <f t="shared" si="5"/>
        <v>5.4428190912902963E-4</v>
      </c>
      <c r="J98" s="8">
        <f t="shared" si="6"/>
        <v>5.441338414553283E-4</v>
      </c>
      <c r="K98" s="8">
        <f t="shared" si="3"/>
        <v>6.4290032688110399E-2</v>
      </c>
    </row>
    <row r="99" spans="1:11" x14ac:dyDescent="0.25">
      <c r="A99" t="str">
        <f t="shared" si="4"/>
        <v>52017</v>
      </c>
      <c r="B99" s="1">
        <v>42880</v>
      </c>
      <c r="C99" t="s">
        <v>84</v>
      </c>
      <c r="D99">
        <v>10413.35</v>
      </c>
      <c r="E99">
        <v>10605.85</v>
      </c>
      <c r="F99">
        <v>10377.15</v>
      </c>
      <c r="G99">
        <v>10588.1</v>
      </c>
      <c r="H99">
        <v>0</v>
      </c>
      <c r="I99" s="8">
        <f t="shared" si="5"/>
        <v>1.9429440705544865E-2</v>
      </c>
      <c r="J99" s="8">
        <f t="shared" si="6"/>
        <v>1.9243098932066993E-2</v>
      </c>
      <c r="K99" s="8">
        <f t="shared" si="3"/>
        <v>8.3907887126412062E-2</v>
      </c>
    </row>
    <row r="100" spans="1:11" x14ac:dyDescent="0.25">
      <c r="A100" t="str">
        <f t="shared" si="4"/>
        <v>52017</v>
      </c>
      <c r="B100" s="1">
        <v>42881</v>
      </c>
      <c r="C100" t="s">
        <v>85</v>
      </c>
      <c r="D100">
        <v>10593.75</v>
      </c>
      <c r="E100">
        <v>10759.4</v>
      </c>
      <c r="F100">
        <v>10580.9</v>
      </c>
      <c r="G100">
        <v>10711.55</v>
      </c>
      <c r="H100">
        <v>0</v>
      </c>
      <c r="I100" s="8">
        <f t="shared" si="5"/>
        <v>1.1659315646810997E-2</v>
      </c>
      <c r="J100" s="8">
        <f t="shared" si="6"/>
        <v>1.159186956997829E-2</v>
      </c>
      <c r="K100" s="8">
        <f t="shared" si="3"/>
        <v>9.7298127897149422E-2</v>
      </c>
    </row>
    <row r="101" spans="1:11" x14ac:dyDescent="0.25">
      <c r="A101" t="str">
        <f t="shared" si="4"/>
        <v>52017</v>
      </c>
      <c r="B101" s="1">
        <v>42884</v>
      </c>
      <c r="C101" t="s">
        <v>86</v>
      </c>
      <c r="D101">
        <v>10719.9</v>
      </c>
      <c r="E101">
        <v>10789.65</v>
      </c>
      <c r="F101">
        <v>10611.9</v>
      </c>
      <c r="G101">
        <v>10753.5</v>
      </c>
      <c r="H101">
        <v>0</v>
      </c>
      <c r="I101" s="8">
        <f t="shared" si="5"/>
        <v>3.9163333037703918E-3</v>
      </c>
      <c r="J101" s="8">
        <f t="shared" si="6"/>
        <v>3.9086844343413692E-3</v>
      </c>
      <c r="K101" s="8">
        <f t="shared" si="3"/>
        <v>0.11240993705291791</v>
      </c>
    </row>
    <row r="102" spans="1:11" x14ac:dyDescent="0.25">
      <c r="A102" t="str">
        <f t="shared" si="4"/>
        <v>52017</v>
      </c>
      <c r="B102" s="1">
        <v>42885</v>
      </c>
      <c r="C102" t="s">
        <v>87</v>
      </c>
      <c r="D102">
        <v>10767.7</v>
      </c>
      <c r="E102">
        <v>10843.95</v>
      </c>
      <c r="F102">
        <v>10725.95</v>
      </c>
      <c r="G102">
        <v>10802.05</v>
      </c>
      <c r="H102">
        <v>0</v>
      </c>
      <c r="I102" s="8">
        <f t="shared" si="5"/>
        <v>4.514809131910491E-3</v>
      </c>
      <c r="J102" s="8">
        <f t="shared" si="6"/>
        <v>4.5046479535365801E-3</v>
      </c>
      <c r="K102" s="8">
        <f t="shared" si="3"/>
        <v>0.11884428746769693</v>
      </c>
    </row>
    <row r="103" spans="1:11" x14ac:dyDescent="0.25">
      <c r="A103" t="str">
        <f t="shared" si="4"/>
        <v>52017</v>
      </c>
      <c r="B103" s="1">
        <v>42886</v>
      </c>
      <c r="C103" t="s">
        <v>88</v>
      </c>
      <c r="D103">
        <v>10839.5</v>
      </c>
      <c r="E103">
        <v>10920.8</v>
      </c>
      <c r="F103">
        <v>10826.4</v>
      </c>
      <c r="G103">
        <v>10870.8</v>
      </c>
      <c r="H103">
        <v>0</v>
      </c>
      <c r="I103" s="8">
        <f t="shared" si="5"/>
        <v>6.3645326581529549E-3</v>
      </c>
      <c r="J103" s="8">
        <f t="shared" si="6"/>
        <v>6.3443645486692801E-3</v>
      </c>
      <c r="K103" s="8">
        <f t="shared" si="3"/>
        <v>0.12410812152296646</v>
      </c>
    </row>
    <row r="104" spans="1:11" x14ac:dyDescent="0.25">
      <c r="A104" t="str">
        <f t="shared" si="4"/>
        <v>62017</v>
      </c>
      <c r="B104" s="1">
        <v>42887</v>
      </c>
      <c r="C104" s="10">
        <v>42741.645833333336</v>
      </c>
      <c r="D104">
        <v>10894</v>
      </c>
      <c r="E104">
        <v>10954.5</v>
      </c>
      <c r="F104">
        <v>10865.95</v>
      </c>
      <c r="G104">
        <v>10891.55</v>
      </c>
      <c r="H104">
        <v>0</v>
      </c>
      <c r="I104" s="8">
        <f t="shared" si="5"/>
        <v>1.9087831622328633E-3</v>
      </c>
      <c r="J104" s="8">
        <f t="shared" si="6"/>
        <v>1.9069637505263718E-3</v>
      </c>
      <c r="K104" s="8">
        <f t="shared" si="3"/>
        <v>0.12220390500231826</v>
      </c>
    </row>
    <row r="105" spans="1:11" x14ac:dyDescent="0.25">
      <c r="A105" t="str">
        <f t="shared" si="4"/>
        <v>62017</v>
      </c>
      <c r="B105" s="1">
        <v>42888</v>
      </c>
      <c r="C105" s="10">
        <v>42772.645833333336</v>
      </c>
      <c r="D105">
        <v>10935.65</v>
      </c>
      <c r="E105">
        <v>10992.7</v>
      </c>
      <c r="F105">
        <v>10922.95</v>
      </c>
      <c r="G105">
        <v>10942.2</v>
      </c>
      <c r="H105">
        <v>0</v>
      </c>
      <c r="I105" s="8">
        <f t="shared" si="5"/>
        <v>4.6503941128674953E-3</v>
      </c>
      <c r="J105" s="8">
        <f t="shared" si="6"/>
        <v>4.6396144370729796E-3</v>
      </c>
      <c r="K105" s="8">
        <f t="shared" si="3"/>
        <v>0.13033417695366989</v>
      </c>
    </row>
    <row r="106" spans="1:11" x14ac:dyDescent="0.25">
      <c r="A106" t="str">
        <f t="shared" si="4"/>
        <v>62017</v>
      </c>
      <c r="B106" s="1">
        <v>42891</v>
      </c>
      <c r="C106" s="10">
        <v>42861.645833333336</v>
      </c>
      <c r="D106">
        <v>10954.3</v>
      </c>
      <c r="E106">
        <v>11004.9</v>
      </c>
      <c r="F106">
        <v>10946.7</v>
      </c>
      <c r="G106">
        <v>10967.95</v>
      </c>
      <c r="H106">
        <v>0</v>
      </c>
      <c r="I106" s="8">
        <f t="shared" si="5"/>
        <v>2.3532744786241011E-3</v>
      </c>
      <c r="J106" s="8">
        <f t="shared" si="6"/>
        <v>2.3505098646523994E-3</v>
      </c>
      <c r="K106" s="8">
        <f t="shared" si="3"/>
        <v>0.11917857142857158</v>
      </c>
    </row>
    <row r="107" spans="1:11" x14ac:dyDescent="0.25">
      <c r="A107" t="str">
        <f t="shared" si="4"/>
        <v>62017</v>
      </c>
      <c r="B107" s="1">
        <v>42892</v>
      </c>
      <c r="C107" s="10">
        <v>42892.645833333336</v>
      </c>
      <c r="D107">
        <v>10986.4</v>
      </c>
      <c r="E107">
        <v>11000.65</v>
      </c>
      <c r="F107">
        <v>10792.7</v>
      </c>
      <c r="G107">
        <v>10849.2</v>
      </c>
      <c r="H107">
        <v>0</v>
      </c>
      <c r="I107" s="8">
        <f t="shared" si="5"/>
        <v>-1.0827000487784844E-2</v>
      </c>
      <c r="J107" s="8">
        <f t="shared" si="6"/>
        <v>-1.0886038984172761E-2</v>
      </c>
      <c r="K107" s="8">
        <f t="shared" si="3"/>
        <v>0.11233345807423989</v>
      </c>
    </row>
    <row r="108" spans="1:11" x14ac:dyDescent="0.25">
      <c r="A108" t="str">
        <f t="shared" si="4"/>
        <v>62017</v>
      </c>
      <c r="B108" s="1">
        <v>42893</v>
      </c>
      <c r="C108" s="10">
        <v>42922.645833333336</v>
      </c>
      <c r="D108">
        <v>10871.75</v>
      </c>
      <c r="E108">
        <v>10942.45</v>
      </c>
      <c r="F108">
        <v>10853.3</v>
      </c>
      <c r="G108">
        <v>10932.4</v>
      </c>
      <c r="H108">
        <v>0</v>
      </c>
      <c r="I108" s="8">
        <f t="shared" si="5"/>
        <v>7.6687682041072236E-3</v>
      </c>
      <c r="J108" s="8">
        <f t="shared" si="6"/>
        <v>7.6395126752739594E-3</v>
      </c>
      <c r="K108" s="8">
        <f t="shared" si="3"/>
        <v>0.12690632650431644</v>
      </c>
    </row>
    <row r="109" spans="1:11" x14ac:dyDescent="0.25">
      <c r="A109" t="str">
        <f t="shared" si="4"/>
        <v>62017</v>
      </c>
      <c r="B109" s="1">
        <v>42894</v>
      </c>
      <c r="C109" s="10">
        <v>42953.645833333336</v>
      </c>
      <c r="D109">
        <v>10946.55</v>
      </c>
      <c r="E109">
        <v>10980.7</v>
      </c>
      <c r="F109">
        <v>10905.2</v>
      </c>
      <c r="G109">
        <v>10939.65</v>
      </c>
      <c r="H109">
        <v>0</v>
      </c>
      <c r="I109" s="8">
        <f t="shared" si="5"/>
        <v>6.6316636786067917E-4</v>
      </c>
      <c r="J109" s="8">
        <f t="shared" si="6"/>
        <v>6.6294657021451783E-4</v>
      </c>
      <c r="K109" s="8">
        <f t="shared" si="3"/>
        <v>0.12151501637730844</v>
      </c>
    </row>
    <row r="110" spans="1:11" x14ac:dyDescent="0.25">
      <c r="A110" t="str">
        <f t="shared" si="4"/>
        <v>62017</v>
      </c>
      <c r="B110" s="1">
        <v>42895</v>
      </c>
      <c r="C110" s="10">
        <v>42984.645833333336</v>
      </c>
      <c r="D110">
        <v>10948.9</v>
      </c>
      <c r="E110">
        <v>11054.25</v>
      </c>
      <c r="F110">
        <v>10895.7</v>
      </c>
      <c r="G110">
        <v>11047.45</v>
      </c>
      <c r="H110">
        <v>0</v>
      </c>
      <c r="I110" s="8">
        <f t="shared" si="5"/>
        <v>9.8540629727643658E-3</v>
      </c>
      <c r="J110" s="8">
        <f t="shared" si="6"/>
        <v>9.8058283070041382E-3</v>
      </c>
      <c r="K110" s="8">
        <f t="shared" si="3"/>
        <v>0.12968274663189927</v>
      </c>
    </row>
    <row r="111" spans="1:11" x14ac:dyDescent="0.25">
      <c r="A111" t="str">
        <f t="shared" si="4"/>
        <v>62017</v>
      </c>
      <c r="B111" s="1">
        <v>42898</v>
      </c>
      <c r="C111" s="10">
        <v>43075.645833333336</v>
      </c>
      <c r="D111">
        <v>11019.45</v>
      </c>
      <c r="E111">
        <v>11056.45</v>
      </c>
      <c r="F111">
        <v>10938.15</v>
      </c>
      <c r="G111">
        <v>10963.85</v>
      </c>
      <c r="H111">
        <v>0</v>
      </c>
      <c r="I111" s="8">
        <f t="shared" si="5"/>
        <v>-7.5673571729223399E-3</v>
      </c>
      <c r="J111" s="8">
        <f t="shared" si="6"/>
        <v>-7.5961348929955066E-3</v>
      </c>
      <c r="K111" s="8">
        <f t="shared" si="3"/>
        <v>0.10629742492734917</v>
      </c>
    </row>
    <row r="112" spans="1:11" x14ac:dyDescent="0.25">
      <c r="A112" t="str">
        <f t="shared" si="4"/>
        <v>62017</v>
      </c>
      <c r="B112" s="1">
        <v>42899</v>
      </c>
      <c r="C112" t="s">
        <v>89</v>
      </c>
      <c r="D112">
        <v>10997.95</v>
      </c>
      <c r="E112">
        <v>11026.9</v>
      </c>
      <c r="F112">
        <v>10886.9</v>
      </c>
      <c r="G112">
        <v>10910.2</v>
      </c>
      <c r="H112">
        <v>0</v>
      </c>
      <c r="I112" s="8">
        <f t="shared" si="5"/>
        <v>-4.893354068142064E-3</v>
      </c>
      <c r="J112" s="8">
        <f t="shared" si="6"/>
        <v>-4.9053657260441563E-3</v>
      </c>
      <c r="K112" s="8">
        <f t="shared" si="3"/>
        <v>9.2369075808623746E-2</v>
      </c>
    </row>
    <row r="113" spans="1:11" x14ac:dyDescent="0.25">
      <c r="A113" t="str">
        <f t="shared" si="4"/>
        <v>62017</v>
      </c>
      <c r="B113" s="1">
        <v>42900</v>
      </c>
      <c r="C113" t="s">
        <v>90</v>
      </c>
      <c r="D113">
        <v>10917.8</v>
      </c>
      <c r="E113">
        <v>10934.95</v>
      </c>
      <c r="F113">
        <v>10877.2</v>
      </c>
      <c r="G113">
        <v>10905.25</v>
      </c>
      <c r="H113">
        <v>0</v>
      </c>
      <c r="I113" s="8">
        <f t="shared" si="5"/>
        <v>-4.5370387343957042E-4</v>
      </c>
      <c r="J113" s="8">
        <f t="shared" si="6"/>
        <v>-4.5380682818377927E-4</v>
      </c>
      <c r="K113" s="8">
        <f t="shared" si="3"/>
        <v>8.4398150449957798E-2</v>
      </c>
    </row>
    <row r="114" spans="1:11" x14ac:dyDescent="0.25">
      <c r="A114" t="str">
        <f t="shared" si="4"/>
        <v>62017</v>
      </c>
      <c r="B114" s="1">
        <v>42901</v>
      </c>
      <c r="C114" t="s">
        <v>91</v>
      </c>
      <c r="D114">
        <v>10899.65</v>
      </c>
      <c r="E114">
        <v>10937.35</v>
      </c>
      <c r="F114">
        <v>10820.55</v>
      </c>
      <c r="G114">
        <v>10839.4</v>
      </c>
      <c r="H114">
        <v>0</v>
      </c>
      <c r="I114" s="8">
        <f t="shared" si="5"/>
        <v>-6.038376011554103E-3</v>
      </c>
      <c r="J114" s="8">
        <f t="shared" si="6"/>
        <v>-6.0566807283569052E-3</v>
      </c>
      <c r="K114" s="8">
        <f t="shared" si="3"/>
        <v>8.2922053269926188E-2</v>
      </c>
    </row>
    <row r="115" spans="1:11" x14ac:dyDescent="0.25">
      <c r="A115" t="str">
        <f t="shared" si="4"/>
        <v>62017</v>
      </c>
      <c r="B115" s="1">
        <v>42902</v>
      </c>
      <c r="C115" t="s">
        <v>92</v>
      </c>
      <c r="D115">
        <v>10899.3</v>
      </c>
      <c r="E115">
        <v>10927.15</v>
      </c>
      <c r="F115">
        <v>10848.4</v>
      </c>
      <c r="G115">
        <v>10869.2</v>
      </c>
      <c r="H115">
        <v>0</v>
      </c>
      <c r="I115" s="8">
        <f t="shared" si="5"/>
        <v>2.7492296621585144E-3</v>
      </c>
      <c r="J115" s="8">
        <f t="shared" si="6"/>
        <v>2.7454574425079883E-3</v>
      </c>
      <c r="K115" s="8">
        <f t="shared" si="3"/>
        <v>8.5910103603648702E-2</v>
      </c>
    </row>
    <row r="116" spans="1:11" x14ac:dyDescent="0.25">
      <c r="A116" t="str">
        <f t="shared" si="4"/>
        <v>62017</v>
      </c>
      <c r="B116" s="1">
        <v>42905</v>
      </c>
      <c r="C116" t="s">
        <v>93</v>
      </c>
      <c r="D116">
        <v>10917.45</v>
      </c>
      <c r="E116">
        <v>10943.8</v>
      </c>
      <c r="F116">
        <v>10881.95</v>
      </c>
      <c r="G116">
        <v>10893.3</v>
      </c>
      <c r="H116">
        <v>0</v>
      </c>
      <c r="I116" s="8">
        <f t="shared" si="5"/>
        <v>2.2172745004229721E-3</v>
      </c>
      <c r="J116" s="8">
        <f t="shared" si="6"/>
        <v>2.2148199748861729E-3</v>
      </c>
      <c r="K116" s="8">
        <f t="shared" si="3"/>
        <v>9.3293187805795874E-2</v>
      </c>
    </row>
    <row r="117" spans="1:11" x14ac:dyDescent="0.25">
      <c r="A117" t="str">
        <f t="shared" si="4"/>
        <v>62017</v>
      </c>
      <c r="B117" s="1">
        <v>42906</v>
      </c>
      <c r="C117" t="s">
        <v>94</v>
      </c>
      <c r="D117">
        <v>10932.8</v>
      </c>
      <c r="E117">
        <v>10962.4</v>
      </c>
      <c r="F117">
        <v>10884.9</v>
      </c>
      <c r="G117">
        <v>10900.7</v>
      </c>
      <c r="H117">
        <v>0</v>
      </c>
      <c r="I117" s="8">
        <f t="shared" si="5"/>
        <v>6.7931664417586468E-4</v>
      </c>
      <c r="J117" s="8">
        <f t="shared" si="6"/>
        <v>6.790860130661279E-4</v>
      </c>
      <c r="K117" s="8">
        <f t="shared" si="3"/>
        <v>0.11186817558229079</v>
      </c>
    </row>
    <row r="118" spans="1:11" x14ac:dyDescent="0.25">
      <c r="A118" t="str">
        <f t="shared" si="4"/>
        <v>62017</v>
      </c>
      <c r="B118" s="1">
        <v>42907</v>
      </c>
      <c r="C118" t="s">
        <v>95</v>
      </c>
      <c r="D118">
        <v>10906.55</v>
      </c>
      <c r="E118">
        <v>10907.25</v>
      </c>
      <c r="F118">
        <v>10816.7</v>
      </c>
      <c r="G118">
        <v>10835.5</v>
      </c>
      <c r="H118">
        <v>0</v>
      </c>
      <c r="I118" s="8">
        <f t="shared" si="5"/>
        <v>-5.9812672580660253E-3</v>
      </c>
      <c r="J118" s="8">
        <f t="shared" si="6"/>
        <v>-5.9992266863082063E-3</v>
      </c>
      <c r="K118" s="8">
        <f t="shared" si="3"/>
        <v>9.4721634277805E-2</v>
      </c>
    </row>
    <row r="119" spans="1:11" x14ac:dyDescent="0.25">
      <c r="A119" t="str">
        <f t="shared" si="4"/>
        <v>62017</v>
      </c>
      <c r="B119" s="1">
        <v>42908</v>
      </c>
      <c r="C119" t="s">
        <v>96</v>
      </c>
      <c r="D119">
        <v>10853.15</v>
      </c>
      <c r="E119">
        <v>10929.7</v>
      </c>
      <c r="F119">
        <v>10808.35</v>
      </c>
      <c r="G119">
        <v>10820.75</v>
      </c>
      <c r="H119">
        <v>0</v>
      </c>
      <c r="I119" s="8">
        <f t="shared" si="5"/>
        <v>-1.3612662082967963E-3</v>
      </c>
      <c r="J119" s="8">
        <f t="shared" si="6"/>
        <v>-1.3621935728305955E-3</v>
      </c>
      <c r="K119" s="8">
        <f t="shared" si="3"/>
        <v>9.5400547662312096E-2</v>
      </c>
    </row>
    <row r="120" spans="1:11" x14ac:dyDescent="0.25">
      <c r="A120" t="str">
        <f t="shared" si="4"/>
        <v>62017</v>
      </c>
      <c r="B120" s="1">
        <v>42909</v>
      </c>
      <c r="C120" t="s">
        <v>97</v>
      </c>
      <c r="D120">
        <v>10838</v>
      </c>
      <c r="E120">
        <v>10844.4</v>
      </c>
      <c r="F120">
        <v>10623.55</v>
      </c>
      <c r="G120">
        <v>10637.45</v>
      </c>
      <c r="H120">
        <v>0</v>
      </c>
      <c r="I120" s="8">
        <f t="shared" si="5"/>
        <v>-1.6939676085299005E-2</v>
      </c>
      <c r="J120" s="8">
        <f t="shared" si="6"/>
        <v>-1.7084793561498307E-2</v>
      </c>
      <c r="K120" s="8">
        <f t="shared" si="3"/>
        <v>8.4546603862074576E-2</v>
      </c>
    </row>
    <row r="121" spans="1:11" x14ac:dyDescent="0.25">
      <c r="A121" t="str">
        <f t="shared" si="4"/>
        <v>62017</v>
      </c>
      <c r="B121" s="1">
        <v>42913</v>
      </c>
      <c r="C121" t="s">
        <v>98</v>
      </c>
      <c r="D121">
        <v>10679.35</v>
      </c>
      <c r="E121">
        <v>10679.95</v>
      </c>
      <c r="F121">
        <v>10501.9</v>
      </c>
      <c r="G121">
        <v>10576.2</v>
      </c>
      <c r="H121">
        <v>0</v>
      </c>
      <c r="I121" s="8">
        <f t="shared" si="5"/>
        <v>-5.7579589093250672E-3</v>
      </c>
      <c r="J121" s="8">
        <f t="shared" si="6"/>
        <v>-5.7745998640936691E-3</v>
      </c>
      <c r="K121" s="8">
        <f t="shared" si="3"/>
        <v>6.9621149295091111E-2</v>
      </c>
    </row>
    <row r="122" spans="1:11" x14ac:dyDescent="0.25">
      <c r="A122" t="str">
        <f t="shared" si="4"/>
        <v>62017</v>
      </c>
      <c r="B122" s="1">
        <v>42914</v>
      </c>
      <c r="C122" t="s">
        <v>99</v>
      </c>
      <c r="D122">
        <v>10586.35</v>
      </c>
      <c r="E122">
        <v>10643.45</v>
      </c>
      <c r="F122">
        <v>10551.65</v>
      </c>
      <c r="G122">
        <v>10582.65</v>
      </c>
      <c r="H122">
        <v>0</v>
      </c>
      <c r="I122" s="8">
        <f t="shared" si="5"/>
        <v>6.0985987405670627E-4</v>
      </c>
      <c r="J122" s="8">
        <f t="shared" si="6"/>
        <v>6.0967398509735257E-4</v>
      </c>
      <c r="K122" s="8">
        <f t="shared" si="3"/>
        <v>7.4844476042962738E-2</v>
      </c>
    </row>
    <row r="123" spans="1:11" x14ac:dyDescent="0.25">
      <c r="A123" t="str">
        <f t="shared" si="4"/>
        <v>62017</v>
      </c>
      <c r="B123" s="1">
        <v>42915</v>
      </c>
      <c r="C123" t="s">
        <v>100</v>
      </c>
      <c r="D123">
        <v>10623.5</v>
      </c>
      <c r="E123">
        <v>10676.55</v>
      </c>
      <c r="F123">
        <v>10555.7</v>
      </c>
      <c r="G123">
        <v>10568.15</v>
      </c>
      <c r="H123">
        <v>0</v>
      </c>
      <c r="I123" s="8">
        <f t="shared" si="5"/>
        <v>-1.3701672076464888E-3</v>
      </c>
      <c r="J123" s="8">
        <f t="shared" si="6"/>
        <v>-1.371106745048566E-3</v>
      </c>
      <c r="K123" s="8">
        <f t="shared" si="3"/>
        <v>7.1787876636613568E-2</v>
      </c>
    </row>
    <row r="124" spans="1:11" x14ac:dyDescent="0.25">
      <c r="A124" t="str">
        <f t="shared" si="4"/>
        <v>62017</v>
      </c>
      <c r="B124" s="1">
        <v>42916</v>
      </c>
      <c r="C124" t="s">
        <v>101</v>
      </c>
      <c r="D124">
        <v>10527.3</v>
      </c>
      <c r="E124">
        <v>10557.7</v>
      </c>
      <c r="F124">
        <v>10468.75</v>
      </c>
      <c r="G124">
        <v>10540.25</v>
      </c>
      <c r="H124">
        <v>0</v>
      </c>
      <c r="I124" s="8">
        <f t="shared" si="5"/>
        <v>-2.6400079484110162E-3</v>
      </c>
      <c r="J124" s="8">
        <f t="shared" si="6"/>
        <v>-2.643498914867932E-3</v>
      </c>
      <c r="K124" s="8">
        <f t="shared" si="3"/>
        <v>6.6805327827371919E-2</v>
      </c>
    </row>
    <row r="125" spans="1:11" x14ac:dyDescent="0.25">
      <c r="A125" t="str">
        <f t="shared" si="4"/>
        <v>72017</v>
      </c>
      <c r="B125" s="1">
        <v>42919</v>
      </c>
      <c r="C125" s="10">
        <v>42801.645833333336</v>
      </c>
      <c r="D125">
        <v>10555.45</v>
      </c>
      <c r="E125">
        <v>10688.7</v>
      </c>
      <c r="F125">
        <v>10508.25</v>
      </c>
      <c r="G125">
        <v>10680.95</v>
      </c>
      <c r="H125">
        <v>0</v>
      </c>
      <c r="I125" s="8">
        <f t="shared" si="5"/>
        <v>1.3348829486966807E-2</v>
      </c>
      <c r="J125" s="8">
        <f t="shared" si="6"/>
        <v>1.3260518889970409E-2</v>
      </c>
      <c r="K125" s="8">
        <f t="shared" si="3"/>
        <v>7.6589289494108481E-2</v>
      </c>
    </row>
    <row r="126" spans="1:11" x14ac:dyDescent="0.25">
      <c r="A126" t="str">
        <f t="shared" si="4"/>
        <v>72017</v>
      </c>
      <c r="B126" s="1">
        <v>42920</v>
      </c>
      <c r="C126" s="10">
        <v>42832.645833333336</v>
      </c>
      <c r="D126">
        <v>10724.7</v>
      </c>
      <c r="E126">
        <v>10727.85</v>
      </c>
      <c r="F126">
        <v>10605.8</v>
      </c>
      <c r="G126">
        <v>10629.55</v>
      </c>
      <c r="H126">
        <v>0</v>
      </c>
      <c r="I126" s="8">
        <f t="shared" si="5"/>
        <v>-4.8123060214683155E-3</v>
      </c>
      <c r="J126" s="8">
        <f t="shared" si="6"/>
        <v>-4.8239224489435477E-3</v>
      </c>
      <c r="K126" s="8">
        <f t="shared" si="3"/>
        <v>5.9400710615883812E-2</v>
      </c>
    </row>
    <row r="127" spans="1:11" x14ac:dyDescent="0.25">
      <c r="A127" t="str">
        <f t="shared" si="4"/>
        <v>72017</v>
      </c>
      <c r="B127" s="1">
        <v>42921</v>
      </c>
      <c r="C127" s="10">
        <v>42862.645833333336</v>
      </c>
      <c r="D127">
        <v>10640.85</v>
      </c>
      <c r="E127">
        <v>10714.1</v>
      </c>
      <c r="F127">
        <v>10627.35</v>
      </c>
      <c r="G127">
        <v>10704.8</v>
      </c>
      <c r="H127">
        <v>0</v>
      </c>
      <c r="I127" s="8">
        <f t="shared" si="5"/>
        <v>7.0793213259263688E-3</v>
      </c>
      <c r="J127" s="8">
        <f t="shared" si="6"/>
        <v>7.0543805706084753E-3</v>
      </c>
      <c r="K127" s="8">
        <f t="shared" si="3"/>
        <v>6.6714497822685903E-2</v>
      </c>
    </row>
    <row r="128" spans="1:11" x14ac:dyDescent="0.25">
      <c r="A128" t="str">
        <f t="shared" si="4"/>
        <v>72017</v>
      </c>
      <c r="B128" s="1">
        <v>42922</v>
      </c>
      <c r="C128" s="10">
        <v>42893.645833333336</v>
      </c>
      <c r="D128">
        <v>10734.45</v>
      </c>
      <c r="E128">
        <v>10784.65</v>
      </c>
      <c r="F128">
        <v>10726.4</v>
      </c>
      <c r="G128">
        <v>10746.55</v>
      </c>
      <c r="H128">
        <v>0</v>
      </c>
      <c r="I128" s="8">
        <f t="shared" si="5"/>
        <v>3.9001195725281157E-3</v>
      </c>
      <c r="J128" s="8">
        <f t="shared" si="6"/>
        <v>3.8925338233436343E-3</v>
      </c>
      <c r="K128" s="8">
        <f t="shared" ref="K128:K191" si="7">+G128/G67-1</f>
        <v>7.5327079424640342E-2</v>
      </c>
    </row>
    <row r="129" spans="1:11" x14ac:dyDescent="0.25">
      <c r="A129" t="str">
        <f t="shared" si="4"/>
        <v>72017</v>
      </c>
      <c r="B129" s="1">
        <v>42923</v>
      </c>
      <c r="C129" s="10">
        <v>42923.645833333336</v>
      </c>
      <c r="D129">
        <v>10734.45</v>
      </c>
      <c r="E129">
        <v>10774.4</v>
      </c>
      <c r="F129">
        <v>10710.9</v>
      </c>
      <c r="G129">
        <v>10729</v>
      </c>
      <c r="H129">
        <v>0</v>
      </c>
      <c r="I129" s="8">
        <f t="shared" si="5"/>
        <v>-1.6330822449994731E-3</v>
      </c>
      <c r="J129" s="8">
        <f t="shared" si="6"/>
        <v>-1.6344171773764766E-3</v>
      </c>
      <c r="K129" s="8">
        <f t="shared" si="7"/>
        <v>6.9637605303823236E-2</v>
      </c>
    </row>
    <row r="130" spans="1:11" x14ac:dyDescent="0.25">
      <c r="A130" t="str">
        <f t="shared" si="4"/>
        <v>72017</v>
      </c>
      <c r="B130" s="1">
        <v>42926</v>
      </c>
      <c r="C130" s="10">
        <v>43015.645833333336</v>
      </c>
      <c r="D130">
        <v>10797.4</v>
      </c>
      <c r="E130">
        <v>10870.9</v>
      </c>
      <c r="F130">
        <v>10573.45</v>
      </c>
      <c r="G130">
        <v>10795.2</v>
      </c>
      <c r="H130">
        <v>0</v>
      </c>
      <c r="I130" s="8">
        <f t="shared" si="5"/>
        <v>6.1701929350359563E-3</v>
      </c>
      <c r="J130" s="8">
        <f t="shared" si="6"/>
        <v>6.1512352364147815E-3</v>
      </c>
      <c r="K130" s="8">
        <f t="shared" si="7"/>
        <v>7.5213768855732832E-2</v>
      </c>
    </row>
    <row r="131" spans="1:11" x14ac:dyDescent="0.25">
      <c r="A131" t="str">
        <f t="shared" ref="A131:A194" si="8">+MONTH(B131)&amp;YEAR(B131)</f>
        <v>72017</v>
      </c>
      <c r="B131" s="1">
        <v>42927</v>
      </c>
      <c r="C131" s="10">
        <v>43046.645833333336</v>
      </c>
      <c r="D131">
        <v>10849.35</v>
      </c>
      <c r="E131">
        <v>10924.9</v>
      </c>
      <c r="F131">
        <v>10842.05</v>
      </c>
      <c r="G131">
        <v>10876.15</v>
      </c>
      <c r="H131">
        <v>0</v>
      </c>
      <c r="I131" s="8">
        <f t="shared" si="5"/>
        <v>7.498703127315709E-3</v>
      </c>
      <c r="J131" s="8">
        <f t="shared" si="6"/>
        <v>7.4707276193273263E-3</v>
      </c>
      <c r="K131" s="8">
        <f t="shared" si="7"/>
        <v>8.9014383482775461E-2</v>
      </c>
    </row>
    <row r="132" spans="1:11" x14ac:dyDescent="0.25">
      <c r="A132" t="str">
        <f t="shared" si="8"/>
        <v>72017</v>
      </c>
      <c r="B132" s="1">
        <v>42928</v>
      </c>
      <c r="C132" s="10">
        <v>43076.645833333336</v>
      </c>
      <c r="D132">
        <v>10916.9</v>
      </c>
      <c r="E132">
        <v>10922.2</v>
      </c>
      <c r="F132">
        <v>10869.45</v>
      </c>
      <c r="G132">
        <v>10904.35</v>
      </c>
      <c r="H132">
        <v>0</v>
      </c>
      <c r="I132" s="8">
        <f t="shared" ref="I132:I195" si="9">+G132/G131-1</f>
        <v>2.5928292640318151E-3</v>
      </c>
      <c r="J132" s="8">
        <f t="shared" ref="J132:J195" si="10">+LN(1+I132)</f>
        <v>2.589473681286163E-3</v>
      </c>
      <c r="K132" s="8">
        <f t="shared" si="7"/>
        <v>0.10062680420695647</v>
      </c>
    </row>
    <row r="133" spans="1:11" x14ac:dyDescent="0.25">
      <c r="A133" t="str">
        <f t="shared" si="8"/>
        <v>72017</v>
      </c>
      <c r="B133" s="1">
        <v>42929</v>
      </c>
      <c r="C133" t="s">
        <v>102</v>
      </c>
      <c r="D133">
        <v>10931.4</v>
      </c>
      <c r="E133">
        <v>10949.5</v>
      </c>
      <c r="F133">
        <v>10908.65</v>
      </c>
      <c r="G133">
        <v>10936.65</v>
      </c>
      <c r="H133">
        <v>0</v>
      </c>
      <c r="I133" s="8">
        <f t="shared" si="9"/>
        <v>2.962120621586628E-3</v>
      </c>
      <c r="J133" s="8">
        <f t="shared" si="10"/>
        <v>2.9577421864692643E-3</v>
      </c>
      <c r="K133" s="8">
        <f t="shared" si="7"/>
        <v>0.10589062081308853</v>
      </c>
    </row>
    <row r="134" spans="1:11" x14ac:dyDescent="0.25">
      <c r="A134" t="str">
        <f t="shared" si="8"/>
        <v>72017</v>
      </c>
      <c r="B134" s="1">
        <v>42930</v>
      </c>
      <c r="C134" t="s">
        <v>103</v>
      </c>
      <c r="D134">
        <v>10958.65</v>
      </c>
      <c r="E134">
        <v>10958.65</v>
      </c>
      <c r="F134">
        <v>10870.7</v>
      </c>
      <c r="G134">
        <v>10892.25</v>
      </c>
      <c r="H134">
        <v>0</v>
      </c>
      <c r="I134" s="8">
        <f t="shared" si="9"/>
        <v>-4.0597440715391953E-3</v>
      </c>
      <c r="J134" s="8">
        <f t="shared" si="10"/>
        <v>-4.0680072042208193E-3</v>
      </c>
      <c r="K134" s="8">
        <f t="shared" si="7"/>
        <v>0.10990248326319318</v>
      </c>
    </row>
    <row r="135" spans="1:11" x14ac:dyDescent="0.25">
      <c r="A135" t="str">
        <f t="shared" si="8"/>
        <v>72017</v>
      </c>
      <c r="B135" s="1">
        <v>42933</v>
      </c>
      <c r="C135" t="s">
        <v>104</v>
      </c>
      <c r="D135">
        <v>10923.05</v>
      </c>
      <c r="E135">
        <v>10964.95</v>
      </c>
      <c r="F135">
        <v>10921.3</v>
      </c>
      <c r="G135">
        <v>10936.45</v>
      </c>
      <c r="H135">
        <v>0</v>
      </c>
      <c r="I135" s="8">
        <f t="shared" si="9"/>
        <v>4.0579310977990612E-3</v>
      </c>
      <c r="J135" s="8">
        <f t="shared" si="10"/>
        <v>4.0497199015519809E-3</v>
      </c>
      <c r="K135" s="8">
        <f t="shared" si="7"/>
        <v>0.11240572251013337</v>
      </c>
    </row>
    <row r="136" spans="1:11" x14ac:dyDescent="0.25">
      <c r="A136" t="str">
        <f t="shared" si="8"/>
        <v>72017</v>
      </c>
      <c r="B136" s="1">
        <v>42934</v>
      </c>
      <c r="C136" t="s">
        <v>105</v>
      </c>
      <c r="D136">
        <v>10927.95</v>
      </c>
      <c r="E136">
        <v>11030.15</v>
      </c>
      <c r="F136">
        <v>10921.25</v>
      </c>
      <c r="G136">
        <v>10954.4</v>
      </c>
      <c r="H136">
        <v>0</v>
      </c>
      <c r="I136" s="8">
        <f t="shared" si="9"/>
        <v>1.6413004219832938E-3</v>
      </c>
      <c r="J136" s="8">
        <f t="shared" si="10"/>
        <v>1.6399549604488974E-3</v>
      </c>
      <c r="K136" s="8">
        <f t="shared" si="7"/>
        <v>0.10539965085419634</v>
      </c>
    </row>
    <row r="137" spans="1:11" x14ac:dyDescent="0.25">
      <c r="A137" t="str">
        <f t="shared" si="8"/>
        <v>72017</v>
      </c>
      <c r="B137" s="1">
        <v>42935</v>
      </c>
      <c r="C137" t="s">
        <v>106</v>
      </c>
      <c r="D137">
        <v>10965.95</v>
      </c>
      <c r="E137">
        <v>11020.15</v>
      </c>
      <c r="F137">
        <v>10964.95</v>
      </c>
      <c r="G137">
        <v>11012.15</v>
      </c>
      <c r="H137">
        <v>0</v>
      </c>
      <c r="I137" s="8">
        <f t="shared" si="9"/>
        <v>5.2718542320893125E-3</v>
      </c>
      <c r="J137" s="8">
        <f t="shared" si="10"/>
        <v>5.2580066555161309E-3</v>
      </c>
      <c r="K137" s="8">
        <f t="shared" si="7"/>
        <v>0.11698685438390077</v>
      </c>
    </row>
    <row r="138" spans="1:11" x14ac:dyDescent="0.25">
      <c r="A138" t="str">
        <f t="shared" si="8"/>
        <v>72017</v>
      </c>
      <c r="B138" s="1">
        <v>42936</v>
      </c>
      <c r="C138" t="s">
        <v>107</v>
      </c>
      <c r="D138">
        <v>11043.3</v>
      </c>
      <c r="E138">
        <v>11055.25</v>
      </c>
      <c r="F138">
        <v>10945.2</v>
      </c>
      <c r="G138">
        <v>10960.7</v>
      </c>
      <c r="H138">
        <v>0</v>
      </c>
      <c r="I138" s="8">
        <f t="shared" si="9"/>
        <v>-4.6721121670154631E-3</v>
      </c>
      <c r="J138" s="8">
        <f t="shared" si="10"/>
        <v>-4.683060597907871E-3</v>
      </c>
      <c r="K138" s="8">
        <f t="shared" si="7"/>
        <v>9.8464652943416553E-2</v>
      </c>
    </row>
    <row r="139" spans="1:11" x14ac:dyDescent="0.25">
      <c r="A139" t="str">
        <f t="shared" si="8"/>
        <v>72017</v>
      </c>
      <c r="B139" s="1">
        <v>42937</v>
      </c>
      <c r="C139" t="s">
        <v>108</v>
      </c>
      <c r="D139">
        <v>10964.9</v>
      </c>
      <c r="E139">
        <v>10978.7</v>
      </c>
      <c r="F139">
        <v>10867.7</v>
      </c>
      <c r="G139">
        <v>10955.4</v>
      </c>
      <c r="H139">
        <v>0</v>
      </c>
      <c r="I139" s="8">
        <f t="shared" si="9"/>
        <v>-4.8354575893883034E-4</v>
      </c>
      <c r="J139" s="8">
        <f t="shared" si="10"/>
        <v>-4.8366270488998952E-4</v>
      </c>
      <c r="K139" s="8">
        <f t="shared" si="7"/>
        <v>8.573042560466182E-2</v>
      </c>
    </row>
    <row r="140" spans="1:11" x14ac:dyDescent="0.25">
      <c r="A140" t="str">
        <f t="shared" si="8"/>
        <v>72017</v>
      </c>
      <c r="B140" s="1">
        <v>42940</v>
      </c>
      <c r="C140" t="s">
        <v>109</v>
      </c>
      <c r="D140">
        <v>10965.95</v>
      </c>
      <c r="E140">
        <v>10995.05</v>
      </c>
      <c r="F140">
        <v>10925.55</v>
      </c>
      <c r="G140">
        <v>10968.8</v>
      </c>
      <c r="H140">
        <v>0</v>
      </c>
      <c r="I140" s="8">
        <f t="shared" si="9"/>
        <v>1.2231410993663872E-3</v>
      </c>
      <c r="J140" s="8">
        <f t="shared" si="10"/>
        <v>1.2223936717028214E-3</v>
      </c>
      <c r="K140" s="8">
        <f t="shared" si="7"/>
        <v>7.6459562106833134E-2</v>
      </c>
    </row>
    <row r="141" spans="1:11" x14ac:dyDescent="0.25">
      <c r="A141" t="str">
        <f t="shared" si="8"/>
        <v>72017</v>
      </c>
      <c r="B141" s="1">
        <v>42941</v>
      </c>
      <c r="C141" t="s">
        <v>110</v>
      </c>
      <c r="D141">
        <v>10993.3</v>
      </c>
      <c r="E141">
        <v>11003.7</v>
      </c>
      <c r="F141">
        <v>10922</v>
      </c>
      <c r="G141">
        <v>10932.5</v>
      </c>
      <c r="H141">
        <v>0</v>
      </c>
      <c r="I141" s="8">
        <f t="shared" si="9"/>
        <v>-3.3093866238785852E-3</v>
      </c>
      <c r="J141" s="8">
        <f t="shared" si="10"/>
        <v>-3.3148747553695111E-3</v>
      </c>
      <c r="K141" s="8">
        <f t="shared" si="7"/>
        <v>7.4647845789385769E-2</v>
      </c>
    </row>
    <row r="142" spans="1:11" x14ac:dyDescent="0.25">
      <c r="A142" t="str">
        <f t="shared" si="8"/>
        <v>72017</v>
      </c>
      <c r="B142" s="1">
        <v>42942</v>
      </c>
      <c r="C142" t="s">
        <v>111</v>
      </c>
      <c r="D142">
        <v>10951.6</v>
      </c>
      <c r="E142">
        <v>11018.05</v>
      </c>
      <c r="F142">
        <v>10935.45</v>
      </c>
      <c r="G142">
        <v>11003.55</v>
      </c>
      <c r="H142">
        <v>0</v>
      </c>
      <c r="I142" s="8">
        <f t="shared" si="9"/>
        <v>6.498970958152217E-3</v>
      </c>
      <c r="J142" s="8">
        <f t="shared" si="10"/>
        <v>6.47794370091446E-3</v>
      </c>
      <c r="K142" s="8">
        <f t="shared" si="7"/>
        <v>7.2977967167715763E-2</v>
      </c>
    </row>
    <row r="143" spans="1:11" x14ac:dyDescent="0.25">
      <c r="A143" t="str">
        <f t="shared" si="8"/>
        <v>72017</v>
      </c>
      <c r="B143" s="1">
        <v>42943</v>
      </c>
      <c r="C143" t="s">
        <v>112</v>
      </c>
      <c r="D143">
        <v>11043.1</v>
      </c>
      <c r="E143">
        <v>11109.2</v>
      </c>
      <c r="F143">
        <v>10885</v>
      </c>
      <c r="G143">
        <v>10919</v>
      </c>
      <c r="H143">
        <v>0</v>
      </c>
      <c r="I143" s="8">
        <f t="shared" si="9"/>
        <v>-7.6838838374887475E-3</v>
      </c>
      <c r="J143" s="8">
        <f t="shared" si="10"/>
        <v>-7.7135569739238945E-3</v>
      </c>
      <c r="K143" s="8">
        <f t="shared" si="7"/>
        <v>6.0637703683916522E-2</v>
      </c>
    </row>
    <row r="144" spans="1:11" x14ac:dyDescent="0.25">
      <c r="A144" t="str">
        <f t="shared" si="8"/>
        <v>72017</v>
      </c>
      <c r="B144" s="1">
        <v>42944</v>
      </c>
      <c r="C144" t="s">
        <v>113</v>
      </c>
      <c r="D144">
        <v>10886.8</v>
      </c>
      <c r="E144">
        <v>10950.15</v>
      </c>
      <c r="F144">
        <v>10866.8</v>
      </c>
      <c r="G144">
        <v>10934.85</v>
      </c>
      <c r="H144">
        <v>0</v>
      </c>
      <c r="I144" s="8">
        <f t="shared" si="9"/>
        <v>1.4515981316971516E-3</v>
      </c>
      <c r="J144" s="8">
        <f t="shared" si="10"/>
        <v>1.4505455815925689E-3</v>
      </c>
      <c r="K144" s="8">
        <f t="shared" si="7"/>
        <v>6.4426165677017533E-2</v>
      </c>
    </row>
    <row r="145" spans="1:11" x14ac:dyDescent="0.25">
      <c r="A145" t="str">
        <f t="shared" si="8"/>
        <v>72017</v>
      </c>
      <c r="B145" s="1">
        <v>42947</v>
      </c>
      <c r="C145" t="s">
        <v>114</v>
      </c>
      <c r="D145">
        <v>10956.45</v>
      </c>
      <c r="E145">
        <v>11018.55</v>
      </c>
      <c r="F145">
        <v>10943.05</v>
      </c>
      <c r="G145">
        <v>11002.65</v>
      </c>
      <c r="H145">
        <v>0</v>
      </c>
      <c r="I145" s="8">
        <f t="shared" si="9"/>
        <v>6.2003594013635421E-3</v>
      </c>
      <c r="J145" s="8">
        <f t="shared" si="10"/>
        <v>6.1812162618226736E-3</v>
      </c>
      <c r="K145" s="8">
        <f t="shared" si="7"/>
        <v>7.7444720813176993E-2</v>
      </c>
    </row>
    <row r="146" spans="1:11" x14ac:dyDescent="0.25">
      <c r="A146" t="str">
        <f t="shared" si="8"/>
        <v>82017</v>
      </c>
      <c r="B146" s="1">
        <v>42948</v>
      </c>
      <c r="C146" s="10">
        <v>42743.645833333336</v>
      </c>
      <c r="D146">
        <v>11049.05</v>
      </c>
      <c r="E146">
        <v>11182.75</v>
      </c>
      <c r="F146">
        <v>11032.75</v>
      </c>
      <c r="G146">
        <v>11170.9</v>
      </c>
      <c r="H146">
        <v>0</v>
      </c>
      <c r="I146" s="8">
        <f t="shared" si="9"/>
        <v>1.5291770618896416E-2</v>
      </c>
      <c r="J146" s="8">
        <f t="shared" si="10"/>
        <v>1.5176029923232767E-2</v>
      </c>
      <c r="K146" s="8">
        <f t="shared" si="7"/>
        <v>0.10515979995943781</v>
      </c>
    </row>
    <row r="147" spans="1:11" x14ac:dyDescent="0.25">
      <c r="A147" t="str">
        <f t="shared" si="8"/>
        <v>82017</v>
      </c>
      <c r="B147" s="1">
        <v>42949</v>
      </c>
      <c r="C147" s="10">
        <v>42774.645833333336</v>
      </c>
      <c r="D147">
        <v>11197.1</v>
      </c>
      <c r="E147">
        <v>11201</v>
      </c>
      <c r="F147">
        <v>11101.65</v>
      </c>
      <c r="G147">
        <v>11134.25</v>
      </c>
      <c r="H147">
        <v>0</v>
      </c>
      <c r="I147" s="8">
        <f t="shared" si="9"/>
        <v>-3.2808457689174064E-3</v>
      </c>
      <c r="J147" s="8">
        <f t="shared" si="10"/>
        <v>-3.2862395440578012E-3</v>
      </c>
      <c r="K147" s="8">
        <f t="shared" si="7"/>
        <v>9.5130839329008898E-2</v>
      </c>
    </row>
    <row r="148" spans="1:11" x14ac:dyDescent="0.25">
      <c r="A148" t="str">
        <f t="shared" si="8"/>
        <v>82017</v>
      </c>
      <c r="B148" s="1">
        <v>42950</v>
      </c>
      <c r="C148" s="10">
        <v>42802.645833333336</v>
      </c>
      <c r="D148">
        <v>11142.65</v>
      </c>
      <c r="E148">
        <v>11160.85</v>
      </c>
      <c r="F148">
        <v>11021.8</v>
      </c>
      <c r="G148">
        <v>11058.8</v>
      </c>
      <c r="H148">
        <v>0</v>
      </c>
      <c r="I148" s="8">
        <f t="shared" si="9"/>
        <v>-6.7763881716326191E-3</v>
      </c>
      <c r="J148" s="8">
        <f t="shared" si="10"/>
        <v>-6.799452142624029E-3</v>
      </c>
      <c r="K148" s="8">
        <f t="shared" si="7"/>
        <v>8.8700309122053955E-2</v>
      </c>
    </row>
    <row r="149" spans="1:11" x14ac:dyDescent="0.25">
      <c r="A149" t="str">
        <f t="shared" si="8"/>
        <v>82017</v>
      </c>
      <c r="B149" s="1">
        <v>42951</v>
      </c>
      <c r="C149" s="10">
        <v>42833.645833333336</v>
      </c>
      <c r="D149">
        <v>11061.95</v>
      </c>
      <c r="E149">
        <v>11170.5</v>
      </c>
      <c r="F149">
        <v>11040.85</v>
      </c>
      <c r="G149">
        <v>11137.55</v>
      </c>
      <c r="H149">
        <v>0</v>
      </c>
      <c r="I149" s="8">
        <f t="shared" si="9"/>
        <v>7.1210257894165352E-3</v>
      </c>
      <c r="J149" s="8">
        <f t="shared" si="10"/>
        <v>7.0957910127780978E-3</v>
      </c>
      <c r="K149" s="8">
        <f t="shared" si="7"/>
        <v>8.0906258795213404E-2</v>
      </c>
    </row>
    <row r="150" spans="1:11" x14ac:dyDescent="0.25">
      <c r="A150" t="str">
        <f t="shared" si="8"/>
        <v>82017</v>
      </c>
      <c r="B150" s="1">
        <v>42954</v>
      </c>
      <c r="C150" s="10">
        <v>42924.645833333336</v>
      </c>
      <c r="D150">
        <v>11133.2</v>
      </c>
      <c r="E150">
        <v>11238.65</v>
      </c>
      <c r="F150">
        <v>11126.55</v>
      </c>
      <c r="G150">
        <v>11158.85</v>
      </c>
      <c r="H150">
        <v>0</v>
      </c>
      <c r="I150" s="8">
        <f t="shared" si="9"/>
        <v>1.9124493268269926E-3</v>
      </c>
      <c r="J150" s="8">
        <f t="shared" si="10"/>
        <v>1.910622923844522E-3</v>
      </c>
      <c r="K150" s="8">
        <f t="shared" si="7"/>
        <v>7.1858415580049462E-2</v>
      </c>
    </row>
    <row r="151" spans="1:11" x14ac:dyDescent="0.25">
      <c r="A151" t="str">
        <f t="shared" si="8"/>
        <v>82017</v>
      </c>
      <c r="B151" s="1">
        <v>42955</v>
      </c>
      <c r="C151" s="10">
        <v>42955.645833333336</v>
      </c>
      <c r="D151">
        <v>11182.85</v>
      </c>
      <c r="E151">
        <v>11247.1</v>
      </c>
      <c r="F151">
        <v>11070</v>
      </c>
      <c r="G151">
        <v>11117.8</v>
      </c>
      <c r="H151">
        <v>0</v>
      </c>
      <c r="I151" s="8">
        <f t="shared" si="9"/>
        <v>-3.6786944891276097E-3</v>
      </c>
      <c r="J151" s="8">
        <f t="shared" si="10"/>
        <v>-3.6854775259562438E-3</v>
      </c>
      <c r="K151" s="8">
        <f t="shared" si="7"/>
        <v>6.6026157327503388E-2</v>
      </c>
    </row>
    <row r="152" spans="1:11" x14ac:dyDescent="0.25">
      <c r="A152" t="str">
        <f t="shared" si="8"/>
        <v>82017</v>
      </c>
      <c r="B152" s="1">
        <v>42956</v>
      </c>
      <c r="C152" s="10">
        <v>42986.645833333336</v>
      </c>
      <c r="D152">
        <v>11113.6</v>
      </c>
      <c r="E152">
        <v>11116.2</v>
      </c>
      <c r="F152">
        <v>10904.2</v>
      </c>
      <c r="G152">
        <v>10925.65</v>
      </c>
      <c r="H152">
        <v>0</v>
      </c>
      <c r="I152" s="8">
        <f t="shared" si="9"/>
        <v>-1.7283095576462904E-2</v>
      </c>
      <c r="J152" s="8">
        <f t="shared" si="10"/>
        <v>-1.7434191743252506E-2</v>
      </c>
      <c r="K152" s="8">
        <f t="shared" si="7"/>
        <v>4.2394550294333699E-2</v>
      </c>
    </row>
    <row r="153" spans="1:11" x14ac:dyDescent="0.25">
      <c r="A153" t="str">
        <f t="shared" si="8"/>
        <v>82017</v>
      </c>
      <c r="B153" s="1">
        <v>42957</v>
      </c>
      <c r="C153" s="10">
        <v>43016.645833333336</v>
      </c>
      <c r="D153">
        <v>10820.05</v>
      </c>
      <c r="E153">
        <v>10834.85</v>
      </c>
      <c r="F153">
        <v>10526.2</v>
      </c>
      <c r="G153">
        <v>10606.5</v>
      </c>
      <c r="H153">
        <v>0</v>
      </c>
      <c r="I153" s="8">
        <f t="shared" si="9"/>
        <v>-2.9211076686512905E-2</v>
      </c>
      <c r="J153" s="8">
        <f t="shared" si="10"/>
        <v>-2.9646215049040834E-2</v>
      </c>
      <c r="K153" s="8">
        <f t="shared" si="7"/>
        <v>8.5397902325556885E-4</v>
      </c>
    </row>
    <row r="154" spans="1:11" x14ac:dyDescent="0.25">
      <c r="A154" t="str">
        <f t="shared" si="8"/>
        <v>82017</v>
      </c>
      <c r="B154" s="1">
        <v>42958</v>
      </c>
      <c r="C154" s="10">
        <v>43047.645833333336</v>
      </c>
      <c r="D154">
        <v>10493.35</v>
      </c>
      <c r="E154">
        <v>10549.4</v>
      </c>
      <c r="F154">
        <v>10366.799999999999</v>
      </c>
      <c r="G154">
        <v>10457.75</v>
      </c>
      <c r="H154">
        <v>0</v>
      </c>
      <c r="I154" s="8">
        <f t="shared" si="9"/>
        <v>-1.4024418988356158E-2</v>
      </c>
      <c r="J154" s="8">
        <f t="shared" si="10"/>
        <v>-1.4123690394448817E-2</v>
      </c>
      <c r="K154" s="8">
        <f t="shared" si="7"/>
        <v>-1.9864663486321099E-2</v>
      </c>
    </row>
    <row r="155" spans="1:11" x14ac:dyDescent="0.25">
      <c r="A155" t="str">
        <f t="shared" si="8"/>
        <v>82017</v>
      </c>
      <c r="B155" s="1">
        <v>42961</v>
      </c>
      <c r="C155" t="s">
        <v>115</v>
      </c>
      <c r="D155">
        <v>10538.55</v>
      </c>
      <c r="E155">
        <v>10640.1</v>
      </c>
      <c r="F155">
        <v>10538.55</v>
      </c>
      <c r="G155">
        <v>10600.15</v>
      </c>
      <c r="H155">
        <v>0</v>
      </c>
      <c r="I155" s="8">
        <f t="shared" si="9"/>
        <v>1.3616695751954344E-2</v>
      </c>
      <c r="J155" s="8">
        <f t="shared" si="10"/>
        <v>1.3524821625474803E-2</v>
      </c>
      <c r="K155" s="8">
        <f t="shared" si="7"/>
        <v>1.5695142458809652E-2</v>
      </c>
    </row>
    <row r="156" spans="1:11" x14ac:dyDescent="0.25">
      <c r="A156" t="str">
        <f t="shared" si="8"/>
        <v>82017</v>
      </c>
      <c r="B156" s="1">
        <v>42963</v>
      </c>
      <c r="C156" t="s">
        <v>116</v>
      </c>
      <c r="D156">
        <v>10673.6</v>
      </c>
      <c r="E156">
        <v>10788.15</v>
      </c>
      <c r="F156">
        <v>10601.55</v>
      </c>
      <c r="G156">
        <v>10778.75</v>
      </c>
      <c r="H156">
        <v>0</v>
      </c>
      <c r="I156" s="8">
        <f t="shared" si="9"/>
        <v>1.6848818177101377E-2</v>
      </c>
      <c r="J156" s="8">
        <f t="shared" si="10"/>
        <v>1.6708451323103227E-2</v>
      </c>
      <c r="K156" s="8">
        <f t="shared" si="7"/>
        <v>3.5442563738016242E-2</v>
      </c>
    </row>
    <row r="157" spans="1:11" x14ac:dyDescent="0.25">
      <c r="A157" t="str">
        <f t="shared" si="8"/>
        <v>82017</v>
      </c>
      <c r="B157" s="1">
        <v>42964</v>
      </c>
      <c r="C157" t="s">
        <v>117</v>
      </c>
      <c r="D157">
        <v>10804.25</v>
      </c>
      <c r="E157">
        <v>10810.15</v>
      </c>
      <c r="F157">
        <v>10682.4</v>
      </c>
      <c r="G157">
        <v>10694.65</v>
      </c>
      <c r="H157">
        <v>0</v>
      </c>
      <c r="I157" s="8">
        <f t="shared" si="9"/>
        <v>-7.8023889597588214E-3</v>
      </c>
      <c r="J157" s="8">
        <f t="shared" si="10"/>
        <v>-7.832986858218996E-3</v>
      </c>
      <c r="K157" s="8">
        <f t="shared" si="7"/>
        <v>3.430384092766392E-2</v>
      </c>
    </row>
    <row r="158" spans="1:11" x14ac:dyDescent="0.25">
      <c r="A158" t="str">
        <f t="shared" si="8"/>
        <v>82017</v>
      </c>
      <c r="B158" s="1">
        <v>42965</v>
      </c>
      <c r="C158" t="s">
        <v>118</v>
      </c>
      <c r="D158">
        <v>10651.95</v>
      </c>
      <c r="E158">
        <v>10691.65</v>
      </c>
      <c r="F158">
        <v>10594.4</v>
      </c>
      <c r="G158">
        <v>10676.35</v>
      </c>
      <c r="H158">
        <v>0</v>
      </c>
      <c r="I158" s="8">
        <f t="shared" si="9"/>
        <v>-1.7111359418026106E-3</v>
      </c>
      <c r="J158" s="8">
        <f t="shared" si="10"/>
        <v>-1.7126016071153034E-3</v>
      </c>
      <c r="K158" s="8">
        <f t="shared" si="7"/>
        <v>2.8485692129105677E-2</v>
      </c>
    </row>
    <row r="159" spans="1:11" x14ac:dyDescent="0.25">
      <c r="A159" t="str">
        <f t="shared" si="8"/>
        <v>82017</v>
      </c>
      <c r="B159" s="1">
        <v>42968</v>
      </c>
      <c r="C159" t="s">
        <v>119</v>
      </c>
      <c r="D159">
        <v>10699.15</v>
      </c>
      <c r="E159">
        <v>10752</v>
      </c>
      <c r="F159">
        <v>10551.7</v>
      </c>
      <c r="G159">
        <v>10572.75</v>
      </c>
      <c r="H159">
        <v>0</v>
      </c>
      <c r="I159" s="8">
        <f t="shared" si="9"/>
        <v>-9.7036908681338296E-3</v>
      </c>
      <c r="J159" s="8">
        <f t="shared" si="10"/>
        <v>-9.7510784820554492E-3</v>
      </c>
      <c r="K159" s="8">
        <f t="shared" si="7"/>
        <v>1.7951532306981433E-2</v>
      </c>
    </row>
    <row r="160" spans="1:11" x14ac:dyDescent="0.25">
      <c r="A160" t="str">
        <f t="shared" si="8"/>
        <v>82017</v>
      </c>
      <c r="B160" s="1">
        <v>42969</v>
      </c>
      <c r="C160" t="s">
        <v>120</v>
      </c>
      <c r="D160">
        <v>10629.65</v>
      </c>
      <c r="E160">
        <v>10647.25</v>
      </c>
      <c r="F160">
        <v>10468.1</v>
      </c>
      <c r="G160">
        <v>10482.9</v>
      </c>
      <c r="H160">
        <v>0</v>
      </c>
      <c r="I160" s="8">
        <f t="shared" si="9"/>
        <v>-8.4982620415691157E-3</v>
      </c>
      <c r="J160" s="8">
        <f t="shared" si="10"/>
        <v>-8.53457816610112E-3</v>
      </c>
      <c r="K160" s="8">
        <f t="shared" si="7"/>
        <v>-9.935682511498789E-3</v>
      </c>
    </row>
    <row r="161" spans="1:11" x14ac:dyDescent="0.25">
      <c r="A161" t="str">
        <f t="shared" si="8"/>
        <v>82017</v>
      </c>
      <c r="B161" s="1">
        <v>42970</v>
      </c>
      <c r="C161" t="s">
        <v>121</v>
      </c>
      <c r="D161">
        <v>10548.8</v>
      </c>
      <c r="E161">
        <v>10566.55</v>
      </c>
      <c r="F161">
        <v>10490.1</v>
      </c>
      <c r="G161">
        <v>10552.8</v>
      </c>
      <c r="H161">
        <v>0</v>
      </c>
      <c r="I161" s="8">
        <f t="shared" si="9"/>
        <v>6.6680021749705443E-3</v>
      </c>
      <c r="J161" s="8">
        <f t="shared" si="10"/>
        <v>6.6458693816665851E-3</v>
      </c>
      <c r="K161" s="8">
        <f t="shared" si="7"/>
        <v>-1.4820450821776521E-2</v>
      </c>
    </row>
    <row r="162" spans="1:11" x14ac:dyDescent="0.25">
      <c r="A162" t="str">
        <f t="shared" si="8"/>
        <v>82017</v>
      </c>
      <c r="B162" s="1">
        <v>42971</v>
      </c>
      <c r="C162" t="s">
        <v>122</v>
      </c>
      <c r="D162">
        <v>10567.5</v>
      </c>
      <c r="E162">
        <v>10583.45</v>
      </c>
      <c r="F162">
        <v>10534.5</v>
      </c>
      <c r="G162">
        <v>10571.45</v>
      </c>
      <c r="H162">
        <v>0</v>
      </c>
      <c r="I162" s="8">
        <f t="shared" si="9"/>
        <v>1.767303464483394E-3</v>
      </c>
      <c r="J162" s="8">
        <f t="shared" si="10"/>
        <v>1.7657436212560904E-3</v>
      </c>
      <c r="K162" s="8">
        <f t="shared" si="7"/>
        <v>-1.6929371832426598E-2</v>
      </c>
    </row>
    <row r="163" spans="1:11" x14ac:dyDescent="0.25">
      <c r="A163" t="str">
        <f t="shared" si="8"/>
        <v>82017</v>
      </c>
      <c r="B163" s="1">
        <v>42975</v>
      </c>
      <c r="C163" t="s">
        <v>123</v>
      </c>
      <c r="D163">
        <v>10614.65</v>
      </c>
      <c r="E163">
        <v>10634</v>
      </c>
      <c r="F163">
        <v>10570.7</v>
      </c>
      <c r="G163">
        <v>10592.35</v>
      </c>
      <c r="H163">
        <v>0</v>
      </c>
      <c r="I163" s="8">
        <f t="shared" si="9"/>
        <v>1.977023019547941E-3</v>
      </c>
      <c r="J163" s="8">
        <f t="shared" si="10"/>
        <v>1.9750712815353177E-3</v>
      </c>
      <c r="K163" s="8">
        <f t="shared" si="7"/>
        <v>-1.9412981795122075E-2</v>
      </c>
    </row>
    <row r="164" spans="1:11" x14ac:dyDescent="0.25">
      <c r="A164" t="str">
        <f t="shared" si="8"/>
        <v>82017</v>
      </c>
      <c r="B164" s="1">
        <v>42976</v>
      </c>
      <c r="C164" t="s">
        <v>124</v>
      </c>
      <c r="D164">
        <v>10570.95</v>
      </c>
      <c r="E164">
        <v>10570.95</v>
      </c>
      <c r="F164">
        <v>10486.4</v>
      </c>
      <c r="G164">
        <v>10503.5</v>
      </c>
      <c r="H164">
        <v>0</v>
      </c>
      <c r="I164" s="8">
        <f t="shared" si="9"/>
        <v>-8.3881291686925818E-3</v>
      </c>
      <c r="J164" s="8">
        <f t="shared" si="10"/>
        <v>-8.4235075017663943E-3</v>
      </c>
      <c r="K164" s="8">
        <f t="shared" si="7"/>
        <v>-3.3787761710269648E-2</v>
      </c>
    </row>
    <row r="165" spans="1:11" x14ac:dyDescent="0.25">
      <c r="A165" t="str">
        <f t="shared" si="8"/>
        <v>82017</v>
      </c>
      <c r="B165" s="1">
        <v>42977</v>
      </c>
      <c r="C165" t="s">
        <v>125</v>
      </c>
      <c r="D165">
        <v>10584.95</v>
      </c>
      <c r="E165">
        <v>10632.8</v>
      </c>
      <c r="F165">
        <v>10552.05</v>
      </c>
      <c r="G165">
        <v>10572.35</v>
      </c>
      <c r="H165">
        <v>0</v>
      </c>
      <c r="I165" s="8">
        <f t="shared" si="9"/>
        <v>6.5549578711858736E-3</v>
      </c>
      <c r="J165" s="8">
        <f t="shared" si="10"/>
        <v>6.5335675590200903E-3</v>
      </c>
      <c r="K165" s="8">
        <f t="shared" si="7"/>
        <v>-2.9307123412186442E-2</v>
      </c>
    </row>
    <row r="166" spans="1:11" x14ac:dyDescent="0.25">
      <c r="A166" t="str">
        <f t="shared" si="8"/>
        <v>82017</v>
      </c>
      <c r="B166" s="1">
        <v>42978</v>
      </c>
      <c r="C166" t="s">
        <v>126</v>
      </c>
      <c r="D166">
        <v>10588.95</v>
      </c>
      <c r="E166">
        <v>10620.65</v>
      </c>
      <c r="F166">
        <v>10539.9</v>
      </c>
      <c r="G166">
        <v>10612.55</v>
      </c>
      <c r="H166">
        <v>0</v>
      </c>
      <c r="I166" s="8">
        <f t="shared" si="9"/>
        <v>3.8023712798005427E-3</v>
      </c>
      <c r="J166" s="8">
        <f t="shared" si="10"/>
        <v>3.7951605389549602E-3</v>
      </c>
      <c r="K166" s="8">
        <f t="shared" si="7"/>
        <v>-3.012648279139496E-2</v>
      </c>
    </row>
    <row r="167" spans="1:11" x14ac:dyDescent="0.25">
      <c r="A167" t="str">
        <f t="shared" si="8"/>
        <v>92017</v>
      </c>
      <c r="B167" s="1">
        <v>42979</v>
      </c>
      <c r="C167" s="10">
        <v>42744.645833333336</v>
      </c>
      <c r="D167">
        <v>10657.7</v>
      </c>
      <c r="E167">
        <v>10839.3</v>
      </c>
      <c r="F167">
        <v>10649.65</v>
      </c>
      <c r="G167">
        <v>10823.6</v>
      </c>
      <c r="H167">
        <v>0</v>
      </c>
      <c r="I167" s="8">
        <f t="shared" si="9"/>
        <v>1.9886832099731189E-2</v>
      </c>
      <c r="J167" s="8">
        <f t="shared" si="10"/>
        <v>1.9691672219060631E-2</v>
      </c>
      <c r="K167" s="8">
        <f t="shared" si="7"/>
        <v>-1.3161073856098993E-2</v>
      </c>
    </row>
    <row r="168" spans="1:11" x14ac:dyDescent="0.25">
      <c r="A168" t="str">
        <f t="shared" si="8"/>
        <v>92017</v>
      </c>
      <c r="B168" s="1">
        <v>42982</v>
      </c>
      <c r="C168" s="10">
        <v>42834.645833333336</v>
      </c>
      <c r="D168">
        <v>10866.9</v>
      </c>
      <c r="E168">
        <v>10872.3</v>
      </c>
      <c r="F168">
        <v>10676.4</v>
      </c>
      <c r="G168">
        <v>10738.4</v>
      </c>
      <c r="H168">
        <v>0</v>
      </c>
      <c r="I168" s="8">
        <f t="shared" si="9"/>
        <v>-7.871687793340576E-3</v>
      </c>
      <c r="J168" s="8">
        <f t="shared" si="10"/>
        <v>-7.9028330793443399E-3</v>
      </c>
      <c r="K168" s="8">
        <f t="shared" si="7"/>
        <v>-1.021273457950822E-2</v>
      </c>
    </row>
    <row r="169" spans="1:11" x14ac:dyDescent="0.25">
      <c r="A169" t="str">
        <f t="shared" si="8"/>
        <v>92017</v>
      </c>
      <c r="B169" s="1">
        <v>42983</v>
      </c>
      <c r="C169" s="10">
        <v>42864.645833333336</v>
      </c>
      <c r="D169">
        <v>10773.8</v>
      </c>
      <c r="E169">
        <v>10797.3</v>
      </c>
      <c r="F169">
        <v>10724.7</v>
      </c>
      <c r="G169">
        <v>10771.2</v>
      </c>
      <c r="H169">
        <v>0</v>
      </c>
      <c r="I169" s="8">
        <f t="shared" si="9"/>
        <v>3.0544587648067001E-3</v>
      </c>
      <c r="J169" s="8">
        <f t="shared" si="10"/>
        <v>3.0498033830058677E-3</v>
      </c>
      <c r="K169" s="8">
        <f t="shared" si="7"/>
        <v>-1.4745161172295074E-2</v>
      </c>
    </row>
    <row r="170" spans="1:11" x14ac:dyDescent="0.25">
      <c r="A170" t="str">
        <f t="shared" si="8"/>
        <v>92017</v>
      </c>
      <c r="B170" s="1">
        <v>42984</v>
      </c>
      <c r="C170" s="10">
        <v>42895.645833333336</v>
      </c>
      <c r="D170">
        <v>10725.35</v>
      </c>
      <c r="E170">
        <v>10774.25</v>
      </c>
      <c r="F170">
        <v>10687</v>
      </c>
      <c r="G170">
        <v>10746.1</v>
      </c>
      <c r="H170">
        <v>0</v>
      </c>
      <c r="I170" s="8">
        <f t="shared" si="9"/>
        <v>-2.3302881758764382E-3</v>
      </c>
      <c r="J170" s="8">
        <f t="shared" si="10"/>
        <v>-2.3330075227637457E-3</v>
      </c>
      <c r="K170" s="8">
        <f t="shared" si="7"/>
        <v>-1.7692522155644763E-2</v>
      </c>
    </row>
    <row r="171" spans="1:11" x14ac:dyDescent="0.25">
      <c r="A171" t="str">
        <f t="shared" si="8"/>
        <v>92017</v>
      </c>
      <c r="B171" s="1">
        <v>42985</v>
      </c>
      <c r="C171" s="10">
        <v>42925.645833333336</v>
      </c>
      <c r="D171">
        <v>10804.95</v>
      </c>
      <c r="E171">
        <v>10853.05</v>
      </c>
      <c r="F171">
        <v>10782.75</v>
      </c>
      <c r="G171">
        <v>10837.8</v>
      </c>
      <c r="H171">
        <v>0</v>
      </c>
      <c r="I171" s="8">
        <f t="shared" si="9"/>
        <v>8.5333283702924145E-3</v>
      </c>
      <c r="J171" s="8">
        <f t="shared" si="10"/>
        <v>8.497125332898316E-3</v>
      </c>
      <c r="K171" s="8">
        <f t="shared" si="7"/>
        <v>-1.8977230039511461E-2</v>
      </c>
    </row>
    <row r="172" spans="1:11" x14ac:dyDescent="0.25">
      <c r="A172" t="str">
        <f t="shared" si="8"/>
        <v>92017</v>
      </c>
      <c r="B172" s="1">
        <v>42986</v>
      </c>
      <c r="C172" s="10">
        <v>42956.645833333336</v>
      </c>
      <c r="D172">
        <v>10891.15</v>
      </c>
      <c r="E172">
        <v>10892.45</v>
      </c>
      <c r="F172">
        <v>10742.55</v>
      </c>
      <c r="G172">
        <v>10779</v>
      </c>
      <c r="H172">
        <v>0</v>
      </c>
      <c r="I172" s="8">
        <f t="shared" si="9"/>
        <v>-5.4254553507169234E-3</v>
      </c>
      <c r="J172" s="8">
        <f t="shared" si="10"/>
        <v>-5.4402265849384079E-3</v>
      </c>
      <c r="K172" s="8">
        <f t="shared" si="7"/>
        <v>-1.6859953392284632E-2</v>
      </c>
    </row>
    <row r="173" spans="1:11" x14ac:dyDescent="0.25">
      <c r="A173" t="str">
        <f t="shared" si="8"/>
        <v>92017</v>
      </c>
      <c r="B173" s="1">
        <v>42989</v>
      </c>
      <c r="C173" s="10">
        <v>43048.645833333336</v>
      </c>
      <c r="D173">
        <v>10842.7</v>
      </c>
      <c r="E173">
        <v>10881.25</v>
      </c>
      <c r="F173">
        <v>10829.4</v>
      </c>
      <c r="G173">
        <v>10839.75</v>
      </c>
      <c r="H173">
        <v>0</v>
      </c>
      <c r="I173" s="8">
        <f t="shared" si="9"/>
        <v>5.6359588087948609E-3</v>
      </c>
      <c r="J173" s="8">
        <f t="shared" si="10"/>
        <v>5.6201362154325966E-3</v>
      </c>
      <c r="K173" s="8">
        <f t="shared" si="7"/>
        <v>-6.4572601785485295E-3</v>
      </c>
    </row>
    <row r="174" spans="1:11" x14ac:dyDescent="0.25">
      <c r="A174" t="str">
        <f t="shared" si="8"/>
        <v>92017</v>
      </c>
      <c r="B174" s="1">
        <v>42990</v>
      </c>
      <c r="C174" s="10">
        <v>43078.645833333336</v>
      </c>
      <c r="D174">
        <v>10899.05</v>
      </c>
      <c r="E174">
        <v>10972.9</v>
      </c>
      <c r="F174">
        <v>10848.7</v>
      </c>
      <c r="G174">
        <v>10965.9</v>
      </c>
      <c r="H174">
        <v>0</v>
      </c>
      <c r="I174" s="8">
        <f t="shared" si="9"/>
        <v>1.1637722272192619E-2</v>
      </c>
      <c r="J174" s="8">
        <f t="shared" si="10"/>
        <v>1.1570524829967789E-2</v>
      </c>
      <c r="K174" s="8">
        <f t="shared" si="7"/>
        <v>5.561541459388808E-3</v>
      </c>
    </row>
    <row r="175" spans="1:11" x14ac:dyDescent="0.25">
      <c r="A175" t="str">
        <f t="shared" si="8"/>
        <v>92017</v>
      </c>
      <c r="B175" s="1">
        <v>42991</v>
      </c>
      <c r="C175" t="s">
        <v>127</v>
      </c>
      <c r="D175">
        <v>10989.1</v>
      </c>
      <c r="E175">
        <v>11025.75</v>
      </c>
      <c r="F175">
        <v>10882</v>
      </c>
      <c r="G175">
        <v>10916</v>
      </c>
      <c r="H175">
        <v>0</v>
      </c>
      <c r="I175" s="8">
        <f t="shared" si="9"/>
        <v>-4.5504700936539466E-3</v>
      </c>
      <c r="J175" s="8">
        <f t="shared" si="10"/>
        <v>-4.560854998799724E-3</v>
      </c>
      <c r="K175" s="8">
        <f t="shared" si="7"/>
        <v>7.0668118161523186E-3</v>
      </c>
    </row>
    <row r="176" spans="1:11" x14ac:dyDescent="0.25">
      <c r="A176" t="str">
        <f t="shared" si="8"/>
        <v>92017</v>
      </c>
      <c r="B176" s="1">
        <v>42992</v>
      </c>
      <c r="C176" t="s">
        <v>128</v>
      </c>
      <c r="D176">
        <v>10947.4</v>
      </c>
      <c r="E176">
        <v>10975.5</v>
      </c>
      <c r="F176">
        <v>10883.85</v>
      </c>
      <c r="G176">
        <v>10949</v>
      </c>
      <c r="H176">
        <v>0</v>
      </c>
      <c r="I176" s="8">
        <f t="shared" si="9"/>
        <v>3.0230853792598822E-3</v>
      </c>
      <c r="J176" s="8">
        <f t="shared" si="10"/>
        <v>3.0185250451958885E-3</v>
      </c>
      <c r="K176" s="8">
        <f t="shared" si="7"/>
        <v>7.3418466860486475E-3</v>
      </c>
    </row>
    <row r="177" spans="1:11" x14ac:dyDescent="0.25">
      <c r="A177" t="str">
        <f t="shared" si="8"/>
        <v>92017</v>
      </c>
      <c r="B177" s="1">
        <v>42993</v>
      </c>
      <c r="C177" t="s">
        <v>129</v>
      </c>
      <c r="D177">
        <v>10931.25</v>
      </c>
      <c r="E177">
        <v>11004.1</v>
      </c>
      <c r="F177">
        <v>10893.15</v>
      </c>
      <c r="G177">
        <v>10971.45</v>
      </c>
      <c r="H177">
        <v>0</v>
      </c>
      <c r="I177" s="8">
        <f t="shared" si="9"/>
        <v>2.0504155630651777E-3</v>
      </c>
      <c r="J177" s="8">
        <f t="shared" si="10"/>
        <v>2.048316330118042E-3</v>
      </c>
      <c r="K177" s="8">
        <f t="shared" si="7"/>
        <v>7.1741345597753359E-3</v>
      </c>
    </row>
    <row r="178" spans="1:11" x14ac:dyDescent="0.25">
      <c r="A178" t="str">
        <f t="shared" si="8"/>
        <v>92017</v>
      </c>
      <c r="B178" s="1">
        <v>42996</v>
      </c>
      <c r="C178" t="s">
        <v>130</v>
      </c>
      <c r="D178">
        <v>11059.65</v>
      </c>
      <c r="E178">
        <v>11132.9</v>
      </c>
      <c r="F178">
        <v>11050.8</v>
      </c>
      <c r="G178">
        <v>11104.85</v>
      </c>
      <c r="H178">
        <v>0</v>
      </c>
      <c r="I178" s="8">
        <f t="shared" si="9"/>
        <v>1.215883041895105E-2</v>
      </c>
      <c r="J178" s="8">
        <f t="shared" si="10"/>
        <v>1.2085505604672839E-2</v>
      </c>
      <c r="K178" s="8">
        <f t="shared" si="7"/>
        <v>1.8728155072609942E-2</v>
      </c>
    </row>
    <row r="179" spans="1:11" x14ac:dyDescent="0.25">
      <c r="A179" t="str">
        <f t="shared" si="8"/>
        <v>92017</v>
      </c>
      <c r="B179" s="1">
        <v>42997</v>
      </c>
      <c r="C179" t="s">
        <v>131</v>
      </c>
      <c r="D179">
        <v>11176.8</v>
      </c>
      <c r="E179">
        <v>11218.4</v>
      </c>
      <c r="F179">
        <v>11152.3</v>
      </c>
      <c r="G179">
        <v>11170.75</v>
      </c>
      <c r="H179">
        <v>0</v>
      </c>
      <c r="I179" s="8">
        <f t="shared" si="9"/>
        <v>5.9343440028456484E-3</v>
      </c>
      <c r="J179" s="8">
        <f t="shared" si="10"/>
        <v>5.9168051370429341E-3</v>
      </c>
      <c r="K179" s="8">
        <f t="shared" si="7"/>
        <v>3.0939965852983198E-2</v>
      </c>
    </row>
    <row r="180" spans="1:11" x14ac:dyDescent="0.25">
      <c r="A180" t="str">
        <f t="shared" si="8"/>
        <v>92017</v>
      </c>
      <c r="B180" s="1">
        <v>42998</v>
      </c>
      <c r="C180" t="s">
        <v>132</v>
      </c>
      <c r="D180">
        <v>11202.45</v>
      </c>
      <c r="E180">
        <v>11204.7</v>
      </c>
      <c r="F180">
        <v>11093.9</v>
      </c>
      <c r="G180">
        <v>11103.45</v>
      </c>
      <c r="H180">
        <v>0</v>
      </c>
      <c r="I180" s="8">
        <f t="shared" si="9"/>
        <v>-6.0246626233689815E-3</v>
      </c>
      <c r="J180" s="8">
        <f t="shared" si="10"/>
        <v>-6.0428841256961021E-3</v>
      </c>
      <c r="K180" s="8">
        <f t="shared" si="7"/>
        <v>2.6125730656377799E-2</v>
      </c>
    </row>
    <row r="181" spans="1:11" x14ac:dyDescent="0.25">
      <c r="A181" t="str">
        <f t="shared" si="8"/>
        <v>92017</v>
      </c>
      <c r="B181" s="1">
        <v>42999</v>
      </c>
      <c r="C181" t="s">
        <v>133</v>
      </c>
      <c r="D181">
        <v>11107.35</v>
      </c>
      <c r="E181">
        <v>11139.05</v>
      </c>
      <c r="F181">
        <v>10977.45</v>
      </c>
      <c r="G181">
        <v>11051.9</v>
      </c>
      <c r="H181">
        <v>0</v>
      </c>
      <c r="I181" s="8">
        <f t="shared" si="9"/>
        <v>-4.6427011424378106E-3</v>
      </c>
      <c r="J181" s="8">
        <f t="shared" si="10"/>
        <v>-4.6535119532739215E-3</v>
      </c>
      <c r="K181" s="8">
        <f t="shared" si="7"/>
        <v>3.8961405223996159E-2</v>
      </c>
    </row>
    <row r="182" spans="1:11" x14ac:dyDescent="0.25">
      <c r="A182" t="str">
        <f t="shared" si="8"/>
        <v>92017</v>
      </c>
      <c r="B182" s="1">
        <v>43000</v>
      </c>
      <c r="C182" t="s">
        <v>134</v>
      </c>
      <c r="D182">
        <v>11034.5</v>
      </c>
      <c r="E182">
        <v>11036.45</v>
      </c>
      <c r="F182">
        <v>10909</v>
      </c>
      <c r="G182">
        <v>10927.05</v>
      </c>
      <c r="H182">
        <v>0</v>
      </c>
      <c r="I182" s="8">
        <f t="shared" si="9"/>
        <v>-1.129670011491235E-2</v>
      </c>
      <c r="J182" s="8">
        <f t="shared" si="10"/>
        <v>-1.1360992484652275E-2</v>
      </c>
      <c r="K182" s="8">
        <f t="shared" si="7"/>
        <v>3.3173540591138417E-2</v>
      </c>
    </row>
    <row r="183" spans="1:11" x14ac:dyDescent="0.25">
      <c r="A183" t="str">
        <f t="shared" si="8"/>
        <v>92017</v>
      </c>
      <c r="B183" s="1">
        <v>43003</v>
      </c>
      <c r="C183" t="s">
        <v>135</v>
      </c>
      <c r="D183">
        <v>10949.3</v>
      </c>
      <c r="E183">
        <v>10949.3</v>
      </c>
      <c r="F183">
        <v>10724.2</v>
      </c>
      <c r="G183">
        <v>10808.45</v>
      </c>
      <c r="H183">
        <v>0</v>
      </c>
      <c r="I183" s="8">
        <f t="shared" si="9"/>
        <v>-1.085379860072011E-2</v>
      </c>
      <c r="J183" s="8">
        <f t="shared" si="10"/>
        <v>-1.0913130783033692E-2</v>
      </c>
      <c r="K183" s="8">
        <f t="shared" si="7"/>
        <v>2.1336810723212141E-2</v>
      </c>
    </row>
    <row r="184" spans="1:11" x14ac:dyDescent="0.25">
      <c r="A184" t="str">
        <f t="shared" si="8"/>
        <v>92017</v>
      </c>
      <c r="B184" s="1">
        <v>43004</v>
      </c>
      <c r="C184" t="s">
        <v>136</v>
      </c>
      <c r="D184">
        <v>10826.65</v>
      </c>
      <c r="E184">
        <v>10853.55</v>
      </c>
      <c r="F184">
        <v>10748.9</v>
      </c>
      <c r="G184">
        <v>10816</v>
      </c>
      <c r="H184">
        <v>0</v>
      </c>
      <c r="I184" s="8">
        <f t="shared" si="9"/>
        <v>6.9852754095167668E-4</v>
      </c>
      <c r="J184" s="8">
        <f t="shared" si="10"/>
        <v>6.9828368414279944E-4</v>
      </c>
      <c r="K184" s="8">
        <f t="shared" si="7"/>
        <v>2.3452543728088582E-2</v>
      </c>
    </row>
    <row r="185" spans="1:11" x14ac:dyDescent="0.25">
      <c r="A185" t="str">
        <f t="shared" si="8"/>
        <v>92017</v>
      </c>
      <c r="B185" s="1">
        <v>43005</v>
      </c>
      <c r="C185" t="s">
        <v>137</v>
      </c>
      <c r="D185">
        <v>10879.05</v>
      </c>
      <c r="E185">
        <v>10889.3</v>
      </c>
      <c r="F185">
        <v>10618.9</v>
      </c>
      <c r="G185">
        <v>10646.05</v>
      </c>
      <c r="H185">
        <v>0</v>
      </c>
      <c r="I185" s="8">
        <f t="shared" si="9"/>
        <v>-1.5712832840236723E-2</v>
      </c>
      <c r="J185" s="8">
        <f t="shared" si="10"/>
        <v>-1.5837587961409813E-2</v>
      </c>
      <c r="K185" s="8">
        <f t="shared" si="7"/>
        <v>1.0037712577974922E-2</v>
      </c>
    </row>
    <row r="186" spans="1:11" x14ac:dyDescent="0.25">
      <c r="A186" t="str">
        <f t="shared" si="8"/>
        <v>92017</v>
      </c>
      <c r="B186" s="1">
        <v>43006</v>
      </c>
      <c r="C186" t="s">
        <v>138</v>
      </c>
      <c r="D186">
        <v>10679.1</v>
      </c>
      <c r="E186">
        <v>10724.3</v>
      </c>
      <c r="F186">
        <v>10560.3</v>
      </c>
      <c r="G186">
        <v>10683.65</v>
      </c>
      <c r="H186">
        <v>0</v>
      </c>
      <c r="I186" s="8">
        <f t="shared" si="9"/>
        <v>3.5318263581327614E-3</v>
      </c>
      <c r="J186" s="8">
        <f t="shared" si="10"/>
        <v>3.5256041057269492E-3</v>
      </c>
      <c r="K186" s="8">
        <f t="shared" si="7"/>
        <v>2.5278650307303252E-4</v>
      </c>
    </row>
    <row r="187" spans="1:11" x14ac:dyDescent="0.25">
      <c r="A187" t="str">
        <f t="shared" si="8"/>
        <v>92017</v>
      </c>
      <c r="B187" s="1">
        <v>43007</v>
      </c>
      <c r="C187" t="s">
        <v>139</v>
      </c>
      <c r="D187">
        <v>10722.95</v>
      </c>
      <c r="E187">
        <v>10857.65</v>
      </c>
      <c r="F187">
        <v>10712.85</v>
      </c>
      <c r="G187">
        <v>10811.25</v>
      </c>
      <c r="H187">
        <v>0</v>
      </c>
      <c r="I187" s="8">
        <f t="shared" si="9"/>
        <v>1.1943483734491611E-2</v>
      </c>
      <c r="J187" s="8">
        <f t="shared" si="10"/>
        <v>1.1872723193659181E-2</v>
      </c>
      <c r="K187" s="8">
        <f t="shared" si="7"/>
        <v>1.7093856278017405E-2</v>
      </c>
    </row>
    <row r="188" spans="1:11" x14ac:dyDescent="0.25">
      <c r="A188" t="str">
        <f t="shared" si="8"/>
        <v>102017</v>
      </c>
      <c r="B188" s="1">
        <v>43011</v>
      </c>
      <c r="C188" s="10">
        <v>42804.645833333336</v>
      </c>
      <c r="D188">
        <v>11059.65</v>
      </c>
      <c r="E188">
        <v>11069.2</v>
      </c>
      <c r="F188">
        <v>10880.2</v>
      </c>
      <c r="G188">
        <v>10903.75</v>
      </c>
      <c r="H188">
        <v>0</v>
      </c>
      <c r="I188" s="8">
        <f t="shared" si="9"/>
        <v>8.5559024164643116E-3</v>
      </c>
      <c r="J188" s="8">
        <f t="shared" si="10"/>
        <v>8.5195081267066351E-3</v>
      </c>
      <c r="K188" s="8">
        <f t="shared" si="7"/>
        <v>1.8585120693520807E-2</v>
      </c>
    </row>
    <row r="189" spans="1:11" x14ac:dyDescent="0.25">
      <c r="A189" t="str">
        <f t="shared" si="8"/>
        <v>102017</v>
      </c>
      <c r="B189" s="1">
        <v>43012</v>
      </c>
      <c r="C189" s="10">
        <v>42835.645833333336</v>
      </c>
      <c r="D189">
        <v>10938.5</v>
      </c>
      <c r="E189">
        <v>10968.65</v>
      </c>
      <c r="F189">
        <v>10876.95</v>
      </c>
      <c r="G189">
        <v>10942.7</v>
      </c>
      <c r="H189">
        <v>0</v>
      </c>
      <c r="I189" s="8">
        <f t="shared" si="9"/>
        <v>3.5721655393787799E-3</v>
      </c>
      <c r="J189" s="8">
        <f t="shared" si="10"/>
        <v>3.5658005095149897E-3</v>
      </c>
      <c r="K189" s="8">
        <f t="shared" si="7"/>
        <v>1.8252369365052257E-2</v>
      </c>
    </row>
    <row r="190" spans="1:11" x14ac:dyDescent="0.25">
      <c r="A190" t="str">
        <f t="shared" si="8"/>
        <v>102017</v>
      </c>
      <c r="B190" s="1">
        <v>43013</v>
      </c>
      <c r="C190" s="10">
        <v>42865.645833333336</v>
      </c>
      <c r="D190">
        <v>10964.45</v>
      </c>
      <c r="E190">
        <v>11019.2</v>
      </c>
      <c r="F190">
        <v>10920.1</v>
      </c>
      <c r="G190">
        <v>10931.7</v>
      </c>
      <c r="H190">
        <v>0</v>
      </c>
      <c r="I190" s="8">
        <f t="shared" si="9"/>
        <v>-1.0052363676240628E-3</v>
      </c>
      <c r="J190" s="8">
        <f t="shared" si="10"/>
        <v>-1.0057419565541112E-3</v>
      </c>
      <c r="K190" s="8">
        <f t="shared" si="7"/>
        <v>1.889272066362202E-2</v>
      </c>
    </row>
    <row r="191" spans="1:11" x14ac:dyDescent="0.25">
      <c r="A191" t="str">
        <f t="shared" si="8"/>
        <v>102017</v>
      </c>
      <c r="B191" s="1">
        <v>43014</v>
      </c>
      <c r="C191" s="10">
        <v>42896.645833333336</v>
      </c>
      <c r="D191">
        <v>10958.1</v>
      </c>
      <c r="E191">
        <v>11020.15</v>
      </c>
      <c r="F191">
        <v>10939.7</v>
      </c>
      <c r="G191">
        <v>11007</v>
      </c>
      <c r="H191">
        <v>0</v>
      </c>
      <c r="I191" s="8">
        <f t="shared" si="9"/>
        <v>6.8882241554377721E-3</v>
      </c>
      <c r="J191" s="8">
        <f t="shared" si="10"/>
        <v>6.8646087230026329E-3</v>
      </c>
      <c r="K191" s="8">
        <f t="shared" si="7"/>
        <v>1.9619831036015833E-2</v>
      </c>
    </row>
    <row r="192" spans="1:11" x14ac:dyDescent="0.25">
      <c r="A192" t="str">
        <f t="shared" si="8"/>
        <v>102017</v>
      </c>
      <c r="B192" s="1">
        <v>43017</v>
      </c>
      <c r="C192" s="10">
        <v>42988.645833333336</v>
      </c>
      <c r="D192">
        <v>11012.85</v>
      </c>
      <c r="E192">
        <v>11061.7</v>
      </c>
      <c r="F192">
        <v>10970.55</v>
      </c>
      <c r="G192">
        <v>11005.8</v>
      </c>
      <c r="H192">
        <v>0</v>
      </c>
      <c r="I192" s="8">
        <f t="shared" si="9"/>
        <v>-1.0902153175262885E-4</v>
      </c>
      <c r="J192" s="8">
        <f t="shared" si="10"/>
        <v>-1.0902747503178923E-4</v>
      </c>
      <c r="K192" s="8">
        <f t="shared" ref="K192:K255" si="11">+G192/G131-1</f>
        <v>1.1920578513536562E-2</v>
      </c>
    </row>
    <row r="193" spans="1:11" x14ac:dyDescent="0.25">
      <c r="A193" t="str">
        <f t="shared" si="8"/>
        <v>102017</v>
      </c>
      <c r="B193" s="1">
        <v>43018</v>
      </c>
      <c r="C193" s="10">
        <v>43018.645833333336</v>
      </c>
      <c r="D193">
        <v>11033.7</v>
      </c>
      <c r="E193">
        <v>11065.6</v>
      </c>
      <c r="F193">
        <v>11013.75</v>
      </c>
      <c r="G193">
        <v>11029.85</v>
      </c>
      <c r="H193">
        <v>0</v>
      </c>
      <c r="I193" s="8">
        <f t="shared" si="9"/>
        <v>2.1852114339713236E-3</v>
      </c>
      <c r="J193" s="8">
        <f t="shared" si="10"/>
        <v>2.1828273320119189E-3</v>
      </c>
      <c r="K193" s="8">
        <f t="shared" si="11"/>
        <v>1.1509168359416178E-2</v>
      </c>
    </row>
    <row r="194" spans="1:11" x14ac:dyDescent="0.25">
      <c r="A194" t="str">
        <f t="shared" si="8"/>
        <v>102017</v>
      </c>
      <c r="B194" s="1">
        <v>43019</v>
      </c>
      <c r="C194" s="10">
        <v>43049.645833333336</v>
      </c>
      <c r="D194">
        <v>11056.05</v>
      </c>
      <c r="E194">
        <v>11095.35</v>
      </c>
      <c r="F194">
        <v>10912.45</v>
      </c>
      <c r="G194">
        <v>10960.3</v>
      </c>
      <c r="H194">
        <v>0</v>
      </c>
      <c r="I194" s="8">
        <f t="shared" si="9"/>
        <v>-6.3056161235194308E-3</v>
      </c>
      <c r="J194" s="8">
        <f t="shared" si="10"/>
        <v>-6.3255804902052019E-3</v>
      </c>
      <c r="K194" s="8">
        <f t="shared" si="11"/>
        <v>2.1624537678357481E-3</v>
      </c>
    </row>
    <row r="195" spans="1:11" x14ac:dyDescent="0.25">
      <c r="A195" t="str">
        <f t="shared" ref="A195:A258" si="12">+MONTH(B195)&amp;YEAR(B195)</f>
        <v>102017</v>
      </c>
      <c r="B195" s="1">
        <v>43020</v>
      </c>
      <c r="C195" s="10">
        <v>43079.645833333336</v>
      </c>
      <c r="D195">
        <v>10989.05</v>
      </c>
      <c r="E195">
        <v>11080.05</v>
      </c>
      <c r="F195">
        <v>10938</v>
      </c>
      <c r="G195">
        <v>11072.25</v>
      </c>
      <c r="H195">
        <v>0</v>
      </c>
      <c r="I195" s="8">
        <f t="shared" si="9"/>
        <v>1.0214136474366642E-2</v>
      </c>
      <c r="J195" s="8">
        <f t="shared" si="10"/>
        <v>1.0162324692140335E-2</v>
      </c>
      <c r="K195" s="8">
        <f t="shared" si="11"/>
        <v>1.6525511258004499E-2</v>
      </c>
    </row>
    <row r="196" spans="1:11" x14ac:dyDescent="0.25">
      <c r="A196" t="str">
        <f t="shared" si="12"/>
        <v>102017</v>
      </c>
      <c r="B196" s="1">
        <v>43021</v>
      </c>
      <c r="C196" t="s">
        <v>140</v>
      </c>
      <c r="D196">
        <v>11095.95</v>
      </c>
      <c r="E196">
        <v>11117.15</v>
      </c>
      <c r="F196">
        <v>11066.4</v>
      </c>
      <c r="G196">
        <v>11078.3</v>
      </c>
      <c r="H196">
        <v>0</v>
      </c>
      <c r="I196" s="8">
        <f t="shared" ref="I196:I259" si="13">+G196/G195-1</f>
        <v>5.4641107272690448E-4</v>
      </c>
      <c r="J196" s="8">
        <f t="shared" ref="J196:J259" si="14">+LN(1+I196)</f>
        <v>5.4626184455418129E-4</v>
      </c>
      <c r="K196" s="8">
        <f t="shared" si="11"/>
        <v>1.2970388014392098E-2</v>
      </c>
    </row>
    <row r="197" spans="1:11" x14ac:dyDescent="0.25">
      <c r="A197" t="str">
        <f t="shared" si="12"/>
        <v>102017</v>
      </c>
      <c r="B197" s="1">
        <v>43024</v>
      </c>
      <c r="C197" t="s">
        <v>141</v>
      </c>
      <c r="D197">
        <v>11135.8</v>
      </c>
      <c r="E197">
        <v>11225.65</v>
      </c>
      <c r="F197">
        <v>11126.9</v>
      </c>
      <c r="G197">
        <v>11216.85</v>
      </c>
      <c r="H197">
        <v>0</v>
      </c>
      <c r="I197" s="8">
        <f t="shared" si="13"/>
        <v>1.2506431492196546E-2</v>
      </c>
      <c r="J197" s="8">
        <f t="shared" si="14"/>
        <v>1.2428872069441025E-2</v>
      </c>
      <c r="K197" s="8">
        <f t="shared" si="11"/>
        <v>2.3958409406266146E-2</v>
      </c>
    </row>
    <row r="198" spans="1:11" x14ac:dyDescent="0.25">
      <c r="A198" t="str">
        <f t="shared" si="12"/>
        <v>102017</v>
      </c>
      <c r="B198" s="1">
        <v>43025</v>
      </c>
      <c r="C198" t="s">
        <v>142</v>
      </c>
      <c r="D198">
        <v>11223.75</v>
      </c>
      <c r="E198">
        <v>11245.95</v>
      </c>
      <c r="F198">
        <v>11164.2</v>
      </c>
      <c r="G198">
        <v>11221.9</v>
      </c>
      <c r="H198">
        <v>0</v>
      </c>
      <c r="I198" s="8">
        <f t="shared" si="13"/>
        <v>4.5021552396606879E-4</v>
      </c>
      <c r="J198" s="8">
        <f t="shared" si="14"/>
        <v>4.5011420736545575E-4</v>
      </c>
      <c r="K198" s="8">
        <f t="shared" si="11"/>
        <v>1.9047143382536547E-2</v>
      </c>
    </row>
    <row r="199" spans="1:11" x14ac:dyDescent="0.25">
      <c r="A199" t="str">
        <f t="shared" si="12"/>
        <v>102017</v>
      </c>
      <c r="B199" s="1">
        <v>43026</v>
      </c>
      <c r="C199" t="s">
        <v>143</v>
      </c>
      <c r="D199">
        <v>11230.5</v>
      </c>
      <c r="E199">
        <v>11230.5</v>
      </c>
      <c r="F199">
        <v>11125.1</v>
      </c>
      <c r="G199">
        <v>11167.85</v>
      </c>
      <c r="H199">
        <v>0</v>
      </c>
      <c r="I199" s="8">
        <f t="shared" si="13"/>
        <v>-4.8164749284880237E-3</v>
      </c>
      <c r="J199" s="8">
        <f t="shared" si="14"/>
        <v>-4.8281115238053753E-3</v>
      </c>
      <c r="K199" s="8">
        <f t="shared" si="11"/>
        <v>1.8899340370596818E-2</v>
      </c>
    </row>
    <row r="200" spans="1:11" x14ac:dyDescent="0.25">
      <c r="A200" t="str">
        <f t="shared" si="12"/>
        <v>102017</v>
      </c>
      <c r="B200" s="1">
        <v>43027</v>
      </c>
      <c r="C200" t="s">
        <v>144</v>
      </c>
      <c r="D200">
        <v>11177</v>
      </c>
      <c r="E200">
        <v>11179.25</v>
      </c>
      <c r="F200">
        <v>11062.85</v>
      </c>
      <c r="G200">
        <v>11107.7</v>
      </c>
      <c r="H200">
        <v>0</v>
      </c>
      <c r="I200" s="8">
        <f t="shared" si="13"/>
        <v>-5.3859964093356805E-3</v>
      </c>
      <c r="J200" s="8">
        <f t="shared" si="14"/>
        <v>-5.4005531800001656E-3</v>
      </c>
      <c r="K200" s="8">
        <f t="shared" si="11"/>
        <v>1.3901820106979379E-2</v>
      </c>
    </row>
    <row r="201" spans="1:11" x14ac:dyDescent="0.25">
      <c r="A201" t="str">
        <f t="shared" si="12"/>
        <v>102017</v>
      </c>
      <c r="B201" s="1">
        <v>43031</v>
      </c>
      <c r="C201" t="s">
        <v>145</v>
      </c>
      <c r="D201">
        <v>11130.5</v>
      </c>
      <c r="E201">
        <v>11180.1</v>
      </c>
      <c r="F201">
        <v>11033.8</v>
      </c>
      <c r="G201">
        <v>11109.95</v>
      </c>
      <c r="H201">
        <v>0</v>
      </c>
      <c r="I201" s="8">
        <f t="shared" si="13"/>
        <v>2.025621865913152E-4</v>
      </c>
      <c r="J201" s="8">
        <f t="shared" si="14"/>
        <v>2.0254167364164874E-4</v>
      </c>
      <c r="K201" s="8">
        <f t="shared" si="11"/>
        <v>1.2868317409379548E-2</v>
      </c>
    </row>
    <row r="202" spans="1:11" x14ac:dyDescent="0.25">
      <c r="A202" t="str">
        <f t="shared" si="12"/>
        <v>102017</v>
      </c>
      <c r="B202" s="1">
        <v>43032</v>
      </c>
      <c r="C202" t="s">
        <v>146</v>
      </c>
      <c r="D202">
        <v>11123.1</v>
      </c>
      <c r="E202">
        <v>11141.15</v>
      </c>
      <c r="F202">
        <v>11070.25</v>
      </c>
      <c r="G202">
        <v>11080</v>
      </c>
      <c r="H202">
        <v>0</v>
      </c>
      <c r="I202" s="8">
        <f t="shared" si="13"/>
        <v>-2.695781709188716E-3</v>
      </c>
      <c r="J202" s="8">
        <f t="shared" si="14"/>
        <v>-2.6994218722289219E-3</v>
      </c>
      <c r="K202" s="8">
        <f t="shared" si="11"/>
        <v>1.3491882003201505E-2</v>
      </c>
    </row>
    <row r="203" spans="1:11" x14ac:dyDescent="0.25">
      <c r="A203" t="str">
        <f t="shared" si="12"/>
        <v>102017</v>
      </c>
      <c r="B203" s="1">
        <v>43033</v>
      </c>
      <c r="C203" t="s">
        <v>147</v>
      </c>
      <c r="D203">
        <v>11160.65</v>
      </c>
      <c r="E203">
        <v>11167.1</v>
      </c>
      <c r="F203">
        <v>11081.2</v>
      </c>
      <c r="G203">
        <v>11150.3</v>
      </c>
      <c r="H203">
        <v>0</v>
      </c>
      <c r="I203" s="8">
        <f t="shared" si="13"/>
        <v>6.3447653429602457E-3</v>
      </c>
      <c r="J203" s="8">
        <f t="shared" si="14"/>
        <v>6.3247220546310432E-3</v>
      </c>
      <c r="K203" s="8">
        <f t="shared" si="11"/>
        <v>1.3336605004748536E-2</v>
      </c>
    </row>
    <row r="204" spans="1:11" x14ac:dyDescent="0.25">
      <c r="A204" t="str">
        <f t="shared" si="12"/>
        <v>102017</v>
      </c>
      <c r="B204" s="1">
        <v>43034</v>
      </c>
      <c r="C204" t="s">
        <v>148</v>
      </c>
      <c r="D204">
        <v>11165.1</v>
      </c>
      <c r="E204">
        <v>11228.55</v>
      </c>
      <c r="F204">
        <v>11122.6</v>
      </c>
      <c r="G204">
        <v>11212.6</v>
      </c>
      <c r="H204">
        <v>0</v>
      </c>
      <c r="I204" s="8">
        <f t="shared" si="13"/>
        <v>5.5872936154184316E-3</v>
      </c>
      <c r="J204" s="8">
        <f t="shared" si="14"/>
        <v>5.5717425889893176E-3</v>
      </c>
      <c r="K204" s="8">
        <f t="shared" si="11"/>
        <v>2.6888909240772918E-2</v>
      </c>
    </row>
    <row r="205" spans="1:11" x14ac:dyDescent="0.25">
      <c r="A205" t="str">
        <f t="shared" si="12"/>
        <v>102017</v>
      </c>
      <c r="B205" s="1">
        <v>43035</v>
      </c>
      <c r="C205" t="s">
        <v>149</v>
      </c>
      <c r="D205">
        <v>11257.5</v>
      </c>
      <c r="E205">
        <v>11364.85</v>
      </c>
      <c r="F205">
        <v>11254</v>
      </c>
      <c r="G205">
        <v>11317.9</v>
      </c>
      <c r="H205">
        <v>0</v>
      </c>
      <c r="I205" s="8">
        <f t="shared" si="13"/>
        <v>9.3912205911206303E-3</v>
      </c>
      <c r="J205" s="8">
        <f t="shared" si="14"/>
        <v>9.3473972352398262E-3</v>
      </c>
      <c r="K205" s="8">
        <f t="shared" si="11"/>
        <v>3.5030201603131195E-2</v>
      </c>
    </row>
    <row r="206" spans="1:11" x14ac:dyDescent="0.25">
      <c r="A206" t="str">
        <f t="shared" si="12"/>
        <v>102017</v>
      </c>
      <c r="B206" s="1">
        <v>43038</v>
      </c>
      <c r="C206" t="s">
        <v>150</v>
      </c>
      <c r="D206">
        <v>11365.75</v>
      </c>
      <c r="E206">
        <v>11459.2</v>
      </c>
      <c r="F206">
        <v>11348.4</v>
      </c>
      <c r="G206">
        <v>11426.5</v>
      </c>
      <c r="H206">
        <v>0</v>
      </c>
      <c r="I206" s="8">
        <f t="shared" si="13"/>
        <v>9.5954196449872242E-3</v>
      </c>
      <c r="J206" s="8">
        <f t="shared" si="14"/>
        <v>9.5496759928040444E-3</v>
      </c>
      <c r="K206" s="8">
        <f t="shared" si="11"/>
        <v>3.8522537752268882E-2</v>
      </c>
    </row>
    <row r="207" spans="1:11" x14ac:dyDescent="0.25">
      <c r="A207" t="str">
        <f t="shared" si="12"/>
        <v>102017</v>
      </c>
      <c r="B207" s="1">
        <v>43039</v>
      </c>
      <c r="C207" t="s">
        <v>151</v>
      </c>
      <c r="D207">
        <v>11451.2</v>
      </c>
      <c r="E207">
        <v>11453.4</v>
      </c>
      <c r="F207">
        <v>11346.75</v>
      </c>
      <c r="G207">
        <v>11370</v>
      </c>
      <c r="H207">
        <v>0</v>
      </c>
      <c r="I207" s="8">
        <f t="shared" si="13"/>
        <v>-4.944646217126869E-3</v>
      </c>
      <c r="J207" s="8">
        <f t="shared" si="14"/>
        <v>-4.9569114283573492E-3</v>
      </c>
      <c r="K207" s="8">
        <f t="shared" si="11"/>
        <v>1.7823093931554235E-2</v>
      </c>
    </row>
    <row r="208" spans="1:11" x14ac:dyDescent="0.25">
      <c r="A208" t="str">
        <f t="shared" si="12"/>
        <v>112017</v>
      </c>
      <c r="B208" s="1">
        <v>43040</v>
      </c>
      <c r="C208" s="10">
        <v>42746.645833333336</v>
      </c>
      <c r="D208">
        <v>11430.95</v>
      </c>
      <c r="E208">
        <v>11443.65</v>
      </c>
      <c r="F208">
        <v>11351.85</v>
      </c>
      <c r="G208">
        <v>11363.5</v>
      </c>
      <c r="H208">
        <v>0</v>
      </c>
      <c r="I208" s="8">
        <f t="shared" si="13"/>
        <v>-5.7167985927875087E-4</v>
      </c>
      <c r="J208" s="8">
        <f t="shared" si="14"/>
        <v>-5.7184333051461442E-4</v>
      </c>
      <c r="K208" s="8">
        <f t="shared" si="11"/>
        <v>2.0589622111951922E-2</v>
      </c>
    </row>
    <row r="209" spans="1:11" x14ac:dyDescent="0.25">
      <c r="A209" t="str">
        <f t="shared" si="12"/>
        <v>112017</v>
      </c>
      <c r="B209" s="1">
        <v>43041</v>
      </c>
      <c r="C209" s="10">
        <v>42777.645833333336</v>
      </c>
      <c r="D209">
        <v>11351.7</v>
      </c>
      <c r="E209">
        <v>11351.7</v>
      </c>
      <c r="F209">
        <v>11272.8</v>
      </c>
      <c r="G209">
        <v>11282.85</v>
      </c>
      <c r="H209">
        <v>0</v>
      </c>
      <c r="I209" s="8">
        <f t="shared" si="13"/>
        <v>-7.0972851674220294E-3</v>
      </c>
      <c r="J209" s="8">
        <f t="shared" si="14"/>
        <v>-7.1225907006040728E-3</v>
      </c>
      <c r="K209" s="8">
        <f t="shared" si="11"/>
        <v>2.0259883531667189E-2</v>
      </c>
    </row>
    <row r="210" spans="1:11" x14ac:dyDescent="0.25">
      <c r="A210" t="str">
        <f t="shared" si="12"/>
        <v>112017</v>
      </c>
      <c r="B210" s="1">
        <v>43042</v>
      </c>
      <c r="C210" s="10">
        <v>42805.645833333336</v>
      </c>
      <c r="D210">
        <v>11305.15</v>
      </c>
      <c r="E210">
        <v>11327.9</v>
      </c>
      <c r="F210">
        <v>11250</v>
      </c>
      <c r="G210">
        <v>11313.65</v>
      </c>
      <c r="H210">
        <v>0</v>
      </c>
      <c r="I210" s="8">
        <f t="shared" si="13"/>
        <v>2.72980674209089E-3</v>
      </c>
      <c r="J210" s="8">
        <f t="shared" si="14"/>
        <v>2.7260875865128282E-3</v>
      </c>
      <c r="K210" s="8">
        <f t="shared" si="11"/>
        <v>1.581137682883571E-2</v>
      </c>
    </row>
    <row r="211" spans="1:11" x14ac:dyDescent="0.25">
      <c r="A211" t="str">
        <f t="shared" si="12"/>
        <v>112017</v>
      </c>
      <c r="B211" s="1">
        <v>43045</v>
      </c>
      <c r="C211" s="10">
        <v>42897.645833333336</v>
      </c>
      <c r="D211">
        <v>11313.35</v>
      </c>
      <c r="E211">
        <v>11518.75</v>
      </c>
      <c r="F211">
        <v>11297.3</v>
      </c>
      <c r="G211">
        <v>11463.2</v>
      </c>
      <c r="H211">
        <v>0</v>
      </c>
      <c r="I211" s="8">
        <f t="shared" si="13"/>
        <v>1.3218545738996834E-2</v>
      </c>
      <c r="J211" s="8">
        <f t="shared" si="14"/>
        <v>1.3131943102417398E-2</v>
      </c>
      <c r="K211" s="8">
        <f t="shared" si="11"/>
        <v>2.7274315901728352E-2</v>
      </c>
    </row>
    <row r="212" spans="1:11" x14ac:dyDescent="0.25">
      <c r="A212" t="str">
        <f t="shared" si="12"/>
        <v>112017</v>
      </c>
      <c r="B212" s="1">
        <v>43046</v>
      </c>
      <c r="C212" s="10">
        <v>42927.645833333336</v>
      </c>
      <c r="D212">
        <v>11493.8</v>
      </c>
      <c r="E212">
        <v>11503.25</v>
      </c>
      <c r="F212">
        <v>11313.45</v>
      </c>
      <c r="G212">
        <v>11331.75</v>
      </c>
      <c r="H212">
        <v>0</v>
      </c>
      <c r="I212" s="8">
        <f t="shared" si="13"/>
        <v>-1.1467129597320214E-2</v>
      </c>
      <c r="J212" s="8">
        <f t="shared" si="14"/>
        <v>-1.1533384114333155E-2</v>
      </c>
      <c r="K212" s="8">
        <f t="shared" si="11"/>
        <v>1.924391516307189E-2</v>
      </c>
    </row>
    <row r="213" spans="1:11" x14ac:dyDescent="0.25">
      <c r="A213" t="str">
        <f t="shared" si="12"/>
        <v>112017</v>
      </c>
      <c r="B213" s="1">
        <v>43047</v>
      </c>
      <c r="C213" s="10">
        <v>42958.645833333336</v>
      </c>
      <c r="D213">
        <v>11337.2</v>
      </c>
      <c r="E213">
        <v>11400.6</v>
      </c>
      <c r="F213">
        <v>11200.7</v>
      </c>
      <c r="G213">
        <v>11254.1</v>
      </c>
      <c r="H213">
        <v>0</v>
      </c>
      <c r="I213" s="8">
        <f t="shared" si="13"/>
        <v>-6.8524279127231136E-3</v>
      </c>
      <c r="J213" s="8">
        <f t="shared" si="14"/>
        <v>-6.8760136047952072E-3</v>
      </c>
      <c r="K213" s="8">
        <f t="shared" si="11"/>
        <v>3.0062284623798119E-2</v>
      </c>
    </row>
    <row r="214" spans="1:11" x14ac:dyDescent="0.25">
      <c r="A214" t="str">
        <f t="shared" si="12"/>
        <v>112017</v>
      </c>
      <c r="B214" s="1">
        <v>43048</v>
      </c>
      <c r="C214" s="10">
        <v>42989.645833333336</v>
      </c>
      <c r="D214">
        <v>11322.35</v>
      </c>
      <c r="E214">
        <v>11357.2</v>
      </c>
      <c r="F214">
        <v>11134.4</v>
      </c>
      <c r="G214">
        <v>11242.5</v>
      </c>
      <c r="H214">
        <v>0</v>
      </c>
      <c r="I214" s="8">
        <f t="shared" si="13"/>
        <v>-1.0307354652970835E-3</v>
      </c>
      <c r="J214" s="8">
        <f t="shared" si="14"/>
        <v>-1.0312670384023544E-3</v>
      </c>
      <c r="K214" s="8">
        <f t="shared" si="11"/>
        <v>5.9963230094753239E-2</v>
      </c>
    </row>
    <row r="215" spans="1:11" x14ac:dyDescent="0.25">
      <c r="A215" t="str">
        <f t="shared" si="12"/>
        <v>112017</v>
      </c>
      <c r="B215" s="1">
        <v>43049</v>
      </c>
      <c r="C215" s="10">
        <v>43019.645833333336</v>
      </c>
      <c r="D215">
        <v>11241.85</v>
      </c>
      <c r="E215">
        <v>11241.85</v>
      </c>
      <c r="F215">
        <v>11093.7</v>
      </c>
      <c r="G215">
        <v>11185.5</v>
      </c>
      <c r="H215">
        <v>0</v>
      </c>
      <c r="I215" s="8">
        <f t="shared" si="13"/>
        <v>-5.0700466977985359E-3</v>
      </c>
      <c r="J215" s="8">
        <f t="shared" si="14"/>
        <v>-5.0829429929032614E-3</v>
      </c>
      <c r="K215" s="8">
        <f t="shared" si="11"/>
        <v>6.9589538858741085E-2</v>
      </c>
    </row>
    <row r="216" spans="1:11" x14ac:dyDescent="0.25">
      <c r="A216" t="str">
        <f t="shared" si="12"/>
        <v>112017</v>
      </c>
      <c r="B216" s="1">
        <v>43052</v>
      </c>
      <c r="C216" t="s">
        <v>152</v>
      </c>
      <c r="D216">
        <v>11212.1</v>
      </c>
      <c r="E216">
        <v>11251.5</v>
      </c>
      <c r="F216">
        <v>11118.05</v>
      </c>
      <c r="G216">
        <v>11134.05</v>
      </c>
      <c r="H216">
        <v>0</v>
      </c>
      <c r="I216" s="8">
        <f t="shared" si="13"/>
        <v>-4.5997049751911323E-3</v>
      </c>
      <c r="J216" s="8">
        <f t="shared" si="14"/>
        <v>-4.6103161695326047E-3</v>
      </c>
      <c r="K216" s="8">
        <f t="shared" si="11"/>
        <v>5.0367211784738908E-2</v>
      </c>
    </row>
    <row r="217" spans="1:11" x14ac:dyDescent="0.25">
      <c r="A217" t="str">
        <f t="shared" si="12"/>
        <v>112017</v>
      </c>
      <c r="B217" s="1">
        <v>43053</v>
      </c>
      <c r="C217" t="s">
        <v>153</v>
      </c>
      <c r="D217">
        <v>11163.05</v>
      </c>
      <c r="E217">
        <v>11205.1</v>
      </c>
      <c r="F217">
        <v>11122.7</v>
      </c>
      <c r="G217">
        <v>11156.7</v>
      </c>
      <c r="H217">
        <v>0</v>
      </c>
      <c r="I217" s="8">
        <f t="shared" si="13"/>
        <v>2.0343001872635824E-3</v>
      </c>
      <c r="J217" s="8">
        <f t="shared" si="14"/>
        <v>2.0322338005969195E-3</v>
      </c>
      <c r="K217" s="8">
        <f t="shared" si="11"/>
        <v>3.5064362750782951E-2</v>
      </c>
    </row>
    <row r="218" spans="1:11" x14ac:dyDescent="0.25">
      <c r="A218" t="str">
        <f t="shared" si="12"/>
        <v>112017</v>
      </c>
      <c r="B218" s="1">
        <v>43054</v>
      </c>
      <c r="C218" t="s">
        <v>154</v>
      </c>
      <c r="D218">
        <v>11151.75</v>
      </c>
      <c r="E218">
        <v>11211.75</v>
      </c>
      <c r="F218">
        <v>11072.3</v>
      </c>
      <c r="G218">
        <v>11103.6</v>
      </c>
      <c r="H218">
        <v>0</v>
      </c>
      <c r="I218" s="8">
        <f t="shared" si="13"/>
        <v>-4.7594718868483321E-3</v>
      </c>
      <c r="J218" s="8">
        <f t="shared" si="14"/>
        <v>-4.7708342400385609E-3</v>
      </c>
      <c r="K218" s="8">
        <f t="shared" si="11"/>
        <v>3.8238745540994934E-2</v>
      </c>
    </row>
    <row r="219" spans="1:11" x14ac:dyDescent="0.25">
      <c r="A219" t="str">
        <f t="shared" si="12"/>
        <v>112017</v>
      </c>
      <c r="B219" s="1">
        <v>43055</v>
      </c>
      <c r="C219" t="s">
        <v>155</v>
      </c>
      <c r="D219">
        <v>11136.8</v>
      </c>
      <c r="E219">
        <v>11192.65</v>
      </c>
      <c r="F219">
        <v>11118.95</v>
      </c>
      <c r="G219">
        <v>11156.4</v>
      </c>
      <c r="H219">
        <v>0</v>
      </c>
      <c r="I219" s="8">
        <f t="shared" si="13"/>
        <v>4.7552145250189248E-3</v>
      </c>
      <c r="J219" s="8">
        <f t="shared" si="14"/>
        <v>4.7439442068276903E-3</v>
      </c>
      <c r="K219" s="8">
        <f t="shared" si="11"/>
        <v>4.496386873791125E-2</v>
      </c>
    </row>
    <row r="220" spans="1:11" x14ac:dyDescent="0.25">
      <c r="A220" t="str">
        <f t="shared" si="12"/>
        <v>112017</v>
      </c>
      <c r="B220" s="1">
        <v>43056</v>
      </c>
      <c r="C220" t="s">
        <v>156</v>
      </c>
      <c r="D220">
        <v>11255.9</v>
      </c>
      <c r="E220">
        <v>11281.2</v>
      </c>
      <c r="F220">
        <v>11219.35</v>
      </c>
      <c r="G220">
        <v>11252.1</v>
      </c>
      <c r="H220">
        <v>0</v>
      </c>
      <c r="I220" s="8">
        <f t="shared" si="13"/>
        <v>8.5780359255673844E-3</v>
      </c>
      <c r="J220" s="8">
        <f t="shared" si="14"/>
        <v>8.5414536293658711E-3</v>
      </c>
      <c r="K220" s="8">
        <f t="shared" si="11"/>
        <v>6.4254805987089547E-2</v>
      </c>
    </row>
    <row r="221" spans="1:11" x14ac:dyDescent="0.25">
      <c r="A221" t="str">
        <f t="shared" si="12"/>
        <v>112017</v>
      </c>
      <c r="B221" s="1">
        <v>43059</v>
      </c>
      <c r="C221" t="s">
        <v>157</v>
      </c>
      <c r="D221">
        <v>11267.45</v>
      </c>
      <c r="E221">
        <v>11316.55</v>
      </c>
      <c r="F221">
        <v>11248.55</v>
      </c>
      <c r="G221">
        <v>11284.95</v>
      </c>
      <c r="H221">
        <v>0</v>
      </c>
      <c r="I221" s="8">
        <f t="shared" si="13"/>
        <v>2.9194550350601922E-3</v>
      </c>
      <c r="J221" s="8">
        <f t="shared" si="14"/>
        <v>2.9152017024739385E-3</v>
      </c>
      <c r="K221" s="8">
        <f t="shared" si="11"/>
        <v>7.6510316801648548E-2</v>
      </c>
    </row>
    <row r="222" spans="1:11" x14ac:dyDescent="0.25">
      <c r="A222" t="str">
        <f t="shared" si="12"/>
        <v>112017</v>
      </c>
      <c r="B222" s="1">
        <v>43060</v>
      </c>
      <c r="C222" t="s">
        <v>158</v>
      </c>
      <c r="D222">
        <v>11321.1</v>
      </c>
      <c r="E222">
        <v>11365.75</v>
      </c>
      <c r="F222">
        <v>11290.35</v>
      </c>
      <c r="G222">
        <v>11325.9</v>
      </c>
      <c r="H222">
        <v>0</v>
      </c>
      <c r="I222" s="8">
        <f t="shared" si="13"/>
        <v>3.6287267555459302E-3</v>
      </c>
      <c r="J222" s="8">
        <f t="shared" si="14"/>
        <v>3.622158810668844E-3</v>
      </c>
      <c r="K222" s="8">
        <f t="shared" si="11"/>
        <v>7.3260177393677628E-2</v>
      </c>
    </row>
    <row r="223" spans="1:11" x14ac:dyDescent="0.25">
      <c r="A223" t="str">
        <f t="shared" si="12"/>
        <v>112017</v>
      </c>
      <c r="B223" s="1">
        <v>43061</v>
      </c>
      <c r="C223" t="s">
        <v>159</v>
      </c>
      <c r="D223">
        <v>11367.05</v>
      </c>
      <c r="E223">
        <v>11395.65</v>
      </c>
      <c r="F223">
        <v>11329.95</v>
      </c>
      <c r="G223">
        <v>11354.55</v>
      </c>
      <c r="H223">
        <v>0</v>
      </c>
      <c r="I223" s="8">
        <f t="shared" si="13"/>
        <v>2.5296002966650466E-3</v>
      </c>
      <c r="J223" s="8">
        <f t="shared" si="14"/>
        <v>2.5264062431531419E-3</v>
      </c>
      <c r="K223" s="8">
        <f t="shared" si="11"/>
        <v>7.4076876871195463E-2</v>
      </c>
    </row>
    <row r="224" spans="1:11" x14ac:dyDescent="0.25">
      <c r="A224" t="str">
        <f t="shared" si="12"/>
        <v>112017</v>
      </c>
      <c r="B224" s="1">
        <v>43062</v>
      </c>
      <c r="C224" t="s">
        <v>160</v>
      </c>
      <c r="D224">
        <v>11378.6</v>
      </c>
      <c r="E224">
        <v>11379.45</v>
      </c>
      <c r="F224">
        <v>11278.4</v>
      </c>
      <c r="G224">
        <v>11326.75</v>
      </c>
      <c r="H224">
        <v>0</v>
      </c>
      <c r="I224" s="8">
        <f t="shared" si="13"/>
        <v>-2.4483577068222795E-3</v>
      </c>
      <c r="J224" s="8">
        <f t="shared" si="14"/>
        <v>-2.4513598357439716E-3</v>
      </c>
      <c r="K224" s="8">
        <f t="shared" si="11"/>
        <v>6.9333056403914073E-2</v>
      </c>
    </row>
    <row r="225" spans="1:11" x14ac:dyDescent="0.25">
      <c r="A225" t="str">
        <f t="shared" si="12"/>
        <v>112017</v>
      </c>
      <c r="B225" s="1">
        <v>43063</v>
      </c>
      <c r="C225" t="s">
        <v>161</v>
      </c>
      <c r="D225">
        <v>11362.95</v>
      </c>
      <c r="E225">
        <v>11410.6</v>
      </c>
      <c r="F225">
        <v>11360.35</v>
      </c>
      <c r="G225">
        <v>11371.95</v>
      </c>
      <c r="H225">
        <v>0</v>
      </c>
      <c r="I225" s="8">
        <f t="shared" si="13"/>
        <v>3.9905533361290768E-3</v>
      </c>
      <c r="J225" s="8">
        <f t="shared" si="14"/>
        <v>3.9826121975123901E-3</v>
      </c>
      <c r="K225" s="8">
        <f t="shared" si="11"/>
        <v>8.268196315513876E-2</v>
      </c>
    </row>
    <row r="226" spans="1:11" x14ac:dyDescent="0.25">
      <c r="A226" t="str">
        <f t="shared" si="12"/>
        <v>112017</v>
      </c>
      <c r="B226" s="1">
        <v>43066</v>
      </c>
      <c r="C226" t="s">
        <v>162</v>
      </c>
      <c r="D226">
        <v>11363.4</v>
      </c>
      <c r="E226">
        <v>11412.95</v>
      </c>
      <c r="F226">
        <v>11336.45</v>
      </c>
      <c r="G226">
        <v>11402.7</v>
      </c>
      <c r="H226">
        <v>0</v>
      </c>
      <c r="I226" s="8">
        <f t="shared" si="13"/>
        <v>2.7040217376967934E-3</v>
      </c>
      <c r="J226" s="8">
        <f t="shared" si="14"/>
        <v>2.7003724479434704E-3</v>
      </c>
      <c r="K226" s="8">
        <f t="shared" si="11"/>
        <v>7.8539775924936217E-2</v>
      </c>
    </row>
    <row r="227" spans="1:11" x14ac:dyDescent="0.25">
      <c r="A227" t="str">
        <f t="shared" si="12"/>
        <v>112017</v>
      </c>
      <c r="B227" s="1">
        <v>43067</v>
      </c>
      <c r="C227" t="s">
        <v>163</v>
      </c>
      <c r="D227">
        <v>11404.05</v>
      </c>
      <c r="E227">
        <v>11452.3</v>
      </c>
      <c r="F227">
        <v>11375.65</v>
      </c>
      <c r="G227">
        <v>11406.4</v>
      </c>
      <c r="H227">
        <v>0</v>
      </c>
      <c r="I227" s="8">
        <f t="shared" si="13"/>
        <v>3.2448455190436931E-4</v>
      </c>
      <c r="J227" s="8">
        <f t="shared" si="14"/>
        <v>3.2443191817773667E-4</v>
      </c>
      <c r="K227" s="8">
        <f t="shared" si="11"/>
        <v>7.4802945569161006E-2</v>
      </c>
    </row>
    <row r="228" spans="1:11" x14ac:dyDescent="0.25">
      <c r="A228" t="str">
        <f t="shared" si="12"/>
        <v>112017</v>
      </c>
      <c r="B228" s="1">
        <v>43068</v>
      </c>
      <c r="C228" t="s">
        <v>164</v>
      </c>
      <c r="D228">
        <v>11432.45</v>
      </c>
      <c r="E228">
        <v>11457.3</v>
      </c>
      <c r="F228">
        <v>11404.75</v>
      </c>
      <c r="G228">
        <v>11427.95</v>
      </c>
      <c r="H228">
        <v>0</v>
      </c>
      <c r="I228" s="8">
        <f t="shared" si="13"/>
        <v>1.8892902230327469E-3</v>
      </c>
      <c r="J228" s="8">
        <f t="shared" si="14"/>
        <v>1.8875077589675022E-3</v>
      </c>
      <c r="K228" s="8">
        <f t="shared" si="11"/>
        <v>5.5836320632691505E-2</v>
      </c>
    </row>
    <row r="229" spans="1:11" x14ac:dyDescent="0.25">
      <c r="A229" t="str">
        <f t="shared" si="12"/>
        <v>112017</v>
      </c>
      <c r="B229" s="1">
        <v>43069</v>
      </c>
      <c r="C229" t="s">
        <v>165</v>
      </c>
      <c r="D229">
        <v>11392.85</v>
      </c>
      <c r="E229">
        <v>11399</v>
      </c>
      <c r="F229">
        <v>11272.05</v>
      </c>
      <c r="G229">
        <v>11292.9</v>
      </c>
      <c r="H229">
        <v>0</v>
      </c>
      <c r="I229" s="8">
        <f t="shared" si="13"/>
        <v>-1.1817517577518366E-2</v>
      </c>
      <c r="J229" s="8">
        <f t="shared" si="14"/>
        <v>-1.1887899480814357E-2</v>
      </c>
      <c r="K229" s="8">
        <f t="shared" si="11"/>
        <v>5.1637115398942113E-2</v>
      </c>
    </row>
    <row r="230" spans="1:11" x14ac:dyDescent="0.25">
      <c r="A230" t="str">
        <f t="shared" si="12"/>
        <v>122017</v>
      </c>
      <c r="B230" s="1">
        <v>43070</v>
      </c>
      <c r="C230" s="10">
        <v>42747.645833333336</v>
      </c>
      <c r="D230">
        <v>11376.15</v>
      </c>
      <c r="E230">
        <v>11409.85</v>
      </c>
      <c r="F230">
        <v>11160.55</v>
      </c>
      <c r="G230">
        <v>11188.2</v>
      </c>
      <c r="H230">
        <v>0</v>
      </c>
      <c r="I230" s="8">
        <f t="shared" si="13"/>
        <v>-9.2713120633317603E-3</v>
      </c>
      <c r="J230" s="8">
        <f t="shared" si="14"/>
        <v>-9.3145581834143867E-3</v>
      </c>
      <c r="K230" s="8">
        <f t="shared" si="11"/>
        <v>3.8714349376114177E-2</v>
      </c>
    </row>
    <row r="231" spans="1:11" x14ac:dyDescent="0.25">
      <c r="A231" t="str">
        <f t="shared" si="12"/>
        <v>122017</v>
      </c>
      <c r="B231" s="1">
        <v>43073</v>
      </c>
      <c r="C231" s="10">
        <v>42837.645833333336</v>
      </c>
      <c r="D231">
        <v>11282.05</v>
      </c>
      <c r="E231">
        <v>11286.8</v>
      </c>
      <c r="F231">
        <v>11143.25</v>
      </c>
      <c r="G231">
        <v>11160.1</v>
      </c>
      <c r="H231">
        <v>0</v>
      </c>
      <c r="I231" s="8">
        <f t="shared" si="13"/>
        <v>-2.5115746947677042E-3</v>
      </c>
      <c r="J231" s="8">
        <f t="shared" si="14"/>
        <v>-2.5147339894697985E-3</v>
      </c>
      <c r="K231" s="8">
        <f t="shared" si="11"/>
        <v>3.8525604637961619E-2</v>
      </c>
    </row>
    <row r="232" spans="1:11" x14ac:dyDescent="0.25">
      <c r="A232" t="str">
        <f t="shared" si="12"/>
        <v>122017</v>
      </c>
      <c r="B232" s="1">
        <v>43074</v>
      </c>
      <c r="C232" s="10">
        <v>42867.645833333336</v>
      </c>
      <c r="D232">
        <v>11166.6</v>
      </c>
      <c r="E232">
        <v>11177</v>
      </c>
      <c r="F232">
        <v>11057.25</v>
      </c>
      <c r="G232">
        <v>11100.55</v>
      </c>
      <c r="H232">
        <v>0</v>
      </c>
      <c r="I232" s="8">
        <f t="shared" si="13"/>
        <v>-5.3359736919921241E-3</v>
      </c>
      <c r="J232" s="8">
        <f t="shared" si="14"/>
        <v>-5.3502608461963811E-3</v>
      </c>
      <c r="K232" s="8">
        <f t="shared" si="11"/>
        <v>2.4243850227906094E-2</v>
      </c>
    </row>
    <row r="233" spans="1:11" x14ac:dyDescent="0.25">
      <c r="A233" t="str">
        <f t="shared" si="12"/>
        <v>122017</v>
      </c>
      <c r="B233" s="1">
        <v>43075</v>
      </c>
      <c r="C233" s="10">
        <v>42898.645833333336</v>
      </c>
      <c r="D233">
        <v>11070.8</v>
      </c>
      <c r="E233">
        <v>11088.2</v>
      </c>
      <c r="F233">
        <v>11003.95</v>
      </c>
      <c r="G233">
        <v>11020.75</v>
      </c>
      <c r="H233">
        <v>0</v>
      </c>
      <c r="I233" s="8">
        <f t="shared" si="13"/>
        <v>-7.1888329857529021E-3</v>
      </c>
      <c r="J233" s="8">
        <f t="shared" si="14"/>
        <v>-7.2147971551518855E-3</v>
      </c>
      <c r="K233" s="8">
        <f t="shared" si="11"/>
        <v>2.2427869004545853E-2</v>
      </c>
    </row>
    <row r="234" spans="1:11" x14ac:dyDescent="0.25">
      <c r="A234" t="str">
        <f t="shared" si="12"/>
        <v>122017</v>
      </c>
      <c r="B234" s="1">
        <v>43076</v>
      </c>
      <c r="C234" s="10">
        <v>42928.645833333336</v>
      </c>
      <c r="D234">
        <v>11059.45</v>
      </c>
      <c r="E234">
        <v>11277.5</v>
      </c>
      <c r="F234">
        <v>11049.55</v>
      </c>
      <c r="G234">
        <v>11235.65</v>
      </c>
      <c r="H234">
        <v>0</v>
      </c>
      <c r="I234" s="8">
        <f t="shared" si="13"/>
        <v>1.9499580337091427E-2</v>
      </c>
      <c r="J234" s="8">
        <f t="shared" si="14"/>
        <v>1.9311899396281643E-2</v>
      </c>
      <c r="K234" s="8">
        <f t="shared" si="11"/>
        <v>3.6522982541110194E-2</v>
      </c>
    </row>
    <row r="235" spans="1:11" x14ac:dyDescent="0.25">
      <c r="A235" t="str">
        <f t="shared" si="12"/>
        <v>122017</v>
      </c>
      <c r="B235" s="1">
        <v>43077</v>
      </c>
      <c r="C235" s="10">
        <v>42959.645833333336</v>
      </c>
      <c r="D235">
        <v>11296.7</v>
      </c>
      <c r="E235">
        <v>11391.75</v>
      </c>
      <c r="F235">
        <v>11281.75</v>
      </c>
      <c r="G235">
        <v>11357.15</v>
      </c>
      <c r="H235">
        <v>0</v>
      </c>
      <c r="I235" s="8">
        <f t="shared" si="13"/>
        <v>1.0813793594496079E-2</v>
      </c>
      <c r="J235" s="8">
        <f t="shared" si="14"/>
        <v>1.0755742654163441E-2</v>
      </c>
      <c r="K235" s="8">
        <f t="shared" si="11"/>
        <v>3.5678786054952116E-2</v>
      </c>
    </row>
    <row r="236" spans="1:11" x14ac:dyDescent="0.25">
      <c r="A236" t="str">
        <f t="shared" si="12"/>
        <v>122017</v>
      </c>
      <c r="B236" s="1">
        <v>43080</v>
      </c>
      <c r="C236" s="10">
        <v>43051.645833333336</v>
      </c>
      <c r="D236">
        <v>11426.55</v>
      </c>
      <c r="E236">
        <v>11459.3</v>
      </c>
      <c r="F236">
        <v>11401.9</v>
      </c>
      <c r="G236">
        <v>11424.6</v>
      </c>
      <c r="H236">
        <v>0</v>
      </c>
      <c r="I236" s="8">
        <f t="shared" si="13"/>
        <v>5.9389899754780373E-3</v>
      </c>
      <c r="J236" s="8">
        <f t="shared" si="14"/>
        <v>5.9214236908593518E-3</v>
      </c>
      <c r="K236" s="8">
        <f t="shared" si="11"/>
        <v>4.6592158299743502E-2</v>
      </c>
    </row>
    <row r="237" spans="1:11" x14ac:dyDescent="0.25">
      <c r="A237" t="str">
        <f t="shared" si="12"/>
        <v>122017</v>
      </c>
      <c r="B237" s="1">
        <v>43081</v>
      </c>
      <c r="C237" s="10">
        <v>43081.645833333336</v>
      </c>
      <c r="D237">
        <v>11449.5</v>
      </c>
      <c r="E237">
        <v>11460.15</v>
      </c>
      <c r="F237">
        <v>11320.6</v>
      </c>
      <c r="G237">
        <v>11331.1</v>
      </c>
      <c r="H237">
        <v>0</v>
      </c>
      <c r="I237" s="8">
        <f t="shared" si="13"/>
        <v>-8.1840939726555151E-3</v>
      </c>
      <c r="J237" s="8">
        <f t="shared" si="14"/>
        <v>-8.2177675205708754E-3</v>
      </c>
      <c r="K237" s="8">
        <f t="shared" si="11"/>
        <v>3.4898164215910077E-2</v>
      </c>
    </row>
    <row r="238" spans="1:11" x14ac:dyDescent="0.25">
      <c r="A238" t="str">
        <f t="shared" si="12"/>
        <v>122017</v>
      </c>
      <c r="B238" s="1">
        <v>43082</v>
      </c>
      <c r="C238" t="s">
        <v>166</v>
      </c>
      <c r="D238">
        <v>11321.35</v>
      </c>
      <c r="E238">
        <v>11374.65</v>
      </c>
      <c r="F238">
        <v>11231.7</v>
      </c>
      <c r="G238">
        <v>11264.65</v>
      </c>
      <c r="H238">
        <v>0</v>
      </c>
      <c r="I238" s="8">
        <f t="shared" si="13"/>
        <v>-5.8643909240939651E-3</v>
      </c>
      <c r="J238" s="8">
        <f t="shared" si="14"/>
        <v>-5.8816539892108258E-3</v>
      </c>
      <c r="K238" s="8">
        <f t="shared" si="11"/>
        <v>2.6723906138204079E-2</v>
      </c>
    </row>
    <row r="239" spans="1:11" x14ac:dyDescent="0.25">
      <c r="A239" t="str">
        <f t="shared" si="12"/>
        <v>122017</v>
      </c>
      <c r="B239" s="1">
        <v>43083</v>
      </c>
      <c r="C239" t="s">
        <v>167</v>
      </c>
      <c r="D239">
        <v>11302.2</v>
      </c>
      <c r="E239">
        <v>11315.75</v>
      </c>
      <c r="F239">
        <v>11215.5</v>
      </c>
      <c r="G239">
        <v>11296.2</v>
      </c>
      <c r="H239">
        <v>0</v>
      </c>
      <c r="I239" s="8">
        <f t="shared" si="13"/>
        <v>2.8007971841115253E-3</v>
      </c>
      <c r="J239" s="8">
        <f t="shared" si="14"/>
        <v>2.7968822599137803E-3</v>
      </c>
      <c r="K239" s="8">
        <f t="shared" si="11"/>
        <v>1.7231209786714885E-2</v>
      </c>
    </row>
    <row r="240" spans="1:11" x14ac:dyDescent="0.25">
      <c r="A240" t="str">
        <f t="shared" si="12"/>
        <v>122017</v>
      </c>
      <c r="B240" s="1">
        <v>43084</v>
      </c>
      <c r="C240" t="s">
        <v>168</v>
      </c>
      <c r="D240">
        <v>11383.6</v>
      </c>
      <c r="E240">
        <v>11474.1</v>
      </c>
      <c r="F240">
        <v>11383.45</v>
      </c>
      <c r="G240">
        <v>11448.4</v>
      </c>
      <c r="H240">
        <v>0</v>
      </c>
      <c r="I240" s="8">
        <f t="shared" si="13"/>
        <v>1.3473557479506182E-2</v>
      </c>
      <c r="J240" s="8">
        <f t="shared" si="14"/>
        <v>1.3383596268135255E-2</v>
      </c>
      <c r="K240" s="8">
        <f t="shared" si="11"/>
        <v>2.4855090302799754E-2</v>
      </c>
    </row>
    <row r="241" spans="1:11" x14ac:dyDescent="0.25">
      <c r="A241" t="str">
        <f t="shared" si="12"/>
        <v>122017</v>
      </c>
      <c r="B241" s="1">
        <v>43087</v>
      </c>
      <c r="C241" t="s">
        <v>169</v>
      </c>
      <c r="D241">
        <v>11383.85</v>
      </c>
      <c r="E241">
        <v>11630.2</v>
      </c>
      <c r="F241">
        <v>11196.2</v>
      </c>
      <c r="G241">
        <v>11589.05</v>
      </c>
      <c r="H241">
        <v>0</v>
      </c>
      <c r="I241" s="8">
        <f t="shared" si="13"/>
        <v>1.2285559554173542E-2</v>
      </c>
      <c r="J241" s="8">
        <f t="shared" si="14"/>
        <v>1.2210704534330484E-2</v>
      </c>
      <c r="K241" s="8">
        <f t="shared" si="11"/>
        <v>4.373415469966524E-2</v>
      </c>
    </row>
    <row r="242" spans="1:11" x14ac:dyDescent="0.25">
      <c r="A242" t="str">
        <f t="shared" si="12"/>
        <v>122017</v>
      </c>
      <c r="B242" s="1">
        <v>43088</v>
      </c>
      <c r="C242" t="s">
        <v>170</v>
      </c>
      <c r="D242">
        <v>11633.9</v>
      </c>
      <c r="E242">
        <v>12007.95</v>
      </c>
      <c r="F242">
        <v>11630.7</v>
      </c>
      <c r="G242">
        <v>11991.9</v>
      </c>
      <c r="H242">
        <v>0</v>
      </c>
      <c r="I242" s="8">
        <f t="shared" si="13"/>
        <v>3.4761261708250446E-2</v>
      </c>
      <c r="J242" s="8">
        <f t="shared" si="14"/>
        <v>3.4170735093882749E-2</v>
      </c>
      <c r="K242" s="8">
        <f t="shared" si="11"/>
        <v>8.5053248762656297E-2</v>
      </c>
    </row>
    <row r="243" spans="1:11" x14ac:dyDescent="0.25">
      <c r="A243" t="str">
        <f t="shared" si="12"/>
        <v>122017</v>
      </c>
      <c r="B243" s="1">
        <v>43089</v>
      </c>
      <c r="C243" t="s">
        <v>171</v>
      </c>
      <c r="D243">
        <v>12068.8</v>
      </c>
      <c r="E243">
        <v>12108.8</v>
      </c>
      <c r="F243">
        <v>11938.35</v>
      </c>
      <c r="G243">
        <v>11954.1</v>
      </c>
      <c r="H243">
        <v>0</v>
      </c>
      <c r="I243" s="8">
        <f t="shared" si="13"/>
        <v>-3.1521276861881109E-3</v>
      </c>
      <c r="J243" s="8">
        <f t="shared" si="14"/>
        <v>-3.1571061051573301E-3</v>
      </c>
      <c r="K243" s="8">
        <f t="shared" si="11"/>
        <v>9.3991516466017888E-2</v>
      </c>
    </row>
    <row r="244" spans="1:11" x14ac:dyDescent="0.25">
      <c r="A244" t="str">
        <f t="shared" si="12"/>
        <v>122017</v>
      </c>
      <c r="B244" s="1">
        <v>43090</v>
      </c>
      <c r="C244" t="s">
        <v>172</v>
      </c>
      <c r="D244">
        <v>11985.85</v>
      </c>
      <c r="E244">
        <v>11991.65</v>
      </c>
      <c r="F244">
        <v>11854.2</v>
      </c>
      <c r="G244">
        <v>11876.85</v>
      </c>
      <c r="H244">
        <v>0</v>
      </c>
      <c r="I244" s="8">
        <f t="shared" si="13"/>
        <v>-6.4622179837879878E-3</v>
      </c>
      <c r="J244" s="8">
        <f t="shared" si="14"/>
        <v>-6.4831885073060912E-3</v>
      </c>
      <c r="K244" s="8">
        <f t="shared" si="11"/>
        <v>9.8848586059980814E-2</v>
      </c>
    </row>
    <row r="245" spans="1:11" x14ac:dyDescent="0.25">
      <c r="A245" t="str">
        <f t="shared" si="12"/>
        <v>122017</v>
      </c>
      <c r="B245" s="1">
        <v>43091</v>
      </c>
      <c r="C245" t="s">
        <v>173</v>
      </c>
      <c r="D245">
        <v>11917.9</v>
      </c>
      <c r="E245">
        <v>11984.5</v>
      </c>
      <c r="F245">
        <v>11884.4</v>
      </c>
      <c r="G245">
        <v>11931.2</v>
      </c>
      <c r="H245">
        <v>0</v>
      </c>
      <c r="I245" s="8">
        <f t="shared" si="13"/>
        <v>4.5761291925048297E-3</v>
      </c>
      <c r="J245" s="8">
        <f t="shared" si="14"/>
        <v>4.5656905469241352E-3</v>
      </c>
      <c r="K245" s="8">
        <f t="shared" si="11"/>
        <v>0.10310650887573969</v>
      </c>
    </row>
    <row r="246" spans="1:11" x14ac:dyDescent="0.25">
      <c r="A246" t="str">
        <f t="shared" si="12"/>
        <v>122017</v>
      </c>
      <c r="B246" s="1">
        <v>43095</v>
      </c>
      <c r="C246" t="s">
        <v>174</v>
      </c>
      <c r="D246">
        <v>11958.8</v>
      </c>
      <c r="E246">
        <v>11973.85</v>
      </c>
      <c r="F246">
        <v>11894.3</v>
      </c>
      <c r="G246">
        <v>11959.15</v>
      </c>
      <c r="H246">
        <v>0</v>
      </c>
      <c r="I246" s="8">
        <f t="shared" si="13"/>
        <v>2.3425975593400761E-3</v>
      </c>
      <c r="J246" s="8">
        <f t="shared" si="14"/>
        <v>2.3398579553697493E-3</v>
      </c>
      <c r="K246" s="8">
        <f t="shared" si="11"/>
        <v>0.12334152103362284</v>
      </c>
    </row>
    <row r="247" spans="1:11" x14ac:dyDescent="0.25">
      <c r="A247" t="str">
        <f t="shared" si="12"/>
        <v>122017</v>
      </c>
      <c r="B247" s="1">
        <v>43096</v>
      </c>
      <c r="C247" t="s">
        <v>175</v>
      </c>
      <c r="D247">
        <v>11972.95</v>
      </c>
      <c r="E247">
        <v>11983.8</v>
      </c>
      <c r="F247">
        <v>11876.85</v>
      </c>
      <c r="G247">
        <v>11905.5</v>
      </c>
      <c r="H247">
        <v>0</v>
      </c>
      <c r="I247" s="8">
        <f t="shared" si="13"/>
        <v>-4.4861047816943111E-3</v>
      </c>
      <c r="J247" s="8">
        <f t="shared" si="14"/>
        <v>-4.4961975458602966E-3</v>
      </c>
      <c r="K247" s="8">
        <f t="shared" si="11"/>
        <v>0.11436634483533248</v>
      </c>
    </row>
    <row r="248" spans="1:11" x14ac:dyDescent="0.25">
      <c r="A248" t="str">
        <f t="shared" si="12"/>
        <v>122017</v>
      </c>
      <c r="B248" s="1">
        <v>43097</v>
      </c>
      <c r="C248" t="s">
        <v>176</v>
      </c>
      <c r="D248">
        <v>11921.1</v>
      </c>
      <c r="E248">
        <v>11933.45</v>
      </c>
      <c r="F248">
        <v>11831.8</v>
      </c>
      <c r="G248">
        <v>11857.65</v>
      </c>
      <c r="H248">
        <v>0</v>
      </c>
      <c r="I248" s="8">
        <f t="shared" si="13"/>
        <v>-4.0191508126496966E-3</v>
      </c>
      <c r="J248" s="8">
        <f t="shared" si="14"/>
        <v>-4.0272493059377362E-3</v>
      </c>
      <c r="K248" s="8">
        <f t="shared" si="11"/>
        <v>9.6788067984738158E-2</v>
      </c>
    </row>
    <row r="249" spans="1:11" x14ac:dyDescent="0.25">
      <c r="A249" t="str">
        <f t="shared" si="12"/>
        <v>122017</v>
      </c>
      <c r="B249" s="1">
        <v>43098</v>
      </c>
      <c r="C249" t="s">
        <v>177</v>
      </c>
      <c r="D249">
        <v>11890.7</v>
      </c>
      <c r="E249">
        <v>12030.1</v>
      </c>
      <c r="F249">
        <v>11883.55</v>
      </c>
      <c r="G249">
        <v>12009.7</v>
      </c>
      <c r="H249">
        <v>0</v>
      </c>
      <c r="I249" s="8">
        <f t="shared" si="13"/>
        <v>1.2822945524619156E-2</v>
      </c>
      <c r="J249" s="8">
        <f t="shared" si="14"/>
        <v>1.2741427684928646E-2</v>
      </c>
      <c r="K249" s="8">
        <f t="shared" si="11"/>
        <v>0.10142840765791594</v>
      </c>
    </row>
    <row r="250" spans="1:11" x14ac:dyDescent="0.25">
      <c r="A250" t="str">
        <f t="shared" si="12"/>
        <v>12018</v>
      </c>
      <c r="B250" s="1">
        <v>43101</v>
      </c>
      <c r="C250" s="10">
        <v>43101.645833333336</v>
      </c>
      <c r="D250">
        <v>12029.45</v>
      </c>
      <c r="E250">
        <v>12052.35</v>
      </c>
      <c r="F250">
        <v>11870.6</v>
      </c>
      <c r="G250">
        <v>11890.5</v>
      </c>
      <c r="H250">
        <v>0</v>
      </c>
      <c r="I250" s="8">
        <f t="shared" si="13"/>
        <v>-9.9253103741143711E-3</v>
      </c>
      <c r="J250" s="8">
        <f t="shared" si="14"/>
        <v>-9.9748946327107603E-3</v>
      </c>
      <c r="K250" s="8">
        <f t="shared" si="11"/>
        <v>8.6614820839463702E-2</v>
      </c>
    </row>
    <row r="251" spans="1:11" x14ac:dyDescent="0.25">
      <c r="A251" t="str">
        <f t="shared" si="12"/>
        <v>12018</v>
      </c>
      <c r="B251" s="1">
        <v>43102</v>
      </c>
      <c r="C251" s="10">
        <v>43132.645833333336</v>
      </c>
      <c r="D251">
        <v>11970.2</v>
      </c>
      <c r="E251">
        <v>11975.2</v>
      </c>
      <c r="F251">
        <v>11819.2</v>
      </c>
      <c r="G251">
        <v>11927.15</v>
      </c>
      <c r="H251">
        <v>0</v>
      </c>
      <c r="I251" s="8">
        <f t="shared" si="13"/>
        <v>3.0822925865185979E-3</v>
      </c>
      <c r="J251" s="8">
        <f t="shared" si="14"/>
        <v>3.077552061349889E-3</v>
      </c>
      <c r="K251" s="8">
        <f t="shared" si="11"/>
        <v>9.1060859701601604E-2</v>
      </c>
    </row>
    <row r="252" spans="1:11" x14ac:dyDescent="0.25">
      <c r="A252" t="str">
        <f t="shared" si="12"/>
        <v>12018</v>
      </c>
      <c r="B252" s="1">
        <v>43103</v>
      </c>
      <c r="C252" s="10">
        <v>43160.645833333336</v>
      </c>
      <c r="D252">
        <v>11972.6</v>
      </c>
      <c r="E252">
        <v>11978.1</v>
      </c>
      <c r="F252">
        <v>11843.2</v>
      </c>
      <c r="G252">
        <v>11866.8</v>
      </c>
      <c r="H252">
        <v>0</v>
      </c>
      <c r="I252" s="8">
        <f t="shared" si="13"/>
        <v>-5.0598843814323446E-3</v>
      </c>
      <c r="J252" s="8">
        <f t="shared" si="14"/>
        <v>-5.0727289427248082E-3</v>
      </c>
      <c r="K252" s="8">
        <f t="shared" si="11"/>
        <v>7.8113927500681246E-2</v>
      </c>
    </row>
    <row r="253" spans="1:11" x14ac:dyDescent="0.25">
      <c r="A253" t="str">
        <f t="shared" si="12"/>
        <v>12018</v>
      </c>
      <c r="B253" s="1">
        <v>43104</v>
      </c>
      <c r="C253" s="10">
        <v>43191.645833333336</v>
      </c>
      <c r="D253">
        <v>11881.25</v>
      </c>
      <c r="E253">
        <v>11881.25</v>
      </c>
      <c r="F253">
        <v>11803.5</v>
      </c>
      <c r="G253">
        <v>11843.25</v>
      </c>
      <c r="H253">
        <v>0</v>
      </c>
      <c r="I253" s="8">
        <f t="shared" si="13"/>
        <v>-1.9845282637273032E-3</v>
      </c>
      <c r="J253" s="8">
        <f t="shared" si="14"/>
        <v>-1.9865000490831273E-3</v>
      </c>
      <c r="K253" s="8">
        <f t="shared" si="11"/>
        <v>7.6091697105162837E-2</v>
      </c>
    </row>
    <row r="254" spans="1:11" x14ac:dyDescent="0.25">
      <c r="A254" t="str">
        <f t="shared" si="12"/>
        <v>12018</v>
      </c>
      <c r="B254" s="1">
        <v>43105</v>
      </c>
      <c r="C254" s="10">
        <v>43221.645833333336</v>
      </c>
      <c r="D254">
        <v>11894.35</v>
      </c>
      <c r="E254">
        <v>11953</v>
      </c>
      <c r="F254">
        <v>11874.6</v>
      </c>
      <c r="G254">
        <v>11929.6</v>
      </c>
      <c r="H254">
        <v>0</v>
      </c>
      <c r="I254" s="8">
        <f t="shared" si="13"/>
        <v>7.2910729740569558E-3</v>
      </c>
      <c r="J254" s="8">
        <f t="shared" si="14"/>
        <v>7.2646215963004237E-3</v>
      </c>
      <c r="K254" s="8">
        <f t="shared" si="11"/>
        <v>8.1574092122739694E-2</v>
      </c>
    </row>
    <row r="255" spans="1:11" x14ac:dyDescent="0.25">
      <c r="A255" t="str">
        <f t="shared" si="12"/>
        <v>12018</v>
      </c>
      <c r="B255" s="1">
        <v>43108</v>
      </c>
      <c r="C255" s="10">
        <v>43313.645833333336</v>
      </c>
      <c r="D255">
        <v>11973.7</v>
      </c>
      <c r="E255">
        <v>11989.6</v>
      </c>
      <c r="F255">
        <v>11938.45</v>
      </c>
      <c r="G255">
        <v>11974.5</v>
      </c>
      <c r="H255">
        <v>0</v>
      </c>
      <c r="I255" s="8">
        <f t="shared" si="13"/>
        <v>3.7637473175964331E-3</v>
      </c>
      <c r="J255" s="8">
        <f t="shared" si="14"/>
        <v>3.7566821428004563E-3</v>
      </c>
      <c r="K255" s="8">
        <f t="shared" si="11"/>
        <v>9.2533963486401083E-2</v>
      </c>
    </row>
    <row r="256" spans="1:11" x14ac:dyDescent="0.25">
      <c r="A256" t="str">
        <f t="shared" si="12"/>
        <v>12018</v>
      </c>
      <c r="B256" s="1">
        <v>43109</v>
      </c>
      <c r="C256" s="10">
        <v>43344.645833333336</v>
      </c>
      <c r="D256">
        <v>11999.8</v>
      </c>
      <c r="E256">
        <v>12024.65</v>
      </c>
      <c r="F256">
        <v>11917.35</v>
      </c>
      <c r="G256">
        <v>11942.25</v>
      </c>
      <c r="H256">
        <v>0</v>
      </c>
      <c r="I256" s="8">
        <f t="shared" si="13"/>
        <v>-2.6932230990855954E-3</v>
      </c>
      <c r="J256" s="8">
        <f t="shared" si="14"/>
        <v>-2.6968563493181491E-3</v>
      </c>
      <c r="K256" s="8">
        <f t="shared" ref="K256:K319" si="15">+G256/G195-1</f>
        <v>7.8574815416920574E-2</v>
      </c>
    </row>
    <row r="257" spans="1:11" x14ac:dyDescent="0.25">
      <c r="A257" t="str">
        <f t="shared" si="12"/>
        <v>12018</v>
      </c>
      <c r="B257" s="1">
        <v>43110</v>
      </c>
      <c r="C257" s="10">
        <v>43374.645833333336</v>
      </c>
      <c r="D257">
        <v>11945.5</v>
      </c>
      <c r="E257">
        <v>11953.35</v>
      </c>
      <c r="F257">
        <v>11837.7</v>
      </c>
      <c r="G257">
        <v>11856.95</v>
      </c>
      <c r="H257">
        <v>0</v>
      </c>
      <c r="I257" s="8">
        <f t="shared" si="13"/>
        <v>-7.142707613724375E-3</v>
      </c>
      <c r="J257" s="8">
        <f t="shared" si="14"/>
        <v>-7.1683388737419579E-3</v>
      </c>
      <c r="K257" s="8">
        <f t="shared" si="15"/>
        <v>7.0286054719587154E-2</v>
      </c>
    </row>
    <row r="258" spans="1:11" x14ac:dyDescent="0.25">
      <c r="A258" t="str">
        <f t="shared" si="12"/>
        <v>12018</v>
      </c>
      <c r="B258" s="1">
        <v>43111</v>
      </c>
      <c r="C258" s="10">
        <v>43405.645833333336</v>
      </c>
      <c r="D258">
        <v>11868.15</v>
      </c>
      <c r="E258">
        <v>11885</v>
      </c>
      <c r="F258">
        <v>11839.4</v>
      </c>
      <c r="G258">
        <v>11871.75</v>
      </c>
      <c r="H258">
        <v>0</v>
      </c>
      <c r="I258" s="8">
        <f t="shared" si="13"/>
        <v>1.2482130733451058E-3</v>
      </c>
      <c r="J258" s="8">
        <f t="shared" si="14"/>
        <v>1.2474347030541906E-3</v>
      </c>
      <c r="K258" s="8">
        <f t="shared" si="15"/>
        <v>5.8385375573356102E-2</v>
      </c>
    </row>
    <row r="259" spans="1:11" x14ac:dyDescent="0.25">
      <c r="A259" t="str">
        <f t="shared" ref="A259:A322" si="16">+MONTH(B259)&amp;YEAR(B259)</f>
        <v>12018</v>
      </c>
      <c r="B259" s="1">
        <v>43112</v>
      </c>
      <c r="C259" s="10">
        <v>43435.645833333336</v>
      </c>
      <c r="D259">
        <v>11912.8</v>
      </c>
      <c r="E259">
        <v>11946.45</v>
      </c>
      <c r="F259">
        <v>11809.05</v>
      </c>
      <c r="G259">
        <v>11908.4</v>
      </c>
      <c r="H259">
        <v>0</v>
      </c>
      <c r="I259" s="8">
        <f t="shared" si="13"/>
        <v>3.0871606966116349E-3</v>
      </c>
      <c r="J259" s="8">
        <f t="shared" si="14"/>
        <v>3.0824052008342727E-3</v>
      </c>
      <c r="K259" s="8">
        <f t="shared" si="15"/>
        <v>6.1175023837318099E-2</v>
      </c>
    </row>
    <row r="260" spans="1:11" x14ac:dyDescent="0.25">
      <c r="A260" t="str">
        <f t="shared" si="16"/>
        <v>12018</v>
      </c>
      <c r="B260" s="1">
        <v>43115</v>
      </c>
      <c r="C260" t="s">
        <v>178</v>
      </c>
      <c r="D260">
        <v>11942.7</v>
      </c>
      <c r="E260">
        <v>11944.85</v>
      </c>
      <c r="F260">
        <v>11779.8</v>
      </c>
      <c r="G260">
        <v>11794.1</v>
      </c>
      <c r="H260">
        <v>0</v>
      </c>
      <c r="I260" s="8">
        <f t="shared" ref="I260:I323" si="17">+G260/G259-1</f>
        <v>-9.5982667696751234E-3</v>
      </c>
      <c r="J260" s="8">
        <f t="shared" ref="J260:J323" si="18">+LN(1+I260)</f>
        <v>-9.6446270227178808E-3</v>
      </c>
      <c r="K260" s="8">
        <f t="shared" si="15"/>
        <v>5.6076147154555223E-2</v>
      </c>
    </row>
    <row r="261" spans="1:11" x14ac:dyDescent="0.25">
      <c r="A261" t="str">
        <f t="shared" si="16"/>
        <v>12018</v>
      </c>
      <c r="B261" s="1">
        <v>43116</v>
      </c>
      <c r="C261" t="s">
        <v>179</v>
      </c>
      <c r="D261">
        <v>11806.3</v>
      </c>
      <c r="E261">
        <v>11825.95</v>
      </c>
      <c r="F261">
        <v>11621</v>
      </c>
      <c r="G261">
        <v>11646.25</v>
      </c>
      <c r="H261">
        <v>0</v>
      </c>
      <c r="I261" s="8">
        <f t="shared" si="17"/>
        <v>-1.2535928981439848E-2</v>
      </c>
      <c r="J261" s="8">
        <f t="shared" si="18"/>
        <v>-1.2615166647439112E-2</v>
      </c>
      <c r="K261" s="8">
        <f t="shared" si="15"/>
        <v>4.8484384706104722E-2</v>
      </c>
    </row>
    <row r="262" spans="1:11" x14ac:dyDescent="0.25">
      <c r="A262" t="str">
        <f t="shared" si="16"/>
        <v>12018</v>
      </c>
      <c r="B262" s="1">
        <v>43117</v>
      </c>
      <c r="C262" t="s">
        <v>180</v>
      </c>
      <c r="D262">
        <v>11643.65</v>
      </c>
      <c r="E262">
        <v>11702.85</v>
      </c>
      <c r="F262">
        <v>11514.95</v>
      </c>
      <c r="G262">
        <v>11692.6</v>
      </c>
      <c r="H262">
        <v>0</v>
      </c>
      <c r="I262" s="8">
        <f t="shared" si="17"/>
        <v>3.9798218310616029E-3</v>
      </c>
      <c r="J262" s="8">
        <f t="shared" si="18"/>
        <v>3.9719232897473212E-3</v>
      </c>
      <c r="K262" s="8">
        <f t="shared" si="15"/>
        <v>5.2443980395951328E-2</v>
      </c>
    </row>
    <row r="263" spans="1:11" x14ac:dyDescent="0.25">
      <c r="A263" t="str">
        <f t="shared" si="16"/>
        <v>12018</v>
      </c>
      <c r="B263" s="1">
        <v>43118</v>
      </c>
      <c r="C263" t="s">
        <v>181</v>
      </c>
      <c r="D263">
        <v>11736.1</v>
      </c>
      <c r="E263">
        <v>11797.7</v>
      </c>
      <c r="F263">
        <v>11625</v>
      </c>
      <c r="G263">
        <v>11662.1</v>
      </c>
      <c r="H263">
        <v>0</v>
      </c>
      <c r="I263" s="8">
        <f t="shared" si="17"/>
        <v>-2.6084874193934571E-3</v>
      </c>
      <c r="J263" s="8">
        <f t="shared" si="18"/>
        <v>-2.6118954505296565E-3</v>
      </c>
      <c r="K263" s="8">
        <f t="shared" si="15"/>
        <v>5.2536101083032527E-2</v>
      </c>
    </row>
    <row r="264" spans="1:11" x14ac:dyDescent="0.25">
      <c r="A264" t="str">
        <f t="shared" si="16"/>
        <v>12018</v>
      </c>
      <c r="B264" s="1">
        <v>43119</v>
      </c>
      <c r="C264" t="s">
        <v>182</v>
      </c>
      <c r="D264">
        <v>11624</v>
      </c>
      <c r="E264">
        <v>11696.65</v>
      </c>
      <c r="F264">
        <v>11581.35</v>
      </c>
      <c r="G264">
        <v>11677.55</v>
      </c>
      <c r="H264">
        <v>0</v>
      </c>
      <c r="I264" s="8">
        <f t="shared" si="17"/>
        <v>1.3248042805324989E-3</v>
      </c>
      <c r="J264" s="8">
        <f t="shared" si="18"/>
        <v>1.3239275016298383E-3</v>
      </c>
      <c r="K264" s="8">
        <f t="shared" si="15"/>
        <v>4.7285723254082868E-2</v>
      </c>
    </row>
    <row r="265" spans="1:11" x14ac:dyDescent="0.25">
      <c r="A265" t="str">
        <f t="shared" si="16"/>
        <v>12018</v>
      </c>
      <c r="B265" s="1">
        <v>43122</v>
      </c>
      <c r="C265" t="s">
        <v>183</v>
      </c>
      <c r="D265">
        <v>11683.15</v>
      </c>
      <c r="E265">
        <v>11726.05</v>
      </c>
      <c r="F265">
        <v>11659.85</v>
      </c>
      <c r="G265">
        <v>11690.85</v>
      </c>
      <c r="H265">
        <v>0</v>
      </c>
      <c r="I265" s="8">
        <f t="shared" si="17"/>
        <v>1.1389375339863061E-3</v>
      </c>
      <c r="J265" s="8">
        <f t="shared" si="18"/>
        <v>1.1382894366813651E-3</v>
      </c>
      <c r="K265" s="8">
        <f t="shared" si="15"/>
        <v>4.2652908335265582E-2</v>
      </c>
    </row>
    <row r="266" spans="1:11" x14ac:dyDescent="0.25">
      <c r="A266" t="str">
        <f t="shared" si="16"/>
        <v>12018</v>
      </c>
      <c r="B266" s="1">
        <v>43123</v>
      </c>
      <c r="C266" t="s">
        <v>184</v>
      </c>
      <c r="D266">
        <v>11725.2</v>
      </c>
      <c r="E266">
        <v>11766.2</v>
      </c>
      <c r="F266">
        <v>11678.75</v>
      </c>
      <c r="G266">
        <v>11725.8</v>
      </c>
      <c r="H266">
        <v>0</v>
      </c>
      <c r="I266" s="8">
        <f t="shared" si="17"/>
        <v>2.9895174431284754E-3</v>
      </c>
      <c r="J266" s="8">
        <f t="shared" si="18"/>
        <v>2.9850577219225341E-3</v>
      </c>
      <c r="K266" s="8">
        <f t="shared" si="15"/>
        <v>3.6040254817589767E-2</v>
      </c>
    </row>
    <row r="267" spans="1:11" x14ac:dyDescent="0.25">
      <c r="A267" t="str">
        <f t="shared" si="16"/>
        <v>12018</v>
      </c>
      <c r="B267" s="1">
        <v>43124</v>
      </c>
      <c r="C267" t="s">
        <v>185</v>
      </c>
      <c r="D267">
        <v>11716.95</v>
      </c>
      <c r="E267">
        <v>11755.35</v>
      </c>
      <c r="F267">
        <v>11640.5</v>
      </c>
      <c r="G267">
        <v>11654.65</v>
      </c>
      <c r="H267">
        <v>0</v>
      </c>
      <c r="I267" s="8">
        <f t="shared" si="17"/>
        <v>-6.067816268399584E-3</v>
      </c>
      <c r="J267" s="8">
        <f t="shared" si="18"/>
        <v>-6.0863002751690154E-3</v>
      </c>
      <c r="K267" s="8">
        <f t="shared" si="15"/>
        <v>1.9966743972344991E-2</v>
      </c>
    </row>
    <row r="268" spans="1:11" x14ac:dyDescent="0.25">
      <c r="A268" t="str">
        <f t="shared" si="16"/>
        <v>12018</v>
      </c>
      <c r="B268" s="1">
        <v>43125</v>
      </c>
      <c r="C268" t="s">
        <v>186</v>
      </c>
      <c r="D268">
        <v>11682.95</v>
      </c>
      <c r="E268">
        <v>11699.05</v>
      </c>
      <c r="F268">
        <v>11497.55</v>
      </c>
      <c r="G268">
        <v>11507.75</v>
      </c>
      <c r="H268">
        <v>0</v>
      </c>
      <c r="I268" s="8">
        <f t="shared" si="17"/>
        <v>-1.2604411114876868E-2</v>
      </c>
      <c r="J268" s="8">
        <f t="shared" si="18"/>
        <v>-1.2684520571522822E-2</v>
      </c>
      <c r="K268" s="8">
        <f t="shared" si="15"/>
        <v>1.2115215479331587E-2</v>
      </c>
    </row>
    <row r="269" spans="1:11" x14ac:dyDescent="0.25">
      <c r="A269" t="str">
        <f t="shared" si="16"/>
        <v>12018</v>
      </c>
      <c r="B269" s="1">
        <v>43129</v>
      </c>
      <c r="C269" t="s">
        <v>187</v>
      </c>
      <c r="D269">
        <v>11593.55</v>
      </c>
      <c r="E269">
        <v>11724.55</v>
      </c>
      <c r="F269">
        <v>11590.4</v>
      </c>
      <c r="G269">
        <v>11678.4</v>
      </c>
      <c r="H269">
        <v>0</v>
      </c>
      <c r="I269" s="8">
        <f t="shared" si="17"/>
        <v>1.4829136886011618E-2</v>
      </c>
      <c r="J269" s="8">
        <f t="shared" si="18"/>
        <v>1.4720260279973625E-2</v>
      </c>
      <c r="K269" s="8">
        <f t="shared" si="15"/>
        <v>2.7711532538390538E-2</v>
      </c>
    </row>
    <row r="270" spans="1:11" x14ac:dyDescent="0.25">
      <c r="A270" t="str">
        <f t="shared" si="16"/>
        <v>12018</v>
      </c>
      <c r="B270" s="1">
        <v>43130</v>
      </c>
      <c r="C270" t="s">
        <v>188</v>
      </c>
      <c r="D270">
        <v>11680.25</v>
      </c>
      <c r="E270">
        <v>11720.7</v>
      </c>
      <c r="F270">
        <v>11611.25</v>
      </c>
      <c r="G270">
        <v>11627.9</v>
      </c>
      <c r="H270">
        <v>0</v>
      </c>
      <c r="I270" s="8">
        <f t="shared" si="17"/>
        <v>-4.3242224962323217E-3</v>
      </c>
      <c r="J270" s="8">
        <f t="shared" si="18"/>
        <v>-4.3335989867814475E-3</v>
      </c>
      <c r="K270" s="8">
        <f t="shared" si="15"/>
        <v>3.0581812219430349E-2</v>
      </c>
    </row>
    <row r="271" spans="1:11" x14ac:dyDescent="0.25">
      <c r="A271" t="str">
        <f t="shared" si="16"/>
        <v>12018</v>
      </c>
      <c r="B271" s="1">
        <v>43131</v>
      </c>
      <c r="C271" t="s">
        <v>189</v>
      </c>
      <c r="D271">
        <v>11627.05</v>
      </c>
      <c r="E271">
        <v>11665.65</v>
      </c>
      <c r="F271">
        <v>11571.7</v>
      </c>
      <c r="G271">
        <v>11611.9</v>
      </c>
      <c r="H271">
        <v>0</v>
      </c>
      <c r="I271" s="8">
        <f t="shared" si="17"/>
        <v>-1.3760008256005207E-3</v>
      </c>
      <c r="J271" s="8">
        <f t="shared" si="18"/>
        <v>-1.3769483840637773E-3</v>
      </c>
      <c r="K271" s="8">
        <f t="shared" si="15"/>
        <v>2.6361960994020439E-2</v>
      </c>
    </row>
    <row r="272" spans="1:11" x14ac:dyDescent="0.25">
      <c r="A272" t="str">
        <f t="shared" si="16"/>
        <v>22018</v>
      </c>
      <c r="B272" s="1">
        <v>43132</v>
      </c>
      <c r="C272" s="10">
        <v>43102.645833333336</v>
      </c>
      <c r="D272">
        <v>11647.05</v>
      </c>
      <c r="E272">
        <v>11741.35</v>
      </c>
      <c r="F272">
        <v>11444</v>
      </c>
      <c r="G272">
        <v>11693.6</v>
      </c>
      <c r="H272">
        <v>0</v>
      </c>
      <c r="I272" s="8">
        <f t="shared" si="17"/>
        <v>7.0358856001171421E-3</v>
      </c>
      <c r="J272" s="8">
        <f t="shared" si="18"/>
        <v>7.0112492485603665E-3</v>
      </c>
      <c r="K272" s="8">
        <f t="shared" si="15"/>
        <v>2.0099099727824754E-2</v>
      </c>
    </row>
    <row r="273" spans="1:11" x14ac:dyDescent="0.25">
      <c r="A273" t="str">
        <f t="shared" si="16"/>
        <v>22018</v>
      </c>
      <c r="B273" s="1">
        <v>43133</v>
      </c>
      <c r="C273" s="10">
        <v>43133.645833333336</v>
      </c>
      <c r="D273">
        <v>11649.3</v>
      </c>
      <c r="E273">
        <v>11665.2</v>
      </c>
      <c r="F273">
        <v>11278.85</v>
      </c>
      <c r="G273">
        <v>11301.95</v>
      </c>
      <c r="H273">
        <v>0</v>
      </c>
      <c r="I273" s="8">
        <f t="shared" si="17"/>
        <v>-3.3492679756447985E-2</v>
      </c>
      <c r="J273" s="8">
        <f t="shared" si="18"/>
        <v>-3.4066406390833207E-2</v>
      </c>
      <c r="K273" s="8">
        <f t="shared" si="15"/>
        <v>-2.6297791603238085E-3</v>
      </c>
    </row>
    <row r="274" spans="1:11" x14ac:dyDescent="0.25">
      <c r="A274" t="str">
        <f t="shared" si="16"/>
        <v>22018</v>
      </c>
      <c r="B274" s="1">
        <v>43136</v>
      </c>
      <c r="C274" s="10">
        <v>43222.645833333336</v>
      </c>
      <c r="D274">
        <v>11149.75</v>
      </c>
      <c r="E274">
        <v>11426.65</v>
      </c>
      <c r="F274">
        <v>11053.8</v>
      </c>
      <c r="G274">
        <v>11386.4</v>
      </c>
      <c r="H274">
        <v>0</v>
      </c>
      <c r="I274" s="8">
        <f t="shared" si="17"/>
        <v>7.4721618835686954E-3</v>
      </c>
      <c r="J274" s="8">
        <f t="shared" si="18"/>
        <v>7.444383572165726E-3</v>
      </c>
      <c r="K274" s="8">
        <f t="shared" si="15"/>
        <v>1.1755715694724556E-2</v>
      </c>
    </row>
    <row r="275" spans="1:11" x14ac:dyDescent="0.25">
      <c r="A275" t="str">
        <f t="shared" si="16"/>
        <v>22018</v>
      </c>
      <c r="B275" s="1">
        <v>43137</v>
      </c>
      <c r="C275" s="10">
        <v>43253.645833333336</v>
      </c>
      <c r="D275">
        <v>10871.05</v>
      </c>
      <c r="E275">
        <v>11286.15</v>
      </c>
      <c r="F275">
        <v>10797.65</v>
      </c>
      <c r="G275">
        <v>11181.7</v>
      </c>
      <c r="H275">
        <v>0</v>
      </c>
      <c r="I275" s="8">
        <f t="shared" si="17"/>
        <v>-1.7977587297126285E-2</v>
      </c>
      <c r="J275" s="8">
        <f t="shared" si="18"/>
        <v>-1.8141147361775901E-2</v>
      </c>
      <c r="K275" s="8">
        <f t="shared" si="15"/>
        <v>-5.4080498109850828E-3</v>
      </c>
    </row>
    <row r="276" spans="1:11" x14ac:dyDescent="0.25">
      <c r="A276" t="str">
        <f t="shared" si="16"/>
        <v>22018</v>
      </c>
      <c r="B276" s="1">
        <v>43138</v>
      </c>
      <c r="C276" s="10">
        <v>43283.645833333336</v>
      </c>
      <c r="D276">
        <v>11374</v>
      </c>
      <c r="E276">
        <v>11377.25</v>
      </c>
      <c r="F276">
        <v>11186.1</v>
      </c>
      <c r="G276">
        <v>11214.75</v>
      </c>
      <c r="H276">
        <v>0</v>
      </c>
      <c r="I276" s="8">
        <f t="shared" si="17"/>
        <v>2.9557222962517393E-3</v>
      </c>
      <c r="J276" s="8">
        <f t="shared" si="18"/>
        <v>2.9513627374230327E-3</v>
      </c>
      <c r="K276" s="8">
        <f t="shared" si="15"/>
        <v>2.6149926243796973E-3</v>
      </c>
    </row>
    <row r="277" spans="1:11" x14ac:dyDescent="0.25">
      <c r="A277" t="str">
        <f t="shared" si="16"/>
        <v>22018</v>
      </c>
      <c r="B277" s="1">
        <v>43139</v>
      </c>
      <c r="C277" s="10">
        <v>43314.645833333336</v>
      </c>
      <c r="D277">
        <v>11280.95</v>
      </c>
      <c r="E277">
        <v>11384.1</v>
      </c>
      <c r="F277">
        <v>11240.95</v>
      </c>
      <c r="G277">
        <v>11344.2</v>
      </c>
      <c r="H277">
        <v>0</v>
      </c>
      <c r="I277" s="8">
        <f t="shared" si="17"/>
        <v>1.1542834213870146E-2</v>
      </c>
      <c r="J277" s="8">
        <f t="shared" si="18"/>
        <v>1.1476723949875456E-2</v>
      </c>
      <c r="K277" s="8">
        <f t="shared" si="15"/>
        <v>1.8874533525536696E-2</v>
      </c>
    </row>
    <row r="278" spans="1:11" x14ac:dyDescent="0.25">
      <c r="A278" t="str">
        <f t="shared" si="16"/>
        <v>22018</v>
      </c>
      <c r="B278" s="1">
        <v>43140</v>
      </c>
      <c r="C278" s="10">
        <v>43345.645833333336</v>
      </c>
      <c r="D278">
        <v>11188.3</v>
      </c>
      <c r="E278">
        <v>11289.4</v>
      </c>
      <c r="F278">
        <v>11157.1</v>
      </c>
      <c r="G278">
        <v>11234.75</v>
      </c>
      <c r="H278">
        <v>0</v>
      </c>
      <c r="I278" s="8">
        <f t="shared" si="17"/>
        <v>-9.6481021138555834E-3</v>
      </c>
      <c r="J278" s="8">
        <f t="shared" si="18"/>
        <v>-9.6949466014964753E-3</v>
      </c>
      <c r="K278" s="8">
        <f t="shared" si="15"/>
        <v>6.9957962479945124E-3</v>
      </c>
    </row>
    <row r="279" spans="1:11" x14ac:dyDescent="0.25">
      <c r="A279" t="str">
        <f t="shared" si="16"/>
        <v>22018</v>
      </c>
      <c r="B279" s="1">
        <v>43143</v>
      </c>
      <c r="C279" s="10">
        <v>43436.645833333336</v>
      </c>
      <c r="D279">
        <v>11338.9</v>
      </c>
      <c r="E279">
        <v>11404.15</v>
      </c>
      <c r="F279">
        <v>11304.3</v>
      </c>
      <c r="G279">
        <v>11364.75</v>
      </c>
      <c r="H279">
        <v>0</v>
      </c>
      <c r="I279" s="8">
        <f t="shared" si="17"/>
        <v>1.1571241015599032E-2</v>
      </c>
      <c r="J279" s="8">
        <f t="shared" si="18"/>
        <v>1.150480620393968E-2</v>
      </c>
      <c r="K279" s="8">
        <f t="shared" si="15"/>
        <v>2.3519399113800965E-2</v>
      </c>
    </row>
    <row r="280" spans="1:11" x14ac:dyDescent="0.25">
      <c r="A280" t="str">
        <f t="shared" si="16"/>
        <v>22018</v>
      </c>
      <c r="B280" s="1">
        <v>43145</v>
      </c>
      <c r="C280" t="s">
        <v>190</v>
      </c>
      <c r="D280">
        <v>11407.4</v>
      </c>
      <c r="E280">
        <v>11409.35</v>
      </c>
      <c r="F280">
        <v>11298.1</v>
      </c>
      <c r="G280">
        <v>11335.65</v>
      </c>
      <c r="H280">
        <v>0</v>
      </c>
      <c r="I280" s="8">
        <f t="shared" si="17"/>
        <v>-2.5605490661915198E-3</v>
      </c>
      <c r="J280" s="8">
        <f t="shared" si="18"/>
        <v>-2.5638328787248661E-3</v>
      </c>
      <c r="K280" s="8">
        <f t="shared" si="15"/>
        <v>1.6067010863719533E-2</v>
      </c>
    </row>
    <row r="281" spans="1:11" x14ac:dyDescent="0.25">
      <c r="A281" t="str">
        <f t="shared" si="16"/>
        <v>22018</v>
      </c>
      <c r="B281" s="1">
        <v>43146</v>
      </c>
      <c r="C281" t="s">
        <v>191</v>
      </c>
      <c r="D281">
        <v>11377.2</v>
      </c>
      <c r="E281">
        <v>11387.45</v>
      </c>
      <c r="F281">
        <v>11274.1</v>
      </c>
      <c r="G281">
        <v>11306.8</v>
      </c>
      <c r="H281">
        <v>0</v>
      </c>
      <c r="I281" s="8">
        <f t="shared" si="17"/>
        <v>-2.5450679934543308E-3</v>
      </c>
      <c r="J281" s="8">
        <f t="shared" si="18"/>
        <v>-2.5483121846270849E-3</v>
      </c>
      <c r="K281" s="8">
        <f t="shared" si="15"/>
        <v>4.8613147767970766E-3</v>
      </c>
    </row>
    <row r="282" spans="1:11" x14ac:dyDescent="0.25">
      <c r="A282" t="str">
        <f t="shared" si="16"/>
        <v>22018</v>
      </c>
      <c r="B282" s="1">
        <v>43147</v>
      </c>
      <c r="C282" t="s">
        <v>192</v>
      </c>
      <c r="D282">
        <v>11354.4</v>
      </c>
      <c r="E282">
        <v>11357.95</v>
      </c>
      <c r="F282">
        <v>11093.15</v>
      </c>
      <c r="G282">
        <v>11114.55</v>
      </c>
      <c r="H282">
        <v>0</v>
      </c>
      <c r="I282" s="8">
        <f t="shared" si="17"/>
        <v>-1.7003042416952607E-2</v>
      </c>
      <c r="J282" s="8">
        <f t="shared" si="18"/>
        <v>-1.7149253872265319E-2</v>
      </c>
      <c r="K282" s="8">
        <f t="shared" si="15"/>
        <v>-1.5099756755679206E-2</v>
      </c>
    </row>
    <row r="283" spans="1:11" x14ac:dyDescent="0.25">
      <c r="A283" t="str">
        <f t="shared" si="16"/>
        <v>22018</v>
      </c>
      <c r="B283" s="1">
        <v>43150</v>
      </c>
      <c r="C283" t="s">
        <v>193</v>
      </c>
      <c r="D283">
        <v>11148.7</v>
      </c>
      <c r="E283">
        <v>11155.05</v>
      </c>
      <c r="F283">
        <v>10903</v>
      </c>
      <c r="G283">
        <v>10976.65</v>
      </c>
      <c r="H283">
        <v>0</v>
      </c>
      <c r="I283" s="8">
        <f t="shared" si="17"/>
        <v>-1.2407159983984895E-2</v>
      </c>
      <c r="J283" s="8">
        <f t="shared" si="18"/>
        <v>-1.2484771419921385E-2</v>
      </c>
      <c r="K283" s="8">
        <f t="shared" si="15"/>
        <v>-3.0836401522174817E-2</v>
      </c>
    </row>
    <row r="284" spans="1:11" x14ac:dyDescent="0.25">
      <c r="A284" t="str">
        <f t="shared" si="16"/>
        <v>22018</v>
      </c>
      <c r="B284" s="1">
        <v>43151</v>
      </c>
      <c r="C284" t="s">
        <v>194</v>
      </c>
      <c r="D284">
        <v>10999.7</v>
      </c>
      <c r="E284">
        <v>11034.1</v>
      </c>
      <c r="F284">
        <v>10934.1</v>
      </c>
      <c r="G284">
        <v>10962.9</v>
      </c>
      <c r="H284">
        <v>0</v>
      </c>
      <c r="I284" s="8">
        <f t="shared" si="17"/>
        <v>-1.2526590535363313E-3</v>
      </c>
      <c r="J284" s="8">
        <f t="shared" si="18"/>
        <v>-1.2534442867099961E-3</v>
      </c>
      <c r="K284" s="8">
        <f t="shared" si="15"/>
        <v>-3.4492780427229586E-2</v>
      </c>
    </row>
    <row r="285" spans="1:11" x14ac:dyDescent="0.25">
      <c r="A285" t="str">
        <f t="shared" si="16"/>
        <v>22018</v>
      </c>
      <c r="B285" s="1">
        <v>43152</v>
      </c>
      <c r="C285" t="s">
        <v>195</v>
      </c>
      <c r="D285">
        <v>11040.55</v>
      </c>
      <c r="E285">
        <v>11040.55</v>
      </c>
      <c r="F285">
        <v>10901</v>
      </c>
      <c r="G285">
        <v>10942.2</v>
      </c>
      <c r="H285">
        <v>0</v>
      </c>
      <c r="I285" s="8">
        <f t="shared" si="17"/>
        <v>-1.8881865199900094E-3</v>
      </c>
      <c r="J285" s="8">
        <f t="shared" si="18"/>
        <v>-1.8899713912909838E-3</v>
      </c>
      <c r="K285" s="8">
        <f t="shared" si="15"/>
        <v>-3.3950603659478551E-2</v>
      </c>
    </row>
    <row r="286" spans="1:11" x14ac:dyDescent="0.25">
      <c r="A286" t="str">
        <f t="shared" si="16"/>
        <v>22018</v>
      </c>
      <c r="B286" s="1">
        <v>43153</v>
      </c>
      <c r="C286" t="s">
        <v>196</v>
      </c>
      <c r="D286">
        <v>10903.35</v>
      </c>
      <c r="E286">
        <v>10912.75</v>
      </c>
      <c r="F286">
        <v>10823.05</v>
      </c>
      <c r="G286">
        <v>10847.95</v>
      </c>
      <c r="H286">
        <v>0</v>
      </c>
      <c r="I286" s="8">
        <f t="shared" si="17"/>
        <v>-8.61344153826471E-3</v>
      </c>
      <c r="J286" s="8">
        <f t="shared" si="18"/>
        <v>-8.6507516258296155E-3</v>
      </c>
      <c r="K286" s="8">
        <f t="shared" si="15"/>
        <v>-4.6078289123677063E-2</v>
      </c>
    </row>
    <row r="287" spans="1:11" x14ac:dyDescent="0.25">
      <c r="A287" t="str">
        <f t="shared" si="16"/>
        <v>22018</v>
      </c>
      <c r="B287" s="1">
        <v>43154</v>
      </c>
      <c r="C287" t="s">
        <v>197</v>
      </c>
      <c r="D287">
        <v>10889.55</v>
      </c>
      <c r="E287">
        <v>10941.55</v>
      </c>
      <c r="F287">
        <v>10857.15</v>
      </c>
      <c r="G287">
        <v>10927</v>
      </c>
      <c r="H287">
        <v>0</v>
      </c>
      <c r="I287" s="8">
        <f t="shared" si="17"/>
        <v>7.2870911093800839E-3</v>
      </c>
      <c r="J287" s="8">
        <f t="shared" si="18"/>
        <v>7.260668545733445E-3</v>
      </c>
      <c r="K287" s="8">
        <f t="shared" si="15"/>
        <v>-4.1718189551597451E-2</v>
      </c>
    </row>
    <row r="288" spans="1:11" x14ac:dyDescent="0.25">
      <c r="A288" t="str">
        <f t="shared" si="16"/>
        <v>22018</v>
      </c>
      <c r="B288" s="1">
        <v>43157</v>
      </c>
      <c r="C288" t="s">
        <v>198</v>
      </c>
      <c r="D288">
        <v>10993.9</v>
      </c>
      <c r="E288">
        <v>11194.85</v>
      </c>
      <c r="F288">
        <v>10985.9</v>
      </c>
      <c r="G288">
        <v>11171.65</v>
      </c>
      <c r="H288">
        <v>0</v>
      </c>
      <c r="I288" s="8">
        <f t="shared" si="17"/>
        <v>2.2389493914157566E-2</v>
      </c>
      <c r="J288" s="8">
        <f t="shared" si="18"/>
        <v>2.2142528682777891E-2</v>
      </c>
      <c r="K288" s="8">
        <f t="shared" si="15"/>
        <v>-2.0580551269462788E-2</v>
      </c>
    </row>
    <row r="289" spans="1:11" x14ac:dyDescent="0.25">
      <c r="A289" t="str">
        <f t="shared" si="16"/>
        <v>22018</v>
      </c>
      <c r="B289" s="1">
        <v>43158</v>
      </c>
      <c r="C289" t="s">
        <v>199</v>
      </c>
      <c r="D289">
        <v>11254.3</v>
      </c>
      <c r="E289">
        <v>11263</v>
      </c>
      <c r="F289">
        <v>11136.45</v>
      </c>
      <c r="G289">
        <v>11165.25</v>
      </c>
      <c r="H289">
        <v>0</v>
      </c>
      <c r="I289" s="8">
        <f t="shared" si="17"/>
        <v>-5.72878670563437E-4</v>
      </c>
      <c r="J289" s="8">
        <f t="shared" si="18"/>
        <v>-5.7304282824698126E-4</v>
      </c>
      <c r="K289" s="8">
        <f t="shared" si="15"/>
        <v>-2.2987499945309575E-2</v>
      </c>
    </row>
    <row r="290" spans="1:11" x14ac:dyDescent="0.25">
      <c r="A290" t="str">
        <f t="shared" si="16"/>
        <v>22018</v>
      </c>
      <c r="B290" s="1">
        <v>43159</v>
      </c>
      <c r="C290" t="s">
        <v>200</v>
      </c>
      <c r="D290">
        <v>11095.3</v>
      </c>
      <c r="E290">
        <v>11203.3</v>
      </c>
      <c r="F290">
        <v>11030.85</v>
      </c>
      <c r="G290">
        <v>11157.2</v>
      </c>
      <c r="H290">
        <v>0</v>
      </c>
      <c r="I290" s="8">
        <f t="shared" si="17"/>
        <v>-7.2098699088685159E-4</v>
      </c>
      <c r="J290" s="8">
        <f t="shared" si="18"/>
        <v>-7.212470270033162E-4</v>
      </c>
      <c r="K290" s="8">
        <f t="shared" si="15"/>
        <v>-1.2016399684757539E-2</v>
      </c>
    </row>
    <row r="291" spans="1:11" x14ac:dyDescent="0.25">
      <c r="A291" t="str">
        <f t="shared" si="16"/>
        <v>32018</v>
      </c>
      <c r="B291" s="1">
        <v>43160</v>
      </c>
      <c r="C291" s="10">
        <v>43103.645833333336</v>
      </c>
      <c r="D291">
        <v>11168.95</v>
      </c>
      <c r="E291">
        <v>11231.9</v>
      </c>
      <c r="F291">
        <v>11134.5</v>
      </c>
      <c r="G291">
        <v>11146.7</v>
      </c>
      <c r="H291">
        <v>0</v>
      </c>
      <c r="I291" s="8">
        <f t="shared" si="17"/>
        <v>-9.4109633241312718E-4</v>
      </c>
      <c r="J291" s="8">
        <f t="shared" si="18"/>
        <v>-9.4153944159399805E-4</v>
      </c>
      <c r="K291" s="8">
        <f t="shared" si="15"/>
        <v>-3.7092651186071413E-3</v>
      </c>
    </row>
    <row r="292" spans="1:11" x14ac:dyDescent="0.25">
      <c r="A292" t="str">
        <f t="shared" si="16"/>
        <v>32018</v>
      </c>
      <c r="B292" s="1">
        <v>43164</v>
      </c>
      <c r="C292" s="10">
        <v>43223.645833333336</v>
      </c>
      <c r="D292">
        <v>11121.25</v>
      </c>
      <c r="E292">
        <v>11121.25</v>
      </c>
      <c r="F292">
        <v>10955.3</v>
      </c>
      <c r="G292">
        <v>10971.6</v>
      </c>
      <c r="H292">
        <v>0</v>
      </c>
      <c r="I292" s="8">
        <f t="shared" si="17"/>
        <v>-1.5708685081683438E-2</v>
      </c>
      <c r="J292" s="8">
        <f t="shared" si="18"/>
        <v>-1.5833373998297796E-2</v>
      </c>
      <c r="K292" s="8">
        <f t="shared" si="15"/>
        <v>-1.689052965475224E-2</v>
      </c>
    </row>
    <row r="293" spans="1:11" x14ac:dyDescent="0.25">
      <c r="A293" t="str">
        <f t="shared" si="16"/>
        <v>32018</v>
      </c>
      <c r="B293" s="1">
        <v>43165</v>
      </c>
      <c r="C293" s="10">
        <v>43254.645833333336</v>
      </c>
      <c r="D293">
        <v>11040.45</v>
      </c>
      <c r="E293">
        <v>11049.85</v>
      </c>
      <c r="F293">
        <v>10795.45</v>
      </c>
      <c r="G293">
        <v>10821.35</v>
      </c>
      <c r="H293">
        <v>0</v>
      </c>
      <c r="I293" s="8">
        <f t="shared" si="17"/>
        <v>-1.369444748259141E-2</v>
      </c>
      <c r="J293" s="8">
        <f t="shared" si="18"/>
        <v>-1.3789081394510716E-2</v>
      </c>
      <c r="K293" s="8">
        <f t="shared" si="15"/>
        <v>-2.5151906887496467E-2</v>
      </c>
    </row>
    <row r="294" spans="1:11" x14ac:dyDescent="0.25">
      <c r="A294" t="str">
        <f t="shared" si="16"/>
        <v>32018</v>
      </c>
      <c r="B294" s="1">
        <v>43166</v>
      </c>
      <c r="C294" s="10">
        <v>43284.645833333336</v>
      </c>
      <c r="D294">
        <v>10810.95</v>
      </c>
      <c r="E294">
        <v>10860.55</v>
      </c>
      <c r="F294">
        <v>10762.25</v>
      </c>
      <c r="G294">
        <v>10788.55</v>
      </c>
      <c r="H294">
        <v>0</v>
      </c>
      <c r="I294" s="8">
        <f t="shared" si="17"/>
        <v>-3.0310451098986002E-3</v>
      </c>
      <c r="J294" s="8">
        <f t="shared" si="18"/>
        <v>-3.0356480305876957E-3</v>
      </c>
      <c r="K294" s="8">
        <f t="shared" si="15"/>
        <v>-2.1069346460086735E-2</v>
      </c>
    </row>
    <row r="295" spans="1:11" x14ac:dyDescent="0.25">
      <c r="A295" t="str">
        <f t="shared" si="16"/>
        <v>32018</v>
      </c>
      <c r="B295" s="1">
        <v>43167</v>
      </c>
      <c r="C295" s="10">
        <v>43315.645833333336</v>
      </c>
      <c r="D295">
        <v>10840.9</v>
      </c>
      <c r="E295">
        <v>10921.85</v>
      </c>
      <c r="F295">
        <v>10755.35</v>
      </c>
      <c r="G295">
        <v>10894.75</v>
      </c>
      <c r="H295">
        <v>0</v>
      </c>
      <c r="I295" s="8">
        <f t="shared" si="17"/>
        <v>9.8437695519788537E-3</v>
      </c>
      <c r="J295" s="8">
        <f t="shared" si="18"/>
        <v>9.7956352765222136E-3</v>
      </c>
      <c r="K295" s="8">
        <f t="shared" si="15"/>
        <v>-3.0340923756079996E-2</v>
      </c>
    </row>
    <row r="296" spans="1:11" x14ac:dyDescent="0.25">
      <c r="A296" t="str">
        <f t="shared" si="16"/>
        <v>32018</v>
      </c>
      <c r="B296" s="1">
        <v>43168</v>
      </c>
      <c r="C296" s="10">
        <v>43346.645833333336</v>
      </c>
      <c r="D296">
        <v>10934.35</v>
      </c>
      <c r="E296">
        <v>10981.35</v>
      </c>
      <c r="F296">
        <v>10869.05</v>
      </c>
      <c r="G296">
        <v>10888.35</v>
      </c>
      <c r="H296">
        <v>0</v>
      </c>
      <c r="I296" s="8">
        <f t="shared" si="17"/>
        <v>-5.8743890405921206E-4</v>
      </c>
      <c r="J296" s="8">
        <f t="shared" si="18"/>
        <v>-5.8761151389401158E-4</v>
      </c>
      <c r="K296" s="8">
        <f t="shared" si="15"/>
        <v>-4.1277961460401524E-2</v>
      </c>
    </row>
    <row r="297" spans="1:11" x14ac:dyDescent="0.25">
      <c r="A297" t="str">
        <f t="shared" si="16"/>
        <v>32018</v>
      </c>
      <c r="B297" s="1">
        <v>43171</v>
      </c>
      <c r="C297" s="10">
        <v>43437.645833333336</v>
      </c>
      <c r="D297">
        <v>10967.6</v>
      </c>
      <c r="E297">
        <v>11058.05</v>
      </c>
      <c r="F297">
        <v>10907.7</v>
      </c>
      <c r="G297">
        <v>11045.8</v>
      </c>
      <c r="H297">
        <v>0</v>
      </c>
      <c r="I297" s="8">
        <f t="shared" si="17"/>
        <v>1.4460409520266948E-2</v>
      </c>
      <c r="J297" s="8">
        <f t="shared" si="18"/>
        <v>1.4356854899548136E-2</v>
      </c>
      <c r="K297" s="8">
        <f t="shared" si="15"/>
        <v>-3.3156521891357316E-2</v>
      </c>
    </row>
    <row r="298" spans="1:11" x14ac:dyDescent="0.25">
      <c r="A298" t="str">
        <f t="shared" si="16"/>
        <v>32018</v>
      </c>
      <c r="B298" s="1">
        <v>43172</v>
      </c>
      <c r="C298" t="s">
        <v>201</v>
      </c>
      <c r="D298">
        <v>11035.2</v>
      </c>
      <c r="E298">
        <v>11109.85</v>
      </c>
      <c r="F298">
        <v>11006.4</v>
      </c>
      <c r="G298">
        <v>11064.3</v>
      </c>
      <c r="H298">
        <v>0</v>
      </c>
      <c r="I298" s="8">
        <f t="shared" si="17"/>
        <v>1.6748447373662323E-3</v>
      </c>
      <c r="J298" s="8">
        <f t="shared" si="18"/>
        <v>1.6734437489929594E-3</v>
      </c>
      <c r="K298" s="8">
        <f t="shared" si="15"/>
        <v>-2.3545816381463469E-2</v>
      </c>
    </row>
    <row r="299" spans="1:11" x14ac:dyDescent="0.25">
      <c r="A299" t="str">
        <f t="shared" si="16"/>
        <v>32018</v>
      </c>
      <c r="B299" s="1">
        <v>43173</v>
      </c>
      <c r="C299" t="s">
        <v>202</v>
      </c>
      <c r="D299">
        <v>11022.8</v>
      </c>
      <c r="E299">
        <v>11075.35</v>
      </c>
      <c r="F299">
        <v>10993.55</v>
      </c>
      <c r="G299">
        <v>11060.6</v>
      </c>
      <c r="H299">
        <v>0</v>
      </c>
      <c r="I299" s="8">
        <f t="shared" si="17"/>
        <v>-3.3440886454627616E-4</v>
      </c>
      <c r="J299" s="8">
        <f t="shared" si="18"/>
        <v>-3.344647916593155E-4</v>
      </c>
      <c r="K299" s="8">
        <f t="shared" si="15"/>
        <v>-1.8114189078222487E-2</v>
      </c>
    </row>
    <row r="300" spans="1:11" x14ac:dyDescent="0.25">
      <c r="A300" t="str">
        <f t="shared" si="16"/>
        <v>32018</v>
      </c>
      <c r="B300" s="1">
        <v>43174</v>
      </c>
      <c r="C300" t="s">
        <v>203</v>
      </c>
      <c r="D300">
        <v>11060.95</v>
      </c>
      <c r="E300">
        <v>11114.4</v>
      </c>
      <c r="F300">
        <v>11025.5</v>
      </c>
      <c r="G300">
        <v>11051.75</v>
      </c>
      <c r="H300">
        <v>0</v>
      </c>
      <c r="I300" s="8">
        <f t="shared" si="17"/>
        <v>-8.0013742473283855E-4</v>
      </c>
      <c r="J300" s="8">
        <f t="shared" si="18"/>
        <v>-8.0045770553923725E-4</v>
      </c>
      <c r="K300" s="8">
        <f t="shared" si="15"/>
        <v>-2.1640020537880056E-2</v>
      </c>
    </row>
    <row r="301" spans="1:11" x14ac:dyDescent="0.25">
      <c r="A301" t="str">
        <f t="shared" si="16"/>
        <v>32018</v>
      </c>
      <c r="B301" s="1">
        <v>43175</v>
      </c>
      <c r="C301" t="s">
        <v>204</v>
      </c>
      <c r="D301">
        <v>11059.35</v>
      </c>
      <c r="E301">
        <v>11064.4</v>
      </c>
      <c r="F301">
        <v>10837.6</v>
      </c>
      <c r="G301">
        <v>10861.4</v>
      </c>
      <c r="H301">
        <v>0</v>
      </c>
      <c r="I301" s="8">
        <f t="shared" si="17"/>
        <v>-1.722351663763666E-2</v>
      </c>
      <c r="J301" s="8">
        <f t="shared" si="18"/>
        <v>-1.7373566824120515E-2</v>
      </c>
      <c r="K301" s="8">
        <f t="shared" si="15"/>
        <v>-5.1273540407393181E-2</v>
      </c>
    </row>
    <row r="302" spans="1:11" x14ac:dyDescent="0.25">
      <c r="A302" t="str">
        <f t="shared" si="16"/>
        <v>32018</v>
      </c>
      <c r="B302" s="1">
        <v>43178</v>
      </c>
      <c r="C302" t="s">
        <v>205</v>
      </c>
      <c r="D302">
        <v>10887.8</v>
      </c>
      <c r="E302">
        <v>10910.5</v>
      </c>
      <c r="F302">
        <v>10766.1</v>
      </c>
      <c r="G302">
        <v>10787</v>
      </c>
      <c r="H302">
        <v>0</v>
      </c>
      <c r="I302" s="8">
        <f t="shared" si="17"/>
        <v>-6.8499456791941693E-3</v>
      </c>
      <c r="J302" s="8">
        <f t="shared" si="18"/>
        <v>-6.8735142477039596E-3</v>
      </c>
      <c r="K302" s="8">
        <f t="shared" si="15"/>
        <v>-6.9207570939809449E-2</v>
      </c>
    </row>
    <row r="303" spans="1:11" x14ac:dyDescent="0.25">
      <c r="A303" t="str">
        <f t="shared" si="16"/>
        <v>32018</v>
      </c>
      <c r="B303" s="1">
        <v>43179</v>
      </c>
      <c r="C303" t="s">
        <v>206</v>
      </c>
      <c r="D303">
        <v>10760.5</v>
      </c>
      <c r="E303">
        <v>10864.6</v>
      </c>
      <c r="F303">
        <v>10744.35</v>
      </c>
      <c r="G303">
        <v>10848.6</v>
      </c>
      <c r="H303">
        <v>0</v>
      </c>
      <c r="I303" s="8">
        <f t="shared" si="17"/>
        <v>5.7105775470474018E-3</v>
      </c>
      <c r="J303" s="8">
        <f t="shared" si="18"/>
        <v>5.6943340097340882E-3</v>
      </c>
      <c r="K303" s="8">
        <f t="shared" si="15"/>
        <v>-9.5339354063993187E-2</v>
      </c>
    </row>
    <row r="304" spans="1:11" x14ac:dyDescent="0.25">
      <c r="A304" t="str">
        <f t="shared" si="16"/>
        <v>32018</v>
      </c>
      <c r="B304" s="1">
        <v>43180</v>
      </c>
      <c r="C304" t="s">
        <v>207</v>
      </c>
      <c r="D304">
        <v>10890.75</v>
      </c>
      <c r="E304">
        <v>10938.05</v>
      </c>
      <c r="F304">
        <v>10817</v>
      </c>
      <c r="G304">
        <v>10833.6</v>
      </c>
      <c r="H304">
        <v>0</v>
      </c>
      <c r="I304" s="8">
        <f t="shared" si="17"/>
        <v>-1.3826668878933468E-3</v>
      </c>
      <c r="J304" s="8">
        <f t="shared" si="18"/>
        <v>-1.3836236537821535E-3</v>
      </c>
      <c r="K304" s="8">
        <f t="shared" si="15"/>
        <v>-9.373353075513835E-2</v>
      </c>
    </row>
    <row r="305" spans="1:11" x14ac:dyDescent="0.25">
      <c r="A305" t="str">
        <f t="shared" si="16"/>
        <v>32018</v>
      </c>
      <c r="B305" s="1">
        <v>43181</v>
      </c>
      <c r="C305" t="s">
        <v>208</v>
      </c>
      <c r="D305">
        <v>10864.65</v>
      </c>
      <c r="E305">
        <v>10887.8</v>
      </c>
      <c r="F305">
        <v>10727.7</v>
      </c>
      <c r="G305">
        <v>10737.15</v>
      </c>
      <c r="H305">
        <v>0</v>
      </c>
      <c r="I305" s="8">
        <f t="shared" si="17"/>
        <v>-8.9028577758086813E-3</v>
      </c>
      <c r="J305" s="8">
        <f t="shared" si="18"/>
        <v>-8.9427250120419285E-3</v>
      </c>
      <c r="K305" s="8">
        <f t="shared" si="15"/>
        <v>-9.5959787317344336E-2</v>
      </c>
    </row>
    <row r="306" spans="1:11" x14ac:dyDescent="0.25">
      <c r="A306" t="str">
        <f t="shared" si="16"/>
        <v>32018</v>
      </c>
      <c r="B306" s="1">
        <v>43182</v>
      </c>
      <c r="C306" t="s">
        <v>209</v>
      </c>
      <c r="D306">
        <v>10591.6</v>
      </c>
      <c r="E306">
        <v>10658.05</v>
      </c>
      <c r="F306">
        <v>10560.15</v>
      </c>
      <c r="G306">
        <v>10637.7</v>
      </c>
      <c r="H306">
        <v>0</v>
      </c>
      <c r="I306" s="8">
        <f t="shared" si="17"/>
        <v>-9.2622343918077332E-3</v>
      </c>
      <c r="J306" s="8">
        <f t="shared" si="18"/>
        <v>-9.3053956043479078E-3</v>
      </c>
      <c r="K306" s="8">
        <f t="shared" si="15"/>
        <v>-0.10841323588574492</v>
      </c>
    </row>
    <row r="307" spans="1:11" x14ac:dyDescent="0.25">
      <c r="A307" t="str">
        <f t="shared" si="16"/>
        <v>32018</v>
      </c>
      <c r="B307" s="1">
        <v>43185</v>
      </c>
      <c r="C307" t="s">
        <v>210</v>
      </c>
      <c r="D307">
        <v>10630.65</v>
      </c>
      <c r="E307">
        <v>10815.6</v>
      </c>
      <c r="F307">
        <v>10569.25</v>
      </c>
      <c r="G307">
        <v>10801</v>
      </c>
      <c r="H307">
        <v>0</v>
      </c>
      <c r="I307" s="8">
        <f t="shared" si="17"/>
        <v>1.5351062729725307E-2</v>
      </c>
      <c r="J307" s="8">
        <f t="shared" si="18"/>
        <v>1.5234427303483004E-2</v>
      </c>
      <c r="K307" s="8">
        <f t="shared" si="15"/>
        <v>-9.6842166876408453E-2</v>
      </c>
    </row>
    <row r="308" spans="1:11" x14ac:dyDescent="0.25">
      <c r="A308" t="str">
        <f t="shared" si="16"/>
        <v>32018</v>
      </c>
      <c r="B308" s="1">
        <v>43186</v>
      </c>
      <c r="C308" t="s">
        <v>211</v>
      </c>
      <c r="D308">
        <v>10852.85</v>
      </c>
      <c r="E308">
        <v>10874.2</v>
      </c>
      <c r="F308">
        <v>10801</v>
      </c>
      <c r="G308">
        <v>10843.75</v>
      </c>
      <c r="H308">
        <v>0</v>
      </c>
      <c r="I308" s="8">
        <f t="shared" si="17"/>
        <v>3.9579668549207803E-3</v>
      </c>
      <c r="J308" s="8">
        <f t="shared" si="18"/>
        <v>3.9501547107954928E-3</v>
      </c>
      <c r="K308" s="8">
        <f t="shared" si="15"/>
        <v>-8.9181470748813552E-2</v>
      </c>
    </row>
    <row r="309" spans="1:11" x14ac:dyDescent="0.25">
      <c r="A309" t="str">
        <f t="shared" si="16"/>
        <v>32018</v>
      </c>
      <c r="B309" s="1">
        <v>43187</v>
      </c>
      <c r="C309" t="s">
        <v>212</v>
      </c>
      <c r="D309">
        <v>10803.55</v>
      </c>
      <c r="E309">
        <v>10911.7</v>
      </c>
      <c r="F309">
        <v>10787.05</v>
      </c>
      <c r="G309">
        <v>10821.35</v>
      </c>
      <c r="H309">
        <v>0</v>
      </c>
      <c r="I309" s="8">
        <f t="shared" si="17"/>
        <v>-2.0657060518731729E-3</v>
      </c>
      <c r="J309" s="8">
        <f t="shared" si="18"/>
        <v>-2.0678425653992073E-3</v>
      </c>
      <c r="K309" s="8">
        <f t="shared" si="15"/>
        <v>-8.7395057199360693E-2</v>
      </c>
    </row>
    <row r="310" spans="1:11" x14ac:dyDescent="0.25">
      <c r="A310" t="str">
        <f t="shared" si="16"/>
        <v>42018</v>
      </c>
      <c r="B310" s="1">
        <v>43192</v>
      </c>
      <c r="C310" s="10">
        <v>43135.645833333336</v>
      </c>
      <c r="D310">
        <v>10939.9</v>
      </c>
      <c r="E310">
        <v>11071.3</v>
      </c>
      <c r="F310">
        <v>10905.05</v>
      </c>
      <c r="G310">
        <v>11058.45</v>
      </c>
      <c r="H310">
        <v>0</v>
      </c>
      <c r="I310" s="8">
        <f t="shared" si="17"/>
        <v>2.1910390108442979E-2</v>
      </c>
      <c r="J310" s="8">
        <f t="shared" si="18"/>
        <v>2.1673807025812925E-2</v>
      </c>
      <c r="K310" s="8">
        <f t="shared" si="15"/>
        <v>-7.9206807830337178E-2</v>
      </c>
    </row>
    <row r="311" spans="1:11" x14ac:dyDescent="0.25">
      <c r="A311" t="str">
        <f t="shared" si="16"/>
        <v>42018</v>
      </c>
      <c r="B311" s="1">
        <v>43193</v>
      </c>
      <c r="C311" s="10">
        <v>43163.645833333336</v>
      </c>
      <c r="D311">
        <v>11071.25</v>
      </c>
      <c r="E311">
        <v>11167.15</v>
      </c>
      <c r="F311">
        <v>11052.3</v>
      </c>
      <c r="G311">
        <v>11153.45</v>
      </c>
      <c r="H311">
        <v>0</v>
      </c>
      <c r="I311" s="8">
        <f t="shared" si="17"/>
        <v>8.5907156970461696E-3</v>
      </c>
      <c r="J311" s="8">
        <f t="shared" si="18"/>
        <v>8.5540254793598329E-3</v>
      </c>
      <c r="K311" s="8">
        <f t="shared" si="15"/>
        <v>-6.1986459778815006E-2</v>
      </c>
    </row>
    <row r="312" spans="1:11" x14ac:dyDescent="0.25">
      <c r="A312" t="str">
        <f t="shared" si="16"/>
        <v>42018</v>
      </c>
      <c r="B312" s="1">
        <v>43194</v>
      </c>
      <c r="C312" s="10">
        <v>43194.645833333336</v>
      </c>
      <c r="D312">
        <v>11230.55</v>
      </c>
      <c r="E312">
        <v>11372.5</v>
      </c>
      <c r="F312">
        <v>11164.9</v>
      </c>
      <c r="G312">
        <v>11198.05</v>
      </c>
      <c r="H312">
        <v>0</v>
      </c>
      <c r="I312" s="8">
        <f t="shared" si="17"/>
        <v>3.9987627146755855E-3</v>
      </c>
      <c r="J312" s="8">
        <f t="shared" si="18"/>
        <v>3.9907889128772906E-3</v>
      </c>
      <c r="K312" s="8">
        <f t="shared" si="15"/>
        <v>-6.112943997518272E-2</v>
      </c>
    </row>
    <row r="313" spans="1:11" x14ac:dyDescent="0.25">
      <c r="A313" t="str">
        <f t="shared" si="16"/>
        <v>42018</v>
      </c>
      <c r="B313" s="1">
        <v>43195</v>
      </c>
      <c r="C313" s="10">
        <v>43224.645833333336</v>
      </c>
      <c r="D313">
        <v>11332.7</v>
      </c>
      <c r="E313">
        <v>11435.3</v>
      </c>
      <c r="F313">
        <v>11326.1</v>
      </c>
      <c r="G313">
        <v>11406.15</v>
      </c>
      <c r="H313">
        <v>0</v>
      </c>
      <c r="I313" s="8">
        <f t="shared" si="17"/>
        <v>1.8583592679082495E-2</v>
      </c>
      <c r="J313" s="8">
        <f t="shared" si="18"/>
        <v>1.8413027621262176E-2</v>
      </c>
      <c r="K313" s="8">
        <f t="shared" si="15"/>
        <v>-3.8818384063100342E-2</v>
      </c>
    </row>
    <row r="314" spans="1:11" x14ac:dyDescent="0.25">
      <c r="A314" t="str">
        <f t="shared" si="16"/>
        <v>42018</v>
      </c>
      <c r="B314" s="1">
        <v>43196</v>
      </c>
      <c r="C314" s="10">
        <v>43255.645833333336</v>
      </c>
      <c r="D314">
        <v>11428.05</v>
      </c>
      <c r="E314">
        <v>11462.2</v>
      </c>
      <c r="F314">
        <v>11320.7</v>
      </c>
      <c r="G314">
        <v>11444.15</v>
      </c>
      <c r="H314">
        <v>0</v>
      </c>
      <c r="I314" s="8">
        <f t="shared" si="17"/>
        <v>3.3315360573025199E-3</v>
      </c>
      <c r="J314" s="8">
        <f t="shared" si="18"/>
        <v>3.3259987860561808E-3</v>
      </c>
      <c r="K314" s="8">
        <f t="shared" si="15"/>
        <v>-3.3698520254153208E-2</v>
      </c>
    </row>
    <row r="315" spans="1:11" x14ac:dyDescent="0.25">
      <c r="A315" t="str">
        <f t="shared" si="16"/>
        <v>42018</v>
      </c>
      <c r="B315" s="1">
        <v>43199</v>
      </c>
      <c r="C315" s="10">
        <v>43347.645833333336</v>
      </c>
      <c r="D315">
        <v>11446.15</v>
      </c>
      <c r="E315">
        <v>11508.75</v>
      </c>
      <c r="F315">
        <v>11435.45</v>
      </c>
      <c r="G315">
        <v>11472.35</v>
      </c>
      <c r="H315">
        <v>0</v>
      </c>
      <c r="I315" s="8">
        <f t="shared" si="17"/>
        <v>2.464141067707093E-3</v>
      </c>
      <c r="J315" s="8">
        <f t="shared" si="18"/>
        <v>2.4611100503214704E-3</v>
      </c>
      <c r="K315" s="8">
        <f t="shared" si="15"/>
        <v>-3.8329030311158752E-2</v>
      </c>
    </row>
    <row r="316" spans="1:11" x14ac:dyDescent="0.25">
      <c r="A316" t="str">
        <f t="shared" si="16"/>
        <v>42018</v>
      </c>
      <c r="B316" s="1">
        <v>43200</v>
      </c>
      <c r="C316" s="10">
        <v>43377.645833333336</v>
      </c>
      <c r="D316">
        <v>11485.7</v>
      </c>
      <c r="E316">
        <v>11510.7</v>
      </c>
      <c r="F316">
        <v>11374.25</v>
      </c>
      <c r="G316">
        <v>11386.65</v>
      </c>
      <c r="H316">
        <v>0</v>
      </c>
      <c r="I316" s="8">
        <f t="shared" si="17"/>
        <v>-7.4701347152066333E-3</v>
      </c>
      <c r="J316" s="8">
        <f t="shared" si="18"/>
        <v>-7.4981759064694274E-3</v>
      </c>
      <c r="K316" s="8">
        <f t="shared" si="15"/>
        <v>-4.9091820117750262E-2</v>
      </c>
    </row>
    <row r="317" spans="1:11" x14ac:dyDescent="0.25">
      <c r="A317" t="str">
        <f t="shared" si="16"/>
        <v>42018</v>
      </c>
      <c r="B317" s="1">
        <v>43201</v>
      </c>
      <c r="C317" s="10">
        <v>43408.645833333336</v>
      </c>
      <c r="D317">
        <v>11425.95</v>
      </c>
      <c r="E317">
        <v>11461.35</v>
      </c>
      <c r="F317">
        <v>11322.6</v>
      </c>
      <c r="G317">
        <v>11453.6</v>
      </c>
      <c r="H317">
        <v>0</v>
      </c>
      <c r="I317" s="8">
        <f t="shared" si="17"/>
        <v>5.8796924468567102E-3</v>
      </c>
      <c r="J317" s="8">
        <f t="shared" si="18"/>
        <v>5.8624745130267837E-3</v>
      </c>
      <c r="K317" s="8">
        <f t="shared" si="15"/>
        <v>-4.0917750005233455E-2</v>
      </c>
    </row>
    <row r="318" spans="1:11" x14ac:dyDescent="0.25">
      <c r="A318" t="str">
        <f t="shared" si="16"/>
        <v>42018</v>
      </c>
      <c r="B318" s="1">
        <v>43202</v>
      </c>
      <c r="C318" s="10">
        <v>43438.645833333336</v>
      </c>
      <c r="D318">
        <v>11466</v>
      </c>
      <c r="E318">
        <v>11487.65</v>
      </c>
      <c r="F318">
        <v>11429.9</v>
      </c>
      <c r="G318">
        <v>11459.55</v>
      </c>
      <c r="H318">
        <v>0</v>
      </c>
      <c r="I318" s="8">
        <f t="shared" si="17"/>
        <v>5.1948732276296816E-4</v>
      </c>
      <c r="J318" s="8">
        <f t="shared" si="18"/>
        <v>5.1935243593635499E-4</v>
      </c>
      <c r="K318" s="8">
        <f t="shared" si="15"/>
        <v>-3.3516207793741315E-2</v>
      </c>
    </row>
    <row r="319" spans="1:11" x14ac:dyDescent="0.25">
      <c r="A319" t="str">
        <f t="shared" si="16"/>
        <v>42018</v>
      </c>
      <c r="B319" s="1">
        <v>43203</v>
      </c>
      <c r="C319" t="s">
        <v>213</v>
      </c>
      <c r="D319">
        <v>11506.7</v>
      </c>
      <c r="E319">
        <v>11536.45</v>
      </c>
      <c r="F319">
        <v>11431.05</v>
      </c>
      <c r="G319">
        <v>11465.3</v>
      </c>
      <c r="H319">
        <v>0</v>
      </c>
      <c r="I319" s="8">
        <f t="shared" si="17"/>
        <v>5.0176490350839487E-4</v>
      </c>
      <c r="J319" s="8">
        <f t="shared" si="18"/>
        <v>5.0163906159280986E-4</v>
      </c>
      <c r="K319" s="8">
        <f t="shared" si="15"/>
        <v>-3.4236738475793449E-2</v>
      </c>
    </row>
    <row r="320" spans="1:11" x14ac:dyDescent="0.25">
      <c r="A320" t="str">
        <f t="shared" si="16"/>
        <v>42018</v>
      </c>
      <c r="B320" s="1">
        <v>43206</v>
      </c>
      <c r="C320" t="s">
        <v>214</v>
      </c>
      <c r="D320">
        <v>11399.05</v>
      </c>
      <c r="E320">
        <v>11515.95</v>
      </c>
      <c r="F320">
        <v>11384.25</v>
      </c>
      <c r="G320">
        <v>11504.95</v>
      </c>
      <c r="H320">
        <v>0</v>
      </c>
      <c r="I320" s="8">
        <f t="shared" si="17"/>
        <v>3.4582610136675296E-3</v>
      </c>
      <c r="J320" s="8">
        <f t="shared" si="18"/>
        <v>3.4522949798263688E-3</v>
      </c>
      <c r="K320" s="8">
        <f t="shared" ref="K320:K383" si="19">+G320/G259-1</f>
        <v>-3.3879446441167471E-2</v>
      </c>
    </row>
    <row r="321" spans="1:11" x14ac:dyDescent="0.25">
      <c r="A321" t="str">
        <f t="shared" si="16"/>
        <v>42018</v>
      </c>
      <c r="B321" s="1">
        <v>43207</v>
      </c>
      <c r="C321" t="s">
        <v>215</v>
      </c>
      <c r="D321">
        <v>11567.5</v>
      </c>
      <c r="E321">
        <v>11568.65</v>
      </c>
      <c r="F321">
        <v>11456.45</v>
      </c>
      <c r="G321">
        <v>11472.35</v>
      </c>
      <c r="H321">
        <v>0</v>
      </c>
      <c r="I321" s="8">
        <f t="shared" si="17"/>
        <v>-2.8335629446456512E-3</v>
      </c>
      <c r="J321" s="8">
        <f t="shared" si="18"/>
        <v>-2.8375850839129743E-3</v>
      </c>
      <c r="K321" s="8">
        <f t="shared" si="19"/>
        <v>-2.7280589447265968E-2</v>
      </c>
    </row>
    <row r="322" spans="1:11" x14ac:dyDescent="0.25">
      <c r="A322" t="str">
        <f t="shared" si="16"/>
        <v>42018</v>
      </c>
      <c r="B322" s="1">
        <v>43208</v>
      </c>
      <c r="C322" t="s">
        <v>216</v>
      </c>
      <c r="D322">
        <v>11505.65</v>
      </c>
      <c r="E322">
        <v>11521.35</v>
      </c>
      <c r="F322">
        <v>11394.1</v>
      </c>
      <c r="G322">
        <v>11411.8</v>
      </c>
      <c r="H322">
        <v>0</v>
      </c>
      <c r="I322" s="8">
        <f t="shared" si="17"/>
        <v>-5.2779073162866341E-3</v>
      </c>
      <c r="J322" s="8">
        <f t="shared" si="18"/>
        <v>-5.2918846715889001E-3</v>
      </c>
      <c r="K322" s="8">
        <f t="shared" si="19"/>
        <v>-2.013094343672861E-2</v>
      </c>
    </row>
    <row r="323" spans="1:11" x14ac:dyDescent="0.25">
      <c r="A323" t="str">
        <f t="shared" ref="A323:A386" si="20">+MONTH(B323)&amp;YEAR(B323)</f>
        <v>42018</v>
      </c>
      <c r="B323" s="1">
        <v>43209</v>
      </c>
      <c r="C323" t="s">
        <v>217</v>
      </c>
      <c r="D323">
        <v>11460.95</v>
      </c>
      <c r="E323">
        <v>11468.3</v>
      </c>
      <c r="F323">
        <v>11411.55</v>
      </c>
      <c r="G323">
        <v>11431.65</v>
      </c>
      <c r="H323">
        <v>0</v>
      </c>
      <c r="I323" s="8">
        <f t="shared" si="17"/>
        <v>1.7394276100177741E-3</v>
      </c>
      <c r="J323" s="8">
        <f t="shared" si="18"/>
        <v>1.7379165578027336E-3</v>
      </c>
      <c r="K323" s="8">
        <f t="shared" si="19"/>
        <v>-2.231753416690907E-2</v>
      </c>
    </row>
    <row r="324" spans="1:11" x14ac:dyDescent="0.25">
      <c r="A324" t="str">
        <f t="shared" si="20"/>
        <v>42018</v>
      </c>
      <c r="B324" s="1">
        <v>43210</v>
      </c>
      <c r="C324" t="s">
        <v>218</v>
      </c>
      <c r="D324">
        <v>11406.15</v>
      </c>
      <c r="E324">
        <v>11449.95</v>
      </c>
      <c r="F324">
        <v>11398.05</v>
      </c>
      <c r="G324">
        <v>11440.1</v>
      </c>
      <c r="H324">
        <v>0</v>
      </c>
      <c r="I324" s="8">
        <f t="shared" ref="I324:I387" si="21">+G324/G323-1</f>
        <v>7.3917588449612381E-4</v>
      </c>
      <c r="J324" s="8">
        <f t="shared" ref="J324:J387" si="22">+LN(1+I324)</f>
        <v>7.3890282855130802E-4</v>
      </c>
      <c r="K324" s="8">
        <f t="shared" si="19"/>
        <v>-1.9036022671731545E-2</v>
      </c>
    </row>
    <row r="325" spans="1:11" x14ac:dyDescent="0.25">
      <c r="A325" t="str">
        <f t="shared" si="20"/>
        <v>42018</v>
      </c>
      <c r="B325" s="1">
        <v>43213</v>
      </c>
      <c r="C325" t="s">
        <v>219</v>
      </c>
      <c r="D325">
        <v>11461.45</v>
      </c>
      <c r="E325">
        <v>11530.25</v>
      </c>
      <c r="F325">
        <v>11426.8</v>
      </c>
      <c r="G325">
        <v>11497.2</v>
      </c>
      <c r="H325">
        <v>0</v>
      </c>
      <c r="I325" s="8">
        <f t="shared" si="21"/>
        <v>4.9912151117561532E-3</v>
      </c>
      <c r="J325" s="8">
        <f t="shared" si="22"/>
        <v>4.9788002905025311E-3</v>
      </c>
      <c r="K325" s="8">
        <f t="shared" si="19"/>
        <v>-1.5444164229654223E-2</v>
      </c>
    </row>
    <row r="326" spans="1:11" x14ac:dyDescent="0.25">
      <c r="A326" t="str">
        <f t="shared" si="20"/>
        <v>42018</v>
      </c>
      <c r="B326" s="1">
        <v>43214</v>
      </c>
      <c r="C326" t="s">
        <v>220</v>
      </c>
      <c r="D326">
        <v>11513.85</v>
      </c>
      <c r="E326">
        <v>11563</v>
      </c>
      <c r="F326">
        <v>11479.15</v>
      </c>
      <c r="G326">
        <v>11522.6</v>
      </c>
      <c r="H326">
        <v>0</v>
      </c>
      <c r="I326" s="8">
        <f t="shared" si="21"/>
        <v>2.2092335525170093E-3</v>
      </c>
      <c r="J326" s="8">
        <f t="shared" si="22"/>
        <v>2.206796784338951E-3</v>
      </c>
      <c r="K326" s="8">
        <f t="shared" si="19"/>
        <v>-1.4391596847106891E-2</v>
      </c>
    </row>
    <row r="327" spans="1:11" x14ac:dyDescent="0.25">
      <c r="A327" t="str">
        <f t="shared" si="20"/>
        <v>42018</v>
      </c>
      <c r="B327" s="1">
        <v>43215</v>
      </c>
      <c r="C327" t="s">
        <v>221</v>
      </c>
      <c r="D327">
        <v>11529.75</v>
      </c>
      <c r="E327">
        <v>11551.65</v>
      </c>
      <c r="F327">
        <v>11472.2</v>
      </c>
      <c r="G327">
        <v>11503.5</v>
      </c>
      <c r="H327">
        <v>0</v>
      </c>
      <c r="I327" s="8">
        <f t="shared" si="21"/>
        <v>-1.6576119972923076E-3</v>
      </c>
      <c r="J327" s="8">
        <f t="shared" si="22"/>
        <v>-1.6589873561434455E-3</v>
      </c>
      <c r="K327" s="8">
        <f t="shared" si="19"/>
        <v>-1.8958194750038349E-2</v>
      </c>
    </row>
    <row r="328" spans="1:11" x14ac:dyDescent="0.25">
      <c r="A328" t="str">
        <f t="shared" si="20"/>
        <v>42018</v>
      </c>
      <c r="B328" s="1">
        <v>43216</v>
      </c>
      <c r="C328" t="s">
        <v>222</v>
      </c>
      <c r="D328">
        <v>11535.9</v>
      </c>
      <c r="E328">
        <v>11560.05</v>
      </c>
      <c r="F328">
        <v>11494.75</v>
      </c>
      <c r="G328">
        <v>11534.8</v>
      </c>
      <c r="H328">
        <v>0</v>
      </c>
      <c r="I328" s="8">
        <f t="shared" si="21"/>
        <v>2.7209110270787207E-3</v>
      </c>
      <c r="J328" s="8">
        <f t="shared" si="22"/>
        <v>2.7172160496224847E-3</v>
      </c>
      <c r="K328" s="8">
        <f t="shared" si="19"/>
        <v>-1.0283449095425445E-2</v>
      </c>
    </row>
    <row r="329" spans="1:11" x14ac:dyDescent="0.25">
      <c r="A329" t="str">
        <f t="shared" si="20"/>
        <v>42018</v>
      </c>
      <c r="B329" s="1">
        <v>43217</v>
      </c>
      <c r="C329" t="s">
        <v>223</v>
      </c>
      <c r="D329">
        <v>11588.3</v>
      </c>
      <c r="E329">
        <v>11699</v>
      </c>
      <c r="F329">
        <v>11557.35</v>
      </c>
      <c r="G329">
        <v>11581.8</v>
      </c>
      <c r="H329">
        <v>0</v>
      </c>
      <c r="I329" s="8">
        <f t="shared" si="21"/>
        <v>4.0746263480944123E-3</v>
      </c>
      <c r="J329" s="8">
        <f t="shared" si="22"/>
        <v>4.0663475392383793E-3</v>
      </c>
      <c r="K329" s="8">
        <f t="shared" si="19"/>
        <v>6.4347939432121137E-3</v>
      </c>
    </row>
    <row r="330" spans="1:11" x14ac:dyDescent="0.25">
      <c r="A330" t="str">
        <f t="shared" si="20"/>
        <v>42018</v>
      </c>
      <c r="B330" s="1">
        <v>43220</v>
      </c>
      <c r="C330" t="s">
        <v>224</v>
      </c>
      <c r="D330">
        <v>11624.55</v>
      </c>
      <c r="E330">
        <v>11675.15</v>
      </c>
      <c r="F330">
        <v>11602</v>
      </c>
      <c r="G330">
        <v>11625.75</v>
      </c>
      <c r="H330">
        <v>0</v>
      </c>
      <c r="I330" s="8">
        <f t="shared" si="21"/>
        <v>3.7947469305290582E-3</v>
      </c>
      <c r="J330" s="8">
        <f t="shared" si="22"/>
        <v>3.7875650416289647E-3</v>
      </c>
      <c r="K330" s="8">
        <f t="shared" si="19"/>
        <v>-4.508323057953123E-3</v>
      </c>
    </row>
    <row r="331" spans="1:11" x14ac:dyDescent="0.25">
      <c r="A331" t="str">
        <f t="shared" si="20"/>
        <v>52018</v>
      </c>
      <c r="B331" s="1">
        <v>43222</v>
      </c>
      <c r="C331" s="10">
        <v>43136.645833333336</v>
      </c>
      <c r="D331">
        <v>11740.5</v>
      </c>
      <c r="E331">
        <v>11760.85</v>
      </c>
      <c r="F331">
        <v>11493.55</v>
      </c>
      <c r="G331">
        <v>11508.2</v>
      </c>
      <c r="H331">
        <v>0</v>
      </c>
      <c r="I331" s="8">
        <f t="shared" si="21"/>
        <v>-1.0111175623078061E-2</v>
      </c>
      <c r="J331" s="8">
        <f t="shared" si="22"/>
        <v>-1.0162640768632115E-2</v>
      </c>
      <c r="K331" s="8">
        <f t="shared" si="19"/>
        <v>-1.0294206176523657E-2</v>
      </c>
    </row>
    <row r="332" spans="1:11" x14ac:dyDescent="0.25">
      <c r="A332" t="str">
        <f t="shared" si="20"/>
        <v>52018</v>
      </c>
      <c r="B332" s="1">
        <v>43223</v>
      </c>
      <c r="C332" s="10">
        <v>43164.645833333336</v>
      </c>
      <c r="D332">
        <v>11526.65</v>
      </c>
      <c r="E332">
        <v>11528.6</v>
      </c>
      <c r="F332">
        <v>11411.05</v>
      </c>
      <c r="G332">
        <v>11451.65</v>
      </c>
      <c r="H332">
        <v>0</v>
      </c>
      <c r="I332" s="8">
        <f t="shared" si="21"/>
        <v>-4.913887488921076E-3</v>
      </c>
      <c r="J332" s="8">
        <f t="shared" si="22"/>
        <v>-4.9260003311020154E-3</v>
      </c>
      <c r="K332" s="8">
        <f t="shared" si="19"/>
        <v>-1.3800497765223629E-2</v>
      </c>
    </row>
    <row r="333" spans="1:11" x14ac:dyDescent="0.25">
      <c r="A333" t="str">
        <f t="shared" si="20"/>
        <v>52018</v>
      </c>
      <c r="B333" s="1">
        <v>43224</v>
      </c>
      <c r="C333" s="10">
        <v>43195.645833333336</v>
      </c>
      <c r="D333">
        <v>11472.05</v>
      </c>
      <c r="E333">
        <v>11473.5</v>
      </c>
      <c r="F333">
        <v>11314.85</v>
      </c>
      <c r="G333">
        <v>11323.7</v>
      </c>
      <c r="H333">
        <v>0</v>
      </c>
      <c r="I333" s="8">
        <f t="shared" si="21"/>
        <v>-1.117306239712168E-2</v>
      </c>
      <c r="J333" s="8">
        <f t="shared" si="22"/>
        <v>-1.1235949928429396E-2</v>
      </c>
      <c r="K333" s="8">
        <f t="shared" si="19"/>
        <v>-3.1632687966066886E-2</v>
      </c>
    </row>
    <row r="334" spans="1:11" x14ac:dyDescent="0.25">
      <c r="A334" t="str">
        <f t="shared" si="20"/>
        <v>52018</v>
      </c>
      <c r="B334" s="1">
        <v>43227</v>
      </c>
      <c r="C334" s="10">
        <v>43286.645833333336</v>
      </c>
      <c r="D334">
        <v>11382.55</v>
      </c>
      <c r="E334">
        <v>11504.2</v>
      </c>
      <c r="F334">
        <v>11366.05</v>
      </c>
      <c r="G334">
        <v>11489.6</v>
      </c>
      <c r="H334">
        <v>0</v>
      </c>
      <c r="I334" s="8">
        <f t="shared" si="21"/>
        <v>1.4650688379239885E-2</v>
      </c>
      <c r="J334" s="8">
        <f t="shared" si="22"/>
        <v>1.4544403880703143E-2</v>
      </c>
      <c r="K334" s="8">
        <f t="shared" si="19"/>
        <v>1.6603329513933396E-2</v>
      </c>
    </row>
    <row r="335" spans="1:11" x14ac:dyDescent="0.25">
      <c r="A335" t="str">
        <f t="shared" si="20"/>
        <v>52018</v>
      </c>
      <c r="B335" s="1">
        <v>43228</v>
      </c>
      <c r="C335" s="10">
        <v>43317.645833333336</v>
      </c>
      <c r="D335">
        <v>11516.3</v>
      </c>
      <c r="E335">
        <v>11517.5</v>
      </c>
      <c r="F335">
        <v>11404.8</v>
      </c>
      <c r="G335">
        <v>11437.2</v>
      </c>
      <c r="H335">
        <v>0</v>
      </c>
      <c r="I335" s="8">
        <f t="shared" si="21"/>
        <v>-4.5606461495613093E-3</v>
      </c>
      <c r="J335" s="8">
        <f t="shared" si="22"/>
        <v>-4.5710776244725837E-3</v>
      </c>
      <c r="K335" s="8">
        <f t="shared" si="19"/>
        <v>4.4614627977237475E-3</v>
      </c>
    </row>
    <row r="336" spans="1:11" x14ac:dyDescent="0.25">
      <c r="A336" t="str">
        <f t="shared" si="20"/>
        <v>52018</v>
      </c>
      <c r="B336" s="1">
        <v>43229</v>
      </c>
      <c r="C336" s="10">
        <v>43348.645833333336</v>
      </c>
      <c r="D336">
        <v>11431.35</v>
      </c>
      <c r="E336">
        <v>11483.75</v>
      </c>
      <c r="F336">
        <v>11402.7</v>
      </c>
      <c r="G336">
        <v>11419.75</v>
      </c>
      <c r="H336">
        <v>0</v>
      </c>
      <c r="I336" s="8">
        <f t="shared" si="21"/>
        <v>-1.5257230790753917E-3</v>
      </c>
      <c r="J336" s="8">
        <f t="shared" si="22"/>
        <v>-1.5268881797638747E-3</v>
      </c>
      <c r="K336" s="8">
        <f t="shared" si="19"/>
        <v>2.1289249398570798E-2</v>
      </c>
    </row>
    <row r="337" spans="1:11" x14ac:dyDescent="0.25">
      <c r="A337" t="str">
        <f t="shared" si="20"/>
        <v>52018</v>
      </c>
      <c r="B337" s="1">
        <v>43230</v>
      </c>
      <c r="C337" s="10">
        <v>43378.645833333336</v>
      </c>
      <c r="D337">
        <v>11466.2</v>
      </c>
      <c r="E337">
        <v>11488.45</v>
      </c>
      <c r="F337">
        <v>11330.1</v>
      </c>
      <c r="G337">
        <v>11346.4</v>
      </c>
      <c r="H337">
        <v>0</v>
      </c>
      <c r="I337" s="8">
        <f t="shared" si="21"/>
        <v>-6.423082817049397E-3</v>
      </c>
      <c r="J337" s="8">
        <f t="shared" si="22"/>
        <v>-6.4437995714188749E-3</v>
      </c>
      <c r="K337" s="8">
        <f t="shared" si="19"/>
        <v>1.173900443612208E-2</v>
      </c>
    </row>
    <row r="338" spans="1:11" x14ac:dyDescent="0.25">
      <c r="A338" t="str">
        <f t="shared" si="20"/>
        <v>52018</v>
      </c>
      <c r="B338" s="1">
        <v>43231</v>
      </c>
      <c r="C338" s="10">
        <v>43409.645833333336</v>
      </c>
      <c r="D338">
        <v>11385.3</v>
      </c>
      <c r="E338">
        <v>11395.1</v>
      </c>
      <c r="F338">
        <v>11307.95</v>
      </c>
      <c r="G338">
        <v>11373.2</v>
      </c>
      <c r="H338">
        <v>0</v>
      </c>
      <c r="I338" s="8">
        <f t="shared" si="21"/>
        <v>2.361982655291639E-3</v>
      </c>
      <c r="J338" s="8">
        <f t="shared" si="22"/>
        <v>2.359197558963703E-3</v>
      </c>
      <c r="K338" s="8">
        <f t="shared" si="19"/>
        <v>2.5563724193862214E-3</v>
      </c>
    </row>
    <row r="339" spans="1:11" x14ac:dyDescent="0.25">
      <c r="A339" t="str">
        <f t="shared" si="20"/>
        <v>52018</v>
      </c>
      <c r="B339" s="1">
        <v>43234</v>
      </c>
      <c r="C339" t="s">
        <v>225</v>
      </c>
      <c r="D339">
        <v>11402.6</v>
      </c>
      <c r="E339">
        <v>11404.35</v>
      </c>
      <c r="F339">
        <v>11258.6</v>
      </c>
      <c r="G339">
        <v>11273.75</v>
      </c>
      <c r="H339">
        <v>0</v>
      </c>
      <c r="I339" s="8">
        <f t="shared" si="21"/>
        <v>-8.744240846903284E-3</v>
      </c>
      <c r="J339" s="8">
        <f t="shared" si="22"/>
        <v>-8.7826960594435295E-3</v>
      </c>
      <c r="K339" s="8">
        <f t="shared" si="19"/>
        <v>3.471372304679754E-3</v>
      </c>
    </row>
    <row r="340" spans="1:11" x14ac:dyDescent="0.25">
      <c r="A340" t="str">
        <f t="shared" si="20"/>
        <v>52018</v>
      </c>
      <c r="B340" s="1">
        <v>43235</v>
      </c>
      <c r="C340" t="s">
        <v>226</v>
      </c>
      <c r="D340">
        <v>11275.65</v>
      </c>
      <c r="E340">
        <v>11346.8</v>
      </c>
      <c r="F340">
        <v>11131.2</v>
      </c>
      <c r="G340">
        <v>11186.8</v>
      </c>
      <c r="H340">
        <v>0</v>
      </c>
      <c r="I340" s="8">
        <f t="shared" si="21"/>
        <v>-7.7126067191485292E-3</v>
      </c>
      <c r="J340" s="8">
        <f t="shared" si="22"/>
        <v>-7.7425026867830272E-3</v>
      </c>
      <c r="K340" s="8">
        <f t="shared" si="19"/>
        <v>-1.5658065509580155E-2</v>
      </c>
    </row>
    <row r="341" spans="1:11" x14ac:dyDescent="0.25">
      <c r="A341" t="str">
        <f t="shared" si="20"/>
        <v>52018</v>
      </c>
      <c r="B341" s="1">
        <v>43236</v>
      </c>
      <c r="C341" t="s">
        <v>227</v>
      </c>
      <c r="D341">
        <v>11149.4</v>
      </c>
      <c r="E341">
        <v>11231.25</v>
      </c>
      <c r="F341">
        <v>11085.15</v>
      </c>
      <c r="G341">
        <v>11164.7</v>
      </c>
      <c r="H341">
        <v>0</v>
      </c>
      <c r="I341" s="8">
        <f t="shared" si="21"/>
        <v>-1.9755426037828538E-3</v>
      </c>
      <c r="J341" s="8">
        <f t="shared" si="22"/>
        <v>-1.9774965619149968E-3</v>
      </c>
      <c r="K341" s="8">
        <f t="shared" si="19"/>
        <v>-1.5080740848561702E-2</v>
      </c>
    </row>
    <row r="342" spans="1:11" x14ac:dyDescent="0.25">
      <c r="A342" t="str">
        <f t="shared" si="20"/>
        <v>52018</v>
      </c>
      <c r="B342" s="1">
        <v>43237</v>
      </c>
      <c r="C342" t="s">
        <v>228</v>
      </c>
      <c r="D342">
        <v>11195.7</v>
      </c>
      <c r="E342">
        <v>11214.95</v>
      </c>
      <c r="F342">
        <v>11135.9</v>
      </c>
      <c r="G342">
        <v>11154.8</v>
      </c>
      <c r="H342">
        <v>0</v>
      </c>
      <c r="I342" s="8">
        <f t="shared" si="21"/>
        <v>-8.8672333336337061E-4</v>
      </c>
      <c r="J342" s="8">
        <f t="shared" si="22"/>
        <v>-8.8711670505676706E-4</v>
      </c>
      <c r="K342" s="8">
        <f t="shared" si="19"/>
        <v>-1.3443237697668642E-2</v>
      </c>
    </row>
    <row r="343" spans="1:11" x14ac:dyDescent="0.25">
      <c r="A343" t="str">
        <f t="shared" si="20"/>
        <v>52018</v>
      </c>
      <c r="B343" s="1">
        <v>43238</v>
      </c>
      <c r="C343" t="s">
        <v>229</v>
      </c>
      <c r="D343">
        <v>11167.3</v>
      </c>
      <c r="E343">
        <v>11177.3</v>
      </c>
      <c r="F343">
        <v>10937.2</v>
      </c>
      <c r="G343">
        <v>10962.75</v>
      </c>
      <c r="H343">
        <v>0</v>
      </c>
      <c r="I343" s="8">
        <f t="shared" si="21"/>
        <v>-1.7216803528525726E-2</v>
      </c>
      <c r="J343" s="8">
        <f t="shared" si="22"/>
        <v>-1.7366736088651292E-2</v>
      </c>
      <c r="K343" s="8">
        <f t="shared" si="19"/>
        <v>-1.3657772919281386E-2</v>
      </c>
    </row>
    <row r="344" spans="1:11" x14ac:dyDescent="0.25">
      <c r="A344" t="str">
        <f t="shared" si="20"/>
        <v>52018</v>
      </c>
      <c r="B344" s="1">
        <v>43241</v>
      </c>
      <c r="C344" t="s">
        <v>230</v>
      </c>
      <c r="D344">
        <v>10950.8</v>
      </c>
      <c r="E344">
        <v>10955.5</v>
      </c>
      <c r="F344">
        <v>10713.85</v>
      </c>
      <c r="G344">
        <v>10732.9</v>
      </c>
      <c r="H344">
        <v>0</v>
      </c>
      <c r="I344" s="8">
        <f t="shared" si="21"/>
        <v>-2.0966454584844141E-2</v>
      </c>
      <c r="J344" s="8">
        <f t="shared" si="22"/>
        <v>-2.1189372058927486E-2</v>
      </c>
      <c r="K344" s="8">
        <f t="shared" si="19"/>
        <v>-2.22062286763266E-2</v>
      </c>
    </row>
    <row r="345" spans="1:11" x14ac:dyDescent="0.25">
      <c r="A345" t="str">
        <f t="shared" si="20"/>
        <v>52018</v>
      </c>
      <c r="B345" s="1">
        <v>43242</v>
      </c>
      <c r="C345" t="s">
        <v>231</v>
      </c>
      <c r="D345">
        <v>10715.5</v>
      </c>
      <c r="E345">
        <v>10945.65</v>
      </c>
      <c r="F345">
        <v>10690.55</v>
      </c>
      <c r="G345">
        <v>10913.45</v>
      </c>
      <c r="H345">
        <v>0</v>
      </c>
      <c r="I345" s="8">
        <f t="shared" si="21"/>
        <v>1.6822107724846047E-2</v>
      </c>
      <c r="J345" s="8">
        <f t="shared" si="22"/>
        <v>1.6682183108401756E-2</v>
      </c>
      <c r="K345" s="8">
        <f t="shared" si="19"/>
        <v>-4.5106677977541088E-3</v>
      </c>
    </row>
    <row r="346" spans="1:11" x14ac:dyDescent="0.25">
      <c r="A346" t="str">
        <f t="shared" si="20"/>
        <v>52018</v>
      </c>
      <c r="B346" s="1">
        <v>43243</v>
      </c>
      <c r="C346" t="s">
        <v>232</v>
      </c>
      <c r="D346">
        <v>10922.6</v>
      </c>
      <c r="E346">
        <v>10940.55</v>
      </c>
      <c r="F346">
        <v>10831.8</v>
      </c>
      <c r="G346">
        <v>10860.6</v>
      </c>
      <c r="H346">
        <v>0</v>
      </c>
      <c r="I346" s="8">
        <f t="shared" si="21"/>
        <v>-4.8426482917868219E-3</v>
      </c>
      <c r="J346" s="8">
        <f t="shared" si="22"/>
        <v>-4.8544119064239085E-3</v>
      </c>
      <c r="K346" s="8">
        <f t="shared" si="19"/>
        <v>-7.4573668914843516E-3</v>
      </c>
    </row>
    <row r="347" spans="1:11" x14ac:dyDescent="0.25">
      <c r="A347" t="str">
        <f t="shared" si="20"/>
        <v>52018</v>
      </c>
      <c r="B347" s="1">
        <v>43244</v>
      </c>
      <c r="C347" t="s">
        <v>233</v>
      </c>
      <c r="D347">
        <v>10831.45</v>
      </c>
      <c r="E347">
        <v>10881.85</v>
      </c>
      <c r="F347">
        <v>10652.65</v>
      </c>
      <c r="G347">
        <v>10681.6</v>
      </c>
      <c r="H347">
        <v>0</v>
      </c>
      <c r="I347" s="8">
        <f t="shared" si="21"/>
        <v>-1.6481594018746715E-2</v>
      </c>
      <c r="J347" s="8">
        <f t="shared" si="22"/>
        <v>-1.661892655310104E-2</v>
      </c>
      <c r="K347" s="8">
        <f t="shared" si="19"/>
        <v>-1.5334694573629126E-2</v>
      </c>
    </row>
    <row r="348" spans="1:11" x14ac:dyDescent="0.25">
      <c r="A348" t="str">
        <f t="shared" si="20"/>
        <v>52018</v>
      </c>
      <c r="B348" s="1">
        <v>43245</v>
      </c>
      <c r="C348" t="s">
        <v>234</v>
      </c>
      <c r="D348">
        <v>10704.75</v>
      </c>
      <c r="E348">
        <v>10903.25</v>
      </c>
      <c r="F348">
        <v>10683</v>
      </c>
      <c r="G348">
        <v>10883</v>
      </c>
      <c r="H348">
        <v>0</v>
      </c>
      <c r="I348" s="8">
        <f t="shared" si="21"/>
        <v>1.8854853205512168E-2</v>
      </c>
      <c r="J348" s="8">
        <f t="shared" si="22"/>
        <v>1.8679303668600298E-2</v>
      </c>
      <c r="K348" s="8">
        <f t="shared" si="19"/>
        <v>-4.0267227967419883E-3</v>
      </c>
    </row>
    <row r="349" spans="1:11" x14ac:dyDescent="0.25">
      <c r="A349" t="str">
        <f t="shared" si="20"/>
        <v>52018</v>
      </c>
      <c r="B349" s="1">
        <v>43248</v>
      </c>
      <c r="C349" t="s">
        <v>235</v>
      </c>
      <c r="D349">
        <v>10913.6</v>
      </c>
      <c r="E349">
        <v>11036.5</v>
      </c>
      <c r="F349">
        <v>10902.15</v>
      </c>
      <c r="G349">
        <v>11007.15</v>
      </c>
      <c r="H349">
        <v>0</v>
      </c>
      <c r="I349" s="8">
        <f t="shared" si="21"/>
        <v>1.1407700082697758E-2</v>
      </c>
      <c r="J349" s="8">
        <f t="shared" si="22"/>
        <v>1.1343122925942974E-2</v>
      </c>
      <c r="K349" s="8">
        <f t="shared" si="19"/>
        <v>-1.4724772079325765E-2</v>
      </c>
    </row>
    <row r="350" spans="1:11" x14ac:dyDescent="0.25">
      <c r="A350" t="str">
        <f t="shared" si="20"/>
        <v>52018</v>
      </c>
      <c r="B350" s="1">
        <v>43249</v>
      </c>
      <c r="C350" t="s">
        <v>236</v>
      </c>
      <c r="D350">
        <v>11030.15</v>
      </c>
      <c r="E350">
        <v>11107</v>
      </c>
      <c r="F350">
        <v>10975.9</v>
      </c>
      <c r="G350">
        <v>11051.15</v>
      </c>
      <c r="H350">
        <v>0</v>
      </c>
      <c r="I350" s="8">
        <f t="shared" si="21"/>
        <v>3.9974016889021691E-3</v>
      </c>
      <c r="J350" s="8">
        <f t="shared" si="22"/>
        <v>3.9894333069278925E-3</v>
      </c>
      <c r="K350" s="8">
        <f t="shared" si="19"/>
        <v>-1.0219206914310108E-2</v>
      </c>
    </row>
    <row r="351" spans="1:11" x14ac:dyDescent="0.25">
      <c r="A351" t="str">
        <f t="shared" si="20"/>
        <v>52018</v>
      </c>
      <c r="B351" s="1">
        <v>43250</v>
      </c>
      <c r="C351" t="s">
        <v>237</v>
      </c>
      <c r="D351">
        <v>11002.75</v>
      </c>
      <c r="E351">
        <v>11049.35</v>
      </c>
      <c r="F351">
        <v>10946.3</v>
      </c>
      <c r="G351">
        <v>11024.15</v>
      </c>
      <c r="H351">
        <v>0</v>
      </c>
      <c r="I351" s="8">
        <f t="shared" si="21"/>
        <v>-2.4431846459418427E-3</v>
      </c>
      <c r="J351" s="8">
        <f t="shared" si="22"/>
        <v>-2.4461740917202618E-3</v>
      </c>
      <c r="K351" s="8">
        <f t="shared" si="19"/>
        <v>-1.1925034955006741E-2</v>
      </c>
    </row>
    <row r="352" spans="1:11" x14ac:dyDescent="0.25">
      <c r="A352" t="str">
        <f t="shared" si="20"/>
        <v>52018</v>
      </c>
      <c r="B352" s="1">
        <v>43251</v>
      </c>
      <c r="C352" t="s">
        <v>238</v>
      </c>
      <c r="D352">
        <v>11072.1</v>
      </c>
      <c r="E352">
        <v>11075.55</v>
      </c>
      <c r="F352">
        <v>10950.15</v>
      </c>
      <c r="G352">
        <v>10994.45</v>
      </c>
      <c r="H352">
        <v>0</v>
      </c>
      <c r="I352" s="8">
        <f t="shared" si="21"/>
        <v>-2.6940852582737485E-3</v>
      </c>
      <c r="J352" s="8">
        <f t="shared" si="22"/>
        <v>-2.6977208371375292E-3</v>
      </c>
      <c r="K352" s="8">
        <f t="shared" si="19"/>
        <v>-1.3658751020481419E-2</v>
      </c>
    </row>
    <row r="353" spans="1:11" x14ac:dyDescent="0.25">
      <c r="A353" t="str">
        <f t="shared" si="20"/>
        <v>62018</v>
      </c>
      <c r="B353" s="1">
        <v>43252</v>
      </c>
      <c r="C353" s="10">
        <v>43106.645833333336</v>
      </c>
      <c r="D353">
        <v>11032.9</v>
      </c>
      <c r="E353">
        <v>11150</v>
      </c>
      <c r="F353">
        <v>11011.8</v>
      </c>
      <c r="G353">
        <v>11076.55</v>
      </c>
      <c r="H353">
        <v>0</v>
      </c>
      <c r="I353" s="8">
        <f t="shared" si="21"/>
        <v>7.4674040083859694E-3</v>
      </c>
      <c r="J353" s="8">
        <f t="shared" si="22"/>
        <v>7.4396609737679637E-3</v>
      </c>
      <c r="K353" s="8">
        <f t="shared" si="19"/>
        <v>9.5656057457433885E-3</v>
      </c>
    </row>
    <row r="354" spans="1:11" x14ac:dyDescent="0.25">
      <c r="A354" t="str">
        <f t="shared" si="20"/>
        <v>62018</v>
      </c>
      <c r="B354" s="1">
        <v>43255</v>
      </c>
      <c r="C354" s="10">
        <v>43196.645833333336</v>
      </c>
      <c r="D354">
        <v>11144.2</v>
      </c>
      <c r="E354">
        <v>11160.8</v>
      </c>
      <c r="F354">
        <v>11011.55</v>
      </c>
      <c r="G354">
        <v>11023.25</v>
      </c>
      <c r="H354">
        <v>0</v>
      </c>
      <c r="I354" s="8">
        <f t="shared" si="21"/>
        <v>-4.8119676252984522E-3</v>
      </c>
      <c r="J354" s="8">
        <f t="shared" si="22"/>
        <v>-4.8235824164909978E-3</v>
      </c>
      <c r="K354" s="8">
        <f t="shared" si="19"/>
        <v>1.8657561210015272E-2</v>
      </c>
    </row>
    <row r="355" spans="1:11" x14ac:dyDescent="0.25">
      <c r="A355" t="str">
        <f t="shared" si="20"/>
        <v>62018</v>
      </c>
      <c r="B355" s="1">
        <v>43256</v>
      </c>
      <c r="C355" s="10">
        <v>43226.645833333336</v>
      </c>
      <c r="D355">
        <v>11019.7</v>
      </c>
      <c r="E355">
        <v>11032.3</v>
      </c>
      <c r="F355">
        <v>10950.35</v>
      </c>
      <c r="G355">
        <v>10986.95</v>
      </c>
      <c r="H355">
        <v>0</v>
      </c>
      <c r="I355" s="8">
        <f t="shared" si="21"/>
        <v>-3.2930397115187304E-3</v>
      </c>
      <c r="J355" s="8">
        <f t="shared" si="22"/>
        <v>-3.2984736996281121E-3</v>
      </c>
      <c r="K355" s="8">
        <f t="shared" si="19"/>
        <v>1.8389867034958485E-2</v>
      </c>
    </row>
    <row r="356" spans="1:11" x14ac:dyDescent="0.25">
      <c r="A356" t="str">
        <f t="shared" si="20"/>
        <v>62018</v>
      </c>
      <c r="B356" s="1">
        <v>43257</v>
      </c>
      <c r="C356" s="10">
        <v>43257.645833333336</v>
      </c>
      <c r="D356">
        <v>11031.45</v>
      </c>
      <c r="E356">
        <v>11170.85</v>
      </c>
      <c r="F356">
        <v>10972.3</v>
      </c>
      <c r="G356">
        <v>11155.85</v>
      </c>
      <c r="H356">
        <v>0</v>
      </c>
      <c r="I356" s="8">
        <f t="shared" si="21"/>
        <v>1.5372783165482629E-2</v>
      </c>
      <c r="J356" s="8">
        <f t="shared" si="22"/>
        <v>1.5255819119807076E-2</v>
      </c>
      <c r="K356" s="8">
        <f t="shared" si="19"/>
        <v>2.3965671539044164E-2</v>
      </c>
    </row>
    <row r="357" spans="1:11" x14ac:dyDescent="0.25">
      <c r="A357" t="str">
        <f t="shared" si="20"/>
        <v>62018</v>
      </c>
      <c r="B357" s="1">
        <v>43258</v>
      </c>
      <c r="C357" s="10">
        <v>43287.645833333336</v>
      </c>
      <c r="D357">
        <v>11198.25</v>
      </c>
      <c r="E357">
        <v>11260.85</v>
      </c>
      <c r="F357">
        <v>11197.05</v>
      </c>
      <c r="G357">
        <v>11236</v>
      </c>
      <c r="H357">
        <v>0</v>
      </c>
      <c r="I357" s="8">
        <f t="shared" si="21"/>
        <v>7.1845713235656472E-3</v>
      </c>
      <c r="J357" s="8">
        <f t="shared" si="22"/>
        <v>7.1588852466036596E-3</v>
      </c>
      <c r="K357" s="8">
        <f t="shared" si="19"/>
        <v>3.1928620957261566E-2</v>
      </c>
    </row>
    <row r="358" spans="1:11" x14ac:dyDescent="0.25">
      <c r="A358" t="str">
        <f t="shared" si="20"/>
        <v>62018</v>
      </c>
      <c r="B358" s="1">
        <v>43259</v>
      </c>
      <c r="C358" s="10">
        <v>43318.645833333336</v>
      </c>
      <c r="D358">
        <v>11217.95</v>
      </c>
      <c r="E358">
        <v>11240.05</v>
      </c>
      <c r="F358">
        <v>11169.5</v>
      </c>
      <c r="G358">
        <v>11226.1</v>
      </c>
      <c r="H358">
        <v>0</v>
      </c>
      <c r="I358" s="8">
        <f t="shared" si="21"/>
        <v>-8.8109647561407378E-4</v>
      </c>
      <c r="J358" s="8">
        <f t="shared" si="22"/>
        <v>-8.8148486927202478E-4</v>
      </c>
      <c r="K358" s="8">
        <f t="shared" si="19"/>
        <v>1.6322946278223505E-2</v>
      </c>
    </row>
    <row r="359" spans="1:11" x14ac:dyDescent="0.25">
      <c r="A359" t="str">
        <f t="shared" si="20"/>
        <v>62018</v>
      </c>
      <c r="B359" s="1">
        <v>43262</v>
      </c>
      <c r="C359" s="10">
        <v>43410.645833333336</v>
      </c>
      <c r="D359">
        <v>11259.05</v>
      </c>
      <c r="E359">
        <v>11278.15</v>
      </c>
      <c r="F359">
        <v>11220.95</v>
      </c>
      <c r="G359">
        <v>11239.7</v>
      </c>
      <c r="H359">
        <v>0</v>
      </c>
      <c r="I359" s="8">
        <f t="shared" si="21"/>
        <v>1.2114625738235407E-3</v>
      </c>
      <c r="J359" s="8">
        <f t="shared" si="22"/>
        <v>1.2107293451659585E-3</v>
      </c>
      <c r="K359" s="8">
        <f t="shared" si="19"/>
        <v>1.5852787794980339E-2</v>
      </c>
    </row>
    <row r="360" spans="1:11" x14ac:dyDescent="0.25">
      <c r="A360" t="str">
        <f t="shared" si="20"/>
        <v>62018</v>
      </c>
      <c r="B360" s="1">
        <v>43263</v>
      </c>
      <c r="C360" s="10">
        <v>43440.645833333336</v>
      </c>
      <c r="D360">
        <v>11264.65</v>
      </c>
      <c r="E360">
        <v>11286.45</v>
      </c>
      <c r="F360">
        <v>11231.1</v>
      </c>
      <c r="G360">
        <v>11243.4</v>
      </c>
      <c r="H360">
        <v>0</v>
      </c>
      <c r="I360" s="8">
        <f t="shared" si="21"/>
        <v>3.2919028087929902E-4</v>
      </c>
      <c r="J360" s="8">
        <f t="shared" si="22"/>
        <v>3.2913610964688906E-4</v>
      </c>
      <c r="K360" s="8">
        <f t="shared" si="19"/>
        <v>1.652713234363401E-2</v>
      </c>
    </row>
    <row r="361" spans="1:11" x14ac:dyDescent="0.25">
      <c r="A361" t="str">
        <f t="shared" si="20"/>
        <v>62018</v>
      </c>
      <c r="B361" s="1">
        <v>43264</v>
      </c>
      <c r="C361" t="s">
        <v>239</v>
      </c>
      <c r="D361">
        <v>11282.5</v>
      </c>
      <c r="E361">
        <v>11310.85</v>
      </c>
      <c r="F361">
        <v>11225.8</v>
      </c>
      <c r="G361">
        <v>11236.2</v>
      </c>
      <c r="H361">
        <v>0</v>
      </c>
      <c r="I361" s="8">
        <f t="shared" si="21"/>
        <v>-6.4037568706964976E-4</v>
      </c>
      <c r="J361" s="8">
        <f t="shared" si="22"/>
        <v>-6.4058081515731304E-4</v>
      </c>
      <c r="K361" s="8">
        <f t="shared" si="19"/>
        <v>1.6689664532766324E-2</v>
      </c>
    </row>
    <row r="362" spans="1:11" x14ac:dyDescent="0.25">
      <c r="A362" t="str">
        <f t="shared" si="20"/>
        <v>62018</v>
      </c>
      <c r="B362" s="1">
        <v>43265</v>
      </c>
      <c r="C362" t="s">
        <v>240</v>
      </c>
      <c r="D362">
        <v>11215.55</v>
      </c>
      <c r="E362">
        <v>11257.35</v>
      </c>
      <c r="F362">
        <v>11172.85</v>
      </c>
      <c r="G362">
        <v>11243</v>
      </c>
      <c r="H362">
        <v>0</v>
      </c>
      <c r="I362" s="8">
        <f t="shared" si="21"/>
        <v>6.0518680692744908E-4</v>
      </c>
      <c r="J362" s="8">
        <f t="shared" si="22"/>
        <v>6.0500375524172962E-4</v>
      </c>
      <c r="K362" s="8">
        <f t="shared" si="19"/>
        <v>3.5133592354576804E-2</v>
      </c>
    </row>
    <row r="363" spans="1:11" x14ac:dyDescent="0.25">
      <c r="A363" t="str">
        <f t="shared" si="20"/>
        <v>62018</v>
      </c>
      <c r="B363" s="1">
        <v>43266</v>
      </c>
      <c r="C363" t="s">
        <v>241</v>
      </c>
      <c r="D363">
        <v>11254.5</v>
      </c>
      <c r="E363">
        <v>11255.3</v>
      </c>
      <c r="F363">
        <v>11128.35</v>
      </c>
      <c r="G363">
        <v>11173.05</v>
      </c>
      <c r="H363">
        <v>0</v>
      </c>
      <c r="I363" s="8">
        <f t="shared" si="21"/>
        <v>-6.2216490260607049E-3</v>
      </c>
      <c r="J363" s="8">
        <f t="shared" si="22"/>
        <v>-6.2410841385961285E-3</v>
      </c>
      <c r="K363" s="8">
        <f t="shared" si="19"/>
        <v>3.5788449059052541E-2</v>
      </c>
    </row>
    <row r="364" spans="1:11" x14ac:dyDescent="0.25">
      <c r="A364" t="str">
        <f t="shared" si="20"/>
        <v>62018</v>
      </c>
      <c r="B364" s="1">
        <v>43269</v>
      </c>
      <c r="C364" t="s">
        <v>242</v>
      </c>
      <c r="D364">
        <v>11184</v>
      </c>
      <c r="E364">
        <v>11262.4</v>
      </c>
      <c r="F364">
        <v>11171.6</v>
      </c>
      <c r="G364">
        <v>11203.45</v>
      </c>
      <c r="H364">
        <v>0</v>
      </c>
      <c r="I364" s="8">
        <f t="shared" si="21"/>
        <v>2.7208327180134884E-3</v>
      </c>
      <c r="J364" s="8">
        <f t="shared" si="22"/>
        <v>2.7171379530480252E-3</v>
      </c>
      <c r="K364" s="8">
        <f t="shared" si="19"/>
        <v>3.2709289677930853E-2</v>
      </c>
    </row>
    <row r="365" spans="1:11" x14ac:dyDescent="0.25">
      <c r="A365" t="str">
        <f t="shared" si="20"/>
        <v>62018</v>
      </c>
      <c r="B365" s="1">
        <v>43270</v>
      </c>
      <c r="C365" t="s">
        <v>243</v>
      </c>
      <c r="D365">
        <v>11197.6</v>
      </c>
      <c r="E365">
        <v>11197.6</v>
      </c>
      <c r="F365">
        <v>11056.85</v>
      </c>
      <c r="G365">
        <v>11080.35</v>
      </c>
      <c r="H365">
        <v>0</v>
      </c>
      <c r="I365" s="8">
        <f t="shared" si="21"/>
        <v>-1.0987686828610843E-2</v>
      </c>
      <c r="J365" s="8">
        <f t="shared" si="22"/>
        <v>-1.1048497314187784E-2</v>
      </c>
      <c r="K365" s="8">
        <f t="shared" si="19"/>
        <v>2.277636242800174E-2</v>
      </c>
    </row>
    <row r="366" spans="1:11" x14ac:dyDescent="0.25">
      <c r="A366" t="str">
        <f t="shared" si="20"/>
        <v>62018</v>
      </c>
      <c r="B366" s="1">
        <v>43271</v>
      </c>
      <c r="C366" t="s">
        <v>244</v>
      </c>
      <c r="D366">
        <v>11104.45</v>
      </c>
      <c r="E366">
        <v>11163.8</v>
      </c>
      <c r="F366">
        <v>11077.85</v>
      </c>
      <c r="G366">
        <v>11137.35</v>
      </c>
      <c r="H366">
        <v>0</v>
      </c>
      <c r="I366" s="8">
        <f t="shared" si="21"/>
        <v>5.1442418335161388E-3</v>
      </c>
      <c r="J366" s="8">
        <f t="shared" si="22"/>
        <v>5.1310554248785514E-3</v>
      </c>
      <c r="K366" s="8">
        <f t="shared" si="19"/>
        <v>3.727246056914546E-2</v>
      </c>
    </row>
    <row r="367" spans="1:11" x14ac:dyDescent="0.25">
      <c r="A367" t="str">
        <f t="shared" si="20"/>
        <v>62018</v>
      </c>
      <c r="B367" s="1">
        <v>43272</v>
      </c>
      <c r="C367" t="s">
        <v>245</v>
      </c>
      <c r="D367">
        <v>11177.35</v>
      </c>
      <c r="E367">
        <v>11184.25</v>
      </c>
      <c r="F367">
        <v>11020.3</v>
      </c>
      <c r="G367">
        <v>11033.2</v>
      </c>
      <c r="H367">
        <v>0</v>
      </c>
      <c r="I367" s="8">
        <f t="shared" si="21"/>
        <v>-9.3514166296291279E-3</v>
      </c>
      <c r="J367" s="8">
        <f t="shared" si="22"/>
        <v>-9.395415643021935E-3</v>
      </c>
      <c r="K367" s="8">
        <f t="shared" si="19"/>
        <v>3.7179089464827841E-2</v>
      </c>
    </row>
    <row r="368" spans="1:11" x14ac:dyDescent="0.25">
      <c r="A368" t="str">
        <f t="shared" si="20"/>
        <v>62018</v>
      </c>
      <c r="B368" s="1">
        <v>43273</v>
      </c>
      <c r="C368" t="s">
        <v>246</v>
      </c>
      <c r="D368">
        <v>11031.95</v>
      </c>
      <c r="E368">
        <v>11101.15</v>
      </c>
      <c r="F368">
        <v>10986.65</v>
      </c>
      <c r="G368">
        <v>11088.5</v>
      </c>
      <c r="H368">
        <v>0</v>
      </c>
      <c r="I368" s="8">
        <f t="shared" si="21"/>
        <v>5.0121451618749813E-3</v>
      </c>
      <c r="J368" s="8">
        <f t="shared" si="22"/>
        <v>4.9996261762032743E-3</v>
      </c>
      <c r="K368" s="8">
        <f t="shared" si="19"/>
        <v>2.6617905749467541E-2</v>
      </c>
    </row>
    <row r="369" spans="1:11" x14ac:dyDescent="0.25">
      <c r="A369" t="str">
        <f t="shared" si="20"/>
        <v>62018</v>
      </c>
      <c r="B369" s="1">
        <v>43276</v>
      </c>
      <c r="C369" t="s">
        <v>247</v>
      </c>
      <c r="D369">
        <v>11087.15</v>
      </c>
      <c r="E369">
        <v>11087.15</v>
      </c>
      <c r="F369">
        <v>10894.8</v>
      </c>
      <c r="G369">
        <v>10910.45</v>
      </c>
      <c r="H369">
        <v>0</v>
      </c>
      <c r="I369" s="8">
        <f t="shared" si="21"/>
        <v>-1.6057176353880043E-2</v>
      </c>
      <c r="J369" s="8">
        <f t="shared" si="22"/>
        <v>-1.6187489668796691E-2</v>
      </c>
      <c r="K369" s="8">
        <f t="shared" si="19"/>
        <v>6.1510086455331958E-3</v>
      </c>
    </row>
    <row r="370" spans="1:11" x14ac:dyDescent="0.25">
      <c r="A370" t="str">
        <f t="shared" si="20"/>
        <v>62018</v>
      </c>
      <c r="B370" s="1">
        <v>43277</v>
      </c>
      <c r="C370" t="s">
        <v>248</v>
      </c>
      <c r="D370">
        <v>10892.75</v>
      </c>
      <c r="E370">
        <v>10921.25</v>
      </c>
      <c r="F370">
        <v>10831.4</v>
      </c>
      <c r="G370">
        <v>10852.1</v>
      </c>
      <c r="H370">
        <v>0</v>
      </c>
      <c r="I370" s="8">
        <f t="shared" si="21"/>
        <v>-5.3480837179035179E-3</v>
      </c>
      <c r="J370" s="8">
        <f t="shared" si="22"/>
        <v>-5.3624359116571001E-3</v>
      </c>
      <c r="K370" s="8">
        <f t="shared" si="19"/>
        <v>2.8416047905297503E-3</v>
      </c>
    </row>
    <row r="371" spans="1:11" x14ac:dyDescent="0.25">
      <c r="A371" t="str">
        <f t="shared" si="20"/>
        <v>62018</v>
      </c>
      <c r="B371" s="1">
        <v>43278</v>
      </c>
      <c r="C371" t="s">
        <v>249</v>
      </c>
      <c r="D371">
        <v>10875.7</v>
      </c>
      <c r="E371">
        <v>10885.95</v>
      </c>
      <c r="F371">
        <v>10691.9</v>
      </c>
      <c r="G371">
        <v>10716.2</v>
      </c>
      <c r="H371">
        <v>0</v>
      </c>
      <c r="I371" s="8">
        <f t="shared" si="21"/>
        <v>-1.2522921830797729E-2</v>
      </c>
      <c r="J371" s="8">
        <f t="shared" si="22"/>
        <v>-1.260199445681697E-2</v>
      </c>
      <c r="K371" s="8">
        <f t="shared" si="19"/>
        <v>-3.0949183655937351E-2</v>
      </c>
    </row>
    <row r="372" spans="1:11" x14ac:dyDescent="0.25">
      <c r="A372" t="str">
        <f t="shared" si="20"/>
        <v>62018</v>
      </c>
      <c r="B372" s="1">
        <v>43279</v>
      </c>
      <c r="C372" t="s">
        <v>250</v>
      </c>
      <c r="D372">
        <v>10713.2</v>
      </c>
      <c r="E372">
        <v>10761.35</v>
      </c>
      <c r="F372">
        <v>10610.55</v>
      </c>
      <c r="G372">
        <v>10632.6</v>
      </c>
      <c r="H372">
        <v>0</v>
      </c>
      <c r="I372" s="8">
        <f t="shared" si="21"/>
        <v>-7.8012728392528041E-3</v>
      </c>
      <c r="J372" s="8">
        <f t="shared" si="22"/>
        <v>-7.8318619614586738E-3</v>
      </c>
      <c r="K372" s="8">
        <f t="shared" si="19"/>
        <v>-4.6698555155579746E-2</v>
      </c>
    </row>
    <row r="373" spans="1:11" x14ac:dyDescent="0.25">
      <c r="A373" t="str">
        <f t="shared" si="20"/>
        <v>62018</v>
      </c>
      <c r="B373" s="1">
        <v>43280</v>
      </c>
      <c r="C373" t="s">
        <v>251</v>
      </c>
      <c r="D373">
        <v>10660.95</v>
      </c>
      <c r="E373">
        <v>10725.6</v>
      </c>
      <c r="F373">
        <v>10648.75</v>
      </c>
      <c r="G373">
        <v>10709.05</v>
      </c>
      <c r="H373">
        <v>0</v>
      </c>
      <c r="I373" s="8">
        <f t="shared" si="21"/>
        <v>7.1901510448995065E-3</v>
      </c>
      <c r="J373" s="8">
        <f t="shared" si="22"/>
        <v>7.1644251506462527E-3</v>
      </c>
      <c r="K373" s="8">
        <f t="shared" si="19"/>
        <v>-4.3668317251664313E-2</v>
      </c>
    </row>
    <row r="374" spans="1:11" x14ac:dyDescent="0.25">
      <c r="A374" t="str">
        <f t="shared" si="20"/>
        <v>72018</v>
      </c>
      <c r="B374" s="1">
        <v>43283</v>
      </c>
      <c r="C374" s="10">
        <v>43138.645833333336</v>
      </c>
      <c r="D374">
        <v>10793.25</v>
      </c>
      <c r="E374">
        <v>10826.05</v>
      </c>
      <c r="F374">
        <v>10646.2</v>
      </c>
      <c r="G374">
        <v>10665.8</v>
      </c>
      <c r="H374">
        <v>0</v>
      </c>
      <c r="I374" s="8">
        <f t="shared" si="21"/>
        <v>-4.0386402155186962E-3</v>
      </c>
      <c r="J374" s="8">
        <f t="shared" si="22"/>
        <v>-4.0468175472068253E-3</v>
      </c>
      <c r="K374" s="8">
        <f t="shared" si="19"/>
        <v>-6.4907966316417043E-2</v>
      </c>
    </row>
    <row r="375" spans="1:11" x14ac:dyDescent="0.25">
      <c r="A375" t="str">
        <f t="shared" si="20"/>
        <v>72018</v>
      </c>
      <c r="B375" s="1">
        <v>43284</v>
      </c>
      <c r="C375" s="10">
        <v>43166.645833333336</v>
      </c>
      <c r="D375">
        <v>10693.45</v>
      </c>
      <c r="E375">
        <v>10803.45</v>
      </c>
      <c r="F375">
        <v>10652.9</v>
      </c>
      <c r="G375">
        <v>10779.15</v>
      </c>
      <c r="H375">
        <v>0</v>
      </c>
      <c r="I375" s="8">
        <f t="shared" si="21"/>
        <v>1.0627425978360749E-2</v>
      </c>
      <c r="J375" s="8">
        <f t="shared" si="22"/>
        <v>1.057135181968471E-2</v>
      </c>
      <c r="K375" s="8">
        <f t="shared" si="19"/>
        <v>-5.8108291135645751E-2</v>
      </c>
    </row>
    <row r="376" spans="1:11" x14ac:dyDescent="0.25">
      <c r="A376" t="str">
        <f t="shared" si="20"/>
        <v>72018</v>
      </c>
      <c r="B376" s="1">
        <v>43285</v>
      </c>
      <c r="C376" s="10">
        <v>43197.645833333336</v>
      </c>
      <c r="D376">
        <v>10805.05</v>
      </c>
      <c r="E376">
        <v>10926.7</v>
      </c>
      <c r="F376">
        <v>10733.95</v>
      </c>
      <c r="G376">
        <v>10914.35</v>
      </c>
      <c r="H376">
        <v>0</v>
      </c>
      <c r="I376" s="8">
        <f t="shared" si="21"/>
        <v>1.2542732961318803E-2</v>
      </c>
      <c r="J376" s="8">
        <f t="shared" si="22"/>
        <v>1.2464724501829691E-2</v>
      </c>
      <c r="K376" s="8">
        <f t="shared" si="19"/>
        <v>-4.8638683443235298E-2</v>
      </c>
    </row>
    <row r="377" spans="1:11" x14ac:dyDescent="0.25">
      <c r="A377" t="str">
        <f t="shared" si="20"/>
        <v>72018</v>
      </c>
      <c r="B377" s="1">
        <v>43286</v>
      </c>
      <c r="C377" s="10">
        <v>43227.645833333336</v>
      </c>
      <c r="D377">
        <v>10905.5</v>
      </c>
      <c r="E377">
        <v>10946.95</v>
      </c>
      <c r="F377">
        <v>10852.85</v>
      </c>
      <c r="G377">
        <v>10925.75</v>
      </c>
      <c r="H377">
        <v>0</v>
      </c>
      <c r="I377" s="8">
        <f t="shared" si="21"/>
        <v>1.0444964656621814E-3</v>
      </c>
      <c r="J377" s="8">
        <f t="shared" si="22"/>
        <v>1.0439513587705851E-3</v>
      </c>
      <c r="K377" s="8">
        <f t="shared" si="19"/>
        <v>-4.047722552287103E-2</v>
      </c>
    </row>
    <row r="378" spans="1:11" x14ac:dyDescent="0.25">
      <c r="A378" t="str">
        <f t="shared" si="20"/>
        <v>72018</v>
      </c>
      <c r="B378" s="1">
        <v>43287</v>
      </c>
      <c r="C378" s="10">
        <v>43258.645833333336</v>
      </c>
      <c r="D378">
        <v>10928.4</v>
      </c>
      <c r="E378">
        <v>11123.35</v>
      </c>
      <c r="F378">
        <v>10911.9</v>
      </c>
      <c r="G378">
        <v>11067.85</v>
      </c>
      <c r="H378">
        <v>0</v>
      </c>
      <c r="I378" s="8">
        <f t="shared" si="21"/>
        <v>1.3005972130059718E-2</v>
      </c>
      <c r="J378" s="8">
        <f t="shared" si="22"/>
        <v>1.2922120737874536E-2</v>
      </c>
      <c r="K378" s="8">
        <f t="shared" si="19"/>
        <v>-3.3679367185862952E-2</v>
      </c>
    </row>
    <row r="379" spans="1:11" x14ac:dyDescent="0.25">
      <c r="A379" t="str">
        <f t="shared" si="20"/>
        <v>72018</v>
      </c>
      <c r="B379" s="1">
        <v>43290</v>
      </c>
      <c r="C379" s="10">
        <v>43350.645833333336</v>
      </c>
      <c r="D379">
        <v>11166.45</v>
      </c>
      <c r="E379">
        <v>11190.5</v>
      </c>
      <c r="F379">
        <v>11124.4</v>
      </c>
      <c r="G379">
        <v>11135.65</v>
      </c>
      <c r="H379">
        <v>0</v>
      </c>
      <c r="I379" s="8">
        <f t="shared" si="21"/>
        <v>6.1258510008719291E-3</v>
      </c>
      <c r="J379" s="8">
        <f t="shared" si="22"/>
        <v>6.1071642516262068E-3</v>
      </c>
      <c r="K379" s="8">
        <f t="shared" si="19"/>
        <v>-2.826463517328337E-2</v>
      </c>
    </row>
    <row r="380" spans="1:11" x14ac:dyDescent="0.25">
      <c r="A380" t="str">
        <f t="shared" si="20"/>
        <v>72018</v>
      </c>
      <c r="B380" s="1">
        <v>43291</v>
      </c>
      <c r="C380" s="10">
        <v>43380.645833333336</v>
      </c>
      <c r="D380">
        <v>11185.3</v>
      </c>
      <c r="E380">
        <v>11250.2</v>
      </c>
      <c r="F380">
        <v>11157.65</v>
      </c>
      <c r="G380">
        <v>11239.2</v>
      </c>
      <c r="H380">
        <v>0</v>
      </c>
      <c r="I380" s="8">
        <f t="shared" si="21"/>
        <v>9.298963239685154E-3</v>
      </c>
      <c r="J380" s="8">
        <f t="shared" si="22"/>
        <v>9.2559940548621097E-3</v>
      </c>
      <c r="K380" s="8">
        <f t="shared" si="19"/>
        <v>-1.9720373649184775E-2</v>
      </c>
    </row>
    <row r="381" spans="1:11" x14ac:dyDescent="0.25">
      <c r="A381" t="str">
        <f t="shared" si="20"/>
        <v>72018</v>
      </c>
      <c r="B381" s="1">
        <v>43292</v>
      </c>
      <c r="C381" s="10">
        <v>43411.645833333336</v>
      </c>
      <c r="D381">
        <v>11223.05</v>
      </c>
      <c r="E381">
        <v>11253.25</v>
      </c>
      <c r="F381">
        <v>11115.35</v>
      </c>
      <c r="G381">
        <v>11127.4</v>
      </c>
      <c r="H381">
        <v>0</v>
      </c>
      <c r="I381" s="8">
        <f t="shared" si="21"/>
        <v>-9.9473272119012801E-3</v>
      </c>
      <c r="J381" s="8">
        <f t="shared" si="22"/>
        <v>-9.9971324323651981E-3</v>
      </c>
      <c r="K381" s="8">
        <f t="shared" si="19"/>
        <v>-3.2816309501562446E-2</v>
      </c>
    </row>
    <row r="382" spans="1:11" x14ac:dyDescent="0.25">
      <c r="A382" t="str">
        <f t="shared" si="20"/>
        <v>72018</v>
      </c>
      <c r="B382" s="1">
        <v>43293</v>
      </c>
      <c r="C382" s="10">
        <v>43441.645833333336</v>
      </c>
      <c r="D382">
        <v>11196.3</v>
      </c>
      <c r="E382">
        <v>11206.95</v>
      </c>
      <c r="F382">
        <v>11021.95</v>
      </c>
      <c r="G382">
        <v>11038</v>
      </c>
      <c r="H382">
        <v>0</v>
      </c>
      <c r="I382" s="8">
        <f t="shared" si="21"/>
        <v>-8.0342218307960511E-3</v>
      </c>
      <c r="J382" s="8">
        <f t="shared" si="22"/>
        <v>-8.0666701056299767E-3</v>
      </c>
      <c r="K382" s="8">
        <f t="shared" si="19"/>
        <v>-3.7860595257292573E-2</v>
      </c>
    </row>
    <row r="383" spans="1:11" x14ac:dyDescent="0.25">
      <c r="A383" t="str">
        <f t="shared" si="20"/>
        <v>72018</v>
      </c>
      <c r="B383" s="1">
        <v>43294</v>
      </c>
      <c r="C383" t="s">
        <v>252</v>
      </c>
      <c r="D383">
        <v>11091.55</v>
      </c>
      <c r="E383">
        <v>11100.55</v>
      </c>
      <c r="F383">
        <v>10967.05</v>
      </c>
      <c r="G383">
        <v>11003.05</v>
      </c>
      <c r="H383">
        <v>0</v>
      </c>
      <c r="I383" s="8">
        <f t="shared" si="21"/>
        <v>-3.1663344808843252E-3</v>
      </c>
      <c r="J383" s="8">
        <f t="shared" si="22"/>
        <v>-3.1713579246449067E-3</v>
      </c>
      <c r="K383" s="8">
        <f t="shared" si="19"/>
        <v>-3.5818188191170552E-2</v>
      </c>
    </row>
    <row r="384" spans="1:11" x14ac:dyDescent="0.25">
      <c r="A384" t="str">
        <f t="shared" si="20"/>
        <v>72018</v>
      </c>
      <c r="B384" s="1">
        <v>43297</v>
      </c>
      <c r="C384" t="s">
        <v>253</v>
      </c>
      <c r="D384">
        <v>10995.95</v>
      </c>
      <c r="E384">
        <v>10996.25</v>
      </c>
      <c r="F384">
        <v>10819.2</v>
      </c>
      <c r="G384">
        <v>10835.15</v>
      </c>
      <c r="H384">
        <v>0</v>
      </c>
      <c r="I384" s="8">
        <f t="shared" si="21"/>
        <v>-1.525940534669934E-2</v>
      </c>
      <c r="J384" s="8">
        <f t="shared" si="22"/>
        <v>-1.5377028176173689E-2</v>
      </c>
      <c r="K384" s="8">
        <f t="shared" ref="K384:K447" si="23">+G384/G323-1</f>
        <v>-5.2179694094903195E-2</v>
      </c>
    </row>
    <row r="385" spans="1:11" x14ac:dyDescent="0.25">
      <c r="A385" t="str">
        <f t="shared" si="20"/>
        <v>72018</v>
      </c>
      <c r="B385" s="1">
        <v>43298</v>
      </c>
      <c r="C385" t="s">
        <v>254</v>
      </c>
      <c r="D385">
        <v>10832.9</v>
      </c>
      <c r="E385">
        <v>10981.45</v>
      </c>
      <c r="F385">
        <v>10802.75</v>
      </c>
      <c r="G385">
        <v>10965.65</v>
      </c>
      <c r="H385">
        <v>0</v>
      </c>
      <c r="I385" s="8">
        <f t="shared" si="21"/>
        <v>1.2044134137506157E-2</v>
      </c>
      <c r="J385" s="8">
        <f t="shared" si="22"/>
        <v>1.1972180722162579E-2</v>
      </c>
      <c r="K385" s="8">
        <f t="shared" si="23"/>
        <v>-4.1472539575703071E-2</v>
      </c>
    </row>
    <row r="386" spans="1:11" x14ac:dyDescent="0.25">
      <c r="A386" t="str">
        <f t="shared" si="20"/>
        <v>72018</v>
      </c>
      <c r="B386" s="1">
        <v>43299</v>
      </c>
      <c r="C386" t="s">
        <v>255</v>
      </c>
      <c r="D386">
        <v>11010.85</v>
      </c>
      <c r="E386">
        <v>11026.25</v>
      </c>
      <c r="F386">
        <v>10790.9</v>
      </c>
      <c r="G386">
        <v>10808.6</v>
      </c>
      <c r="H386">
        <v>0</v>
      </c>
      <c r="I386" s="8">
        <f t="shared" si="21"/>
        <v>-1.4321996416081006E-2</v>
      </c>
      <c r="J386" s="8">
        <f t="shared" si="22"/>
        <v>-1.4425546087872179E-2</v>
      </c>
      <c r="K386" s="8">
        <f t="shared" si="23"/>
        <v>-5.9892843474933066E-2</v>
      </c>
    </row>
    <row r="387" spans="1:11" x14ac:dyDescent="0.25">
      <c r="A387" t="str">
        <f t="shared" ref="A387:A450" si="24">+MONTH(B387)&amp;YEAR(B387)</f>
        <v>72018</v>
      </c>
      <c r="B387" s="1">
        <v>43300</v>
      </c>
      <c r="C387" t="s">
        <v>256</v>
      </c>
      <c r="D387">
        <v>10852</v>
      </c>
      <c r="E387">
        <v>10900.9</v>
      </c>
      <c r="F387">
        <v>10778.85</v>
      </c>
      <c r="G387">
        <v>10799</v>
      </c>
      <c r="H387">
        <v>0</v>
      </c>
      <c r="I387" s="8">
        <f t="shared" si="21"/>
        <v>-8.8818163314396958E-4</v>
      </c>
      <c r="J387" s="8">
        <f t="shared" si="22"/>
        <v>-8.8857630015866406E-4</v>
      </c>
      <c r="K387" s="8">
        <f t="shared" si="23"/>
        <v>-6.2798326766528412E-2</v>
      </c>
    </row>
    <row r="388" spans="1:11" x14ac:dyDescent="0.25">
      <c r="A388" t="str">
        <f t="shared" si="24"/>
        <v>72018</v>
      </c>
      <c r="B388" s="1">
        <v>43301</v>
      </c>
      <c r="C388" t="s">
        <v>257</v>
      </c>
      <c r="D388">
        <v>10803.1</v>
      </c>
      <c r="E388">
        <v>10845.1</v>
      </c>
      <c r="F388">
        <v>10700.15</v>
      </c>
      <c r="G388">
        <v>10752.7</v>
      </c>
      <c r="H388">
        <v>0</v>
      </c>
      <c r="I388" s="8">
        <f t="shared" ref="I388:I451" si="25">+G388/G387-1</f>
        <v>-4.2874340216686457E-3</v>
      </c>
      <c r="J388" s="8">
        <f t="shared" ref="J388:J451" si="26">+LN(1+I388)</f>
        <v>-4.2966514223465434E-3</v>
      </c>
      <c r="K388" s="8">
        <f t="shared" si="23"/>
        <v>-6.5267092623983891E-2</v>
      </c>
    </row>
    <row r="389" spans="1:11" x14ac:dyDescent="0.25">
      <c r="A389" t="str">
        <f t="shared" si="24"/>
        <v>72018</v>
      </c>
      <c r="B389" s="1">
        <v>43304</v>
      </c>
      <c r="C389" t="s">
        <v>258</v>
      </c>
      <c r="D389">
        <v>10788.95</v>
      </c>
      <c r="E389">
        <v>10788.95</v>
      </c>
      <c r="F389">
        <v>10600</v>
      </c>
      <c r="G389">
        <v>10770.6</v>
      </c>
      <c r="H389">
        <v>0</v>
      </c>
      <c r="I389" s="8">
        <f t="shared" si="25"/>
        <v>1.6646981688319684E-3</v>
      </c>
      <c r="J389" s="8">
        <f t="shared" si="26"/>
        <v>1.6633140946662331E-3</v>
      </c>
      <c r="K389" s="8">
        <f t="shared" si="23"/>
        <v>-6.6251690536463514E-2</v>
      </c>
    </row>
    <row r="390" spans="1:11" x14ac:dyDescent="0.25">
      <c r="A390" t="str">
        <f t="shared" si="24"/>
        <v>72018</v>
      </c>
      <c r="B390" s="1">
        <v>43305</v>
      </c>
      <c r="C390" t="s">
        <v>259</v>
      </c>
      <c r="D390">
        <v>10798.1</v>
      </c>
      <c r="E390">
        <v>10917.35</v>
      </c>
      <c r="F390">
        <v>10738.7</v>
      </c>
      <c r="G390">
        <v>10861.3</v>
      </c>
      <c r="H390">
        <v>0</v>
      </c>
      <c r="I390" s="8">
        <f t="shared" si="25"/>
        <v>8.4210721779658382E-3</v>
      </c>
      <c r="J390" s="8">
        <f t="shared" si="26"/>
        <v>8.3858127594341157E-3</v>
      </c>
      <c r="K390" s="8">
        <f t="shared" si="23"/>
        <v>-6.2209673798546028E-2</v>
      </c>
    </row>
    <row r="391" spans="1:11" x14ac:dyDescent="0.25">
      <c r="A391" t="str">
        <f t="shared" si="24"/>
        <v>72018</v>
      </c>
      <c r="B391" s="1">
        <v>43306</v>
      </c>
      <c r="C391" t="s">
        <v>260</v>
      </c>
      <c r="D391">
        <v>10895.9</v>
      </c>
      <c r="E391">
        <v>10929.7</v>
      </c>
      <c r="F391">
        <v>10780.3</v>
      </c>
      <c r="G391">
        <v>10809.95</v>
      </c>
      <c r="H391">
        <v>0</v>
      </c>
      <c r="I391" s="8">
        <f t="shared" si="25"/>
        <v>-4.7277950153294945E-3</v>
      </c>
      <c r="J391" s="8">
        <f t="shared" si="26"/>
        <v>-4.73900638885751E-3</v>
      </c>
      <c r="K391" s="8">
        <f t="shared" si="23"/>
        <v>-7.0171816872029669E-2</v>
      </c>
    </row>
    <row r="392" spans="1:11" x14ac:dyDescent="0.25">
      <c r="A392" t="str">
        <f t="shared" si="24"/>
        <v>72018</v>
      </c>
      <c r="B392" s="1">
        <v>43307</v>
      </c>
      <c r="C392" t="s">
        <v>261</v>
      </c>
      <c r="D392">
        <v>10853.9</v>
      </c>
      <c r="E392">
        <v>10912.05</v>
      </c>
      <c r="F392">
        <v>10756.55</v>
      </c>
      <c r="G392">
        <v>10770</v>
      </c>
      <c r="H392">
        <v>0</v>
      </c>
      <c r="I392" s="8">
        <f t="shared" si="25"/>
        <v>-3.6956692676655134E-3</v>
      </c>
      <c r="J392" s="8">
        <f t="shared" si="26"/>
        <v>-3.7025151252218216E-3</v>
      </c>
      <c r="K392" s="8">
        <f t="shared" si="23"/>
        <v>-6.4145565770494128E-2</v>
      </c>
    </row>
    <row r="393" spans="1:11" x14ac:dyDescent="0.25">
      <c r="A393" t="str">
        <f t="shared" si="24"/>
        <v>72018</v>
      </c>
      <c r="B393" s="1">
        <v>43308</v>
      </c>
      <c r="C393" t="s">
        <v>262</v>
      </c>
      <c r="D393">
        <v>10804.15</v>
      </c>
      <c r="E393">
        <v>10882.45</v>
      </c>
      <c r="F393">
        <v>10784.3</v>
      </c>
      <c r="G393">
        <v>10874.8</v>
      </c>
      <c r="H393">
        <v>0</v>
      </c>
      <c r="I393" s="8">
        <f t="shared" si="25"/>
        <v>9.7307335190341959E-3</v>
      </c>
      <c r="J393" s="8">
        <f t="shared" si="26"/>
        <v>9.683694832739816E-3</v>
      </c>
      <c r="K393" s="8">
        <f t="shared" si="23"/>
        <v>-5.0372653722389416E-2</v>
      </c>
    </row>
    <row r="394" spans="1:11" x14ac:dyDescent="0.25">
      <c r="A394" t="str">
        <f t="shared" si="24"/>
        <v>72018</v>
      </c>
      <c r="B394" s="1">
        <v>43311</v>
      </c>
      <c r="C394" t="s">
        <v>263</v>
      </c>
      <c r="D394">
        <v>10906.25</v>
      </c>
      <c r="E394">
        <v>10945.3</v>
      </c>
      <c r="F394">
        <v>10840.25</v>
      </c>
      <c r="G394">
        <v>10925.05</v>
      </c>
      <c r="H394">
        <v>0</v>
      </c>
      <c r="I394" s="8">
        <f t="shared" si="25"/>
        <v>4.6207746349358203E-3</v>
      </c>
      <c r="J394" s="8">
        <f t="shared" si="26"/>
        <v>4.6101316291827137E-3</v>
      </c>
      <c r="K394" s="8">
        <f t="shared" si="23"/>
        <v>-3.5204924185557873E-2</v>
      </c>
    </row>
    <row r="395" spans="1:11" x14ac:dyDescent="0.25">
      <c r="A395" t="str">
        <f t="shared" si="24"/>
        <v>72018</v>
      </c>
      <c r="B395" s="1">
        <v>43312</v>
      </c>
      <c r="C395" t="s">
        <v>264</v>
      </c>
      <c r="D395">
        <v>10946.5</v>
      </c>
      <c r="E395">
        <v>10988.45</v>
      </c>
      <c r="F395">
        <v>10888.45</v>
      </c>
      <c r="G395">
        <v>10973.75</v>
      </c>
      <c r="H395">
        <v>0</v>
      </c>
      <c r="I395" s="8">
        <f t="shared" si="25"/>
        <v>4.4576455027667272E-3</v>
      </c>
      <c r="J395" s="8">
        <f t="shared" si="26"/>
        <v>4.4477396280617181E-3</v>
      </c>
      <c r="K395" s="8">
        <f t="shared" si="23"/>
        <v>-4.4897124355939289E-2</v>
      </c>
    </row>
    <row r="396" spans="1:11" x14ac:dyDescent="0.25">
      <c r="A396" t="str">
        <f t="shared" si="24"/>
        <v>82018</v>
      </c>
      <c r="B396" s="1">
        <v>43313</v>
      </c>
      <c r="C396" s="10">
        <v>43108.645833333336</v>
      </c>
      <c r="D396">
        <v>10938.25</v>
      </c>
      <c r="E396">
        <v>11000.4</v>
      </c>
      <c r="F396">
        <v>10863.45</v>
      </c>
      <c r="G396">
        <v>10890.1</v>
      </c>
      <c r="H396">
        <v>0</v>
      </c>
      <c r="I396" s="8">
        <f t="shared" si="25"/>
        <v>-7.622736074723746E-3</v>
      </c>
      <c r="J396" s="8">
        <f t="shared" si="26"/>
        <v>-7.6519376191179194E-3</v>
      </c>
      <c r="K396" s="8">
        <f t="shared" si="23"/>
        <v>-4.783513447347254E-2</v>
      </c>
    </row>
    <row r="397" spans="1:11" x14ac:dyDescent="0.25">
      <c r="A397" t="str">
        <f t="shared" si="24"/>
        <v>82018</v>
      </c>
      <c r="B397" s="1">
        <v>43314</v>
      </c>
      <c r="C397" s="10">
        <v>43139.645833333336</v>
      </c>
      <c r="D397">
        <v>10859.35</v>
      </c>
      <c r="E397">
        <v>10859.35</v>
      </c>
      <c r="F397">
        <v>10698.25</v>
      </c>
      <c r="G397">
        <v>10733.65</v>
      </c>
      <c r="H397">
        <v>0</v>
      </c>
      <c r="I397" s="8">
        <f t="shared" si="25"/>
        <v>-1.4366259263000392E-2</v>
      </c>
      <c r="J397" s="8">
        <f t="shared" si="26"/>
        <v>-1.4470453086528621E-2</v>
      </c>
      <c r="K397" s="8">
        <f t="shared" si="23"/>
        <v>-6.0080124345979535E-2</v>
      </c>
    </row>
    <row r="398" spans="1:11" x14ac:dyDescent="0.25">
      <c r="A398" t="str">
        <f t="shared" si="24"/>
        <v>82018</v>
      </c>
      <c r="B398" s="1">
        <v>43315</v>
      </c>
      <c r="C398" s="10">
        <v>43167.645833333336</v>
      </c>
      <c r="D398">
        <v>10772.55</v>
      </c>
      <c r="E398">
        <v>10834.8</v>
      </c>
      <c r="F398">
        <v>10764.55</v>
      </c>
      <c r="G398">
        <v>10775.3</v>
      </c>
      <c r="H398">
        <v>0</v>
      </c>
      <c r="I398" s="8">
        <f t="shared" si="25"/>
        <v>3.8803203011090748E-3</v>
      </c>
      <c r="J398" s="8">
        <f t="shared" si="26"/>
        <v>3.8728112769670707E-3</v>
      </c>
      <c r="K398" s="8">
        <f t="shared" si="23"/>
        <v>-5.0333145314813588E-2</v>
      </c>
    </row>
    <row r="399" spans="1:11" x14ac:dyDescent="0.25">
      <c r="A399" t="str">
        <f t="shared" si="24"/>
        <v>82018</v>
      </c>
      <c r="B399" s="1">
        <v>43318</v>
      </c>
      <c r="C399" s="10">
        <v>43259.645833333336</v>
      </c>
      <c r="D399">
        <v>10811.9</v>
      </c>
      <c r="E399">
        <v>10857.85</v>
      </c>
      <c r="F399">
        <v>10769.45</v>
      </c>
      <c r="G399">
        <v>10822.8</v>
      </c>
      <c r="H399">
        <v>0</v>
      </c>
      <c r="I399" s="8">
        <f t="shared" si="25"/>
        <v>4.4082299332732777E-3</v>
      </c>
      <c r="J399" s="8">
        <f t="shared" si="26"/>
        <v>4.398542147923637E-3</v>
      </c>
      <c r="K399" s="8">
        <f t="shared" si="23"/>
        <v>-4.8394471213027201E-2</v>
      </c>
    </row>
    <row r="400" spans="1:11" x14ac:dyDescent="0.25">
      <c r="A400" t="str">
        <f t="shared" si="24"/>
        <v>82018</v>
      </c>
      <c r="B400" s="1">
        <v>43319</v>
      </c>
      <c r="C400" s="10">
        <v>43289.645833333336</v>
      </c>
      <c r="D400">
        <v>10873</v>
      </c>
      <c r="E400">
        <v>10890.2</v>
      </c>
      <c r="F400">
        <v>10812.45</v>
      </c>
      <c r="G400">
        <v>10855.65</v>
      </c>
      <c r="H400">
        <v>0</v>
      </c>
      <c r="I400" s="8">
        <f t="shared" si="25"/>
        <v>3.0352588978823647E-3</v>
      </c>
      <c r="J400" s="8">
        <f t="shared" si="26"/>
        <v>3.0306617995005283E-3</v>
      </c>
      <c r="K400" s="8">
        <f t="shared" si="23"/>
        <v>-3.7086151458033068E-2</v>
      </c>
    </row>
    <row r="401" spans="1:11" x14ac:dyDescent="0.25">
      <c r="A401" t="str">
        <f t="shared" si="24"/>
        <v>82018</v>
      </c>
      <c r="B401" s="1">
        <v>43320</v>
      </c>
      <c r="C401" s="10">
        <v>43320.645833333336</v>
      </c>
      <c r="D401">
        <v>10901.05</v>
      </c>
      <c r="E401">
        <v>10901.55</v>
      </c>
      <c r="F401">
        <v>10797.7</v>
      </c>
      <c r="G401">
        <v>10821.2</v>
      </c>
      <c r="H401">
        <v>0</v>
      </c>
      <c r="I401" s="8">
        <f t="shared" si="25"/>
        <v>-3.1734626669061017E-3</v>
      </c>
      <c r="J401" s="8">
        <f t="shared" si="26"/>
        <v>-3.1785087781470321E-3</v>
      </c>
      <c r="K401" s="8">
        <f t="shared" si="23"/>
        <v>-3.2681374477062097E-2</v>
      </c>
    </row>
    <row r="402" spans="1:11" x14ac:dyDescent="0.25">
      <c r="A402" t="str">
        <f t="shared" si="24"/>
        <v>82018</v>
      </c>
      <c r="B402" s="1">
        <v>43321</v>
      </c>
      <c r="C402" s="10">
        <v>43351.645833333336</v>
      </c>
      <c r="D402">
        <v>10853.5</v>
      </c>
      <c r="E402">
        <v>10854.45</v>
      </c>
      <c r="F402">
        <v>10794.45</v>
      </c>
      <c r="G402">
        <v>10813.8</v>
      </c>
      <c r="H402">
        <v>0</v>
      </c>
      <c r="I402" s="8">
        <f t="shared" si="25"/>
        <v>-6.838428270433683E-4</v>
      </c>
      <c r="J402" s="8">
        <f t="shared" si="26"/>
        <v>-6.840767542017702E-4</v>
      </c>
      <c r="K402" s="8">
        <f t="shared" si="23"/>
        <v>-3.1429415926984339E-2</v>
      </c>
    </row>
    <row r="403" spans="1:11" x14ac:dyDescent="0.25">
      <c r="A403" t="str">
        <f t="shared" si="24"/>
        <v>82018</v>
      </c>
      <c r="B403" s="1">
        <v>43322</v>
      </c>
      <c r="C403" s="10">
        <v>43381.645833333336</v>
      </c>
      <c r="D403">
        <v>10825.45</v>
      </c>
      <c r="E403">
        <v>10889.6</v>
      </c>
      <c r="F403">
        <v>10792.75</v>
      </c>
      <c r="G403">
        <v>10839.45</v>
      </c>
      <c r="H403">
        <v>0</v>
      </c>
      <c r="I403" s="8">
        <f t="shared" si="25"/>
        <v>2.3719691505299512E-3</v>
      </c>
      <c r="J403" s="8">
        <f t="shared" si="26"/>
        <v>2.3691604722264818E-3</v>
      </c>
      <c r="K403" s="8">
        <f t="shared" si="23"/>
        <v>-2.8270341019112744E-2</v>
      </c>
    </row>
    <row r="404" spans="1:11" x14ac:dyDescent="0.25">
      <c r="A404" t="str">
        <f t="shared" si="24"/>
        <v>82018</v>
      </c>
      <c r="B404" s="1">
        <v>43325</v>
      </c>
      <c r="C404" t="s">
        <v>265</v>
      </c>
      <c r="D404">
        <v>10802.3</v>
      </c>
      <c r="E404">
        <v>10834.45</v>
      </c>
      <c r="F404">
        <v>10707.5</v>
      </c>
      <c r="G404">
        <v>10756.7</v>
      </c>
      <c r="H404">
        <v>0</v>
      </c>
      <c r="I404" s="8">
        <f t="shared" si="25"/>
        <v>-7.6341511792572536E-3</v>
      </c>
      <c r="J404" s="8">
        <f t="shared" si="26"/>
        <v>-7.663440472520283E-3</v>
      </c>
      <c r="K404" s="8">
        <f t="shared" si="23"/>
        <v>-1.8795466465987065E-2</v>
      </c>
    </row>
    <row r="405" spans="1:11" x14ac:dyDescent="0.25">
      <c r="A405" t="str">
        <f t="shared" si="24"/>
        <v>82018</v>
      </c>
      <c r="B405" s="1">
        <v>43326</v>
      </c>
      <c r="C405" t="s">
        <v>266</v>
      </c>
      <c r="D405">
        <v>10772.1</v>
      </c>
      <c r="E405">
        <v>10829.15</v>
      </c>
      <c r="F405">
        <v>10751.75</v>
      </c>
      <c r="G405">
        <v>10803.15</v>
      </c>
      <c r="H405">
        <v>0</v>
      </c>
      <c r="I405" s="8">
        <f t="shared" si="25"/>
        <v>4.3182388650793158E-3</v>
      </c>
      <c r="J405" s="8">
        <f t="shared" si="26"/>
        <v>4.3089420260036017E-3</v>
      </c>
      <c r="K405" s="8">
        <f t="shared" si="23"/>
        <v>6.5452953069533581E-3</v>
      </c>
    </row>
    <row r="406" spans="1:11" x14ac:dyDescent="0.25">
      <c r="A406" t="str">
        <f t="shared" si="24"/>
        <v>82018</v>
      </c>
      <c r="B406" s="1">
        <v>43328</v>
      </c>
      <c r="C406" t="s">
        <v>267</v>
      </c>
      <c r="D406">
        <v>10767.5</v>
      </c>
      <c r="E406">
        <v>10891.4</v>
      </c>
      <c r="F406">
        <v>10744.65</v>
      </c>
      <c r="G406">
        <v>10830.95</v>
      </c>
      <c r="H406">
        <v>0</v>
      </c>
      <c r="I406" s="8">
        <f t="shared" si="25"/>
        <v>2.5733235213805106E-3</v>
      </c>
      <c r="J406" s="8">
        <f t="shared" si="26"/>
        <v>2.5700181936450777E-3</v>
      </c>
      <c r="K406" s="8">
        <f t="shared" si="23"/>
        <v>-7.5594793580398001E-3</v>
      </c>
    </row>
    <row r="407" spans="1:11" x14ac:dyDescent="0.25">
      <c r="A407" t="str">
        <f t="shared" si="24"/>
        <v>82018</v>
      </c>
      <c r="B407" s="1">
        <v>43329</v>
      </c>
      <c r="C407" t="s">
        <v>268</v>
      </c>
      <c r="D407">
        <v>10891.75</v>
      </c>
      <c r="E407">
        <v>10936.5</v>
      </c>
      <c r="F407">
        <v>10865</v>
      </c>
      <c r="G407">
        <v>10878.7</v>
      </c>
      <c r="H407">
        <v>0</v>
      </c>
      <c r="I407" s="8">
        <f t="shared" si="25"/>
        <v>4.4086622133792108E-3</v>
      </c>
      <c r="J407" s="8">
        <f t="shared" si="26"/>
        <v>4.3989725307102649E-3</v>
      </c>
      <c r="K407" s="8">
        <f t="shared" si="23"/>
        <v>1.6665745907225027E-3</v>
      </c>
    </row>
    <row r="408" spans="1:11" x14ac:dyDescent="0.25">
      <c r="A408" t="str">
        <f t="shared" si="24"/>
        <v>82018</v>
      </c>
      <c r="B408" s="1">
        <v>43332</v>
      </c>
      <c r="C408" t="s">
        <v>269</v>
      </c>
      <c r="D408">
        <v>10934.95</v>
      </c>
      <c r="E408">
        <v>11016.95</v>
      </c>
      <c r="F408">
        <v>10915.7</v>
      </c>
      <c r="G408">
        <v>10997.9</v>
      </c>
      <c r="H408">
        <v>0</v>
      </c>
      <c r="I408" s="8">
        <f t="shared" si="25"/>
        <v>1.0957191576199232E-2</v>
      </c>
      <c r="J408" s="8">
        <f t="shared" si="26"/>
        <v>1.0897596487258692E-2</v>
      </c>
      <c r="K408" s="8">
        <f t="shared" si="23"/>
        <v>2.961166866387055E-2</v>
      </c>
    </row>
    <row r="409" spans="1:11" x14ac:dyDescent="0.25">
      <c r="A409" t="str">
        <f t="shared" si="24"/>
        <v>82018</v>
      </c>
      <c r="B409" s="1">
        <v>43333</v>
      </c>
      <c r="C409" t="s">
        <v>270</v>
      </c>
      <c r="D409">
        <v>11038.65</v>
      </c>
      <c r="E409">
        <v>11074</v>
      </c>
      <c r="F409">
        <v>10967.6</v>
      </c>
      <c r="G409">
        <v>10979.25</v>
      </c>
      <c r="H409">
        <v>0</v>
      </c>
      <c r="I409" s="8">
        <f t="shared" si="25"/>
        <v>-1.6957782849452707E-3</v>
      </c>
      <c r="J409" s="8">
        <f t="shared" si="26"/>
        <v>-1.69721774450747E-3</v>
      </c>
      <c r="K409" s="8">
        <f t="shared" si="23"/>
        <v>8.8440687310484822E-3</v>
      </c>
    </row>
    <row r="410" spans="1:11" x14ac:dyDescent="0.25">
      <c r="A410" t="str">
        <f t="shared" si="24"/>
        <v>82018</v>
      </c>
      <c r="B410" s="1">
        <v>43335</v>
      </c>
      <c r="C410" t="s">
        <v>271</v>
      </c>
      <c r="D410">
        <v>10995.85</v>
      </c>
      <c r="E410">
        <v>11003.55</v>
      </c>
      <c r="F410">
        <v>10896.25</v>
      </c>
      <c r="G410">
        <v>10959.6</v>
      </c>
      <c r="H410">
        <v>0</v>
      </c>
      <c r="I410" s="8">
        <f t="shared" si="25"/>
        <v>-1.7897397363207945E-3</v>
      </c>
      <c r="J410" s="8">
        <f t="shared" si="26"/>
        <v>-1.7913432339973043E-3</v>
      </c>
      <c r="K410" s="8">
        <f t="shared" si="23"/>
        <v>-4.3199193251658441E-3</v>
      </c>
    </row>
    <row r="411" spans="1:11" x14ac:dyDescent="0.25">
      <c r="A411" t="str">
        <f t="shared" si="24"/>
        <v>82018</v>
      </c>
      <c r="B411" s="1">
        <v>43336</v>
      </c>
      <c r="C411" t="s">
        <v>272</v>
      </c>
      <c r="D411">
        <v>10958.9</v>
      </c>
      <c r="E411">
        <v>10997.45</v>
      </c>
      <c r="F411">
        <v>10895.15</v>
      </c>
      <c r="G411">
        <v>10903</v>
      </c>
      <c r="H411">
        <v>0</v>
      </c>
      <c r="I411" s="8">
        <f t="shared" si="25"/>
        <v>-5.164422059199314E-3</v>
      </c>
      <c r="J411" s="8">
        <f t="shared" si="26"/>
        <v>-5.1778037792518843E-3</v>
      </c>
      <c r="K411" s="8">
        <f t="shared" si="23"/>
        <v>-1.3405844640603015E-2</v>
      </c>
    </row>
    <row r="412" spans="1:11" x14ac:dyDescent="0.25">
      <c r="A412" t="str">
        <f t="shared" si="24"/>
        <v>82018</v>
      </c>
      <c r="B412" s="1">
        <v>43339</v>
      </c>
      <c r="C412" t="s">
        <v>273</v>
      </c>
      <c r="D412">
        <v>10966.65</v>
      </c>
      <c r="E412">
        <v>11009.95</v>
      </c>
      <c r="F412">
        <v>10956.1</v>
      </c>
      <c r="G412">
        <v>10993.55</v>
      </c>
      <c r="H412">
        <v>0</v>
      </c>
      <c r="I412" s="8">
        <f t="shared" si="25"/>
        <v>8.3050536549573728E-3</v>
      </c>
      <c r="J412" s="8">
        <f t="shared" si="26"/>
        <v>8.2707564593740013E-3</v>
      </c>
      <c r="K412" s="8">
        <f t="shared" si="23"/>
        <v>-2.7757242054943232E-3</v>
      </c>
    </row>
    <row r="413" spans="1:11" x14ac:dyDescent="0.25">
      <c r="A413" t="str">
        <f t="shared" si="24"/>
        <v>82018</v>
      </c>
      <c r="B413" s="1">
        <v>43340</v>
      </c>
      <c r="C413" t="s">
        <v>274</v>
      </c>
      <c r="D413">
        <v>11038.45</v>
      </c>
      <c r="E413">
        <v>11071.25</v>
      </c>
      <c r="F413">
        <v>10980.9</v>
      </c>
      <c r="G413">
        <v>11044.15</v>
      </c>
      <c r="H413">
        <v>0</v>
      </c>
      <c r="I413" s="8">
        <f t="shared" si="25"/>
        <v>4.6026988552378967E-3</v>
      </c>
      <c r="J413" s="8">
        <f t="shared" si="26"/>
        <v>4.5921388275487448E-3</v>
      </c>
      <c r="K413" s="8">
        <f t="shared" si="23"/>
        <v>4.5204625970374224E-3</v>
      </c>
    </row>
    <row r="414" spans="1:11" x14ac:dyDescent="0.25">
      <c r="A414" t="str">
        <f t="shared" si="24"/>
        <v>82018</v>
      </c>
      <c r="B414" s="1">
        <v>43341</v>
      </c>
      <c r="C414" t="s">
        <v>275</v>
      </c>
      <c r="D414">
        <v>11058.35</v>
      </c>
      <c r="E414">
        <v>11105.5</v>
      </c>
      <c r="F414">
        <v>11039.2</v>
      </c>
      <c r="G414">
        <v>11057.15</v>
      </c>
      <c r="H414">
        <v>0</v>
      </c>
      <c r="I414" s="8">
        <f t="shared" si="25"/>
        <v>1.1770937555175554E-3</v>
      </c>
      <c r="J414" s="8">
        <f t="shared" si="26"/>
        <v>1.1764015238240676E-3</v>
      </c>
      <c r="K414" s="8">
        <f t="shared" si="23"/>
        <v>-1.7514478786264664E-3</v>
      </c>
    </row>
    <row r="415" spans="1:11" x14ac:dyDescent="0.25">
      <c r="A415" t="str">
        <f t="shared" si="24"/>
        <v>82018</v>
      </c>
      <c r="B415" s="1">
        <v>43342</v>
      </c>
      <c r="C415" t="s">
        <v>276</v>
      </c>
      <c r="D415">
        <v>11073.2</v>
      </c>
      <c r="E415">
        <v>11077.7</v>
      </c>
      <c r="F415">
        <v>10995.15</v>
      </c>
      <c r="G415">
        <v>11007.6</v>
      </c>
      <c r="H415">
        <v>0</v>
      </c>
      <c r="I415" s="8">
        <f t="shared" si="25"/>
        <v>-4.4812632549978693E-3</v>
      </c>
      <c r="J415" s="8">
        <f t="shared" si="26"/>
        <v>-4.4913342135183476E-3</v>
      </c>
      <c r="K415" s="8">
        <f t="shared" si="23"/>
        <v>-1.4197264871974591E-3</v>
      </c>
    </row>
    <row r="416" spans="1:11" x14ac:dyDescent="0.25">
      <c r="A416" t="str">
        <f t="shared" si="24"/>
        <v>82018</v>
      </c>
      <c r="B416" s="1">
        <v>43343</v>
      </c>
      <c r="C416" t="s">
        <v>277</v>
      </c>
      <c r="D416">
        <v>11012.15</v>
      </c>
      <c r="E416">
        <v>11080.55</v>
      </c>
      <c r="F416">
        <v>10959.7</v>
      </c>
      <c r="G416">
        <v>11009.25</v>
      </c>
      <c r="H416">
        <v>0</v>
      </c>
      <c r="I416" s="8">
        <f t="shared" si="25"/>
        <v>1.4989643519025542E-4</v>
      </c>
      <c r="J416" s="8">
        <f t="shared" si="26"/>
        <v>1.4988520184215924E-4</v>
      </c>
      <c r="K416" s="8">
        <f t="shared" si="23"/>
        <v>2.0296806666089129E-3</v>
      </c>
    </row>
    <row r="417" spans="1:11" x14ac:dyDescent="0.25">
      <c r="A417" t="str">
        <f t="shared" si="24"/>
        <v>92018</v>
      </c>
      <c r="B417" s="1">
        <v>43346</v>
      </c>
      <c r="C417" s="10">
        <v>43168.645833333336</v>
      </c>
      <c r="D417">
        <v>11083.7</v>
      </c>
      <c r="E417">
        <v>11103.5</v>
      </c>
      <c r="F417">
        <v>10911.9</v>
      </c>
      <c r="G417">
        <v>10935.65</v>
      </c>
      <c r="H417">
        <v>0</v>
      </c>
      <c r="I417" s="8">
        <f t="shared" si="25"/>
        <v>-6.6852873719827066E-3</v>
      </c>
      <c r="J417" s="8">
        <f t="shared" si="26"/>
        <v>-6.7077340029916563E-3</v>
      </c>
      <c r="K417" s="8">
        <f t="shared" si="23"/>
        <v>-1.9738522837793648E-2</v>
      </c>
    </row>
    <row r="418" spans="1:11" x14ac:dyDescent="0.25">
      <c r="A418" t="str">
        <f t="shared" si="24"/>
        <v>92018</v>
      </c>
      <c r="B418" s="1">
        <v>43347</v>
      </c>
      <c r="C418" s="10">
        <v>43199.645833333336</v>
      </c>
      <c r="D418">
        <v>10975.75</v>
      </c>
      <c r="E418">
        <v>10981.95</v>
      </c>
      <c r="F418">
        <v>10742.8</v>
      </c>
      <c r="G418">
        <v>10754.1</v>
      </c>
      <c r="H418">
        <v>0</v>
      </c>
      <c r="I418" s="8">
        <f t="shared" si="25"/>
        <v>-1.6601665195941639E-2</v>
      </c>
      <c r="J418" s="8">
        <f t="shared" si="26"/>
        <v>-1.6741017310533034E-2</v>
      </c>
      <c r="K418" s="8">
        <f t="shared" si="23"/>
        <v>-4.2888928444286156E-2</v>
      </c>
    </row>
    <row r="419" spans="1:11" x14ac:dyDescent="0.25">
      <c r="A419" t="str">
        <f t="shared" si="24"/>
        <v>92018</v>
      </c>
      <c r="B419" s="1">
        <v>43348</v>
      </c>
      <c r="C419" s="10">
        <v>43229.645833333336</v>
      </c>
      <c r="D419">
        <v>10732.7</v>
      </c>
      <c r="E419">
        <v>10826.2</v>
      </c>
      <c r="F419">
        <v>10636.65</v>
      </c>
      <c r="G419">
        <v>10788.4</v>
      </c>
      <c r="H419">
        <v>0</v>
      </c>
      <c r="I419" s="8">
        <f t="shared" si="25"/>
        <v>3.1894812211155088E-3</v>
      </c>
      <c r="J419" s="8">
        <f t="shared" si="26"/>
        <v>3.1844056153880521E-3</v>
      </c>
      <c r="K419" s="8">
        <f t="shared" si="23"/>
        <v>-3.8989497688422525E-2</v>
      </c>
    </row>
    <row r="420" spans="1:11" x14ac:dyDescent="0.25">
      <c r="A420" t="str">
        <f t="shared" si="24"/>
        <v>92018</v>
      </c>
      <c r="B420" s="1">
        <v>43349</v>
      </c>
      <c r="C420" s="10">
        <v>43260.645833333336</v>
      </c>
      <c r="D420">
        <v>10864.65</v>
      </c>
      <c r="E420">
        <v>10864.65</v>
      </c>
      <c r="F420">
        <v>10721.3</v>
      </c>
      <c r="G420">
        <v>10798.55</v>
      </c>
      <c r="H420">
        <v>0</v>
      </c>
      <c r="I420" s="8">
        <f t="shared" si="25"/>
        <v>9.4082533091088827E-4</v>
      </c>
      <c r="J420" s="8">
        <f t="shared" si="26"/>
        <v>9.4038303215475633E-4</v>
      </c>
      <c r="K420" s="8">
        <f t="shared" si="23"/>
        <v>-3.9249268218902733E-2</v>
      </c>
    </row>
    <row r="421" spans="1:11" x14ac:dyDescent="0.25">
      <c r="A421" t="str">
        <f t="shared" si="24"/>
        <v>92018</v>
      </c>
      <c r="B421" s="1">
        <v>43350</v>
      </c>
      <c r="C421" s="10">
        <v>43290.645833333336</v>
      </c>
      <c r="D421">
        <v>10845.3</v>
      </c>
      <c r="E421">
        <v>11053.1</v>
      </c>
      <c r="F421">
        <v>10816.05</v>
      </c>
      <c r="G421">
        <v>11036.65</v>
      </c>
      <c r="H421">
        <v>0</v>
      </c>
      <c r="I421" s="8">
        <f t="shared" si="25"/>
        <v>2.2049256613156487E-2</v>
      </c>
      <c r="J421" s="8">
        <f t="shared" si="26"/>
        <v>2.1809686914782266E-2</v>
      </c>
      <c r="K421" s="8">
        <f t="shared" si="23"/>
        <v>-1.8388565736343065E-2</v>
      </c>
    </row>
    <row r="422" spans="1:11" x14ac:dyDescent="0.25">
      <c r="A422" t="str">
        <f t="shared" si="24"/>
        <v>92018</v>
      </c>
      <c r="B422" s="1">
        <v>43353</v>
      </c>
      <c r="C422" s="10">
        <v>43382.645833333336</v>
      </c>
      <c r="D422">
        <v>11019.25</v>
      </c>
      <c r="E422">
        <v>11023.25</v>
      </c>
      <c r="F422">
        <v>10825.8</v>
      </c>
      <c r="G422">
        <v>10843.9</v>
      </c>
      <c r="H422">
        <v>0</v>
      </c>
      <c r="I422" s="8">
        <f t="shared" si="25"/>
        <v>-1.7464538605464486E-2</v>
      </c>
      <c r="J422" s="8">
        <f t="shared" si="26"/>
        <v>-1.761884286763021E-2</v>
      </c>
      <c r="K422" s="8">
        <f t="shared" si="23"/>
        <v>-3.4913938876132589E-2</v>
      </c>
    </row>
    <row r="423" spans="1:11" x14ac:dyDescent="0.25">
      <c r="A423" t="str">
        <f t="shared" si="24"/>
        <v>92018</v>
      </c>
      <c r="B423" s="1">
        <v>43354</v>
      </c>
      <c r="C423" s="10">
        <v>43413.645833333336</v>
      </c>
      <c r="D423">
        <v>10885.3</v>
      </c>
      <c r="E423">
        <v>10905.85</v>
      </c>
      <c r="F423">
        <v>10656.75</v>
      </c>
      <c r="G423">
        <v>10681.4</v>
      </c>
      <c r="H423">
        <v>0</v>
      </c>
      <c r="I423" s="8">
        <f t="shared" si="25"/>
        <v>-1.4985383487490678E-2</v>
      </c>
      <c r="J423" s="8">
        <f t="shared" si="26"/>
        <v>-1.5098798821152275E-2</v>
      </c>
      <c r="K423" s="8">
        <f t="shared" si="23"/>
        <v>-4.995108067241838E-2</v>
      </c>
    </row>
    <row r="424" spans="1:11" x14ac:dyDescent="0.25">
      <c r="A424" t="str">
        <f t="shared" si="24"/>
        <v>92018</v>
      </c>
      <c r="B424" s="1">
        <v>43355</v>
      </c>
      <c r="C424" s="10">
        <v>43443.645833333336</v>
      </c>
      <c r="D424">
        <v>10719.3</v>
      </c>
      <c r="E424">
        <v>10727.8</v>
      </c>
      <c r="F424">
        <v>10529.65</v>
      </c>
      <c r="G424">
        <v>10692.75</v>
      </c>
      <c r="H424">
        <v>0</v>
      </c>
      <c r="I424" s="8">
        <f t="shared" si="25"/>
        <v>1.0625947909450595E-3</v>
      </c>
      <c r="J424" s="8">
        <f t="shared" si="26"/>
        <v>1.0620306367097206E-3</v>
      </c>
      <c r="K424" s="8">
        <f t="shared" si="23"/>
        <v>-4.2987366923087134E-2</v>
      </c>
    </row>
    <row r="425" spans="1:11" x14ac:dyDescent="0.25">
      <c r="A425" t="str">
        <f t="shared" si="24"/>
        <v>92018</v>
      </c>
      <c r="B425" s="1">
        <v>43357</v>
      </c>
      <c r="C425" t="s">
        <v>278</v>
      </c>
      <c r="D425">
        <v>10772</v>
      </c>
      <c r="E425">
        <v>10857.2</v>
      </c>
      <c r="F425">
        <v>10759.9</v>
      </c>
      <c r="G425">
        <v>10826.7</v>
      </c>
      <c r="H425">
        <v>0</v>
      </c>
      <c r="I425" s="8">
        <f t="shared" si="25"/>
        <v>1.2527179631058427E-2</v>
      </c>
      <c r="J425" s="8">
        <f t="shared" si="26"/>
        <v>1.2449363718318989E-2</v>
      </c>
      <c r="K425" s="8">
        <f t="shared" si="23"/>
        <v>-3.3628034221601433E-2</v>
      </c>
    </row>
    <row r="426" spans="1:11" x14ac:dyDescent="0.25">
      <c r="A426" t="str">
        <f t="shared" si="24"/>
        <v>92018</v>
      </c>
      <c r="B426" s="1">
        <v>43360</v>
      </c>
      <c r="C426" t="s">
        <v>279</v>
      </c>
      <c r="D426">
        <v>10772.25</v>
      </c>
      <c r="E426">
        <v>10791.15</v>
      </c>
      <c r="F426">
        <v>10695.15</v>
      </c>
      <c r="G426">
        <v>10730.8</v>
      </c>
      <c r="H426">
        <v>0</v>
      </c>
      <c r="I426" s="8">
        <f t="shared" si="25"/>
        <v>-8.8577313493494181E-3</v>
      </c>
      <c r="J426" s="8">
        <f t="shared" si="26"/>
        <v>-8.8971942590768838E-3</v>
      </c>
      <c r="K426" s="8">
        <f t="shared" si="23"/>
        <v>-3.1546837419395679E-2</v>
      </c>
    </row>
    <row r="427" spans="1:11" x14ac:dyDescent="0.25">
      <c r="A427" t="str">
        <f t="shared" si="24"/>
        <v>92018</v>
      </c>
      <c r="B427" s="1">
        <v>43361</v>
      </c>
      <c r="C427" t="s">
        <v>280</v>
      </c>
      <c r="D427">
        <v>10717.1</v>
      </c>
      <c r="E427">
        <v>10757.55</v>
      </c>
      <c r="F427">
        <v>10554.1</v>
      </c>
      <c r="G427">
        <v>10565.65</v>
      </c>
      <c r="H427">
        <v>0</v>
      </c>
      <c r="I427" s="8">
        <f t="shared" si="25"/>
        <v>-1.5390278450814421E-2</v>
      </c>
      <c r="J427" s="8">
        <f t="shared" si="26"/>
        <v>-1.5509938104113887E-2</v>
      </c>
      <c r="K427" s="8">
        <f t="shared" si="23"/>
        <v>-5.1331780001526495E-2</v>
      </c>
    </row>
    <row r="428" spans="1:11" x14ac:dyDescent="0.25">
      <c r="A428" t="str">
        <f t="shared" si="24"/>
        <v>92018</v>
      </c>
      <c r="B428" s="1">
        <v>43362</v>
      </c>
      <c r="C428" t="s">
        <v>281</v>
      </c>
      <c r="D428">
        <v>10609</v>
      </c>
      <c r="E428">
        <v>10655.15</v>
      </c>
      <c r="F428">
        <v>10484.799999999999</v>
      </c>
      <c r="G428">
        <v>10527.9</v>
      </c>
      <c r="H428">
        <v>0</v>
      </c>
      <c r="I428" s="8">
        <f t="shared" si="25"/>
        <v>-3.5728989697746405E-3</v>
      </c>
      <c r="J428" s="8">
        <f t="shared" si="26"/>
        <v>-3.5792970175638162E-3</v>
      </c>
      <c r="K428" s="8">
        <f t="shared" si="23"/>
        <v>-4.5798136533372058E-2</v>
      </c>
    </row>
    <row r="429" spans="1:11" x14ac:dyDescent="0.25">
      <c r="A429" t="str">
        <f t="shared" si="24"/>
        <v>92018</v>
      </c>
      <c r="B429" s="1">
        <v>43364</v>
      </c>
      <c r="C429" t="s">
        <v>282</v>
      </c>
      <c r="D429">
        <v>10616.75</v>
      </c>
      <c r="E429">
        <v>10635.65</v>
      </c>
      <c r="F429">
        <v>9934.85</v>
      </c>
      <c r="G429">
        <v>10407.4</v>
      </c>
      <c r="H429">
        <v>0</v>
      </c>
      <c r="I429" s="8">
        <f t="shared" si="25"/>
        <v>-1.144577741049968E-2</v>
      </c>
      <c r="J429" s="8">
        <f t="shared" si="26"/>
        <v>-1.1511784472216178E-2</v>
      </c>
      <c r="K429" s="8">
        <f t="shared" si="23"/>
        <v>-6.142399783559549E-2</v>
      </c>
    </row>
    <row r="430" spans="1:11" x14ac:dyDescent="0.25">
      <c r="A430" t="str">
        <f t="shared" si="24"/>
        <v>92018</v>
      </c>
      <c r="B430" s="1">
        <v>43367</v>
      </c>
      <c r="C430" t="s">
        <v>283</v>
      </c>
      <c r="D430">
        <v>10413.450000000001</v>
      </c>
      <c r="E430">
        <v>10419.85</v>
      </c>
      <c r="F430">
        <v>9973.15</v>
      </c>
      <c r="G430">
        <v>10001</v>
      </c>
      <c r="H430">
        <v>0</v>
      </c>
      <c r="I430" s="8">
        <f t="shared" si="25"/>
        <v>-3.9049138113265491E-2</v>
      </c>
      <c r="J430" s="8">
        <f t="shared" si="26"/>
        <v>-3.9832003591012091E-2</v>
      </c>
      <c r="K430" s="8">
        <f t="shared" si="23"/>
        <v>-8.3355865248454508E-2</v>
      </c>
    </row>
    <row r="431" spans="1:11" x14ac:dyDescent="0.25">
      <c r="A431" t="str">
        <f t="shared" si="24"/>
        <v>92018</v>
      </c>
      <c r="B431" s="1">
        <v>43368</v>
      </c>
      <c r="C431" t="s">
        <v>284</v>
      </c>
      <c r="D431">
        <v>9987.7000000000007</v>
      </c>
      <c r="E431">
        <v>10136.1</v>
      </c>
      <c r="F431">
        <v>9852.25</v>
      </c>
      <c r="G431">
        <v>10100.450000000001</v>
      </c>
      <c r="H431">
        <v>0</v>
      </c>
      <c r="I431" s="8">
        <f t="shared" si="25"/>
        <v>9.9440055994401977E-3</v>
      </c>
      <c r="J431" s="8">
        <f t="shared" si="26"/>
        <v>9.8948893157601893E-3</v>
      </c>
      <c r="K431" s="8">
        <f t="shared" si="23"/>
        <v>-6.92630919361229E-2</v>
      </c>
    </row>
    <row r="432" spans="1:11" x14ac:dyDescent="0.25">
      <c r="A432" t="str">
        <f t="shared" si="24"/>
        <v>92018</v>
      </c>
      <c r="B432" s="1">
        <v>43369</v>
      </c>
      <c r="C432" t="s">
        <v>285</v>
      </c>
      <c r="D432">
        <v>10186.65</v>
      </c>
      <c r="E432">
        <v>10199.75</v>
      </c>
      <c r="F432">
        <v>9971.6</v>
      </c>
      <c r="G432">
        <v>10002.200000000001</v>
      </c>
      <c r="H432">
        <v>0</v>
      </c>
      <c r="I432" s="8">
        <f t="shared" si="25"/>
        <v>-9.7272893781960024E-3</v>
      </c>
      <c r="J432" s="8">
        <f t="shared" si="26"/>
        <v>-9.7749085125445907E-3</v>
      </c>
      <c r="K432" s="8">
        <f t="shared" si="23"/>
        <v>-6.6628095780220553E-2</v>
      </c>
    </row>
    <row r="433" spans="1:11" x14ac:dyDescent="0.25">
      <c r="A433" t="str">
        <f t="shared" si="24"/>
        <v>92018</v>
      </c>
      <c r="B433" s="1">
        <v>43370</v>
      </c>
      <c r="C433" t="s">
        <v>286</v>
      </c>
      <c r="D433">
        <v>10022.799999999999</v>
      </c>
      <c r="E433">
        <v>10056.25</v>
      </c>
      <c r="F433">
        <v>9791.65</v>
      </c>
      <c r="G433">
        <v>9815.4</v>
      </c>
      <c r="H433">
        <v>0</v>
      </c>
      <c r="I433" s="8">
        <f t="shared" si="25"/>
        <v>-1.8675891303913228E-2</v>
      </c>
      <c r="J433" s="8">
        <f t="shared" si="26"/>
        <v>-1.8852487951550999E-2</v>
      </c>
      <c r="K433" s="8">
        <f t="shared" si="23"/>
        <v>-7.6857965126121641E-2</v>
      </c>
    </row>
    <row r="434" spans="1:11" x14ac:dyDescent="0.25">
      <c r="A434" t="str">
        <f t="shared" si="24"/>
        <v>92018</v>
      </c>
      <c r="B434" s="1">
        <v>43371</v>
      </c>
      <c r="C434" t="s">
        <v>287</v>
      </c>
      <c r="D434">
        <v>9863.1</v>
      </c>
      <c r="E434">
        <v>9896.9</v>
      </c>
      <c r="F434">
        <v>9456.6</v>
      </c>
      <c r="G434">
        <v>9590.25</v>
      </c>
      <c r="H434">
        <v>0</v>
      </c>
      <c r="I434" s="8">
        <f t="shared" si="25"/>
        <v>-2.2938443670150965E-2</v>
      </c>
      <c r="J434" s="8">
        <f t="shared" si="26"/>
        <v>-2.3205623468793218E-2</v>
      </c>
      <c r="K434" s="8">
        <f t="shared" si="23"/>
        <v>-0.10447238550571702</v>
      </c>
    </row>
    <row r="435" spans="1:11" x14ac:dyDescent="0.25">
      <c r="A435" t="str">
        <f t="shared" si="24"/>
        <v>102018</v>
      </c>
      <c r="B435" s="1">
        <v>43374</v>
      </c>
      <c r="C435" s="10">
        <v>43110.645833333336</v>
      </c>
      <c r="D435">
        <v>9589.65</v>
      </c>
      <c r="E435">
        <v>9679.85</v>
      </c>
      <c r="F435">
        <v>9400.85</v>
      </c>
      <c r="G435">
        <v>9659.5499999999993</v>
      </c>
      <c r="H435">
        <v>0</v>
      </c>
      <c r="I435" s="8">
        <f t="shared" si="25"/>
        <v>7.2260889966371256E-3</v>
      </c>
      <c r="J435" s="8">
        <f t="shared" si="26"/>
        <v>7.2001059111833016E-3</v>
      </c>
      <c r="K435" s="8">
        <f t="shared" si="23"/>
        <v>-9.4343602917737024E-2</v>
      </c>
    </row>
    <row r="436" spans="1:11" x14ac:dyDescent="0.25">
      <c r="A436" t="str">
        <f t="shared" si="24"/>
        <v>102018</v>
      </c>
      <c r="B436" s="1">
        <v>43376</v>
      </c>
      <c r="C436" s="10">
        <v>43169.645833333336</v>
      </c>
      <c r="D436">
        <v>9640.85</v>
      </c>
      <c r="E436">
        <v>9640.85</v>
      </c>
      <c r="F436">
        <v>9346.9</v>
      </c>
      <c r="G436">
        <v>9375.2999999999993</v>
      </c>
      <c r="H436">
        <v>0</v>
      </c>
      <c r="I436" s="8">
        <f t="shared" si="25"/>
        <v>-2.942683665388135E-2</v>
      </c>
      <c r="J436" s="8">
        <f t="shared" si="26"/>
        <v>-2.9868491943948191E-2</v>
      </c>
      <c r="K436" s="8">
        <f t="shared" si="23"/>
        <v>-0.13023754192120907</v>
      </c>
    </row>
    <row r="437" spans="1:11" x14ac:dyDescent="0.25">
      <c r="A437" t="str">
        <f t="shared" si="24"/>
        <v>102018</v>
      </c>
      <c r="B437" s="1">
        <v>43377</v>
      </c>
      <c r="C437" s="10">
        <v>43200.645833333336</v>
      </c>
      <c r="D437">
        <v>9248.1</v>
      </c>
      <c r="E437">
        <v>9303.4500000000007</v>
      </c>
      <c r="F437">
        <v>9099.9500000000007</v>
      </c>
      <c r="G437">
        <v>9207</v>
      </c>
      <c r="H437">
        <v>0</v>
      </c>
      <c r="I437" s="8">
        <f t="shared" si="25"/>
        <v>-1.7951425554382228E-2</v>
      </c>
      <c r="J437" s="8">
        <f t="shared" si="26"/>
        <v>-1.8114507038776591E-2</v>
      </c>
      <c r="K437" s="8">
        <f t="shared" si="23"/>
        <v>-0.15643167023230886</v>
      </c>
    </row>
    <row r="438" spans="1:11" x14ac:dyDescent="0.25">
      <c r="A438" t="str">
        <f t="shared" si="24"/>
        <v>102018</v>
      </c>
      <c r="B438" s="1">
        <v>43378</v>
      </c>
      <c r="C438" s="10">
        <v>43230.645833333336</v>
      </c>
      <c r="D438">
        <v>9130.25</v>
      </c>
      <c r="E438">
        <v>9200.5</v>
      </c>
      <c r="F438">
        <v>8837.35</v>
      </c>
      <c r="G438">
        <v>8915.1</v>
      </c>
      <c r="H438">
        <v>0</v>
      </c>
      <c r="I438" s="8">
        <f t="shared" si="25"/>
        <v>-3.1704138155751016E-2</v>
      </c>
      <c r="J438" s="8">
        <f t="shared" si="26"/>
        <v>-3.2217596003599802E-2</v>
      </c>
      <c r="K438" s="8">
        <f t="shared" si="23"/>
        <v>-0.18402855639200966</v>
      </c>
    </row>
    <row r="439" spans="1:11" x14ac:dyDescent="0.25">
      <c r="A439" t="str">
        <f t="shared" si="24"/>
        <v>102018</v>
      </c>
      <c r="B439" s="1">
        <v>43381</v>
      </c>
      <c r="C439" s="10">
        <v>43322.645833333336</v>
      </c>
      <c r="D439">
        <v>8907</v>
      </c>
      <c r="E439">
        <v>9011.5</v>
      </c>
      <c r="F439">
        <v>8747.25</v>
      </c>
      <c r="G439">
        <v>8969.1</v>
      </c>
      <c r="H439">
        <v>0</v>
      </c>
      <c r="I439" s="8">
        <f t="shared" si="25"/>
        <v>6.0571390113404178E-3</v>
      </c>
      <c r="J439" s="8">
        <f t="shared" si="26"/>
        <v>6.0388682865978949E-3</v>
      </c>
      <c r="K439" s="8">
        <f t="shared" si="23"/>
        <v>-0.18962580808377416</v>
      </c>
    </row>
    <row r="440" spans="1:11" x14ac:dyDescent="0.25">
      <c r="A440" t="str">
        <f t="shared" si="24"/>
        <v>102018</v>
      </c>
      <c r="B440" s="1">
        <v>43382</v>
      </c>
      <c r="C440" s="10">
        <v>43353.645833333336</v>
      </c>
      <c r="D440">
        <v>8935.1</v>
      </c>
      <c r="E440">
        <v>8960.75</v>
      </c>
      <c r="F440">
        <v>8672.2000000000007</v>
      </c>
      <c r="G440">
        <v>8732.9</v>
      </c>
      <c r="H440">
        <v>0</v>
      </c>
      <c r="I440" s="8">
        <f t="shared" si="25"/>
        <v>-2.6334860799857363E-2</v>
      </c>
      <c r="J440" s="8">
        <f t="shared" si="26"/>
        <v>-2.6687834041405633E-2</v>
      </c>
      <c r="K440" s="8">
        <f t="shared" si="23"/>
        <v>-0.21577096981316768</v>
      </c>
    </row>
    <row r="441" spans="1:11" x14ac:dyDescent="0.25">
      <c r="A441" t="str">
        <f t="shared" si="24"/>
        <v>102018</v>
      </c>
      <c r="B441" s="1">
        <v>43383</v>
      </c>
      <c r="C441" s="10">
        <v>43383.645833333336</v>
      </c>
      <c r="D441">
        <v>8784.35</v>
      </c>
      <c r="E441">
        <v>8981.25</v>
      </c>
      <c r="F441">
        <v>8777.1</v>
      </c>
      <c r="G441">
        <v>8961.9500000000007</v>
      </c>
      <c r="H441">
        <v>0</v>
      </c>
      <c r="I441" s="8">
        <f t="shared" si="25"/>
        <v>2.622840064583376E-2</v>
      </c>
      <c r="J441" s="8">
        <f t="shared" si="26"/>
        <v>2.5890334689281563E-2</v>
      </c>
      <c r="K441" s="8">
        <f t="shared" si="23"/>
        <v>-0.20261673428713789</v>
      </c>
    </row>
    <row r="442" spans="1:11" x14ac:dyDescent="0.25">
      <c r="A442" t="str">
        <f t="shared" si="24"/>
        <v>102018</v>
      </c>
      <c r="B442" s="1">
        <v>43384</v>
      </c>
      <c r="C442" s="10">
        <v>43414.645833333336</v>
      </c>
      <c r="D442">
        <v>8699.5</v>
      </c>
      <c r="E442">
        <v>8871.35</v>
      </c>
      <c r="F442">
        <v>8599.4500000000007</v>
      </c>
      <c r="G442">
        <v>8739.5</v>
      </c>
      <c r="H442">
        <v>0</v>
      </c>
      <c r="I442" s="8">
        <f t="shared" si="25"/>
        <v>-2.4821606904747329E-2</v>
      </c>
      <c r="J442" s="8">
        <f t="shared" si="26"/>
        <v>-2.5134857443578455E-2</v>
      </c>
      <c r="K442" s="8">
        <f t="shared" si="23"/>
        <v>-0.21459640167514427</v>
      </c>
    </row>
    <row r="443" spans="1:11" x14ac:dyDescent="0.25">
      <c r="A443" t="str">
        <f t="shared" si="24"/>
        <v>102018</v>
      </c>
      <c r="B443" s="1">
        <v>43385</v>
      </c>
      <c r="C443" s="10">
        <v>43444.645833333336</v>
      </c>
      <c r="D443">
        <v>8847.4500000000007</v>
      </c>
      <c r="E443">
        <v>9123.5499999999993</v>
      </c>
      <c r="F443">
        <v>8835.4500000000007</v>
      </c>
      <c r="G443">
        <v>9084.4500000000007</v>
      </c>
      <c r="H443">
        <v>0</v>
      </c>
      <c r="I443" s="8">
        <f t="shared" si="25"/>
        <v>3.947022140854739E-2</v>
      </c>
      <c r="J443" s="8">
        <f t="shared" si="26"/>
        <v>3.8711180871972013E-2</v>
      </c>
      <c r="K443" s="8">
        <f t="shared" si="23"/>
        <v>-0.17698405508244242</v>
      </c>
    </row>
    <row r="444" spans="1:11" x14ac:dyDescent="0.25">
      <c r="A444" t="str">
        <f t="shared" si="24"/>
        <v>102018</v>
      </c>
      <c r="B444" s="1">
        <v>43388</v>
      </c>
      <c r="C444" t="s">
        <v>288</v>
      </c>
      <c r="D444">
        <v>9148.1</v>
      </c>
      <c r="E444">
        <v>9151.5</v>
      </c>
      <c r="F444">
        <v>8953.0499999999993</v>
      </c>
      <c r="G444">
        <v>9034.6</v>
      </c>
      <c r="H444">
        <v>0</v>
      </c>
      <c r="I444" s="8">
        <f t="shared" si="25"/>
        <v>-5.4873987968452331E-3</v>
      </c>
      <c r="J444" s="8">
        <f t="shared" si="26"/>
        <v>-5.5025098753186162E-3</v>
      </c>
      <c r="K444" s="8">
        <f t="shared" si="23"/>
        <v>-0.17890039579934647</v>
      </c>
    </row>
    <row r="445" spans="1:11" x14ac:dyDescent="0.25">
      <c r="A445" t="str">
        <f t="shared" si="24"/>
        <v>102018</v>
      </c>
      <c r="B445" s="1">
        <v>43389</v>
      </c>
      <c r="C445" t="s">
        <v>289</v>
      </c>
      <c r="D445">
        <v>9072.7000000000007</v>
      </c>
      <c r="E445">
        <v>9181.15</v>
      </c>
      <c r="F445">
        <v>9055.4500000000007</v>
      </c>
      <c r="G445">
        <v>9102.9</v>
      </c>
      <c r="H445">
        <v>0</v>
      </c>
      <c r="I445" s="8">
        <f t="shared" si="25"/>
        <v>7.5598255595155095E-3</v>
      </c>
      <c r="J445" s="8">
        <f t="shared" si="26"/>
        <v>7.5313932837220762E-3</v>
      </c>
      <c r="K445" s="8">
        <f t="shared" si="23"/>
        <v>-0.15987319049574766</v>
      </c>
    </row>
    <row r="446" spans="1:11" x14ac:dyDescent="0.25">
      <c r="A446" t="str">
        <f t="shared" si="24"/>
        <v>102018</v>
      </c>
      <c r="B446" s="1">
        <v>43390</v>
      </c>
      <c r="C446" t="s">
        <v>290</v>
      </c>
      <c r="D446">
        <v>9206.5499999999993</v>
      </c>
      <c r="E446">
        <v>9216.5499999999993</v>
      </c>
      <c r="F446">
        <v>8820.4</v>
      </c>
      <c r="G446">
        <v>8834.7000000000007</v>
      </c>
      <c r="H446">
        <v>0</v>
      </c>
      <c r="I446" s="8">
        <f t="shared" si="25"/>
        <v>-2.9463138120818466E-2</v>
      </c>
      <c r="J446" s="8">
        <f t="shared" si="26"/>
        <v>-2.9905894735618527E-2</v>
      </c>
      <c r="K446" s="8">
        <f t="shared" si="23"/>
        <v>-0.19432956550683256</v>
      </c>
    </row>
    <row r="447" spans="1:11" x14ac:dyDescent="0.25">
      <c r="A447" t="str">
        <f t="shared" si="24"/>
        <v>102018</v>
      </c>
      <c r="B447" s="1">
        <v>43392</v>
      </c>
      <c r="C447" t="s">
        <v>291</v>
      </c>
      <c r="D447">
        <v>8772.9500000000007</v>
      </c>
      <c r="E447">
        <v>8819.9500000000007</v>
      </c>
      <c r="F447">
        <v>8614.5</v>
      </c>
      <c r="G447">
        <v>8690.25</v>
      </c>
      <c r="H447">
        <v>0</v>
      </c>
      <c r="I447" s="8">
        <f t="shared" si="25"/>
        <v>-1.6350300519542338E-2</v>
      </c>
      <c r="J447" s="8">
        <f t="shared" si="26"/>
        <v>-1.6485441774616881E-2</v>
      </c>
      <c r="K447" s="8">
        <f t="shared" si="23"/>
        <v>-0.19598745443443188</v>
      </c>
    </row>
    <row r="448" spans="1:11" x14ac:dyDescent="0.25">
      <c r="A448" t="str">
        <f t="shared" si="24"/>
        <v>102018</v>
      </c>
      <c r="B448" s="1">
        <v>43395</v>
      </c>
      <c r="C448" t="s">
        <v>292</v>
      </c>
      <c r="D448">
        <v>8774.2999999999993</v>
      </c>
      <c r="E448">
        <v>8791.0499999999993</v>
      </c>
      <c r="F448">
        <v>8652.6</v>
      </c>
      <c r="G448">
        <v>8700.4500000000007</v>
      </c>
      <c r="H448">
        <v>0</v>
      </c>
      <c r="I448" s="8">
        <f t="shared" si="25"/>
        <v>1.173729179252625E-3</v>
      </c>
      <c r="J448" s="8">
        <f t="shared" si="26"/>
        <v>1.1730408976776442E-3</v>
      </c>
      <c r="K448" s="8">
        <f t="shared" ref="K448:K511" si="27">+G448/G387-1</f>
        <v>-0.19432817853504947</v>
      </c>
    </row>
    <row r="449" spans="1:11" x14ac:dyDescent="0.25">
      <c r="A449" t="str">
        <f t="shared" si="24"/>
        <v>102018</v>
      </c>
      <c r="B449" s="1">
        <v>43396</v>
      </c>
      <c r="C449" t="s">
        <v>293</v>
      </c>
      <c r="D449">
        <v>8648.0499999999993</v>
      </c>
      <c r="E449">
        <v>8719.0499999999993</v>
      </c>
      <c r="F449">
        <v>8577.75</v>
      </c>
      <c r="G449">
        <v>8649.15</v>
      </c>
      <c r="H449">
        <v>0</v>
      </c>
      <c r="I449" s="8">
        <f t="shared" si="25"/>
        <v>-5.8962467458580914E-3</v>
      </c>
      <c r="J449" s="8">
        <f t="shared" si="26"/>
        <v>-5.9136982413973633E-3</v>
      </c>
      <c r="K449" s="8">
        <f t="shared" si="27"/>
        <v>-0.1956299348070718</v>
      </c>
    </row>
    <row r="450" spans="1:11" x14ac:dyDescent="0.25">
      <c r="A450" t="str">
        <f t="shared" si="24"/>
        <v>102018</v>
      </c>
      <c r="B450" s="1">
        <v>43397</v>
      </c>
      <c r="C450" t="s">
        <v>294</v>
      </c>
      <c r="D450">
        <v>8758.2000000000007</v>
      </c>
      <c r="E450">
        <v>8787.15</v>
      </c>
      <c r="F450">
        <v>8569.85</v>
      </c>
      <c r="G450">
        <v>8663.9</v>
      </c>
      <c r="H450">
        <v>0</v>
      </c>
      <c r="I450" s="8">
        <f t="shared" si="25"/>
        <v>1.7053698918390037E-3</v>
      </c>
      <c r="J450" s="8">
        <f t="shared" si="26"/>
        <v>1.7039173997280828E-3</v>
      </c>
      <c r="K450" s="8">
        <f t="shared" si="27"/>
        <v>-0.19559727406086946</v>
      </c>
    </row>
    <row r="451" spans="1:11" x14ac:dyDescent="0.25">
      <c r="A451" t="str">
        <f t="shared" ref="A451:A514" si="28">+MONTH(B451)&amp;YEAR(B451)</f>
        <v>102018</v>
      </c>
      <c r="B451" s="1">
        <v>43398</v>
      </c>
      <c r="C451" t="s">
        <v>295</v>
      </c>
      <c r="D451">
        <v>8573</v>
      </c>
      <c r="E451">
        <v>8640.25</v>
      </c>
      <c r="F451">
        <v>8507.7000000000007</v>
      </c>
      <c r="G451">
        <v>8580.9500000000007</v>
      </c>
      <c r="H451">
        <v>0</v>
      </c>
      <c r="I451" s="8">
        <f t="shared" si="25"/>
        <v>-9.5742102286497932E-3</v>
      </c>
      <c r="J451" s="8">
        <f t="shared" si="26"/>
        <v>-9.6203376378550757E-3</v>
      </c>
      <c r="K451" s="8">
        <f t="shared" si="27"/>
        <v>-0.20995184738475126</v>
      </c>
    </row>
    <row r="452" spans="1:11" x14ac:dyDescent="0.25">
      <c r="A452" t="str">
        <f t="shared" si="28"/>
        <v>102018</v>
      </c>
      <c r="B452" s="1">
        <v>43399</v>
      </c>
      <c r="C452" t="s">
        <v>296</v>
      </c>
      <c r="D452">
        <v>8590.65</v>
      </c>
      <c r="E452">
        <v>8686.4500000000007</v>
      </c>
      <c r="F452">
        <v>8497.7000000000007</v>
      </c>
      <c r="G452">
        <v>8578.0499999999993</v>
      </c>
      <c r="H452">
        <v>0</v>
      </c>
      <c r="I452" s="8">
        <f t="shared" ref="I452:I515" si="29">+G452/G451-1</f>
        <v>-3.3795791841251255E-4</v>
      </c>
      <c r="J452" s="8">
        <f t="shared" ref="J452:J515" si="30">+LN(1+I452)</f>
        <v>-3.380150390597673E-4</v>
      </c>
      <c r="K452" s="8">
        <f t="shared" si="27"/>
        <v>-0.20646718994999991</v>
      </c>
    </row>
    <row r="453" spans="1:11" x14ac:dyDescent="0.25">
      <c r="A453" t="str">
        <f t="shared" si="28"/>
        <v>102018</v>
      </c>
      <c r="B453" s="1">
        <v>43402</v>
      </c>
      <c r="C453" t="s">
        <v>297</v>
      </c>
      <c r="D453">
        <v>8615.25</v>
      </c>
      <c r="E453">
        <v>8739.2000000000007</v>
      </c>
      <c r="F453">
        <v>8574.15</v>
      </c>
      <c r="G453">
        <v>8723.9</v>
      </c>
      <c r="H453">
        <v>0</v>
      </c>
      <c r="I453" s="8">
        <f t="shared" si="29"/>
        <v>1.7002698748550094E-2</v>
      </c>
      <c r="J453" s="8">
        <f t="shared" si="30"/>
        <v>1.6859770699627769E-2</v>
      </c>
      <c r="K453" s="8">
        <f t="shared" si="27"/>
        <v>-0.18998142989786448</v>
      </c>
    </row>
    <row r="454" spans="1:11" x14ac:dyDescent="0.25">
      <c r="A454" t="str">
        <f t="shared" si="28"/>
        <v>102018</v>
      </c>
      <c r="B454" s="1">
        <v>43403</v>
      </c>
      <c r="C454" t="s">
        <v>298</v>
      </c>
      <c r="D454">
        <v>8745.7999999999993</v>
      </c>
      <c r="E454">
        <v>8840</v>
      </c>
      <c r="F454">
        <v>8709.0499999999993</v>
      </c>
      <c r="G454">
        <v>8744.6</v>
      </c>
      <c r="H454">
        <v>0</v>
      </c>
      <c r="I454" s="8">
        <f t="shared" si="29"/>
        <v>2.3727919852361001E-3</v>
      </c>
      <c r="J454" s="8">
        <f t="shared" si="30"/>
        <v>2.3699813594756725E-3</v>
      </c>
      <c r="K454" s="8">
        <f t="shared" si="27"/>
        <v>-0.19588406223562727</v>
      </c>
    </row>
    <row r="455" spans="1:11" x14ac:dyDescent="0.25">
      <c r="A455" t="str">
        <f t="shared" si="28"/>
        <v>102018</v>
      </c>
      <c r="B455" s="1">
        <v>43404</v>
      </c>
      <c r="C455" t="s">
        <v>299</v>
      </c>
      <c r="D455">
        <v>8785.2999999999993</v>
      </c>
      <c r="E455">
        <v>8833.85</v>
      </c>
      <c r="F455">
        <v>8600.5499999999993</v>
      </c>
      <c r="G455">
        <v>8820.5499999999993</v>
      </c>
      <c r="H455">
        <v>0</v>
      </c>
      <c r="I455" s="8">
        <f t="shared" si="29"/>
        <v>8.6853601079521781E-3</v>
      </c>
      <c r="J455" s="8">
        <f t="shared" si="30"/>
        <v>8.6478593498058344E-3</v>
      </c>
      <c r="K455" s="8">
        <f t="shared" si="27"/>
        <v>-0.19263069734234628</v>
      </c>
    </row>
    <row r="456" spans="1:11" x14ac:dyDescent="0.25">
      <c r="A456" t="str">
        <f t="shared" si="28"/>
        <v>112018</v>
      </c>
      <c r="B456" s="1">
        <v>43405</v>
      </c>
      <c r="C456" s="10">
        <v>43111.645833333336</v>
      </c>
      <c r="D456">
        <v>8874.75</v>
      </c>
      <c r="E456">
        <v>8922</v>
      </c>
      <c r="F456">
        <v>8784.6</v>
      </c>
      <c r="G456">
        <v>8814.2000000000007</v>
      </c>
      <c r="H456">
        <v>0</v>
      </c>
      <c r="I456" s="8">
        <f t="shared" si="29"/>
        <v>-7.199097561941814E-4</v>
      </c>
      <c r="J456" s="8">
        <f t="shared" si="30"/>
        <v>-7.2016901565912634E-4</v>
      </c>
      <c r="K456" s="8">
        <f t="shared" si="27"/>
        <v>-0.19679234536963197</v>
      </c>
    </row>
    <row r="457" spans="1:11" x14ac:dyDescent="0.25">
      <c r="A457" t="str">
        <f t="shared" si="28"/>
        <v>112018</v>
      </c>
      <c r="B457" s="1">
        <v>43406</v>
      </c>
      <c r="C457" s="10">
        <v>43142.645833333336</v>
      </c>
      <c r="D457">
        <v>8907.4</v>
      </c>
      <c r="E457">
        <v>9225.35</v>
      </c>
      <c r="F457">
        <v>8904.2000000000007</v>
      </c>
      <c r="G457">
        <v>9180.2000000000007</v>
      </c>
      <c r="H457">
        <v>0</v>
      </c>
      <c r="I457" s="8">
        <f t="shared" si="29"/>
        <v>4.1523904608472773E-2</v>
      </c>
      <c r="J457" s="8">
        <f t="shared" si="30"/>
        <v>4.0684933551963592E-2</v>
      </c>
      <c r="K457" s="8">
        <f t="shared" si="27"/>
        <v>-0.15701416883224206</v>
      </c>
    </row>
    <row r="458" spans="1:11" x14ac:dyDescent="0.25">
      <c r="A458" t="str">
        <f t="shared" si="28"/>
        <v>112018</v>
      </c>
      <c r="B458" s="1">
        <v>43409</v>
      </c>
      <c r="C458" s="10">
        <v>43231.791666666664</v>
      </c>
      <c r="D458">
        <v>9199.9</v>
      </c>
      <c r="E458">
        <v>9223.2000000000007</v>
      </c>
      <c r="F458">
        <v>9106.9500000000007</v>
      </c>
      <c r="G458">
        <v>9153.65</v>
      </c>
      <c r="H458">
        <v>0</v>
      </c>
      <c r="I458" s="8">
        <f t="shared" si="29"/>
        <v>-2.8920938541645569E-3</v>
      </c>
      <c r="J458" s="8">
        <f t="shared" si="30"/>
        <v>-2.8962840384828444E-3</v>
      </c>
      <c r="K458" s="8">
        <f t="shared" si="27"/>
        <v>-0.14720062606848561</v>
      </c>
    </row>
    <row r="459" spans="1:11" x14ac:dyDescent="0.25">
      <c r="A459" t="str">
        <f t="shared" si="28"/>
        <v>112018</v>
      </c>
      <c r="B459" s="1">
        <v>43410</v>
      </c>
      <c r="C459" s="10">
        <v>43262.645833333336</v>
      </c>
      <c r="D459">
        <v>9198.85</v>
      </c>
      <c r="E459">
        <v>9255.1</v>
      </c>
      <c r="F459">
        <v>9093.7000000000007</v>
      </c>
      <c r="G459">
        <v>9130.4500000000007</v>
      </c>
      <c r="H459">
        <v>0</v>
      </c>
      <c r="I459" s="8">
        <f t="shared" si="29"/>
        <v>-2.5345080924001895E-3</v>
      </c>
      <c r="J459" s="8">
        <f t="shared" si="30"/>
        <v>-2.5377253953720821E-3</v>
      </c>
      <c r="K459" s="8">
        <f t="shared" si="27"/>
        <v>-0.15265004222620238</v>
      </c>
    </row>
    <row r="460" spans="1:11" x14ac:dyDescent="0.25">
      <c r="A460" t="str">
        <f t="shared" si="28"/>
        <v>112018</v>
      </c>
      <c r="B460" s="1">
        <v>43413</v>
      </c>
      <c r="C460" s="10">
        <v>43354.645833333336</v>
      </c>
      <c r="D460">
        <v>9234.2000000000007</v>
      </c>
      <c r="E460">
        <v>9345.35</v>
      </c>
      <c r="F460">
        <v>9185.65</v>
      </c>
      <c r="G460">
        <v>9277.75</v>
      </c>
      <c r="H460">
        <v>0</v>
      </c>
      <c r="I460" s="8">
        <f t="shared" si="29"/>
        <v>1.6132830254806718E-2</v>
      </c>
      <c r="J460" s="8">
        <f t="shared" si="30"/>
        <v>1.6004079050535535E-2</v>
      </c>
      <c r="K460" s="8">
        <f t="shared" si="27"/>
        <v>-0.14275880548471742</v>
      </c>
    </row>
    <row r="461" spans="1:11" x14ac:dyDescent="0.25">
      <c r="A461" t="str">
        <f t="shared" si="28"/>
        <v>112018</v>
      </c>
      <c r="B461" s="1">
        <v>43416</v>
      </c>
      <c r="C461" s="10">
        <v>43445.645833333336</v>
      </c>
      <c r="D461">
        <v>9291</v>
      </c>
      <c r="E461">
        <v>9326.7000000000007</v>
      </c>
      <c r="F461">
        <v>9024</v>
      </c>
      <c r="G461">
        <v>9051.5</v>
      </c>
      <c r="H461">
        <v>0</v>
      </c>
      <c r="I461" s="8">
        <f t="shared" si="29"/>
        <v>-2.4386300557786122E-2</v>
      </c>
      <c r="J461" s="8">
        <f t="shared" si="30"/>
        <v>-2.4688570670270846E-2</v>
      </c>
      <c r="K461" s="8">
        <f t="shared" si="27"/>
        <v>-0.16619456227862905</v>
      </c>
    </row>
    <row r="462" spans="1:11" x14ac:dyDescent="0.25">
      <c r="A462" t="str">
        <f t="shared" si="28"/>
        <v>112018</v>
      </c>
      <c r="B462" s="1">
        <v>43417</v>
      </c>
      <c r="C462" t="s">
        <v>300</v>
      </c>
      <c r="D462">
        <v>8979.5</v>
      </c>
      <c r="E462">
        <v>9142.0499999999993</v>
      </c>
      <c r="F462">
        <v>8961.6</v>
      </c>
      <c r="G462">
        <v>9126.9</v>
      </c>
      <c r="H462">
        <v>0</v>
      </c>
      <c r="I462" s="8">
        <f t="shared" si="29"/>
        <v>8.3301110313207527E-3</v>
      </c>
      <c r="J462" s="8">
        <f t="shared" si="30"/>
        <v>8.2956071381714899E-3</v>
      </c>
      <c r="K462" s="8">
        <f t="shared" si="27"/>
        <v>-0.15657228403504242</v>
      </c>
    </row>
    <row r="463" spans="1:11" x14ac:dyDescent="0.25">
      <c r="A463" t="str">
        <f t="shared" si="28"/>
        <v>112018</v>
      </c>
      <c r="B463" s="1">
        <v>43418</v>
      </c>
      <c r="C463" t="s">
        <v>301</v>
      </c>
      <c r="D463">
        <v>9150.7999999999993</v>
      </c>
      <c r="E463">
        <v>9225.75</v>
      </c>
      <c r="F463">
        <v>9029.65</v>
      </c>
      <c r="G463">
        <v>9051.4</v>
      </c>
      <c r="H463">
        <v>0</v>
      </c>
      <c r="I463" s="8">
        <f t="shared" si="29"/>
        <v>-8.2722501616101507E-3</v>
      </c>
      <c r="J463" s="8">
        <f t="shared" si="30"/>
        <v>-8.3066550918143769E-3</v>
      </c>
      <c r="K463" s="8">
        <f t="shared" si="27"/>
        <v>-0.16297693687695347</v>
      </c>
    </row>
    <row r="464" spans="1:11" x14ac:dyDescent="0.25">
      <c r="A464" t="str">
        <f t="shared" si="28"/>
        <v>112018</v>
      </c>
      <c r="B464" s="1">
        <v>43419</v>
      </c>
      <c r="C464" t="s">
        <v>302</v>
      </c>
      <c r="D464">
        <v>9086.9</v>
      </c>
      <c r="E464">
        <v>9144.1</v>
      </c>
      <c r="F464">
        <v>9030.35</v>
      </c>
      <c r="G464">
        <v>9108.25</v>
      </c>
      <c r="H464">
        <v>0</v>
      </c>
      <c r="I464" s="8">
        <f t="shared" si="29"/>
        <v>6.2807963408975098E-3</v>
      </c>
      <c r="J464" s="8">
        <f t="shared" si="30"/>
        <v>6.2611543415878315E-3</v>
      </c>
      <c r="K464" s="8">
        <f t="shared" si="27"/>
        <v>-0.15971290056229792</v>
      </c>
    </row>
    <row r="465" spans="1:11" x14ac:dyDescent="0.25">
      <c r="A465" t="str">
        <f t="shared" si="28"/>
        <v>112018</v>
      </c>
      <c r="B465" s="1">
        <v>43420</v>
      </c>
      <c r="C465" t="s">
        <v>303</v>
      </c>
      <c r="D465">
        <v>9128.5</v>
      </c>
      <c r="E465">
        <v>9183.4</v>
      </c>
      <c r="F465">
        <v>9068.4500000000007</v>
      </c>
      <c r="G465">
        <v>9112.35</v>
      </c>
      <c r="H465">
        <v>0</v>
      </c>
      <c r="I465" s="8">
        <f t="shared" si="29"/>
        <v>4.501413553645861E-4</v>
      </c>
      <c r="J465" s="8">
        <f t="shared" si="30"/>
        <v>4.5004007213805407E-4</v>
      </c>
      <c r="K465" s="8">
        <f t="shared" si="27"/>
        <v>-0.15286751513010499</v>
      </c>
    </row>
    <row r="466" spans="1:11" x14ac:dyDescent="0.25">
      <c r="A466" t="str">
        <f t="shared" si="28"/>
        <v>112018</v>
      </c>
      <c r="B466" s="1">
        <v>43423</v>
      </c>
      <c r="C466" t="s">
        <v>304</v>
      </c>
      <c r="D466">
        <v>9159.2000000000007</v>
      </c>
      <c r="E466">
        <v>9225.9</v>
      </c>
      <c r="F466">
        <v>9140.9500000000007</v>
      </c>
      <c r="G466">
        <v>9207.65</v>
      </c>
      <c r="H466">
        <v>0</v>
      </c>
      <c r="I466" s="8">
        <f t="shared" si="29"/>
        <v>1.0458334019215698E-2</v>
      </c>
      <c r="J466" s="8">
        <f t="shared" si="30"/>
        <v>1.0404023977505679E-2</v>
      </c>
      <c r="K466" s="8">
        <f t="shared" si="27"/>
        <v>-0.14768840569648667</v>
      </c>
    </row>
    <row r="467" spans="1:11" x14ac:dyDescent="0.25">
      <c r="A467" t="str">
        <f t="shared" si="28"/>
        <v>112018</v>
      </c>
      <c r="B467" s="1">
        <v>43424</v>
      </c>
      <c r="C467" t="s">
        <v>305</v>
      </c>
      <c r="D467">
        <v>9200.7999999999993</v>
      </c>
      <c r="E467">
        <v>9238.35</v>
      </c>
      <c r="F467">
        <v>9114.4</v>
      </c>
      <c r="G467">
        <v>9133.65</v>
      </c>
      <c r="H467">
        <v>0</v>
      </c>
      <c r="I467" s="8">
        <f t="shared" si="29"/>
        <v>-8.0367954907061279E-3</v>
      </c>
      <c r="J467" s="8">
        <f t="shared" si="30"/>
        <v>-8.0692646137323822E-3</v>
      </c>
      <c r="K467" s="8">
        <f t="shared" si="27"/>
        <v>-0.15670832198468287</v>
      </c>
    </row>
    <row r="468" spans="1:11" x14ac:dyDescent="0.25">
      <c r="A468" t="str">
        <f t="shared" si="28"/>
        <v>112018</v>
      </c>
      <c r="B468" s="1">
        <v>43425</v>
      </c>
      <c r="C468" t="s">
        <v>306</v>
      </c>
      <c r="D468">
        <v>9154.75</v>
      </c>
      <c r="E468">
        <v>9178.75</v>
      </c>
      <c r="F468">
        <v>9084.75</v>
      </c>
      <c r="G468">
        <v>9119.2999999999993</v>
      </c>
      <c r="H468">
        <v>0</v>
      </c>
      <c r="I468" s="8">
        <f t="shared" si="29"/>
        <v>-1.5711134103014723E-3</v>
      </c>
      <c r="J468" s="8">
        <f t="shared" si="30"/>
        <v>-1.5723489032113754E-3</v>
      </c>
      <c r="K468" s="8">
        <f t="shared" si="27"/>
        <v>-0.16172888304668764</v>
      </c>
    </row>
    <row r="469" spans="1:11" x14ac:dyDescent="0.25">
      <c r="A469" t="str">
        <f t="shared" si="28"/>
        <v>112018</v>
      </c>
      <c r="B469" s="1">
        <v>43426</v>
      </c>
      <c r="C469" t="s">
        <v>307</v>
      </c>
      <c r="D469">
        <v>9126.1</v>
      </c>
      <c r="E469">
        <v>9137.65</v>
      </c>
      <c r="F469">
        <v>9043.4</v>
      </c>
      <c r="G469">
        <v>9062.65</v>
      </c>
      <c r="H469">
        <v>0</v>
      </c>
      <c r="I469" s="8">
        <f t="shared" si="29"/>
        <v>-6.2120996129088057E-3</v>
      </c>
      <c r="J469" s="8">
        <f t="shared" si="30"/>
        <v>-6.2314749865535904E-3</v>
      </c>
      <c r="K469" s="8">
        <f t="shared" si="27"/>
        <v>-0.17596541157857415</v>
      </c>
    </row>
    <row r="470" spans="1:11" x14ac:dyDescent="0.25">
      <c r="A470" t="str">
        <f t="shared" si="28"/>
        <v>112018</v>
      </c>
      <c r="B470" s="1">
        <v>43430</v>
      </c>
      <c r="C470" t="s">
        <v>308</v>
      </c>
      <c r="D470">
        <v>9089.4</v>
      </c>
      <c r="E470">
        <v>9174.5</v>
      </c>
      <c r="F470">
        <v>9006.0499999999993</v>
      </c>
      <c r="G470">
        <v>9158.7999999999993</v>
      </c>
      <c r="H470">
        <v>0</v>
      </c>
      <c r="I470" s="8">
        <f t="shared" si="29"/>
        <v>1.0609479567234681E-2</v>
      </c>
      <c r="J470" s="8">
        <f t="shared" si="30"/>
        <v>1.0553593969452209E-2</v>
      </c>
      <c r="K470" s="8">
        <f t="shared" si="27"/>
        <v>-0.16580822915955107</v>
      </c>
    </row>
    <row r="471" spans="1:11" x14ac:dyDescent="0.25">
      <c r="A471" t="str">
        <f t="shared" si="28"/>
        <v>112018</v>
      </c>
      <c r="B471" s="1">
        <v>43431</v>
      </c>
      <c r="C471" t="s">
        <v>309</v>
      </c>
      <c r="D471">
        <v>9154.15</v>
      </c>
      <c r="E471">
        <v>9173.75</v>
      </c>
      <c r="F471">
        <v>9098.6</v>
      </c>
      <c r="G471">
        <v>9165</v>
      </c>
      <c r="H471">
        <v>0</v>
      </c>
      <c r="I471" s="8">
        <f t="shared" si="29"/>
        <v>6.7694457789246876E-4</v>
      </c>
      <c r="J471" s="8">
        <f t="shared" si="30"/>
        <v>6.7671555426340713E-4</v>
      </c>
      <c r="K471" s="8">
        <f t="shared" si="27"/>
        <v>-0.16374685207489326</v>
      </c>
    </row>
    <row r="472" spans="1:11" x14ac:dyDescent="0.25">
      <c r="A472" t="str">
        <f t="shared" si="28"/>
        <v>112018</v>
      </c>
      <c r="B472" s="1">
        <v>43432</v>
      </c>
      <c r="C472" t="s">
        <v>310</v>
      </c>
      <c r="D472">
        <v>9189.5499999999993</v>
      </c>
      <c r="E472">
        <v>9227.6</v>
      </c>
      <c r="F472">
        <v>9081.9500000000007</v>
      </c>
      <c r="G472">
        <v>9096.4500000000007</v>
      </c>
      <c r="H472">
        <v>0</v>
      </c>
      <c r="I472" s="8">
        <f t="shared" si="29"/>
        <v>-7.4795417348607618E-3</v>
      </c>
      <c r="J472" s="8">
        <f t="shared" si="30"/>
        <v>-7.5076537716324389E-3</v>
      </c>
      <c r="K472" s="8">
        <f t="shared" si="27"/>
        <v>-0.16569292855177464</v>
      </c>
    </row>
    <row r="473" spans="1:11" x14ac:dyDescent="0.25">
      <c r="A473" t="str">
        <f t="shared" si="28"/>
        <v>112018</v>
      </c>
      <c r="B473" s="1">
        <v>43433</v>
      </c>
      <c r="C473" t="s">
        <v>311</v>
      </c>
      <c r="D473">
        <v>9166.6</v>
      </c>
      <c r="E473">
        <v>9236.0499999999993</v>
      </c>
      <c r="F473">
        <v>9128.0499999999993</v>
      </c>
      <c r="G473">
        <v>9202.1</v>
      </c>
      <c r="H473">
        <v>0</v>
      </c>
      <c r="I473" s="8">
        <f t="shared" si="29"/>
        <v>1.1614421010394116E-2</v>
      </c>
      <c r="J473" s="8">
        <f t="shared" si="30"/>
        <v>1.1547491356975415E-2</v>
      </c>
      <c r="K473" s="8">
        <f t="shared" si="27"/>
        <v>-0.16295464158529316</v>
      </c>
    </row>
    <row r="474" spans="1:11" x14ac:dyDescent="0.25">
      <c r="A474" t="str">
        <f t="shared" si="28"/>
        <v>112018</v>
      </c>
      <c r="B474" s="1">
        <v>43434</v>
      </c>
      <c r="C474" t="s">
        <v>312</v>
      </c>
      <c r="D474">
        <v>9205.5499999999993</v>
      </c>
      <c r="E474">
        <v>9292.5</v>
      </c>
      <c r="F474">
        <v>9196.35</v>
      </c>
      <c r="G474">
        <v>9270.2000000000007</v>
      </c>
      <c r="H474">
        <v>0</v>
      </c>
      <c r="I474" s="8">
        <f t="shared" si="29"/>
        <v>7.4004846719770701E-3</v>
      </c>
      <c r="J474" s="8">
        <f t="shared" si="30"/>
        <v>7.3732354410474699E-3</v>
      </c>
      <c r="K474" s="8">
        <f t="shared" si="27"/>
        <v>-0.1606234975077302</v>
      </c>
    </row>
    <row r="475" spans="1:11" x14ac:dyDescent="0.25">
      <c r="A475" t="str">
        <f t="shared" si="28"/>
        <v>122018</v>
      </c>
      <c r="B475" s="1">
        <v>43437</v>
      </c>
      <c r="C475" s="10">
        <v>43171.645833333336</v>
      </c>
      <c r="D475">
        <v>9311.65</v>
      </c>
      <c r="E475">
        <v>9311.65</v>
      </c>
      <c r="F475">
        <v>9214.1</v>
      </c>
      <c r="G475">
        <v>9260.6</v>
      </c>
      <c r="H475">
        <v>0</v>
      </c>
      <c r="I475" s="8">
        <f t="shared" si="29"/>
        <v>-1.0355763629695813E-3</v>
      </c>
      <c r="J475" s="8">
        <f t="shared" si="30"/>
        <v>-1.0361129426494941E-3</v>
      </c>
      <c r="K475" s="8">
        <f t="shared" si="27"/>
        <v>-0.16247857721022141</v>
      </c>
    </row>
    <row r="476" spans="1:11" x14ac:dyDescent="0.25">
      <c r="A476" t="str">
        <f t="shared" si="28"/>
        <v>122018</v>
      </c>
      <c r="B476" s="1">
        <v>43438</v>
      </c>
      <c r="C476" s="10">
        <v>43202.645833333336</v>
      </c>
      <c r="D476">
        <v>9274.25</v>
      </c>
      <c r="E476">
        <v>9276.85</v>
      </c>
      <c r="F476">
        <v>9199</v>
      </c>
      <c r="G476">
        <v>9212.2000000000007</v>
      </c>
      <c r="H476">
        <v>0</v>
      </c>
      <c r="I476" s="8">
        <f t="shared" si="29"/>
        <v>-5.2264432110230574E-3</v>
      </c>
      <c r="J476" s="8">
        <f t="shared" si="30"/>
        <v>-5.2401488406624069E-3</v>
      </c>
      <c r="K476" s="8">
        <f t="shared" si="27"/>
        <v>-0.16310549075184411</v>
      </c>
    </row>
    <row r="477" spans="1:11" x14ac:dyDescent="0.25">
      <c r="A477" t="str">
        <f t="shared" si="28"/>
        <v>122018</v>
      </c>
      <c r="B477" s="1">
        <v>43439</v>
      </c>
      <c r="C477" s="10">
        <v>43232.645833333336</v>
      </c>
      <c r="D477">
        <v>9164.5</v>
      </c>
      <c r="E477">
        <v>9164.5</v>
      </c>
      <c r="F477">
        <v>8977.75</v>
      </c>
      <c r="G477">
        <v>8992.9</v>
      </c>
      <c r="H477">
        <v>0</v>
      </c>
      <c r="I477" s="8">
        <f t="shared" si="29"/>
        <v>-2.3805388506545788E-2</v>
      </c>
      <c r="J477" s="8">
        <f t="shared" si="30"/>
        <v>-2.4093315424006754E-2</v>
      </c>
      <c r="K477" s="8">
        <f t="shared" si="27"/>
        <v>-0.18315053250675573</v>
      </c>
    </row>
    <row r="478" spans="1:11" x14ac:dyDescent="0.25">
      <c r="A478" t="str">
        <f t="shared" si="28"/>
        <v>122018</v>
      </c>
      <c r="B478" s="1">
        <v>43440</v>
      </c>
      <c r="C478" s="10">
        <v>43263.645833333336</v>
      </c>
      <c r="D478">
        <v>8928.4500000000007</v>
      </c>
      <c r="E478">
        <v>8933.4500000000007</v>
      </c>
      <c r="F478">
        <v>8771.9500000000007</v>
      </c>
      <c r="G478">
        <v>8791.4</v>
      </c>
      <c r="H478">
        <v>0</v>
      </c>
      <c r="I478" s="8">
        <f t="shared" si="29"/>
        <v>-2.2406565179196924E-2</v>
      </c>
      <c r="J478" s="8">
        <f t="shared" si="30"/>
        <v>-2.2661406196190802E-2</v>
      </c>
      <c r="K478" s="8">
        <f t="shared" si="27"/>
        <v>-0.19607887962763992</v>
      </c>
    </row>
    <row r="479" spans="1:11" x14ac:dyDescent="0.25">
      <c r="A479" t="str">
        <f t="shared" si="28"/>
        <v>122018</v>
      </c>
      <c r="B479" s="1">
        <v>43441</v>
      </c>
      <c r="C479" s="10">
        <v>43293.645833333336</v>
      </c>
      <c r="D479">
        <v>8855.7999999999993</v>
      </c>
      <c r="E479">
        <v>8875.9</v>
      </c>
      <c r="F479">
        <v>8788.65</v>
      </c>
      <c r="G479">
        <v>8869.7999999999993</v>
      </c>
      <c r="H479">
        <v>0</v>
      </c>
      <c r="I479" s="8">
        <f t="shared" si="29"/>
        <v>8.9178060377186341E-3</v>
      </c>
      <c r="J479" s="8">
        <f t="shared" si="30"/>
        <v>8.8782772384126754E-3</v>
      </c>
      <c r="K479" s="8">
        <f t="shared" si="27"/>
        <v>-0.17521689402181506</v>
      </c>
    </row>
    <row r="480" spans="1:11" x14ac:dyDescent="0.25">
      <c r="A480" t="str">
        <f t="shared" si="28"/>
        <v>122018</v>
      </c>
      <c r="B480" s="1">
        <v>43444</v>
      </c>
      <c r="C480" s="10">
        <v>43385.645833333336</v>
      </c>
      <c r="D480">
        <v>8720.2999999999993</v>
      </c>
      <c r="E480">
        <v>8850.1</v>
      </c>
      <c r="F480">
        <v>8685.25</v>
      </c>
      <c r="G480">
        <v>8784.25</v>
      </c>
      <c r="H480">
        <v>0</v>
      </c>
      <c r="I480" s="8">
        <f t="shared" si="29"/>
        <v>-9.6450878261065132E-3</v>
      </c>
      <c r="J480" s="8">
        <f t="shared" si="30"/>
        <v>-9.6919029529021813E-3</v>
      </c>
      <c r="K480" s="8">
        <f t="shared" si="27"/>
        <v>-0.18576897408327464</v>
      </c>
    </row>
    <row r="481" spans="1:11" x14ac:dyDescent="0.25">
      <c r="A481" t="str">
        <f t="shared" si="28"/>
        <v>122018</v>
      </c>
      <c r="B481" s="1">
        <v>43445</v>
      </c>
      <c r="C481" s="10">
        <v>43416.645833333336</v>
      </c>
      <c r="D481">
        <v>8671.85</v>
      </c>
      <c r="E481">
        <v>8880.6</v>
      </c>
      <c r="F481">
        <v>8650.9500000000007</v>
      </c>
      <c r="G481">
        <v>8846.7999999999993</v>
      </c>
      <c r="H481">
        <v>0</v>
      </c>
      <c r="I481" s="8">
        <f t="shared" si="29"/>
        <v>7.1206989782848229E-3</v>
      </c>
      <c r="J481" s="8">
        <f t="shared" si="30"/>
        <v>7.095466512369141E-3</v>
      </c>
      <c r="K481" s="8">
        <f t="shared" si="27"/>
        <v>-0.18074185886068039</v>
      </c>
    </row>
    <row r="482" spans="1:11" x14ac:dyDescent="0.25">
      <c r="A482" t="str">
        <f t="shared" si="28"/>
        <v>122018</v>
      </c>
      <c r="B482" s="1">
        <v>43446</v>
      </c>
      <c r="C482" s="10">
        <v>43446.645833333336</v>
      </c>
      <c r="D482">
        <v>8889.4</v>
      </c>
      <c r="E482">
        <v>9175.7000000000007</v>
      </c>
      <c r="F482">
        <v>8866.65</v>
      </c>
      <c r="G482">
        <v>9166.15</v>
      </c>
      <c r="H482">
        <v>0</v>
      </c>
      <c r="I482" s="8">
        <f t="shared" si="29"/>
        <v>3.6097798073879916E-2</v>
      </c>
      <c r="J482" s="8">
        <f t="shared" si="30"/>
        <v>3.5461539067133695E-2</v>
      </c>
      <c r="K482" s="8">
        <f t="shared" si="27"/>
        <v>-0.16948077541645334</v>
      </c>
    </row>
    <row r="483" spans="1:11" x14ac:dyDescent="0.25">
      <c r="A483" t="str">
        <f t="shared" si="28"/>
        <v>122018</v>
      </c>
      <c r="B483" s="1">
        <v>43447</v>
      </c>
      <c r="C483" t="s">
        <v>313</v>
      </c>
      <c r="D483">
        <v>9200</v>
      </c>
      <c r="E483">
        <v>9307.7000000000007</v>
      </c>
      <c r="F483">
        <v>9188.7000000000007</v>
      </c>
      <c r="G483">
        <v>9254.2000000000007</v>
      </c>
      <c r="H483">
        <v>0</v>
      </c>
      <c r="I483" s="8">
        <f t="shared" si="29"/>
        <v>9.6059959743186596E-3</v>
      </c>
      <c r="J483" s="8">
        <f t="shared" si="30"/>
        <v>9.5601517474758861E-3</v>
      </c>
      <c r="K483" s="8">
        <f t="shared" si="27"/>
        <v>-0.14659854849270082</v>
      </c>
    </row>
    <row r="484" spans="1:11" x14ac:dyDescent="0.25">
      <c r="A484" t="str">
        <f t="shared" si="28"/>
        <v>122018</v>
      </c>
      <c r="B484" s="1">
        <v>43448</v>
      </c>
      <c r="C484" t="s">
        <v>314</v>
      </c>
      <c r="D484">
        <v>9250.7999999999993</v>
      </c>
      <c r="E484">
        <v>9314.4</v>
      </c>
      <c r="F484">
        <v>9202.9</v>
      </c>
      <c r="G484">
        <v>9271.5</v>
      </c>
      <c r="H484">
        <v>0</v>
      </c>
      <c r="I484" s="8">
        <f t="shared" si="29"/>
        <v>1.8694214518812924E-3</v>
      </c>
      <c r="J484" s="8">
        <f t="shared" si="30"/>
        <v>1.8676762582620129E-3</v>
      </c>
      <c r="K484" s="8">
        <f t="shared" si="27"/>
        <v>-0.1319958057932481</v>
      </c>
    </row>
    <row r="485" spans="1:11" x14ac:dyDescent="0.25">
      <c r="A485" t="str">
        <f t="shared" si="28"/>
        <v>122018</v>
      </c>
      <c r="B485" s="1">
        <v>43451</v>
      </c>
      <c r="C485" t="s">
        <v>315</v>
      </c>
      <c r="D485">
        <v>9304.65</v>
      </c>
      <c r="E485">
        <v>9364.5</v>
      </c>
      <c r="F485">
        <v>9278.2999999999993</v>
      </c>
      <c r="G485">
        <v>9335.7999999999993</v>
      </c>
      <c r="H485">
        <v>0</v>
      </c>
      <c r="I485" s="8">
        <f t="shared" si="29"/>
        <v>6.9352316237931699E-3</v>
      </c>
      <c r="J485" s="8">
        <f t="shared" si="30"/>
        <v>6.9112935187617E-3</v>
      </c>
      <c r="K485" s="8">
        <f t="shared" si="27"/>
        <v>-0.12690374319047959</v>
      </c>
    </row>
    <row r="486" spans="1:11" x14ac:dyDescent="0.25">
      <c r="A486" t="str">
        <f t="shared" si="28"/>
        <v>122018</v>
      </c>
      <c r="B486" s="1">
        <v>43452</v>
      </c>
      <c r="C486" t="s">
        <v>316</v>
      </c>
      <c r="D486">
        <v>9306.65</v>
      </c>
      <c r="E486">
        <v>9416.85</v>
      </c>
      <c r="F486">
        <v>9283.7000000000007</v>
      </c>
      <c r="G486">
        <v>9403.7999999999993</v>
      </c>
      <c r="H486">
        <v>0</v>
      </c>
      <c r="I486" s="8">
        <f t="shared" si="29"/>
        <v>7.2837892842605445E-3</v>
      </c>
      <c r="J486" s="8">
        <f t="shared" si="30"/>
        <v>7.2573906018778313E-3</v>
      </c>
      <c r="K486" s="8">
        <f t="shared" si="27"/>
        <v>-0.13142508797694596</v>
      </c>
    </row>
    <row r="487" spans="1:11" x14ac:dyDescent="0.25">
      <c r="A487" t="str">
        <f t="shared" si="28"/>
        <v>122018</v>
      </c>
      <c r="B487" s="1">
        <v>43453</v>
      </c>
      <c r="C487" t="s">
        <v>317</v>
      </c>
      <c r="D487">
        <v>9443.0499999999993</v>
      </c>
      <c r="E487">
        <v>9516.0499999999993</v>
      </c>
      <c r="F487">
        <v>9418.4500000000007</v>
      </c>
      <c r="G487">
        <v>9507.7000000000007</v>
      </c>
      <c r="H487">
        <v>0</v>
      </c>
      <c r="I487" s="8">
        <f t="shared" si="29"/>
        <v>1.1048724983517388E-2</v>
      </c>
      <c r="J487" s="8">
        <f t="shared" si="30"/>
        <v>1.0988133717274733E-2</v>
      </c>
      <c r="K487" s="8">
        <f t="shared" si="27"/>
        <v>-0.11398031833600464</v>
      </c>
    </row>
    <row r="488" spans="1:11" x14ac:dyDescent="0.25">
      <c r="A488" t="str">
        <f t="shared" si="28"/>
        <v>122018</v>
      </c>
      <c r="B488" s="1">
        <v>43454</v>
      </c>
      <c r="C488" t="s">
        <v>318</v>
      </c>
      <c r="D488">
        <v>9454.15</v>
      </c>
      <c r="E488">
        <v>9537.4</v>
      </c>
      <c r="F488">
        <v>9418.85</v>
      </c>
      <c r="G488">
        <v>9524.5499999999993</v>
      </c>
      <c r="H488">
        <v>0</v>
      </c>
      <c r="I488" s="8">
        <f t="shared" si="29"/>
        <v>1.7722477570809581E-3</v>
      </c>
      <c r="J488" s="8">
        <f t="shared" si="30"/>
        <v>1.7706791790239012E-3</v>
      </c>
      <c r="K488" s="8">
        <f t="shared" si="27"/>
        <v>-9.853629450152146E-2</v>
      </c>
    </row>
    <row r="489" spans="1:11" x14ac:dyDescent="0.25">
      <c r="A489" t="str">
        <f t="shared" si="28"/>
        <v>122018</v>
      </c>
      <c r="B489" s="1">
        <v>43455</v>
      </c>
      <c r="C489" t="s">
        <v>319</v>
      </c>
      <c r="D489">
        <v>9545.2999999999993</v>
      </c>
      <c r="E489">
        <v>9579.6</v>
      </c>
      <c r="F489">
        <v>9317</v>
      </c>
      <c r="G489">
        <v>9337.25</v>
      </c>
      <c r="H489">
        <v>0</v>
      </c>
      <c r="I489" s="8">
        <f t="shared" si="29"/>
        <v>-1.9664971048500957E-2</v>
      </c>
      <c r="J489" s="8">
        <f t="shared" si="30"/>
        <v>-1.9860899463440451E-2</v>
      </c>
      <c r="K489" s="8">
        <f t="shared" si="27"/>
        <v>-0.11309472924324881</v>
      </c>
    </row>
    <row r="490" spans="1:11" x14ac:dyDescent="0.25">
      <c r="A490" t="str">
        <f t="shared" si="28"/>
        <v>122018</v>
      </c>
      <c r="B490" s="1">
        <v>43458</v>
      </c>
      <c r="C490" t="s">
        <v>320</v>
      </c>
      <c r="D490">
        <v>9345.35</v>
      </c>
      <c r="E490">
        <v>9345.85</v>
      </c>
      <c r="F490">
        <v>9194.5</v>
      </c>
      <c r="G490">
        <v>9206.75</v>
      </c>
      <c r="H490">
        <v>0</v>
      </c>
      <c r="I490" s="8">
        <f t="shared" si="29"/>
        <v>-1.3976277811989624E-2</v>
      </c>
      <c r="J490" s="8">
        <f t="shared" si="30"/>
        <v>-1.4074865654705769E-2</v>
      </c>
      <c r="K490" s="8">
        <f t="shared" si="27"/>
        <v>-0.11536502872955778</v>
      </c>
    </row>
    <row r="491" spans="1:11" x14ac:dyDescent="0.25">
      <c r="A491" t="str">
        <f t="shared" si="28"/>
        <v>122018</v>
      </c>
      <c r="B491" s="1">
        <v>43460</v>
      </c>
      <c r="C491" t="s">
        <v>321</v>
      </c>
      <c r="D491">
        <v>9163.65</v>
      </c>
      <c r="E491">
        <v>9270.2999999999993</v>
      </c>
      <c r="F491">
        <v>9058.7000000000007</v>
      </c>
      <c r="G491">
        <v>9227</v>
      </c>
      <c r="H491">
        <v>0</v>
      </c>
      <c r="I491" s="8">
        <f t="shared" si="29"/>
        <v>2.1994732125885097E-3</v>
      </c>
      <c r="J491" s="8">
        <f t="shared" si="30"/>
        <v>2.1970579123258387E-3</v>
      </c>
      <c r="K491" s="8">
        <f t="shared" si="27"/>
        <v>-7.7392260773922583E-2</v>
      </c>
    </row>
    <row r="492" spans="1:11" x14ac:dyDescent="0.25">
      <c r="A492" t="str">
        <f t="shared" si="28"/>
        <v>122018</v>
      </c>
      <c r="B492" s="1">
        <v>43461</v>
      </c>
      <c r="C492" t="s">
        <v>322</v>
      </c>
      <c r="D492">
        <v>9308.6</v>
      </c>
      <c r="E492">
        <v>9315.65</v>
      </c>
      <c r="F492">
        <v>9166.25</v>
      </c>
      <c r="G492">
        <v>9184.1</v>
      </c>
      <c r="H492">
        <v>0</v>
      </c>
      <c r="I492" s="8">
        <f t="shared" si="29"/>
        <v>-4.6493985043892794E-3</v>
      </c>
      <c r="J492" s="8">
        <f t="shared" si="30"/>
        <v>-4.6602405767453073E-3</v>
      </c>
      <c r="K492" s="8">
        <f t="shared" si="27"/>
        <v>-9.0723680628090886E-2</v>
      </c>
    </row>
    <row r="493" spans="1:11" x14ac:dyDescent="0.25">
      <c r="A493" t="str">
        <f t="shared" si="28"/>
        <v>122018</v>
      </c>
      <c r="B493" s="1">
        <v>43462</v>
      </c>
      <c r="C493" t="s">
        <v>323</v>
      </c>
      <c r="D493">
        <v>9227.2000000000007</v>
      </c>
      <c r="E493">
        <v>9282.7999999999993</v>
      </c>
      <c r="F493">
        <v>9214.2000000000007</v>
      </c>
      <c r="G493">
        <v>9223.7999999999993</v>
      </c>
      <c r="H493">
        <v>0</v>
      </c>
      <c r="I493" s="8">
        <f t="shared" si="29"/>
        <v>4.3226881240403525E-3</v>
      </c>
      <c r="J493" s="8">
        <f t="shared" si="30"/>
        <v>4.3133721447981173E-3</v>
      </c>
      <c r="K493" s="8">
        <f t="shared" si="27"/>
        <v>-7.7822878966627429E-2</v>
      </c>
    </row>
    <row r="494" spans="1:11" x14ac:dyDescent="0.25">
      <c r="A494" t="str">
        <f t="shared" si="28"/>
        <v>122018</v>
      </c>
      <c r="B494" s="1">
        <v>43465</v>
      </c>
      <c r="C494" t="s">
        <v>324</v>
      </c>
      <c r="D494">
        <v>9285.7999999999993</v>
      </c>
      <c r="E494">
        <v>9304.2000000000007</v>
      </c>
      <c r="F494">
        <v>9224.25</v>
      </c>
      <c r="G494">
        <v>9235.5499999999993</v>
      </c>
      <c r="H494">
        <v>0</v>
      </c>
      <c r="I494" s="8">
        <f t="shared" si="29"/>
        <v>1.2738784448924623E-3</v>
      </c>
      <c r="J494" s="8">
        <f t="shared" si="30"/>
        <v>1.2730677501576093E-3</v>
      </c>
      <c r="K494" s="8">
        <f t="shared" si="27"/>
        <v>-5.9075534364366189E-2</v>
      </c>
    </row>
    <row r="495" spans="1:11" x14ac:dyDescent="0.25">
      <c r="A495" t="str">
        <f t="shared" si="28"/>
        <v>12019</v>
      </c>
      <c r="B495" s="1">
        <v>43466</v>
      </c>
      <c r="C495" s="10">
        <v>43466.645833333336</v>
      </c>
      <c r="D495">
        <v>9244</v>
      </c>
      <c r="E495">
        <v>9244</v>
      </c>
      <c r="F495">
        <v>9139.4500000000007</v>
      </c>
      <c r="G495">
        <v>9182.4500000000007</v>
      </c>
      <c r="H495">
        <v>0</v>
      </c>
      <c r="I495" s="8">
        <f t="shared" si="29"/>
        <v>-5.7495222266132906E-3</v>
      </c>
      <c r="J495" s="8">
        <f t="shared" si="30"/>
        <v>-5.7661143579810824E-3</v>
      </c>
      <c r="K495" s="8">
        <f t="shared" si="27"/>
        <v>-4.252235343187083E-2</v>
      </c>
    </row>
    <row r="496" spans="1:11" x14ac:dyDescent="0.25">
      <c r="A496" t="str">
        <f t="shared" si="28"/>
        <v>12019</v>
      </c>
      <c r="B496" s="1">
        <v>43467</v>
      </c>
      <c r="C496" s="10">
        <v>43497.645833333336</v>
      </c>
      <c r="D496">
        <v>9121.9500000000007</v>
      </c>
      <c r="E496">
        <v>9121.9500000000007</v>
      </c>
      <c r="F496">
        <v>8885.2999999999993</v>
      </c>
      <c r="G496">
        <v>8902.65</v>
      </c>
      <c r="H496">
        <v>0</v>
      </c>
      <c r="I496" s="8">
        <f t="shared" si="29"/>
        <v>-3.0471170548165394E-2</v>
      </c>
      <c r="J496" s="8">
        <f t="shared" si="30"/>
        <v>-3.0945068329135694E-2</v>
      </c>
      <c r="K496" s="8">
        <f t="shared" si="27"/>
        <v>-7.8357687469913118E-2</v>
      </c>
    </row>
    <row r="497" spans="1:11" x14ac:dyDescent="0.25">
      <c r="A497" t="str">
        <f t="shared" si="28"/>
        <v>12019</v>
      </c>
      <c r="B497" s="1">
        <v>43468</v>
      </c>
      <c r="C497" s="10">
        <v>43525.645833333336</v>
      </c>
      <c r="D497">
        <v>8900.0499999999993</v>
      </c>
      <c r="E497">
        <v>8959.35</v>
      </c>
      <c r="F497">
        <v>8755.75</v>
      </c>
      <c r="G497">
        <v>8767.35</v>
      </c>
      <c r="H497">
        <v>0</v>
      </c>
      <c r="I497" s="8">
        <f t="shared" si="29"/>
        <v>-1.5197722026587535E-2</v>
      </c>
      <c r="J497" s="8">
        <f t="shared" si="30"/>
        <v>-1.5314390981533994E-2</v>
      </c>
      <c r="K497" s="8">
        <f t="shared" si="27"/>
        <v>-6.4845924930402088E-2</v>
      </c>
    </row>
    <row r="498" spans="1:11" x14ac:dyDescent="0.25">
      <c r="A498" t="str">
        <f t="shared" si="28"/>
        <v>12019</v>
      </c>
      <c r="B498" s="1">
        <v>43469</v>
      </c>
      <c r="C498" s="10">
        <v>43556.645833333336</v>
      </c>
      <c r="D498">
        <v>8807.4</v>
      </c>
      <c r="E498">
        <v>8871.1</v>
      </c>
      <c r="F498">
        <v>8754.0499999999993</v>
      </c>
      <c r="G498">
        <v>8809.35</v>
      </c>
      <c r="H498">
        <v>0</v>
      </c>
      <c r="I498" s="8">
        <f t="shared" si="29"/>
        <v>4.7905011206350601E-3</v>
      </c>
      <c r="J498" s="8">
        <f t="shared" si="30"/>
        <v>4.7790631845598536E-3</v>
      </c>
      <c r="K498" s="8">
        <f t="shared" si="27"/>
        <v>-4.318996415770604E-2</v>
      </c>
    </row>
    <row r="499" spans="1:11" x14ac:dyDescent="0.25">
      <c r="A499" t="str">
        <f t="shared" si="28"/>
        <v>12019</v>
      </c>
      <c r="B499" s="1">
        <v>43472</v>
      </c>
      <c r="C499" s="10">
        <v>43647.645833333336</v>
      </c>
      <c r="D499">
        <v>8891.9</v>
      </c>
      <c r="E499">
        <v>8901.6</v>
      </c>
      <c r="F499">
        <v>8809.9</v>
      </c>
      <c r="G499">
        <v>8820</v>
      </c>
      <c r="H499">
        <v>0</v>
      </c>
      <c r="I499" s="8">
        <f t="shared" si="29"/>
        <v>1.2089427710331169E-3</v>
      </c>
      <c r="J499" s="8">
        <f t="shared" si="30"/>
        <v>1.208212588161586E-3</v>
      </c>
      <c r="K499" s="8">
        <f t="shared" si="27"/>
        <v>-1.0667294814416084E-2</v>
      </c>
    </row>
    <row r="500" spans="1:11" x14ac:dyDescent="0.25">
      <c r="A500" t="str">
        <f t="shared" si="28"/>
        <v>12019</v>
      </c>
      <c r="B500" s="1">
        <v>43473</v>
      </c>
      <c r="C500" s="10">
        <v>43678.645833333336</v>
      </c>
      <c r="D500">
        <v>8813.9</v>
      </c>
      <c r="E500">
        <v>8882.2999999999993</v>
      </c>
      <c r="F500">
        <v>8781.7999999999993</v>
      </c>
      <c r="G500">
        <v>8859.65</v>
      </c>
      <c r="H500">
        <v>0</v>
      </c>
      <c r="I500" s="8">
        <f t="shared" si="29"/>
        <v>4.4954648526076557E-3</v>
      </c>
      <c r="J500" s="8">
        <f t="shared" si="30"/>
        <v>4.4853904320057746E-3</v>
      </c>
      <c r="K500" s="8">
        <f t="shared" si="27"/>
        <v>-1.2203008105607149E-2</v>
      </c>
    </row>
    <row r="501" spans="1:11" x14ac:dyDescent="0.25">
      <c r="A501" t="str">
        <f t="shared" si="28"/>
        <v>12019</v>
      </c>
      <c r="B501" s="1">
        <v>43474</v>
      </c>
      <c r="C501" s="10">
        <v>43709.645833333336</v>
      </c>
      <c r="D501">
        <v>8893.9</v>
      </c>
      <c r="E501">
        <v>8925.6</v>
      </c>
      <c r="F501">
        <v>8827.9</v>
      </c>
      <c r="G501">
        <v>8907.1</v>
      </c>
      <c r="H501">
        <v>0</v>
      </c>
      <c r="I501" s="8">
        <f t="shared" si="29"/>
        <v>5.3557420439860337E-3</v>
      </c>
      <c r="J501" s="8">
        <f t="shared" si="30"/>
        <v>5.341451060736439E-3</v>
      </c>
      <c r="K501" s="8">
        <f t="shared" si="27"/>
        <v>1.9947554649658361E-2</v>
      </c>
    </row>
    <row r="502" spans="1:11" x14ac:dyDescent="0.25">
      <c r="A502" t="str">
        <f t="shared" si="28"/>
        <v>12019</v>
      </c>
      <c r="B502" s="1">
        <v>43475</v>
      </c>
      <c r="C502" s="10">
        <v>43739.645833333336</v>
      </c>
      <c r="D502">
        <v>8924.65</v>
      </c>
      <c r="E502">
        <v>8964.15</v>
      </c>
      <c r="F502">
        <v>8908.0499999999993</v>
      </c>
      <c r="G502">
        <v>8933.35</v>
      </c>
      <c r="H502">
        <v>0</v>
      </c>
      <c r="I502" s="8">
        <f t="shared" si="29"/>
        <v>2.9470871551908751E-3</v>
      </c>
      <c r="J502" s="8">
        <f t="shared" si="30"/>
        <v>2.9427530071606985E-3</v>
      </c>
      <c r="K502" s="8">
        <f t="shared" si="27"/>
        <v>-3.1912697571399029E-3</v>
      </c>
    </row>
    <row r="503" spans="1:11" x14ac:dyDescent="0.25">
      <c r="A503" t="str">
        <f t="shared" si="28"/>
        <v>12019</v>
      </c>
      <c r="B503" s="1">
        <v>43476</v>
      </c>
      <c r="C503" s="10">
        <v>43770.645833333336</v>
      </c>
      <c r="D503">
        <v>8942.0499999999993</v>
      </c>
      <c r="E503">
        <v>8950.2999999999993</v>
      </c>
      <c r="F503">
        <v>8816.9</v>
      </c>
      <c r="G503">
        <v>8862.35</v>
      </c>
      <c r="H503">
        <v>0</v>
      </c>
      <c r="I503" s="8">
        <f t="shared" si="29"/>
        <v>-7.9477463661448144E-3</v>
      </c>
      <c r="J503" s="8">
        <f t="shared" si="30"/>
        <v>-7.9794980504169413E-3</v>
      </c>
      <c r="K503" s="8">
        <f t="shared" si="27"/>
        <v>1.405686824189023E-2</v>
      </c>
    </row>
    <row r="504" spans="1:11" x14ac:dyDescent="0.25">
      <c r="A504" t="str">
        <f t="shared" si="28"/>
        <v>12019</v>
      </c>
      <c r="B504" s="1">
        <v>43479</v>
      </c>
      <c r="C504" t="s">
        <v>325</v>
      </c>
      <c r="D504">
        <v>8859.1</v>
      </c>
      <c r="E504">
        <v>8863.5499999999993</v>
      </c>
      <c r="F504">
        <v>8752.1</v>
      </c>
      <c r="G504">
        <v>8849.7000000000007</v>
      </c>
      <c r="H504">
        <v>0</v>
      </c>
      <c r="I504" s="8">
        <f t="shared" si="29"/>
        <v>-1.4273866412407576E-3</v>
      </c>
      <c r="J504" s="8">
        <f t="shared" si="30"/>
        <v>-1.4284063279928932E-3</v>
      </c>
      <c r="K504" s="8">
        <f t="shared" si="27"/>
        <v>-2.5840859930980953E-2</v>
      </c>
    </row>
    <row r="505" spans="1:11" x14ac:dyDescent="0.25">
      <c r="A505" t="str">
        <f t="shared" si="28"/>
        <v>12019</v>
      </c>
      <c r="B505" s="1">
        <v>43480</v>
      </c>
      <c r="C505" t="s">
        <v>326</v>
      </c>
      <c r="D505">
        <v>8877.35</v>
      </c>
      <c r="E505">
        <v>8902.2999999999993</v>
      </c>
      <c r="F505">
        <v>8845.5</v>
      </c>
      <c r="G505">
        <v>8888.4</v>
      </c>
      <c r="H505">
        <v>0</v>
      </c>
      <c r="I505" s="8">
        <f t="shared" si="29"/>
        <v>4.3730295942234765E-3</v>
      </c>
      <c r="J505" s="8">
        <f t="shared" si="30"/>
        <v>4.3634956849138377E-3</v>
      </c>
      <c r="K505" s="8">
        <f t="shared" si="27"/>
        <v>-1.6182232749651471E-2</v>
      </c>
    </row>
    <row r="506" spans="1:11" x14ac:dyDescent="0.25">
      <c r="A506" t="str">
        <f t="shared" si="28"/>
        <v>12019</v>
      </c>
      <c r="B506" s="1">
        <v>43481</v>
      </c>
      <c r="C506" t="s">
        <v>327</v>
      </c>
      <c r="D506">
        <v>8894.1</v>
      </c>
      <c r="E506">
        <v>8916.4</v>
      </c>
      <c r="F506">
        <v>8856.75</v>
      </c>
      <c r="G506">
        <v>8866.75</v>
      </c>
      <c r="H506">
        <v>0</v>
      </c>
      <c r="I506" s="8">
        <f t="shared" si="29"/>
        <v>-2.4357589667430846E-3</v>
      </c>
      <c r="J506" s="8">
        <f t="shared" si="30"/>
        <v>-2.4387302534879707E-3</v>
      </c>
      <c r="K506" s="8">
        <f t="shared" si="27"/>
        <v>-2.5942282129870708E-2</v>
      </c>
    </row>
    <row r="507" spans="1:11" x14ac:dyDescent="0.25">
      <c r="A507" t="str">
        <f t="shared" si="28"/>
        <v>12019</v>
      </c>
      <c r="B507" s="1">
        <v>43482</v>
      </c>
      <c r="C507" t="s">
        <v>328</v>
      </c>
      <c r="D507">
        <v>8893.2000000000007</v>
      </c>
      <c r="E507">
        <v>8920.7999999999993</v>
      </c>
      <c r="F507">
        <v>8850.25</v>
      </c>
      <c r="G507">
        <v>8878.2000000000007</v>
      </c>
      <c r="H507">
        <v>0</v>
      </c>
      <c r="I507" s="8">
        <f t="shared" si="29"/>
        <v>1.2913412467929763E-3</v>
      </c>
      <c r="J507" s="8">
        <f t="shared" si="30"/>
        <v>1.2905081827879587E-3</v>
      </c>
      <c r="K507" s="8">
        <f t="shared" si="27"/>
        <v>4.923766511596428E-3</v>
      </c>
    </row>
    <row r="508" spans="1:11" x14ac:dyDescent="0.25">
      <c r="A508" t="str">
        <f t="shared" si="28"/>
        <v>12019</v>
      </c>
      <c r="B508" s="1">
        <v>43483</v>
      </c>
      <c r="C508" t="s">
        <v>329</v>
      </c>
      <c r="D508">
        <v>8898.9500000000007</v>
      </c>
      <c r="E508">
        <v>8907.65</v>
      </c>
      <c r="F508">
        <v>8806.0499999999993</v>
      </c>
      <c r="G508">
        <v>8844.7999999999993</v>
      </c>
      <c r="H508">
        <v>0</v>
      </c>
      <c r="I508" s="8">
        <f t="shared" si="29"/>
        <v>-3.7620238336600886E-3</v>
      </c>
      <c r="J508" s="8">
        <f t="shared" si="30"/>
        <v>-3.7691180433022738E-3</v>
      </c>
      <c r="K508" s="8">
        <f t="shared" si="27"/>
        <v>1.7784298495440165E-2</v>
      </c>
    </row>
    <row r="509" spans="1:11" x14ac:dyDescent="0.25">
      <c r="A509" t="str">
        <f t="shared" si="28"/>
        <v>12019</v>
      </c>
      <c r="B509" s="1">
        <v>43486</v>
      </c>
      <c r="C509" t="s">
        <v>330</v>
      </c>
      <c r="D509">
        <v>8859.65</v>
      </c>
      <c r="E509">
        <v>8867.2000000000007</v>
      </c>
      <c r="F509">
        <v>8725.25</v>
      </c>
      <c r="G509">
        <v>8746.85</v>
      </c>
      <c r="H509">
        <v>0</v>
      </c>
      <c r="I509" s="8">
        <f t="shared" si="29"/>
        <v>-1.1074303545586028E-2</v>
      </c>
      <c r="J509" s="8">
        <f t="shared" si="30"/>
        <v>-1.1136080157137386E-2</v>
      </c>
      <c r="K509" s="8">
        <f t="shared" si="27"/>
        <v>5.3330574855323665E-3</v>
      </c>
    </row>
    <row r="510" spans="1:11" x14ac:dyDescent="0.25">
      <c r="A510" t="str">
        <f t="shared" si="28"/>
        <v>12019</v>
      </c>
      <c r="B510" s="1">
        <v>43487</v>
      </c>
      <c r="C510" t="s">
        <v>331</v>
      </c>
      <c r="D510">
        <v>8726.0499999999993</v>
      </c>
      <c r="E510">
        <v>8726.0499999999993</v>
      </c>
      <c r="F510">
        <v>8580</v>
      </c>
      <c r="G510">
        <v>8675.15</v>
      </c>
      <c r="H510">
        <v>0</v>
      </c>
      <c r="I510" s="8">
        <f t="shared" si="29"/>
        <v>-8.1972367195047857E-3</v>
      </c>
      <c r="J510" s="8">
        <f t="shared" si="30"/>
        <v>-8.2310188042503639E-3</v>
      </c>
      <c r="K510" s="8">
        <f t="shared" si="27"/>
        <v>3.0060757415468764E-3</v>
      </c>
    </row>
    <row r="511" spans="1:11" x14ac:dyDescent="0.25">
      <c r="A511" t="str">
        <f t="shared" si="28"/>
        <v>12019</v>
      </c>
      <c r="B511" s="1">
        <v>43488</v>
      </c>
      <c r="C511" t="s">
        <v>332</v>
      </c>
      <c r="D511">
        <v>8679.85</v>
      </c>
      <c r="E511">
        <v>8693.7000000000007</v>
      </c>
      <c r="F511">
        <v>8594.2000000000007</v>
      </c>
      <c r="G511">
        <v>8612.25</v>
      </c>
      <c r="H511">
        <v>0</v>
      </c>
      <c r="I511" s="8">
        <f t="shared" si="29"/>
        <v>-7.2505950905747962E-3</v>
      </c>
      <c r="J511" s="8">
        <f t="shared" si="30"/>
        <v>-7.2770084074452127E-3</v>
      </c>
      <c r="K511" s="8">
        <f t="shared" si="27"/>
        <v>-5.9615184847470193E-3</v>
      </c>
    </row>
    <row r="512" spans="1:11" x14ac:dyDescent="0.25">
      <c r="A512" t="str">
        <f t="shared" si="28"/>
        <v>12019</v>
      </c>
      <c r="B512" s="1">
        <v>43489</v>
      </c>
      <c r="C512" t="s">
        <v>333</v>
      </c>
      <c r="D512">
        <v>8623.2000000000007</v>
      </c>
      <c r="E512">
        <v>8632.1</v>
      </c>
      <c r="F512">
        <v>8510.4</v>
      </c>
      <c r="G512">
        <v>8537.25</v>
      </c>
      <c r="H512">
        <v>0</v>
      </c>
      <c r="I512" s="8">
        <f t="shared" si="29"/>
        <v>-8.7085256466080674E-3</v>
      </c>
      <c r="J512" s="8">
        <f t="shared" si="30"/>
        <v>-8.7466664509727021E-3</v>
      </c>
      <c r="K512" s="8">
        <f t="shared" ref="K512:K575" si="31">+G512/G451-1</f>
        <v>-5.0926762188336916E-3</v>
      </c>
    </row>
    <row r="513" spans="1:11" x14ac:dyDescent="0.25">
      <c r="A513" t="str">
        <f t="shared" si="28"/>
        <v>12019</v>
      </c>
      <c r="B513" s="1">
        <v>43490</v>
      </c>
      <c r="C513" t="s">
        <v>334</v>
      </c>
      <c r="D513">
        <v>8538.7000000000007</v>
      </c>
      <c r="E513">
        <v>8587.7000000000007</v>
      </c>
      <c r="F513">
        <v>8241.1</v>
      </c>
      <c r="G513">
        <v>8259.7999999999993</v>
      </c>
      <c r="H513">
        <v>0</v>
      </c>
      <c r="I513" s="8">
        <f t="shared" si="29"/>
        <v>-3.2498755454039685E-2</v>
      </c>
      <c r="J513" s="8">
        <f t="shared" si="30"/>
        <v>-3.3038567726613767E-2</v>
      </c>
      <c r="K513" s="8">
        <f t="shared" si="31"/>
        <v>-3.7100506525375776E-2</v>
      </c>
    </row>
    <row r="514" spans="1:11" x14ac:dyDescent="0.25">
      <c r="A514" t="str">
        <f t="shared" si="28"/>
        <v>12019</v>
      </c>
      <c r="B514" s="1">
        <v>43493</v>
      </c>
      <c r="C514" t="s">
        <v>335</v>
      </c>
      <c r="D514">
        <v>8259.5499999999993</v>
      </c>
      <c r="E514">
        <v>8264.6</v>
      </c>
      <c r="F514">
        <v>8092.85</v>
      </c>
      <c r="G514">
        <v>8143</v>
      </c>
      <c r="H514">
        <v>0</v>
      </c>
      <c r="I514" s="8">
        <f t="shared" si="29"/>
        <v>-1.4140778227075601E-2</v>
      </c>
      <c r="J514" s="8">
        <f t="shared" si="30"/>
        <v>-1.4241711679690551E-2</v>
      </c>
      <c r="K514" s="8">
        <f t="shared" si="31"/>
        <v>-6.6587191508384991E-2</v>
      </c>
    </row>
    <row r="515" spans="1:11" x14ac:dyDescent="0.25">
      <c r="A515" t="str">
        <f t="shared" ref="A515:A578" si="32">+MONTH(B515)&amp;YEAR(B515)</f>
        <v>12019</v>
      </c>
      <c r="B515" s="1">
        <v>43494</v>
      </c>
      <c r="C515" t="s">
        <v>336</v>
      </c>
      <c r="D515">
        <v>8127.65</v>
      </c>
      <c r="E515">
        <v>8178.75</v>
      </c>
      <c r="F515">
        <v>8059.45</v>
      </c>
      <c r="G515">
        <v>8120.45</v>
      </c>
      <c r="H515">
        <v>0</v>
      </c>
      <c r="I515" s="8">
        <f t="shared" si="29"/>
        <v>-2.7692496622866436E-3</v>
      </c>
      <c r="J515" s="8">
        <f t="shared" si="30"/>
        <v>-2.773091127756362E-3</v>
      </c>
      <c r="K515" s="8">
        <f t="shared" si="31"/>
        <v>-7.1375477437504387E-2</v>
      </c>
    </row>
    <row r="516" spans="1:11" x14ac:dyDescent="0.25">
      <c r="A516" t="str">
        <f t="shared" si="32"/>
        <v>12019</v>
      </c>
      <c r="B516" s="1">
        <v>43495</v>
      </c>
      <c r="C516" t="s">
        <v>337</v>
      </c>
      <c r="D516">
        <v>8149.25</v>
      </c>
      <c r="E516">
        <v>8176.45</v>
      </c>
      <c r="F516">
        <v>8080.2</v>
      </c>
      <c r="G516">
        <v>8118.4</v>
      </c>
      <c r="H516">
        <v>0</v>
      </c>
      <c r="I516" s="8">
        <f t="shared" ref="I516:I579" si="33">+G516/G515-1</f>
        <v>-2.5244906378341092E-4</v>
      </c>
      <c r="J516" s="8">
        <f t="shared" ref="J516:J579" si="34">+LN(1+I516)</f>
        <v>-2.5248093441223327E-4</v>
      </c>
      <c r="K516" s="8">
        <f t="shared" si="31"/>
        <v>-7.9603879576670367E-2</v>
      </c>
    </row>
    <row r="517" spans="1:11" x14ac:dyDescent="0.25">
      <c r="A517" t="str">
        <f t="shared" si="32"/>
        <v>12019</v>
      </c>
      <c r="B517" s="1">
        <v>43496</v>
      </c>
      <c r="C517" t="s">
        <v>338</v>
      </c>
      <c r="D517">
        <v>8145.15</v>
      </c>
      <c r="E517">
        <v>8236.5499999999993</v>
      </c>
      <c r="F517">
        <v>8083.9</v>
      </c>
      <c r="G517">
        <v>8218.4</v>
      </c>
      <c r="H517">
        <v>0</v>
      </c>
      <c r="I517" s="8">
        <f t="shared" si="33"/>
        <v>1.2317698068584848E-2</v>
      </c>
      <c r="J517" s="8">
        <f t="shared" si="34"/>
        <v>1.2242452497091091E-2</v>
      </c>
      <c r="K517" s="8">
        <f t="shared" si="31"/>
        <v>-6.7595470944612268E-2</v>
      </c>
    </row>
    <row r="518" spans="1:11" x14ac:dyDescent="0.25">
      <c r="A518" t="str">
        <f t="shared" si="32"/>
        <v>22019</v>
      </c>
      <c r="B518" s="1">
        <v>43497</v>
      </c>
      <c r="C518" s="10">
        <v>43467.645833333336</v>
      </c>
      <c r="D518">
        <v>8265.5</v>
      </c>
      <c r="E518">
        <v>8657.7999999999993</v>
      </c>
      <c r="F518">
        <v>8254.15</v>
      </c>
      <c r="G518">
        <v>8441.25</v>
      </c>
      <c r="H518">
        <v>0</v>
      </c>
      <c r="I518" s="8">
        <f t="shared" si="33"/>
        <v>2.7115983646451847E-2</v>
      </c>
      <c r="J518" s="8">
        <f t="shared" si="34"/>
        <v>2.675485898699775E-2</v>
      </c>
      <c r="K518" s="8">
        <f t="shared" si="31"/>
        <v>-8.04938890220257E-2</v>
      </c>
    </row>
    <row r="519" spans="1:11" x14ac:dyDescent="0.25">
      <c r="A519" t="str">
        <f t="shared" si="32"/>
        <v>22019</v>
      </c>
      <c r="B519" s="1">
        <v>43500</v>
      </c>
      <c r="C519" s="10">
        <v>43557.645833333336</v>
      </c>
      <c r="D519">
        <v>8444.75</v>
      </c>
      <c r="E519">
        <v>8446</v>
      </c>
      <c r="F519">
        <v>8325.75</v>
      </c>
      <c r="G519">
        <v>8395.5499999999993</v>
      </c>
      <c r="H519">
        <v>0</v>
      </c>
      <c r="I519" s="8">
        <f t="shared" si="33"/>
        <v>-5.4138901229083825E-3</v>
      </c>
      <c r="J519" s="8">
        <f t="shared" si="34"/>
        <v>-5.4285983358250403E-3</v>
      </c>
      <c r="K519" s="8">
        <f t="shared" si="31"/>
        <v>-8.2819421760718437E-2</v>
      </c>
    </row>
    <row r="520" spans="1:11" x14ac:dyDescent="0.25">
      <c r="A520" t="str">
        <f t="shared" si="32"/>
        <v>22019</v>
      </c>
      <c r="B520" s="1">
        <v>43501</v>
      </c>
      <c r="C520" s="10">
        <v>43587.645833333336</v>
      </c>
      <c r="D520">
        <v>8410.6</v>
      </c>
      <c r="E520">
        <v>8489.7000000000007</v>
      </c>
      <c r="F520">
        <v>8408.25</v>
      </c>
      <c r="G520">
        <v>8468.2999999999993</v>
      </c>
      <c r="H520">
        <v>0</v>
      </c>
      <c r="I520" s="8">
        <f t="shared" si="33"/>
        <v>8.6653048341085448E-3</v>
      </c>
      <c r="J520" s="8">
        <f t="shared" si="34"/>
        <v>8.6279765657239008E-3</v>
      </c>
      <c r="K520" s="8">
        <f t="shared" si="31"/>
        <v>-7.2521069607741295E-2</v>
      </c>
    </row>
    <row r="521" spans="1:11" x14ac:dyDescent="0.25">
      <c r="A521" t="str">
        <f t="shared" si="32"/>
        <v>22019</v>
      </c>
      <c r="B521" s="1">
        <v>43502</v>
      </c>
      <c r="C521" s="10">
        <v>43618.645833333336</v>
      </c>
      <c r="D521">
        <v>8490.2000000000007</v>
      </c>
      <c r="E521">
        <v>8593.5499999999993</v>
      </c>
      <c r="F521">
        <v>8441.5</v>
      </c>
      <c r="G521">
        <v>8567.4</v>
      </c>
      <c r="H521">
        <v>0</v>
      </c>
      <c r="I521" s="8">
        <f t="shared" si="33"/>
        <v>1.1702466846946979E-2</v>
      </c>
      <c r="J521" s="8">
        <f t="shared" si="34"/>
        <v>1.1634522545354095E-2</v>
      </c>
      <c r="K521" s="8">
        <f t="shared" si="31"/>
        <v>-7.6564899894909888E-2</v>
      </c>
    </row>
    <row r="522" spans="1:11" x14ac:dyDescent="0.25">
      <c r="A522" t="str">
        <f t="shared" si="32"/>
        <v>22019</v>
      </c>
      <c r="B522" s="1">
        <v>43503</v>
      </c>
      <c r="C522" s="10">
        <v>43648.645833333336</v>
      </c>
      <c r="D522">
        <v>8584.6</v>
      </c>
      <c r="E522">
        <v>8756.25</v>
      </c>
      <c r="F522">
        <v>8581</v>
      </c>
      <c r="G522">
        <v>8736.7000000000007</v>
      </c>
      <c r="H522">
        <v>0</v>
      </c>
      <c r="I522" s="8">
        <f t="shared" si="33"/>
        <v>1.9760954315194867E-2</v>
      </c>
      <c r="J522" s="8">
        <f t="shared" si="34"/>
        <v>1.9568241315416832E-2</v>
      </c>
      <c r="K522" s="8">
        <f t="shared" si="31"/>
        <v>-3.4778765950394863E-2</v>
      </c>
    </row>
    <row r="523" spans="1:11" x14ac:dyDescent="0.25">
      <c r="A523" t="str">
        <f t="shared" si="32"/>
        <v>22019</v>
      </c>
      <c r="B523" s="1">
        <v>43504</v>
      </c>
      <c r="C523" s="10">
        <v>43679.645833333336</v>
      </c>
      <c r="D523">
        <v>8639.9500000000007</v>
      </c>
      <c r="E523">
        <v>8643.85</v>
      </c>
      <c r="F523">
        <v>8399.9</v>
      </c>
      <c r="G523">
        <v>8420.35</v>
      </c>
      <c r="H523">
        <v>0</v>
      </c>
      <c r="I523" s="8">
        <f t="shared" si="33"/>
        <v>-3.620932388659337E-2</v>
      </c>
      <c r="J523" s="8">
        <f t="shared" si="34"/>
        <v>-3.6881148911299698E-2</v>
      </c>
      <c r="K523" s="8">
        <f t="shared" si="31"/>
        <v>-7.7414017903121413E-2</v>
      </c>
    </row>
    <row r="524" spans="1:11" x14ac:dyDescent="0.25">
      <c r="A524" t="str">
        <f t="shared" si="32"/>
        <v>22019</v>
      </c>
      <c r="B524" s="1">
        <v>43507</v>
      </c>
      <c r="C524" s="10">
        <v>43771.645833333336</v>
      </c>
      <c r="D524">
        <v>8364.5499999999993</v>
      </c>
      <c r="E524">
        <v>8365.9</v>
      </c>
      <c r="F524">
        <v>8257.9</v>
      </c>
      <c r="G524">
        <v>8320.2999999999993</v>
      </c>
      <c r="H524">
        <v>0</v>
      </c>
      <c r="I524" s="8">
        <f t="shared" si="33"/>
        <v>-1.188192889844264E-2</v>
      </c>
      <c r="J524" s="8">
        <f t="shared" si="34"/>
        <v>-1.1953083210922843E-2</v>
      </c>
      <c r="K524" s="8">
        <f t="shared" si="31"/>
        <v>-8.0772035265262887E-2</v>
      </c>
    </row>
    <row r="525" spans="1:11" x14ac:dyDescent="0.25">
      <c r="A525" t="str">
        <f t="shared" si="32"/>
        <v>22019</v>
      </c>
      <c r="B525" s="1">
        <v>43508</v>
      </c>
      <c r="C525" s="10">
        <v>43801.645833333336</v>
      </c>
      <c r="D525">
        <v>8312.5</v>
      </c>
      <c r="E525">
        <v>8344.85</v>
      </c>
      <c r="F525">
        <v>8259.2000000000007</v>
      </c>
      <c r="G525">
        <v>8278.1</v>
      </c>
      <c r="H525">
        <v>0</v>
      </c>
      <c r="I525" s="8">
        <f t="shared" si="33"/>
        <v>-5.0719325024336515E-3</v>
      </c>
      <c r="J525" s="8">
        <f t="shared" si="34"/>
        <v>-5.0848384091745774E-3</v>
      </c>
      <c r="K525" s="8">
        <f t="shared" si="31"/>
        <v>-9.1142645403892053E-2</v>
      </c>
    </row>
    <row r="526" spans="1:11" x14ac:dyDescent="0.25">
      <c r="A526" t="str">
        <f t="shared" si="32"/>
        <v>22019</v>
      </c>
      <c r="B526" s="1">
        <v>43509</v>
      </c>
      <c r="C526" t="s">
        <v>339</v>
      </c>
      <c r="D526">
        <v>8300.2999999999993</v>
      </c>
      <c r="E526">
        <v>8310.6</v>
      </c>
      <c r="F526">
        <v>8161.3</v>
      </c>
      <c r="G526">
        <v>8177.55</v>
      </c>
      <c r="H526">
        <v>0</v>
      </c>
      <c r="I526" s="8">
        <f t="shared" si="33"/>
        <v>-1.2146507048718891E-2</v>
      </c>
      <c r="J526" s="8">
        <f t="shared" si="34"/>
        <v>-1.2220878716354872E-2</v>
      </c>
      <c r="K526" s="8">
        <f t="shared" si="31"/>
        <v>-0.10258605079919014</v>
      </c>
    </row>
    <row r="527" spans="1:11" x14ac:dyDescent="0.25">
      <c r="A527" t="str">
        <f t="shared" si="32"/>
        <v>22019</v>
      </c>
      <c r="B527" s="1">
        <v>43510</v>
      </c>
      <c r="C527" t="s">
        <v>340</v>
      </c>
      <c r="D527">
        <v>8178.1</v>
      </c>
      <c r="E527">
        <v>8268.35</v>
      </c>
      <c r="F527">
        <v>8166.7</v>
      </c>
      <c r="G527">
        <v>8223.35</v>
      </c>
      <c r="H527">
        <v>0</v>
      </c>
      <c r="I527" s="8">
        <f t="shared" si="33"/>
        <v>5.6006994760045004E-3</v>
      </c>
      <c r="J527" s="8">
        <f t="shared" si="34"/>
        <v>5.5850738744109858E-3</v>
      </c>
      <c r="K527" s="8">
        <f t="shared" si="31"/>
        <v>-0.10690024056083791</v>
      </c>
    </row>
    <row r="528" spans="1:11" x14ac:dyDescent="0.25">
      <c r="A528" t="str">
        <f t="shared" si="32"/>
        <v>22019</v>
      </c>
      <c r="B528" s="1">
        <v>43511</v>
      </c>
      <c r="C528" t="s">
        <v>341</v>
      </c>
      <c r="D528">
        <v>8228.2000000000007</v>
      </c>
      <c r="E528">
        <v>8236.7000000000007</v>
      </c>
      <c r="F528">
        <v>8057.15</v>
      </c>
      <c r="G528">
        <v>8132.55</v>
      </c>
      <c r="H528">
        <v>0</v>
      </c>
      <c r="I528" s="8">
        <f t="shared" si="33"/>
        <v>-1.1041728735855849E-2</v>
      </c>
      <c r="J528" s="8">
        <f t="shared" si="34"/>
        <v>-1.1103141106854574E-2</v>
      </c>
      <c r="K528" s="8">
        <f t="shared" si="31"/>
        <v>-0.10960568885385358</v>
      </c>
    </row>
    <row r="529" spans="1:11" x14ac:dyDescent="0.25">
      <c r="A529" t="str">
        <f t="shared" si="32"/>
        <v>22019</v>
      </c>
      <c r="B529" s="1">
        <v>43514</v>
      </c>
      <c r="C529" t="s">
        <v>342</v>
      </c>
      <c r="D529">
        <v>8156.9</v>
      </c>
      <c r="E529">
        <v>8156.9</v>
      </c>
      <c r="F529">
        <v>8035.55</v>
      </c>
      <c r="G529">
        <v>8067.7</v>
      </c>
      <c r="H529">
        <v>0</v>
      </c>
      <c r="I529" s="8">
        <f t="shared" si="33"/>
        <v>-7.9741286558336899E-3</v>
      </c>
      <c r="J529" s="8">
        <f t="shared" si="34"/>
        <v>-8.0060920533025111E-3</v>
      </c>
      <c r="K529" s="8">
        <f t="shared" si="31"/>
        <v>-0.11531586854254161</v>
      </c>
    </row>
    <row r="530" spans="1:11" x14ac:dyDescent="0.25">
      <c r="A530" t="str">
        <f t="shared" si="32"/>
        <v>22019</v>
      </c>
      <c r="B530" s="1">
        <v>43515</v>
      </c>
      <c r="C530" t="s">
        <v>343</v>
      </c>
      <c r="D530">
        <v>8089.3</v>
      </c>
      <c r="E530">
        <v>8162.2</v>
      </c>
      <c r="F530">
        <v>8061.85</v>
      </c>
      <c r="G530">
        <v>8073.4</v>
      </c>
      <c r="H530">
        <v>0</v>
      </c>
      <c r="I530" s="8">
        <f t="shared" si="33"/>
        <v>7.0652106548330096E-4</v>
      </c>
      <c r="J530" s="8">
        <f t="shared" si="34"/>
        <v>7.0627159697157196E-4</v>
      </c>
      <c r="K530" s="8">
        <f t="shared" si="31"/>
        <v>-0.10915681395618282</v>
      </c>
    </row>
    <row r="531" spans="1:11" x14ac:dyDescent="0.25">
      <c r="A531" t="str">
        <f t="shared" si="32"/>
        <v>22019</v>
      </c>
      <c r="B531" s="1">
        <v>43516</v>
      </c>
      <c r="C531" t="s">
        <v>344</v>
      </c>
      <c r="D531">
        <v>8111.7</v>
      </c>
      <c r="E531">
        <v>8132.45</v>
      </c>
      <c r="F531">
        <v>8072.9</v>
      </c>
      <c r="G531">
        <v>8121.5</v>
      </c>
      <c r="H531">
        <v>0</v>
      </c>
      <c r="I531" s="8">
        <f t="shared" si="33"/>
        <v>5.9578368469295206E-3</v>
      </c>
      <c r="J531" s="8">
        <f t="shared" si="34"/>
        <v>5.9401591162556939E-3</v>
      </c>
      <c r="K531" s="8">
        <f t="shared" si="31"/>
        <v>-0.11325719526575528</v>
      </c>
    </row>
    <row r="532" spans="1:11" x14ac:dyDescent="0.25">
      <c r="A532" t="str">
        <f t="shared" si="32"/>
        <v>22019</v>
      </c>
      <c r="B532" s="1">
        <v>43517</v>
      </c>
      <c r="C532" t="s">
        <v>345</v>
      </c>
      <c r="D532">
        <v>8136.65</v>
      </c>
      <c r="E532">
        <v>8175.55</v>
      </c>
      <c r="F532">
        <v>8056.45</v>
      </c>
      <c r="G532">
        <v>8156.75</v>
      </c>
      <c r="H532">
        <v>0</v>
      </c>
      <c r="I532" s="8">
        <f t="shared" si="33"/>
        <v>4.3403312196022004E-3</v>
      </c>
      <c r="J532" s="8">
        <f t="shared" si="34"/>
        <v>4.3309391487130564E-3</v>
      </c>
      <c r="K532" s="8">
        <f t="shared" si="31"/>
        <v>-0.11001091107474081</v>
      </c>
    </row>
    <row r="533" spans="1:11" x14ac:dyDescent="0.25">
      <c r="A533" t="str">
        <f t="shared" si="32"/>
        <v>22019</v>
      </c>
      <c r="B533" s="1">
        <v>43518</v>
      </c>
      <c r="C533" t="s">
        <v>346</v>
      </c>
      <c r="D533">
        <v>8178.2</v>
      </c>
      <c r="E533">
        <v>8289.25</v>
      </c>
      <c r="F533">
        <v>8156.5</v>
      </c>
      <c r="G533">
        <v>8278.9500000000007</v>
      </c>
      <c r="H533">
        <v>0</v>
      </c>
      <c r="I533" s="8">
        <f t="shared" si="33"/>
        <v>1.4981457075428306E-2</v>
      </c>
      <c r="J533" s="8">
        <f t="shared" si="34"/>
        <v>1.487034343566879E-2</v>
      </c>
      <c r="K533" s="8">
        <f t="shared" si="31"/>
        <v>-8.9870224098412055E-2</v>
      </c>
    </row>
    <row r="534" spans="1:11" x14ac:dyDescent="0.25">
      <c r="A534" t="str">
        <f t="shared" si="32"/>
        <v>22019</v>
      </c>
      <c r="B534" s="1">
        <v>43521</v>
      </c>
      <c r="C534" t="s">
        <v>347</v>
      </c>
      <c r="D534">
        <v>8309.9</v>
      </c>
      <c r="E534">
        <v>8381.4</v>
      </c>
      <c r="F534">
        <v>8307.5499999999993</v>
      </c>
      <c r="G534">
        <v>8371.4500000000007</v>
      </c>
      <c r="H534">
        <v>0</v>
      </c>
      <c r="I534" s="8">
        <f t="shared" si="33"/>
        <v>1.1172914439633086E-2</v>
      </c>
      <c r="J534" s="8">
        <f t="shared" si="34"/>
        <v>1.111095848964464E-2</v>
      </c>
      <c r="K534" s="8">
        <f t="shared" si="31"/>
        <v>-9.026743895415168E-2</v>
      </c>
    </row>
    <row r="535" spans="1:11" x14ac:dyDescent="0.25">
      <c r="A535" t="str">
        <f t="shared" si="32"/>
        <v>22019</v>
      </c>
      <c r="B535" s="1">
        <v>43522</v>
      </c>
      <c r="C535" t="s">
        <v>348</v>
      </c>
      <c r="D535">
        <v>8315.9500000000007</v>
      </c>
      <c r="E535">
        <v>8442</v>
      </c>
      <c r="F535">
        <v>8234.5499999999993</v>
      </c>
      <c r="G535">
        <v>8399.1</v>
      </c>
      <c r="H535">
        <v>0</v>
      </c>
      <c r="I535" s="8">
        <f t="shared" si="33"/>
        <v>3.3028925693876499E-3</v>
      </c>
      <c r="J535" s="8">
        <f t="shared" si="34"/>
        <v>3.2974500005791781E-3</v>
      </c>
      <c r="K535" s="8">
        <f t="shared" si="31"/>
        <v>-9.3967767685702586E-2</v>
      </c>
    </row>
    <row r="536" spans="1:11" x14ac:dyDescent="0.25">
      <c r="A536" t="str">
        <f t="shared" si="32"/>
        <v>22019</v>
      </c>
      <c r="B536" s="1">
        <v>43523</v>
      </c>
      <c r="C536" t="s">
        <v>349</v>
      </c>
      <c r="D536">
        <v>8443.2999999999993</v>
      </c>
      <c r="E536">
        <v>8533.15</v>
      </c>
      <c r="F536">
        <v>8343.65</v>
      </c>
      <c r="G536">
        <v>8420.0499999999993</v>
      </c>
      <c r="H536">
        <v>0</v>
      </c>
      <c r="I536" s="8">
        <f t="shared" si="33"/>
        <v>2.4943148670688586E-3</v>
      </c>
      <c r="J536" s="8">
        <f t="shared" si="34"/>
        <v>2.491209226964984E-3</v>
      </c>
      <c r="K536" s="8">
        <f t="shared" si="31"/>
        <v>-9.0766257045979848E-2</v>
      </c>
    </row>
    <row r="537" spans="1:11" x14ac:dyDescent="0.25">
      <c r="A537" t="str">
        <f t="shared" si="32"/>
        <v>22019</v>
      </c>
      <c r="B537" s="1">
        <v>43524</v>
      </c>
      <c r="C537" t="s">
        <v>350</v>
      </c>
      <c r="D537">
        <v>8486.2000000000007</v>
      </c>
      <c r="E537">
        <v>8486.2000000000007</v>
      </c>
      <c r="F537">
        <v>8343.7999999999993</v>
      </c>
      <c r="G537">
        <v>8355.15</v>
      </c>
      <c r="H537">
        <v>0</v>
      </c>
      <c r="I537" s="8">
        <f t="shared" si="33"/>
        <v>-7.7077927090694054E-3</v>
      </c>
      <c r="J537" s="8">
        <f t="shared" si="34"/>
        <v>-7.7376512713217913E-3</v>
      </c>
      <c r="K537" s="8">
        <f t="shared" si="31"/>
        <v>-9.3034237207181847E-2</v>
      </c>
    </row>
    <row r="538" spans="1:11" x14ac:dyDescent="0.25">
      <c r="A538" t="str">
        <f t="shared" si="32"/>
        <v>32019</v>
      </c>
      <c r="B538" s="1">
        <v>43525</v>
      </c>
      <c r="C538" s="10">
        <v>43468.645833333336</v>
      </c>
      <c r="D538">
        <v>8408.2999999999993</v>
      </c>
      <c r="E538">
        <v>8440.25</v>
      </c>
      <c r="F538">
        <v>8362.7999999999993</v>
      </c>
      <c r="G538">
        <v>8413.65</v>
      </c>
      <c r="H538">
        <v>0</v>
      </c>
      <c r="I538" s="8">
        <f t="shared" si="33"/>
        <v>7.0016696289114666E-3</v>
      </c>
      <c r="J538" s="8">
        <f t="shared" si="34"/>
        <v>6.9772717578029247E-3</v>
      </c>
      <c r="K538" s="8">
        <f t="shared" si="31"/>
        <v>-6.441192496302639E-2</v>
      </c>
    </row>
    <row r="539" spans="1:11" x14ac:dyDescent="0.25">
      <c r="A539" t="str">
        <f t="shared" si="32"/>
        <v>32019</v>
      </c>
      <c r="B539" s="1">
        <v>43529</v>
      </c>
      <c r="C539" s="10">
        <v>43588.645833333336</v>
      </c>
      <c r="D539">
        <v>8417.35</v>
      </c>
      <c r="E539">
        <v>8698.2000000000007</v>
      </c>
      <c r="F539">
        <v>8376.7000000000007</v>
      </c>
      <c r="G539">
        <v>8676.6</v>
      </c>
      <c r="H539">
        <v>0</v>
      </c>
      <c r="I539" s="8">
        <f t="shared" si="33"/>
        <v>3.1252785651887161E-2</v>
      </c>
      <c r="J539" s="8">
        <f t="shared" si="34"/>
        <v>3.077435990129896E-2</v>
      </c>
      <c r="K539" s="8">
        <f t="shared" si="31"/>
        <v>-1.3058215983802302E-2</v>
      </c>
    </row>
    <row r="540" spans="1:11" x14ac:dyDescent="0.25">
      <c r="A540" t="str">
        <f t="shared" si="32"/>
        <v>32019</v>
      </c>
      <c r="B540" s="1">
        <v>43530</v>
      </c>
      <c r="C540" s="10">
        <v>43619.645833333336</v>
      </c>
      <c r="D540">
        <v>8702.5499999999993</v>
      </c>
      <c r="E540">
        <v>8706.7999999999993</v>
      </c>
      <c r="F540">
        <v>8599.4</v>
      </c>
      <c r="G540">
        <v>8651.75</v>
      </c>
      <c r="H540">
        <v>0</v>
      </c>
      <c r="I540" s="8">
        <f t="shared" si="33"/>
        <v>-2.8640250789480071E-3</v>
      </c>
      <c r="J540" s="8">
        <f t="shared" si="34"/>
        <v>-2.8681342464891117E-3</v>
      </c>
      <c r="K540" s="8">
        <f t="shared" si="31"/>
        <v>-2.4583417889918469E-2</v>
      </c>
    </row>
    <row r="541" spans="1:11" x14ac:dyDescent="0.25">
      <c r="A541" t="str">
        <f t="shared" si="32"/>
        <v>32019</v>
      </c>
      <c r="B541" s="1">
        <v>43531</v>
      </c>
      <c r="C541" s="10">
        <v>43649.645833333336</v>
      </c>
      <c r="D541">
        <v>8678.7999999999993</v>
      </c>
      <c r="E541">
        <v>8680.2000000000007</v>
      </c>
      <c r="F541">
        <v>8580.7000000000007</v>
      </c>
      <c r="G541">
        <v>8635.7000000000007</v>
      </c>
      <c r="H541">
        <v>0</v>
      </c>
      <c r="I541" s="8">
        <f t="shared" si="33"/>
        <v>-1.8551160169907321E-3</v>
      </c>
      <c r="J541" s="8">
        <f t="shared" si="34"/>
        <v>-1.8568388757739854E-3</v>
      </c>
      <c r="K541" s="8">
        <f t="shared" si="31"/>
        <v>-1.6910948572729567E-2</v>
      </c>
    </row>
    <row r="542" spans="1:11" x14ac:dyDescent="0.25">
      <c r="A542" t="str">
        <f t="shared" si="32"/>
        <v>32019</v>
      </c>
      <c r="B542" s="1">
        <v>43532</v>
      </c>
      <c r="C542" s="10">
        <v>43680.645833333336</v>
      </c>
      <c r="D542">
        <v>8609.15</v>
      </c>
      <c r="E542">
        <v>8632.9</v>
      </c>
      <c r="F542">
        <v>8565.75</v>
      </c>
      <c r="G542">
        <v>8582.6</v>
      </c>
      <c r="H542">
        <v>0</v>
      </c>
      <c r="I542" s="8">
        <f t="shared" si="33"/>
        <v>-6.1488935465567884E-3</v>
      </c>
      <c r="J542" s="8">
        <f t="shared" si="34"/>
        <v>-6.1678758459090405E-3</v>
      </c>
      <c r="K542" s="8">
        <f t="shared" si="31"/>
        <v>-2.9863905592982687E-2</v>
      </c>
    </row>
    <row r="543" spans="1:11" x14ac:dyDescent="0.25">
      <c r="A543" t="str">
        <f t="shared" si="32"/>
        <v>32019</v>
      </c>
      <c r="B543" s="1">
        <v>43535</v>
      </c>
      <c r="C543" s="10">
        <v>43772.645833333336</v>
      </c>
      <c r="D543">
        <v>8610</v>
      </c>
      <c r="E543">
        <v>8793.5499999999993</v>
      </c>
      <c r="F543">
        <v>8607.85</v>
      </c>
      <c r="G543">
        <v>8782.7000000000007</v>
      </c>
      <c r="H543">
        <v>0</v>
      </c>
      <c r="I543" s="8">
        <f t="shared" si="33"/>
        <v>2.3314613287348962E-2</v>
      </c>
      <c r="J543" s="8">
        <f t="shared" si="34"/>
        <v>2.3046979559128399E-2</v>
      </c>
      <c r="K543" s="8">
        <f t="shared" si="31"/>
        <v>-4.1833266965956128E-2</v>
      </c>
    </row>
    <row r="544" spans="1:11" x14ac:dyDescent="0.25">
      <c r="A544" t="str">
        <f t="shared" si="32"/>
        <v>32019</v>
      </c>
      <c r="B544" s="1">
        <v>43536</v>
      </c>
      <c r="C544" s="10">
        <v>43802.645833333336</v>
      </c>
      <c r="D544">
        <v>8834.85</v>
      </c>
      <c r="E544">
        <v>8872.15</v>
      </c>
      <c r="F544">
        <v>8775.4500000000007</v>
      </c>
      <c r="G544">
        <v>8802.9</v>
      </c>
      <c r="H544">
        <v>0</v>
      </c>
      <c r="I544" s="8">
        <f t="shared" si="33"/>
        <v>2.2999760893573917E-3</v>
      </c>
      <c r="J544" s="8">
        <f t="shared" si="34"/>
        <v>2.2973351929088778E-3</v>
      </c>
      <c r="K544" s="8">
        <f t="shared" si="31"/>
        <v>-4.8767046314106111E-2</v>
      </c>
    </row>
    <row r="545" spans="1:11" x14ac:dyDescent="0.25">
      <c r="A545" t="str">
        <f t="shared" si="32"/>
        <v>32019</v>
      </c>
      <c r="B545" s="1">
        <v>43537</v>
      </c>
      <c r="C545" t="s">
        <v>351</v>
      </c>
      <c r="D545">
        <v>8819.9500000000007</v>
      </c>
      <c r="E545">
        <v>8836.25</v>
      </c>
      <c r="F545">
        <v>8748.2999999999993</v>
      </c>
      <c r="G545">
        <v>8767.5499999999993</v>
      </c>
      <c r="H545">
        <v>0</v>
      </c>
      <c r="I545" s="8">
        <f t="shared" si="33"/>
        <v>-4.0157220915835179E-3</v>
      </c>
      <c r="J545" s="8">
        <f t="shared" si="34"/>
        <v>-4.0238067546404842E-3</v>
      </c>
      <c r="K545" s="8">
        <f t="shared" si="31"/>
        <v>-5.4354743029714769E-2</v>
      </c>
    </row>
    <row r="546" spans="1:11" x14ac:dyDescent="0.25">
      <c r="A546" t="str">
        <f t="shared" si="32"/>
        <v>32019</v>
      </c>
      <c r="B546" s="1">
        <v>43538</v>
      </c>
      <c r="C546" t="s">
        <v>352</v>
      </c>
      <c r="D546">
        <v>8775.9</v>
      </c>
      <c r="E546">
        <v>8787.35</v>
      </c>
      <c r="F546">
        <v>8670.7999999999993</v>
      </c>
      <c r="G546">
        <v>8725.5</v>
      </c>
      <c r="H546">
        <v>0</v>
      </c>
      <c r="I546" s="8">
        <f t="shared" si="33"/>
        <v>-4.7960946900786894E-3</v>
      </c>
      <c r="J546" s="8">
        <f t="shared" si="34"/>
        <v>-4.8076328591002424E-3</v>
      </c>
      <c r="K546" s="8">
        <f t="shared" si="31"/>
        <v>-6.5372008826238726E-2</v>
      </c>
    </row>
    <row r="547" spans="1:11" x14ac:dyDescent="0.25">
      <c r="A547" t="str">
        <f t="shared" si="32"/>
        <v>32019</v>
      </c>
      <c r="B547" s="1">
        <v>43539</v>
      </c>
      <c r="C547" t="s">
        <v>353</v>
      </c>
      <c r="D547">
        <v>8750.35</v>
      </c>
      <c r="E547">
        <v>8796.5</v>
      </c>
      <c r="F547">
        <v>8723.4500000000007</v>
      </c>
      <c r="G547">
        <v>8748.0499999999993</v>
      </c>
      <c r="H547">
        <v>0</v>
      </c>
      <c r="I547" s="8">
        <f t="shared" si="33"/>
        <v>2.5843791186750398E-3</v>
      </c>
      <c r="J547" s="8">
        <f t="shared" si="34"/>
        <v>2.5810453535338833E-3</v>
      </c>
      <c r="K547" s="8">
        <f t="shared" si="31"/>
        <v>-6.9732448584614692E-2</v>
      </c>
    </row>
    <row r="548" spans="1:11" x14ac:dyDescent="0.25">
      <c r="A548" t="str">
        <f t="shared" si="32"/>
        <v>32019</v>
      </c>
      <c r="B548" s="1">
        <v>43542</v>
      </c>
      <c r="C548" t="s">
        <v>354</v>
      </c>
      <c r="D548">
        <v>8764.5</v>
      </c>
      <c r="E548">
        <v>8766.5</v>
      </c>
      <c r="F548">
        <v>8589.1</v>
      </c>
      <c r="G548">
        <v>8627.0499999999993</v>
      </c>
      <c r="H548">
        <v>0</v>
      </c>
      <c r="I548" s="8">
        <f t="shared" si="33"/>
        <v>-1.3831653911443142E-2</v>
      </c>
      <c r="J548" s="8">
        <f t="shared" si="34"/>
        <v>-1.3928202555170943E-2</v>
      </c>
      <c r="K548" s="8">
        <f t="shared" si="31"/>
        <v>-9.2624925060740382E-2</v>
      </c>
    </row>
    <row r="549" spans="1:11" x14ac:dyDescent="0.25">
      <c r="A549" t="str">
        <f t="shared" si="32"/>
        <v>32019</v>
      </c>
      <c r="B549" s="1">
        <v>43543</v>
      </c>
      <c r="C549" t="s">
        <v>355</v>
      </c>
      <c r="D549">
        <v>8624.0499999999993</v>
      </c>
      <c r="E549">
        <v>8624.1</v>
      </c>
      <c r="F549">
        <v>8520.2999999999993</v>
      </c>
      <c r="G549">
        <v>8567.0499999999993</v>
      </c>
      <c r="H549">
        <v>0</v>
      </c>
      <c r="I549" s="8">
        <f t="shared" si="33"/>
        <v>-6.9548686978747609E-3</v>
      </c>
      <c r="J549" s="8">
        <f t="shared" si="34"/>
        <v>-6.9791665214962596E-3</v>
      </c>
      <c r="K549" s="8">
        <f t="shared" si="31"/>
        <v>-0.10052968381708327</v>
      </c>
    </row>
    <row r="550" spans="1:11" x14ac:dyDescent="0.25">
      <c r="A550" t="str">
        <f t="shared" si="32"/>
        <v>32019</v>
      </c>
      <c r="B550" s="1">
        <v>43544</v>
      </c>
      <c r="C550" t="s">
        <v>356</v>
      </c>
      <c r="D550">
        <v>8572.9</v>
      </c>
      <c r="E550">
        <v>8573.1</v>
      </c>
      <c r="F550">
        <v>8428.65</v>
      </c>
      <c r="G550">
        <v>8445.1</v>
      </c>
      <c r="H550">
        <v>0</v>
      </c>
      <c r="I550" s="8">
        <f t="shared" si="33"/>
        <v>-1.4234771595823426E-2</v>
      </c>
      <c r="J550" s="8">
        <f t="shared" si="34"/>
        <v>-1.4337057797771596E-2</v>
      </c>
      <c r="K550" s="8">
        <f t="shared" si="31"/>
        <v>-9.5547404214302856E-2</v>
      </c>
    </row>
    <row r="551" spans="1:11" x14ac:dyDescent="0.25">
      <c r="A551" t="str">
        <f t="shared" si="32"/>
        <v>32019</v>
      </c>
      <c r="B551" s="1">
        <v>43546</v>
      </c>
      <c r="C551" t="s">
        <v>357</v>
      </c>
      <c r="D551">
        <v>8432.15</v>
      </c>
      <c r="E551">
        <v>8508.0499999999993</v>
      </c>
      <c r="F551">
        <v>8319.4500000000007</v>
      </c>
      <c r="G551">
        <v>8336.6</v>
      </c>
      <c r="H551">
        <v>0</v>
      </c>
      <c r="I551" s="8">
        <f t="shared" si="33"/>
        <v>-1.2847686824312365E-2</v>
      </c>
      <c r="J551" s="8">
        <f t="shared" si="34"/>
        <v>-1.2930932127720108E-2</v>
      </c>
      <c r="K551" s="8">
        <f t="shared" si="31"/>
        <v>-9.4512178564640004E-2</v>
      </c>
    </row>
    <row r="552" spans="1:11" x14ac:dyDescent="0.25">
      <c r="A552" t="str">
        <f t="shared" si="32"/>
        <v>32019</v>
      </c>
      <c r="B552" s="1">
        <v>43549</v>
      </c>
      <c r="C552" t="s">
        <v>358</v>
      </c>
      <c r="D552">
        <v>8281.5</v>
      </c>
      <c r="E552">
        <v>8297.5</v>
      </c>
      <c r="F552">
        <v>8218.6</v>
      </c>
      <c r="G552">
        <v>8238.5499999999993</v>
      </c>
      <c r="H552">
        <v>0</v>
      </c>
      <c r="I552" s="8">
        <f t="shared" si="33"/>
        <v>-1.1761389535302258E-2</v>
      </c>
      <c r="J552" s="8">
        <f t="shared" si="34"/>
        <v>-1.18311018252609E-2</v>
      </c>
      <c r="K552" s="8">
        <f t="shared" si="31"/>
        <v>-0.10712582637910484</v>
      </c>
    </row>
    <row r="553" spans="1:11" x14ac:dyDescent="0.25">
      <c r="A553" t="str">
        <f t="shared" si="32"/>
        <v>32019</v>
      </c>
      <c r="B553" s="1">
        <v>43550</v>
      </c>
      <c r="C553" t="s">
        <v>359</v>
      </c>
      <c r="D553">
        <v>8269.0499999999993</v>
      </c>
      <c r="E553">
        <v>8297.9500000000007</v>
      </c>
      <c r="F553">
        <v>8219.0499999999993</v>
      </c>
      <c r="G553">
        <v>8287.25</v>
      </c>
      <c r="H553">
        <v>0</v>
      </c>
      <c r="I553" s="8">
        <f t="shared" si="33"/>
        <v>5.9112343798364275E-3</v>
      </c>
      <c r="J553" s="8">
        <f t="shared" si="34"/>
        <v>5.893831581558805E-3</v>
      </c>
      <c r="K553" s="8">
        <f t="shared" si="31"/>
        <v>-9.7652464585533783E-2</v>
      </c>
    </row>
    <row r="554" spans="1:11" x14ac:dyDescent="0.25">
      <c r="A554" t="str">
        <f t="shared" si="32"/>
        <v>32019</v>
      </c>
      <c r="B554" s="1">
        <v>43551</v>
      </c>
      <c r="C554" t="s">
        <v>360</v>
      </c>
      <c r="D554">
        <v>8325.65</v>
      </c>
      <c r="E554">
        <v>8334.6</v>
      </c>
      <c r="F554">
        <v>8205.2999999999993</v>
      </c>
      <c r="G554">
        <v>8215.35</v>
      </c>
      <c r="H554">
        <v>0</v>
      </c>
      <c r="I554" s="8">
        <f t="shared" si="33"/>
        <v>-8.6759781592204988E-3</v>
      </c>
      <c r="J554" s="8">
        <f t="shared" si="34"/>
        <v>-8.7138335719268451E-3</v>
      </c>
      <c r="K554" s="8">
        <f t="shared" si="31"/>
        <v>-0.10933129512782136</v>
      </c>
    </row>
    <row r="555" spans="1:11" x14ac:dyDescent="0.25">
      <c r="A555" t="str">
        <f t="shared" si="32"/>
        <v>32019</v>
      </c>
      <c r="B555" s="1">
        <v>43552</v>
      </c>
      <c r="C555" t="s">
        <v>361</v>
      </c>
      <c r="D555">
        <v>8222.4</v>
      </c>
      <c r="E555">
        <v>8260.75</v>
      </c>
      <c r="F555">
        <v>8194.6</v>
      </c>
      <c r="G555">
        <v>8234.25</v>
      </c>
      <c r="H555">
        <v>0</v>
      </c>
      <c r="I555" s="8">
        <f t="shared" si="33"/>
        <v>2.30057149117191E-3</v>
      </c>
      <c r="J555" s="8">
        <f t="shared" si="34"/>
        <v>2.297929228279403E-3</v>
      </c>
      <c r="K555" s="8">
        <f t="shared" si="31"/>
        <v>-0.10841801516964333</v>
      </c>
    </row>
    <row r="556" spans="1:11" x14ac:dyDescent="0.25">
      <c r="A556" t="str">
        <f t="shared" si="32"/>
        <v>32019</v>
      </c>
      <c r="B556" s="1">
        <v>43553</v>
      </c>
      <c r="C556" t="s">
        <v>362</v>
      </c>
      <c r="D556">
        <v>8257.2999999999993</v>
      </c>
      <c r="E556">
        <v>8381.0499999999993</v>
      </c>
      <c r="F556">
        <v>8236.35</v>
      </c>
      <c r="G556">
        <v>8335.35</v>
      </c>
      <c r="H556">
        <v>0</v>
      </c>
      <c r="I556" s="8">
        <f t="shared" si="33"/>
        <v>1.227798524455781E-2</v>
      </c>
      <c r="J556" s="8">
        <f t="shared" si="34"/>
        <v>1.2203222121999958E-2</v>
      </c>
      <c r="K556" s="8">
        <f t="shared" si="31"/>
        <v>-9.2252067803255122E-2</v>
      </c>
    </row>
    <row r="557" spans="1:11" x14ac:dyDescent="0.25">
      <c r="A557" t="str">
        <f t="shared" si="32"/>
        <v>42019</v>
      </c>
      <c r="B557" s="1">
        <v>43556</v>
      </c>
      <c r="C557" s="10">
        <v>43469.645833333336</v>
      </c>
      <c r="D557">
        <v>8407.5</v>
      </c>
      <c r="E557">
        <v>8492.35</v>
      </c>
      <c r="F557">
        <v>8394.7000000000007</v>
      </c>
      <c r="G557">
        <v>8414.35</v>
      </c>
      <c r="H557">
        <v>0</v>
      </c>
      <c r="I557" s="8">
        <f t="shared" si="33"/>
        <v>9.4777063950524099E-3</v>
      </c>
      <c r="J557" s="8">
        <f t="shared" si="34"/>
        <v>9.43307471813991E-3</v>
      </c>
      <c r="K557" s="8">
        <f t="shared" si="31"/>
        <v>-5.4848837143996354E-2</v>
      </c>
    </row>
    <row r="558" spans="1:11" x14ac:dyDescent="0.25">
      <c r="A558" t="str">
        <f t="shared" si="32"/>
        <v>42019</v>
      </c>
      <c r="B558" s="1">
        <v>43557</v>
      </c>
      <c r="C558" s="10">
        <v>43500.645833333336</v>
      </c>
      <c r="D558">
        <v>8441.15</v>
      </c>
      <c r="E558">
        <v>8515.9</v>
      </c>
      <c r="F558">
        <v>8429.0499999999993</v>
      </c>
      <c r="G558">
        <v>8504.2999999999993</v>
      </c>
      <c r="H558">
        <v>0</v>
      </c>
      <c r="I558" s="8">
        <f t="shared" si="33"/>
        <v>1.0690071128488743E-2</v>
      </c>
      <c r="J558" s="8">
        <f t="shared" si="34"/>
        <v>1.0633336292918346E-2</v>
      </c>
      <c r="K558" s="8">
        <f t="shared" si="31"/>
        <v>-3.0003364756739592E-2</v>
      </c>
    </row>
    <row r="559" spans="1:11" x14ac:dyDescent="0.25">
      <c r="A559" t="str">
        <f t="shared" si="32"/>
        <v>42019</v>
      </c>
      <c r="B559" s="1">
        <v>43558</v>
      </c>
      <c r="C559" s="10">
        <v>43528.645833333336</v>
      </c>
      <c r="D559">
        <v>8523.2000000000007</v>
      </c>
      <c r="E559">
        <v>8572.65</v>
      </c>
      <c r="F559">
        <v>8462.9</v>
      </c>
      <c r="G559">
        <v>8480.65</v>
      </c>
      <c r="H559">
        <v>0</v>
      </c>
      <c r="I559" s="8">
        <f t="shared" si="33"/>
        <v>-2.7809461096151011E-3</v>
      </c>
      <c r="J559" s="8">
        <f t="shared" si="34"/>
        <v>-2.7848201241981838E-3</v>
      </c>
      <c r="K559" s="8">
        <f t="shared" si="31"/>
        <v>-3.7312628059959052E-2</v>
      </c>
    </row>
    <row r="560" spans="1:11" x14ac:dyDescent="0.25">
      <c r="A560" t="str">
        <f t="shared" si="32"/>
        <v>42019</v>
      </c>
      <c r="B560" s="1">
        <v>43559</v>
      </c>
      <c r="C560" s="10">
        <v>43559.645833333336</v>
      </c>
      <c r="D560">
        <v>8520.5499999999993</v>
      </c>
      <c r="E560">
        <v>8546.15</v>
      </c>
      <c r="F560">
        <v>8484.9500000000007</v>
      </c>
      <c r="G560">
        <v>8536.35</v>
      </c>
      <c r="H560">
        <v>0</v>
      </c>
      <c r="I560" s="8">
        <f t="shared" si="33"/>
        <v>6.5678927912367069E-3</v>
      </c>
      <c r="J560" s="8">
        <f t="shared" si="34"/>
        <v>6.5464181608070153E-3</v>
      </c>
      <c r="K560" s="8">
        <f t="shared" si="31"/>
        <v>-3.2159863945578238E-2</v>
      </c>
    </row>
    <row r="561" spans="1:11" x14ac:dyDescent="0.25">
      <c r="A561" t="str">
        <f t="shared" si="32"/>
        <v>42019</v>
      </c>
      <c r="B561" s="1">
        <v>43560</v>
      </c>
      <c r="C561" s="10">
        <v>43589.645833333336</v>
      </c>
      <c r="D561">
        <v>8566.65</v>
      </c>
      <c r="E561">
        <v>8604.15</v>
      </c>
      <c r="F561">
        <v>8526.25</v>
      </c>
      <c r="G561">
        <v>8564.6</v>
      </c>
      <c r="H561">
        <v>0</v>
      </c>
      <c r="I561" s="8">
        <f t="shared" si="33"/>
        <v>3.3093769585361699E-3</v>
      </c>
      <c r="J561" s="8">
        <f t="shared" si="34"/>
        <v>3.3039130221075652E-3</v>
      </c>
      <c r="K561" s="8">
        <f t="shared" si="31"/>
        <v>-3.3302669970032617E-2</v>
      </c>
    </row>
    <row r="562" spans="1:11" x14ac:dyDescent="0.25">
      <c r="A562" t="str">
        <f t="shared" si="32"/>
        <v>42019</v>
      </c>
      <c r="B562" s="1">
        <v>43563</v>
      </c>
      <c r="C562" s="10">
        <v>43681.645833333336</v>
      </c>
      <c r="D562">
        <v>8590.25</v>
      </c>
      <c r="E562">
        <v>8597.25</v>
      </c>
      <c r="F562">
        <v>8483.9500000000007</v>
      </c>
      <c r="G562">
        <v>8526.2999999999993</v>
      </c>
      <c r="H562">
        <v>0</v>
      </c>
      <c r="I562" s="8">
        <f t="shared" si="33"/>
        <v>-4.4718959437686223E-3</v>
      </c>
      <c r="J562" s="8">
        <f t="shared" si="34"/>
        <v>-4.48192478021185E-3</v>
      </c>
      <c r="K562" s="8">
        <f t="shared" si="31"/>
        <v>-4.2752410997968004E-2</v>
      </c>
    </row>
    <row r="563" spans="1:11" x14ac:dyDescent="0.25">
      <c r="A563" t="str">
        <f t="shared" si="32"/>
        <v>42019</v>
      </c>
      <c r="B563" s="1">
        <v>43564</v>
      </c>
      <c r="C563" s="10">
        <v>43712.645833333336</v>
      </c>
      <c r="D563">
        <v>8532.9500000000007</v>
      </c>
      <c r="E563">
        <v>8636.9</v>
      </c>
      <c r="F563">
        <v>8482.9</v>
      </c>
      <c r="G563">
        <v>8622.7999999999993</v>
      </c>
      <c r="H563">
        <v>0</v>
      </c>
      <c r="I563" s="8">
        <f t="shared" si="33"/>
        <v>1.1317922193682994E-2</v>
      </c>
      <c r="J563" s="8">
        <f t="shared" si="34"/>
        <v>1.1254353704764393E-2</v>
      </c>
      <c r="K563" s="8">
        <f t="shared" si="31"/>
        <v>-3.476299484515899E-2</v>
      </c>
    </row>
    <row r="564" spans="1:11" x14ac:dyDescent="0.25">
      <c r="A564" t="str">
        <f t="shared" si="32"/>
        <v>42019</v>
      </c>
      <c r="B564" s="1">
        <v>43565</v>
      </c>
      <c r="C564" s="10">
        <v>43742.645833333336</v>
      </c>
      <c r="D564">
        <v>8625.35</v>
      </c>
      <c r="E564">
        <v>8667.7000000000007</v>
      </c>
      <c r="F564">
        <v>8583.2000000000007</v>
      </c>
      <c r="G564">
        <v>8644.5</v>
      </c>
      <c r="H564">
        <v>0</v>
      </c>
      <c r="I564" s="8">
        <f t="shared" si="33"/>
        <v>2.5165839402514489E-3</v>
      </c>
      <c r="J564" s="8">
        <f t="shared" si="34"/>
        <v>2.5134226455521378E-3</v>
      </c>
      <c r="K564" s="8">
        <f t="shared" si="31"/>
        <v>-2.4581516189272623E-2</v>
      </c>
    </row>
    <row r="565" spans="1:11" x14ac:dyDescent="0.25">
      <c r="A565" t="str">
        <f t="shared" si="32"/>
        <v>42019</v>
      </c>
      <c r="B565" s="1">
        <v>43566</v>
      </c>
      <c r="C565" s="10">
        <v>43773.645833333336</v>
      </c>
      <c r="D565">
        <v>8644.6</v>
      </c>
      <c r="E565">
        <v>8702.9500000000007</v>
      </c>
      <c r="F565">
        <v>8639.1</v>
      </c>
      <c r="G565">
        <v>8690.0499999999993</v>
      </c>
      <c r="H565">
        <v>0</v>
      </c>
      <c r="I565" s="8">
        <f t="shared" si="33"/>
        <v>5.2692463416044166E-3</v>
      </c>
      <c r="J565" s="8">
        <f t="shared" si="34"/>
        <v>5.2554124379851856E-3</v>
      </c>
      <c r="K565" s="8">
        <f t="shared" si="31"/>
        <v>-1.8040159553431301E-2</v>
      </c>
    </row>
    <row r="566" spans="1:11" x14ac:dyDescent="0.25">
      <c r="A566" t="str">
        <f t="shared" si="32"/>
        <v>42019</v>
      </c>
      <c r="B566" s="1">
        <v>43567</v>
      </c>
      <c r="C566" s="10">
        <v>43803.645833333336</v>
      </c>
      <c r="D566">
        <v>8698.7999999999993</v>
      </c>
      <c r="E566">
        <v>8785.75</v>
      </c>
      <c r="F566">
        <v>8665</v>
      </c>
      <c r="G566">
        <v>8777.4500000000007</v>
      </c>
      <c r="H566">
        <v>0</v>
      </c>
      <c r="I566" s="8">
        <f t="shared" si="33"/>
        <v>1.0057479531188074E-2</v>
      </c>
      <c r="J566" s="8">
        <f t="shared" si="34"/>
        <v>1.000723966075006E-2</v>
      </c>
      <c r="K566" s="8">
        <f t="shared" si="31"/>
        <v>-1.2482561540884674E-2</v>
      </c>
    </row>
    <row r="567" spans="1:11" x14ac:dyDescent="0.25">
      <c r="A567" t="str">
        <f t="shared" si="32"/>
        <v>42019</v>
      </c>
      <c r="B567" s="1">
        <v>43570</v>
      </c>
      <c r="C567" t="s">
        <v>363</v>
      </c>
      <c r="D567">
        <v>8805.4</v>
      </c>
      <c r="E567">
        <v>8922.1</v>
      </c>
      <c r="F567">
        <v>8804</v>
      </c>
      <c r="G567">
        <v>8911.6</v>
      </c>
      <c r="H567">
        <v>0</v>
      </c>
      <c r="I567" s="8">
        <f t="shared" si="33"/>
        <v>1.5283482104711421E-2</v>
      </c>
      <c r="J567" s="8">
        <f t="shared" si="34"/>
        <v>1.5167866212802509E-2</v>
      </c>
      <c r="K567" s="8">
        <f t="shared" si="31"/>
        <v>5.0582231370006614E-3</v>
      </c>
    </row>
    <row r="568" spans="1:11" x14ac:dyDescent="0.25">
      <c r="A568" t="str">
        <f t="shared" si="32"/>
        <v>42019</v>
      </c>
      <c r="B568" s="1">
        <v>43571</v>
      </c>
      <c r="C568" t="s">
        <v>364</v>
      </c>
      <c r="D568">
        <v>8956</v>
      </c>
      <c r="E568">
        <v>9002.75</v>
      </c>
      <c r="F568">
        <v>8928.2999999999993</v>
      </c>
      <c r="G568">
        <v>8983.5499999999993</v>
      </c>
      <c r="H568">
        <v>0</v>
      </c>
      <c r="I568" s="8">
        <f t="shared" si="33"/>
        <v>8.0737465774944894E-3</v>
      </c>
      <c r="J568" s="8">
        <f t="shared" si="34"/>
        <v>8.0413282602173428E-3</v>
      </c>
      <c r="K568" s="8">
        <f t="shared" si="31"/>
        <v>1.1866144038205739E-2</v>
      </c>
    </row>
    <row r="569" spans="1:11" x14ac:dyDescent="0.25">
      <c r="A569" t="str">
        <f t="shared" si="32"/>
        <v>42019</v>
      </c>
      <c r="B569" s="1">
        <v>43573</v>
      </c>
      <c r="C569" t="s">
        <v>365</v>
      </c>
      <c r="D569">
        <v>9034.9500000000007</v>
      </c>
      <c r="E569">
        <v>9059.35</v>
      </c>
      <c r="F569">
        <v>8952.5499999999993</v>
      </c>
      <c r="G569">
        <v>8972.65</v>
      </c>
      <c r="H569">
        <v>0</v>
      </c>
      <c r="I569" s="8">
        <f t="shared" si="33"/>
        <v>-1.2133288065407921E-3</v>
      </c>
      <c r="J569" s="8">
        <f t="shared" si="34"/>
        <v>-1.2140654858869874E-3</v>
      </c>
      <c r="K569" s="8">
        <f t="shared" si="31"/>
        <v>1.4454820911722122E-2</v>
      </c>
    </row>
    <row r="570" spans="1:11" x14ac:dyDescent="0.25">
      <c r="A570" t="str">
        <f t="shared" si="32"/>
        <v>42019</v>
      </c>
      <c r="B570" s="1">
        <v>43577</v>
      </c>
      <c r="C570" t="s">
        <v>366</v>
      </c>
      <c r="D570">
        <v>8937.9</v>
      </c>
      <c r="E570">
        <v>8944.0499999999993</v>
      </c>
      <c r="F570">
        <v>8802.5</v>
      </c>
      <c r="G570">
        <v>8813.9</v>
      </c>
      <c r="H570">
        <v>0</v>
      </c>
      <c r="I570" s="8">
        <f t="shared" si="33"/>
        <v>-1.7692654901283356E-2</v>
      </c>
      <c r="J570" s="8">
        <f t="shared" si="34"/>
        <v>-1.7851040879695027E-2</v>
      </c>
      <c r="K570" s="8">
        <f t="shared" si="31"/>
        <v>7.6656167648925244E-3</v>
      </c>
    </row>
    <row r="571" spans="1:11" x14ac:dyDescent="0.25">
      <c r="A571" t="str">
        <f t="shared" si="32"/>
        <v>42019</v>
      </c>
      <c r="B571" s="1">
        <v>43578</v>
      </c>
      <c r="C571" t="s">
        <v>367</v>
      </c>
      <c r="D571">
        <v>8823.5499999999993</v>
      </c>
      <c r="E571">
        <v>8853.7999999999993</v>
      </c>
      <c r="F571">
        <v>8666.7999999999993</v>
      </c>
      <c r="G571">
        <v>8682.9</v>
      </c>
      <c r="H571">
        <v>0</v>
      </c>
      <c r="I571" s="8">
        <f t="shared" si="33"/>
        <v>-1.4862887030712812E-2</v>
      </c>
      <c r="J571" s="8">
        <f t="shared" si="34"/>
        <v>-1.4974446513558243E-2</v>
      </c>
      <c r="K571" s="8">
        <f t="shared" si="31"/>
        <v>8.9335631084197509E-4</v>
      </c>
    </row>
    <row r="572" spans="1:11" x14ac:dyDescent="0.25">
      <c r="A572" t="str">
        <f t="shared" si="32"/>
        <v>42019</v>
      </c>
      <c r="B572" s="1">
        <v>43579</v>
      </c>
      <c r="C572" t="s">
        <v>368</v>
      </c>
      <c r="D572">
        <v>8701.4500000000007</v>
      </c>
      <c r="E572">
        <v>8726.5</v>
      </c>
      <c r="F572">
        <v>8557.1</v>
      </c>
      <c r="G572">
        <v>8646.0499999999993</v>
      </c>
      <c r="H572">
        <v>0</v>
      </c>
      <c r="I572" s="8">
        <f t="shared" si="33"/>
        <v>-4.2439737875594741E-3</v>
      </c>
      <c r="J572" s="8">
        <f t="shared" si="34"/>
        <v>-4.2530050055398774E-3</v>
      </c>
      <c r="K572" s="8">
        <f t="shared" si="31"/>
        <v>3.9246422247378732E-3</v>
      </c>
    </row>
    <row r="573" spans="1:11" x14ac:dyDescent="0.25">
      <c r="A573" t="str">
        <f t="shared" si="32"/>
        <v>42019</v>
      </c>
      <c r="B573" s="1">
        <v>43580</v>
      </c>
      <c r="C573" t="s">
        <v>369</v>
      </c>
      <c r="D573">
        <v>8657.85</v>
      </c>
      <c r="E573">
        <v>8670.1</v>
      </c>
      <c r="F573">
        <v>8573.7999999999993</v>
      </c>
      <c r="G573">
        <v>8587.9</v>
      </c>
      <c r="H573">
        <v>0</v>
      </c>
      <c r="I573" s="8">
        <f t="shared" si="33"/>
        <v>-6.7256145870079331E-3</v>
      </c>
      <c r="J573" s="8">
        <f t="shared" si="34"/>
        <v>-6.7483334556620979E-3</v>
      </c>
      <c r="K573" s="8">
        <f t="shared" si="31"/>
        <v>5.9328238015754486E-3</v>
      </c>
    </row>
    <row r="574" spans="1:11" x14ac:dyDescent="0.25">
      <c r="A574" t="str">
        <f t="shared" si="32"/>
        <v>42019</v>
      </c>
      <c r="B574" s="1">
        <v>43581</v>
      </c>
      <c r="C574" t="s">
        <v>370</v>
      </c>
      <c r="D574">
        <v>8562.7000000000007</v>
      </c>
      <c r="E574">
        <v>8578.9500000000007</v>
      </c>
      <c r="F574">
        <v>8458.5</v>
      </c>
      <c r="G574">
        <v>8493.7999999999993</v>
      </c>
      <c r="H574">
        <v>0</v>
      </c>
      <c r="I574" s="8">
        <f t="shared" si="33"/>
        <v>-1.0957277099174489E-2</v>
      </c>
      <c r="J574" s="8">
        <f t="shared" si="34"/>
        <v>-1.1017750212732878E-2</v>
      </c>
      <c r="K574" s="8">
        <f t="shared" si="31"/>
        <v>2.8329983776846923E-2</v>
      </c>
    </row>
    <row r="575" spans="1:11" x14ac:dyDescent="0.25">
      <c r="A575" t="str">
        <f t="shared" si="32"/>
        <v>42019</v>
      </c>
      <c r="B575" s="1">
        <v>43585</v>
      </c>
      <c r="C575" t="s">
        <v>371</v>
      </c>
      <c r="D575">
        <v>8441.6</v>
      </c>
      <c r="E575">
        <v>8458.1</v>
      </c>
      <c r="F575">
        <v>8293.9500000000007</v>
      </c>
      <c r="G575">
        <v>8350.6</v>
      </c>
      <c r="H575">
        <v>0</v>
      </c>
      <c r="I575" s="8">
        <f t="shared" si="33"/>
        <v>-1.6859356236313405E-2</v>
      </c>
      <c r="J575" s="8">
        <f t="shared" si="34"/>
        <v>-1.7003093012723666E-2</v>
      </c>
      <c r="K575" s="8">
        <f t="shared" si="31"/>
        <v>2.5494289573867235E-2</v>
      </c>
    </row>
    <row r="576" spans="1:11" x14ac:dyDescent="0.25">
      <c r="A576" t="str">
        <f t="shared" si="32"/>
        <v>52019</v>
      </c>
      <c r="B576" s="1">
        <v>43587</v>
      </c>
      <c r="C576" s="10">
        <v>43501.645833333336</v>
      </c>
      <c r="D576">
        <v>8273.75</v>
      </c>
      <c r="E576">
        <v>8369.25</v>
      </c>
      <c r="F576">
        <v>8213.4500000000007</v>
      </c>
      <c r="G576">
        <v>8333.85</v>
      </c>
      <c r="H576">
        <v>0</v>
      </c>
      <c r="I576" s="8">
        <f t="shared" si="33"/>
        <v>-2.0058438914568599E-3</v>
      </c>
      <c r="J576" s="8">
        <f t="shared" si="34"/>
        <v>-2.0078582904793697E-3</v>
      </c>
      <c r="K576" s="8">
        <f t="shared" ref="K576:K639" si="35">+G576/G515-1</f>
        <v>2.6279331810429296E-2</v>
      </c>
    </row>
    <row r="577" spans="1:11" x14ac:dyDescent="0.25">
      <c r="A577" t="str">
        <f t="shared" si="32"/>
        <v>52019</v>
      </c>
      <c r="B577" s="1">
        <v>43588</v>
      </c>
      <c r="C577" s="10">
        <v>43529.645833333336</v>
      </c>
      <c r="D577">
        <v>8325.2999999999993</v>
      </c>
      <c r="E577">
        <v>8415.5</v>
      </c>
      <c r="F577">
        <v>8315.6</v>
      </c>
      <c r="G577">
        <v>8381.4500000000007</v>
      </c>
      <c r="H577">
        <v>0</v>
      </c>
      <c r="I577" s="8">
        <f t="shared" si="33"/>
        <v>5.7116458779555845E-3</v>
      </c>
      <c r="J577" s="8">
        <f t="shared" si="34"/>
        <v>5.6953962739327638E-3</v>
      </c>
      <c r="K577" s="8">
        <f t="shared" si="35"/>
        <v>3.2401704769412731E-2</v>
      </c>
    </row>
    <row r="578" spans="1:11" x14ac:dyDescent="0.25">
      <c r="A578" t="str">
        <f t="shared" si="32"/>
        <v>52019</v>
      </c>
      <c r="B578" s="1">
        <v>43591</v>
      </c>
      <c r="C578" s="10">
        <v>43621.645833333336</v>
      </c>
      <c r="D578">
        <v>8303.65</v>
      </c>
      <c r="E578">
        <v>8319.2999999999993</v>
      </c>
      <c r="F578">
        <v>8260.2000000000007</v>
      </c>
      <c r="G578">
        <v>8268.4500000000007</v>
      </c>
      <c r="H578">
        <v>0</v>
      </c>
      <c r="I578" s="8">
        <f t="shared" si="33"/>
        <v>-1.3482154042558259E-2</v>
      </c>
      <c r="J578" s="8">
        <f t="shared" si="34"/>
        <v>-1.3573863508290691E-2</v>
      </c>
      <c r="K578" s="8">
        <f t="shared" si="35"/>
        <v>6.0899931860216583E-3</v>
      </c>
    </row>
    <row r="579" spans="1:11" x14ac:dyDescent="0.25">
      <c r="A579" t="str">
        <f t="shared" ref="A579:A642" si="36">+MONTH(B579)&amp;YEAR(B579)</f>
        <v>52019</v>
      </c>
      <c r="B579" s="1">
        <v>43592</v>
      </c>
      <c r="C579" s="10">
        <v>43651.791666666664</v>
      </c>
      <c r="D579">
        <v>8314.15</v>
      </c>
      <c r="E579">
        <v>8323.7000000000007</v>
      </c>
      <c r="F579">
        <v>8189.8</v>
      </c>
      <c r="G579">
        <v>8206.25</v>
      </c>
      <c r="H579">
        <v>0</v>
      </c>
      <c r="I579" s="8">
        <f t="shared" si="33"/>
        <v>-7.5225707357485794E-3</v>
      </c>
      <c r="J579" s="8">
        <f t="shared" si="34"/>
        <v>-7.5510079748433174E-3</v>
      </c>
      <c r="K579" s="8">
        <f t="shared" si="35"/>
        <v>-2.7839478750185109E-2</v>
      </c>
    </row>
    <row r="580" spans="1:11" x14ac:dyDescent="0.25">
      <c r="A580" t="str">
        <f t="shared" si="36"/>
        <v>52019</v>
      </c>
      <c r="B580" s="1">
        <v>43593</v>
      </c>
      <c r="C580" s="10">
        <v>43682.645833333336</v>
      </c>
      <c r="D580">
        <v>8183.9</v>
      </c>
      <c r="E580">
        <v>8193.9500000000007</v>
      </c>
      <c r="F580">
        <v>8086</v>
      </c>
      <c r="G580">
        <v>8095.9</v>
      </c>
      <c r="H580">
        <v>0</v>
      </c>
      <c r="I580" s="8">
        <f t="shared" ref="I580:I643" si="37">+G580/G579-1</f>
        <v>-1.3447067783701527E-2</v>
      </c>
      <c r="J580" s="8">
        <f t="shared" ref="J580:J643" si="38">+LN(1+I580)</f>
        <v>-1.353829837879959E-2</v>
      </c>
      <c r="K580" s="8">
        <f t="shared" si="35"/>
        <v>-3.5691527058977601E-2</v>
      </c>
    </row>
    <row r="581" spans="1:11" x14ac:dyDescent="0.25">
      <c r="A581" t="str">
        <f t="shared" si="36"/>
        <v>52019</v>
      </c>
      <c r="B581" s="1">
        <v>43594</v>
      </c>
      <c r="C581" s="10">
        <v>43713.645833333336</v>
      </c>
      <c r="D581">
        <v>8077.75</v>
      </c>
      <c r="E581">
        <v>8131.1</v>
      </c>
      <c r="F581">
        <v>8049.8</v>
      </c>
      <c r="G581">
        <v>8103.5</v>
      </c>
      <c r="H581">
        <v>0</v>
      </c>
      <c r="I581" s="8">
        <f t="shared" si="37"/>
        <v>9.387467730579413E-4</v>
      </c>
      <c r="J581" s="8">
        <f t="shared" si="38"/>
        <v>9.3830642586743298E-4</v>
      </c>
      <c r="K581" s="8">
        <f t="shared" si="35"/>
        <v>-4.307830379178812E-2</v>
      </c>
    </row>
    <row r="582" spans="1:11" x14ac:dyDescent="0.25">
      <c r="A582" t="str">
        <f t="shared" si="36"/>
        <v>52019</v>
      </c>
      <c r="B582" s="1">
        <v>43595</v>
      </c>
      <c r="C582" s="10">
        <v>43743.645833333336</v>
      </c>
      <c r="D582">
        <v>8111.15</v>
      </c>
      <c r="E582">
        <v>8147.95</v>
      </c>
      <c r="F582">
        <v>8070.75</v>
      </c>
      <c r="G582">
        <v>8093.2</v>
      </c>
      <c r="H582">
        <v>0</v>
      </c>
      <c r="I582" s="8">
        <f t="shared" si="37"/>
        <v>-1.2710557166656367E-3</v>
      </c>
      <c r="J582" s="8">
        <f t="shared" si="38"/>
        <v>-1.2718641931347766E-3</v>
      </c>
      <c r="K582" s="8">
        <f t="shared" si="35"/>
        <v>-5.5349347526670867E-2</v>
      </c>
    </row>
    <row r="583" spans="1:11" x14ac:dyDescent="0.25">
      <c r="A583" t="str">
        <f t="shared" si="36"/>
        <v>52019</v>
      </c>
      <c r="B583" s="1">
        <v>43598</v>
      </c>
      <c r="C583" t="s">
        <v>372</v>
      </c>
      <c r="D583">
        <v>8081.85</v>
      </c>
      <c r="E583">
        <v>8098.7</v>
      </c>
      <c r="F583">
        <v>7911.45</v>
      </c>
      <c r="G583">
        <v>7938.65</v>
      </c>
      <c r="H583">
        <v>0</v>
      </c>
      <c r="I583" s="8">
        <f t="shared" si="37"/>
        <v>-1.909627835713934E-2</v>
      </c>
      <c r="J583" s="8">
        <f t="shared" si="38"/>
        <v>-1.9280967308696009E-2</v>
      </c>
      <c r="K583" s="8">
        <f t="shared" si="35"/>
        <v>-9.1344558013895516E-2</v>
      </c>
    </row>
    <row r="584" spans="1:11" x14ac:dyDescent="0.25">
      <c r="A584" t="str">
        <f t="shared" si="36"/>
        <v>52019</v>
      </c>
      <c r="B584" s="1">
        <v>43599</v>
      </c>
      <c r="C584" t="s">
        <v>373</v>
      </c>
      <c r="D584">
        <v>7890.55</v>
      </c>
      <c r="E584">
        <v>7988.5</v>
      </c>
      <c r="F584">
        <v>7855.9</v>
      </c>
      <c r="G584">
        <v>7955.5</v>
      </c>
      <c r="H584">
        <v>0</v>
      </c>
      <c r="I584" s="8">
        <f t="shared" si="37"/>
        <v>2.1225271299276649E-3</v>
      </c>
      <c r="J584" s="8">
        <f t="shared" si="38"/>
        <v>2.1202777515677402E-3</v>
      </c>
      <c r="K584" s="8">
        <f t="shared" si="35"/>
        <v>-5.5205543712553595E-2</v>
      </c>
    </row>
    <row r="585" spans="1:11" x14ac:dyDescent="0.25">
      <c r="A585" t="str">
        <f t="shared" si="36"/>
        <v>52019</v>
      </c>
      <c r="B585" s="1">
        <v>43600</v>
      </c>
      <c r="C585" t="s">
        <v>374</v>
      </c>
      <c r="D585">
        <v>7983.9</v>
      </c>
      <c r="E585">
        <v>8021.05</v>
      </c>
      <c r="F585">
        <v>7840.1</v>
      </c>
      <c r="G585">
        <v>7856.85</v>
      </c>
      <c r="H585">
        <v>0</v>
      </c>
      <c r="I585" s="8">
        <f t="shared" si="37"/>
        <v>-1.2400226258563185E-2</v>
      </c>
      <c r="J585" s="8">
        <f t="shared" si="38"/>
        <v>-1.2477750610534549E-2</v>
      </c>
      <c r="K585" s="8">
        <f t="shared" si="35"/>
        <v>-5.5701116546278295E-2</v>
      </c>
    </row>
    <row r="586" spans="1:11" x14ac:dyDescent="0.25">
      <c r="A586" t="str">
        <f t="shared" si="36"/>
        <v>52019</v>
      </c>
      <c r="B586" s="1">
        <v>43601</v>
      </c>
      <c r="C586" t="s">
        <v>375</v>
      </c>
      <c r="D586">
        <v>7900.55</v>
      </c>
      <c r="E586">
        <v>7917.5</v>
      </c>
      <c r="F586">
        <v>7821.75</v>
      </c>
      <c r="G586">
        <v>7891.9</v>
      </c>
      <c r="H586">
        <v>0</v>
      </c>
      <c r="I586" s="8">
        <f t="shared" si="37"/>
        <v>4.4610753673544057E-3</v>
      </c>
      <c r="J586" s="8">
        <f t="shared" si="38"/>
        <v>4.4511542655500842E-3</v>
      </c>
      <c r="K586" s="8">
        <f t="shared" si="35"/>
        <v>-4.6653217525760793E-2</v>
      </c>
    </row>
    <row r="587" spans="1:11" x14ac:dyDescent="0.25">
      <c r="A587" t="str">
        <f t="shared" si="36"/>
        <v>52019</v>
      </c>
      <c r="B587" s="1">
        <v>43602</v>
      </c>
      <c r="C587" t="s">
        <v>376</v>
      </c>
      <c r="D587">
        <v>7900.2</v>
      </c>
      <c r="E587">
        <v>8115.8</v>
      </c>
      <c r="F587">
        <v>7884.15</v>
      </c>
      <c r="G587">
        <v>8085.75</v>
      </c>
      <c r="H587">
        <v>0</v>
      </c>
      <c r="I587" s="8">
        <f t="shared" si="37"/>
        <v>2.4563159695383918E-2</v>
      </c>
      <c r="J587" s="8">
        <f t="shared" si="38"/>
        <v>2.426633608441018E-2</v>
      </c>
      <c r="K587" s="8">
        <f t="shared" si="35"/>
        <v>-1.1225856154960856E-2</v>
      </c>
    </row>
    <row r="588" spans="1:11" x14ac:dyDescent="0.25">
      <c r="A588" t="str">
        <f t="shared" si="36"/>
        <v>52019</v>
      </c>
      <c r="B588" s="1">
        <v>43605</v>
      </c>
      <c r="C588" t="s">
        <v>377</v>
      </c>
      <c r="D588">
        <v>8282.2999999999993</v>
      </c>
      <c r="E588">
        <v>8438.5499999999993</v>
      </c>
      <c r="F588">
        <v>8221.2999999999993</v>
      </c>
      <c r="G588">
        <v>8422.1</v>
      </c>
      <c r="H588">
        <v>0</v>
      </c>
      <c r="I588" s="8">
        <f t="shared" si="37"/>
        <v>4.1597872800915203E-2</v>
      </c>
      <c r="J588" s="8">
        <f t="shared" si="38"/>
        <v>4.0755950228257481E-2</v>
      </c>
      <c r="K588" s="8">
        <f t="shared" si="35"/>
        <v>2.4168982227437796E-2</v>
      </c>
    </row>
    <row r="589" spans="1:11" x14ac:dyDescent="0.25">
      <c r="A589" t="str">
        <f t="shared" si="36"/>
        <v>52019</v>
      </c>
      <c r="B589" s="1">
        <v>43606</v>
      </c>
      <c r="C589" t="s">
        <v>378</v>
      </c>
      <c r="D589">
        <v>8430.2999999999993</v>
      </c>
      <c r="E589">
        <v>8436.4</v>
      </c>
      <c r="F589">
        <v>8172.65</v>
      </c>
      <c r="G589">
        <v>8209.4500000000007</v>
      </c>
      <c r="H589">
        <v>0</v>
      </c>
      <c r="I589" s="8">
        <f t="shared" si="37"/>
        <v>-2.5249047149760728E-2</v>
      </c>
      <c r="J589" s="8">
        <f t="shared" si="38"/>
        <v>-2.5573273586961966E-2</v>
      </c>
      <c r="K589" s="8">
        <f t="shared" si="35"/>
        <v>9.4558287376038663E-3</v>
      </c>
    </row>
    <row r="590" spans="1:11" x14ac:dyDescent="0.25">
      <c r="A590" t="str">
        <f t="shared" si="36"/>
        <v>52019</v>
      </c>
      <c r="B590" s="1">
        <v>43607</v>
      </c>
      <c r="C590" t="s">
        <v>379</v>
      </c>
      <c r="D590">
        <v>8230.4500000000007</v>
      </c>
      <c r="E590">
        <v>8271.75</v>
      </c>
      <c r="F590">
        <v>8154</v>
      </c>
      <c r="G590">
        <v>8246.5499999999993</v>
      </c>
      <c r="H590">
        <v>0</v>
      </c>
      <c r="I590" s="8">
        <f t="shared" si="37"/>
        <v>4.5191821620205186E-3</v>
      </c>
      <c r="J590" s="8">
        <f t="shared" si="38"/>
        <v>4.5090013195114567E-3</v>
      </c>
      <c r="K590" s="8">
        <f t="shared" si="35"/>
        <v>2.2168647817841558E-2</v>
      </c>
    </row>
    <row r="591" spans="1:11" x14ac:dyDescent="0.25">
      <c r="A591" t="str">
        <f t="shared" si="36"/>
        <v>52019</v>
      </c>
      <c r="B591" s="1">
        <v>43608</v>
      </c>
      <c r="C591" t="s">
        <v>380</v>
      </c>
      <c r="D591">
        <v>8366.65</v>
      </c>
      <c r="E591">
        <v>8415.15</v>
      </c>
      <c r="F591">
        <v>8182.4</v>
      </c>
      <c r="G591">
        <v>8216.9</v>
      </c>
      <c r="H591">
        <v>0</v>
      </c>
      <c r="I591" s="8">
        <f t="shared" si="37"/>
        <v>-3.5954429428063372E-3</v>
      </c>
      <c r="J591" s="8">
        <f t="shared" si="38"/>
        <v>-3.6019220826978122E-3</v>
      </c>
      <c r="K591" s="8">
        <f t="shared" si="35"/>
        <v>1.7774419699259303E-2</v>
      </c>
    </row>
    <row r="592" spans="1:11" x14ac:dyDescent="0.25">
      <c r="A592" t="str">
        <f t="shared" si="36"/>
        <v>52019</v>
      </c>
      <c r="B592" s="1">
        <v>43609</v>
      </c>
      <c r="C592" t="s">
        <v>381</v>
      </c>
      <c r="D592">
        <v>8269.9500000000007</v>
      </c>
      <c r="E592">
        <v>8475.7000000000007</v>
      </c>
      <c r="F592">
        <v>8217.25</v>
      </c>
      <c r="G592">
        <v>8460.25</v>
      </c>
      <c r="H592">
        <v>0</v>
      </c>
      <c r="I592" s="8">
        <f t="shared" si="37"/>
        <v>2.9615791843639272E-2</v>
      </c>
      <c r="J592" s="8">
        <f t="shared" si="38"/>
        <v>2.9185715025628823E-2</v>
      </c>
      <c r="K592" s="8">
        <f t="shared" si="35"/>
        <v>4.1710275195468771E-2</v>
      </c>
    </row>
    <row r="593" spans="1:11" x14ac:dyDescent="0.25">
      <c r="A593" t="str">
        <f t="shared" si="36"/>
        <v>52019</v>
      </c>
      <c r="B593" s="1">
        <v>43612</v>
      </c>
      <c r="C593" t="s">
        <v>382</v>
      </c>
      <c r="D593">
        <v>8466.35</v>
      </c>
      <c r="E593">
        <v>8517.6</v>
      </c>
      <c r="F593">
        <v>8382.0499999999993</v>
      </c>
      <c r="G593">
        <v>8462.2000000000007</v>
      </c>
      <c r="H593">
        <v>0</v>
      </c>
      <c r="I593" s="8">
        <f t="shared" si="37"/>
        <v>2.3048964274119399E-4</v>
      </c>
      <c r="J593" s="8">
        <f t="shared" si="38"/>
        <v>2.30463084084407E-4</v>
      </c>
      <c r="K593" s="8">
        <f t="shared" si="35"/>
        <v>3.7447512796150439E-2</v>
      </c>
    </row>
    <row r="594" spans="1:11" x14ac:dyDescent="0.25">
      <c r="A594" t="str">
        <f t="shared" si="36"/>
        <v>52019</v>
      </c>
      <c r="B594" s="1">
        <v>43613</v>
      </c>
      <c r="C594" t="s">
        <v>383</v>
      </c>
      <c r="D594">
        <v>8478.2000000000007</v>
      </c>
      <c r="E594">
        <v>8515.0499999999993</v>
      </c>
      <c r="F594">
        <v>8382.2000000000007</v>
      </c>
      <c r="G594">
        <v>8398.2000000000007</v>
      </c>
      <c r="H594">
        <v>0</v>
      </c>
      <c r="I594" s="8">
        <f t="shared" si="37"/>
        <v>-7.563045071021679E-3</v>
      </c>
      <c r="J594" s="8">
        <f t="shared" si="38"/>
        <v>-7.5917899205040721E-3</v>
      </c>
      <c r="K594" s="8">
        <f t="shared" si="35"/>
        <v>1.4404000507310721E-2</v>
      </c>
    </row>
    <row r="595" spans="1:11" x14ac:dyDescent="0.25">
      <c r="A595" t="str">
        <f t="shared" si="36"/>
        <v>52019</v>
      </c>
      <c r="B595" s="1">
        <v>43614</v>
      </c>
      <c r="C595" t="s">
        <v>384</v>
      </c>
      <c r="D595">
        <v>8385.0499999999993</v>
      </c>
      <c r="E595">
        <v>8385.25</v>
      </c>
      <c r="F595">
        <v>8251.5499999999993</v>
      </c>
      <c r="G595">
        <v>8281.9</v>
      </c>
      <c r="H595">
        <v>0</v>
      </c>
      <c r="I595" s="8">
        <f t="shared" si="37"/>
        <v>-1.3848205567859928E-2</v>
      </c>
      <c r="J595" s="8">
        <f t="shared" si="38"/>
        <v>-1.3944986500208187E-2</v>
      </c>
      <c r="K595" s="8">
        <f t="shared" si="35"/>
        <v>-1.0697071594526819E-2</v>
      </c>
    </row>
    <row r="596" spans="1:11" x14ac:dyDescent="0.25">
      <c r="A596" t="str">
        <f t="shared" si="36"/>
        <v>52019</v>
      </c>
      <c r="B596" s="1">
        <v>43615</v>
      </c>
      <c r="C596" t="s">
        <v>385</v>
      </c>
      <c r="D596">
        <v>8271</v>
      </c>
      <c r="E596">
        <v>8284.25</v>
      </c>
      <c r="F596">
        <v>8220.5</v>
      </c>
      <c r="G596">
        <v>8235.7000000000007</v>
      </c>
      <c r="H596">
        <v>0</v>
      </c>
      <c r="I596" s="8">
        <f t="shared" si="37"/>
        <v>-5.5784300703943801E-3</v>
      </c>
      <c r="J596" s="8">
        <f t="shared" si="38"/>
        <v>-5.5940476194369804E-3</v>
      </c>
      <c r="K596" s="8">
        <f t="shared" si="35"/>
        <v>-1.9454465359383666E-2</v>
      </c>
    </row>
    <row r="597" spans="1:11" x14ac:dyDescent="0.25">
      <c r="A597" t="str">
        <f t="shared" si="36"/>
        <v>52019</v>
      </c>
      <c r="B597" s="1">
        <v>43616</v>
      </c>
      <c r="C597" t="s">
        <v>386</v>
      </c>
      <c r="D597">
        <v>8270.0499999999993</v>
      </c>
      <c r="E597">
        <v>8314.4</v>
      </c>
      <c r="F597">
        <v>8151.75</v>
      </c>
      <c r="G597">
        <v>8175.5</v>
      </c>
      <c r="H597">
        <v>0</v>
      </c>
      <c r="I597" s="8">
        <f t="shared" si="37"/>
        <v>-7.3096397391844148E-3</v>
      </c>
      <c r="J597" s="8">
        <f t="shared" si="38"/>
        <v>-7.3364860603690853E-3</v>
      </c>
      <c r="K597" s="8">
        <f t="shared" si="35"/>
        <v>-2.9043770523927925E-2</v>
      </c>
    </row>
    <row r="598" spans="1:11" x14ac:dyDescent="0.25">
      <c r="A598" t="str">
        <f t="shared" si="36"/>
        <v>62019</v>
      </c>
      <c r="B598" s="1">
        <v>43619</v>
      </c>
      <c r="C598" s="10">
        <v>43530.645833333336</v>
      </c>
      <c r="D598">
        <v>8145.45</v>
      </c>
      <c r="E598">
        <v>8345.25</v>
      </c>
      <c r="F598">
        <v>8107.3</v>
      </c>
      <c r="G598">
        <v>8328.2000000000007</v>
      </c>
      <c r="H598">
        <v>0</v>
      </c>
      <c r="I598" s="8">
        <f t="shared" si="37"/>
        <v>1.867775671212768E-2</v>
      </c>
      <c r="J598" s="8">
        <f t="shared" si="38"/>
        <v>1.8505469401635992E-2</v>
      </c>
      <c r="K598" s="8">
        <f t="shared" si="35"/>
        <v>-3.2255554957121291E-3</v>
      </c>
    </row>
    <row r="599" spans="1:11" x14ac:dyDescent="0.25">
      <c r="A599" t="str">
        <f t="shared" si="36"/>
        <v>62019</v>
      </c>
      <c r="B599" s="1">
        <v>43620</v>
      </c>
      <c r="C599" s="10">
        <v>43561.645833333336</v>
      </c>
      <c r="D599">
        <v>8320.4</v>
      </c>
      <c r="E599">
        <v>8358</v>
      </c>
      <c r="F599">
        <v>8283.4500000000007</v>
      </c>
      <c r="G599">
        <v>8300.2000000000007</v>
      </c>
      <c r="H599">
        <v>0</v>
      </c>
      <c r="I599" s="8">
        <f t="shared" si="37"/>
        <v>-3.3620710357580297E-3</v>
      </c>
      <c r="J599" s="8">
        <f t="shared" si="38"/>
        <v>-3.3677354963589073E-3</v>
      </c>
      <c r="K599" s="8">
        <f t="shared" si="35"/>
        <v>-1.3484040814628506E-2</v>
      </c>
    </row>
    <row r="600" spans="1:11" x14ac:dyDescent="0.25">
      <c r="A600" t="str">
        <f t="shared" si="36"/>
        <v>62019</v>
      </c>
      <c r="B600" s="1">
        <v>43622</v>
      </c>
      <c r="C600" s="10">
        <v>43622.645833333336</v>
      </c>
      <c r="D600">
        <v>8329.6</v>
      </c>
      <c r="E600">
        <v>8350.5499999999993</v>
      </c>
      <c r="F600">
        <v>8174.6</v>
      </c>
      <c r="G600">
        <v>8226.4500000000007</v>
      </c>
      <c r="H600">
        <v>0</v>
      </c>
      <c r="I600" s="8">
        <f t="shared" si="37"/>
        <v>-8.8853280643840238E-3</v>
      </c>
      <c r="J600" s="8">
        <f t="shared" si="38"/>
        <v>-8.9250379906046715E-3</v>
      </c>
      <c r="K600" s="8">
        <f t="shared" si="35"/>
        <v>-5.1880921098125921E-2</v>
      </c>
    </row>
    <row r="601" spans="1:11" x14ac:dyDescent="0.25">
      <c r="A601" t="str">
        <f t="shared" si="36"/>
        <v>62019</v>
      </c>
      <c r="B601" s="1">
        <v>43623</v>
      </c>
      <c r="C601" s="10">
        <v>43652.645833333336</v>
      </c>
      <c r="D601">
        <v>8245.7999999999993</v>
      </c>
      <c r="E601">
        <v>8252.65</v>
      </c>
      <c r="F601">
        <v>8129.85</v>
      </c>
      <c r="G601">
        <v>8192</v>
      </c>
      <c r="H601">
        <v>0</v>
      </c>
      <c r="I601" s="8">
        <f t="shared" si="37"/>
        <v>-4.1877115888385719E-3</v>
      </c>
      <c r="J601" s="8">
        <f t="shared" si="38"/>
        <v>-4.196504610024695E-3</v>
      </c>
      <c r="K601" s="8">
        <f t="shared" si="35"/>
        <v>-5.3139538243707873E-2</v>
      </c>
    </row>
    <row r="602" spans="1:11" x14ac:dyDescent="0.25">
      <c r="A602" t="str">
        <f t="shared" si="36"/>
        <v>62019</v>
      </c>
      <c r="B602" s="1">
        <v>43626</v>
      </c>
      <c r="C602" s="10">
        <v>43744.645833333336</v>
      </c>
      <c r="D602">
        <v>8239.25</v>
      </c>
      <c r="E602">
        <v>8261.1</v>
      </c>
      <c r="F602">
        <v>8163.65</v>
      </c>
      <c r="G602">
        <v>8216.65</v>
      </c>
      <c r="H602">
        <v>0</v>
      </c>
      <c r="I602" s="8">
        <f t="shared" si="37"/>
        <v>3.0090332031249556E-3</v>
      </c>
      <c r="J602" s="8">
        <f t="shared" si="38"/>
        <v>3.004515123814284E-3</v>
      </c>
      <c r="K602" s="8">
        <f t="shared" si="35"/>
        <v>-4.8525307734173406E-2</v>
      </c>
    </row>
    <row r="603" spans="1:11" x14ac:dyDescent="0.25">
      <c r="A603" t="str">
        <f t="shared" si="36"/>
        <v>62019</v>
      </c>
      <c r="B603" s="1">
        <v>43627</v>
      </c>
      <c r="C603" s="10">
        <v>43775.645833333336</v>
      </c>
      <c r="D603">
        <v>8242.75</v>
      </c>
      <c r="E603">
        <v>8257.85</v>
      </c>
      <c r="F603">
        <v>8202.9500000000007</v>
      </c>
      <c r="G603">
        <v>8240.25</v>
      </c>
      <c r="H603">
        <v>0</v>
      </c>
      <c r="I603" s="8">
        <f t="shared" si="37"/>
        <v>2.8722167793444608E-3</v>
      </c>
      <c r="J603" s="8">
        <f t="shared" si="38"/>
        <v>2.868099845996756E-3</v>
      </c>
      <c r="K603" s="8">
        <f t="shared" si="35"/>
        <v>-3.9888844872183249E-2</v>
      </c>
    </row>
    <row r="604" spans="1:11" x14ac:dyDescent="0.25">
      <c r="A604" t="str">
        <f t="shared" si="36"/>
        <v>62019</v>
      </c>
      <c r="B604" s="1">
        <v>43628</v>
      </c>
      <c r="C604" s="10">
        <v>43805.645833333336</v>
      </c>
      <c r="D604">
        <v>8229.9</v>
      </c>
      <c r="E604">
        <v>8238.75</v>
      </c>
      <c r="F604">
        <v>8131.2</v>
      </c>
      <c r="G604">
        <v>8146.95</v>
      </c>
      <c r="H604">
        <v>0</v>
      </c>
      <c r="I604" s="8">
        <f t="shared" si="37"/>
        <v>-1.1322472012378237E-2</v>
      </c>
      <c r="J604" s="8">
        <f t="shared" si="38"/>
        <v>-1.1387059185718728E-2</v>
      </c>
      <c r="K604" s="8">
        <f t="shared" si="35"/>
        <v>-7.2386623703417086E-2</v>
      </c>
    </row>
    <row r="605" spans="1:11" x14ac:dyDescent="0.25">
      <c r="A605" t="str">
        <f t="shared" si="36"/>
        <v>62019</v>
      </c>
      <c r="B605" s="1">
        <v>43629</v>
      </c>
      <c r="C605" t="s">
        <v>387</v>
      </c>
      <c r="D605">
        <v>8133.45</v>
      </c>
      <c r="E605">
        <v>8150.6</v>
      </c>
      <c r="F605">
        <v>8060.5</v>
      </c>
      <c r="G605">
        <v>8116.95</v>
      </c>
      <c r="H605">
        <v>0</v>
      </c>
      <c r="I605" s="8">
        <f t="shared" si="37"/>
        <v>-3.6823596560675576E-3</v>
      </c>
      <c r="J605" s="8">
        <f t="shared" si="38"/>
        <v>-3.6891562324751306E-3</v>
      </c>
      <c r="K605" s="8">
        <f t="shared" si="35"/>
        <v>-7.7923184405139234E-2</v>
      </c>
    </row>
    <row r="606" spans="1:11" x14ac:dyDescent="0.25">
      <c r="A606" t="str">
        <f t="shared" si="36"/>
        <v>62019</v>
      </c>
      <c r="B606" s="1">
        <v>43630</v>
      </c>
      <c r="C606" t="s">
        <v>388</v>
      </c>
      <c r="D606">
        <v>8102.05</v>
      </c>
      <c r="E606">
        <v>8126.35</v>
      </c>
      <c r="F606">
        <v>8013.75</v>
      </c>
      <c r="G606">
        <v>8031.6</v>
      </c>
      <c r="H606">
        <v>0</v>
      </c>
      <c r="I606" s="8">
        <f t="shared" si="37"/>
        <v>-1.0515033356125025E-2</v>
      </c>
      <c r="J606" s="8">
        <f t="shared" si="38"/>
        <v>-1.0570706936309135E-2</v>
      </c>
      <c r="K606" s="8">
        <f t="shared" si="35"/>
        <v>-8.3940211347525717E-2</v>
      </c>
    </row>
    <row r="607" spans="1:11" x14ac:dyDescent="0.25">
      <c r="A607" t="str">
        <f t="shared" si="36"/>
        <v>62019</v>
      </c>
      <c r="B607" s="1">
        <v>43633</v>
      </c>
      <c r="C607" t="s">
        <v>389</v>
      </c>
      <c r="D607">
        <v>8037.8</v>
      </c>
      <c r="E607">
        <v>8043.8</v>
      </c>
      <c r="F607">
        <v>7878.95</v>
      </c>
      <c r="G607">
        <v>7896.1</v>
      </c>
      <c r="H607">
        <v>0</v>
      </c>
      <c r="I607" s="8">
        <f t="shared" si="37"/>
        <v>-1.6870860102594754E-2</v>
      </c>
      <c r="J607" s="8">
        <f t="shared" si="38"/>
        <v>-1.7014794221150986E-2</v>
      </c>
      <c r="K607" s="8">
        <f t="shared" si="35"/>
        <v>-9.5054724657612666E-2</v>
      </c>
    </row>
    <row r="608" spans="1:11" x14ac:dyDescent="0.25">
      <c r="A608" t="str">
        <f t="shared" si="36"/>
        <v>62019</v>
      </c>
      <c r="B608" s="1">
        <v>43634</v>
      </c>
      <c r="C608" t="s">
        <v>390</v>
      </c>
      <c r="D608">
        <v>7901.3</v>
      </c>
      <c r="E608">
        <v>7953.15</v>
      </c>
      <c r="F608">
        <v>7815.55</v>
      </c>
      <c r="G608">
        <v>7859.35</v>
      </c>
      <c r="H608">
        <v>0</v>
      </c>
      <c r="I608" s="8">
        <f t="shared" si="37"/>
        <v>-4.6541963754258564E-3</v>
      </c>
      <c r="J608" s="8">
        <f t="shared" si="38"/>
        <v>-4.665060870813499E-3</v>
      </c>
      <c r="K608" s="8">
        <f t="shared" si="35"/>
        <v>-0.10158835397602883</v>
      </c>
    </row>
    <row r="609" spans="1:11" x14ac:dyDescent="0.25">
      <c r="A609" t="str">
        <f t="shared" si="36"/>
        <v>62019</v>
      </c>
      <c r="B609" s="1">
        <v>43635</v>
      </c>
      <c r="C609" t="s">
        <v>391</v>
      </c>
      <c r="D609">
        <v>7904</v>
      </c>
      <c r="E609">
        <v>7931.15</v>
      </c>
      <c r="F609">
        <v>7727.85</v>
      </c>
      <c r="G609">
        <v>7772.2</v>
      </c>
      <c r="H609">
        <v>0</v>
      </c>
      <c r="I609" s="8">
        <f t="shared" si="37"/>
        <v>-1.1088703264264921E-2</v>
      </c>
      <c r="J609" s="8">
        <f t="shared" si="38"/>
        <v>-1.115064123444429E-2</v>
      </c>
      <c r="K609" s="8">
        <f t="shared" si="35"/>
        <v>-9.9089491772969884E-2</v>
      </c>
    </row>
    <row r="610" spans="1:11" x14ac:dyDescent="0.25">
      <c r="A610" t="str">
        <f t="shared" si="36"/>
        <v>62019</v>
      </c>
      <c r="B610" s="1">
        <v>43636</v>
      </c>
      <c r="C610" t="s">
        <v>392</v>
      </c>
      <c r="D610">
        <v>7758.8</v>
      </c>
      <c r="E610">
        <v>7981.45</v>
      </c>
      <c r="F610">
        <v>7722.65</v>
      </c>
      <c r="G610">
        <v>7965.45</v>
      </c>
      <c r="H610">
        <v>0</v>
      </c>
      <c r="I610" s="8">
        <f t="shared" si="37"/>
        <v>2.4864259797740651E-2</v>
      </c>
      <c r="J610" s="8">
        <f t="shared" si="38"/>
        <v>2.4560174355196703E-2</v>
      </c>
      <c r="K610" s="8">
        <f t="shared" si="35"/>
        <v>-7.0222538680175695E-2</v>
      </c>
    </row>
    <row r="611" spans="1:11" x14ac:dyDescent="0.25">
      <c r="A611" t="str">
        <f t="shared" si="36"/>
        <v>62019</v>
      </c>
      <c r="B611" s="1">
        <v>43637</v>
      </c>
      <c r="C611" t="s">
        <v>393</v>
      </c>
      <c r="D611">
        <v>7921.8</v>
      </c>
      <c r="E611">
        <v>7937.5</v>
      </c>
      <c r="F611">
        <v>7840.35</v>
      </c>
      <c r="G611">
        <v>7868.25</v>
      </c>
      <c r="H611">
        <v>0</v>
      </c>
      <c r="I611" s="8">
        <f t="shared" si="37"/>
        <v>-1.2202700412406009E-2</v>
      </c>
      <c r="J611" s="8">
        <f t="shared" si="38"/>
        <v>-1.2277764643680175E-2</v>
      </c>
      <c r="K611" s="8">
        <f t="shared" si="35"/>
        <v>-6.8305881517092826E-2</v>
      </c>
    </row>
    <row r="612" spans="1:11" x14ac:dyDescent="0.25">
      <c r="A612" t="str">
        <f t="shared" si="36"/>
        <v>62019</v>
      </c>
      <c r="B612" s="1">
        <v>43640</v>
      </c>
      <c r="C612" t="s">
        <v>394</v>
      </c>
      <c r="D612">
        <v>7855.65</v>
      </c>
      <c r="E612">
        <v>7868.85</v>
      </c>
      <c r="F612">
        <v>7761.75</v>
      </c>
      <c r="G612">
        <v>7832.3</v>
      </c>
      <c r="H612">
        <v>0</v>
      </c>
      <c r="I612" s="8">
        <f t="shared" si="37"/>
        <v>-4.5689956470625903E-3</v>
      </c>
      <c r="J612" s="8">
        <f t="shared" si="38"/>
        <v>-4.5794654107158472E-3</v>
      </c>
      <c r="K612" s="8">
        <f t="shared" si="35"/>
        <v>-6.0492287023486857E-2</v>
      </c>
    </row>
    <row r="613" spans="1:11" x14ac:dyDescent="0.25">
      <c r="A613" t="str">
        <f t="shared" si="36"/>
        <v>62019</v>
      </c>
      <c r="B613" s="1">
        <v>43641</v>
      </c>
      <c r="C613" t="s">
        <v>395</v>
      </c>
      <c r="D613">
        <v>7811.65</v>
      </c>
      <c r="E613">
        <v>7890.55</v>
      </c>
      <c r="F613">
        <v>7793.9</v>
      </c>
      <c r="G613">
        <v>7878.25</v>
      </c>
      <c r="H613">
        <v>0</v>
      </c>
      <c r="I613" s="8">
        <f t="shared" si="37"/>
        <v>5.8667313560512024E-3</v>
      </c>
      <c r="J613" s="8">
        <f t="shared" si="38"/>
        <v>5.8495891009765055E-3</v>
      </c>
      <c r="K613" s="8">
        <f t="shared" si="35"/>
        <v>-4.373342396416835E-2</v>
      </c>
    </row>
    <row r="614" spans="1:11" x14ac:dyDescent="0.25">
      <c r="A614" t="str">
        <f t="shared" si="36"/>
        <v>62019</v>
      </c>
      <c r="B614" s="1">
        <v>43642</v>
      </c>
      <c r="C614" t="s">
        <v>396</v>
      </c>
      <c r="D614">
        <v>7863.85</v>
      </c>
      <c r="E614">
        <v>7922.85</v>
      </c>
      <c r="F614">
        <v>7847.8</v>
      </c>
      <c r="G614">
        <v>7883.55</v>
      </c>
      <c r="H614">
        <v>0</v>
      </c>
      <c r="I614" s="8">
        <f t="shared" si="37"/>
        <v>6.7273823501423635E-4</v>
      </c>
      <c r="J614" s="8">
        <f t="shared" si="38"/>
        <v>6.7251204808518991E-4</v>
      </c>
      <c r="K614" s="8">
        <f t="shared" si="35"/>
        <v>-4.8713385019155897E-2</v>
      </c>
    </row>
    <row r="615" spans="1:11" x14ac:dyDescent="0.25">
      <c r="A615" t="str">
        <f t="shared" si="36"/>
        <v>62019</v>
      </c>
      <c r="B615" s="1">
        <v>43643</v>
      </c>
      <c r="C615" t="s">
        <v>397</v>
      </c>
      <c r="D615">
        <v>7903.35</v>
      </c>
      <c r="E615">
        <v>8021.25</v>
      </c>
      <c r="F615">
        <v>7901.05</v>
      </c>
      <c r="G615">
        <v>7971.45</v>
      </c>
      <c r="H615">
        <v>0</v>
      </c>
      <c r="I615" s="8">
        <f t="shared" si="37"/>
        <v>1.1149799265559146E-2</v>
      </c>
      <c r="J615" s="8">
        <f t="shared" si="38"/>
        <v>1.1088098464468345E-2</v>
      </c>
      <c r="K615" s="8">
        <f t="shared" si="35"/>
        <v>-2.9688327338457943E-2</v>
      </c>
    </row>
    <row r="616" spans="1:11" x14ac:dyDescent="0.25">
      <c r="A616" t="str">
        <f t="shared" si="36"/>
        <v>62019</v>
      </c>
      <c r="B616" s="1">
        <v>43644</v>
      </c>
      <c r="C616" t="s">
        <v>398</v>
      </c>
      <c r="D616">
        <v>7984.05</v>
      </c>
      <c r="E616">
        <v>8004.1</v>
      </c>
      <c r="F616">
        <v>7918.65</v>
      </c>
      <c r="G616">
        <v>7928.05</v>
      </c>
      <c r="H616">
        <v>0</v>
      </c>
      <c r="I616" s="8">
        <f t="shared" si="37"/>
        <v>-5.44442980888038E-3</v>
      </c>
      <c r="J616" s="8">
        <f t="shared" si="38"/>
        <v>-5.4593047317348072E-3</v>
      </c>
      <c r="K616" s="8">
        <f t="shared" si="35"/>
        <v>-3.7186143243161163E-2</v>
      </c>
    </row>
    <row r="617" spans="1:11" x14ac:dyDescent="0.25">
      <c r="A617" t="str">
        <f t="shared" si="36"/>
        <v>72019</v>
      </c>
      <c r="B617" s="1">
        <v>43647</v>
      </c>
      <c r="C617" s="10">
        <v>43472.645833333336</v>
      </c>
      <c r="D617">
        <v>7981.85</v>
      </c>
      <c r="E617">
        <v>8047.05</v>
      </c>
      <c r="F617">
        <v>7965.2</v>
      </c>
      <c r="G617">
        <v>8029.15</v>
      </c>
      <c r="H617">
        <v>0</v>
      </c>
      <c r="I617" s="8">
        <f t="shared" si="37"/>
        <v>1.2752190008892494E-2</v>
      </c>
      <c r="J617" s="8">
        <f t="shared" si="38"/>
        <v>1.2671565536135233E-2</v>
      </c>
      <c r="K617" s="8">
        <f t="shared" si="35"/>
        <v>-3.6735110103355062E-2</v>
      </c>
    </row>
    <row r="618" spans="1:11" x14ac:dyDescent="0.25">
      <c r="A618" t="str">
        <f t="shared" si="36"/>
        <v>72019</v>
      </c>
      <c r="B618" s="1">
        <v>43648</v>
      </c>
      <c r="C618" s="10">
        <v>43503.645833333336</v>
      </c>
      <c r="D618">
        <v>8017</v>
      </c>
      <c r="E618">
        <v>8057.85</v>
      </c>
      <c r="F618">
        <v>7959.95</v>
      </c>
      <c r="G618">
        <v>8045.65</v>
      </c>
      <c r="H618">
        <v>0</v>
      </c>
      <c r="I618" s="8">
        <f t="shared" si="37"/>
        <v>2.0550120498434854E-3</v>
      </c>
      <c r="J618" s="8">
        <f t="shared" si="38"/>
        <v>2.0529034009527242E-3</v>
      </c>
      <c r="K618" s="8">
        <f t="shared" si="35"/>
        <v>-4.3818001390481864E-2</v>
      </c>
    </row>
    <row r="619" spans="1:11" x14ac:dyDescent="0.25">
      <c r="A619" t="str">
        <f t="shared" si="36"/>
        <v>72019</v>
      </c>
      <c r="B619" s="1">
        <v>43649</v>
      </c>
      <c r="C619" s="10">
        <v>43531.645833333336</v>
      </c>
      <c r="D619">
        <v>8063.25</v>
      </c>
      <c r="E619">
        <v>8090</v>
      </c>
      <c r="F619">
        <v>8024.65</v>
      </c>
      <c r="G619">
        <v>8039.5</v>
      </c>
      <c r="H619">
        <v>0</v>
      </c>
      <c r="I619" s="8">
        <f t="shared" si="37"/>
        <v>-7.6438820977786648E-4</v>
      </c>
      <c r="J619" s="8">
        <f t="shared" si="38"/>
        <v>-7.6468050340551725E-4</v>
      </c>
      <c r="K619" s="8">
        <f t="shared" si="35"/>
        <v>-5.4654704090871586E-2</v>
      </c>
    </row>
    <row r="620" spans="1:11" x14ac:dyDescent="0.25">
      <c r="A620" t="str">
        <f t="shared" si="36"/>
        <v>72019</v>
      </c>
      <c r="B620" s="1">
        <v>43650</v>
      </c>
      <c r="C620" s="10">
        <v>43562.645833333336</v>
      </c>
      <c r="D620">
        <v>8053.65</v>
      </c>
      <c r="E620">
        <v>8099.05</v>
      </c>
      <c r="F620">
        <v>8031.4</v>
      </c>
      <c r="G620">
        <v>8077.2</v>
      </c>
      <c r="H620">
        <v>0</v>
      </c>
      <c r="I620" s="8">
        <f t="shared" si="37"/>
        <v>4.6893463523851597E-3</v>
      </c>
      <c r="J620" s="8">
        <f t="shared" si="38"/>
        <v>4.6783856202015474E-3</v>
      </c>
      <c r="K620" s="8">
        <f t="shared" si="35"/>
        <v>-4.7573004427726606E-2</v>
      </c>
    </row>
    <row r="621" spans="1:11" x14ac:dyDescent="0.25">
      <c r="A621" t="str">
        <f t="shared" si="36"/>
        <v>72019</v>
      </c>
      <c r="B621" s="1">
        <v>43651</v>
      </c>
      <c r="C621" s="10">
        <v>43592.645833333336</v>
      </c>
      <c r="D621">
        <v>8091.45</v>
      </c>
      <c r="E621">
        <v>8097.1</v>
      </c>
      <c r="F621">
        <v>7810.5</v>
      </c>
      <c r="G621">
        <v>7849.1</v>
      </c>
      <c r="H621">
        <v>0</v>
      </c>
      <c r="I621" s="8">
        <f t="shared" si="37"/>
        <v>-2.8239984152924169E-2</v>
      </c>
      <c r="J621" s="8">
        <f t="shared" si="38"/>
        <v>-2.8646402282519284E-2</v>
      </c>
      <c r="K621" s="8">
        <f t="shared" si="35"/>
        <v>-8.0508648309874808E-2</v>
      </c>
    </row>
    <row r="622" spans="1:11" x14ac:dyDescent="0.25">
      <c r="A622" t="str">
        <f t="shared" si="36"/>
        <v>72019</v>
      </c>
      <c r="B622" s="1">
        <v>43654</v>
      </c>
      <c r="C622" s="10">
        <v>43684.645833333336</v>
      </c>
      <c r="D622">
        <v>7794.25</v>
      </c>
      <c r="E622">
        <v>7794.25</v>
      </c>
      <c r="F622">
        <v>7564.4</v>
      </c>
      <c r="G622">
        <v>7593.3</v>
      </c>
      <c r="H622">
        <v>0</v>
      </c>
      <c r="I622" s="8">
        <f t="shared" si="37"/>
        <v>-3.2589723662585501E-2</v>
      </c>
      <c r="J622" s="8">
        <f t="shared" si="38"/>
        <v>-3.3132596014347884E-2</v>
      </c>
      <c r="K622" s="8">
        <f t="shared" si="35"/>
        <v>-0.11340868225019263</v>
      </c>
    </row>
    <row r="623" spans="1:11" x14ac:dyDescent="0.25">
      <c r="A623" t="str">
        <f t="shared" si="36"/>
        <v>72019</v>
      </c>
      <c r="B623" s="1">
        <v>43655</v>
      </c>
      <c r="C623" s="10">
        <v>43715.645833333336</v>
      </c>
      <c r="D623">
        <v>7591.5</v>
      </c>
      <c r="E623">
        <v>7630.7</v>
      </c>
      <c r="F623">
        <v>7538.65</v>
      </c>
      <c r="G623">
        <v>7593.3</v>
      </c>
      <c r="H623">
        <v>0</v>
      </c>
      <c r="I623" s="8">
        <f t="shared" si="37"/>
        <v>0</v>
      </c>
      <c r="J623" s="8">
        <f t="shared" si="38"/>
        <v>0</v>
      </c>
      <c r="K623" s="8">
        <f t="shared" si="35"/>
        <v>-0.1094261285669047</v>
      </c>
    </row>
    <row r="624" spans="1:11" x14ac:dyDescent="0.25">
      <c r="A624" t="str">
        <f t="shared" si="36"/>
        <v>72019</v>
      </c>
      <c r="B624" s="1">
        <v>43656</v>
      </c>
      <c r="C624" s="10">
        <v>43745.645833333336</v>
      </c>
      <c r="D624">
        <v>7593.15</v>
      </c>
      <c r="E624">
        <v>7609.7</v>
      </c>
      <c r="F624">
        <v>7484.35</v>
      </c>
      <c r="G624">
        <v>7511.15</v>
      </c>
      <c r="H624">
        <v>0</v>
      </c>
      <c r="I624" s="8">
        <f t="shared" si="37"/>
        <v>-1.0818748106883769E-2</v>
      </c>
      <c r="J624" s="8">
        <f t="shared" si="38"/>
        <v>-1.0877696311574807E-2</v>
      </c>
      <c r="K624" s="8">
        <f t="shared" si="35"/>
        <v>-0.12891984042306437</v>
      </c>
    </row>
    <row r="625" spans="1:11" x14ac:dyDescent="0.25">
      <c r="A625" t="str">
        <f t="shared" si="36"/>
        <v>72019</v>
      </c>
      <c r="B625" s="1">
        <v>43657</v>
      </c>
      <c r="C625" s="10">
        <v>43776.645833333336</v>
      </c>
      <c r="D625">
        <v>7552.05</v>
      </c>
      <c r="E625">
        <v>7665.9</v>
      </c>
      <c r="F625">
        <v>7504.45</v>
      </c>
      <c r="G625">
        <v>7650.95</v>
      </c>
      <c r="H625">
        <v>0</v>
      </c>
      <c r="I625" s="8">
        <f t="shared" si="37"/>
        <v>1.8612329669890793E-2</v>
      </c>
      <c r="J625" s="8">
        <f t="shared" si="38"/>
        <v>1.844123992082055E-2</v>
      </c>
      <c r="K625" s="8">
        <f t="shared" si="35"/>
        <v>-0.11493435132164964</v>
      </c>
    </row>
    <row r="626" spans="1:11" x14ac:dyDescent="0.25">
      <c r="A626" t="str">
        <f t="shared" si="36"/>
        <v>72019</v>
      </c>
      <c r="B626" s="1">
        <v>43658</v>
      </c>
      <c r="C626" s="10">
        <v>43806.645833333336</v>
      </c>
      <c r="D626">
        <v>7641.8</v>
      </c>
      <c r="E626">
        <v>7719</v>
      </c>
      <c r="F626">
        <v>7603.75</v>
      </c>
      <c r="G626">
        <v>7653.65</v>
      </c>
      <c r="H626">
        <v>0</v>
      </c>
      <c r="I626" s="8">
        <f t="shared" si="37"/>
        <v>3.528973526163437E-4</v>
      </c>
      <c r="J626" s="8">
        <f t="shared" si="38"/>
        <v>3.5283509899126426E-4</v>
      </c>
      <c r="K626" s="8">
        <f t="shared" si="35"/>
        <v>-0.11926283508150126</v>
      </c>
    </row>
    <row r="627" spans="1:11" x14ac:dyDescent="0.25">
      <c r="A627" t="str">
        <f t="shared" si="36"/>
        <v>72019</v>
      </c>
      <c r="B627" s="1">
        <v>43661</v>
      </c>
      <c r="C627" t="s">
        <v>399</v>
      </c>
      <c r="D627">
        <v>7659.65</v>
      </c>
      <c r="E627">
        <v>7709.7</v>
      </c>
      <c r="F627">
        <v>7628.7</v>
      </c>
      <c r="G627">
        <v>7674.25</v>
      </c>
      <c r="H627">
        <v>0</v>
      </c>
      <c r="I627" s="8">
        <f t="shared" si="37"/>
        <v>2.691526265246047E-3</v>
      </c>
      <c r="J627" s="8">
        <f t="shared" si="38"/>
        <v>2.6879105947561015E-3</v>
      </c>
      <c r="K627" s="8">
        <f t="shared" si="35"/>
        <v>-0.12568570598522355</v>
      </c>
    </row>
    <row r="628" spans="1:11" x14ac:dyDescent="0.25">
      <c r="A628" t="str">
        <f t="shared" si="36"/>
        <v>72019</v>
      </c>
      <c r="B628" s="1">
        <v>43662</v>
      </c>
      <c r="C628" t="s">
        <v>400</v>
      </c>
      <c r="D628">
        <v>7633.3</v>
      </c>
      <c r="E628">
        <v>7739.15</v>
      </c>
      <c r="F628">
        <v>7602.6</v>
      </c>
      <c r="G628">
        <v>7727.1</v>
      </c>
      <c r="H628">
        <v>0</v>
      </c>
      <c r="I628" s="8">
        <f t="shared" si="37"/>
        <v>6.8866664494902086E-3</v>
      </c>
      <c r="J628" s="8">
        <f t="shared" si="38"/>
        <v>6.8630616722822856E-3</v>
      </c>
      <c r="K628" s="8">
        <f t="shared" si="35"/>
        <v>-0.1329166479644508</v>
      </c>
    </row>
    <row r="629" spans="1:11" x14ac:dyDescent="0.25">
      <c r="A629" t="str">
        <f t="shared" si="36"/>
        <v>72019</v>
      </c>
      <c r="B629" s="1">
        <v>43663</v>
      </c>
      <c r="C629" t="s">
        <v>401</v>
      </c>
      <c r="D629">
        <v>7719.1</v>
      </c>
      <c r="E629">
        <v>7738.8</v>
      </c>
      <c r="F629">
        <v>7638.35</v>
      </c>
      <c r="G629">
        <v>7648.15</v>
      </c>
      <c r="H629">
        <v>0</v>
      </c>
      <c r="I629" s="8">
        <f t="shared" si="37"/>
        <v>-1.0217287209949522E-2</v>
      </c>
      <c r="J629" s="8">
        <f t="shared" si="38"/>
        <v>-1.0269841973459188E-2</v>
      </c>
      <c r="K629" s="8">
        <f t="shared" si="35"/>
        <v>-0.14864947598666445</v>
      </c>
    </row>
    <row r="630" spans="1:11" x14ac:dyDescent="0.25">
      <c r="A630" t="str">
        <f t="shared" si="36"/>
        <v>72019</v>
      </c>
      <c r="B630" s="1">
        <v>43664</v>
      </c>
      <c r="C630" t="s">
        <v>402</v>
      </c>
      <c r="D630">
        <v>7632.1</v>
      </c>
      <c r="E630">
        <v>7638.05</v>
      </c>
      <c r="F630">
        <v>7427.2</v>
      </c>
      <c r="G630">
        <v>7438.7</v>
      </c>
      <c r="H630">
        <v>0</v>
      </c>
      <c r="I630" s="8">
        <f t="shared" si="37"/>
        <v>-2.7385707654792313E-2</v>
      </c>
      <c r="J630" s="8">
        <f t="shared" si="38"/>
        <v>-2.7767686132546435E-2</v>
      </c>
      <c r="K630" s="8">
        <f t="shared" si="35"/>
        <v>-0.17095841250912491</v>
      </c>
    </row>
    <row r="631" spans="1:11" x14ac:dyDescent="0.25">
      <c r="A631" t="str">
        <f t="shared" si="36"/>
        <v>72019</v>
      </c>
      <c r="B631" s="1">
        <v>43665</v>
      </c>
      <c r="C631" t="s">
        <v>403</v>
      </c>
      <c r="D631">
        <v>7462.6</v>
      </c>
      <c r="E631">
        <v>7475.2</v>
      </c>
      <c r="F631">
        <v>7180.05</v>
      </c>
      <c r="G631">
        <v>7192.75</v>
      </c>
      <c r="H631">
        <v>0</v>
      </c>
      <c r="I631" s="8">
        <f t="shared" si="37"/>
        <v>-3.3063572936131269E-2</v>
      </c>
      <c r="J631" s="8">
        <f t="shared" si="38"/>
        <v>-3.3622528126508414E-2</v>
      </c>
      <c r="K631" s="8">
        <f t="shared" si="35"/>
        <v>-0.1839310634338942</v>
      </c>
    </row>
    <row r="632" spans="1:11" x14ac:dyDescent="0.25">
      <c r="A632" t="str">
        <f t="shared" si="36"/>
        <v>72019</v>
      </c>
      <c r="B632" s="1">
        <v>43668</v>
      </c>
      <c r="C632" t="s">
        <v>404</v>
      </c>
      <c r="D632">
        <v>7203.75</v>
      </c>
      <c r="E632">
        <v>7291.85</v>
      </c>
      <c r="F632">
        <v>7146.8</v>
      </c>
      <c r="G632">
        <v>7220.25</v>
      </c>
      <c r="H632">
        <v>0</v>
      </c>
      <c r="I632" s="8">
        <f t="shared" si="37"/>
        <v>3.8232942893885458E-3</v>
      </c>
      <c r="J632" s="8">
        <f t="shared" si="38"/>
        <v>3.8160040756237629E-3</v>
      </c>
      <c r="K632" s="8">
        <f t="shared" si="35"/>
        <v>-0.1684517845420308</v>
      </c>
    </row>
    <row r="633" spans="1:11" x14ac:dyDescent="0.25">
      <c r="A633" t="str">
        <f t="shared" si="36"/>
        <v>72019</v>
      </c>
      <c r="B633" s="1">
        <v>43669</v>
      </c>
      <c r="C633" t="s">
        <v>405</v>
      </c>
      <c r="D633">
        <v>7234.35</v>
      </c>
      <c r="E633">
        <v>7235.5</v>
      </c>
      <c r="F633">
        <v>7157.3</v>
      </c>
      <c r="G633">
        <v>7176.65</v>
      </c>
      <c r="H633">
        <v>0</v>
      </c>
      <c r="I633" s="8">
        <f t="shared" si="37"/>
        <v>-6.0385720716041869E-3</v>
      </c>
      <c r="J633" s="8">
        <f t="shared" si="38"/>
        <v>-6.0568779795029141E-3</v>
      </c>
      <c r="K633" s="8">
        <f t="shared" si="35"/>
        <v>-0.1699504397962075</v>
      </c>
    </row>
    <row r="634" spans="1:11" x14ac:dyDescent="0.25">
      <c r="A634" t="str">
        <f t="shared" si="36"/>
        <v>72019</v>
      </c>
      <c r="B634" s="1">
        <v>43670</v>
      </c>
      <c r="C634" t="s">
        <v>406</v>
      </c>
      <c r="D634">
        <v>7162.85</v>
      </c>
      <c r="E634">
        <v>7174.9</v>
      </c>
      <c r="F634">
        <v>7017</v>
      </c>
      <c r="G634">
        <v>7036.7</v>
      </c>
      <c r="H634">
        <v>0</v>
      </c>
      <c r="I634" s="8">
        <f t="shared" si="37"/>
        <v>-1.9500741989646908E-2</v>
      </c>
      <c r="J634" s="8">
        <f t="shared" si="38"/>
        <v>-1.9693390092220181E-2</v>
      </c>
      <c r="K634" s="8">
        <f t="shared" si="35"/>
        <v>-0.18062622992815469</v>
      </c>
    </row>
    <row r="635" spans="1:11" x14ac:dyDescent="0.25">
      <c r="A635" t="str">
        <f t="shared" si="36"/>
        <v>72019</v>
      </c>
      <c r="B635" s="1">
        <v>43671</v>
      </c>
      <c r="C635" t="s">
        <v>407</v>
      </c>
      <c r="D635">
        <v>7040.4</v>
      </c>
      <c r="E635">
        <v>7086.45</v>
      </c>
      <c r="F635">
        <v>6996.3</v>
      </c>
      <c r="G635">
        <v>7010.55</v>
      </c>
      <c r="H635">
        <v>0</v>
      </c>
      <c r="I635" s="8">
        <f t="shared" si="37"/>
        <v>-3.7162306194664652E-3</v>
      </c>
      <c r="J635" s="8">
        <f t="shared" si="38"/>
        <v>-3.7231529598054135E-3</v>
      </c>
      <c r="K635" s="8">
        <f t="shared" si="35"/>
        <v>-0.17462737526195571</v>
      </c>
    </row>
    <row r="636" spans="1:11" x14ac:dyDescent="0.25">
      <c r="A636" t="str">
        <f t="shared" si="36"/>
        <v>72019</v>
      </c>
      <c r="B636" s="1">
        <v>43672</v>
      </c>
      <c r="C636" t="s">
        <v>408</v>
      </c>
      <c r="D636">
        <v>6979.85</v>
      </c>
      <c r="E636">
        <v>7227.65</v>
      </c>
      <c r="F636">
        <v>6968.05</v>
      </c>
      <c r="G636">
        <v>7161.5</v>
      </c>
      <c r="H636">
        <v>0</v>
      </c>
      <c r="I636" s="8">
        <f t="shared" si="37"/>
        <v>2.1531834164223884E-2</v>
      </c>
      <c r="J636" s="8">
        <f t="shared" si="38"/>
        <v>2.130329892526274E-2</v>
      </c>
      <c r="K636" s="8">
        <f t="shared" si="35"/>
        <v>-0.14239695351232251</v>
      </c>
    </row>
    <row r="637" spans="1:11" x14ac:dyDescent="0.25">
      <c r="A637" t="str">
        <f t="shared" si="36"/>
        <v>72019</v>
      </c>
      <c r="B637" s="1">
        <v>43675</v>
      </c>
      <c r="C637" t="s">
        <v>409</v>
      </c>
      <c r="D637">
        <v>7123.55</v>
      </c>
      <c r="E637">
        <v>7127.15</v>
      </c>
      <c r="F637">
        <v>6896.25</v>
      </c>
      <c r="G637">
        <v>6905.7</v>
      </c>
      <c r="H637">
        <v>0</v>
      </c>
      <c r="I637" s="8">
        <f t="shared" si="37"/>
        <v>-3.5718773999860343E-2</v>
      </c>
      <c r="J637" s="8">
        <f t="shared" si="38"/>
        <v>-3.6372298700080845E-2</v>
      </c>
      <c r="K637" s="8">
        <f t="shared" si="35"/>
        <v>-0.17136737522273626</v>
      </c>
    </row>
    <row r="638" spans="1:11" x14ac:dyDescent="0.25">
      <c r="A638" t="str">
        <f t="shared" si="36"/>
        <v>72019</v>
      </c>
      <c r="B638" s="1">
        <v>43676</v>
      </c>
      <c r="C638" t="s">
        <v>410</v>
      </c>
      <c r="D638">
        <v>6907.95</v>
      </c>
      <c r="E638">
        <v>6954.2</v>
      </c>
      <c r="F638">
        <v>6747.4</v>
      </c>
      <c r="G638">
        <v>6763.75</v>
      </c>
      <c r="H638">
        <v>0</v>
      </c>
      <c r="I638" s="8">
        <f t="shared" si="37"/>
        <v>-2.0555483151599385E-2</v>
      </c>
      <c r="J638" s="8">
        <f t="shared" si="38"/>
        <v>-2.0769687562893893E-2</v>
      </c>
      <c r="K638" s="8">
        <f t="shared" si="35"/>
        <v>-0.19300956278448245</v>
      </c>
    </row>
    <row r="639" spans="1:11" x14ac:dyDescent="0.25">
      <c r="A639" t="str">
        <f t="shared" si="36"/>
        <v>72019</v>
      </c>
      <c r="B639" s="1">
        <v>43677</v>
      </c>
      <c r="C639" t="s">
        <v>411</v>
      </c>
      <c r="D639">
        <v>6762.15</v>
      </c>
      <c r="E639">
        <v>6883.4</v>
      </c>
      <c r="F639">
        <v>6727.55</v>
      </c>
      <c r="G639">
        <v>6851.65</v>
      </c>
      <c r="H639">
        <v>0</v>
      </c>
      <c r="I639" s="8">
        <f t="shared" si="37"/>
        <v>1.2995749399371537E-2</v>
      </c>
      <c r="J639" s="8">
        <f t="shared" si="38"/>
        <v>1.2912029205789804E-2</v>
      </c>
      <c r="K639" s="8">
        <f t="shared" si="35"/>
        <v>-0.17135013212875461</v>
      </c>
    </row>
    <row r="640" spans="1:11" x14ac:dyDescent="0.25">
      <c r="A640" t="str">
        <f t="shared" si="36"/>
        <v>82019</v>
      </c>
      <c r="B640" s="1">
        <v>43678</v>
      </c>
      <c r="C640" s="10">
        <v>43473.645833333336</v>
      </c>
      <c r="D640">
        <v>6806.7</v>
      </c>
      <c r="E640">
        <v>6883.35</v>
      </c>
      <c r="F640">
        <v>6764.2</v>
      </c>
      <c r="G640">
        <v>6856.1</v>
      </c>
      <c r="H640">
        <v>0</v>
      </c>
      <c r="I640" s="8">
        <f t="shared" si="37"/>
        <v>6.4947859274777642E-4</v>
      </c>
      <c r="J640" s="8">
        <f t="shared" si="38"/>
        <v>6.4926777280364598E-4</v>
      </c>
      <c r="K640" s="8">
        <f t="shared" ref="K640:K703" si="39">+G640/G579-1</f>
        <v>-0.16452703731911644</v>
      </c>
    </row>
    <row r="641" spans="1:11" x14ac:dyDescent="0.25">
      <c r="A641" t="str">
        <f t="shared" si="36"/>
        <v>82019</v>
      </c>
      <c r="B641" s="1">
        <v>43679</v>
      </c>
      <c r="C641" s="10">
        <v>43504.645833333336</v>
      </c>
      <c r="D641">
        <v>6791.75</v>
      </c>
      <c r="E641">
        <v>6971.05</v>
      </c>
      <c r="F641">
        <v>6732.65</v>
      </c>
      <c r="G641">
        <v>6933.75</v>
      </c>
      <c r="H641">
        <v>0</v>
      </c>
      <c r="I641" s="8">
        <f t="shared" si="37"/>
        <v>1.1325680780618574E-2</v>
      </c>
      <c r="J641" s="8">
        <f t="shared" si="38"/>
        <v>1.126202543390561E-2</v>
      </c>
      <c r="K641" s="8">
        <f t="shared" si="39"/>
        <v>-0.14354796872491005</v>
      </c>
    </row>
    <row r="642" spans="1:11" x14ac:dyDescent="0.25">
      <c r="A642" t="str">
        <f t="shared" si="36"/>
        <v>82019</v>
      </c>
      <c r="B642" s="1">
        <v>43682</v>
      </c>
      <c r="C642" s="10">
        <v>43593.645833333336</v>
      </c>
      <c r="D642">
        <v>6859.85</v>
      </c>
      <c r="E642">
        <v>6900.85</v>
      </c>
      <c r="F642">
        <v>6751</v>
      </c>
      <c r="G642">
        <v>6844.6</v>
      </c>
      <c r="H642">
        <v>0</v>
      </c>
      <c r="I642" s="8">
        <f t="shared" si="37"/>
        <v>-1.2857400396610763E-2</v>
      </c>
      <c r="J642" s="8">
        <f t="shared" si="38"/>
        <v>-1.2940772169585791E-2</v>
      </c>
      <c r="K642" s="8">
        <f t="shared" si="39"/>
        <v>-0.15535262540877393</v>
      </c>
    </row>
    <row r="643" spans="1:11" x14ac:dyDescent="0.25">
      <c r="A643" t="str">
        <f t="shared" ref="A643:A706" si="40">+MONTH(B643)&amp;YEAR(B643)</f>
        <v>82019</v>
      </c>
      <c r="B643" s="1">
        <v>43683</v>
      </c>
      <c r="C643" s="10">
        <v>43624.645833333336</v>
      </c>
      <c r="D643">
        <v>6802.05</v>
      </c>
      <c r="E643">
        <v>6956.5</v>
      </c>
      <c r="F643">
        <v>6801.9</v>
      </c>
      <c r="G643">
        <v>6942.45</v>
      </c>
      <c r="H643">
        <v>0</v>
      </c>
      <c r="I643" s="8">
        <f t="shared" si="37"/>
        <v>1.4295941326008643E-2</v>
      </c>
      <c r="J643" s="8">
        <f t="shared" si="38"/>
        <v>1.4194717938596665E-2</v>
      </c>
      <c r="K643" s="8">
        <f t="shared" si="39"/>
        <v>-0.14218726832402506</v>
      </c>
    </row>
    <row r="644" spans="1:11" x14ac:dyDescent="0.25">
      <c r="A644" t="str">
        <f t="shared" si="40"/>
        <v>82019</v>
      </c>
      <c r="B644" s="1">
        <v>43684</v>
      </c>
      <c r="C644" s="10">
        <v>43654.645833333336</v>
      </c>
      <c r="D644">
        <v>6951.15</v>
      </c>
      <c r="E644">
        <v>6964.15</v>
      </c>
      <c r="F644">
        <v>6768.9</v>
      </c>
      <c r="G644">
        <v>6792.6</v>
      </c>
      <c r="H644">
        <v>0</v>
      </c>
      <c r="I644" s="8">
        <f t="shared" ref="I644:I707" si="41">+G644/G643-1</f>
        <v>-2.1584599096860502E-2</v>
      </c>
      <c r="J644" s="8">
        <f t="shared" ref="J644:J707" si="42">+LN(1+I644)</f>
        <v>-2.1820953826336472E-2</v>
      </c>
      <c r="K644" s="8">
        <f t="shared" si="39"/>
        <v>-0.14436333633552301</v>
      </c>
    </row>
    <row r="645" spans="1:11" x14ac:dyDescent="0.25">
      <c r="A645" t="str">
        <f t="shared" si="40"/>
        <v>82019</v>
      </c>
      <c r="B645" s="1">
        <v>43685</v>
      </c>
      <c r="C645" s="10">
        <v>43685.645833333336</v>
      </c>
      <c r="D645">
        <v>6792.4</v>
      </c>
      <c r="E645">
        <v>7019.25</v>
      </c>
      <c r="F645">
        <v>6784.8</v>
      </c>
      <c r="G645">
        <v>6998.45</v>
      </c>
      <c r="H645">
        <v>0</v>
      </c>
      <c r="I645" s="8">
        <f t="shared" si="41"/>
        <v>3.0305037835291371E-2</v>
      </c>
      <c r="J645" s="8">
        <f t="shared" si="42"/>
        <v>2.9854911634977423E-2</v>
      </c>
      <c r="K645" s="8">
        <f t="shared" si="39"/>
        <v>-0.12030042109232608</v>
      </c>
    </row>
    <row r="646" spans="1:11" x14ac:dyDescent="0.25">
      <c r="A646" t="str">
        <f t="shared" si="40"/>
        <v>82019</v>
      </c>
      <c r="B646" s="1">
        <v>43686</v>
      </c>
      <c r="C646" s="10">
        <v>43716.645833333336</v>
      </c>
      <c r="D646">
        <v>7032.65</v>
      </c>
      <c r="E646">
        <v>7175.1</v>
      </c>
      <c r="F646">
        <v>7005.75</v>
      </c>
      <c r="G646">
        <v>7137.4</v>
      </c>
      <c r="H646">
        <v>0</v>
      </c>
      <c r="I646" s="8">
        <f t="shared" si="41"/>
        <v>1.9854396330616142E-2</v>
      </c>
      <c r="J646" s="8">
        <f t="shared" si="42"/>
        <v>1.9659868411140605E-2</v>
      </c>
      <c r="K646" s="8">
        <f t="shared" si="39"/>
        <v>-9.1569776691676763E-2</v>
      </c>
    </row>
    <row r="647" spans="1:11" x14ac:dyDescent="0.25">
      <c r="A647" t="str">
        <f t="shared" si="40"/>
        <v>82019</v>
      </c>
      <c r="B647" s="1">
        <v>43690</v>
      </c>
      <c r="C647" t="s">
        <v>412</v>
      </c>
      <c r="D647">
        <v>7137.25</v>
      </c>
      <c r="E647">
        <v>7137.25</v>
      </c>
      <c r="F647">
        <v>6840.3</v>
      </c>
      <c r="G647">
        <v>6855.75</v>
      </c>
      <c r="H647">
        <v>0</v>
      </c>
      <c r="I647" s="8">
        <f t="shared" si="41"/>
        <v>-3.9461148317314398E-2</v>
      </c>
      <c r="J647" s="8">
        <f t="shared" si="42"/>
        <v>-4.0260848156198827E-2</v>
      </c>
      <c r="K647" s="8">
        <f t="shared" si="39"/>
        <v>-0.13129284456214596</v>
      </c>
    </row>
    <row r="648" spans="1:11" x14ac:dyDescent="0.25">
      <c r="A648" t="str">
        <f t="shared" si="40"/>
        <v>82019</v>
      </c>
      <c r="B648" s="1">
        <v>43691</v>
      </c>
      <c r="C648" t="s">
        <v>413</v>
      </c>
      <c r="D648">
        <v>6876.95</v>
      </c>
      <c r="E648">
        <v>6985.85</v>
      </c>
      <c r="F648">
        <v>6811</v>
      </c>
      <c r="G648">
        <v>6919.05</v>
      </c>
      <c r="H648">
        <v>0</v>
      </c>
      <c r="I648" s="8">
        <f t="shared" si="41"/>
        <v>9.2331254786128802E-3</v>
      </c>
      <c r="J648" s="8">
        <f t="shared" si="42"/>
        <v>9.1907607484771458E-3</v>
      </c>
      <c r="K648" s="8">
        <f t="shared" si="39"/>
        <v>-0.14429088210741114</v>
      </c>
    </row>
    <row r="649" spans="1:11" x14ac:dyDescent="0.25">
      <c r="A649" t="str">
        <f t="shared" si="40"/>
        <v>82019</v>
      </c>
      <c r="B649" s="1">
        <v>43693</v>
      </c>
      <c r="C649" t="s">
        <v>414</v>
      </c>
      <c r="D649">
        <v>6883.7</v>
      </c>
      <c r="E649">
        <v>7013.75</v>
      </c>
      <c r="F649">
        <v>6772.1</v>
      </c>
      <c r="G649">
        <v>6998.45</v>
      </c>
      <c r="H649">
        <v>0</v>
      </c>
      <c r="I649" s="8">
        <f t="shared" si="41"/>
        <v>1.1475563841856884E-2</v>
      </c>
      <c r="J649" s="8">
        <f t="shared" si="42"/>
        <v>1.1410218996581201E-2</v>
      </c>
      <c r="K649" s="8">
        <f t="shared" si="39"/>
        <v>-0.16903741347169954</v>
      </c>
    </row>
    <row r="650" spans="1:11" x14ac:dyDescent="0.25">
      <c r="A650" t="str">
        <f t="shared" si="40"/>
        <v>82019</v>
      </c>
      <c r="B650" s="1">
        <v>43696</v>
      </c>
      <c r="C650" t="s">
        <v>415</v>
      </c>
      <c r="D650">
        <v>7019.15</v>
      </c>
      <c r="E650">
        <v>7042.95</v>
      </c>
      <c r="F650">
        <v>6938.5</v>
      </c>
      <c r="G650">
        <v>6959.15</v>
      </c>
      <c r="H650">
        <v>0</v>
      </c>
      <c r="I650" s="8">
        <f t="shared" si="41"/>
        <v>-5.6155291528838802E-3</v>
      </c>
      <c r="J650" s="8">
        <f t="shared" si="42"/>
        <v>-5.6313555134529444E-3</v>
      </c>
      <c r="K650" s="8">
        <f t="shared" si="39"/>
        <v>-0.1523000931852927</v>
      </c>
    </row>
    <row r="651" spans="1:11" x14ac:dyDescent="0.25">
      <c r="A651" t="str">
        <f t="shared" si="40"/>
        <v>82019</v>
      </c>
      <c r="B651" s="1">
        <v>43697</v>
      </c>
      <c r="C651" t="s">
        <v>416</v>
      </c>
      <c r="D651">
        <v>6979.4</v>
      </c>
      <c r="E651">
        <v>7067.85</v>
      </c>
      <c r="F651">
        <v>6940.6</v>
      </c>
      <c r="G651">
        <v>7040.5</v>
      </c>
      <c r="H651">
        <v>0</v>
      </c>
      <c r="I651" s="8">
        <f t="shared" si="41"/>
        <v>1.1689646005618615E-2</v>
      </c>
      <c r="J651" s="8">
        <f t="shared" si="42"/>
        <v>1.1621849923723221E-2</v>
      </c>
      <c r="K651" s="8">
        <f t="shared" si="39"/>
        <v>-0.14624903747627793</v>
      </c>
    </row>
    <row r="652" spans="1:11" x14ac:dyDescent="0.25">
      <c r="A652" t="str">
        <f t="shared" si="40"/>
        <v>82019</v>
      </c>
      <c r="B652" s="1">
        <v>43698</v>
      </c>
      <c r="C652" t="s">
        <v>417</v>
      </c>
      <c r="D652">
        <v>7053.05</v>
      </c>
      <c r="E652">
        <v>7094.25</v>
      </c>
      <c r="F652">
        <v>6967.6</v>
      </c>
      <c r="G652">
        <v>7001.85</v>
      </c>
      <c r="H652">
        <v>0</v>
      </c>
      <c r="I652" s="8">
        <f t="shared" si="41"/>
        <v>-5.4896669270647624E-3</v>
      </c>
      <c r="J652" s="8">
        <f t="shared" si="42"/>
        <v>-5.5047905229476052E-3</v>
      </c>
      <c r="K652" s="8">
        <f t="shared" si="39"/>
        <v>-0.14787206854166401</v>
      </c>
    </row>
    <row r="653" spans="1:11" x14ac:dyDescent="0.25">
      <c r="A653" t="str">
        <f t="shared" si="40"/>
        <v>82019</v>
      </c>
      <c r="B653" s="1">
        <v>43699</v>
      </c>
      <c r="C653" t="s">
        <v>418</v>
      </c>
      <c r="D653">
        <v>6990.05</v>
      </c>
      <c r="E653">
        <v>6991.55</v>
      </c>
      <c r="F653">
        <v>6864.95</v>
      </c>
      <c r="G653">
        <v>6882.1</v>
      </c>
      <c r="H653">
        <v>0</v>
      </c>
      <c r="I653" s="8">
        <f t="shared" si="41"/>
        <v>-1.7102622878239271E-2</v>
      </c>
      <c r="J653" s="8">
        <f t="shared" si="42"/>
        <v>-1.7250561922869966E-2</v>
      </c>
      <c r="K653" s="8">
        <f t="shared" si="39"/>
        <v>-0.1865370408675866</v>
      </c>
    </row>
    <row r="654" spans="1:11" x14ac:dyDescent="0.25">
      <c r="A654" t="str">
        <f t="shared" si="40"/>
        <v>82019</v>
      </c>
      <c r="B654" s="1">
        <v>43700</v>
      </c>
      <c r="C654" t="s">
        <v>419</v>
      </c>
      <c r="D654">
        <v>6864</v>
      </c>
      <c r="E654">
        <v>7003.8</v>
      </c>
      <c r="F654">
        <v>6801</v>
      </c>
      <c r="G654">
        <v>6988.35</v>
      </c>
      <c r="H654">
        <v>0</v>
      </c>
      <c r="I654" s="8">
        <f t="shared" si="41"/>
        <v>1.5438601589631062E-2</v>
      </c>
      <c r="J654" s="8">
        <f t="shared" si="42"/>
        <v>1.5320638949620484E-2</v>
      </c>
      <c r="K654" s="8">
        <f t="shared" si="39"/>
        <v>-0.17416865590508379</v>
      </c>
    </row>
    <row r="655" spans="1:11" x14ac:dyDescent="0.25">
      <c r="A655" t="str">
        <f t="shared" si="40"/>
        <v>82019</v>
      </c>
      <c r="B655" s="1">
        <v>43703</v>
      </c>
      <c r="C655" t="s">
        <v>420</v>
      </c>
      <c r="D655">
        <v>7202.7</v>
      </c>
      <c r="E655">
        <v>7202.7</v>
      </c>
      <c r="F655">
        <v>6871.05</v>
      </c>
      <c r="G655">
        <v>7022.75</v>
      </c>
      <c r="H655">
        <v>0</v>
      </c>
      <c r="I655" s="8">
        <f t="shared" si="41"/>
        <v>4.922478124306906E-3</v>
      </c>
      <c r="J655" s="8">
        <f t="shared" si="42"/>
        <v>4.9104023411703137E-3</v>
      </c>
      <c r="K655" s="8">
        <f t="shared" si="39"/>
        <v>-0.16377914314972264</v>
      </c>
    </row>
    <row r="656" spans="1:11" x14ac:dyDescent="0.25">
      <c r="A656" t="str">
        <f t="shared" si="40"/>
        <v>82019</v>
      </c>
      <c r="B656" s="1">
        <v>43704</v>
      </c>
      <c r="C656" t="s">
        <v>421</v>
      </c>
      <c r="D656">
        <v>7069.7</v>
      </c>
      <c r="E656">
        <v>7185</v>
      </c>
      <c r="F656">
        <v>7055.9</v>
      </c>
      <c r="G656">
        <v>7152.95</v>
      </c>
      <c r="H656">
        <v>0</v>
      </c>
      <c r="I656" s="8">
        <f t="shared" si="41"/>
        <v>1.8539745826065213E-2</v>
      </c>
      <c r="J656" s="8">
        <f t="shared" si="42"/>
        <v>1.8369979807518873E-2</v>
      </c>
      <c r="K656" s="8">
        <f t="shared" si="39"/>
        <v>-0.13631533826778874</v>
      </c>
    </row>
    <row r="657" spans="1:11" x14ac:dyDescent="0.25">
      <c r="A657" t="str">
        <f t="shared" si="40"/>
        <v>82019</v>
      </c>
      <c r="B657" s="1">
        <v>43705</v>
      </c>
      <c r="C657" t="s">
        <v>422</v>
      </c>
      <c r="D657">
        <v>7148.2</v>
      </c>
      <c r="E657">
        <v>7186.1</v>
      </c>
      <c r="F657">
        <v>6985.3</v>
      </c>
      <c r="G657">
        <v>7018.55</v>
      </c>
      <c r="H657">
        <v>0</v>
      </c>
      <c r="I657" s="8">
        <f t="shared" si="41"/>
        <v>-1.8789450506434324E-2</v>
      </c>
      <c r="J657" s="8">
        <f t="shared" si="42"/>
        <v>-1.8968215031502377E-2</v>
      </c>
      <c r="K657" s="8">
        <f t="shared" si="39"/>
        <v>-0.14778950180312544</v>
      </c>
    </row>
    <row r="658" spans="1:11" x14ac:dyDescent="0.25">
      <c r="A658" t="str">
        <f t="shared" si="40"/>
        <v>82019</v>
      </c>
      <c r="B658" s="1">
        <v>43706</v>
      </c>
      <c r="C658" t="s">
        <v>423</v>
      </c>
      <c r="D658">
        <v>7000.6</v>
      </c>
      <c r="E658">
        <v>7043.9</v>
      </c>
      <c r="F658">
        <v>6944.1</v>
      </c>
      <c r="G658">
        <v>6970.15</v>
      </c>
      <c r="H658">
        <v>0</v>
      </c>
      <c r="I658" s="8">
        <f t="shared" si="41"/>
        <v>-6.8960112843822197E-3</v>
      </c>
      <c r="J658" s="8">
        <f t="shared" si="42"/>
        <v>-6.9198986519122836E-3</v>
      </c>
      <c r="K658" s="8">
        <f t="shared" si="39"/>
        <v>-0.14743440768148741</v>
      </c>
    </row>
    <row r="659" spans="1:11" x14ac:dyDescent="0.25">
      <c r="A659" t="str">
        <f t="shared" si="40"/>
        <v>82019</v>
      </c>
      <c r="B659" s="1">
        <v>43707</v>
      </c>
      <c r="C659" t="s">
        <v>424</v>
      </c>
      <c r="D659">
        <v>7004.5</v>
      </c>
      <c r="E659">
        <v>7029.15</v>
      </c>
      <c r="F659">
        <v>6901.65</v>
      </c>
      <c r="G659">
        <v>7009.3</v>
      </c>
      <c r="H659">
        <v>0</v>
      </c>
      <c r="I659" s="8">
        <f t="shared" si="41"/>
        <v>5.6168088204702205E-3</v>
      </c>
      <c r="J659" s="8">
        <f t="shared" si="42"/>
        <v>5.6010933694676983E-3</v>
      </c>
      <c r="K659" s="8">
        <f t="shared" si="39"/>
        <v>-0.1583655531807594</v>
      </c>
    </row>
    <row r="660" spans="1:11" x14ac:dyDescent="0.25">
      <c r="A660" t="str">
        <f t="shared" si="40"/>
        <v>92019</v>
      </c>
      <c r="B660" s="1">
        <v>43711</v>
      </c>
      <c r="C660" s="10">
        <v>43533.645833333336</v>
      </c>
      <c r="D660">
        <v>6921.75</v>
      </c>
      <c r="E660">
        <v>6962.75</v>
      </c>
      <c r="F660">
        <v>6884.75</v>
      </c>
      <c r="G660">
        <v>6897.75</v>
      </c>
      <c r="H660">
        <v>0</v>
      </c>
      <c r="I660" s="8">
        <f t="shared" si="41"/>
        <v>-1.5914570641861525E-2</v>
      </c>
      <c r="J660" s="8">
        <f t="shared" si="42"/>
        <v>-1.6042567244994678E-2</v>
      </c>
      <c r="K660" s="8">
        <f t="shared" si="39"/>
        <v>-0.16896580805281802</v>
      </c>
    </row>
    <row r="661" spans="1:11" x14ac:dyDescent="0.25">
      <c r="A661" t="str">
        <f t="shared" si="40"/>
        <v>92019</v>
      </c>
      <c r="B661" s="1">
        <v>43712</v>
      </c>
      <c r="C661" s="10">
        <v>43564.645833333336</v>
      </c>
      <c r="D661">
        <v>6902.95</v>
      </c>
      <c r="E661">
        <v>6932.65</v>
      </c>
      <c r="F661">
        <v>6744.75</v>
      </c>
      <c r="G661">
        <v>6782.05</v>
      </c>
      <c r="H661">
        <v>0</v>
      </c>
      <c r="I661" s="8">
        <f t="shared" si="41"/>
        <v>-1.6773585589503814E-2</v>
      </c>
      <c r="J661" s="8">
        <f t="shared" si="42"/>
        <v>-1.691585533600666E-2</v>
      </c>
      <c r="K661" s="8">
        <f t="shared" si="39"/>
        <v>-0.17557998893812043</v>
      </c>
    </row>
    <row r="662" spans="1:11" x14ac:dyDescent="0.25">
      <c r="A662" t="str">
        <f t="shared" si="40"/>
        <v>92019</v>
      </c>
      <c r="B662" s="1">
        <v>43713</v>
      </c>
      <c r="C662" s="10">
        <v>43594.645833333336</v>
      </c>
      <c r="D662">
        <v>6788.4</v>
      </c>
      <c r="E662">
        <v>6935</v>
      </c>
      <c r="F662">
        <v>6786.1</v>
      </c>
      <c r="G662">
        <v>6921.75</v>
      </c>
      <c r="H662">
        <v>0</v>
      </c>
      <c r="I662" s="8">
        <f t="shared" si="41"/>
        <v>2.0598491606520053E-2</v>
      </c>
      <c r="J662" s="8">
        <f t="shared" si="42"/>
        <v>2.038921169888569E-2</v>
      </c>
      <c r="K662" s="8">
        <f t="shared" si="39"/>
        <v>-0.155059814453125</v>
      </c>
    </row>
    <row r="663" spans="1:11" x14ac:dyDescent="0.25">
      <c r="A663" t="str">
        <f t="shared" si="40"/>
        <v>92019</v>
      </c>
      <c r="B663" s="1">
        <v>43714</v>
      </c>
      <c r="C663" s="10">
        <v>43625.645833333336</v>
      </c>
      <c r="D663">
        <v>6947.95</v>
      </c>
      <c r="E663">
        <v>7119.15</v>
      </c>
      <c r="F663">
        <v>6920.35</v>
      </c>
      <c r="G663">
        <v>7102.45</v>
      </c>
      <c r="H663">
        <v>0</v>
      </c>
      <c r="I663" s="8">
        <f t="shared" si="41"/>
        <v>2.6106114783111201E-2</v>
      </c>
      <c r="J663" s="8">
        <f t="shared" si="42"/>
        <v>2.5771167115040662E-2</v>
      </c>
      <c r="K663" s="8">
        <f t="shared" si="39"/>
        <v>-0.1356027091332842</v>
      </c>
    </row>
    <row r="664" spans="1:11" x14ac:dyDescent="0.25">
      <c r="A664" t="str">
        <f t="shared" si="40"/>
        <v>92019</v>
      </c>
      <c r="B664" s="1">
        <v>43717</v>
      </c>
      <c r="C664" s="10">
        <v>43717.645833333336</v>
      </c>
      <c r="D664">
        <v>7023.9</v>
      </c>
      <c r="E664">
        <v>7178.6</v>
      </c>
      <c r="F664">
        <v>6992.85</v>
      </c>
      <c r="G664">
        <v>7165.35</v>
      </c>
      <c r="H664">
        <v>0</v>
      </c>
      <c r="I664" s="8">
        <f t="shared" si="41"/>
        <v>8.8560989517703081E-3</v>
      </c>
      <c r="J664" s="8">
        <f t="shared" si="42"/>
        <v>8.8171137098181432E-3</v>
      </c>
      <c r="K664" s="8">
        <f t="shared" si="39"/>
        <v>-0.13044507144807493</v>
      </c>
    </row>
    <row r="665" spans="1:11" x14ac:dyDescent="0.25">
      <c r="A665" t="str">
        <f t="shared" si="40"/>
        <v>92019</v>
      </c>
      <c r="B665" s="1">
        <v>43719</v>
      </c>
      <c r="C665" s="10">
        <v>43778.645833333336</v>
      </c>
      <c r="D665">
        <v>7193.15</v>
      </c>
      <c r="E665">
        <v>7443.9</v>
      </c>
      <c r="F665">
        <v>7177.9</v>
      </c>
      <c r="G665">
        <v>7423.6</v>
      </c>
      <c r="H665">
        <v>0</v>
      </c>
      <c r="I665" s="8">
        <f t="shared" si="41"/>
        <v>3.6041505299810872E-2</v>
      </c>
      <c r="J665" s="8">
        <f t="shared" si="42"/>
        <v>3.5407206065495009E-2</v>
      </c>
      <c r="K665" s="8">
        <f t="shared" si="39"/>
        <v>-8.8787828573883454E-2</v>
      </c>
    </row>
    <row r="666" spans="1:11" x14ac:dyDescent="0.25">
      <c r="A666" t="str">
        <f t="shared" si="40"/>
        <v>92019</v>
      </c>
      <c r="B666" s="1">
        <v>43720</v>
      </c>
      <c r="C666" s="10">
        <v>43808.645833333336</v>
      </c>
      <c r="D666">
        <v>7420.55</v>
      </c>
      <c r="E666">
        <v>7459.15</v>
      </c>
      <c r="F666">
        <v>7270.65</v>
      </c>
      <c r="G666">
        <v>7284</v>
      </c>
      <c r="H666">
        <v>0</v>
      </c>
      <c r="I666" s="8">
        <f t="shared" si="41"/>
        <v>-1.8804892504984183E-2</v>
      </c>
      <c r="J666" s="8">
        <f t="shared" si="42"/>
        <v>-1.8983952856651002E-2</v>
      </c>
      <c r="K666" s="8">
        <f t="shared" si="39"/>
        <v>-0.10261859442278198</v>
      </c>
    </row>
    <row r="667" spans="1:11" x14ac:dyDescent="0.25">
      <c r="A667" t="str">
        <f t="shared" si="40"/>
        <v>92019</v>
      </c>
      <c r="B667" s="1">
        <v>43721</v>
      </c>
      <c r="C667" t="s">
        <v>425</v>
      </c>
      <c r="D667">
        <v>7307.75</v>
      </c>
      <c r="E667">
        <v>7372.75</v>
      </c>
      <c r="F667">
        <v>7249.75</v>
      </c>
      <c r="G667">
        <v>7360.6</v>
      </c>
      <c r="H667">
        <v>0</v>
      </c>
      <c r="I667" s="8">
        <f t="shared" si="41"/>
        <v>1.0516199890170386E-2</v>
      </c>
      <c r="J667" s="8">
        <f t="shared" si="42"/>
        <v>1.0461289291837539E-2</v>
      </c>
      <c r="K667" s="8">
        <f t="shared" si="39"/>
        <v>-8.3544997260819764E-2</v>
      </c>
    </row>
    <row r="668" spans="1:11" x14ac:dyDescent="0.25">
      <c r="A668" t="str">
        <f t="shared" si="40"/>
        <v>92019</v>
      </c>
      <c r="B668" s="1">
        <v>43724</v>
      </c>
      <c r="C668" t="s">
        <v>426</v>
      </c>
      <c r="D668">
        <v>7286.75</v>
      </c>
      <c r="E668">
        <v>7384.65</v>
      </c>
      <c r="F668">
        <v>7263.4</v>
      </c>
      <c r="G668">
        <v>7300.65</v>
      </c>
      <c r="H668">
        <v>0</v>
      </c>
      <c r="I668" s="8">
        <f t="shared" si="41"/>
        <v>-8.1447164633319247E-3</v>
      </c>
      <c r="J668" s="8">
        <f t="shared" si="42"/>
        <v>-8.1780658708862659E-3</v>
      </c>
      <c r="K668" s="8">
        <f t="shared" si="39"/>
        <v>-7.5410645761831874E-2</v>
      </c>
    </row>
    <row r="669" spans="1:11" x14ac:dyDescent="0.25">
      <c r="A669" t="str">
        <f t="shared" si="40"/>
        <v>92019</v>
      </c>
      <c r="B669" s="1">
        <v>43725</v>
      </c>
      <c r="C669" t="s">
        <v>427</v>
      </c>
      <c r="D669">
        <v>7308.65</v>
      </c>
      <c r="E669">
        <v>7324.7</v>
      </c>
      <c r="F669">
        <v>7004.35</v>
      </c>
      <c r="G669">
        <v>7020.75</v>
      </c>
      <c r="H669">
        <v>0</v>
      </c>
      <c r="I669" s="8">
        <f t="shared" si="41"/>
        <v>-3.8339052002218987E-2</v>
      </c>
      <c r="J669" s="8">
        <f t="shared" si="42"/>
        <v>-3.9093335348486087E-2</v>
      </c>
      <c r="K669" s="8">
        <f t="shared" si="39"/>
        <v>-0.10670093582802653</v>
      </c>
    </row>
    <row r="670" spans="1:11" x14ac:dyDescent="0.25">
      <c r="A670" t="str">
        <f t="shared" si="40"/>
        <v>92019</v>
      </c>
      <c r="B670" s="1">
        <v>43726</v>
      </c>
      <c r="C670" t="s">
        <v>428</v>
      </c>
      <c r="D670">
        <v>7068.15</v>
      </c>
      <c r="E670">
        <v>7111.55</v>
      </c>
      <c r="F670">
        <v>6924.2</v>
      </c>
      <c r="G670">
        <v>7012.1</v>
      </c>
      <c r="H670">
        <v>0</v>
      </c>
      <c r="I670" s="8">
        <f t="shared" si="41"/>
        <v>-1.2320621016272959E-3</v>
      </c>
      <c r="J670" s="8">
        <f t="shared" si="42"/>
        <v>-1.2328217141290478E-3</v>
      </c>
      <c r="K670" s="8">
        <f t="shared" si="39"/>
        <v>-9.7797277476132871E-2</v>
      </c>
    </row>
    <row r="671" spans="1:11" x14ac:dyDescent="0.25">
      <c r="A671" t="str">
        <f t="shared" si="40"/>
        <v>92019</v>
      </c>
      <c r="B671" s="1">
        <v>43727</v>
      </c>
      <c r="C671" t="s">
        <v>429</v>
      </c>
      <c r="D671">
        <v>7033.7</v>
      </c>
      <c r="E671">
        <v>7051.75</v>
      </c>
      <c r="F671">
        <v>6886.85</v>
      </c>
      <c r="G671">
        <v>6920.6</v>
      </c>
      <c r="H671">
        <v>0</v>
      </c>
      <c r="I671" s="8">
        <f t="shared" si="41"/>
        <v>-1.3048872662968281E-2</v>
      </c>
      <c r="J671" s="8">
        <f t="shared" si="42"/>
        <v>-1.3134757150486067E-2</v>
      </c>
      <c r="K671" s="8">
        <f t="shared" si="39"/>
        <v>-0.13117275232409964</v>
      </c>
    </row>
    <row r="672" spans="1:11" x14ac:dyDescent="0.25">
      <c r="A672" t="str">
        <f t="shared" si="40"/>
        <v>92019</v>
      </c>
      <c r="B672" s="1">
        <v>43728</v>
      </c>
      <c r="C672" t="s">
        <v>430</v>
      </c>
      <c r="D672">
        <v>6955.55</v>
      </c>
      <c r="E672">
        <v>7778.15</v>
      </c>
      <c r="F672">
        <v>6936.2</v>
      </c>
      <c r="G672">
        <v>7605.85</v>
      </c>
      <c r="H672">
        <v>0</v>
      </c>
      <c r="I672" s="8">
        <f t="shared" si="41"/>
        <v>9.9015981273300024E-2</v>
      </c>
      <c r="J672" s="8">
        <f t="shared" si="42"/>
        <v>9.4415216965710064E-2</v>
      </c>
      <c r="K672" s="8">
        <f t="shared" si="39"/>
        <v>-3.3349219966320343E-2</v>
      </c>
    </row>
    <row r="673" spans="1:11" x14ac:dyDescent="0.25">
      <c r="A673" t="str">
        <f t="shared" si="40"/>
        <v>92019</v>
      </c>
      <c r="B673" s="1">
        <v>43731</v>
      </c>
      <c r="C673" t="s">
        <v>431</v>
      </c>
      <c r="D673">
        <v>7714</v>
      </c>
      <c r="E673">
        <v>7939.25</v>
      </c>
      <c r="F673">
        <v>7654.4</v>
      </c>
      <c r="G673">
        <v>7802.65</v>
      </c>
      <c r="H673">
        <v>0</v>
      </c>
      <c r="I673" s="8">
        <f t="shared" si="41"/>
        <v>2.5874820039837765E-2</v>
      </c>
      <c r="J673" s="8">
        <f t="shared" si="42"/>
        <v>2.5545731546583055E-2</v>
      </c>
      <c r="K673" s="8">
        <f t="shared" si="39"/>
        <v>-3.7856057607600357E-3</v>
      </c>
    </row>
    <row r="674" spans="1:11" x14ac:dyDescent="0.25">
      <c r="A674" t="str">
        <f t="shared" si="40"/>
        <v>92019</v>
      </c>
      <c r="B674" s="1">
        <v>43732</v>
      </c>
      <c r="C674" t="s">
        <v>432</v>
      </c>
      <c r="D674">
        <v>7854.1</v>
      </c>
      <c r="E674">
        <v>7921.4</v>
      </c>
      <c r="F674">
        <v>7700.65</v>
      </c>
      <c r="G674">
        <v>7773.25</v>
      </c>
      <c r="H674">
        <v>0</v>
      </c>
      <c r="I674" s="8">
        <f t="shared" si="41"/>
        <v>-3.7679506321569578E-3</v>
      </c>
      <c r="J674" s="8">
        <f t="shared" si="42"/>
        <v>-3.7750672404504694E-3</v>
      </c>
      <c r="K674" s="8">
        <f t="shared" si="39"/>
        <v>-1.3327832957826913E-2</v>
      </c>
    </row>
    <row r="675" spans="1:11" x14ac:dyDescent="0.25">
      <c r="A675" t="str">
        <f t="shared" si="40"/>
        <v>92019</v>
      </c>
      <c r="B675" s="1">
        <v>43733</v>
      </c>
      <c r="C675" t="s">
        <v>433</v>
      </c>
      <c r="D675">
        <v>7747.7</v>
      </c>
      <c r="E675">
        <v>7747.7</v>
      </c>
      <c r="F675">
        <v>7437.65</v>
      </c>
      <c r="G675">
        <v>7470.45</v>
      </c>
      <c r="H675">
        <v>0</v>
      </c>
      <c r="I675" s="8">
        <f t="shared" si="41"/>
        <v>-3.8954105425658581E-2</v>
      </c>
      <c r="J675" s="8">
        <f t="shared" si="42"/>
        <v>-3.9733114050886816E-2</v>
      </c>
      <c r="K675" s="8">
        <f t="shared" si="39"/>
        <v>-5.2400251155887978E-2</v>
      </c>
    </row>
    <row r="676" spans="1:11" x14ac:dyDescent="0.25">
      <c r="A676" t="str">
        <f t="shared" si="40"/>
        <v>92019</v>
      </c>
      <c r="B676" s="1">
        <v>43734</v>
      </c>
      <c r="C676" t="s">
        <v>434</v>
      </c>
      <c r="D676">
        <v>7501.45</v>
      </c>
      <c r="E676">
        <v>7680.1</v>
      </c>
      <c r="F676">
        <v>7491.05</v>
      </c>
      <c r="G676">
        <v>7659.75</v>
      </c>
      <c r="H676">
        <v>0</v>
      </c>
      <c r="I676" s="8">
        <f t="shared" si="41"/>
        <v>2.5339838965524164E-2</v>
      </c>
      <c r="J676" s="8">
        <f t="shared" si="42"/>
        <v>2.5024107850013605E-2</v>
      </c>
      <c r="K676" s="8">
        <f t="shared" si="39"/>
        <v>-3.9102045424609044E-2</v>
      </c>
    </row>
    <row r="677" spans="1:11" x14ac:dyDescent="0.25">
      <c r="A677" t="str">
        <f t="shared" si="40"/>
        <v>92019</v>
      </c>
      <c r="B677" s="1">
        <v>43735</v>
      </c>
      <c r="C677" t="s">
        <v>435</v>
      </c>
      <c r="D677">
        <v>7628.55</v>
      </c>
      <c r="E677">
        <v>7648.85</v>
      </c>
      <c r="F677">
        <v>7528.3</v>
      </c>
      <c r="G677">
        <v>7554.25</v>
      </c>
      <c r="H677">
        <v>0</v>
      </c>
      <c r="I677" s="8">
        <f t="shared" si="41"/>
        <v>-1.3773295473089808E-2</v>
      </c>
      <c r="J677" s="8">
        <f t="shared" si="42"/>
        <v>-1.386902735256419E-2</v>
      </c>
      <c r="K677" s="8">
        <f t="shared" si="39"/>
        <v>-4.7149046739109912E-2</v>
      </c>
    </row>
    <row r="678" spans="1:11" x14ac:dyDescent="0.25">
      <c r="A678" t="str">
        <f t="shared" si="40"/>
        <v>92019</v>
      </c>
      <c r="B678" s="1">
        <v>43738</v>
      </c>
      <c r="C678" t="s">
        <v>436</v>
      </c>
      <c r="D678">
        <v>7568.25</v>
      </c>
      <c r="E678">
        <v>7572.1</v>
      </c>
      <c r="F678">
        <v>7395.5</v>
      </c>
      <c r="G678">
        <v>7493.15</v>
      </c>
      <c r="H678">
        <v>0</v>
      </c>
      <c r="I678" s="8">
        <f t="shared" si="41"/>
        <v>-8.0881622927491126E-3</v>
      </c>
      <c r="J678" s="8">
        <f t="shared" si="42"/>
        <v>-8.1210489257090811E-3</v>
      </c>
      <c r="K678" s="8">
        <f t="shared" si="39"/>
        <v>-6.6756755073700158E-2</v>
      </c>
    </row>
    <row r="679" spans="1:11" x14ac:dyDescent="0.25">
      <c r="A679" t="str">
        <f t="shared" si="40"/>
        <v>102019</v>
      </c>
      <c r="B679" s="1">
        <v>43739</v>
      </c>
      <c r="C679" s="10">
        <v>43475.645833333336</v>
      </c>
      <c r="D679">
        <v>7513.05</v>
      </c>
      <c r="E679">
        <v>7593.7</v>
      </c>
      <c r="F679">
        <v>7353.8</v>
      </c>
      <c r="G679">
        <v>7464.1</v>
      </c>
      <c r="H679">
        <v>0</v>
      </c>
      <c r="I679" s="8">
        <f t="shared" si="41"/>
        <v>-3.8768742117799571E-3</v>
      </c>
      <c r="J679" s="8">
        <f t="shared" si="42"/>
        <v>-3.8844087685974151E-3</v>
      </c>
      <c r="K679" s="8">
        <f t="shared" si="39"/>
        <v>-7.2281294861198164E-2</v>
      </c>
    </row>
    <row r="680" spans="1:11" x14ac:dyDescent="0.25">
      <c r="A680" t="str">
        <f t="shared" si="40"/>
        <v>102019</v>
      </c>
      <c r="B680" s="1">
        <v>43741</v>
      </c>
      <c r="C680" s="10">
        <v>43534.645833333336</v>
      </c>
      <c r="D680">
        <v>7458.4</v>
      </c>
      <c r="E680">
        <v>7521.95</v>
      </c>
      <c r="F680">
        <v>7431.75</v>
      </c>
      <c r="G680">
        <v>7493.75</v>
      </c>
      <c r="H680">
        <v>0</v>
      </c>
      <c r="I680" s="8">
        <f t="shared" si="41"/>
        <v>3.9723476373574318E-3</v>
      </c>
      <c r="J680" s="8">
        <f t="shared" si="42"/>
        <v>3.9644786963771673E-3</v>
      </c>
      <c r="K680" s="8">
        <f t="shared" si="39"/>
        <v>-6.7883574849182171E-2</v>
      </c>
    </row>
    <row r="681" spans="1:11" x14ac:dyDescent="0.25">
      <c r="A681" t="str">
        <f t="shared" si="40"/>
        <v>102019</v>
      </c>
      <c r="B681" s="1">
        <v>43742</v>
      </c>
      <c r="C681" s="10">
        <v>43565.645833333336</v>
      </c>
      <c r="D681">
        <v>7530.75</v>
      </c>
      <c r="E681">
        <v>7578.6</v>
      </c>
      <c r="F681">
        <v>7381.75</v>
      </c>
      <c r="G681">
        <v>7404.9</v>
      </c>
      <c r="H681">
        <v>0</v>
      </c>
      <c r="I681" s="8">
        <f t="shared" si="41"/>
        <v>-1.1856547122602201E-2</v>
      </c>
      <c r="J681" s="8">
        <f t="shared" si="42"/>
        <v>-1.1927396554036733E-2</v>
      </c>
      <c r="K681" s="8">
        <f t="shared" si="39"/>
        <v>-8.3234289110087678E-2</v>
      </c>
    </row>
    <row r="682" spans="1:11" x14ac:dyDescent="0.25">
      <c r="A682" t="str">
        <f t="shared" si="40"/>
        <v>102019</v>
      </c>
      <c r="B682" s="1">
        <v>43745</v>
      </c>
      <c r="C682" s="10">
        <v>43656.645833333336</v>
      </c>
      <c r="D682">
        <v>7385.85</v>
      </c>
      <c r="E682">
        <v>7397</v>
      </c>
      <c r="F682">
        <v>7296.5</v>
      </c>
      <c r="G682">
        <v>7355.45</v>
      </c>
      <c r="H682">
        <v>0</v>
      </c>
      <c r="I682" s="8">
        <f t="shared" si="41"/>
        <v>-6.6780105065564754E-3</v>
      </c>
      <c r="J682" s="8">
        <f t="shared" si="42"/>
        <v>-6.7004081890484294E-3</v>
      </c>
      <c r="K682" s="8">
        <f t="shared" si="39"/>
        <v>-6.2892560930552621E-2</v>
      </c>
    </row>
    <row r="683" spans="1:11" x14ac:dyDescent="0.25">
      <c r="A683" t="str">
        <f t="shared" si="40"/>
        <v>102019</v>
      </c>
      <c r="B683" s="1">
        <v>43747</v>
      </c>
      <c r="C683" s="10">
        <v>43718.645833333336</v>
      </c>
      <c r="D683">
        <v>7363.9</v>
      </c>
      <c r="E683">
        <v>7473.3</v>
      </c>
      <c r="F683">
        <v>7331.65</v>
      </c>
      <c r="G683">
        <v>7460.75</v>
      </c>
      <c r="H683">
        <v>0</v>
      </c>
      <c r="I683" s="8">
        <f t="shared" si="41"/>
        <v>1.431591540966215E-2</v>
      </c>
      <c r="J683" s="8">
        <f t="shared" si="42"/>
        <v>1.4214410304672345E-2</v>
      </c>
      <c r="K683" s="8">
        <f t="shared" si="39"/>
        <v>-1.7456178473127637E-2</v>
      </c>
    </row>
    <row r="684" spans="1:11" x14ac:dyDescent="0.25">
      <c r="A684" t="str">
        <f t="shared" si="40"/>
        <v>102019</v>
      </c>
      <c r="B684" s="1">
        <v>43748</v>
      </c>
      <c r="C684" s="10">
        <v>43748.645833333336</v>
      </c>
      <c r="D684">
        <v>7440.8</v>
      </c>
      <c r="E684">
        <v>7445.8</v>
      </c>
      <c r="F684">
        <v>7332.95</v>
      </c>
      <c r="G684">
        <v>7359.65</v>
      </c>
      <c r="H684">
        <v>0</v>
      </c>
      <c r="I684" s="8">
        <f t="shared" si="41"/>
        <v>-1.3550916462822138E-2</v>
      </c>
      <c r="J684" s="8">
        <f t="shared" si="42"/>
        <v>-1.3643568093059718E-2</v>
      </c>
      <c r="K684" s="8">
        <f t="shared" si="39"/>
        <v>-3.0770547719700336E-2</v>
      </c>
    </row>
    <row r="685" spans="1:11" x14ac:dyDescent="0.25">
      <c r="A685" t="str">
        <f t="shared" si="40"/>
        <v>102019</v>
      </c>
      <c r="B685" s="1">
        <v>43749</v>
      </c>
      <c r="C685" s="10">
        <v>43779.645833333336</v>
      </c>
      <c r="D685">
        <v>7386.65</v>
      </c>
      <c r="E685">
        <v>7457.85</v>
      </c>
      <c r="F685">
        <v>7322.3</v>
      </c>
      <c r="G685">
        <v>7397.05</v>
      </c>
      <c r="H685">
        <v>0</v>
      </c>
      <c r="I685" s="8">
        <f t="shared" si="41"/>
        <v>5.0817633990747346E-3</v>
      </c>
      <c r="J685" s="8">
        <f t="shared" si="42"/>
        <v>5.0688948177638376E-3</v>
      </c>
      <c r="K685" s="8">
        <f t="shared" si="39"/>
        <v>-1.5190749752035271E-2</v>
      </c>
    </row>
    <row r="686" spans="1:11" x14ac:dyDescent="0.25">
      <c r="A686" t="str">
        <f t="shared" si="40"/>
        <v>102019</v>
      </c>
      <c r="B686" s="1">
        <v>43752</v>
      </c>
      <c r="C686" t="s">
        <v>437</v>
      </c>
      <c r="D686">
        <v>7401.5</v>
      </c>
      <c r="E686">
        <v>7559.6</v>
      </c>
      <c r="F686">
        <v>7397.8</v>
      </c>
      <c r="G686">
        <v>7520.35</v>
      </c>
      <c r="H686">
        <v>0</v>
      </c>
      <c r="I686" s="8">
        <f t="shared" si="41"/>
        <v>1.6668807159611054E-2</v>
      </c>
      <c r="J686" s="8">
        <f t="shared" si="42"/>
        <v>1.6531407351890324E-2</v>
      </c>
      <c r="K686" s="8">
        <f t="shared" si="39"/>
        <v>-1.7069775648775543E-2</v>
      </c>
    </row>
    <row r="687" spans="1:11" x14ac:dyDescent="0.25">
      <c r="A687" t="str">
        <f t="shared" si="40"/>
        <v>102019</v>
      </c>
      <c r="B687" s="1">
        <v>43753</v>
      </c>
      <c r="C687" t="s">
        <v>438</v>
      </c>
      <c r="D687">
        <v>7522</v>
      </c>
      <c r="E687">
        <v>7701.95</v>
      </c>
      <c r="F687">
        <v>7510.1</v>
      </c>
      <c r="G687">
        <v>7688.25</v>
      </c>
      <c r="H687">
        <v>0</v>
      </c>
      <c r="I687" s="8">
        <f t="shared" si="41"/>
        <v>2.2326088546410716E-2</v>
      </c>
      <c r="J687" s="8">
        <f t="shared" si="42"/>
        <v>2.2080509917614597E-2</v>
      </c>
      <c r="K687" s="8">
        <f t="shared" si="39"/>
        <v>4.5207188726947845E-3</v>
      </c>
    </row>
    <row r="688" spans="1:11" x14ac:dyDescent="0.25">
      <c r="A688" t="str">
        <f t="shared" si="40"/>
        <v>102019</v>
      </c>
      <c r="B688" s="1">
        <v>43754</v>
      </c>
      <c r="C688" t="s">
        <v>439</v>
      </c>
      <c r="D688">
        <v>7709.8</v>
      </c>
      <c r="E688">
        <v>7720.4</v>
      </c>
      <c r="F688">
        <v>7642.8</v>
      </c>
      <c r="G688">
        <v>7673.8</v>
      </c>
      <c r="H688">
        <v>0</v>
      </c>
      <c r="I688" s="8">
        <f t="shared" si="41"/>
        <v>-1.8794914317301625E-3</v>
      </c>
      <c r="J688" s="8">
        <f t="shared" si="42"/>
        <v>-1.8812598919691211E-3</v>
      </c>
      <c r="K688" s="8">
        <f t="shared" si="39"/>
        <v>-5.8637651887738507E-5</v>
      </c>
    </row>
    <row r="689" spans="1:11" x14ac:dyDescent="0.25">
      <c r="A689" t="str">
        <f t="shared" si="40"/>
        <v>102019</v>
      </c>
      <c r="B689" s="1">
        <v>43755</v>
      </c>
      <c r="C689" t="s">
        <v>440</v>
      </c>
      <c r="D689">
        <v>7676.55</v>
      </c>
      <c r="E689">
        <v>7954.2</v>
      </c>
      <c r="F689">
        <v>7655.5</v>
      </c>
      <c r="G689">
        <v>7914</v>
      </c>
      <c r="H689">
        <v>0</v>
      </c>
      <c r="I689" s="8">
        <f t="shared" si="41"/>
        <v>3.1301310954155781E-2</v>
      </c>
      <c r="J689" s="8">
        <f t="shared" si="42"/>
        <v>3.0821413505718282E-2</v>
      </c>
      <c r="K689" s="8">
        <f t="shared" si="39"/>
        <v>2.4187599487517808E-2</v>
      </c>
    </row>
    <row r="690" spans="1:11" x14ac:dyDescent="0.25">
      <c r="A690" t="str">
        <f t="shared" si="40"/>
        <v>102019</v>
      </c>
      <c r="B690" s="1">
        <v>43756</v>
      </c>
      <c r="C690" t="s">
        <v>441</v>
      </c>
      <c r="D690">
        <v>7900.15</v>
      </c>
      <c r="E690">
        <v>8007.15</v>
      </c>
      <c r="F690">
        <v>7848.95</v>
      </c>
      <c r="G690">
        <v>7964.75</v>
      </c>
      <c r="H690">
        <v>0</v>
      </c>
      <c r="I690" s="8">
        <f t="shared" si="41"/>
        <v>6.4126863785696209E-3</v>
      </c>
      <c r="J690" s="8">
        <f t="shared" si="42"/>
        <v>6.3922125866641638E-3</v>
      </c>
      <c r="K690" s="8">
        <f t="shared" si="39"/>
        <v>4.1395631623333706E-2</v>
      </c>
    </row>
    <row r="691" spans="1:11" x14ac:dyDescent="0.25">
      <c r="A691" t="str">
        <f t="shared" si="40"/>
        <v>102019</v>
      </c>
      <c r="B691" s="1">
        <v>43760</v>
      </c>
      <c r="C691" t="s">
        <v>442</v>
      </c>
      <c r="D691">
        <v>7961.15</v>
      </c>
      <c r="E691">
        <v>8027.8</v>
      </c>
      <c r="F691">
        <v>7920</v>
      </c>
      <c r="G691">
        <v>7936.65</v>
      </c>
      <c r="H691">
        <v>0</v>
      </c>
      <c r="I691" s="8">
        <f t="shared" si="41"/>
        <v>-3.5280454502653047E-3</v>
      </c>
      <c r="J691" s="8">
        <f t="shared" si="42"/>
        <v>-3.5342836794408209E-3</v>
      </c>
      <c r="K691" s="8">
        <f t="shared" si="39"/>
        <v>6.6940460026617465E-2</v>
      </c>
    </row>
    <row r="692" spans="1:11" x14ac:dyDescent="0.25">
      <c r="A692" t="str">
        <f t="shared" si="40"/>
        <v>102019</v>
      </c>
      <c r="B692" s="1">
        <v>43761</v>
      </c>
      <c r="C692" t="s">
        <v>443</v>
      </c>
      <c r="D692">
        <v>7915.6</v>
      </c>
      <c r="E692">
        <v>8071.15</v>
      </c>
      <c r="F692">
        <v>7879.4</v>
      </c>
      <c r="G692">
        <v>8036.6</v>
      </c>
      <c r="H692">
        <v>0</v>
      </c>
      <c r="I692" s="8">
        <f t="shared" si="41"/>
        <v>1.2593474576805264E-2</v>
      </c>
      <c r="J692" s="8">
        <f t="shared" si="42"/>
        <v>1.2514836306959837E-2</v>
      </c>
      <c r="K692" s="8">
        <f t="shared" si="39"/>
        <v>0.11731952313093053</v>
      </c>
    </row>
    <row r="693" spans="1:11" x14ac:dyDescent="0.25">
      <c r="A693" t="str">
        <f t="shared" si="40"/>
        <v>102019</v>
      </c>
      <c r="B693" s="1">
        <v>43762</v>
      </c>
      <c r="C693" t="s">
        <v>444</v>
      </c>
      <c r="D693">
        <v>8060.35</v>
      </c>
      <c r="E693">
        <v>8103.1</v>
      </c>
      <c r="F693">
        <v>7965.55</v>
      </c>
      <c r="G693">
        <v>8012.4</v>
      </c>
      <c r="H693">
        <v>0</v>
      </c>
      <c r="I693" s="8">
        <f t="shared" si="41"/>
        <v>-3.0112236517931823E-3</v>
      </c>
      <c r="J693" s="8">
        <f t="shared" si="42"/>
        <v>-3.0157665077293742E-3</v>
      </c>
      <c r="K693" s="8">
        <f t="shared" si="39"/>
        <v>0.10971226758076247</v>
      </c>
    </row>
    <row r="694" spans="1:11" x14ac:dyDescent="0.25">
      <c r="A694" t="str">
        <f t="shared" si="40"/>
        <v>102019</v>
      </c>
      <c r="B694" s="1">
        <v>43763</v>
      </c>
      <c r="C694" t="s">
        <v>445</v>
      </c>
      <c r="D694">
        <v>8032.45</v>
      </c>
      <c r="E694">
        <v>8034.35</v>
      </c>
      <c r="F694">
        <v>7927.75</v>
      </c>
      <c r="G694">
        <v>7986.35</v>
      </c>
      <c r="H694">
        <v>0</v>
      </c>
      <c r="I694" s="8">
        <f t="shared" si="41"/>
        <v>-3.251210623533396E-3</v>
      </c>
      <c r="J694" s="8">
        <f t="shared" si="42"/>
        <v>-3.2565072922990262E-3</v>
      </c>
      <c r="K694" s="8">
        <f t="shared" si="39"/>
        <v>0.11282422857461372</v>
      </c>
    </row>
    <row r="695" spans="1:11" x14ac:dyDescent="0.25">
      <c r="A695" t="str">
        <f t="shared" si="40"/>
        <v>102019</v>
      </c>
      <c r="B695" s="1">
        <v>43765</v>
      </c>
      <c r="C695" t="s">
        <v>446</v>
      </c>
      <c r="D695">
        <v>8086.4</v>
      </c>
      <c r="E695">
        <v>8135.15</v>
      </c>
      <c r="F695">
        <v>8071.25</v>
      </c>
      <c r="G695">
        <v>8102</v>
      </c>
      <c r="H695">
        <v>0</v>
      </c>
      <c r="I695" s="8">
        <f t="shared" si="41"/>
        <v>1.4480958134817534E-2</v>
      </c>
      <c r="J695" s="8">
        <f t="shared" si="42"/>
        <v>1.4377110403111589E-2</v>
      </c>
      <c r="K695" s="8">
        <f t="shared" si="39"/>
        <v>0.1513919877215173</v>
      </c>
    </row>
    <row r="696" spans="1:11" x14ac:dyDescent="0.25">
      <c r="A696" t="str">
        <f t="shared" si="40"/>
        <v>102019</v>
      </c>
      <c r="B696" s="1">
        <v>43767</v>
      </c>
      <c r="C696" t="s">
        <v>447</v>
      </c>
      <c r="D696">
        <v>8133.25</v>
      </c>
      <c r="E696">
        <v>8479.0499999999993</v>
      </c>
      <c r="F696">
        <v>8128.5</v>
      </c>
      <c r="G696">
        <v>8449.75</v>
      </c>
      <c r="H696">
        <v>0</v>
      </c>
      <c r="I696" s="8">
        <f t="shared" si="41"/>
        <v>4.2921500863984274E-2</v>
      </c>
      <c r="J696" s="8">
        <f t="shared" si="42"/>
        <v>4.2025910352098787E-2</v>
      </c>
      <c r="K696" s="8">
        <f t="shared" si="39"/>
        <v>0.20529059774197456</v>
      </c>
    </row>
    <row r="697" spans="1:11" x14ac:dyDescent="0.25">
      <c r="A697" t="str">
        <f t="shared" si="40"/>
        <v>102019</v>
      </c>
      <c r="B697" s="1">
        <v>43768</v>
      </c>
      <c r="C697" t="s">
        <v>448</v>
      </c>
      <c r="D697">
        <v>8501.15</v>
      </c>
      <c r="E697">
        <v>8501.15</v>
      </c>
      <c r="F697">
        <v>8360.75</v>
      </c>
      <c r="G697">
        <v>8428.9</v>
      </c>
      <c r="H697">
        <v>0</v>
      </c>
      <c r="I697" s="8">
        <f t="shared" si="41"/>
        <v>-2.4675286251072404E-3</v>
      </c>
      <c r="J697" s="8">
        <f t="shared" si="42"/>
        <v>-2.470577991163298E-3</v>
      </c>
      <c r="K697" s="8">
        <f t="shared" si="39"/>
        <v>0.17697409760525029</v>
      </c>
    </row>
    <row r="698" spans="1:11" x14ac:dyDescent="0.25">
      <c r="A698" t="str">
        <f t="shared" si="40"/>
        <v>102019</v>
      </c>
      <c r="B698" s="1">
        <v>43769</v>
      </c>
      <c r="C698" t="s">
        <v>449</v>
      </c>
      <c r="D698">
        <v>8457.4500000000007</v>
      </c>
      <c r="E698">
        <v>8499.7000000000007</v>
      </c>
      <c r="F698">
        <v>8427.75</v>
      </c>
      <c r="G698">
        <v>8449.5</v>
      </c>
      <c r="H698">
        <v>0</v>
      </c>
      <c r="I698" s="8">
        <f t="shared" si="41"/>
        <v>2.4439725231051312E-3</v>
      </c>
      <c r="J698" s="8">
        <f t="shared" si="42"/>
        <v>2.440990879307174E-3</v>
      </c>
      <c r="K698" s="8">
        <f t="shared" si="39"/>
        <v>0.22355445501542204</v>
      </c>
    </row>
    <row r="699" spans="1:11" x14ac:dyDescent="0.25">
      <c r="A699" t="str">
        <f t="shared" si="40"/>
        <v>112019</v>
      </c>
      <c r="B699" s="1">
        <v>43770</v>
      </c>
      <c r="C699" s="10">
        <v>43476.645833333336</v>
      </c>
      <c r="D699">
        <v>8461.65</v>
      </c>
      <c r="E699">
        <v>8499.1</v>
      </c>
      <c r="F699">
        <v>8367.2999999999993</v>
      </c>
      <c r="G699">
        <v>8392.9</v>
      </c>
      <c r="H699">
        <v>0</v>
      </c>
      <c r="I699" s="8">
        <f t="shared" si="41"/>
        <v>-6.6986212201906037E-3</v>
      </c>
      <c r="J699" s="8">
        <f t="shared" si="42"/>
        <v>-6.7211576818451265E-3</v>
      </c>
      <c r="K699" s="8">
        <f t="shared" si="39"/>
        <v>0.24086490482350764</v>
      </c>
    </row>
    <row r="700" spans="1:11" x14ac:dyDescent="0.25">
      <c r="A700" t="str">
        <f t="shared" si="40"/>
        <v>112019</v>
      </c>
      <c r="B700" s="1">
        <v>43773</v>
      </c>
      <c r="C700" s="10">
        <v>43566.645833333336</v>
      </c>
      <c r="D700">
        <v>8377.1</v>
      </c>
      <c r="E700">
        <v>8417.7999999999993</v>
      </c>
      <c r="F700">
        <v>8266.65</v>
      </c>
      <c r="G700">
        <v>8280.35</v>
      </c>
      <c r="H700">
        <v>0</v>
      </c>
      <c r="I700" s="8">
        <f t="shared" si="41"/>
        <v>-1.3410144288624859E-2</v>
      </c>
      <c r="J700" s="8">
        <f t="shared" si="42"/>
        <v>-1.3500872303700628E-2</v>
      </c>
      <c r="K700" s="8">
        <f t="shared" si="39"/>
        <v>0.20851911583341254</v>
      </c>
    </row>
    <row r="701" spans="1:11" x14ac:dyDescent="0.25">
      <c r="A701" t="str">
        <f t="shared" si="40"/>
        <v>112019</v>
      </c>
      <c r="B701" s="1">
        <v>43774</v>
      </c>
      <c r="C701" s="10">
        <v>43596.645833333336</v>
      </c>
      <c r="D701">
        <v>8288.75</v>
      </c>
      <c r="E701">
        <v>8381.2000000000007</v>
      </c>
      <c r="F701">
        <v>8227.85</v>
      </c>
      <c r="G701">
        <v>8256.15</v>
      </c>
      <c r="H701">
        <v>0</v>
      </c>
      <c r="I701" s="8">
        <f t="shared" si="41"/>
        <v>-2.9225817749251037E-3</v>
      </c>
      <c r="J701" s="8">
        <f t="shared" si="42"/>
        <v>-2.9268608563847009E-3</v>
      </c>
      <c r="K701" s="8">
        <f t="shared" si="39"/>
        <v>0.20420501451262374</v>
      </c>
    </row>
    <row r="702" spans="1:11" x14ac:dyDescent="0.25">
      <c r="A702" t="str">
        <f t="shared" si="40"/>
        <v>112019</v>
      </c>
      <c r="B702" s="1">
        <v>43775</v>
      </c>
      <c r="C702" s="10">
        <v>43627.645833333336</v>
      </c>
      <c r="D702">
        <v>8273.2999999999993</v>
      </c>
      <c r="E702">
        <v>8304.1</v>
      </c>
      <c r="F702">
        <v>8195.6</v>
      </c>
      <c r="G702">
        <v>8258.85</v>
      </c>
      <c r="H702">
        <v>0</v>
      </c>
      <c r="I702" s="8">
        <f t="shared" si="41"/>
        <v>3.2702894206138033E-4</v>
      </c>
      <c r="J702" s="8">
        <f t="shared" si="42"/>
        <v>3.2697547975240476E-4</v>
      </c>
      <c r="K702" s="8">
        <f t="shared" si="39"/>
        <v>0.19110870740941044</v>
      </c>
    </row>
    <row r="703" spans="1:11" x14ac:dyDescent="0.25">
      <c r="A703" t="str">
        <f t="shared" si="40"/>
        <v>112019</v>
      </c>
      <c r="B703" s="1">
        <v>43776</v>
      </c>
      <c r="C703" s="10">
        <v>43657.645833333336</v>
      </c>
      <c r="D703">
        <v>8273.75</v>
      </c>
      <c r="E703">
        <v>8276.25</v>
      </c>
      <c r="F703">
        <v>8164.9</v>
      </c>
      <c r="G703">
        <v>8239.9</v>
      </c>
      <c r="H703">
        <v>0</v>
      </c>
      <c r="I703" s="8">
        <f t="shared" si="41"/>
        <v>-2.2945083153224077E-3</v>
      </c>
      <c r="J703" s="8">
        <f t="shared" si="42"/>
        <v>-2.2971447331541044E-3</v>
      </c>
      <c r="K703" s="8">
        <f t="shared" si="39"/>
        <v>0.20385413318528456</v>
      </c>
    </row>
    <row r="704" spans="1:11" x14ac:dyDescent="0.25">
      <c r="A704" t="str">
        <f t="shared" si="40"/>
        <v>112019</v>
      </c>
      <c r="B704" s="1">
        <v>43777</v>
      </c>
      <c r="C704" s="10">
        <v>43688.645833333336</v>
      </c>
      <c r="D704">
        <v>8220.2000000000007</v>
      </c>
      <c r="E704">
        <v>8337.2999999999993</v>
      </c>
      <c r="F704">
        <v>8157.4</v>
      </c>
      <c r="G704">
        <v>8169.65</v>
      </c>
      <c r="H704">
        <v>0</v>
      </c>
      <c r="I704" s="8">
        <f t="shared" si="41"/>
        <v>-8.5255889027779919E-3</v>
      </c>
      <c r="J704" s="8">
        <f t="shared" si="42"/>
        <v>-8.56213962842493E-3</v>
      </c>
      <c r="K704" s="8">
        <f t="shared" ref="K704:K767" si="43">+G704/G643-1</f>
        <v>0.17676756764542767</v>
      </c>
    </row>
    <row r="705" spans="1:11" x14ac:dyDescent="0.25">
      <c r="A705" t="str">
        <f t="shared" si="40"/>
        <v>112019</v>
      </c>
      <c r="B705" s="1">
        <v>43780</v>
      </c>
      <c r="C705" s="10">
        <v>43780.645833333336</v>
      </c>
      <c r="D705">
        <v>8134.1</v>
      </c>
      <c r="E705">
        <v>8209.2999999999993</v>
      </c>
      <c r="F705">
        <v>8115.95</v>
      </c>
      <c r="G705">
        <v>8159</v>
      </c>
      <c r="H705">
        <v>0</v>
      </c>
      <c r="I705" s="8">
        <f t="shared" si="41"/>
        <v>-1.3036054176126521E-3</v>
      </c>
      <c r="J705" s="8">
        <f t="shared" si="42"/>
        <v>-1.3044558503212029E-3</v>
      </c>
      <c r="K705" s="8">
        <f t="shared" si="43"/>
        <v>0.20116008597591484</v>
      </c>
    </row>
    <row r="706" spans="1:11" x14ac:dyDescent="0.25">
      <c r="A706" t="str">
        <f t="shared" si="40"/>
        <v>112019</v>
      </c>
      <c r="B706" s="1">
        <v>43782</v>
      </c>
      <c r="C706" t="s">
        <v>450</v>
      </c>
      <c r="D706">
        <v>8146.55</v>
      </c>
      <c r="E706">
        <v>8211.65</v>
      </c>
      <c r="F706">
        <v>8135.1</v>
      </c>
      <c r="G706">
        <v>8150.2</v>
      </c>
      <c r="H706">
        <v>0</v>
      </c>
      <c r="I706" s="8">
        <f t="shared" si="41"/>
        <v>-1.0785635494545698E-3</v>
      </c>
      <c r="J706" s="8">
        <f t="shared" si="42"/>
        <v>-1.0791456176890359E-3</v>
      </c>
      <c r="K706" s="8">
        <f t="shared" si="43"/>
        <v>0.1645721552629511</v>
      </c>
    </row>
    <row r="707" spans="1:11" x14ac:dyDescent="0.25">
      <c r="A707" t="str">
        <f t="shared" ref="A707:A770" si="44">+MONTH(B707)&amp;YEAR(B707)</f>
        <v>112019</v>
      </c>
      <c r="B707" s="1">
        <v>43783</v>
      </c>
      <c r="C707" t="s">
        <v>451</v>
      </c>
      <c r="D707">
        <v>8155.95</v>
      </c>
      <c r="E707">
        <v>8205.0499999999993</v>
      </c>
      <c r="F707">
        <v>8125</v>
      </c>
      <c r="G707">
        <v>8190.9</v>
      </c>
      <c r="H707">
        <v>0</v>
      </c>
      <c r="I707" s="8">
        <f t="shared" si="41"/>
        <v>4.9937424848469636E-3</v>
      </c>
      <c r="J707" s="8">
        <f t="shared" si="42"/>
        <v>4.9813151084182172E-3</v>
      </c>
      <c r="K707" s="8">
        <f t="shared" si="43"/>
        <v>0.14760276851514553</v>
      </c>
    </row>
    <row r="708" spans="1:11" x14ac:dyDescent="0.25">
      <c r="A708" t="str">
        <f t="shared" si="44"/>
        <v>112019</v>
      </c>
      <c r="B708" s="1">
        <v>43784</v>
      </c>
      <c r="C708" t="s">
        <v>452</v>
      </c>
      <c r="D708">
        <v>8259.75</v>
      </c>
      <c r="E708">
        <v>8297.15</v>
      </c>
      <c r="F708">
        <v>8130.2</v>
      </c>
      <c r="G708">
        <v>8153.9</v>
      </c>
      <c r="H708">
        <v>0</v>
      </c>
      <c r="I708" s="8">
        <f t="shared" ref="I708:I771" si="45">+G708/G707-1</f>
        <v>-4.5172081212077053E-3</v>
      </c>
      <c r="J708" s="8">
        <f t="shared" ref="J708:J771" si="46">+LN(1+I708)</f>
        <v>-4.5274415350818695E-3</v>
      </c>
      <c r="K708" s="8">
        <f t="shared" si="43"/>
        <v>0.189352003792437</v>
      </c>
    </row>
    <row r="709" spans="1:11" x14ac:dyDescent="0.25">
      <c r="A709" t="str">
        <f t="shared" si="44"/>
        <v>112019</v>
      </c>
      <c r="B709" s="1">
        <v>43787</v>
      </c>
      <c r="C709" t="s">
        <v>453</v>
      </c>
      <c r="D709">
        <v>8179.15</v>
      </c>
      <c r="E709">
        <v>8188.85</v>
      </c>
      <c r="F709">
        <v>8105.75</v>
      </c>
      <c r="G709">
        <v>8119</v>
      </c>
      <c r="H709">
        <v>0</v>
      </c>
      <c r="I709" s="8">
        <f t="shared" si="45"/>
        <v>-4.2801604140350058E-3</v>
      </c>
      <c r="J709" s="8">
        <f t="shared" si="46"/>
        <v>-4.2893465220010946E-3</v>
      </c>
      <c r="K709" s="8">
        <f t="shared" si="43"/>
        <v>0.17342698780901999</v>
      </c>
    </row>
    <row r="710" spans="1:11" x14ac:dyDescent="0.25">
      <c r="A710" t="str">
        <f t="shared" si="44"/>
        <v>112019</v>
      </c>
      <c r="B710" s="1">
        <v>43788</v>
      </c>
      <c r="C710" t="s">
        <v>454</v>
      </c>
      <c r="D710">
        <v>8150.9</v>
      </c>
      <c r="E710">
        <v>8152.8</v>
      </c>
      <c r="F710">
        <v>8052.05</v>
      </c>
      <c r="G710">
        <v>8063.95</v>
      </c>
      <c r="H710">
        <v>0</v>
      </c>
      <c r="I710" s="8">
        <f t="shared" si="45"/>
        <v>-6.7803916738514713E-3</v>
      </c>
      <c r="J710" s="8">
        <f t="shared" si="46"/>
        <v>-6.803482967344553E-3</v>
      </c>
      <c r="K710" s="8">
        <f t="shared" si="43"/>
        <v>0.15224799777093501</v>
      </c>
    </row>
    <row r="711" spans="1:11" x14ac:dyDescent="0.25">
      <c r="A711" t="str">
        <f t="shared" si="44"/>
        <v>112019</v>
      </c>
      <c r="B711" s="1">
        <v>43789</v>
      </c>
      <c r="C711" t="s">
        <v>455</v>
      </c>
      <c r="D711">
        <v>8088.05</v>
      </c>
      <c r="E711">
        <v>8132.6</v>
      </c>
      <c r="F711">
        <v>8039.8</v>
      </c>
      <c r="G711">
        <v>8083.8</v>
      </c>
      <c r="H711">
        <v>0</v>
      </c>
      <c r="I711" s="8">
        <f t="shared" si="45"/>
        <v>2.4615728024108829E-3</v>
      </c>
      <c r="J711" s="8">
        <f t="shared" si="46"/>
        <v>2.4585480947552927E-3</v>
      </c>
      <c r="K711" s="8">
        <f t="shared" si="43"/>
        <v>0.16160738021166376</v>
      </c>
    </row>
    <row r="712" spans="1:11" x14ac:dyDescent="0.25">
      <c r="A712" t="str">
        <f t="shared" si="44"/>
        <v>112019</v>
      </c>
      <c r="B712" s="1">
        <v>43790</v>
      </c>
      <c r="C712" t="s">
        <v>456</v>
      </c>
      <c r="D712">
        <v>8082.4</v>
      </c>
      <c r="E712">
        <v>8121.05</v>
      </c>
      <c r="F712">
        <v>7998.75</v>
      </c>
      <c r="G712">
        <v>8004.65</v>
      </c>
      <c r="H712">
        <v>0</v>
      </c>
      <c r="I712" s="8">
        <f t="shared" si="45"/>
        <v>-9.7911873128975202E-3</v>
      </c>
      <c r="J712" s="8">
        <f t="shared" si="46"/>
        <v>-9.8394361882352295E-3</v>
      </c>
      <c r="K712" s="8">
        <f t="shared" si="43"/>
        <v>0.13694339890632756</v>
      </c>
    </row>
    <row r="713" spans="1:11" x14ac:dyDescent="0.25">
      <c r="A713" t="str">
        <f t="shared" si="44"/>
        <v>112019</v>
      </c>
      <c r="B713" s="1">
        <v>43791</v>
      </c>
      <c r="C713" t="s">
        <v>457</v>
      </c>
      <c r="D713">
        <v>8015.5</v>
      </c>
      <c r="E713">
        <v>8047.15</v>
      </c>
      <c r="F713">
        <v>7973.35</v>
      </c>
      <c r="G713">
        <v>8034.95</v>
      </c>
      <c r="H713">
        <v>0</v>
      </c>
      <c r="I713" s="8">
        <f t="shared" si="45"/>
        <v>3.7852997944944899E-3</v>
      </c>
      <c r="J713" s="8">
        <f t="shared" si="46"/>
        <v>3.7781535752716964E-3</v>
      </c>
      <c r="K713" s="8">
        <f t="shared" si="43"/>
        <v>0.14754671979548251</v>
      </c>
    </row>
    <row r="714" spans="1:11" x14ac:dyDescent="0.25">
      <c r="A714" t="str">
        <f t="shared" si="44"/>
        <v>112019</v>
      </c>
      <c r="B714" s="1">
        <v>43794</v>
      </c>
      <c r="C714" t="s">
        <v>458</v>
      </c>
      <c r="D714">
        <v>8045</v>
      </c>
      <c r="E714">
        <v>8189.6</v>
      </c>
      <c r="F714">
        <v>8024.1</v>
      </c>
      <c r="G714">
        <v>8174.75</v>
      </c>
      <c r="H714">
        <v>0</v>
      </c>
      <c r="I714" s="8">
        <f t="shared" si="45"/>
        <v>1.7398988170430396E-2</v>
      </c>
      <c r="J714" s="8">
        <f t="shared" si="46"/>
        <v>1.7249358881195619E-2</v>
      </c>
      <c r="K714" s="8">
        <f t="shared" si="43"/>
        <v>0.18782784324552093</v>
      </c>
    </row>
    <row r="715" spans="1:11" x14ac:dyDescent="0.25">
      <c r="A715" t="str">
        <f t="shared" si="44"/>
        <v>112019</v>
      </c>
      <c r="B715" s="1">
        <v>43795</v>
      </c>
      <c r="C715" t="s">
        <v>459</v>
      </c>
      <c r="D715">
        <v>8197.35</v>
      </c>
      <c r="E715">
        <v>8227</v>
      </c>
      <c r="F715">
        <v>8085.5</v>
      </c>
      <c r="G715">
        <v>8099.9</v>
      </c>
      <c r="H715">
        <v>0</v>
      </c>
      <c r="I715" s="8">
        <f t="shared" si="45"/>
        <v>-9.1562433101930463E-3</v>
      </c>
      <c r="J715" s="8">
        <f t="shared" si="46"/>
        <v>-9.1984193527800684E-3</v>
      </c>
      <c r="K715" s="8">
        <f t="shared" si="43"/>
        <v>0.15905757439166601</v>
      </c>
    </row>
    <row r="716" spans="1:11" x14ac:dyDescent="0.25">
      <c r="A716" t="str">
        <f t="shared" si="44"/>
        <v>112019</v>
      </c>
      <c r="B716" s="1">
        <v>43796</v>
      </c>
      <c r="C716" t="s">
        <v>460</v>
      </c>
      <c r="D716">
        <v>8160.6</v>
      </c>
      <c r="E716">
        <v>8247.65</v>
      </c>
      <c r="F716">
        <v>8157.1</v>
      </c>
      <c r="G716">
        <v>8202.85</v>
      </c>
      <c r="H716">
        <v>0</v>
      </c>
      <c r="I716" s="8">
        <f t="shared" si="45"/>
        <v>1.2710033457203229E-2</v>
      </c>
      <c r="J716" s="8">
        <f t="shared" si="46"/>
        <v>1.2629938937320458E-2</v>
      </c>
      <c r="K716" s="8">
        <f t="shared" si="43"/>
        <v>0.16803958563240906</v>
      </c>
    </row>
    <row r="717" spans="1:11" x14ac:dyDescent="0.25">
      <c r="A717" t="str">
        <f t="shared" si="44"/>
        <v>112019</v>
      </c>
      <c r="B717" s="1">
        <v>43797</v>
      </c>
      <c r="C717" t="s">
        <v>461</v>
      </c>
      <c r="D717">
        <v>8213.9500000000007</v>
      </c>
      <c r="E717">
        <v>8223.15</v>
      </c>
      <c r="F717">
        <v>8150.2</v>
      </c>
      <c r="G717">
        <v>8179.75</v>
      </c>
      <c r="H717">
        <v>0</v>
      </c>
      <c r="I717" s="8">
        <f t="shared" si="45"/>
        <v>-2.8160944062125548E-3</v>
      </c>
      <c r="J717" s="8">
        <f t="shared" si="46"/>
        <v>-2.820067060063324E-3</v>
      </c>
      <c r="K717" s="8">
        <f t="shared" si="43"/>
        <v>0.14354916502981285</v>
      </c>
    </row>
    <row r="718" spans="1:11" x14ac:dyDescent="0.25">
      <c r="A718" t="str">
        <f t="shared" si="44"/>
        <v>112019</v>
      </c>
      <c r="B718" s="1">
        <v>43798</v>
      </c>
      <c r="C718" t="s">
        <v>462</v>
      </c>
      <c r="D718">
        <v>8172.8</v>
      </c>
      <c r="E718">
        <v>8182.45</v>
      </c>
      <c r="F718">
        <v>8066.95</v>
      </c>
      <c r="G718">
        <v>8086</v>
      </c>
      <c r="H718">
        <v>0</v>
      </c>
      <c r="I718" s="8">
        <f t="shared" si="45"/>
        <v>-1.1461230477704087E-2</v>
      </c>
      <c r="J718" s="8">
        <f t="shared" si="46"/>
        <v>-1.1527416581850247E-2</v>
      </c>
      <c r="K718" s="8">
        <f t="shared" si="43"/>
        <v>0.15208981912218333</v>
      </c>
    </row>
    <row r="719" spans="1:11" x14ac:dyDescent="0.25">
      <c r="A719" t="str">
        <f t="shared" si="44"/>
        <v>122019</v>
      </c>
      <c r="B719" s="1">
        <v>43801</v>
      </c>
      <c r="C719" s="10">
        <v>43508.645833333336</v>
      </c>
      <c r="D719">
        <v>8070.7</v>
      </c>
      <c r="E719">
        <v>8087.35</v>
      </c>
      <c r="F719">
        <v>7995.15</v>
      </c>
      <c r="G719">
        <v>8008.6</v>
      </c>
      <c r="H719">
        <v>0</v>
      </c>
      <c r="I719" s="8">
        <f t="shared" si="45"/>
        <v>-9.5720999257976613E-3</v>
      </c>
      <c r="J719" s="8">
        <f t="shared" si="46"/>
        <v>-9.6182069374778079E-3</v>
      </c>
      <c r="K719" s="8">
        <f t="shared" si="43"/>
        <v>0.14898531595446318</v>
      </c>
    </row>
    <row r="720" spans="1:11" x14ac:dyDescent="0.25">
      <c r="A720" t="str">
        <f t="shared" si="44"/>
        <v>122019</v>
      </c>
      <c r="B720" s="1">
        <v>43802</v>
      </c>
      <c r="C720" s="10">
        <v>43536.645833333336</v>
      </c>
      <c r="D720">
        <v>8021.65</v>
      </c>
      <c r="E720">
        <v>8055.25</v>
      </c>
      <c r="F720">
        <v>7931.75</v>
      </c>
      <c r="G720">
        <v>7964.25</v>
      </c>
      <c r="H720">
        <v>0</v>
      </c>
      <c r="I720" s="8">
        <f t="shared" si="45"/>
        <v>-5.5377968683665291E-3</v>
      </c>
      <c r="J720" s="8">
        <f t="shared" si="46"/>
        <v>-5.5531873111737554E-3</v>
      </c>
      <c r="K720" s="8">
        <f t="shared" si="43"/>
        <v>0.13624042343743303</v>
      </c>
    </row>
    <row r="721" spans="1:11" x14ac:dyDescent="0.25">
      <c r="A721" t="str">
        <f t="shared" si="44"/>
        <v>122019</v>
      </c>
      <c r="B721" s="1">
        <v>43803</v>
      </c>
      <c r="C721" s="10">
        <v>43567.645833333336</v>
      </c>
      <c r="D721">
        <v>7946.65</v>
      </c>
      <c r="E721">
        <v>8043.9</v>
      </c>
      <c r="F721">
        <v>7916.95</v>
      </c>
      <c r="G721">
        <v>7996.55</v>
      </c>
      <c r="H721">
        <v>0</v>
      </c>
      <c r="I721" s="8">
        <f t="shared" si="45"/>
        <v>4.0556235678186336E-3</v>
      </c>
      <c r="J721" s="8">
        <f t="shared" si="46"/>
        <v>4.047421694884268E-3</v>
      </c>
      <c r="K721" s="8">
        <f t="shared" si="43"/>
        <v>0.15929832191656712</v>
      </c>
    </row>
    <row r="722" spans="1:11" x14ac:dyDescent="0.25">
      <c r="A722" t="str">
        <f t="shared" si="44"/>
        <v>122019</v>
      </c>
      <c r="B722" s="1">
        <v>43804</v>
      </c>
      <c r="C722" s="10">
        <v>43597.645833333336</v>
      </c>
      <c r="D722">
        <v>8015.3</v>
      </c>
      <c r="E722">
        <v>8045.5</v>
      </c>
      <c r="F722">
        <v>7928.15</v>
      </c>
      <c r="G722">
        <v>7941.8</v>
      </c>
      <c r="H722">
        <v>0</v>
      </c>
      <c r="I722" s="8">
        <f t="shared" si="45"/>
        <v>-6.8467026405136799E-3</v>
      </c>
      <c r="J722" s="8">
        <f t="shared" si="46"/>
        <v>-6.8702488464974934E-3</v>
      </c>
      <c r="K722" s="8">
        <f t="shared" si="43"/>
        <v>0.17100286786443619</v>
      </c>
    </row>
    <row r="723" spans="1:11" x14ac:dyDescent="0.25">
      <c r="A723" t="str">
        <f t="shared" si="44"/>
        <v>122019</v>
      </c>
      <c r="B723" s="1">
        <v>43805</v>
      </c>
      <c r="C723" s="10">
        <v>43628.645833333336</v>
      </c>
      <c r="D723">
        <v>7964.2</v>
      </c>
      <c r="E723">
        <v>7971.8</v>
      </c>
      <c r="F723">
        <v>7781.05</v>
      </c>
      <c r="G723">
        <v>7806.6</v>
      </c>
      <c r="H723">
        <v>0</v>
      </c>
      <c r="I723" s="8">
        <f t="shared" si="45"/>
        <v>-1.7023848497821681E-2</v>
      </c>
      <c r="J723" s="8">
        <f t="shared" si="46"/>
        <v>-1.71704200629662E-2</v>
      </c>
      <c r="K723" s="8">
        <f t="shared" si="43"/>
        <v>0.1278361685989815</v>
      </c>
    </row>
    <row r="724" spans="1:11" x14ac:dyDescent="0.25">
      <c r="A724" t="str">
        <f t="shared" si="44"/>
        <v>122019</v>
      </c>
      <c r="B724" s="1">
        <v>43808</v>
      </c>
      <c r="C724" s="10">
        <v>43720.645833333336</v>
      </c>
      <c r="D724">
        <v>7853.75</v>
      </c>
      <c r="E724">
        <v>7950.55</v>
      </c>
      <c r="F724">
        <v>7826.3</v>
      </c>
      <c r="G724">
        <v>7863.3</v>
      </c>
      <c r="H724">
        <v>0</v>
      </c>
      <c r="I724" s="8">
        <f t="shared" si="45"/>
        <v>7.263085081853804E-3</v>
      </c>
      <c r="J724" s="8">
        <f t="shared" si="46"/>
        <v>7.2368359027830441E-3</v>
      </c>
      <c r="K724" s="8">
        <f t="shared" si="43"/>
        <v>0.10712500615984633</v>
      </c>
    </row>
    <row r="725" spans="1:11" x14ac:dyDescent="0.25">
      <c r="A725" t="str">
        <f t="shared" si="44"/>
        <v>122019</v>
      </c>
      <c r="B725" s="1">
        <v>43809</v>
      </c>
      <c r="C725" s="10">
        <v>43750.645833333336</v>
      </c>
      <c r="D725">
        <v>7888.7</v>
      </c>
      <c r="E725">
        <v>7902.8</v>
      </c>
      <c r="F725">
        <v>7778.5</v>
      </c>
      <c r="G725">
        <v>7801.35</v>
      </c>
      <c r="H725">
        <v>0</v>
      </c>
      <c r="I725" s="8">
        <f t="shared" si="45"/>
        <v>-7.8783716760139066E-3</v>
      </c>
      <c r="J725" s="8">
        <f t="shared" si="46"/>
        <v>-7.9095700155909585E-3</v>
      </c>
      <c r="K725" s="8">
        <f t="shared" si="43"/>
        <v>8.87604932068915E-2</v>
      </c>
    </row>
    <row r="726" spans="1:11" x14ac:dyDescent="0.25">
      <c r="A726" t="str">
        <f t="shared" si="44"/>
        <v>122019</v>
      </c>
      <c r="B726" s="1">
        <v>43810</v>
      </c>
      <c r="C726" s="10">
        <v>43781.645833333336</v>
      </c>
      <c r="D726">
        <v>7823.3</v>
      </c>
      <c r="E726">
        <v>7846.65</v>
      </c>
      <c r="F726">
        <v>7773.6</v>
      </c>
      <c r="G726">
        <v>7838.4</v>
      </c>
      <c r="H726">
        <v>0</v>
      </c>
      <c r="I726" s="8">
        <f t="shared" si="45"/>
        <v>4.7491780268797967E-3</v>
      </c>
      <c r="J726" s="8">
        <f t="shared" si="46"/>
        <v>4.7379362596328299E-3</v>
      </c>
      <c r="K726" s="8">
        <f t="shared" si="43"/>
        <v>5.5875855380138839E-2</v>
      </c>
    </row>
    <row r="727" spans="1:11" x14ac:dyDescent="0.25">
      <c r="A727" t="str">
        <f t="shared" si="44"/>
        <v>122019</v>
      </c>
      <c r="B727" s="1">
        <v>43811</v>
      </c>
      <c r="C727" s="10">
        <v>43811.645833333336</v>
      </c>
      <c r="D727">
        <v>7878.4</v>
      </c>
      <c r="E727">
        <v>7967.25</v>
      </c>
      <c r="F727">
        <v>7866.05</v>
      </c>
      <c r="G727">
        <v>7941.7</v>
      </c>
      <c r="H727">
        <v>0</v>
      </c>
      <c r="I727" s="8">
        <f t="shared" si="45"/>
        <v>1.3178709940804278E-2</v>
      </c>
      <c r="J727" s="8">
        <f t="shared" si="46"/>
        <v>1.3092626232947673E-2</v>
      </c>
      <c r="K727" s="8">
        <f t="shared" si="43"/>
        <v>9.0293794618341527E-2</v>
      </c>
    </row>
    <row r="728" spans="1:11" x14ac:dyDescent="0.25">
      <c r="A728" t="str">
        <f t="shared" si="44"/>
        <v>122019</v>
      </c>
      <c r="B728" s="1">
        <v>43812</v>
      </c>
      <c r="C728" t="s">
        <v>463</v>
      </c>
      <c r="D728">
        <v>7989.55</v>
      </c>
      <c r="E728">
        <v>8090.75</v>
      </c>
      <c r="F728">
        <v>7986.65</v>
      </c>
      <c r="G728">
        <v>8069.7</v>
      </c>
      <c r="H728">
        <v>0</v>
      </c>
      <c r="I728" s="8">
        <f t="shared" si="45"/>
        <v>1.6117455960310778E-2</v>
      </c>
      <c r="J728" s="8">
        <f t="shared" si="46"/>
        <v>1.5988948734549834E-2</v>
      </c>
      <c r="K728" s="8">
        <f t="shared" si="43"/>
        <v>9.6337255115072074E-2</v>
      </c>
    </row>
    <row r="729" spans="1:11" x14ac:dyDescent="0.25">
      <c r="A729" t="str">
        <f t="shared" si="44"/>
        <v>122019</v>
      </c>
      <c r="B729" s="1">
        <v>43815</v>
      </c>
      <c r="C729" t="s">
        <v>464</v>
      </c>
      <c r="D729">
        <v>8087.75</v>
      </c>
      <c r="E729">
        <v>8109.05</v>
      </c>
      <c r="F729">
        <v>7981.95</v>
      </c>
      <c r="G729">
        <v>7990.8</v>
      </c>
      <c r="H729">
        <v>0</v>
      </c>
      <c r="I729" s="8">
        <f t="shared" si="45"/>
        <v>-9.7773151418267812E-3</v>
      </c>
      <c r="J729" s="8">
        <f t="shared" si="46"/>
        <v>-9.8254269472307712E-3</v>
      </c>
      <c r="K729" s="8">
        <f t="shared" si="43"/>
        <v>9.453267859711123E-2</v>
      </c>
    </row>
    <row r="730" spans="1:11" x14ac:dyDescent="0.25">
      <c r="A730" t="str">
        <f t="shared" si="44"/>
        <v>122019</v>
      </c>
      <c r="B730" s="1">
        <v>43816</v>
      </c>
      <c r="C730" t="s">
        <v>465</v>
      </c>
      <c r="D730">
        <v>8028.1</v>
      </c>
      <c r="E730">
        <v>8068.1</v>
      </c>
      <c r="F730">
        <v>8013.85</v>
      </c>
      <c r="G730">
        <v>8039.9</v>
      </c>
      <c r="H730">
        <v>0</v>
      </c>
      <c r="I730" s="8">
        <f t="shared" si="45"/>
        <v>6.1445662511887544E-3</v>
      </c>
      <c r="J730" s="8">
        <f t="shared" si="46"/>
        <v>6.1257653801394633E-3</v>
      </c>
      <c r="K730" s="8">
        <f t="shared" si="43"/>
        <v>0.14516255385820598</v>
      </c>
    </row>
    <row r="731" spans="1:11" x14ac:dyDescent="0.25">
      <c r="A731" t="str">
        <f t="shared" si="44"/>
        <v>122019</v>
      </c>
      <c r="B731" s="1">
        <v>43817</v>
      </c>
      <c r="C731" t="s">
        <v>466</v>
      </c>
      <c r="D731">
        <v>8061</v>
      </c>
      <c r="E731">
        <v>8111.95</v>
      </c>
      <c r="F731">
        <v>8039.25</v>
      </c>
      <c r="G731">
        <v>8082.35</v>
      </c>
      <c r="H731">
        <v>0</v>
      </c>
      <c r="I731" s="8">
        <f t="shared" si="45"/>
        <v>5.2799164168708668E-3</v>
      </c>
      <c r="J731" s="8">
        <f t="shared" si="46"/>
        <v>5.2660265283682442E-3</v>
      </c>
      <c r="K731" s="8">
        <f t="shared" si="43"/>
        <v>0.15262902696767022</v>
      </c>
    </row>
    <row r="732" spans="1:11" x14ac:dyDescent="0.25">
      <c r="A732" t="str">
        <f t="shared" si="44"/>
        <v>122019</v>
      </c>
      <c r="B732" s="1">
        <v>43818</v>
      </c>
      <c r="C732" t="s">
        <v>467</v>
      </c>
      <c r="D732">
        <v>8082.2</v>
      </c>
      <c r="E732">
        <v>8183.55</v>
      </c>
      <c r="F732">
        <v>8058.4</v>
      </c>
      <c r="G732">
        <v>8165.5</v>
      </c>
      <c r="H732">
        <v>0</v>
      </c>
      <c r="I732" s="8">
        <f t="shared" si="45"/>
        <v>1.0287849449726938E-2</v>
      </c>
      <c r="J732" s="8">
        <f t="shared" si="46"/>
        <v>1.0235289703713226E-2</v>
      </c>
      <c r="K732" s="8">
        <f t="shared" si="43"/>
        <v>0.17988324711730197</v>
      </c>
    </row>
    <row r="733" spans="1:11" x14ac:dyDescent="0.25">
      <c r="A733" t="str">
        <f t="shared" si="44"/>
        <v>122019</v>
      </c>
      <c r="B733" s="1">
        <v>43819</v>
      </c>
      <c r="C733" t="s">
        <v>468</v>
      </c>
      <c r="D733">
        <v>8169.9</v>
      </c>
      <c r="E733">
        <v>8219.6</v>
      </c>
      <c r="F733">
        <v>8121.2</v>
      </c>
      <c r="G733">
        <v>8133.55</v>
      </c>
      <c r="H733">
        <v>0</v>
      </c>
      <c r="I733" s="8">
        <f t="shared" si="45"/>
        <v>-3.9128038699405288E-3</v>
      </c>
      <c r="J733" s="8">
        <f t="shared" si="46"/>
        <v>-3.9204789141730799E-3</v>
      </c>
      <c r="K733" s="8">
        <f t="shared" si="43"/>
        <v>6.9380805564138059E-2</v>
      </c>
    </row>
    <row r="734" spans="1:11" x14ac:dyDescent="0.25">
      <c r="A734" t="str">
        <f t="shared" si="44"/>
        <v>122019</v>
      </c>
      <c r="B734" s="1">
        <v>43822</v>
      </c>
      <c r="C734" t="s">
        <v>469</v>
      </c>
      <c r="D734">
        <v>8137.85</v>
      </c>
      <c r="E734">
        <v>8212.4500000000007</v>
      </c>
      <c r="F734">
        <v>8120.75</v>
      </c>
      <c r="G734">
        <v>8180.5</v>
      </c>
      <c r="H734">
        <v>0</v>
      </c>
      <c r="I734" s="8">
        <f t="shared" si="45"/>
        <v>5.772387210996488E-3</v>
      </c>
      <c r="J734" s="8">
        <f t="shared" si="46"/>
        <v>5.7557908205065076E-3</v>
      </c>
      <c r="K734" s="8">
        <f t="shared" si="43"/>
        <v>4.8425855318385391E-2</v>
      </c>
    </row>
    <row r="735" spans="1:11" x14ac:dyDescent="0.25">
      <c r="A735" t="str">
        <f t="shared" si="44"/>
        <v>122019</v>
      </c>
      <c r="B735" s="1">
        <v>43823</v>
      </c>
      <c r="C735" t="s">
        <v>470</v>
      </c>
      <c r="D735">
        <v>8206.1</v>
      </c>
      <c r="E735">
        <v>8228.4500000000007</v>
      </c>
      <c r="F735">
        <v>8142.6</v>
      </c>
      <c r="G735">
        <v>8152.6</v>
      </c>
      <c r="H735">
        <v>0</v>
      </c>
      <c r="I735" s="8">
        <f t="shared" si="45"/>
        <v>-3.410549477415814E-3</v>
      </c>
      <c r="J735" s="8">
        <f t="shared" si="46"/>
        <v>-3.4163786588663624E-3</v>
      </c>
      <c r="K735" s="8">
        <f t="shared" si="43"/>
        <v>4.8801981153314244E-2</v>
      </c>
    </row>
    <row r="736" spans="1:11" x14ac:dyDescent="0.25">
      <c r="A736" t="str">
        <f t="shared" si="44"/>
        <v>122019</v>
      </c>
      <c r="B736" s="1">
        <v>43825</v>
      </c>
      <c r="C736" t="s">
        <v>471</v>
      </c>
      <c r="D736">
        <v>8166.35</v>
      </c>
      <c r="E736">
        <v>8176.3</v>
      </c>
      <c r="F736">
        <v>8120.45</v>
      </c>
      <c r="G736">
        <v>8129.65</v>
      </c>
      <c r="H736">
        <v>0</v>
      </c>
      <c r="I736" s="8">
        <f t="shared" si="45"/>
        <v>-2.8150528665702446E-3</v>
      </c>
      <c r="J736" s="8">
        <f t="shared" si="46"/>
        <v>-2.8190225796093839E-3</v>
      </c>
      <c r="K736" s="8">
        <f t="shared" si="43"/>
        <v>8.8241002884698938E-2</v>
      </c>
    </row>
    <row r="737" spans="1:11" x14ac:dyDescent="0.25">
      <c r="A737" t="str">
        <f t="shared" si="44"/>
        <v>122019</v>
      </c>
      <c r="B737" s="1">
        <v>43826</v>
      </c>
      <c r="C737" t="s">
        <v>472</v>
      </c>
      <c r="D737">
        <v>8155.4</v>
      </c>
      <c r="E737">
        <v>8226.25</v>
      </c>
      <c r="F737">
        <v>8145.4</v>
      </c>
      <c r="G737">
        <v>8205.9</v>
      </c>
      <c r="H737">
        <v>0</v>
      </c>
      <c r="I737" s="8">
        <f t="shared" si="45"/>
        <v>9.379247569083482E-3</v>
      </c>
      <c r="J737" s="8">
        <f t="shared" si="46"/>
        <v>9.3355355380076496E-3</v>
      </c>
      <c r="K737" s="8">
        <f t="shared" si="43"/>
        <v>7.1301282678938538E-2</v>
      </c>
    </row>
    <row r="738" spans="1:11" x14ac:dyDescent="0.25">
      <c r="A738" t="str">
        <f t="shared" si="44"/>
        <v>122019</v>
      </c>
      <c r="B738" s="1">
        <v>43829</v>
      </c>
      <c r="C738" t="s">
        <v>473</v>
      </c>
      <c r="D738">
        <v>8232.0499999999993</v>
      </c>
      <c r="E738">
        <v>8337.9</v>
      </c>
      <c r="F738">
        <v>8218.7999999999993</v>
      </c>
      <c r="G738">
        <v>8325.4</v>
      </c>
      <c r="H738">
        <v>0</v>
      </c>
      <c r="I738" s="8">
        <f t="shared" si="45"/>
        <v>1.4562692696718171E-2</v>
      </c>
      <c r="J738" s="8">
        <f t="shared" si="46"/>
        <v>1.4457675019758797E-2</v>
      </c>
      <c r="K738" s="8">
        <f t="shared" si="43"/>
        <v>0.10208160968990954</v>
      </c>
    </row>
    <row r="739" spans="1:11" x14ac:dyDescent="0.25">
      <c r="A739" t="str">
        <f t="shared" si="44"/>
        <v>122019</v>
      </c>
      <c r="B739" s="1">
        <v>43830</v>
      </c>
      <c r="C739" t="s">
        <v>474</v>
      </c>
      <c r="D739">
        <v>8326.4500000000007</v>
      </c>
      <c r="E739">
        <v>8327.6</v>
      </c>
      <c r="F739">
        <v>8236.85</v>
      </c>
      <c r="G739">
        <v>8248.2999999999993</v>
      </c>
      <c r="H739">
        <v>0</v>
      </c>
      <c r="I739" s="8">
        <f t="shared" si="45"/>
        <v>-9.2608162971149488E-3</v>
      </c>
      <c r="J739" s="8">
        <f t="shared" si="46"/>
        <v>-9.3039642531598174E-3</v>
      </c>
      <c r="K739" s="8">
        <f t="shared" si="43"/>
        <v>0.10077871122291682</v>
      </c>
    </row>
    <row r="740" spans="1:11" x14ac:dyDescent="0.25">
      <c r="A740" t="str">
        <f t="shared" si="44"/>
        <v>12020</v>
      </c>
      <c r="B740" s="1">
        <v>43831</v>
      </c>
      <c r="C740" s="10">
        <v>43831.645833333336</v>
      </c>
      <c r="D740">
        <v>8262.5</v>
      </c>
      <c r="E740">
        <v>8276.7999999999993</v>
      </c>
      <c r="F740">
        <v>8200.25</v>
      </c>
      <c r="G740">
        <v>8210.1</v>
      </c>
      <c r="H740">
        <v>0</v>
      </c>
      <c r="I740" s="8">
        <f t="shared" si="45"/>
        <v>-4.6312573499992515E-3</v>
      </c>
      <c r="J740" s="8">
        <f t="shared" si="46"/>
        <v>-4.6420148490013335E-3</v>
      </c>
      <c r="K740" s="8">
        <f t="shared" si="43"/>
        <v>9.9945070403665515E-2</v>
      </c>
    </row>
    <row r="741" spans="1:11" x14ac:dyDescent="0.25">
      <c r="A741" t="str">
        <f t="shared" si="44"/>
        <v>12020</v>
      </c>
      <c r="B741" s="1">
        <v>43832</v>
      </c>
      <c r="C741" s="10">
        <v>43862.645833333336</v>
      </c>
      <c r="D741">
        <v>8226.6</v>
      </c>
      <c r="E741">
        <v>8275.0499999999993</v>
      </c>
      <c r="F741">
        <v>8206.85</v>
      </c>
      <c r="G741">
        <v>8267.4500000000007</v>
      </c>
      <c r="H741">
        <v>0</v>
      </c>
      <c r="I741" s="8">
        <f t="shared" si="45"/>
        <v>6.9852985956322389E-3</v>
      </c>
      <c r="J741" s="8">
        <f t="shared" si="46"/>
        <v>6.9610144199572684E-3</v>
      </c>
      <c r="K741" s="8">
        <f t="shared" si="43"/>
        <v>0.10324603836530444</v>
      </c>
    </row>
    <row r="742" spans="1:11" x14ac:dyDescent="0.25">
      <c r="A742" t="str">
        <f t="shared" si="44"/>
        <v>12020</v>
      </c>
      <c r="B742" s="1">
        <v>43833</v>
      </c>
      <c r="C742" s="10">
        <v>43891.645833333336</v>
      </c>
      <c r="D742">
        <v>8261.5</v>
      </c>
      <c r="E742">
        <v>8261.65</v>
      </c>
      <c r="F742">
        <v>8136.8</v>
      </c>
      <c r="G742">
        <v>8168.15</v>
      </c>
      <c r="H742">
        <v>0</v>
      </c>
      <c r="I742" s="8">
        <f t="shared" si="45"/>
        <v>-1.2010958639000036E-2</v>
      </c>
      <c r="J742" s="8">
        <f t="shared" si="46"/>
        <v>-1.2083673035661617E-2</v>
      </c>
      <c r="K742" s="8">
        <f t="shared" si="43"/>
        <v>0.10307364042728473</v>
      </c>
    </row>
    <row r="743" spans="1:11" x14ac:dyDescent="0.25">
      <c r="A743" t="str">
        <f t="shared" si="44"/>
        <v>12020</v>
      </c>
      <c r="B743" s="1">
        <v>43836</v>
      </c>
      <c r="C743" s="10">
        <v>43983.645833333336</v>
      </c>
      <c r="D743">
        <v>8132.65</v>
      </c>
      <c r="E743">
        <v>8134.5</v>
      </c>
      <c r="F743">
        <v>7967.2</v>
      </c>
      <c r="G743">
        <v>7978.75</v>
      </c>
      <c r="H743">
        <v>0</v>
      </c>
      <c r="I743" s="8">
        <f t="shared" si="45"/>
        <v>-2.3187625104827858E-2</v>
      </c>
      <c r="J743" s="8">
        <f t="shared" si="46"/>
        <v>-2.3460687454289551E-2</v>
      </c>
      <c r="K743" s="8">
        <f t="shared" si="43"/>
        <v>8.4739886750640814E-2</v>
      </c>
    </row>
    <row r="744" spans="1:11" x14ac:dyDescent="0.25">
      <c r="A744" t="str">
        <f t="shared" si="44"/>
        <v>12020</v>
      </c>
      <c r="B744" s="1">
        <v>43837</v>
      </c>
      <c r="C744" s="10">
        <v>44013.645833333336</v>
      </c>
      <c r="D744">
        <v>8029.9</v>
      </c>
      <c r="E744">
        <v>8097.7</v>
      </c>
      <c r="F744">
        <v>7961.2</v>
      </c>
      <c r="G744">
        <v>8002.5</v>
      </c>
      <c r="H744">
        <v>0</v>
      </c>
      <c r="I744" s="8">
        <f t="shared" si="45"/>
        <v>2.9766567444775571E-3</v>
      </c>
      <c r="J744" s="8">
        <f t="shared" si="46"/>
        <v>2.972235273751091E-3</v>
      </c>
      <c r="K744" s="8">
        <f t="shared" si="43"/>
        <v>7.2613343162550636E-2</v>
      </c>
    </row>
    <row r="745" spans="1:11" x14ac:dyDescent="0.25">
      <c r="A745" t="str">
        <f t="shared" si="44"/>
        <v>12020</v>
      </c>
      <c r="B745" s="1">
        <v>43838</v>
      </c>
      <c r="C745" s="10">
        <v>44044.645833333336</v>
      </c>
      <c r="D745">
        <v>7921.65</v>
      </c>
      <c r="E745">
        <v>8002.9</v>
      </c>
      <c r="F745">
        <v>7900.8</v>
      </c>
      <c r="G745">
        <v>7942.75</v>
      </c>
      <c r="H745">
        <v>0</v>
      </c>
      <c r="I745" s="8">
        <f t="shared" si="45"/>
        <v>-7.4664167447672236E-3</v>
      </c>
      <c r="J745" s="8">
        <f t="shared" si="46"/>
        <v>-7.4944299602709335E-3</v>
      </c>
      <c r="K745" s="8">
        <f t="shared" si="43"/>
        <v>7.9229311176482575E-2</v>
      </c>
    </row>
    <row r="746" spans="1:11" x14ac:dyDescent="0.25">
      <c r="A746" t="str">
        <f t="shared" si="44"/>
        <v>12020</v>
      </c>
      <c r="B746" s="1">
        <v>43839</v>
      </c>
      <c r="C746" s="10">
        <v>44075.645833333336</v>
      </c>
      <c r="D746">
        <v>8035.45</v>
      </c>
      <c r="E746">
        <v>8165.9</v>
      </c>
      <c r="F746">
        <v>8022.35</v>
      </c>
      <c r="G746">
        <v>8155.25</v>
      </c>
      <c r="H746">
        <v>0</v>
      </c>
      <c r="I746" s="8">
        <f t="shared" si="45"/>
        <v>2.6753958012023515E-2</v>
      </c>
      <c r="J746" s="8">
        <f t="shared" si="46"/>
        <v>2.6402328740720026E-2</v>
      </c>
      <c r="K746" s="8">
        <f t="shared" si="43"/>
        <v>0.10250032107394169</v>
      </c>
    </row>
    <row r="747" spans="1:11" x14ac:dyDescent="0.25">
      <c r="A747" t="str">
        <f t="shared" si="44"/>
        <v>12020</v>
      </c>
      <c r="B747" s="1">
        <v>43840</v>
      </c>
      <c r="C747" s="10">
        <v>44105.645833333336</v>
      </c>
      <c r="D747">
        <v>8177.55</v>
      </c>
      <c r="E747">
        <v>8246.7000000000007</v>
      </c>
      <c r="F747">
        <v>8147.65</v>
      </c>
      <c r="G747">
        <v>8225.5</v>
      </c>
      <c r="H747">
        <v>0</v>
      </c>
      <c r="I747" s="8">
        <f t="shared" si="45"/>
        <v>8.6140829526992757E-3</v>
      </c>
      <c r="J747" s="8">
        <f t="shared" si="46"/>
        <v>8.5771934350079571E-3</v>
      </c>
      <c r="K747" s="8">
        <f t="shared" si="43"/>
        <v>9.3765582718889462E-2</v>
      </c>
    </row>
    <row r="748" spans="1:11" x14ac:dyDescent="0.25">
      <c r="A748" t="str">
        <f t="shared" si="44"/>
        <v>12020</v>
      </c>
      <c r="B748" s="1">
        <v>43843</v>
      </c>
      <c r="C748" t="s">
        <v>475</v>
      </c>
      <c r="D748">
        <v>8244.25</v>
      </c>
      <c r="E748">
        <v>8262.2999999999993</v>
      </c>
      <c r="F748">
        <v>8192.0499999999993</v>
      </c>
      <c r="G748">
        <v>8235.85</v>
      </c>
      <c r="H748">
        <v>0</v>
      </c>
      <c r="I748" s="8">
        <f t="shared" si="45"/>
        <v>1.258282171296532E-3</v>
      </c>
      <c r="J748" s="8">
        <f t="shared" si="46"/>
        <v>1.2574911977276634E-3</v>
      </c>
      <c r="K748" s="8">
        <f t="shared" si="43"/>
        <v>7.1225571488960471E-2</v>
      </c>
    </row>
    <row r="749" spans="1:11" x14ac:dyDescent="0.25">
      <c r="A749" t="str">
        <f t="shared" si="44"/>
        <v>12020</v>
      </c>
      <c r="B749" s="1">
        <v>43844</v>
      </c>
      <c r="C749" t="s">
        <v>476</v>
      </c>
      <c r="D749">
        <v>8234.2000000000007</v>
      </c>
      <c r="E749">
        <v>8297.7000000000007</v>
      </c>
      <c r="F749">
        <v>8216.5499999999993</v>
      </c>
      <c r="G749">
        <v>8289.2999999999993</v>
      </c>
      <c r="H749">
        <v>0</v>
      </c>
      <c r="I749" s="8">
        <f t="shared" si="45"/>
        <v>6.4899190733196388E-3</v>
      </c>
      <c r="J749" s="8">
        <f t="shared" si="46"/>
        <v>6.4689502237249286E-3</v>
      </c>
      <c r="K749" s="8">
        <f t="shared" si="43"/>
        <v>8.0207980400844203E-2</v>
      </c>
    </row>
    <row r="750" spans="1:11" x14ac:dyDescent="0.25">
      <c r="A750" t="str">
        <f t="shared" si="44"/>
        <v>12020</v>
      </c>
      <c r="B750" s="1">
        <v>43845</v>
      </c>
      <c r="C750" t="s">
        <v>477</v>
      </c>
      <c r="D750">
        <v>8287.6</v>
      </c>
      <c r="E750">
        <v>8395.7000000000007</v>
      </c>
      <c r="F750">
        <v>8246.4</v>
      </c>
      <c r="G750">
        <v>8385.35</v>
      </c>
      <c r="H750">
        <v>0</v>
      </c>
      <c r="I750" s="8">
        <f t="shared" si="45"/>
        <v>1.1587226906976555E-2</v>
      </c>
      <c r="J750" s="8">
        <f t="shared" si="46"/>
        <v>1.1520609109773618E-2</v>
      </c>
      <c r="K750" s="8">
        <f t="shared" si="43"/>
        <v>5.9559009350518055E-2</v>
      </c>
    </row>
    <row r="751" spans="1:11" x14ac:dyDescent="0.25">
      <c r="A751" t="str">
        <f t="shared" si="44"/>
        <v>12020</v>
      </c>
      <c r="B751" s="1">
        <v>43846</v>
      </c>
      <c r="C751" t="s">
        <v>478</v>
      </c>
      <c r="D751">
        <v>8385.2999999999993</v>
      </c>
      <c r="E751">
        <v>8414.35</v>
      </c>
      <c r="F751">
        <v>8373.65</v>
      </c>
      <c r="G751">
        <v>8395.9</v>
      </c>
      <c r="H751">
        <v>0</v>
      </c>
      <c r="I751" s="8">
        <f t="shared" si="45"/>
        <v>1.2581466486192294E-3</v>
      </c>
      <c r="J751" s="8">
        <f t="shared" si="46"/>
        <v>1.2573558453526693E-3</v>
      </c>
      <c r="K751" s="8">
        <f t="shared" si="43"/>
        <v>5.4132270316080255E-2</v>
      </c>
    </row>
    <row r="752" spans="1:11" x14ac:dyDescent="0.25">
      <c r="A752" t="str">
        <f t="shared" si="44"/>
        <v>12020</v>
      </c>
      <c r="B752" s="1">
        <v>43847</v>
      </c>
      <c r="C752" t="s">
        <v>479</v>
      </c>
      <c r="D752">
        <v>8401.9500000000007</v>
      </c>
      <c r="E752">
        <v>8463.25</v>
      </c>
      <c r="F752">
        <v>8369.7000000000007</v>
      </c>
      <c r="G752">
        <v>8427.6</v>
      </c>
      <c r="H752">
        <v>0</v>
      </c>
      <c r="I752" s="8">
        <f t="shared" si="45"/>
        <v>3.7756524017675819E-3</v>
      </c>
      <c r="J752" s="8">
        <f t="shared" si="46"/>
        <v>3.7685425169210864E-3</v>
      </c>
      <c r="K752" s="8">
        <f t="shared" si="43"/>
        <v>6.1858592731190098E-2</v>
      </c>
    </row>
    <row r="753" spans="1:11" x14ac:dyDescent="0.25">
      <c r="A753" t="str">
        <f t="shared" si="44"/>
        <v>12020</v>
      </c>
      <c r="B753" s="1">
        <v>43850</v>
      </c>
      <c r="C753" t="s">
        <v>480</v>
      </c>
      <c r="D753">
        <v>8436.9</v>
      </c>
      <c r="E753">
        <v>8459.4500000000007</v>
      </c>
      <c r="F753">
        <v>8343.4</v>
      </c>
      <c r="G753">
        <v>8352.7000000000007</v>
      </c>
      <c r="H753">
        <v>0</v>
      </c>
      <c r="I753" s="8">
        <f t="shared" si="45"/>
        <v>-8.8874649959655994E-3</v>
      </c>
      <c r="J753" s="8">
        <f t="shared" si="46"/>
        <v>-8.9271940820699648E-3</v>
      </c>
      <c r="K753" s="8">
        <f t="shared" si="43"/>
        <v>3.9332553567429152E-2</v>
      </c>
    </row>
    <row r="754" spans="1:11" x14ac:dyDescent="0.25">
      <c r="A754" t="str">
        <f t="shared" si="44"/>
        <v>12020</v>
      </c>
      <c r="B754" s="1">
        <v>43851</v>
      </c>
      <c r="C754" t="s">
        <v>481</v>
      </c>
      <c r="D754">
        <v>8321.25</v>
      </c>
      <c r="E754">
        <v>8325.7999999999993</v>
      </c>
      <c r="F754">
        <v>8229.2999999999993</v>
      </c>
      <c r="G754">
        <v>8245.9</v>
      </c>
      <c r="H754">
        <v>0</v>
      </c>
      <c r="I754" s="8">
        <f t="shared" si="45"/>
        <v>-1.2786284674416781E-2</v>
      </c>
      <c r="J754" s="8">
        <f t="shared" si="46"/>
        <v>-1.2868732769517019E-2</v>
      </c>
      <c r="K754" s="8">
        <f t="shared" si="43"/>
        <v>2.9142329389446386E-2</v>
      </c>
    </row>
    <row r="755" spans="1:11" x14ac:dyDescent="0.25">
      <c r="A755" t="str">
        <f t="shared" si="44"/>
        <v>12020</v>
      </c>
      <c r="B755" s="1">
        <v>43852</v>
      </c>
      <c r="C755" t="s">
        <v>482</v>
      </c>
      <c r="D755">
        <v>8278.5499999999993</v>
      </c>
      <c r="E755">
        <v>8294.0499999999993</v>
      </c>
      <c r="F755">
        <v>8147.15</v>
      </c>
      <c r="G755">
        <v>8169.15</v>
      </c>
      <c r="H755">
        <v>0</v>
      </c>
      <c r="I755" s="8">
        <f t="shared" si="45"/>
        <v>-9.3076559259753777E-3</v>
      </c>
      <c r="J755" s="8">
        <f t="shared" si="46"/>
        <v>-9.3512428274759394E-3</v>
      </c>
      <c r="K755" s="8">
        <f t="shared" si="43"/>
        <v>2.288905444915379E-2</v>
      </c>
    </row>
    <row r="756" spans="1:11" x14ac:dyDescent="0.25">
      <c r="A756" t="str">
        <f t="shared" si="44"/>
        <v>12020</v>
      </c>
      <c r="B756" s="1">
        <v>43853</v>
      </c>
      <c r="C756" t="s">
        <v>483</v>
      </c>
      <c r="D756">
        <v>8176.75</v>
      </c>
      <c r="E756">
        <v>8251.85</v>
      </c>
      <c r="F756">
        <v>8145.8</v>
      </c>
      <c r="G756">
        <v>8241.75</v>
      </c>
      <c r="H756">
        <v>0</v>
      </c>
      <c r="I756" s="8">
        <f t="shared" si="45"/>
        <v>8.8870935164613307E-3</v>
      </c>
      <c r="J756" s="8">
        <f t="shared" si="46"/>
        <v>8.8478357212308494E-3</v>
      </c>
      <c r="K756" s="8">
        <f t="shared" si="43"/>
        <v>1.7248827450012438E-2</v>
      </c>
    </row>
    <row r="757" spans="1:11" x14ac:dyDescent="0.25">
      <c r="A757" t="str">
        <f t="shared" si="44"/>
        <v>12020</v>
      </c>
      <c r="B757" s="1">
        <v>43854</v>
      </c>
      <c r="C757" t="s">
        <v>484</v>
      </c>
      <c r="D757">
        <v>8246.4500000000007</v>
      </c>
      <c r="E757">
        <v>8324.4</v>
      </c>
      <c r="F757">
        <v>8234.9500000000007</v>
      </c>
      <c r="G757">
        <v>8274.85</v>
      </c>
      <c r="H757">
        <v>0</v>
      </c>
      <c r="I757" s="8">
        <f t="shared" si="45"/>
        <v>4.0161373494707053E-3</v>
      </c>
      <c r="J757" s="8">
        <f t="shared" si="46"/>
        <v>4.008094197608991E-3</v>
      </c>
      <c r="K757" s="8">
        <f t="shared" si="43"/>
        <v>-2.0698837243705359E-2</v>
      </c>
    </row>
    <row r="758" spans="1:11" x14ac:dyDescent="0.25">
      <c r="A758" t="str">
        <f t="shared" si="44"/>
        <v>12020</v>
      </c>
      <c r="B758" s="1">
        <v>43857</v>
      </c>
      <c r="C758" t="s">
        <v>485</v>
      </c>
      <c r="D758">
        <v>8243.35</v>
      </c>
      <c r="E758">
        <v>8347.9</v>
      </c>
      <c r="F758">
        <v>8189</v>
      </c>
      <c r="G758">
        <v>8258.15</v>
      </c>
      <c r="H758">
        <v>0</v>
      </c>
      <c r="I758" s="8">
        <f t="shared" si="45"/>
        <v>-2.0181634712412855E-3</v>
      </c>
      <c r="J758" s="8">
        <f t="shared" si="46"/>
        <v>-2.0202027072759908E-3</v>
      </c>
      <c r="K758" s="8">
        <f t="shared" si="43"/>
        <v>-2.0257684869911863E-2</v>
      </c>
    </row>
    <row r="759" spans="1:11" x14ac:dyDescent="0.25">
      <c r="A759" t="str">
        <f t="shared" si="44"/>
        <v>12020</v>
      </c>
      <c r="B759" s="1">
        <v>43858</v>
      </c>
      <c r="C759" t="s">
        <v>486</v>
      </c>
      <c r="D759">
        <v>8290.1</v>
      </c>
      <c r="E759">
        <v>8340.4500000000007</v>
      </c>
      <c r="F759">
        <v>8125.9</v>
      </c>
      <c r="G759">
        <v>8156.05</v>
      </c>
      <c r="H759">
        <v>0</v>
      </c>
      <c r="I759" s="8">
        <f t="shared" si="45"/>
        <v>-1.2363543893002649E-2</v>
      </c>
      <c r="J759" s="8">
        <f t="shared" si="46"/>
        <v>-1.2440608353815647E-2</v>
      </c>
      <c r="K759" s="8">
        <f t="shared" si="43"/>
        <v>-3.4729865672525007E-2</v>
      </c>
    </row>
    <row r="760" spans="1:11" x14ac:dyDescent="0.25">
      <c r="A760" t="str">
        <f t="shared" si="44"/>
        <v>12020</v>
      </c>
      <c r="B760" s="1">
        <v>43859</v>
      </c>
      <c r="C760" t="s">
        <v>487</v>
      </c>
      <c r="D760">
        <v>8200.7000000000007</v>
      </c>
      <c r="E760">
        <v>8264.6</v>
      </c>
      <c r="F760">
        <v>8179.25</v>
      </c>
      <c r="G760">
        <v>8220.4</v>
      </c>
      <c r="H760">
        <v>0</v>
      </c>
      <c r="I760" s="8">
        <f t="shared" si="45"/>
        <v>7.8898486399665568E-3</v>
      </c>
      <c r="J760" s="8">
        <f t="shared" si="46"/>
        <v>7.8588865351045603E-3</v>
      </c>
      <c r="K760" s="8">
        <f t="shared" si="43"/>
        <v>-2.0553086537430487E-2</v>
      </c>
    </row>
    <row r="761" spans="1:11" x14ac:dyDescent="0.25">
      <c r="A761" t="str">
        <f t="shared" si="44"/>
        <v>12020</v>
      </c>
      <c r="B761" s="1">
        <v>43860</v>
      </c>
      <c r="C761" t="s">
        <v>488</v>
      </c>
      <c r="D761">
        <v>8239.65</v>
      </c>
      <c r="E761">
        <v>8267.5499999999993</v>
      </c>
      <c r="F761">
        <v>8148.2</v>
      </c>
      <c r="G761">
        <v>8181.45</v>
      </c>
      <c r="H761">
        <v>0</v>
      </c>
      <c r="I761" s="8">
        <f t="shared" si="45"/>
        <v>-4.7382122524450843E-3</v>
      </c>
      <c r="J761" s="8">
        <f t="shared" si="46"/>
        <v>-4.749473165263962E-3</v>
      </c>
      <c r="K761" s="8">
        <f t="shared" si="43"/>
        <v>-1.1943939567771955E-2</v>
      </c>
    </row>
    <row r="762" spans="1:11" x14ac:dyDescent="0.25">
      <c r="A762" t="str">
        <f t="shared" si="44"/>
        <v>12020</v>
      </c>
      <c r="B762" s="1">
        <v>43861</v>
      </c>
      <c r="C762" t="s">
        <v>489</v>
      </c>
      <c r="D762">
        <v>8211.6</v>
      </c>
      <c r="E762">
        <v>8238.75</v>
      </c>
      <c r="F762">
        <v>8072.95</v>
      </c>
      <c r="G762">
        <v>8086.55</v>
      </c>
      <c r="H762">
        <v>0</v>
      </c>
      <c r="I762" s="8">
        <f t="shared" si="45"/>
        <v>-1.1599410862377701E-2</v>
      </c>
      <c r="J762" s="8">
        <f t="shared" si="46"/>
        <v>-1.1667208816036233E-2</v>
      </c>
      <c r="K762" s="8">
        <f t="shared" si="43"/>
        <v>-2.0542262434669833E-2</v>
      </c>
    </row>
    <row r="763" spans="1:11" x14ac:dyDescent="0.25">
      <c r="A763" t="str">
        <f t="shared" si="44"/>
        <v>22020</v>
      </c>
      <c r="B763" s="1">
        <v>43862</v>
      </c>
      <c r="C763" s="10">
        <v>43832.708333333336</v>
      </c>
      <c r="D763">
        <v>8069.75</v>
      </c>
      <c r="E763">
        <v>8200.25</v>
      </c>
      <c r="F763">
        <v>7833.1</v>
      </c>
      <c r="G763">
        <v>7844.1</v>
      </c>
      <c r="H763">
        <v>0</v>
      </c>
      <c r="I763" s="8">
        <f t="shared" si="45"/>
        <v>-2.998188349790698E-2</v>
      </c>
      <c r="J763" s="8">
        <f t="shared" si="46"/>
        <v>-3.0440530852836458E-2</v>
      </c>
      <c r="K763" s="8">
        <f t="shared" si="43"/>
        <v>-5.0218856136144852E-2</v>
      </c>
    </row>
    <row r="764" spans="1:11" x14ac:dyDescent="0.25">
      <c r="A764" t="str">
        <f t="shared" si="44"/>
        <v>22020</v>
      </c>
      <c r="B764" s="1">
        <v>43864</v>
      </c>
      <c r="C764" s="10">
        <v>43892.645833333336</v>
      </c>
      <c r="D764">
        <v>7826</v>
      </c>
      <c r="E764">
        <v>8016.8</v>
      </c>
      <c r="F764">
        <v>7816.35</v>
      </c>
      <c r="G764">
        <v>7988.35</v>
      </c>
      <c r="H764">
        <v>0</v>
      </c>
      <c r="I764" s="8">
        <f t="shared" si="45"/>
        <v>1.8389617674430481E-2</v>
      </c>
      <c r="J764" s="8">
        <f t="shared" si="46"/>
        <v>1.8222573466781977E-2</v>
      </c>
      <c r="K764" s="8">
        <f t="shared" si="43"/>
        <v>-3.0528283110231813E-2</v>
      </c>
    </row>
    <row r="765" spans="1:11" x14ac:dyDescent="0.25">
      <c r="A765" t="str">
        <f t="shared" si="44"/>
        <v>22020</v>
      </c>
      <c r="B765" s="1">
        <v>43865</v>
      </c>
      <c r="C765" s="10">
        <v>43923.645833333336</v>
      </c>
      <c r="D765">
        <v>8026.6</v>
      </c>
      <c r="E765">
        <v>8142.1</v>
      </c>
      <c r="F765">
        <v>7997.85</v>
      </c>
      <c r="G765">
        <v>8100.8</v>
      </c>
      <c r="H765">
        <v>0</v>
      </c>
      <c r="I765" s="8">
        <f t="shared" si="45"/>
        <v>1.4076749266118682E-2</v>
      </c>
      <c r="J765" s="8">
        <f t="shared" si="46"/>
        <v>1.3978591916234189E-2</v>
      </c>
      <c r="K765" s="8">
        <f t="shared" si="43"/>
        <v>-8.4275336152710434E-3</v>
      </c>
    </row>
    <row r="766" spans="1:11" x14ac:dyDescent="0.25">
      <c r="A766" t="str">
        <f t="shared" si="44"/>
        <v>22020</v>
      </c>
      <c r="B766" s="1">
        <v>43866</v>
      </c>
      <c r="C766" s="10">
        <v>43953.645833333336</v>
      </c>
      <c r="D766">
        <v>8138.3</v>
      </c>
      <c r="E766">
        <v>8212.2000000000007</v>
      </c>
      <c r="F766">
        <v>8064.7</v>
      </c>
      <c r="G766">
        <v>8131.7</v>
      </c>
      <c r="H766">
        <v>0</v>
      </c>
      <c r="I766" s="8">
        <f t="shared" si="45"/>
        <v>3.8144380801896638E-3</v>
      </c>
      <c r="J766" s="8">
        <f t="shared" si="46"/>
        <v>3.8071815584373712E-3</v>
      </c>
      <c r="K766" s="8">
        <f t="shared" si="43"/>
        <v>-3.3459982841034241E-3</v>
      </c>
    </row>
    <row r="767" spans="1:11" x14ac:dyDescent="0.25">
      <c r="A767" t="str">
        <f t="shared" si="44"/>
        <v>22020</v>
      </c>
      <c r="B767" s="1">
        <v>43867</v>
      </c>
      <c r="C767" s="10">
        <v>43984.645833333336</v>
      </c>
      <c r="D767">
        <v>8158.8</v>
      </c>
      <c r="E767">
        <v>8189.2</v>
      </c>
      <c r="F767">
        <v>8092.55</v>
      </c>
      <c r="G767">
        <v>8142.15</v>
      </c>
      <c r="H767">
        <v>0</v>
      </c>
      <c r="I767" s="8">
        <f t="shared" si="45"/>
        <v>1.2850941377571257E-3</v>
      </c>
      <c r="J767" s="8">
        <f t="shared" si="46"/>
        <v>1.2842691110347036E-3</v>
      </c>
      <c r="K767" s="8">
        <f t="shared" si="43"/>
        <v>-9.8770582316998201E-4</v>
      </c>
    </row>
    <row r="768" spans="1:11" x14ac:dyDescent="0.25">
      <c r="A768" t="str">
        <f t="shared" si="44"/>
        <v>22020</v>
      </c>
      <c r="B768" s="1">
        <v>43868</v>
      </c>
      <c r="C768" s="10">
        <v>44014.645833333336</v>
      </c>
      <c r="D768">
        <v>8172.35</v>
      </c>
      <c r="E768">
        <v>8173.6</v>
      </c>
      <c r="F768">
        <v>8042.2</v>
      </c>
      <c r="G768">
        <v>8064.6</v>
      </c>
      <c r="H768">
        <v>0</v>
      </c>
      <c r="I768" s="8">
        <f t="shared" si="45"/>
        <v>-9.5245113391425607E-3</v>
      </c>
      <c r="J768" s="8">
        <f t="shared" si="46"/>
        <v>-9.570159579959131E-3</v>
      </c>
      <c r="K768" s="8">
        <f t="shared" ref="K768:K831" si="47">+G768/G707-1</f>
        <v>-1.5419550965095286E-2</v>
      </c>
    </row>
    <row r="769" spans="1:11" x14ac:dyDescent="0.25">
      <c r="A769" t="str">
        <f t="shared" si="44"/>
        <v>22020</v>
      </c>
      <c r="B769" s="1">
        <v>43871</v>
      </c>
      <c r="C769" s="10">
        <v>44106.645833333336</v>
      </c>
      <c r="D769">
        <v>8065.4</v>
      </c>
      <c r="E769">
        <v>8067.35</v>
      </c>
      <c r="F769">
        <v>7820.3</v>
      </c>
      <c r="G769">
        <v>7860.55</v>
      </c>
      <c r="H769">
        <v>0</v>
      </c>
      <c r="I769" s="8">
        <f t="shared" si="45"/>
        <v>-2.5301936859856711E-2</v>
      </c>
      <c r="J769" s="8">
        <f t="shared" si="46"/>
        <v>-2.562753477530301E-2</v>
      </c>
      <c r="K769" s="8">
        <f t="shared" si="47"/>
        <v>-3.597664921080701E-2</v>
      </c>
    </row>
    <row r="770" spans="1:11" x14ac:dyDescent="0.25">
      <c r="A770" t="str">
        <f t="shared" si="44"/>
        <v>22020</v>
      </c>
      <c r="B770" s="1">
        <v>43872</v>
      </c>
      <c r="C770" s="10">
        <v>44137.645833333336</v>
      </c>
      <c r="D770">
        <v>7923</v>
      </c>
      <c r="E770">
        <v>7969.3</v>
      </c>
      <c r="F770">
        <v>7881.35</v>
      </c>
      <c r="G770">
        <v>7892.4</v>
      </c>
      <c r="H770">
        <v>0</v>
      </c>
      <c r="I770" s="8">
        <f t="shared" si="45"/>
        <v>4.051879321421481E-3</v>
      </c>
      <c r="J770" s="8">
        <f t="shared" si="46"/>
        <v>4.0436925654509384E-3</v>
      </c>
      <c r="K770" s="8">
        <f t="shared" si="47"/>
        <v>-2.7909841113437639E-2</v>
      </c>
    </row>
    <row r="771" spans="1:11" x14ac:dyDescent="0.25">
      <c r="A771" t="str">
        <f t="shared" ref="A771:A834" si="48">+MONTH(B771)&amp;YEAR(B771)</f>
        <v>22020</v>
      </c>
      <c r="B771" s="1">
        <v>43873</v>
      </c>
      <c r="C771" s="10">
        <v>44167.645833333336</v>
      </c>
      <c r="D771">
        <v>7932.3</v>
      </c>
      <c r="E771">
        <v>7961.1</v>
      </c>
      <c r="F771">
        <v>7905.75</v>
      </c>
      <c r="G771">
        <v>7933.8</v>
      </c>
      <c r="H771">
        <v>0</v>
      </c>
      <c r="I771" s="8">
        <f t="shared" si="45"/>
        <v>5.24555268359439E-3</v>
      </c>
      <c r="J771" s="8">
        <f t="shared" si="46"/>
        <v>5.231842695526576E-3</v>
      </c>
      <c r="K771" s="8">
        <f t="shared" si="47"/>
        <v>-1.6139733009257196E-2</v>
      </c>
    </row>
    <row r="772" spans="1:11" x14ac:dyDescent="0.25">
      <c r="A772" t="str">
        <f t="shared" si="48"/>
        <v>22020</v>
      </c>
      <c r="B772" s="1">
        <v>43874</v>
      </c>
      <c r="C772" t="s">
        <v>490</v>
      </c>
      <c r="D772">
        <v>7930.25</v>
      </c>
      <c r="E772">
        <v>7933.4</v>
      </c>
      <c r="F772">
        <v>7873.75</v>
      </c>
      <c r="G772">
        <v>7914.9</v>
      </c>
      <c r="H772">
        <v>0</v>
      </c>
      <c r="I772" s="8">
        <f t="shared" ref="I772:I835" si="49">+G772/G771-1</f>
        <v>-2.3822128110111418E-3</v>
      </c>
      <c r="J772" s="8">
        <f t="shared" ref="J772:J835" si="50">+LN(1+I772)</f>
        <v>-2.3850547943194563E-3</v>
      </c>
      <c r="K772" s="8">
        <f t="shared" si="47"/>
        <v>-2.0893639130112107E-2</v>
      </c>
    </row>
    <row r="773" spans="1:11" x14ac:dyDescent="0.25">
      <c r="A773" t="str">
        <f t="shared" si="48"/>
        <v>22020</v>
      </c>
      <c r="B773" s="1">
        <v>43875</v>
      </c>
      <c r="C773" t="s">
        <v>491</v>
      </c>
      <c r="D773">
        <v>7933.6</v>
      </c>
      <c r="E773">
        <v>7977.15</v>
      </c>
      <c r="F773">
        <v>7807.3</v>
      </c>
      <c r="G773">
        <v>7822.2</v>
      </c>
      <c r="H773">
        <v>0</v>
      </c>
      <c r="I773" s="8">
        <f t="shared" si="49"/>
        <v>-1.1712087328961784E-2</v>
      </c>
      <c r="J773" s="8">
        <f t="shared" si="50"/>
        <v>-1.1781214099724609E-2</v>
      </c>
      <c r="K773" s="8">
        <f t="shared" si="47"/>
        <v>-2.27930015678387E-2</v>
      </c>
    </row>
    <row r="774" spans="1:11" x14ac:dyDescent="0.25">
      <c r="A774" t="str">
        <f t="shared" si="48"/>
        <v>22020</v>
      </c>
      <c r="B774" s="1">
        <v>43878</v>
      </c>
      <c r="C774" t="s">
        <v>492</v>
      </c>
      <c r="D774">
        <v>7833.15</v>
      </c>
      <c r="E774">
        <v>7833.6</v>
      </c>
      <c r="F774">
        <v>7742.45</v>
      </c>
      <c r="G774">
        <v>7770.5</v>
      </c>
      <c r="H774">
        <v>0</v>
      </c>
      <c r="I774" s="8">
        <f t="shared" si="49"/>
        <v>-6.6093937766867894E-3</v>
      </c>
      <c r="J774" s="8">
        <f t="shared" si="50"/>
        <v>-6.6313325411213927E-3</v>
      </c>
      <c r="K774" s="8">
        <f t="shared" si="47"/>
        <v>-3.2912463674322767E-2</v>
      </c>
    </row>
    <row r="775" spans="1:11" x14ac:dyDescent="0.25">
      <c r="A775" t="str">
        <f t="shared" si="48"/>
        <v>22020</v>
      </c>
      <c r="B775" s="1">
        <v>43879</v>
      </c>
      <c r="C775" t="s">
        <v>493</v>
      </c>
      <c r="D775">
        <v>7758</v>
      </c>
      <c r="E775">
        <v>7758</v>
      </c>
      <c r="F775">
        <v>7620.5</v>
      </c>
      <c r="G775">
        <v>7692.3</v>
      </c>
      <c r="H775">
        <v>0</v>
      </c>
      <c r="I775" s="8">
        <f t="shared" si="49"/>
        <v>-1.0063702464448876E-2</v>
      </c>
      <c r="J775" s="8">
        <f t="shared" si="50"/>
        <v>-1.0114683847474932E-2</v>
      </c>
      <c r="K775" s="8">
        <f t="shared" si="47"/>
        <v>-5.9017095324016E-2</v>
      </c>
    </row>
    <row r="776" spans="1:11" x14ac:dyDescent="0.25">
      <c r="A776" t="str">
        <f t="shared" si="48"/>
        <v>22020</v>
      </c>
      <c r="B776" s="1">
        <v>43880</v>
      </c>
      <c r="C776" t="s">
        <v>494</v>
      </c>
      <c r="D776">
        <v>7754.35</v>
      </c>
      <c r="E776">
        <v>7769.4</v>
      </c>
      <c r="F776">
        <v>7606.25</v>
      </c>
      <c r="G776">
        <v>7687.35</v>
      </c>
      <c r="H776">
        <v>0</v>
      </c>
      <c r="I776" s="8">
        <f t="shared" si="49"/>
        <v>-6.4350064350060521E-4</v>
      </c>
      <c r="J776" s="8">
        <f t="shared" si="50"/>
        <v>-6.4370777890564255E-4</v>
      </c>
      <c r="K776" s="8">
        <f t="shared" si="47"/>
        <v>-5.0932727564537705E-2</v>
      </c>
    </row>
    <row r="777" spans="1:11" x14ac:dyDescent="0.25">
      <c r="A777" t="str">
        <f t="shared" si="48"/>
        <v>22020</v>
      </c>
      <c r="B777" s="1">
        <v>43881</v>
      </c>
      <c r="C777" t="s">
        <v>495</v>
      </c>
      <c r="D777">
        <v>7687.5</v>
      </c>
      <c r="E777">
        <v>7756.35</v>
      </c>
      <c r="F777">
        <v>7667.85</v>
      </c>
      <c r="G777">
        <v>7697.9</v>
      </c>
      <c r="H777">
        <v>0</v>
      </c>
      <c r="I777" s="8">
        <f t="shared" si="49"/>
        <v>1.37238450181143E-3</v>
      </c>
      <c r="J777" s="8">
        <f t="shared" si="50"/>
        <v>1.3714436429160929E-3</v>
      </c>
      <c r="K777" s="8">
        <f t="shared" si="47"/>
        <v>-6.1557873178224698E-2</v>
      </c>
    </row>
    <row r="778" spans="1:11" x14ac:dyDescent="0.25">
      <c r="A778" t="str">
        <f t="shared" si="48"/>
        <v>22020</v>
      </c>
      <c r="B778" s="1">
        <v>43885</v>
      </c>
      <c r="C778" t="s">
        <v>496</v>
      </c>
      <c r="D778">
        <v>7644.05</v>
      </c>
      <c r="E778">
        <v>7644.05</v>
      </c>
      <c r="F778">
        <v>7414</v>
      </c>
      <c r="G778">
        <v>7429.1</v>
      </c>
      <c r="H778">
        <v>0</v>
      </c>
      <c r="I778" s="8">
        <f t="shared" si="49"/>
        <v>-3.4918614167500084E-2</v>
      </c>
      <c r="J778" s="8">
        <f t="shared" si="50"/>
        <v>-3.5542843549111823E-2</v>
      </c>
      <c r="K778" s="8">
        <f t="shared" si="47"/>
        <v>-9.1769308352944723E-2</v>
      </c>
    </row>
    <row r="779" spans="1:11" x14ac:dyDescent="0.25">
      <c r="A779" t="str">
        <f t="shared" si="48"/>
        <v>22020</v>
      </c>
      <c r="B779" s="1">
        <v>43886</v>
      </c>
      <c r="C779" t="s">
        <v>497</v>
      </c>
      <c r="D779">
        <v>7452.75</v>
      </c>
      <c r="E779">
        <v>7485.15</v>
      </c>
      <c r="F779">
        <v>7339.9</v>
      </c>
      <c r="G779">
        <v>7366</v>
      </c>
      <c r="H779">
        <v>0</v>
      </c>
      <c r="I779" s="8">
        <f t="shared" si="49"/>
        <v>-8.493626415043587E-3</v>
      </c>
      <c r="J779" s="8">
        <f t="shared" si="50"/>
        <v>-8.529902818079544E-3</v>
      </c>
      <c r="K779" s="8">
        <f t="shared" si="47"/>
        <v>-8.9042790007420214E-2</v>
      </c>
    </row>
    <row r="780" spans="1:11" x14ac:dyDescent="0.25">
      <c r="A780" t="str">
        <f t="shared" si="48"/>
        <v>22020</v>
      </c>
      <c r="B780" s="1">
        <v>43887</v>
      </c>
      <c r="C780" t="s">
        <v>498</v>
      </c>
      <c r="D780">
        <v>7306.3</v>
      </c>
      <c r="E780">
        <v>7328.2</v>
      </c>
      <c r="F780">
        <v>7178.5</v>
      </c>
      <c r="G780">
        <v>7207.95</v>
      </c>
      <c r="H780">
        <v>0</v>
      </c>
      <c r="I780" s="8">
        <f t="shared" si="49"/>
        <v>-2.1456692913385811E-2</v>
      </c>
      <c r="J780" s="8">
        <f t="shared" si="50"/>
        <v>-2.1690234477854956E-2</v>
      </c>
      <c r="K780" s="8">
        <f t="shared" si="47"/>
        <v>-9.9973778188447437E-2</v>
      </c>
    </row>
    <row r="781" spans="1:11" x14ac:dyDescent="0.25">
      <c r="A781" t="str">
        <f t="shared" si="48"/>
        <v>22020</v>
      </c>
      <c r="B781" s="1">
        <v>43888</v>
      </c>
      <c r="C781" t="s">
        <v>499</v>
      </c>
      <c r="D781">
        <v>7200.15</v>
      </c>
      <c r="E781">
        <v>7202.05</v>
      </c>
      <c r="F781">
        <v>7090.45</v>
      </c>
      <c r="G781">
        <v>7178.85</v>
      </c>
      <c r="H781">
        <v>0</v>
      </c>
      <c r="I781" s="8">
        <f t="shared" si="49"/>
        <v>-4.0372089151561319E-3</v>
      </c>
      <c r="J781" s="8">
        <f t="shared" si="50"/>
        <v>-4.0453804439296347E-3</v>
      </c>
      <c r="K781" s="8">
        <f t="shared" si="47"/>
        <v>-9.8615688859591266E-2</v>
      </c>
    </row>
    <row r="782" spans="1:11" x14ac:dyDescent="0.25">
      <c r="A782" t="str">
        <f t="shared" si="48"/>
        <v>22020</v>
      </c>
      <c r="B782" s="1">
        <v>43889</v>
      </c>
      <c r="C782" t="s">
        <v>500</v>
      </c>
      <c r="D782">
        <v>7008.1</v>
      </c>
      <c r="E782">
        <v>7017.6</v>
      </c>
      <c r="F782">
        <v>6883.35</v>
      </c>
      <c r="G782">
        <v>6903.95</v>
      </c>
      <c r="H782">
        <v>0</v>
      </c>
      <c r="I782" s="8">
        <f t="shared" si="49"/>
        <v>-3.8293041364564018E-2</v>
      </c>
      <c r="J782" s="8">
        <f t="shared" si="50"/>
        <v>-3.9045491524634116E-2</v>
      </c>
      <c r="K782" s="8">
        <f t="shared" si="47"/>
        <v>-0.13663392337945746</v>
      </c>
    </row>
    <row r="783" spans="1:11" x14ac:dyDescent="0.25">
      <c r="A783" t="str">
        <f t="shared" si="48"/>
        <v>32020</v>
      </c>
      <c r="B783" s="1">
        <v>43892</v>
      </c>
      <c r="C783" s="10">
        <v>43864.645833333336</v>
      </c>
      <c r="D783">
        <v>6993.2</v>
      </c>
      <c r="E783">
        <v>7047.6</v>
      </c>
      <c r="F783">
        <v>6813.2</v>
      </c>
      <c r="G783">
        <v>6856.9</v>
      </c>
      <c r="H783">
        <v>0</v>
      </c>
      <c r="I783" s="8">
        <f t="shared" si="49"/>
        <v>-6.8149392738939829E-3</v>
      </c>
      <c r="J783" s="8">
        <f t="shared" si="50"/>
        <v>-6.8382670177288872E-3</v>
      </c>
      <c r="K783" s="8">
        <f t="shared" si="47"/>
        <v>-0.13660631091188402</v>
      </c>
    </row>
    <row r="784" spans="1:11" x14ac:dyDescent="0.25">
      <c r="A784" t="str">
        <f t="shared" si="48"/>
        <v>32020</v>
      </c>
      <c r="B784" s="1">
        <v>43893</v>
      </c>
      <c r="C784" s="10">
        <v>43893.645833333336</v>
      </c>
      <c r="D784">
        <v>6889.45</v>
      </c>
      <c r="E784">
        <v>7022.25</v>
      </c>
      <c r="F784">
        <v>6846.7</v>
      </c>
      <c r="G784">
        <v>6986.65</v>
      </c>
      <c r="H784">
        <v>0</v>
      </c>
      <c r="I784" s="8">
        <f t="shared" si="49"/>
        <v>1.8922545173474914E-2</v>
      </c>
      <c r="J784" s="8">
        <f t="shared" si="50"/>
        <v>1.8745740726977225E-2</v>
      </c>
      <c r="K784" s="8">
        <f t="shared" si="47"/>
        <v>-0.10503292086183491</v>
      </c>
    </row>
    <row r="785" spans="1:11" x14ac:dyDescent="0.25">
      <c r="A785" t="str">
        <f t="shared" si="48"/>
        <v>32020</v>
      </c>
      <c r="B785" s="1">
        <v>43894</v>
      </c>
      <c r="C785" s="10">
        <v>43924.645833333336</v>
      </c>
      <c r="D785">
        <v>6990.85</v>
      </c>
      <c r="E785">
        <v>7019.55</v>
      </c>
      <c r="F785">
        <v>6775.8</v>
      </c>
      <c r="G785">
        <v>6938.85</v>
      </c>
      <c r="H785">
        <v>0</v>
      </c>
      <c r="I785" s="8">
        <f t="shared" si="49"/>
        <v>-6.8416193740918896E-3</v>
      </c>
      <c r="J785" s="8">
        <f t="shared" si="50"/>
        <v>-6.8651305496278334E-3</v>
      </c>
      <c r="K785" s="8">
        <f t="shared" si="47"/>
        <v>-0.11756514440502075</v>
      </c>
    </row>
    <row r="786" spans="1:11" x14ac:dyDescent="0.25">
      <c r="A786" t="str">
        <f t="shared" si="48"/>
        <v>32020</v>
      </c>
      <c r="B786" s="1">
        <v>43895</v>
      </c>
      <c r="C786" s="10">
        <v>43954.645833333336</v>
      </c>
      <c r="D786">
        <v>6966.3</v>
      </c>
      <c r="E786">
        <v>7013.65</v>
      </c>
      <c r="F786">
        <v>6892.75</v>
      </c>
      <c r="G786">
        <v>6953.75</v>
      </c>
      <c r="H786">
        <v>0</v>
      </c>
      <c r="I786" s="8">
        <f t="shared" si="49"/>
        <v>2.1473298889584935E-3</v>
      </c>
      <c r="J786" s="8">
        <f t="shared" si="50"/>
        <v>2.1450276712906119E-3</v>
      </c>
      <c r="K786" s="8">
        <f t="shared" si="47"/>
        <v>-0.10864786222897327</v>
      </c>
    </row>
    <row r="787" spans="1:11" x14ac:dyDescent="0.25">
      <c r="A787" t="str">
        <f t="shared" si="48"/>
        <v>32020</v>
      </c>
      <c r="B787" s="1">
        <v>43896</v>
      </c>
      <c r="C787" s="10">
        <v>43985.645833333336</v>
      </c>
      <c r="D787">
        <v>6712.2</v>
      </c>
      <c r="E787">
        <v>6918.85</v>
      </c>
      <c r="F787">
        <v>6661.95</v>
      </c>
      <c r="G787">
        <v>6895</v>
      </c>
      <c r="H787">
        <v>0</v>
      </c>
      <c r="I787" s="8">
        <f t="shared" si="49"/>
        <v>-8.4486787704476374E-3</v>
      </c>
      <c r="J787" s="8">
        <f t="shared" si="50"/>
        <v>-8.4845711621008204E-3</v>
      </c>
      <c r="K787" s="8">
        <f t="shared" si="47"/>
        <v>-0.12035619514186569</v>
      </c>
    </row>
    <row r="788" spans="1:11" x14ac:dyDescent="0.25">
      <c r="A788" t="str">
        <f t="shared" si="48"/>
        <v>32020</v>
      </c>
      <c r="B788" s="1">
        <v>43899</v>
      </c>
      <c r="C788" s="10">
        <v>44077.645833333336</v>
      </c>
      <c r="D788">
        <v>6703.45</v>
      </c>
      <c r="E788">
        <v>6758.7</v>
      </c>
      <c r="F788">
        <v>6498.8</v>
      </c>
      <c r="G788">
        <v>6632.15</v>
      </c>
      <c r="H788">
        <v>0</v>
      </c>
      <c r="I788" s="8">
        <f t="shared" si="49"/>
        <v>-3.8121827411167541E-2</v>
      </c>
      <c r="J788" s="8">
        <f t="shared" si="50"/>
        <v>-3.8867476056465414E-2</v>
      </c>
      <c r="K788" s="8">
        <f t="shared" si="47"/>
        <v>-0.16489542541269508</v>
      </c>
    </row>
    <row r="789" spans="1:11" x14ac:dyDescent="0.25">
      <c r="A789" t="str">
        <f t="shared" si="48"/>
        <v>32020</v>
      </c>
      <c r="B789" s="1">
        <v>43901</v>
      </c>
      <c r="C789" s="10">
        <v>44138.645833333336</v>
      </c>
      <c r="D789">
        <v>6614.15</v>
      </c>
      <c r="E789">
        <v>6714.75</v>
      </c>
      <c r="F789">
        <v>6539.75</v>
      </c>
      <c r="G789">
        <v>6568.45</v>
      </c>
      <c r="H789">
        <v>0</v>
      </c>
      <c r="I789" s="8">
        <f t="shared" si="49"/>
        <v>-9.6047284817140088E-3</v>
      </c>
      <c r="J789" s="8">
        <f t="shared" si="50"/>
        <v>-9.6511513783418216E-3</v>
      </c>
      <c r="K789" s="8">
        <f t="shared" si="47"/>
        <v>-0.18603541643431598</v>
      </c>
    </row>
    <row r="790" spans="1:11" x14ac:dyDescent="0.25">
      <c r="A790" t="str">
        <f t="shared" si="48"/>
        <v>32020</v>
      </c>
      <c r="B790" s="1">
        <v>43902</v>
      </c>
      <c r="C790" s="10">
        <v>44168.645833333336</v>
      </c>
      <c r="D790">
        <v>6299.9</v>
      </c>
      <c r="E790">
        <v>6299.9</v>
      </c>
      <c r="F790">
        <v>5953.2</v>
      </c>
      <c r="G790">
        <v>6033.4</v>
      </c>
      <c r="H790">
        <v>0</v>
      </c>
      <c r="I790" s="8">
        <f t="shared" si="49"/>
        <v>-8.1457573704603048E-2</v>
      </c>
      <c r="J790" s="8">
        <f t="shared" si="50"/>
        <v>-8.4967184544078311E-2</v>
      </c>
      <c r="K790" s="8">
        <f t="shared" si="47"/>
        <v>-0.24495670020523608</v>
      </c>
    </row>
    <row r="791" spans="1:11" x14ac:dyDescent="0.25">
      <c r="A791" t="str">
        <f t="shared" si="48"/>
        <v>32020</v>
      </c>
      <c r="B791" s="1">
        <v>43903</v>
      </c>
      <c r="C791" t="s">
        <v>501</v>
      </c>
      <c r="D791">
        <v>5641.55</v>
      </c>
      <c r="E791">
        <v>6292.85</v>
      </c>
      <c r="F791">
        <v>5265.8</v>
      </c>
      <c r="G791">
        <v>6182</v>
      </c>
      <c r="H791">
        <v>0</v>
      </c>
      <c r="I791" s="8">
        <f t="shared" si="49"/>
        <v>2.462956210428624E-2</v>
      </c>
      <c r="J791" s="8">
        <f t="shared" si="50"/>
        <v>2.4331144443545134E-2</v>
      </c>
      <c r="K791" s="8">
        <f t="shared" si="47"/>
        <v>-0.2310849637433301</v>
      </c>
    </row>
    <row r="792" spans="1:11" x14ac:dyDescent="0.25">
      <c r="A792" t="str">
        <f t="shared" si="48"/>
        <v>32020</v>
      </c>
      <c r="B792" s="1">
        <v>43906</v>
      </c>
      <c r="C792" t="s">
        <v>502</v>
      </c>
      <c r="D792">
        <v>5970.15</v>
      </c>
      <c r="E792">
        <v>6041.35</v>
      </c>
      <c r="F792">
        <v>5826.1</v>
      </c>
      <c r="G792">
        <v>5843.7</v>
      </c>
      <c r="H792">
        <v>0</v>
      </c>
      <c r="I792" s="8">
        <f t="shared" si="49"/>
        <v>-5.4723390488515045E-2</v>
      </c>
      <c r="J792" s="8">
        <f t="shared" si="50"/>
        <v>-5.6277685841401172E-2</v>
      </c>
      <c r="K792" s="8">
        <f t="shared" si="47"/>
        <v>-0.27698008623729486</v>
      </c>
    </row>
    <row r="793" spans="1:11" x14ac:dyDescent="0.25">
      <c r="A793" t="str">
        <f t="shared" si="48"/>
        <v>32020</v>
      </c>
      <c r="B793" s="1">
        <v>43907</v>
      </c>
      <c r="C793" t="s">
        <v>503</v>
      </c>
      <c r="D793">
        <v>5858.3</v>
      </c>
      <c r="E793">
        <v>6020.7</v>
      </c>
      <c r="F793">
        <v>5767.5</v>
      </c>
      <c r="G793">
        <v>5803.85</v>
      </c>
      <c r="H793">
        <v>0</v>
      </c>
      <c r="I793" s="8">
        <f t="shared" si="49"/>
        <v>-6.8193096839330725E-3</v>
      </c>
      <c r="J793" s="8">
        <f t="shared" si="50"/>
        <v>-6.8426674258982318E-3</v>
      </c>
      <c r="K793" s="8">
        <f t="shared" si="47"/>
        <v>-0.28922295021737798</v>
      </c>
    </row>
    <row r="794" spans="1:11" x14ac:dyDescent="0.25">
      <c r="A794" t="str">
        <f t="shared" si="48"/>
        <v>32020</v>
      </c>
      <c r="B794" s="1">
        <v>43908</v>
      </c>
      <c r="C794" t="s">
        <v>504</v>
      </c>
      <c r="D794">
        <v>5873.1</v>
      </c>
      <c r="E794">
        <v>5896.85</v>
      </c>
      <c r="F794">
        <v>5491</v>
      </c>
      <c r="G794">
        <v>5516.5</v>
      </c>
      <c r="H794">
        <v>0</v>
      </c>
      <c r="I794" s="8">
        <f t="shared" si="49"/>
        <v>-4.9510238893148539E-2</v>
      </c>
      <c r="J794" s="8">
        <f t="shared" si="50"/>
        <v>-5.0777889224401428E-2</v>
      </c>
      <c r="K794" s="8">
        <f t="shared" si="47"/>
        <v>-0.32175987115097349</v>
      </c>
    </row>
    <row r="795" spans="1:11" x14ac:dyDescent="0.25">
      <c r="A795" t="str">
        <f t="shared" si="48"/>
        <v>32020</v>
      </c>
      <c r="B795" s="1">
        <v>43909</v>
      </c>
      <c r="C795" t="s">
        <v>505</v>
      </c>
      <c r="D795">
        <v>5217.95</v>
      </c>
      <c r="E795">
        <v>5429.5</v>
      </c>
      <c r="F795">
        <v>5042.8999999999996</v>
      </c>
      <c r="G795">
        <v>5180.5</v>
      </c>
      <c r="H795">
        <v>0</v>
      </c>
      <c r="I795" s="8">
        <f t="shared" si="49"/>
        <v>-6.0908184537297183E-2</v>
      </c>
      <c r="J795" s="8">
        <f t="shared" si="50"/>
        <v>-6.2842024508554278E-2</v>
      </c>
      <c r="K795" s="8">
        <f t="shared" si="47"/>
        <v>-0.36672575025976406</v>
      </c>
    </row>
    <row r="796" spans="1:11" x14ac:dyDescent="0.25">
      <c r="A796" t="str">
        <f t="shared" si="48"/>
        <v>32020</v>
      </c>
      <c r="B796" s="1">
        <v>43910</v>
      </c>
      <c r="C796" t="s">
        <v>506</v>
      </c>
      <c r="D796">
        <v>5230.2</v>
      </c>
      <c r="E796">
        <v>5423.2</v>
      </c>
      <c r="F796">
        <v>5154.1000000000004</v>
      </c>
      <c r="G796">
        <v>5370.15</v>
      </c>
      <c r="H796">
        <v>0</v>
      </c>
      <c r="I796" s="8">
        <f t="shared" si="49"/>
        <v>3.6608435479200674E-2</v>
      </c>
      <c r="J796" s="8">
        <f t="shared" si="50"/>
        <v>3.5954264381879701E-2</v>
      </c>
      <c r="K796" s="8">
        <f t="shared" si="47"/>
        <v>-0.34129602826092298</v>
      </c>
    </row>
    <row r="797" spans="1:11" x14ac:dyDescent="0.25">
      <c r="A797" t="str">
        <f t="shared" si="48"/>
        <v>32020</v>
      </c>
      <c r="B797" s="1">
        <v>43913</v>
      </c>
      <c r="C797" t="s">
        <v>507</v>
      </c>
      <c r="D797">
        <v>4908.1499999999996</v>
      </c>
      <c r="E797">
        <v>5013.8500000000004</v>
      </c>
      <c r="F797">
        <v>4593.05</v>
      </c>
      <c r="G797">
        <v>4626.5</v>
      </c>
      <c r="H797">
        <v>0</v>
      </c>
      <c r="I797" s="8">
        <f t="shared" si="49"/>
        <v>-0.13847844101188977</v>
      </c>
      <c r="J797" s="8">
        <f t="shared" si="50"/>
        <v>-0.14905519838460138</v>
      </c>
      <c r="K797" s="8">
        <f t="shared" si="47"/>
        <v>-0.43091030979193445</v>
      </c>
    </row>
    <row r="798" spans="1:11" x14ac:dyDescent="0.25">
      <c r="A798" t="str">
        <f t="shared" si="48"/>
        <v>32020</v>
      </c>
      <c r="B798" s="1">
        <v>43914</v>
      </c>
      <c r="C798" t="s">
        <v>508</v>
      </c>
      <c r="D798">
        <v>4726.3999999999996</v>
      </c>
      <c r="E798">
        <v>4850.8500000000004</v>
      </c>
      <c r="F798">
        <v>4452.2</v>
      </c>
      <c r="G798">
        <v>4693.3500000000004</v>
      </c>
      <c r="H798">
        <v>0</v>
      </c>
      <c r="I798" s="8">
        <f t="shared" si="49"/>
        <v>1.4449367772614297E-2</v>
      </c>
      <c r="J798" s="8">
        <f t="shared" si="50"/>
        <v>1.4345970484897138E-2</v>
      </c>
      <c r="K798" s="8">
        <f t="shared" si="47"/>
        <v>-0.42805176763060715</v>
      </c>
    </row>
    <row r="799" spans="1:11" x14ac:dyDescent="0.25">
      <c r="A799" t="str">
        <f t="shared" si="48"/>
        <v>32020</v>
      </c>
      <c r="B799" s="1">
        <v>43915</v>
      </c>
      <c r="C799" t="s">
        <v>509</v>
      </c>
      <c r="D799">
        <v>4600.05</v>
      </c>
      <c r="E799">
        <v>5001.8999999999996</v>
      </c>
      <c r="F799">
        <v>4577.1499999999996</v>
      </c>
      <c r="G799">
        <v>4936.1499999999996</v>
      </c>
      <c r="H799">
        <v>0</v>
      </c>
      <c r="I799" s="8">
        <f t="shared" si="49"/>
        <v>5.1732770835330788E-2</v>
      </c>
      <c r="J799" s="8">
        <f t="shared" si="50"/>
        <v>5.0439061928436266E-2</v>
      </c>
      <c r="K799" s="8">
        <f t="shared" si="47"/>
        <v>-0.40709755687414417</v>
      </c>
    </row>
    <row r="800" spans="1:11" x14ac:dyDescent="0.25">
      <c r="A800" t="str">
        <f t="shared" si="48"/>
        <v>32020</v>
      </c>
      <c r="B800" s="1">
        <v>43916</v>
      </c>
      <c r="C800" t="s">
        <v>510</v>
      </c>
      <c r="D800">
        <v>4981.8999999999996</v>
      </c>
      <c r="E800">
        <v>5163.7</v>
      </c>
      <c r="F800">
        <v>4847.1499999999996</v>
      </c>
      <c r="G800">
        <v>5061.3</v>
      </c>
      <c r="H800">
        <v>0</v>
      </c>
      <c r="I800" s="8">
        <f t="shared" si="49"/>
        <v>2.5353767612410705E-2</v>
      </c>
      <c r="J800" s="8">
        <f t="shared" si="50"/>
        <v>2.5037692177620693E-2</v>
      </c>
      <c r="K800" s="8">
        <f t="shared" si="47"/>
        <v>-0.38638264854576088</v>
      </c>
    </row>
    <row r="801" spans="1:11" x14ac:dyDescent="0.25">
      <c r="A801" t="str">
        <f t="shared" si="48"/>
        <v>32020</v>
      </c>
      <c r="B801" s="1">
        <v>43917</v>
      </c>
      <c r="C801" t="s">
        <v>511</v>
      </c>
      <c r="D801">
        <v>5245.6</v>
      </c>
      <c r="E801">
        <v>5284.75</v>
      </c>
      <c r="F801">
        <v>4866.05</v>
      </c>
      <c r="G801">
        <v>4938.7</v>
      </c>
      <c r="H801">
        <v>0</v>
      </c>
      <c r="I801" s="8">
        <f t="shared" si="49"/>
        <v>-2.4223025704858459E-2</v>
      </c>
      <c r="J801" s="8">
        <f t="shared" si="50"/>
        <v>-2.4521228624922259E-2</v>
      </c>
      <c r="K801" s="8">
        <f t="shared" si="47"/>
        <v>-0.39846043288145094</v>
      </c>
    </row>
    <row r="802" spans="1:11" x14ac:dyDescent="0.25">
      <c r="A802" t="str">
        <f t="shared" si="48"/>
        <v>32020</v>
      </c>
      <c r="B802" s="1">
        <v>43920</v>
      </c>
      <c r="C802" t="s">
        <v>512</v>
      </c>
      <c r="D802">
        <v>4834.1499999999996</v>
      </c>
      <c r="E802">
        <v>4848</v>
      </c>
      <c r="F802">
        <v>4625.5</v>
      </c>
      <c r="G802">
        <v>4669.1499999999996</v>
      </c>
      <c r="H802">
        <v>0</v>
      </c>
      <c r="I802" s="8">
        <f t="shared" si="49"/>
        <v>-5.4579140259582548E-2</v>
      </c>
      <c r="J802" s="8">
        <f t="shared" si="50"/>
        <v>-5.6125096406488072E-2</v>
      </c>
      <c r="K802" s="8">
        <f t="shared" si="47"/>
        <v>-0.43523698359228069</v>
      </c>
    </row>
    <row r="803" spans="1:11" x14ac:dyDescent="0.25">
      <c r="A803" t="str">
        <f t="shared" si="48"/>
        <v>32020</v>
      </c>
      <c r="B803" s="1">
        <v>43921</v>
      </c>
      <c r="C803" t="s">
        <v>513</v>
      </c>
      <c r="D803">
        <v>4787.8</v>
      </c>
      <c r="E803">
        <v>4794.3</v>
      </c>
      <c r="F803">
        <v>4630.2</v>
      </c>
      <c r="G803">
        <v>4731.3</v>
      </c>
      <c r="H803">
        <v>0</v>
      </c>
      <c r="I803" s="8">
        <f t="shared" si="49"/>
        <v>1.3310773909598117E-2</v>
      </c>
      <c r="J803" s="8">
        <f t="shared" si="50"/>
        <v>1.3222963912993137E-2</v>
      </c>
      <c r="K803" s="8">
        <f t="shared" si="47"/>
        <v>-0.42076235132802409</v>
      </c>
    </row>
    <row r="804" spans="1:11" x14ac:dyDescent="0.25">
      <c r="A804" t="str">
        <f t="shared" si="48"/>
        <v>42020</v>
      </c>
      <c r="B804" s="1">
        <v>43922</v>
      </c>
      <c r="C804" s="10">
        <v>43834.645833333336</v>
      </c>
      <c r="D804">
        <v>4708.95</v>
      </c>
      <c r="E804">
        <v>4803.55</v>
      </c>
      <c r="F804">
        <v>4612.7</v>
      </c>
      <c r="G804">
        <v>4657.55</v>
      </c>
      <c r="H804">
        <v>0</v>
      </c>
      <c r="I804" s="8">
        <f t="shared" si="49"/>
        <v>-1.5587682032422334E-2</v>
      </c>
      <c r="J804" s="8">
        <f t="shared" si="50"/>
        <v>-1.5710447370447671E-2</v>
      </c>
      <c r="K804" s="8">
        <f t="shared" si="47"/>
        <v>-0.4162556791477362</v>
      </c>
    </row>
    <row r="805" spans="1:11" x14ac:dyDescent="0.25">
      <c r="A805" t="str">
        <f t="shared" si="48"/>
        <v>42020</v>
      </c>
      <c r="B805" s="1">
        <v>43924</v>
      </c>
      <c r="C805" s="10">
        <v>43894.645833333336</v>
      </c>
      <c r="D805">
        <v>4652.75</v>
      </c>
      <c r="E805">
        <v>4659.8</v>
      </c>
      <c r="F805">
        <v>4511.1000000000004</v>
      </c>
      <c r="G805">
        <v>4517.75</v>
      </c>
      <c r="H805">
        <v>0</v>
      </c>
      <c r="I805" s="8">
        <f t="shared" si="49"/>
        <v>-3.0015780828976601E-2</v>
      </c>
      <c r="J805" s="8">
        <f t="shared" si="50"/>
        <v>-3.0475476512900633E-2</v>
      </c>
      <c r="K805" s="8">
        <f t="shared" si="47"/>
        <v>-0.43545766947828801</v>
      </c>
    </row>
    <row r="806" spans="1:11" x14ac:dyDescent="0.25">
      <c r="A806" t="str">
        <f t="shared" si="48"/>
        <v>42020</v>
      </c>
      <c r="B806" s="1">
        <v>43928</v>
      </c>
      <c r="C806" s="10">
        <v>44016.645833333336</v>
      </c>
      <c r="D806">
        <v>4665.1000000000004</v>
      </c>
      <c r="E806">
        <v>4970.8500000000004</v>
      </c>
      <c r="F806">
        <v>4656.5</v>
      </c>
      <c r="G806">
        <v>4951.55</v>
      </c>
      <c r="H806">
        <v>0</v>
      </c>
      <c r="I806" s="8">
        <f t="shared" si="49"/>
        <v>9.6021249515798823E-2</v>
      </c>
      <c r="J806" s="8">
        <f t="shared" si="50"/>
        <v>9.1686576582216198E-2</v>
      </c>
      <c r="K806" s="8">
        <f t="shared" si="47"/>
        <v>-0.37659500802618739</v>
      </c>
    </row>
    <row r="807" spans="1:11" x14ac:dyDescent="0.25">
      <c r="A807" t="str">
        <f t="shared" si="48"/>
        <v>42020</v>
      </c>
      <c r="B807" s="1">
        <v>43929</v>
      </c>
      <c r="C807" s="10">
        <v>44047.645833333336</v>
      </c>
      <c r="D807">
        <v>4833</v>
      </c>
      <c r="E807">
        <v>5257</v>
      </c>
      <c r="F807">
        <v>4830.3999999999996</v>
      </c>
      <c r="G807">
        <v>5043.6000000000004</v>
      </c>
      <c r="H807">
        <v>0</v>
      </c>
      <c r="I807" s="8">
        <f t="shared" si="49"/>
        <v>1.859013844149815E-2</v>
      </c>
      <c r="J807" s="8">
        <f t="shared" si="50"/>
        <v>1.8419453938581788E-2</v>
      </c>
      <c r="K807" s="8">
        <f t="shared" si="47"/>
        <v>-0.38155176113546485</v>
      </c>
    </row>
    <row r="808" spans="1:11" x14ac:dyDescent="0.25">
      <c r="A808" t="str">
        <f t="shared" si="48"/>
        <v>42020</v>
      </c>
      <c r="B808" s="1">
        <v>43930</v>
      </c>
      <c r="C808" s="10">
        <v>44078.645833333336</v>
      </c>
      <c r="D808">
        <v>5160.8500000000004</v>
      </c>
      <c r="E808">
        <v>5607.35</v>
      </c>
      <c r="F808">
        <v>5146.3999999999996</v>
      </c>
      <c r="G808">
        <v>5568.45</v>
      </c>
      <c r="H808">
        <v>0</v>
      </c>
      <c r="I808" s="8">
        <f t="shared" si="49"/>
        <v>0.10406257435165345</v>
      </c>
      <c r="J808" s="8">
        <f t="shared" si="50"/>
        <v>9.8996625915024727E-2</v>
      </c>
      <c r="K808" s="8">
        <f t="shared" si="47"/>
        <v>-0.32302595586894411</v>
      </c>
    </row>
    <row r="809" spans="1:11" x14ac:dyDescent="0.25">
      <c r="A809" t="str">
        <f t="shared" si="48"/>
        <v>42020</v>
      </c>
      <c r="B809" s="1">
        <v>43934</v>
      </c>
      <c r="C809" t="s">
        <v>514</v>
      </c>
      <c r="D809">
        <v>5554.4</v>
      </c>
      <c r="E809">
        <v>5554.4</v>
      </c>
      <c r="F809">
        <v>5308.85</v>
      </c>
      <c r="G809">
        <v>5432.1</v>
      </c>
      <c r="H809">
        <v>0</v>
      </c>
      <c r="I809" s="8">
        <f t="shared" si="49"/>
        <v>-2.4486167604988673E-2</v>
      </c>
      <c r="J809" s="8">
        <f t="shared" si="50"/>
        <v>-2.4790939219389442E-2</v>
      </c>
      <c r="K809" s="8">
        <f t="shared" si="47"/>
        <v>-0.34043237795734504</v>
      </c>
    </row>
    <row r="810" spans="1:11" x14ac:dyDescent="0.25">
      <c r="A810" t="str">
        <f t="shared" si="48"/>
        <v>42020</v>
      </c>
      <c r="B810" s="1">
        <v>43936</v>
      </c>
      <c r="C810" t="s">
        <v>515</v>
      </c>
      <c r="D810">
        <v>5495.55</v>
      </c>
      <c r="E810">
        <v>5592.8</v>
      </c>
      <c r="F810">
        <v>5314.25</v>
      </c>
      <c r="G810">
        <v>5333</v>
      </c>
      <c r="H810">
        <v>0</v>
      </c>
      <c r="I810" s="8">
        <f t="shared" si="49"/>
        <v>-1.8243404944680797E-2</v>
      </c>
      <c r="J810" s="8">
        <f t="shared" si="50"/>
        <v>-1.8411867894104469E-2</v>
      </c>
      <c r="K810" s="8">
        <f t="shared" si="47"/>
        <v>-0.35664048834039053</v>
      </c>
    </row>
    <row r="811" spans="1:11" x14ac:dyDescent="0.25">
      <c r="A811" t="str">
        <f t="shared" si="48"/>
        <v>42020</v>
      </c>
      <c r="B811" s="1">
        <v>43937</v>
      </c>
      <c r="C811" t="s">
        <v>516</v>
      </c>
      <c r="D811">
        <v>5271.25</v>
      </c>
      <c r="E811">
        <v>5420.4</v>
      </c>
      <c r="F811">
        <v>5235.6499999999996</v>
      </c>
      <c r="G811">
        <v>5394.15</v>
      </c>
      <c r="H811">
        <v>0</v>
      </c>
      <c r="I811" s="8">
        <f t="shared" si="49"/>
        <v>1.146634164635274E-2</v>
      </c>
      <c r="J811" s="8">
        <f t="shared" si="50"/>
        <v>1.1401101388725842E-2</v>
      </c>
      <c r="K811" s="8">
        <f t="shared" si="47"/>
        <v>-0.35671737017536542</v>
      </c>
    </row>
    <row r="812" spans="1:11" x14ac:dyDescent="0.25">
      <c r="A812" t="str">
        <f t="shared" si="48"/>
        <v>42020</v>
      </c>
      <c r="B812" s="1">
        <v>43938</v>
      </c>
      <c r="C812" t="s">
        <v>517</v>
      </c>
      <c r="D812">
        <v>5586.4</v>
      </c>
      <c r="E812">
        <v>5702.65</v>
      </c>
      <c r="F812">
        <v>5507.75</v>
      </c>
      <c r="G812">
        <v>5668.9</v>
      </c>
      <c r="H812">
        <v>0</v>
      </c>
      <c r="I812" s="8">
        <f t="shared" si="49"/>
        <v>5.093480900605285E-2</v>
      </c>
      <c r="J812" s="8">
        <f t="shared" si="50"/>
        <v>4.9680062384014088E-2</v>
      </c>
      <c r="K812" s="8">
        <f t="shared" si="47"/>
        <v>-0.32480139115520668</v>
      </c>
    </row>
    <row r="813" spans="1:11" x14ac:dyDescent="0.25">
      <c r="A813" t="str">
        <f t="shared" si="48"/>
        <v>42020</v>
      </c>
      <c r="B813" s="1">
        <v>43941</v>
      </c>
      <c r="C813" t="s">
        <v>518</v>
      </c>
      <c r="D813">
        <v>5724.9</v>
      </c>
      <c r="E813">
        <v>5728.45</v>
      </c>
      <c r="F813">
        <v>5565.95</v>
      </c>
      <c r="G813">
        <v>5591</v>
      </c>
      <c r="H813">
        <v>0</v>
      </c>
      <c r="I813" s="8">
        <f t="shared" si="49"/>
        <v>-1.3741642999523629E-2</v>
      </c>
      <c r="J813" s="8">
        <f t="shared" si="50"/>
        <v>-1.3836933346696905E-2</v>
      </c>
      <c r="K813" s="8">
        <f t="shared" si="47"/>
        <v>-0.33658455550809252</v>
      </c>
    </row>
    <row r="814" spans="1:11" x14ac:dyDescent="0.25">
      <c r="A814" t="str">
        <f t="shared" si="48"/>
        <v>42020</v>
      </c>
      <c r="B814" s="1">
        <v>43942</v>
      </c>
      <c r="C814" t="s">
        <v>519</v>
      </c>
      <c r="D814">
        <v>5447.9</v>
      </c>
      <c r="E814">
        <v>5447.9</v>
      </c>
      <c r="F814">
        <v>5268.15</v>
      </c>
      <c r="G814">
        <v>5294.05</v>
      </c>
      <c r="H814">
        <v>0</v>
      </c>
      <c r="I814" s="8">
        <f t="shared" si="49"/>
        <v>-5.3112144517975302E-2</v>
      </c>
      <c r="J814" s="8">
        <f t="shared" si="50"/>
        <v>-5.4574613629873529E-2</v>
      </c>
      <c r="K814" s="8">
        <f t="shared" si="47"/>
        <v>-0.36618698145509843</v>
      </c>
    </row>
    <row r="815" spans="1:11" x14ac:dyDescent="0.25">
      <c r="A815" t="str">
        <f t="shared" si="48"/>
        <v>42020</v>
      </c>
      <c r="B815" s="1">
        <v>43943</v>
      </c>
      <c r="C815" t="s">
        <v>520</v>
      </c>
      <c r="D815">
        <v>5267.8</v>
      </c>
      <c r="E815">
        <v>5468.25</v>
      </c>
      <c r="F815">
        <v>5243.6</v>
      </c>
      <c r="G815">
        <v>5426.85</v>
      </c>
      <c r="H815">
        <v>0</v>
      </c>
      <c r="I815" s="8">
        <f t="shared" si="49"/>
        <v>2.5084764971996965E-2</v>
      </c>
      <c r="J815" s="8">
        <f t="shared" si="50"/>
        <v>2.4775306704774548E-2</v>
      </c>
      <c r="K815" s="8">
        <f t="shared" si="47"/>
        <v>-0.34187293078984704</v>
      </c>
    </row>
    <row r="816" spans="1:11" x14ac:dyDescent="0.25">
      <c r="A816" t="str">
        <f t="shared" si="48"/>
        <v>42020</v>
      </c>
      <c r="B816" s="1">
        <v>43944</v>
      </c>
      <c r="C816" t="s">
        <v>521</v>
      </c>
      <c r="D816">
        <v>5439.1</v>
      </c>
      <c r="E816">
        <v>5518.7</v>
      </c>
      <c r="F816">
        <v>5390.95</v>
      </c>
      <c r="G816">
        <v>5464.75</v>
      </c>
      <c r="H816">
        <v>0</v>
      </c>
      <c r="I816" s="8">
        <f t="shared" si="49"/>
        <v>6.9837935450582922E-3</v>
      </c>
      <c r="J816" s="8">
        <f t="shared" si="50"/>
        <v>6.9595198085654446E-3</v>
      </c>
      <c r="K816" s="8">
        <f t="shared" si="47"/>
        <v>-0.33105035407600547</v>
      </c>
    </row>
    <row r="817" spans="1:11" x14ac:dyDescent="0.25">
      <c r="A817" t="str">
        <f t="shared" si="48"/>
        <v>42020</v>
      </c>
      <c r="B817" s="1">
        <v>43945</v>
      </c>
      <c r="C817" t="s">
        <v>522</v>
      </c>
      <c r="D817">
        <v>5405.9</v>
      </c>
      <c r="E817">
        <v>5462.5</v>
      </c>
      <c r="F817">
        <v>5362.85</v>
      </c>
      <c r="G817">
        <v>5377.25</v>
      </c>
      <c r="H817">
        <v>0</v>
      </c>
      <c r="I817" s="8">
        <f t="shared" si="49"/>
        <v>-1.6011711423212449E-2</v>
      </c>
      <c r="J817" s="8">
        <f t="shared" si="50"/>
        <v>-1.6141283853569423E-2</v>
      </c>
      <c r="K817" s="8">
        <f t="shared" si="47"/>
        <v>-0.34755968089301426</v>
      </c>
    </row>
    <row r="818" spans="1:11" x14ac:dyDescent="0.25">
      <c r="A818" t="str">
        <f t="shared" si="48"/>
        <v>42020</v>
      </c>
      <c r="B818" s="1">
        <v>43948</v>
      </c>
      <c r="C818" t="s">
        <v>523</v>
      </c>
      <c r="D818">
        <v>5458.65</v>
      </c>
      <c r="E818">
        <v>5528.8</v>
      </c>
      <c r="F818">
        <v>5405.7</v>
      </c>
      <c r="G818">
        <v>5433.2</v>
      </c>
      <c r="H818">
        <v>0</v>
      </c>
      <c r="I818" s="8">
        <f t="shared" si="49"/>
        <v>1.0404946766469747E-2</v>
      </c>
      <c r="J818" s="8">
        <f t="shared" si="50"/>
        <v>1.0351187891793227E-2</v>
      </c>
      <c r="K818" s="8">
        <f t="shared" si="47"/>
        <v>-0.34340803760793248</v>
      </c>
    </row>
    <row r="819" spans="1:11" x14ac:dyDescent="0.25">
      <c r="A819" t="str">
        <f t="shared" si="48"/>
        <v>42020</v>
      </c>
      <c r="B819" s="1">
        <v>43949</v>
      </c>
      <c r="C819" t="s">
        <v>524</v>
      </c>
      <c r="D819">
        <v>5476.85</v>
      </c>
      <c r="E819">
        <v>5524.05</v>
      </c>
      <c r="F819">
        <v>5399.3</v>
      </c>
      <c r="G819">
        <v>5447.1</v>
      </c>
      <c r="H819">
        <v>0</v>
      </c>
      <c r="I819" s="8">
        <f t="shared" si="49"/>
        <v>2.5583449900612454E-3</v>
      </c>
      <c r="J819" s="8">
        <f t="shared" si="50"/>
        <v>2.5550779963954243E-3</v>
      </c>
      <c r="K819" s="8">
        <f t="shared" si="47"/>
        <v>-0.34039706229603472</v>
      </c>
    </row>
    <row r="820" spans="1:11" x14ac:dyDescent="0.25">
      <c r="A820" t="str">
        <f t="shared" si="48"/>
        <v>42020</v>
      </c>
      <c r="B820" s="1">
        <v>43950</v>
      </c>
      <c r="C820" t="s">
        <v>525</v>
      </c>
      <c r="D820">
        <v>5492</v>
      </c>
      <c r="E820">
        <v>5568</v>
      </c>
      <c r="F820">
        <v>5461.05</v>
      </c>
      <c r="G820">
        <v>5543.75</v>
      </c>
      <c r="H820">
        <v>0</v>
      </c>
      <c r="I820" s="8">
        <f t="shared" si="49"/>
        <v>1.7743386389087679E-2</v>
      </c>
      <c r="J820" s="8">
        <f t="shared" si="50"/>
        <v>1.7587810113158561E-2</v>
      </c>
      <c r="K820" s="8">
        <f t="shared" si="47"/>
        <v>-0.32028984618779921</v>
      </c>
    </row>
    <row r="821" spans="1:11" x14ac:dyDescent="0.25">
      <c r="A821" t="str">
        <f t="shared" si="48"/>
        <v>42020</v>
      </c>
      <c r="B821" s="1">
        <v>43951</v>
      </c>
      <c r="C821" t="s">
        <v>526</v>
      </c>
      <c r="D821">
        <v>5667.35</v>
      </c>
      <c r="E821">
        <v>5926.5</v>
      </c>
      <c r="F821">
        <v>5660.55</v>
      </c>
      <c r="G821">
        <v>5901.4</v>
      </c>
      <c r="H821">
        <v>0</v>
      </c>
      <c r="I821" s="8">
        <f t="shared" si="49"/>
        <v>6.4514092446448679E-2</v>
      </c>
      <c r="J821" s="8">
        <f t="shared" si="50"/>
        <v>6.2518443823137509E-2</v>
      </c>
      <c r="K821" s="8">
        <f t="shared" si="47"/>
        <v>-0.28210306067831248</v>
      </c>
    </row>
    <row r="822" spans="1:11" x14ac:dyDescent="0.25">
      <c r="A822" t="str">
        <f t="shared" si="48"/>
        <v>52020</v>
      </c>
      <c r="B822" s="1">
        <v>43955</v>
      </c>
      <c r="C822" s="10">
        <v>43926.645833333336</v>
      </c>
      <c r="D822">
        <v>5647.85</v>
      </c>
      <c r="E822">
        <v>5652.8</v>
      </c>
      <c r="F822">
        <v>5436.05</v>
      </c>
      <c r="G822">
        <v>5476.2</v>
      </c>
      <c r="H822">
        <v>0</v>
      </c>
      <c r="I822" s="8">
        <f t="shared" si="49"/>
        <v>-7.2050699833937637E-2</v>
      </c>
      <c r="J822" s="8">
        <f t="shared" si="50"/>
        <v>-7.4778181130140453E-2</v>
      </c>
      <c r="K822" s="8">
        <f t="shared" si="47"/>
        <v>-0.33065654621124618</v>
      </c>
    </row>
    <row r="823" spans="1:11" x14ac:dyDescent="0.25">
      <c r="A823" t="str">
        <f t="shared" si="48"/>
        <v>52020</v>
      </c>
      <c r="B823" s="1">
        <v>43956</v>
      </c>
      <c r="C823" s="10">
        <v>43956.645833333336</v>
      </c>
      <c r="D823">
        <v>5582.15</v>
      </c>
      <c r="E823">
        <v>5602.1</v>
      </c>
      <c r="F823">
        <v>5442.75</v>
      </c>
      <c r="G823">
        <v>5451.9</v>
      </c>
      <c r="H823">
        <v>0</v>
      </c>
      <c r="I823" s="8">
        <f t="shared" si="49"/>
        <v>-4.4373835871590606E-3</v>
      </c>
      <c r="J823" s="8">
        <f t="shared" si="50"/>
        <v>-4.4472579955613873E-3</v>
      </c>
      <c r="K823" s="8">
        <f t="shared" si="47"/>
        <v>-0.32580643166739842</v>
      </c>
    </row>
    <row r="824" spans="1:11" x14ac:dyDescent="0.25">
      <c r="A824" t="str">
        <f t="shared" si="48"/>
        <v>52020</v>
      </c>
      <c r="B824" s="1">
        <v>43957</v>
      </c>
      <c r="C824" s="10">
        <v>43987.645833333336</v>
      </c>
      <c r="D824">
        <v>5471.6</v>
      </c>
      <c r="E824">
        <v>5593.3</v>
      </c>
      <c r="F824">
        <v>5351.2</v>
      </c>
      <c r="G824">
        <v>5552.4</v>
      </c>
      <c r="H824">
        <v>0</v>
      </c>
      <c r="I824" s="8">
        <f t="shared" si="49"/>
        <v>1.8433940461123566E-2</v>
      </c>
      <c r="J824" s="8">
        <f t="shared" si="50"/>
        <v>1.8266094945628825E-2</v>
      </c>
      <c r="K824" s="8">
        <f t="shared" si="47"/>
        <v>-0.29215588786476465</v>
      </c>
    </row>
    <row r="825" spans="1:11" x14ac:dyDescent="0.25">
      <c r="A825" t="str">
        <f t="shared" si="48"/>
        <v>52020</v>
      </c>
      <c r="B825" s="1">
        <v>43958</v>
      </c>
      <c r="C825" s="10">
        <v>44017.645833333336</v>
      </c>
      <c r="D825">
        <v>5549.95</v>
      </c>
      <c r="E825">
        <v>5616.4</v>
      </c>
      <c r="F825">
        <v>5505.45</v>
      </c>
      <c r="G825">
        <v>5519</v>
      </c>
      <c r="H825">
        <v>0</v>
      </c>
      <c r="I825" s="8">
        <f t="shared" si="49"/>
        <v>-6.0154167567177952E-3</v>
      </c>
      <c r="J825" s="8">
        <f t="shared" si="50"/>
        <v>-6.033582261452914E-3</v>
      </c>
      <c r="K825" s="8">
        <f t="shared" si="47"/>
        <v>-0.30911890440453915</v>
      </c>
    </row>
    <row r="826" spans="1:11" x14ac:dyDescent="0.25">
      <c r="A826" t="str">
        <f t="shared" si="48"/>
        <v>52020</v>
      </c>
      <c r="B826" s="1">
        <v>43959</v>
      </c>
      <c r="C826" s="10">
        <v>44048.645833333336</v>
      </c>
      <c r="D826">
        <v>5622.7</v>
      </c>
      <c r="E826">
        <v>5623.75</v>
      </c>
      <c r="F826">
        <v>5424.8</v>
      </c>
      <c r="G826">
        <v>5447.75</v>
      </c>
      <c r="H826">
        <v>0</v>
      </c>
      <c r="I826" s="8">
        <f t="shared" si="49"/>
        <v>-1.2909947454249004E-2</v>
      </c>
      <c r="J826" s="8">
        <f t="shared" si="50"/>
        <v>-1.2994005062470474E-2</v>
      </c>
      <c r="K826" s="8">
        <f t="shared" si="47"/>
        <v>-0.32750469089472645</v>
      </c>
    </row>
    <row r="827" spans="1:11" x14ac:dyDescent="0.25">
      <c r="A827" t="str">
        <f t="shared" si="48"/>
        <v>52020</v>
      </c>
      <c r="B827" s="1">
        <v>43962</v>
      </c>
      <c r="C827" s="10">
        <v>44140.645833333336</v>
      </c>
      <c r="D827">
        <v>5517.6</v>
      </c>
      <c r="E827">
        <v>5789.7</v>
      </c>
      <c r="F827">
        <v>5514.4</v>
      </c>
      <c r="G827">
        <v>5679.7</v>
      </c>
      <c r="H827">
        <v>0</v>
      </c>
      <c r="I827" s="8">
        <f t="shared" si="49"/>
        <v>4.2577210775090579E-2</v>
      </c>
      <c r="J827" s="8">
        <f t="shared" si="50"/>
        <v>4.1695735041896026E-2</v>
      </c>
      <c r="K827" s="8">
        <f t="shared" si="47"/>
        <v>-0.30153596418952988</v>
      </c>
    </row>
    <row r="828" spans="1:11" x14ac:dyDescent="0.25">
      <c r="A828" t="str">
        <f t="shared" si="48"/>
        <v>52020</v>
      </c>
      <c r="B828" s="1">
        <v>43963</v>
      </c>
      <c r="C828" s="10">
        <v>44170.645833333336</v>
      </c>
      <c r="D828">
        <v>5653.6</v>
      </c>
      <c r="E828">
        <v>5735.65</v>
      </c>
      <c r="F828">
        <v>5502.8</v>
      </c>
      <c r="G828">
        <v>5708.95</v>
      </c>
      <c r="H828">
        <v>0</v>
      </c>
      <c r="I828" s="8">
        <f t="shared" si="49"/>
        <v>5.149919890135024E-3</v>
      </c>
      <c r="J828" s="8">
        <f t="shared" si="50"/>
        <v>5.1367044057361909E-3</v>
      </c>
      <c r="K828" s="8">
        <f t="shared" si="47"/>
        <v>-0.29883998698132552</v>
      </c>
    </row>
    <row r="829" spans="1:11" x14ac:dyDescent="0.25">
      <c r="A829" t="str">
        <f t="shared" si="48"/>
        <v>52020</v>
      </c>
      <c r="B829" s="1">
        <v>43964</v>
      </c>
      <c r="C829" t="s">
        <v>527</v>
      </c>
      <c r="D829">
        <v>6014.2</v>
      </c>
      <c r="E829">
        <v>6033.95</v>
      </c>
      <c r="F829">
        <v>5815.5</v>
      </c>
      <c r="G829">
        <v>5844.6</v>
      </c>
      <c r="H829">
        <v>0</v>
      </c>
      <c r="I829" s="8">
        <f t="shared" si="49"/>
        <v>2.3760936774713581E-2</v>
      </c>
      <c r="J829" s="8">
        <f t="shared" si="50"/>
        <v>2.348303918030201E-2</v>
      </c>
      <c r="K829" s="8">
        <f t="shared" si="47"/>
        <v>-0.27527713711777402</v>
      </c>
    </row>
    <row r="830" spans="1:11" x14ac:dyDescent="0.25">
      <c r="A830" t="str">
        <f t="shared" si="48"/>
        <v>52020</v>
      </c>
      <c r="B830" s="1">
        <v>43965</v>
      </c>
      <c r="C830" t="s">
        <v>528</v>
      </c>
      <c r="D830">
        <v>5698.55</v>
      </c>
      <c r="E830">
        <v>5865.95</v>
      </c>
      <c r="F830">
        <v>5668.4</v>
      </c>
      <c r="G830">
        <v>5804.05</v>
      </c>
      <c r="H830">
        <v>0</v>
      </c>
      <c r="I830" s="8">
        <f t="shared" si="49"/>
        <v>-6.9380282654074588E-3</v>
      </c>
      <c r="J830" s="8">
        <f t="shared" si="50"/>
        <v>-6.9622082895439575E-3</v>
      </c>
      <c r="K830" s="8">
        <f t="shared" si="47"/>
        <v>-0.2616229144271075</v>
      </c>
    </row>
    <row r="831" spans="1:11" x14ac:dyDescent="0.25">
      <c r="A831" t="str">
        <f t="shared" si="48"/>
        <v>52020</v>
      </c>
      <c r="B831" s="1">
        <v>43966</v>
      </c>
      <c r="C831" t="s">
        <v>529</v>
      </c>
      <c r="D831">
        <v>5823.3</v>
      </c>
      <c r="E831">
        <v>5827.15</v>
      </c>
      <c r="F831">
        <v>5680.25</v>
      </c>
      <c r="G831">
        <v>5745.7</v>
      </c>
      <c r="H831">
        <v>0</v>
      </c>
      <c r="I831" s="8">
        <f t="shared" si="49"/>
        <v>-1.0053324833521504E-2</v>
      </c>
      <c r="J831" s="8">
        <f t="shared" si="50"/>
        <v>-1.0104200772393677E-2</v>
      </c>
      <c r="K831" s="8">
        <f t="shared" si="47"/>
        <v>-0.27199584410318789</v>
      </c>
    </row>
    <row r="832" spans="1:11" x14ac:dyDescent="0.25">
      <c r="A832" t="str">
        <f t="shared" si="48"/>
        <v>52020</v>
      </c>
      <c r="B832" s="1">
        <v>43969</v>
      </c>
      <c r="C832" t="s">
        <v>530</v>
      </c>
      <c r="D832">
        <v>5747.5</v>
      </c>
      <c r="E832">
        <v>5752.15</v>
      </c>
      <c r="F832">
        <v>5411.95</v>
      </c>
      <c r="G832">
        <v>5430.05</v>
      </c>
      <c r="H832">
        <v>0</v>
      </c>
      <c r="I832" s="8">
        <f t="shared" si="49"/>
        <v>-5.4936735297700823E-2</v>
      </c>
      <c r="J832" s="8">
        <f t="shared" si="50"/>
        <v>-5.6503406954309859E-2</v>
      </c>
      <c r="K832" s="8">
        <f t="shared" ref="K832:K895" si="51">+G832/G771-1</f>
        <v>-0.31558017595603616</v>
      </c>
    </row>
    <row r="833" spans="1:11" x14ac:dyDescent="0.25">
      <c r="A833" t="str">
        <f t="shared" si="48"/>
        <v>52020</v>
      </c>
      <c r="B833" s="1">
        <v>43970</v>
      </c>
      <c r="C833" t="s">
        <v>531</v>
      </c>
      <c r="D833">
        <v>5538.65</v>
      </c>
      <c r="E833">
        <v>5575.6</v>
      </c>
      <c r="F833">
        <v>5456.1</v>
      </c>
      <c r="G833">
        <v>5486.15</v>
      </c>
      <c r="H833">
        <v>0</v>
      </c>
      <c r="I833" s="8">
        <f t="shared" si="49"/>
        <v>1.0331396580141927E-2</v>
      </c>
      <c r="J833" s="8">
        <f t="shared" si="50"/>
        <v>1.0278392460956871E-2</v>
      </c>
      <c r="K833" s="8">
        <f t="shared" si="51"/>
        <v>-0.30685795145864136</v>
      </c>
    </row>
    <row r="834" spans="1:11" x14ac:dyDescent="0.25">
      <c r="A834" t="str">
        <f t="shared" si="48"/>
        <v>52020</v>
      </c>
      <c r="B834" s="1">
        <v>43971</v>
      </c>
      <c r="C834" t="s">
        <v>532</v>
      </c>
      <c r="D834">
        <v>5464.85</v>
      </c>
      <c r="E834">
        <v>5632.45</v>
      </c>
      <c r="F834">
        <v>5436.35</v>
      </c>
      <c r="G834">
        <v>5603.8</v>
      </c>
      <c r="H834">
        <v>0</v>
      </c>
      <c r="I834" s="8">
        <f t="shared" si="49"/>
        <v>2.1444911276578438E-2</v>
      </c>
      <c r="J834" s="8">
        <f t="shared" si="50"/>
        <v>2.1218204576644355E-2</v>
      </c>
      <c r="K834" s="8">
        <f t="shared" si="51"/>
        <v>-0.28360307841783639</v>
      </c>
    </row>
    <row r="835" spans="1:11" x14ac:dyDescent="0.25">
      <c r="A835" t="str">
        <f t="shared" ref="A835:A898" si="52">+MONTH(B835)&amp;YEAR(B835)</f>
        <v>52020</v>
      </c>
      <c r="B835" s="1">
        <v>43972</v>
      </c>
      <c r="C835" t="s">
        <v>533</v>
      </c>
      <c r="D835">
        <v>5616.95</v>
      </c>
      <c r="E835">
        <v>5784.3</v>
      </c>
      <c r="F835">
        <v>5588.35</v>
      </c>
      <c r="G835">
        <v>5749.9</v>
      </c>
      <c r="H835">
        <v>0</v>
      </c>
      <c r="I835" s="8">
        <f t="shared" si="49"/>
        <v>2.6071594275313137E-2</v>
      </c>
      <c r="J835" s="8">
        <f t="shared" si="50"/>
        <v>2.573752430949907E-2</v>
      </c>
      <c r="K835" s="8">
        <f t="shared" si="51"/>
        <v>-0.26003474679879035</v>
      </c>
    </row>
    <row r="836" spans="1:11" x14ac:dyDescent="0.25">
      <c r="A836" t="str">
        <f t="shared" si="52"/>
        <v>52020</v>
      </c>
      <c r="B836" s="1">
        <v>43973</v>
      </c>
      <c r="C836" t="s">
        <v>534</v>
      </c>
      <c r="D836">
        <v>5707.25</v>
      </c>
      <c r="E836">
        <v>5789.25</v>
      </c>
      <c r="F836">
        <v>5639.65</v>
      </c>
      <c r="G836">
        <v>5767</v>
      </c>
      <c r="H836">
        <v>0</v>
      </c>
      <c r="I836" s="8">
        <f t="shared" ref="I836:I899" si="53">+G836/G835-1</f>
        <v>2.973964764604764E-3</v>
      </c>
      <c r="J836" s="8">
        <f t="shared" ref="J836:J899" si="54">+LN(1+I836)</f>
        <v>2.9695512795949739E-3</v>
      </c>
      <c r="K836" s="8">
        <f t="shared" si="51"/>
        <v>-0.25028925028925031</v>
      </c>
    </row>
    <row r="837" spans="1:11" x14ac:dyDescent="0.25">
      <c r="A837" t="str">
        <f t="shared" si="52"/>
        <v>52020</v>
      </c>
      <c r="B837" s="1">
        <v>43977</v>
      </c>
      <c r="C837" t="s">
        <v>535</v>
      </c>
      <c r="D837">
        <v>5817.2</v>
      </c>
      <c r="E837">
        <v>5872.75</v>
      </c>
      <c r="F837">
        <v>5775.4</v>
      </c>
      <c r="G837">
        <v>5854.3</v>
      </c>
      <c r="H837">
        <v>0</v>
      </c>
      <c r="I837" s="8">
        <f t="shared" si="53"/>
        <v>1.5137853303277327E-2</v>
      </c>
      <c r="J837" s="8">
        <f t="shared" si="54"/>
        <v>1.5024419333926457E-2</v>
      </c>
      <c r="K837" s="8">
        <f t="shared" si="51"/>
        <v>-0.23845018114174588</v>
      </c>
    </row>
    <row r="838" spans="1:11" x14ac:dyDescent="0.25">
      <c r="A838" t="str">
        <f t="shared" si="52"/>
        <v>52020</v>
      </c>
      <c r="B838" s="1">
        <v>43978</v>
      </c>
      <c r="C838" t="s">
        <v>536</v>
      </c>
      <c r="D838">
        <v>5872.45</v>
      </c>
      <c r="E838">
        <v>5910.75</v>
      </c>
      <c r="F838">
        <v>5791.25</v>
      </c>
      <c r="G838">
        <v>5896.95</v>
      </c>
      <c r="H838">
        <v>0</v>
      </c>
      <c r="I838" s="8">
        <f t="shared" si="53"/>
        <v>7.2852433254189108E-3</v>
      </c>
      <c r="J838" s="8">
        <f t="shared" si="54"/>
        <v>7.2588341276491799E-3</v>
      </c>
      <c r="K838" s="8">
        <f t="shared" si="51"/>
        <v>-0.23395341586666496</v>
      </c>
    </row>
    <row r="839" spans="1:11" x14ac:dyDescent="0.25">
      <c r="A839" t="str">
        <f t="shared" si="52"/>
        <v>52020</v>
      </c>
      <c r="B839" s="1">
        <v>43979</v>
      </c>
      <c r="C839" t="s">
        <v>537</v>
      </c>
      <c r="D839">
        <v>5922.15</v>
      </c>
      <c r="E839">
        <v>6131.35</v>
      </c>
      <c r="F839">
        <v>5876.4</v>
      </c>
      <c r="G839">
        <v>6112.3</v>
      </c>
      <c r="H839">
        <v>0</v>
      </c>
      <c r="I839" s="8">
        <f t="shared" si="53"/>
        <v>3.6518878403242416E-2</v>
      </c>
      <c r="J839" s="8">
        <f t="shared" si="54"/>
        <v>3.5867866334432973E-2</v>
      </c>
      <c r="K839" s="8">
        <f t="shared" si="51"/>
        <v>-0.17724892651869006</v>
      </c>
    </row>
    <row r="840" spans="1:11" x14ac:dyDescent="0.25">
      <c r="A840" t="str">
        <f t="shared" si="52"/>
        <v>52020</v>
      </c>
      <c r="B840" s="1">
        <v>43980</v>
      </c>
      <c r="C840" t="s">
        <v>538</v>
      </c>
      <c r="D840">
        <v>6036.45</v>
      </c>
      <c r="E840">
        <v>6246.95</v>
      </c>
      <c r="F840">
        <v>6016</v>
      </c>
      <c r="G840">
        <v>6218.8</v>
      </c>
      <c r="H840">
        <v>0</v>
      </c>
      <c r="I840" s="8">
        <f t="shared" si="53"/>
        <v>1.7423882990036388E-2</v>
      </c>
      <c r="J840" s="8">
        <f t="shared" si="54"/>
        <v>1.7273827664164465E-2</v>
      </c>
      <c r="K840" s="8">
        <f t="shared" si="51"/>
        <v>-0.15574260114037464</v>
      </c>
    </row>
    <row r="841" spans="1:11" x14ac:dyDescent="0.25">
      <c r="A841" t="str">
        <f t="shared" si="52"/>
        <v>62020</v>
      </c>
      <c r="B841" s="1">
        <v>43983</v>
      </c>
      <c r="C841" s="10">
        <v>43836.645833333336</v>
      </c>
      <c r="D841">
        <v>6299.05</v>
      </c>
      <c r="E841">
        <v>6485.85</v>
      </c>
      <c r="F841">
        <v>6294.05</v>
      </c>
      <c r="G841">
        <v>6419.5</v>
      </c>
      <c r="H841">
        <v>0</v>
      </c>
      <c r="I841" s="8">
        <f t="shared" si="53"/>
        <v>3.2273107351900698E-2</v>
      </c>
      <c r="J841" s="8">
        <f t="shared" si="54"/>
        <v>3.1763270955552654E-2</v>
      </c>
      <c r="K841" s="8">
        <f t="shared" si="51"/>
        <v>-0.10938616388848421</v>
      </c>
    </row>
    <row r="842" spans="1:11" x14ac:dyDescent="0.25">
      <c r="A842" t="str">
        <f t="shared" si="52"/>
        <v>62020</v>
      </c>
      <c r="B842" s="1">
        <v>43984</v>
      </c>
      <c r="C842" s="10">
        <v>43867.645833333336</v>
      </c>
      <c r="D842">
        <v>6455.8</v>
      </c>
      <c r="E842">
        <v>6542.65</v>
      </c>
      <c r="F842">
        <v>6395.5</v>
      </c>
      <c r="G842">
        <v>6471.3</v>
      </c>
      <c r="H842">
        <v>0</v>
      </c>
      <c r="I842" s="8">
        <f t="shared" si="53"/>
        <v>8.0691642651296025E-3</v>
      </c>
      <c r="J842" s="8">
        <f t="shared" si="54"/>
        <v>8.0367826376424225E-3</v>
      </c>
      <c r="K842" s="8">
        <f t="shared" si="51"/>
        <v>-9.8560354374307879E-2</v>
      </c>
    </row>
    <row r="843" spans="1:11" x14ac:dyDescent="0.25">
      <c r="A843" t="str">
        <f t="shared" si="52"/>
        <v>62020</v>
      </c>
      <c r="B843" s="1">
        <v>43985</v>
      </c>
      <c r="C843" s="10">
        <v>43896.645833333336</v>
      </c>
      <c r="D843">
        <v>6567.95</v>
      </c>
      <c r="E843">
        <v>6622.1</v>
      </c>
      <c r="F843">
        <v>6475.3</v>
      </c>
      <c r="G843">
        <v>6498.65</v>
      </c>
      <c r="H843">
        <v>0</v>
      </c>
      <c r="I843" s="8">
        <f t="shared" si="53"/>
        <v>4.2263532829569517E-3</v>
      </c>
      <c r="J843" s="8">
        <f t="shared" si="54"/>
        <v>4.2174473362210892E-3</v>
      </c>
      <c r="K843" s="8">
        <f t="shared" si="51"/>
        <v>-5.8705523649504987E-2</v>
      </c>
    </row>
    <row r="844" spans="1:11" x14ac:dyDescent="0.25">
      <c r="A844" t="str">
        <f t="shared" si="52"/>
        <v>62020</v>
      </c>
      <c r="B844" s="1">
        <v>43986</v>
      </c>
      <c r="C844" s="10">
        <v>43927.645833333336</v>
      </c>
      <c r="D844">
        <v>6501.65</v>
      </c>
      <c r="E844">
        <v>6564.95</v>
      </c>
      <c r="F844">
        <v>6411.25</v>
      </c>
      <c r="G844">
        <v>6511.35</v>
      </c>
      <c r="H844">
        <v>0</v>
      </c>
      <c r="I844" s="8">
        <f t="shared" si="53"/>
        <v>1.9542520369615346E-3</v>
      </c>
      <c r="J844" s="8">
        <f t="shared" si="54"/>
        <v>1.9523449706375106E-3</v>
      </c>
      <c r="K844" s="8">
        <f t="shared" si="51"/>
        <v>-5.0394493138298579E-2</v>
      </c>
    </row>
    <row r="845" spans="1:11" x14ac:dyDescent="0.25">
      <c r="A845" t="str">
        <f t="shared" si="52"/>
        <v>62020</v>
      </c>
      <c r="B845" s="1">
        <v>43987</v>
      </c>
      <c r="C845" s="10">
        <v>43957.645833333336</v>
      </c>
      <c r="D845">
        <v>6563.8</v>
      </c>
      <c r="E845">
        <v>6645.15</v>
      </c>
      <c r="F845">
        <v>6527</v>
      </c>
      <c r="G845">
        <v>6628.75</v>
      </c>
      <c r="H845">
        <v>0</v>
      </c>
      <c r="I845" s="8">
        <f t="shared" si="53"/>
        <v>1.8030055211284868E-2</v>
      </c>
      <c r="J845" s="8">
        <f t="shared" si="54"/>
        <v>1.7869441475700184E-2</v>
      </c>
      <c r="K845" s="8">
        <f t="shared" si="51"/>
        <v>-5.122626723823287E-2</v>
      </c>
    </row>
    <row r="846" spans="1:11" x14ac:dyDescent="0.25">
      <c r="A846" t="str">
        <f t="shared" si="52"/>
        <v>62020</v>
      </c>
      <c r="B846" s="1">
        <v>43990</v>
      </c>
      <c r="C846" s="10">
        <v>44049.645833333336</v>
      </c>
      <c r="D846">
        <v>6707.95</v>
      </c>
      <c r="E846">
        <v>6743.15</v>
      </c>
      <c r="F846">
        <v>6588.5</v>
      </c>
      <c r="G846">
        <v>6610.55</v>
      </c>
      <c r="H846">
        <v>0</v>
      </c>
      <c r="I846" s="8">
        <f t="shared" si="53"/>
        <v>-2.7456156892324834E-3</v>
      </c>
      <c r="J846" s="8">
        <f t="shared" si="54"/>
        <v>-2.7493918054152791E-3</v>
      </c>
      <c r="K846" s="8">
        <f t="shared" si="51"/>
        <v>-4.7313315607053097E-2</v>
      </c>
    </row>
    <row r="847" spans="1:11" x14ac:dyDescent="0.25">
      <c r="A847" t="str">
        <f t="shared" si="52"/>
        <v>62020</v>
      </c>
      <c r="B847" s="1">
        <v>43991</v>
      </c>
      <c r="C847" s="10">
        <v>44080.645833333336</v>
      </c>
      <c r="D847">
        <v>6648.95</v>
      </c>
      <c r="E847">
        <v>6665.75</v>
      </c>
      <c r="F847">
        <v>6525.25</v>
      </c>
      <c r="G847">
        <v>6577.7</v>
      </c>
      <c r="H847">
        <v>0</v>
      </c>
      <c r="I847" s="8">
        <f t="shared" si="53"/>
        <v>-4.9693293296322327E-3</v>
      </c>
      <c r="J847" s="8">
        <f t="shared" si="54"/>
        <v>-4.9817175042790275E-3</v>
      </c>
      <c r="K847" s="8">
        <f t="shared" si="51"/>
        <v>-5.4078734495775715E-2</v>
      </c>
    </row>
    <row r="848" spans="1:11" x14ac:dyDescent="0.25">
      <c r="A848" t="str">
        <f t="shared" si="52"/>
        <v>62020</v>
      </c>
      <c r="B848" s="1">
        <v>43992</v>
      </c>
      <c r="C848" s="10">
        <v>44110.645833333336</v>
      </c>
      <c r="D848">
        <v>6568.8</v>
      </c>
      <c r="E848">
        <v>6598.5</v>
      </c>
      <c r="F848">
        <v>6470.5</v>
      </c>
      <c r="G848">
        <v>6502.65</v>
      </c>
      <c r="H848">
        <v>0</v>
      </c>
      <c r="I848" s="8">
        <f t="shared" si="53"/>
        <v>-1.1409763291119979E-2</v>
      </c>
      <c r="J848" s="8">
        <f t="shared" si="54"/>
        <v>-1.1475354034152521E-2</v>
      </c>
      <c r="K848" s="8">
        <f t="shared" si="51"/>
        <v>-5.6903553299492482E-2</v>
      </c>
    </row>
    <row r="849" spans="1:11" x14ac:dyDescent="0.25">
      <c r="A849" t="str">
        <f t="shared" si="52"/>
        <v>62020</v>
      </c>
      <c r="B849" s="1">
        <v>43993</v>
      </c>
      <c r="C849" s="10">
        <v>44141.645833333336</v>
      </c>
      <c r="D849">
        <v>6491.95</v>
      </c>
      <c r="E849">
        <v>6549.9</v>
      </c>
      <c r="F849">
        <v>6345.8</v>
      </c>
      <c r="G849">
        <v>6373.6</v>
      </c>
      <c r="H849">
        <v>0</v>
      </c>
      <c r="I849" s="8">
        <f t="shared" si="53"/>
        <v>-1.9845755192113845E-2</v>
      </c>
      <c r="J849" s="8">
        <f t="shared" si="54"/>
        <v>-2.0045327041336498E-2</v>
      </c>
      <c r="K849" s="8">
        <f t="shared" si="51"/>
        <v>-3.8984341427741986E-2</v>
      </c>
    </row>
    <row r="850" spans="1:11" x14ac:dyDescent="0.25">
      <c r="A850" t="str">
        <f t="shared" si="52"/>
        <v>62020</v>
      </c>
      <c r="B850" s="1">
        <v>43994</v>
      </c>
      <c r="C850" s="10">
        <v>44171.645833333336</v>
      </c>
      <c r="D850">
        <v>6075.3</v>
      </c>
      <c r="E850">
        <v>6578.4</v>
      </c>
      <c r="F850">
        <v>6074.15</v>
      </c>
      <c r="G850">
        <v>6559.4</v>
      </c>
      <c r="H850">
        <v>0</v>
      </c>
      <c r="I850" s="8">
        <f t="shared" si="53"/>
        <v>2.9151499937241088E-2</v>
      </c>
      <c r="J850" s="8">
        <f t="shared" si="54"/>
        <v>2.8734676274311085E-2</v>
      </c>
      <c r="K850" s="8">
        <f t="shared" si="51"/>
        <v>-1.3777984151512879E-3</v>
      </c>
    </row>
    <row r="851" spans="1:11" x14ac:dyDescent="0.25">
      <c r="A851" t="str">
        <f t="shared" si="52"/>
        <v>62020</v>
      </c>
      <c r="B851" s="1">
        <v>43997</v>
      </c>
      <c r="C851" t="s">
        <v>539</v>
      </c>
      <c r="D851">
        <v>6530.75</v>
      </c>
      <c r="E851">
        <v>6573.2</v>
      </c>
      <c r="F851">
        <v>6417.75</v>
      </c>
      <c r="G851">
        <v>6443</v>
      </c>
      <c r="H851">
        <v>0</v>
      </c>
      <c r="I851" s="8">
        <f t="shared" si="53"/>
        <v>-1.7745525505381554E-2</v>
      </c>
      <c r="J851" s="8">
        <f t="shared" si="54"/>
        <v>-1.7904865201824941E-2</v>
      </c>
      <c r="K851" s="8">
        <f t="shared" si="51"/>
        <v>6.7888752610468561E-2</v>
      </c>
    </row>
    <row r="852" spans="1:11" x14ac:dyDescent="0.25">
      <c r="A852" t="str">
        <f t="shared" si="52"/>
        <v>62020</v>
      </c>
      <c r="B852" s="1">
        <v>43998</v>
      </c>
      <c r="C852" t="s">
        <v>540</v>
      </c>
      <c r="D852">
        <v>6561.2</v>
      </c>
      <c r="E852">
        <v>6582.65</v>
      </c>
      <c r="F852">
        <v>6355.75</v>
      </c>
      <c r="G852">
        <v>6451.05</v>
      </c>
      <c r="H852">
        <v>0</v>
      </c>
      <c r="I852" s="8">
        <f t="shared" si="53"/>
        <v>1.2494179729940491E-3</v>
      </c>
      <c r="J852" s="8">
        <f t="shared" si="54"/>
        <v>1.2486380998824945E-3</v>
      </c>
      <c r="K852" s="8">
        <f t="shared" si="51"/>
        <v>4.3521514073115553E-2</v>
      </c>
    </row>
    <row r="853" spans="1:11" x14ac:dyDescent="0.25">
      <c r="A853" t="str">
        <f t="shared" si="52"/>
        <v>62020</v>
      </c>
      <c r="B853" s="1">
        <v>43999</v>
      </c>
      <c r="C853" t="s">
        <v>541</v>
      </c>
      <c r="D853">
        <v>6418.85</v>
      </c>
      <c r="E853">
        <v>6545.5</v>
      </c>
      <c r="F853">
        <v>6394.45</v>
      </c>
      <c r="G853">
        <v>6503.5</v>
      </c>
      <c r="H853">
        <v>0</v>
      </c>
      <c r="I853" s="8">
        <f t="shared" si="53"/>
        <v>8.1304593825810567E-3</v>
      </c>
      <c r="J853" s="8">
        <f t="shared" si="54"/>
        <v>8.0975852652705772E-3</v>
      </c>
      <c r="K853" s="8">
        <f t="shared" si="51"/>
        <v>0.11290791792870958</v>
      </c>
    </row>
    <row r="854" spans="1:11" x14ac:dyDescent="0.25">
      <c r="A854" t="str">
        <f t="shared" si="52"/>
        <v>62020</v>
      </c>
      <c r="B854" s="1">
        <v>44000</v>
      </c>
      <c r="C854" t="s">
        <v>542</v>
      </c>
      <c r="D854">
        <v>6487.1</v>
      </c>
      <c r="E854">
        <v>6557.05</v>
      </c>
      <c r="F854">
        <v>6454.65</v>
      </c>
      <c r="G854">
        <v>6535.9</v>
      </c>
      <c r="H854">
        <v>0</v>
      </c>
      <c r="I854" s="8">
        <f t="shared" si="53"/>
        <v>4.9819328054123702E-3</v>
      </c>
      <c r="J854" s="8">
        <f t="shared" si="54"/>
        <v>4.9695640413979416E-3</v>
      </c>
      <c r="K854" s="8">
        <f t="shared" si="51"/>
        <v>0.12613179182783818</v>
      </c>
    </row>
    <row r="855" spans="1:11" x14ac:dyDescent="0.25">
      <c r="A855" t="str">
        <f t="shared" si="52"/>
        <v>62020</v>
      </c>
      <c r="B855" s="1">
        <v>44001</v>
      </c>
      <c r="C855" t="s">
        <v>543</v>
      </c>
      <c r="D855">
        <v>6567.8</v>
      </c>
      <c r="E855">
        <v>6664.75</v>
      </c>
      <c r="F855">
        <v>6500.15</v>
      </c>
      <c r="G855">
        <v>6634.5</v>
      </c>
      <c r="H855">
        <v>0</v>
      </c>
      <c r="I855" s="8">
        <f t="shared" si="53"/>
        <v>1.5085910127143887E-2</v>
      </c>
      <c r="J855" s="8">
        <f t="shared" si="54"/>
        <v>1.4973249431297589E-2</v>
      </c>
      <c r="K855" s="8">
        <f t="shared" si="51"/>
        <v>0.20266473307350674</v>
      </c>
    </row>
    <row r="856" spans="1:11" x14ac:dyDescent="0.25">
      <c r="A856" t="str">
        <f t="shared" si="52"/>
        <v>62020</v>
      </c>
      <c r="B856" s="1">
        <v>44004</v>
      </c>
      <c r="C856" t="s">
        <v>544</v>
      </c>
      <c r="D856">
        <v>6656.3</v>
      </c>
      <c r="E856">
        <v>6753.05</v>
      </c>
      <c r="F856">
        <v>6636.5</v>
      </c>
      <c r="G856">
        <v>6729.1</v>
      </c>
      <c r="H856">
        <v>0</v>
      </c>
      <c r="I856" s="8">
        <f t="shared" si="53"/>
        <v>1.425879870374569E-2</v>
      </c>
      <c r="J856" s="8">
        <f t="shared" si="54"/>
        <v>1.415809815059276E-2</v>
      </c>
      <c r="K856" s="8">
        <f t="shared" si="51"/>
        <v>0.29892867483833618</v>
      </c>
    </row>
    <row r="857" spans="1:11" x14ac:dyDescent="0.25">
      <c r="A857" t="str">
        <f t="shared" si="52"/>
        <v>62020</v>
      </c>
      <c r="B857" s="1">
        <v>44005</v>
      </c>
      <c r="C857" t="s">
        <v>545</v>
      </c>
      <c r="D857">
        <v>6763.05</v>
      </c>
      <c r="E857">
        <v>6817.65</v>
      </c>
      <c r="F857">
        <v>6744.1</v>
      </c>
      <c r="G857">
        <v>6789.2</v>
      </c>
      <c r="H857">
        <v>0</v>
      </c>
      <c r="I857" s="8">
        <f t="shared" si="53"/>
        <v>8.9313578338856559E-3</v>
      </c>
      <c r="J857" s="8">
        <f t="shared" si="54"/>
        <v>8.8917091602925286E-3</v>
      </c>
      <c r="K857" s="8">
        <f t="shared" si="51"/>
        <v>0.26424773982104788</v>
      </c>
    </row>
    <row r="858" spans="1:11" x14ac:dyDescent="0.25">
      <c r="A858" t="str">
        <f t="shared" si="52"/>
        <v>62020</v>
      </c>
      <c r="B858" s="1">
        <v>44006</v>
      </c>
      <c r="C858" t="s">
        <v>546</v>
      </c>
      <c r="D858">
        <v>6854.25</v>
      </c>
      <c r="E858">
        <v>6935.75</v>
      </c>
      <c r="F858">
        <v>6727.4</v>
      </c>
      <c r="G858">
        <v>6742.8</v>
      </c>
      <c r="H858">
        <v>0</v>
      </c>
      <c r="I858" s="8">
        <f t="shared" si="53"/>
        <v>-6.8343840216814611E-3</v>
      </c>
      <c r="J858" s="8">
        <f t="shared" si="54"/>
        <v>-6.8578453812234543E-3</v>
      </c>
      <c r="K858" s="8">
        <f t="shared" si="51"/>
        <v>0.45743002269534205</v>
      </c>
    </row>
    <row r="859" spans="1:11" x14ac:dyDescent="0.25">
      <c r="A859" t="str">
        <f t="shared" si="52"/>
        <v>62020</v>
      </c>
      <c r="B859" s="1">
        <v>44007</v>
      </c>
      <c r="C859" t="s">
        <v>547</v>
      </c>
      <c r="D859">
        <v>6681.75</v>
      </c>
      <c r="E859">
        <v>6791.75</v>
      </c>
      <c r="F859">
        <v>6645.15</v>
      </c>
      <c r="G859">
        <v>6737.85</v>
      </c>
      <c r="H859">
        <v>0</v>
      </c>
      <c r="I859" s="8">
        <f t="shared" si="53"/>
        <v>-7.3411639081688573E-4</v>
      </c>
      <c r="J859" s="8">
        <f t="shared" si="54"/>
        <v>-7.3438598620552279E-4</v>
      </c>
      <c r="K859" s="8">
        <f t="shared" si="51"/>
        <v>0.4356163507942088</v>
      </c>
    </row>
    <row r="860" spans="1:11" x14ac:dyDescent="0.25">
      <c r="A860" t="str">
        <f t="shared" si="52"/>
        <v>62020</v>
      </c>
      <c r="B860" s="1">
        <v>44008</v>
      </c>
      <c r="C860" t="s">
        <v>548</v>
      </c>
      <c r="D860">
        <v>6807.4</v>
      </c>
      <c r="E860">
        <v>6808.8</v>
      </c>
      <c r="F860">
        <v>6705</v>
      </c>
      <c r="G860">
        <v>6731.45</v>
      </c>
      <c r="H860">
        <v>0</v>
      </c>
      <c r="I860" s="8">
        <f t="shared" si="53"/>
        <v>-9.4985789235446649E-4</v>
      </c>
      <c r="J860" s="8">
        <f t="shared" si="54"/>
        <v>-9.5030929322939377E-4</v>
      </c>
      <c r="K860" s="8">
        <f t="shared" si="51"/>
        <v>0.36370450654862596</v>
      </c>
    </row>
    <row r="861" spans="1:11" x14ac:dyDescent="0.25">
      <c r="A861" t="str">
        <f t="shared" si="52"/>
        <v>62020</v>
      </c>
      <c r="B861" s="1">
        <v>44011</v>
      </c>
      <c r="C861" t="s">
        <v>549</v>
      </c>
      <c r="D861">
        <v>6685.85</v>
      </c>
      <c r="E861">
        <v>6728.65</v>
      </c>
      <c r="F861">
        <v>6605.5</v>
      </c>
      <c r="G861">
        <v>6645.85</v>
      </c>
      <c r="H861">
        <v>0</v>
      </c>
      <c r="I861" s="8">
        <f t="shared" si="53"/>
        <v>-1.2716428109842526E-2</v>
      </c>
      <c r="J861" s="8">
        <f t="shared" si="54"/>
        <v>-1.2797973933781258E-2</v>
      </c>
      <c r="K861" s="8">
        <f t="shared" si="51"/>
        <v>0.31307174046193675</v>
      </c>
    </row>
    <row r="862" spans="1:11" x14ac:dyDescent="0.25">
      <c r="A862" t="str">
        <f t="shared" si="52"/>
        <v>62020</v>
      </c>
      <c r="B862" s="1">
        <v>44012</v>
      </c>
      <c r="C862" t="s">
        <v>550</v>
      </c>
      <c r="D862">
        <v>6718.4</v>
      </c>
      <c r="E862">
        <v>6753.5</v>
      </c>
      <c r="F862">
        <v>6670.9</v>
      </c>
      <c r="G862">
        <v>6719.15</v>
      </c>
      <c r="H862">
        <v>0</v>
      </c>
      <c r="I862" s="8">
        <f t="shared" si="53"/>
        <v>1.1029439424603105E-2</v>
      </c>
      <c r="J862" s="8">
        <f t="shared" si="54"/>
        <v>1.0969058728726491E-2</v>
      </c>
      <c r="K862" s="8">
        <f t="shared" si="51"/>
        <v>0.36050985077044562</v>
      </c>
    </row>
    <row r="863" spans="1:11" x14ac:dyDescent="0.25">
      <c r="A863" t="str">
        <f t="shared" si="52"/>
        <v>72020</v>
      </c>
      <c r="B863" s="1">
        <v>44013</v>
      </c>
      <c r="C863" s="10">
        <v>43837.645833333336</v>
      </c>
      <c r="D863">
        <v>6743.35</v>
      </c>
      <c r="E863">
        <v>6785.3</v>
      </c>
      <c r="F863">
        <v>6702.5</v>
      </c>
      <c r="G863">
        <v>6718.6</v>
      </c>
      <c r="H863">
        <v>0</v>
      </c>
      <c r="I863" s="8">
        <f t="shared" si="53"/>
        <v>-8.1855591853030596E-5</v>
      </c>
      <c r="J863" s="8">
        <f t="shared" si="54"/>
        <v>-8.1858942204820662E-5</v>
      </c>
      <c r="K863" s="8">
        <f t="shared" si="51"/>
        <v>0.43893428140025503</v>
      </c>
    </row>
    <row r="864" spans="1:11" x14ac:dyDescent="0.25">
      <c r="A864" t="str">
        <f t="shared" si="52"/>
        <v>72020</v>
      </c>
      <c r="B864" s="1">
        <v>44014</v>
      </c>
      <c r="C864" s="10">
        <v>43868.645833333336</v>
      </c>
      <c r="D864">
        <v>6761</v>
      </c>
      <c r="E864">
        <v>6923.9</v>
      </c>
      <c r="F864">
        <v>6751.95</v>
      </c>
      <c r="G864">
        <v>6907.1</v>
      </c>
      <c r="H864">
        <v>0</v>
      </c>
      <c r="I864" s="8">
        <f t="shared" si="53"/>
        <v>2.8056440329830679E-2</v>
      </c>
      <c r="J864" s="8">
        <f t="shared" si="54"/>
        <v>2.7670068570438747E-2</v>
      </c>
      <c r="K864" s="8">
        <f t="shared" si="51"/>
        <v>0.45987360767653707</v>
      </c>
    </row>
    <row r="865" spans="1:11" x14ac:dyDescent="0.25">
      <c r="A865" t="str">
        <f t="shared" si="52"/>
        <v>72020</v>
      </c>
      <c r="B865" s="1">
        <v>44015</v>
      </c>
      <c r="C865" s="10">
        <v>43897.645833333336</v>
      </c>
      <c r="D865">
        <v>6921.7</v>
      </c>
      <c r="E865">
        <v>6992.3</v>
      </c>
      <c r="F865">
        <v>6903.1</v>
      </c>
      <c r="G865">
        <v>6971.05</v>
      </c>
      <c r="H865">
        <v>0</v>
      </c>
      <c r="I865" s="8">
        <f t="shared" si="53"/>
        <v>9.2585889881426908E-3</v>
      </c>
      <c r="J865" s="8">
        <f t="shared" si="54"/>
        <v>9.2159909828632095E-3</v>
      </c>
      <c r="K865" s="8">
        <f t="shared" si="51"/>
        <v>0.4967203787398955</v>
      </c>
    </row>
    <row r="866" spans="1:11" x14ac:dyDescent="0.25">
      <c r="A866" t="str">
        <f t="shared" si="52"/>
        <v>72020</v>
      </c>
      <c r="B866" s="1">
        <v>44018</v>
      </c>
      <c r="C866" s="10">
        <v>43989.645833333336</v>
      </c>
      <c r="D866">
        <v>7029.5</v>
      </c>
      <c r="E866">
        <v>7193.55</v>
      </c>
      <c r="F866">
        <v>6993.8</v>
      </c>
      <c r="G866">
        <v>7171.75</v>
      </c>
      <c r="H866">
        <v>0</v>
      </c>
      <c r="I866" s="8">
        <f t="shared" si="53"/>
        <v>2.8790497844657592E-2</v>
      </c>
      <c r="J866" s="8">
        <f t="shared" si="54"/>
        <v>2.838383830446015E-2</v>
      </c>
      <c r="K866" s="8">
        <f t="shared" si="51"/>
        <v>0.5874605721874826</v>
      </c>
    </row>
    <row r="867" spans="1:11" x14ac:dyDescent="0.25">
      <c r="A867" t="str">
        <f t="shared" si="52"/>
        <v>72020</v>
      </c>
      <c r="B867" s="1">
        <v>44019</v>
      </c>
      <c r="C867" s="10">
        <v>44019.645833333336</v>
      </c>
      <c r="D867">
        <v>7172.35</v>
      </c>
      <c r="E867">
        <v>7217.7</v>
      </c>
      <c r="F867">
        <v>7099.5</v>
      </c>
      <c r="G867">
        <v>7199.55</v>
      </c>
      <c r="H867">
        <v>0</v>
      </c>
      <c r="I867" s="8">
        <f t="shared" si="53"/>
        <v>3.8763202844493971E-3</v>
      </c>
      <c r="J867" s="8">
        <f t="shared" si="54"/>
        <v>3.8688267137198871E-3</v>
      </c>
      <c r="K867" s="8">
        <f t="shared" si="51"/>
        <v>0.45399925275923692</v>
      </c>
    </row>
    <row r="868" spans="1:11" x14ac:dyDescent="0.25">
      <c r="A868" t="str">
        <f t="shared" si="52"/>
        <v>72020</v>
      </c>
      <c r="B868" s="1">
        <v>44020</v>
      </c>
      <c r="C868" s="10">
        <v>44050.645833333336</v>
      </c>
      <c r="D868">
        <v>7225.15</v>
      </c>
      <c r="E868">
        <v>7252.1</v>
      </c>
      <c r="F868">
        <v>7037.9</v>
      </c>
      <c r="G868">
        <v>7059.35</v>
      </c>
      <c r="H868">
        <v>0</v>
      </c>
      <c r="I868" s="8">
        <f t="shared" si="53"/>
        <v>-1.9473439312179153E-2</v>
      </c>
      <c r="J868" s="8">
        <f t="shared" si="54"/>
        <v>-1.9665544790838433E-2</v>
      </c>
      <c r="K868" s="8">
        <f t="shared" si="51"/>
        <v>0.39966492188119584</v>
      </c>
    </row>
    <row r="869" spans="1:11" x14ac:dyDescent="0.25">
      <c r="A869" t="str">
        <f t="shared" si="52"/>
        <v>72020</v>
      </c>
      <c r="B869" s="1">
        <v>44021</v>
      </c>
      <c r="C869" s="10">
        <v>44081.645833333336</v>
      </c>
      <c r="D869">
        <v>7101.9</v>
      </c>
      <c r="E869">
        <v>7112.05</v>
      </c>
      <c r="F869">
        <v>7022.2</v>
      </c>
      <c r="G869">
        <v>7085.6</v>
      </c>
      <c r="H869">
        <v>0</v>
      </c>
      <c r="I869" s="8">
        <f t="shared" si="53"/>
        <v>3.7184726639138965E-3</v>
      </c>
      <c r="J869" s="8">
        <f t="shared" si="54"/>
        <v>3.7115762352715421E-3</v>
      </c>
      <c r="K869" s="8">
        <f t="shared" si="51"/>
        <v>0.27245463279727766</v>
      </c>
    </row>
    <row r="870" spans="1:11" x14ac:dyDescent="0.25">
      <c r="A870" t="str">
        <f t="shared" si="52"/>
        <v>72020</v>
      </c>
      <c r="B870" s="1">
        <v>44022</v>
      </c>
      <c r="C870" s="10">
        <v>44111.645833333336</v>
      </c>
      <c r="D870">
        <v>7066</v>
      </c>
      <c r="E870">
        <v>7158.2</v>
      </c>
      <c r="F870">
        <v>7020.3</v>
      </c>
      <c r="G870">
        <v>7041.1</v>
      </c>
      <c r="H870">
        <v>0</v>
      </c>
      <c r="I870" s="8">
        <f t="shared" si="53"/>
        <v>-6.2803432313424112E-3</v>
      </c>
      <c r="J870" s="8">
        <f t="shared" si="54"/>
        <v>-6.3001475490449613E-3</v>
      </c>
      <c r="K870" s="8">
        <f t="shared" si="51"/>
        <v>0.29620220540858977</v>
      </c>
    </row>
    <row r="871" spans="1:11" x14ac:dyDescent="0.25">
      <c r="A871" t="str">
        <f t="shared" si="52"/>
        <v>72020</v>
      </c>
      <c r="B871" s="1">
        <v>44025</v>
      </c>
      <c r="C871" t="s">
        <v>551</v>
      </c>
      <c r="D871">
        <v>7094.15</v>
      </c>
      <c r="E871">
        <v>7139.85</v>
      </c>
      <c r="F871">
        <v>7035.9</v>
      </c>
      <c r="G871">
        <v>7084.45</v>
      </c>
      <c r="H871">
        <v>0</v>
      </c>
      <c r="I871" s="8">
        <f t="shared" si="53"/>
        <v>6.156708468847194E-3</v>
      </c>
      <c r="J871" s="8">
        <f t="shared" si="54"/>
        <v>6.1378333719567186E-3</v>
      </c>
      <c r="K871" s="8">
        <f t="shared" si="51"/>
        <v>0.32841740108756801</v>
      </c>
    </row>
    <row r="872" spans="1:11" x14ac:dyDescent="0.25">
      <c r="A872" t="str">
        <f t="shared" si="52"/>
        <v>72020</v>
      </c>
      <c r="B872" s="1">
        <v>44026</v>
      </c>
      <c r="C872" t="s">
        <v>552</v>
      </c>
      <c r="D872">
        <v>7047.65</v>
      </c>
      <c r="E872">
        <v>7050.1</v>
      </c>
      <c r="F872">
        <v>6883.7</v>
      </c>
      <c r="G872">
        <v>6916</v>
      </c>
      <c r="H872">
        <v>0</v>
      </c>
      <c r="I872" s="8">
        <f t="shared" si="53"/>
        <v>-2.3777428028993075E-2</v>
      </c>
      <c r="J872" s="8">
        <f t="shared" si="54"/>
        <v>-2.4064673515103854E-2</v>
      </c>
      <c r="K872" s="8">
        <f t="shared" si="51"/>
        <v>0.28212971459822223</v>
      </c>
    </row>
    <row r="873" spans="1:11" x14ac:dyDescent="0.25">
      <c r="A873" t="str">
        <f t="shared" si="52"/>
        <v>72020</v>
      </c>
      <c r="B873" s="1">
        <v>44027</v>
      </c>
      <c r="C873" t="s">
        <v>553</v>
      </c>
      <c r="D873">
        <v>6960.4</v>
      </c>
      <c r="E873">
        <v>7003.55</v>
      </c>
      <c r="F873">
        <v>6910.2</v>
      </c>
      <c r="G873">
        <v>6931.05</v>
      </c>
      <c r="H873">
        <v>0</v>
      </c>
      <c r="I873" s="8">
        <f t="shared" si="53"/>
        <v>2.1761133603239724E-3</v>
      </c>
      <c r="J873" s="8">
        <f t="shared" si="54"/>
        <v>2.1737490550217684E-3</v>
      </c>
      <c r="K873" s="8">
        <f t="shared" si="51"/>
        <v>0.22264460477341297</v>
      </c>
    </row>
    <row r="874" spans="1:11" x14ac:dyDescent="0.25">
      <c r="A874" t="str">
        <f t="shared" si="52"/>
        <v>72020</v>
      </c>
      <c r="B874" s="1">
        <v>44028</v>
      </c>
      <c r="C874" t="s">
        <v>554</v>
      </c>
      <c r="D874">
        <v>6940.75</v>
      </c>
      <c r="E874">
        <v>7027.25</v>
      </c>
      <c r="F874">
        <v>6853.75</v>
      </c>
      <c r="G874">
        <v>7015.9</v>
      </c>
      <c r="H874">
        <v>0</v>
      </c>
      <c r="I874" s="8">
        <f t="shared" si="53"/>
        <v>1.2242012393504531E-2</v>
      </c>
      <c r="J874" s="8">
        <f t="shared" si="54"/>
        <v>1.216768495654935E-2</v>
      </c>
      <c r="K874" s="8">
        <f t="shared" si="51"/>
        <v>0.25485601860132356</v>
      </c>
    </row>
    <row r="875" spans="1:11" x14ac:dyDescent="0.25">
      <c r="A875" t="str">
        <f t="shared" si="52"/>
        <v>72020</v>
      </c>
      <c r="B875" s="1">
        <v>44029</v>
      </c>
      <c r="C875" t="s">
        <v>555</v>
      </c>
      <c r="D875">
        <v>7039.55</v>
      </c>
      <c r="E875">
        <v>7154.75</v>
      </c>
      <c r="F875">
        <v>7016.85</v>
      </c>
      <c r="G875">
        <v>7137.3</v>
      </c>
      <c r="H875">
        <v>0</v>
      </c>
      <c r="I875" s="8">
        <f t="shared" si="53"/>
        <v>1.7303553357373991E-2</v>
      </c>
      <c r="J875" s="8">
        <f t="shared" si="54"/>
        <v>1.7155551741155652E-2</v>
      </c>
      <c r="K875" s="8">
        <f t="shared" si="51"/>
        <v>0.34817389333308157</v>
      </c>
    </row>
    <row r="876" spans="1:11" x14ac:dyDescent="0.25">
      <c r="A876" t="str">
        <f t="shared" si="52"/>
        <v>72020</v>
      </c>
      <c r="B876" s="1">
        <v>44032</v>
      </c>
      <c r="C876" t="s">
        <v>556</v>
      </c>
      <c r="D876">
        <v>7161.7</v>
      </c>
      <c r="E876">
        <v>7183.2</v>
      </c>
      <c r="F876">
        <v>7105.55</v>
      </c>
      <c r="G876">
        <v>7175.85</v>
      </c>
      <c r="H876">
        <v>0</v>
      </c>
      <c r="I876" s="8">
        <f t="shared" si="53"/>
        <v>5.401202135261185E-3</v>
      </c>
      <c r="J876" s="8">
        <f t="shared" si="54"/>
        <v>5.3866679542197557E-3</v>
      </c>
      <c r="K876" s="8">
        <f t="shared" si="51"/>
        <v>0.32228640924293095</v>
      </c>
    </row>
    <row r="877" spans="1:11" x14ac:dyDescent="0.25">
      <c r="A877" t="str">
        <f t="shared" si="52"/>
        <v>72020</v>
      </c>
      <c r="B877" s="1">
        <v>44033</v>
      </c>
      <c r="C877" t="s">
        <v>557</v>
      </c>
      <c r="D877">
        <v>7209</v>
      </c>
      <c r="E877">
        <v>7317.55</v>
      </c>
      <c r="F877">
        <v>7198.25</v>
      </c>
      <c r="G877">
        <v>7295.75</v>
      </c>
      <c r="H877">
        <v>0</v>
      </c>
      <c r="I877" s="8">
        <f t="shared" si="53"/>
        <v>1.6708821951406438E-2</v>
      </c>
      <c r="J877" s="8">
        <f t="shared" si="54"/>
        <v>1.657076530609192E-2</v>
      </c>
      <c r="K877" s="8">
        <f t="shared" si="51"/>
        <v>0.33505649846745045</v>
      </c>
    </row>
    <row r="878" spans="1:11" x14ac:dyDescent="0.25">
      <c r="A878" t="str">
        <f t="shared" si="52"/>
        <v>72020</v>
      </c>
      <c r="B878" s="1">
        <v>44034</v>
      </c>
      <c r="C878" t="s">
        <v>558</v>
      </c>
      <c r="D878">
        <v>7301</v>
      </c>
      <c r="E878">
        <v>7306.75</v>
      </c>
      <c r="F878">
        <v>7154.15</v>
      </c>
      <c r="G878">
        <v>7203.95</v>
      </c>
      <c r="H878">
        <v>0</v>
      </c>
      <c r="I878" s="8">
        <f t="shared" si="53"/>
        <v>-1.2582667991638985E-2</v>
      </c>
      <c r="J878" s="8">
        <f t="shared" si="54"/>
        <v>-1.2662500133020805E-2</v>
      </c>
      <c r="K878" s="8">
        <f t="shared" si="51"/>
        <v>0.33970895904040166</v>
      </c>
    </row>
    <row r="879" spans="1:11" x14ac:dyDescent="0.25">
      <c r="A879" t="str">
        <f t="shared" si="52"/>
        <v>72020</v>
      </c>
      <c r="B879" s="1">
        <v>44035</v>
      </c>
      <c r="C879" t="s">
        <v>559</v>
      </c>
      <c r="D879">
        <v>7205.8</v>
      </c>
      <c r="E879">
        <v>7313</v>
      </c>
      <c r="F879">
        <v>7172.4</v>
      </c>
      <c r="G879">
        <v>7301.05</v>
      </c>
      <c r="H879">
        <v>0</v>
      </c>
      <c r="I879" s="8">
        <f t="shared" si="53"/>
        <v>1.3478716537455249E-2</v>
      </c>
      <c r="J879" s="8">
        <f t="shared" si="54"/>
        <v>1.3388686726371701E-2</v>
      </c>
      <c r="K879" s="8">
        <f t="shared" si="51"/>
        <v>0.34378451004932642</v>
      </c>
    </row>
    <row r="880" spans="1:11" x14ac:dyDescent="0.25">
      <c r="A880" t="str">
        <f t="shared" si="52"/>
        <v>72020</v>
      </c>
      <c r="B880" s="1">
        <v>44036</v>
      </c>
      <c r="C880" t="s">
        <v>560</v>
      </c>
      <c r="D880">
        <v>7228.4</v>
      </c>
      <c r="E880">
        <v>7271</v>
      </c>
      <c r="F880">
        <v>7178.85</v>
      </c>
      <c r="G880">
        <v>7218.65</v>
      </c>
      <c r="H880">
        <v>0</v>
      </c>
      <c r="I880" s="8">
        <f t="shared" si="53"/>
        <v>-1.1286047897220319E-2</v>
      </c>
      <c r="J880" s="8">
        <f t="shared" si="54"/>
        <v>-1.1350218615170328E-2</v>
      </c>
      <c r="K880" s="8">
        <f t="shared" si="51"/>
        <v>0.32522810302729876</v>
      </c>
    </row>
    <row r="881" spans="1:11" x14ac:dyDescent="0.25">
      <c r="A881" t="str">
        <f t="shared" si="52"/>
        <v>72020</v>
      </c>
      <c r="B881" s="1">
        <v>44039</v>
      </c>
      <c r="C881" t="s">
        <v>561</v>
      </c>
      <c r="D881">
        <v>7233.9</v>
      </c>
      <c r="E881">
        <v>7238.6</v>
      </c>
      <c r="F881">
        <v>7121.95</v>
      </c>
      <c r="G881">
        <v>7186.45</v>
      </c>
      <c r="H881">
        <v>0</v>
      </c>
      <c r="I881" s="8">
        <f t="shared" si="53"/>
        <v>-4.4606678534074851E-3</v>
      </c>
      <c r="J881" s="8">
        <f t="shared" si="54"/>
        <v>-4.4706463170547514E-3</v>
      </c>
      <c r="K881" s="8">
        <f t="shared" si="51"/>
        <v>0.29631567080045085</v>
      </c>
    </row>
    <row r="882" spans="1:11" x14ac:dyDescent="0.25">
      <c r="A882" t="str">
        <f t="shared" si="52"/>
        <v>72020</v>
      </c>
      <c r="B882" s="1">
        <v>44040</v>
      </c>
      <c r="C882" t="s">
        <v>562</v>
      </c>
      <c r="D882">
        <v>7193.15</v>
      </c>
      <c r="E882">
        <v>7438.05</v>
      </c>
      <c r="F882">
        <v>7185.25</v>
      </c>
      <c r="G882">
        <v>7416.9</v>
      </c>
      <c r="H882">
        <v>0</v>
      </c>
      <c r="I882" s="8">
        <f t="shared" si="53"/>
        <v>3.2067293308935652E-2</v>
      </c>
      <c r="J882" s="8">
        <f t="shared" si="54"/>
        <v>3.1563871628211976E-2</v>
      </c>
      <c r="K882" s="8">
        <f t="shared" si="51"/>
        <v>0.25680347036296469</v>
      </c>
    </row>
    <row r="883" spans="1:11" x14ac:dyDescent="0.25">
      <c r="A883" t="str">
        <f t="shared" si="52"/>
        <v>72020</v>
      </c>
      <c r="B883" s="1">
        <v>44041</v>
      </c>
      <c r="C883" t="s">
        <v>563</v>
      </c>
      <c r="D883">
        <v>7425.75</v>
      </c>
      <c r="E883">
        <v>7464.15</v>
      </c>
      <c r="F883">
        <v>7299.7</v>
      </c>
      <c r="G883">
        <v>7330.25</v>
      </c>
      <c r="H883">
        <v>0</v>
      </c>
      <c r="I883" s="8">
        <f t="shared" si="53"/>
        <v>-1.1682778519327419E-2</v>
      </c>
      <c r="J883" s="8">
        <f t="shared" si="54"/>
        <v>-1.1751558394465003E-2</v>
      </c>
      <c r="K883" s="8">
        <f t="shared" si="51"/>
        <v>0.33856506336510717</v>
      </c>
    </row>
    <row r="884" spans="1:11" x14ac:dyDescent="0.25">
      <c r="A884" t="str">
        <f t="shared" si="52"/>
        <v>72020</v>
      </c>
      <c r="B884" s="1">
        <v>44042</v>
      </c>
      <c r="C884" t="s">
        <v>564</v>
      </c>
      <c r="D884">
        <v>7340.8</v>
      </c>
      <c r="E884">
        <v>7398.9</v>
      </c>
      <c r="F884">
        <v>7270.55</v>
      </c>
      <c r="G884">
        <v>7287.85</v>
      </c>
      <c r="H884">
        <v>0</v>
      </c>
      <c r="I884" s="8">
        <f t="shared" si="53"/>
        <v>-5.7842501961051784E-3</v>
      </c>
      <c r="J884" s="8">
        <f t="shared" si="54"/>
        <v>-5.8010437613712834E-3</v>
      </c>
      <c r="K884" s="8">
        <f t="shared" si="51"/>
        <v>0.33675415910049722</v>
      </c>
    </row>
    <row r="885" spans="1:11" x14ac:dyDescent="0.25">
      <c r="A885" t="str">
        <f t="shared" si="52"/>
        <v>72020</v>
      </c>
      <c r="B885" s="1">
        <v>44043</v>
      </c>
      <c r="C885" t="s">
        <v>565</v>
      </c>
      <c r="D885">
        <v>7311.45</v>
      </c>
      <c r="E885">
        <v>7328.5</v>
      </c>
      <c r="F885">
        <v>7225.75</v>
      </c>
      <c r="G885">
        <v>7279.75</v>
      </c>
      <c r="H885">
        <v>0</v>
      </c>
      <c r="I885" s="8">
        <f t="shared" si="53"/>
        <v>-1.1114389017337079E-3</v>
      </c>
      <c r="J885" s="8">
        <f t="shared" si="54"/>
        <v>-1.1120570079838502E-3</v>
      </c>
      <c r="K885" s="8">
        <f t="shared" si="51"/>
        <v>0.31109970463223124</v>
      </c>
    </row>
    <row r="886" spans="1:11" x14ac:dyDescent="0.25">
      <c r="A886" t="str">
        <f t="shared" si="52"/>
        <v>82020</v>
      </c>
      <c r="B886" s="1">
        <v>44046</v>
      </c>
      <c r="C886" s="10">
        <v>43898.645833333336</v>
      </c>
      <c r="D886">
        <v>7323.65</v>
      </c>
      <c r="E886">
        <v>7469.1</v>
      </c>
      <c r="F886">
        <v>7224.8</v>
      </c>
      <c r="G886">
        <v>7240.25</v>
      </c>
      <c r="H886">
        <v>0</v>
      </c>
      <c r="I886" s="8">
        <f t="shared" si="53"/>
        <v>-5.4260105086025856E-3</v>
      </c>
      <c r="J886" s="8">
        <f t="shared" si="54"/>
        <v>-5.4407847713947065E-3</v>
      </c>
      <c r="K886" s="8">
        <f t="shared" si="51"/>
        <v>0.31187715165790908</v>
      </c>
    </row>
    <row r="887" spans="1:11" x14ac:dyDescent="0.25">
      <c r="A887" t="str">
        <f t="shared" si="52"/>
        <v>82020</v>
      </c>
      <c r="B887" s="1">
        <v>44047</v>
      </c>
      <c r="C887" s="10">
        <v>43929.645833333336</v>
      </c>
      <c r="D887">
        <v>7282.45</v>
      </c>
      <c r="E887">
        <v>7381.65</v>
      </c>
      <c r="F887">
        <v>7273.2</v>
      </c>
      <c r="G887">
        <v>7353.95</v>
      </c>
      <c r="H887">
        <v>0</v>
      </c>
      <c r="I887" s="8">
        <f t="shared" si="53"/>
        <v>1.5703877628534979E-2</v>
      </c>
      <c r="J887" s="8">
        <f t="shared" si="54"/>
        <v>1.5581847646820635E-2</v>
      </c>
      <c r="K887" s="8">
        <f t="shared" si="51"/>
        <v>0.34990592446422841</v>
      </c>
    </row>
    <row r="888" spans="1:11" x14ac:dyDescent="0.25">
      <c r="A888" t="str">
        <f t="shared" si="52"/>
        <v>82020</v>
      </c>
      <c r="B888" s="1">
        <v>44048</v>
      </c>
      <c r="C888" s="10">
        <v>43959.645833333336</v>
      </c>
      <c r="D888">
        <v>7397</v>
      </c>
      <c r="E888">
        <v>7511.8</v>
      </c>
      <c r="F888">
        <v>7392.2</v>
      </c>
      <c r="G888">
        <v>7489.1</v>
      </c>
      <c r="H888">
        <v>0</v>
      </c>
      <c r="I888" s="8">
        <f t="shared" si="53"/>
        <v>1.8377878555062344E-2</v>
      </c>
      <c r="J888" s="8">
        <f t="shared" si="54"/>
        <v>1.8211046260667385E-2</v>
      </c>
      <c r="K888" s="8">
        <f t="shared" si="51"/>
        <v>0.31857316407556757</v>
      </c>
    </row>
    <row r="889" spans="1:11" x14ac:dyDescent="0.25">
      <c r="A889" t="str">
        <f t="shared" si="52"/>
        <v>82020</v>
      </c>
      <c r="B889" s="1">
        <v>44049</v>
      </c>
      <c r="C889" s="10">
        <v>43990.645833333336</v>
      </c>
      <c r="D889">
        <v>7521.95</v>
      </c>
      <c r="E889">
        <v>7532.4</v>
      </c>
      <c r="F889">
        <v>7433.1</v>
      </c>
      <c r="G889">
        <v>7498.25</v>
      </c>
      <c r="H889">
        <v>0</v>
      </c>
      <c r="I889" s="8">
        <f t="shared" si="53"/>
        <v>1.2217756472738817E-3</v>
      </c>
      <c r="J889" s="8">
        <f t="shared" si="54"/>
        <v>1.2210298867806133E-3</v>
      </c>
      <c r="K889" s="8">
        <f t="shared" si="51"/>
        <v>0.31342015607073104</v>
      </c>
    </row>
    <row r="890" spans="1:11" x14ac:dyDescent="0.25">
      <c r="A890" t="str">
        <f t="shared" si="52"/>
        <v>82020</v>
      </c>
      <c r="B890" s="1">
        <v>44050</v>
      </c>
      <c r="C890" s="10">
        <v>44020.645833333336</v>
      </c>
      <c r="D890">
        <v>7484.95</v>
      </c>
      <c r="E890">
        <v>7598.3</v>
      </c>
      <c r="F890">
        <v>7468.2</v>
      </c>
      <c r="G890">
        <v>7554.45</v>
      </c>
      <c r="H890">
        <v>0</v>
      </c>
      <c r="I890" s="8">
        <f t="shared" si="53"/>
        <v>7.4950821858432715E-3</v>
      </c>
      <c r="J890" s="8">
        <f t="shared" si="54"/>
        <v>7.4671336216695335E-3</v>
      </c>
      <c r="K890" s="8">
        <f t="shared" si="51"/>
        <v>0.29255209937378091</v>
      </c>
    </row>
    <row r="891" spans="1:11" x14ac:dyDescent="0.25">
      <c r="A891" t="str">
        <f t="shared" si="52"/>
        <v>82020</v>
      </c>
      <c r="B891" s="1">
        <v>44053</v>
      </c>
      <c r="C891" s="10">
        <v>44112.645833333336</v>
      </c>
      <c r="D891">
        <v>7593.7</v>
      </c>
      <c r="E891">
        <v>7688.7</v>
      </c>
      <c r="F891">
        <v>7577.5</v>
      </c>
      <c r="G891">
        <v>7621.3</v>
      </c>
      <c r="H891">
        <v>0</v>
      </c>
      <c r="I891" s="8">
        <f t="shared" si="53"/>
        <v>8.8490889475740797E-3</v>
      </c>
      <c r="J891" s="8">
        <f t="shared" si="54"/>
        <v>8.810165217800283E-3</v>
      </c>
      <c r="K891" s="8">
        <f t="shared" si="51"/>
        <v>0.31310033511082769</v>
      </c>
    </row>
    <row r="892" spans="1:11" x14ac:dyDescent="0.25">
      <c r="A892" t="str">
        <f t="shared" si="52"/>
        <v>82020</v>
      </c>
      <c r="B892" s="1">
        <v>44054</v>
      </c>
      <c r="C892" s="10">
        <v>44143.645833333336</v>
      </c>
      <c r="D892">
        <v>7675.4</v>
      </c>
      <c r="E892">
        <v>7699.05</v>
      </c>
      <c r="F892">
        <v>7618.3</v>
      </c>
      <c r="G892">
        <v>7630.35</v>
      </c>
      <c r="H892">
        <v>0</v>
      </c>
      <c r="I892" s="8">
        <f t="shared" si="53"/>
        <v>1.1874614567068953E-3</v>
      </c>
      <c r="J892" s="8">
        <f t="shared" si="54"/>
        <v>1.1867569819872129E-3</v>
      </c>
      <c r="K892" s="8">
        <f t="shared" si="51"/>
        <v>0.32801051220913036</v>
      </c>
    </row>
    <row r="893" spans="1:11" x14ac:dyDescent="0.25">
      <c r="A893" t="str">
        <f t="shared" si="52"/>
        <v>82020</v>
      </c>
      <c r="B893" s="1">
        <v>44055</v>
      </c>
      <c r="C893" s="10">
        <v>44173.645833333336</v>
      </c>
      <c r="D893">
        <v>7613.75</v>
      </c>
      <c r="E893">
        <v>7808.1</v>
      </c>
      <c r="F893">
        <v>7586.75</v>
      </c>
      <c r="G893">
        <v>7785.05</v>
      </c>
      <c r="H893">
        <v>0</v>
      </c>
      <c r="I893" s="8">
        <f t="shared" si="53"/>
        <v>2.0274299344066771E-2</v>
      </c>
      <c r="J893" s="8">
        <f t="shared" si="54"/>
        <v>2.0071512068984613E-2</v>
      </c>
      <c r="K893" s="8">
        <f t="shared" si="51"/>
        <v>0.4336976639257466</v>
      </c>
    </row>
    <row r="894" spans="1:11" x14ac:dyDescent="0.25">
      <c r="A894" t="str">
        <f t="shared" si="52"/>
        <v>82020</v>
      </c>
      <c r="B894" s="1">
        <v>44056</v>
      </c>
      <c r="C894" t="s">
        <v>566</v>
      </c>
      <c r="D894">
        <v>7801.1</v>
      </c>
      <c r="E894">
        <v>7896.1</v>
      </c>
      <c r="F894">
        <v>7757.05</v>
      </c>
      <c r="G894">
        <v>7879.75</v>
      </c>
      <c r="H894">
        <v>0</v>
      </c>
      <c r="I894" s="8">
        <f t="shared" si="53"/>
        <v>1.2164340627227821E-2</v>
      </c>
      <c r="J894" s="8">
        <f t="shared" si="54"/>
        <v>1.2090949605270764E-2</v>
      </c>
      <c r="K894" s="8">
        <f t="shared" si="51"/>
        <v>0.43629867940176625</v>
      </c>
    </row>
    <row r="895" spans="1:11" x14ac:dyDescent="0.25">
      <c r="A895" t="str">
        <f t="shared" si="52"/>
        <v>82020</v>
      </c>
      <c r="B895" s="1">
        <v>44057</v>
      </c>
      <c r="C895" t="s">
        <v>567</v>
      </c>
      <c r="D895">
        <v>7888.65</v>
      </c>
      <c r="E895">
        <v>7898.9</v>
      </c>
      <c r="F895">
        <v>7657.95</v>
      </c>
      <c r="G895">
        <v>7677.65</v>
      </c>
      <c r="H895">
        <v>0</v>
      </c>
      <c r="I895" s="8">
        <f t="shared" si="53"/>
        <v>-2.5648021828103773E-2</v>
      </c>
      <c r="J895" s="8">
        <f t="shared" si="54"/>
        <v>-2.5982666726303515E-2</v>
      </c>
      <c r="K895" s="8">
        <f t="shared" si="51"/>
        <v>0.37007923194974834</v>
      </c>
    </row>
    <row r="896" spans="1:11" x14ac:dyDescent="0.25">
      <c r="A896" t="str">
        <f t="shared" si="52"/>
        <v>82020</v>
      </c>
      <c r="B896" s="1">
        <v>44060</v>
      </c>
      <c r="C896" t="s">
        <v>568</v>
      </c>
      <c r="D896">
        <v>7757.6</v>
      </c>
      <c r="E896">
        <v>7879.55</v>
      </c>
      <c r="F896">
        <v>7667.75</v>
      </c>
      <c r="G896">
        <v>7865.55</v>
      </c>
      <c r="H896">
        <v>0</v>
      </c>
      <c r="I896" s="8">
        <f t="shared" si="53"/>
        <v>2.4473634510559839E-2</v>
      </c>
      <c r="J896" s="8">
        <f t="shared" si="54"/>
        <v>2.4178953383295006E-2</v>
      </c>
      <c r="K896" s="8">
        <f t="shared" ref="K896:K959" si="55">+G896/G835-1</f>
        <v>0.36794552948746939</v>
      </c>
    </row>
    <row r="897" spans="1:11" x14ac:dyDescent="0.25">
      <c r="A897" t="str">
        <f t="shared" si="52"/>
        <v>82020</v>
      </c>
      <c r="B897" s="1">
        <v>44061</v>
      </c>
      <c r="C897" t="s">
        <v>569</v>
      </c>
      <c r="D897">
        <v>7879.5</v>
      </c>
      <c r="E897">
        <v>7979.3</v>
      </c>
      <c r="F897">
        <v>7878.3</v>
      </c>
      <c r="G897">
        <v>7941.85</v>
      </c>
      <c r="H897">
        <v>0</v>
      </c>
      <c r="I897" s="8">
        <f t="shared" si="53"/>
        <v>9.7005295243179912E-3</v>
      </c>
      <c r="J897" s="8">
        <f t="shared" si="54"/>
        <v>9.6537814652771971E-3</v>
      </c>
      <c r="K897" s="8">
        <f t="shared" si="55"/>
        <v>0.37711981966360342</v>
      </c>
    </row>
    <row r="898" spans="1:11" x14ac:dyDescent="0.25">
      <c r="A898" t="str">
        <f t="shared" si="52"/>
        <v>82020</v>
      </c>
      <c r="B898" s="1">
        <v>44062</v>
      </c>
      <c r="C898" t="s">
        <v>570</v>
      </c>
      <c r="D898">
        <v>7987.15</v>
      </c>
      <c r="E898">
        <v>8029.75</v>
      </c>
      <c r="F898">
        <v>7927.6</v>
      </c>
      <c r="G898">
        <v>7941.35</v>
      </c>
      <c r="H898">
        <v>0</v>
      </c>
      <c r="I898" s="8">
        <f t="shared" si="53"/>
        <v>-6.2957623223836023E-5</v>
      </c>
      <c r="J898" s="8">
        <f t="shared" si="54"/>
        <v>-6.2959605138181865E-5</v>
      </c>
      <c r="K898" s="8">
        <f t="shared" si="55"/>
        <v>0.35649864202381165</v>
      </c>
    </row>
    <row r="899" spans="1:11" x14ac:dyDescent="0.25">
      <c r="A899" t="str">
        <f t="shared" ref="A899:A962" si="56">+MONTH(B899)&amp;YEAR(B899)</f>
        <v>82020</v>
      </c>
      <c r="B899" s="1">
        <v>44063</v>
      </c>
      <c r="C899" t="s">
        <v>571</v>
      </c>
      <c r="D899">
        <v>7878.7</v>
      </c>
      <c r="E899">
        <v>7948.5</v>
      </c>
      <c r="F899">
        <v>7844.65</v>
      </c>
      <c r="G899">
        <v>7911.6</v>
      </c>
      <c r="H899">
        <v>0</v>
      </c>
      <c r="I899" s="8">
        <f t="shared" si="53"/>
        <v>-3.7462144345734583E-3</v>
      </c>
      <c r="J899" s="8">
        <f t="shared" si="54"/>
        <v>-3.753249070199749E-3</v>
      </c>
      <c r="K899" s="8">
        <f t="shared" si="55"/>
        <v>0.34164271360618637</v>
      </c>
    </row>
    <row r="900" spans="1:11" x14ac:dyDescent="0.25">
      <c r="A900" t="str">
        <f t="shared" si="56"/>
        <v>82020</v>
      </c>
      <c r="B900" s="1">
        <v>44064</v>
      </c>
      <c r="C900" t="s">
        <v>572</v>
      </c>
      <c r="D900">
        <v>7994.9</v>
      </c>
      <c r="E900">
        <v>7995.35</v>
      </c>
      <c r="F900">
        <v>7910.55</v>
      </c>
      <c r="G900">
        <v>7934.7</v>
      </c>
      <c r="H900">
        <v>0</v>
      </c>
      <c r="I900" s="8">
        <f t="shared" ref="I900:I963" si="57">+G900/G899-1</f>
        <v>2.9197633854087801E-3</v>
      </c>
      <c r="J900" s="8">
        <f t="shared" ref="J900:J963" si="58">+LN(1+I900)</f>
        <v>2.9155091551807716E-3</v>
      </c>
      <c r="K900" s="8">
        <f t="shared" si="55"/>
        <v>0.29815290479852097</v>
      </c>
    </row>
    <row r="901" spans="1:11" x14ac:dyDescent="0.25">
      <c r="A901" t="str">
        <f t="shared" si="56"/>
        <v>82020</v>
      </c>
      <c r="B901" s="1">
        <v>44067</v>
      </c>
      <c r="C901" t="s">
        <v>573</v>
      </c>
      <c r="D901">
        <v>7972.7</v>
      </c>
      <c r="E901">
        <v>8062.95</v>
      </c>
      <c r="F901">
        <v>7932.5</v>
      </c>
      <c r="G901">
        <v>7948.4</v>
      </c>
      <c r="H901">
        <v>0</v>
      </c>
      <c r="I901" s="8">
        <f t="shared" si="57"/>
        <v>1.7265933179577697E-3</v>
      </c>
      <c r="J901" s="8">
        <f t="shared" si="58"/>
        <v>1.7251044692261225E-3</v>
      </c>
      <c r="K901" s="8">
        <f t="shared" si="55"/>
        <v>0.27812439698977287</v>
      </c>
    </row>
    <row r="902" spans="1:11" x14ac:dyDescent="0.25">
      <c r="A902" t="str">
        <f t="shared" si="56"/>
        <v>82020</v>
      </c>
      <c r="B902" s="1">
        <v>44068</v>
      </c>
      <c r="C902" t="s">
        <v>574</v>
      </c>
      <c r="D902">
        <v>7997</v>
      </c>
      <c r="E902">
        <v>8034.4</v>
      </c>
      <c r="F902">
        <v>7933.2</v>
      </c>
      <c r="G902">
        <v>7983.6</v>
      </c>
      <c r="H902">
        <v>0</v>
      </c>
      <c r="I902" s="8">
        <f t="shared" si="57"/>
        <v>4.4285642393437907E-3</v>
      </c>
      <c r="J902" s="8">
        <f t="shared" si="58"/>
        <v>4.4187870041809451E-3</v>
      </c>
      <c r="K902" s="8">
        <f t="shared" si="55"/>
        <v>0.24364825921021893</v>
      </c>
    </row>
    <row r="903" spans="1:11" x14ac:dyDescent="0.25">
      <c r="A903" t="str">
        <f t="shared" si="56"/>
        <v>82020</v>
      </c>
      <c r="B903" s="1">
        <v>44069</v>
      </c>
      <c r="C903" t="s">
        <v>575</v>
      </c>
      <c r="D903">
        <v>8096.6</v>
      </c>
      <c r="E903">
        <v>8143.25</v>
      </c>
      <c r="F903">
        <v>8074.25</v>
      </c>
      <c r="G903">
        <v>8100.5</v>
      </c>
      <c r="H903">
        <v>0</v>
      </c>
      <c r="I903" s="8">
        <f t="shared" si="57"/>
        <v>1.4642517160178281E-2</v>
      </c>
      <c r="J903" s="8">
        <f t="shared" si="58"/>
        <v>1.4536350614630657E-2</v>
      </c>
      <c r="K903" s="8">
        <f t="shared" si="55"/>
        <v>0.25175776119172344</v>
      </c>
    </row>
    <row r="904" spans="1:11" x14ac:dyDescent="0.25">
      <c r="A904" t="str">
        <f t="shared" si="56"/>
        <v>82020</v>
      </c>
      <c r="B904" s="1">
        <v>44070</v>
      </c>
      <c r="C904" t="s">
        <v>576</v>
      </c>
      <c r="D904">
        <v>8141.05</v>
      </c>
      <c r="E904">
        <v>8198.5</v>
      </c>
      <c r="F904">
        <v>8080.7</v>
      </c>
      <c r="G904">
        <v>8183</v>
      </c>
      <c r="H904">
        <v>0</v>
      </c>
      <c r="I904" s="8">
        <f t="shared" si="57"/>
        <v>1.0184556508857412E-2</v>
      </c>
      <c r="J904" s="8">
        <f t="shared" si="58"/>
        <v>1.0133043376908769E-2</v>
      </c>
      <c r="K904" s="8">
        <f t="shared" si="55"/>
        <v>0.25918459987843634</v>
      </c>
    </row>
    <row r="905" spans="1:11" x14ac:dyDescent="0.25">
      <c r="A905" t="str">
        <f t="shared" si="56"/>
        <v>82020</v>
      </c>
      <c r="B905" s="1">
        <v>44071</v>
      </c>
      <c r="C905" t="s">
        <v>577</v>
      </c>
      <c r="D905">
        <v>8209.1</v>
      </c>
      <c r="E905">
        <v>8223.6</v>
      </c>
      <c r="F905">
        <v>8101.05</v>
      </c>
      <c r="G905">
        <v>8111.85</v>
      </c>
      <c r="H905">
        <v>0</v>
      </c>
      <c r="I905" s="8">
        <f t="shared" si="57"/>
        <v>-8.6948551875839497E-3</v>
      </c>
      <c r="J905" s="8">
        <f t="shared" si="58"/>
        <v>-8.7328759916405502E-3</v>
      </c>
      <c r="K905" s="8">
        <f t="shared" si="55"/>
        <v>0.24580156188808777</v>
      </c>
    </row>
    <row r="906" spans="1:11" x14ac:dyDescent="0.25">
      <c r="A906" t="str">
        <f t="shared" si="56"/>
        <v>82020</v>
      </c>
      <c r="B906" s="1">
        <v>44074</v>
      </c>
      <c r="C906" t="s">
        <v>578</v>
      </c>
      <c r="D906">
        <v>8161.75</v>
      </c>
      <c r="E906">
        <v>8177</v>
      </c>
      <c r="F906">
        <v>7814</v>
      </c>
      <c r="G906">
        <v>7840.35</v>
      </c>
      <c r="H906">
        <v>0</v>
      </c>
      <c r="I906" s="8">
        <f t="shared" si="57"/>
        <v>-3.346955380092087E-2</v>
      </c>
      <c r="J906" s="8">
        <f t="shared" si="58"/>
        <v>-3.4042479330607396E-2</v>
      </c>
      <c r="K906" s="8">
        <f t="shared" si="55"/>
        <v>0.1827795587403358</v>
      </c>
    </row>
    <row r="907" spans="1:11" x14ac:dyDescent="0.25">
      <c r="A907" t="str">
        <f t="shared" si="56"/>
        <v>92020</v>
      </c>
      <c r="B907" s="1">
        <v>44075</v>
      </c>
      <c r="C907" s="10">
        <v>43839.645833333336</v>
      </c>
      <c r="D907">
        <v>7872.2</v>
      </c>
      <c r="E907">
        <v>7972.55</v>
      </c>
      <c r="F907">
        <v>7824.15</v>
      </c>
      <c r="G907">
        <v>7885.95</v>
      </c>
      <c r="H907">
        <v>0</v>
      </c>
      <c r="I907" s="8">
        <f t="shared" si="57"/>
        <v>5.8160668847690999E-3</v>
      </c>
      <c r="J907" s="8">
        <f t="shared" si="58"/>
        <v>5.7992188623512912E-3</v>
      </c>
      <c r="K907" s="8">
        <f t="shared" si="55"/>
        <v>0.19293402213129007</v>
      </c>
    </row>
    <row r="908" spans="1:11" x14ac:dyDescent="0.25">
      <c r="A908" t="str">
        <f t="shared" si="56"/>
        <v>92020</v>
      </c>
      <c r="B908" s="1">
        <v>44076</v>
      </c>
      <c r="C908" s="10">
        <v>43870.645833333336</v>
      </c>
      <c r="D908">
        <v>7895.15</v>
      </c>
      <c r="E908">
        <v>8004.25</v>
      </c>
      <c r="F908">
        <v>7799.45</v>
      </c>
      <c r="G908">
        <v>7976.95</v>
      </c>
      <c r="H908">
        <v>0</v>
      </c>
      <c r="I908" s="8">
        <f t="shared" si="57"/>
        <v>1.1539510141454157E-2</v>
      </c>
      <c r="J908" s="8">
        <f t="shared" si="58"/>
        <v>1.1473437803441261E-2</v>
      </c>
      <c r="K908" s="8">
        <f t="shared" si="55"/>
        <v>0.21272633291272025</v>
      </c>
    </row>
    <row r="909" spans="1:11" x14ac:dyDescent="0.25">
      <c r="A909" t="str">
        <f t="shared" si="56"/>
        <v>92020</v>
      </c>
      <c r="B909" s="1">
        <v>44077</v>
      </c>
      <c r="C909" s="10">
        <v>43899.645833333336</v>
      </c>
      <c r="D909">
        <v>8012.75</v>
      </c>
      <c r="E909">
        <v>8097.9</v>
      </c>
      <c r="F909">
        <v>8008</v>
      </c>
      <c r="G909">
        <v>8049.55</v>
      </c>
      <c r="H909">
        <v>0</v>
      </c>
      <c r="I909" s="8">
        <f t="shared" si="57"/>
        <v>9.1012228984763688E-3</v>
      </c>
      <c r="J909" s="8">
        <f t="shared" si="58"/>
        <v>9.0600563580669497E-3</v>
      </c>
      <c r="K909" s="8">
        <f t="shared" si="55"/>
        <v>0.23788763042759498</v>
      </c>
    </row>
    <row r="910" spans="1:11" x14ac:dyDescent="0.25">
      <c r="A910" t="str">
        <f t="shared" si="56"/>
        <v>92020</v>
      </c>
      <c r="B910" s="1">
        <v>44078</v>
      </c>
      <c r="C910" s="10">
        <v>43930.645833333336</v>
      </c>
      <c r="D910">
        <v>7916.8</v>
      </c>
      <c r="E910">
        <v>8128.45</v>
      </c>
      <c r="F910">
        <v>7890.45</v>
      </c>
      <c r="G910">
        <v>7996.55</v>
      </c>
      <c r="H910">
        <v>0</v>
      </c>
      <c r="I910" s="8">
        <f t="shared" si="57"/>
        <v>-6.5842189936083928E-3</v>
      </c>
      <c r="J910" s="8">
        <f t="shared" si="58"/>
        <v>-6.6059905820441966E-3</v>
      </c>
      <c r="K910" s="8">
        <f t="shared" si="55"/>
        <v>0.25463631228818873</v>
      </c>
    </row>
    <row r="911" spans="1:11" x14ac:dyDescent="0.25">
      <c r="A911" t="str">
        <f t="shared" si="56"/>
        <v>92020</v>
      </c>
      <c r="B911" s="1">
        <v>44081</v>
      </c>
      <c r="C911" s="10">
        <v>44021.645833333336</v>
      </c>
      <c r="D911">
        <v>8039.3</v>
      </c>
      <c r="E911">
        <v>8062.35</v>
      </c>
      <c r="F911">
        <v>7906.65</v>
      </c>
      <c r="G911">
        <v>7957.85</v>
      </c>
      <c r="H911">
        <v>0</v>
      </c>
      <c r="I911" s="8">
        <f t="shared" si="57"/>
        <v>-4.839587071924778E-3</v>
      </c>
      <c r="J911" s="8">
        <f t="shared" si="58"/>
        <v>-4.851335794743214E-3</v>
      </c>
      <c r="K911" s="8">
        <f t="shared" si="55"/>
        <v>0.21319785346220699</v>
      </c>
    </row>
    <row r="912" spans="1:11" x14ac:dyDescent="0.25">
      <c r="A912" t="str">
        <f t="shared" si="56"/>
        <v>92020</v>
      </c>
      <c r="B912" s="1">
        <v>44082</v>
      </c>
      <c r="C912" s="10">
        <v>44052.645833333336</v>
      </c>
      <c r="D912">
        <v>7975.2</v>
      </c>
      <c r="E912">
        <v>7995.65</v>
      </c>
      <c r="F912">
        <v>7867.85</v>
      </c>
      <c r="G912">
        <v>7888</v>
      </c>
      <c r="H912">
        <v>0</v>
      </c>
      <c r="I912" s="8">
        <f t="shared" si="57"/>
        <v>-8.7774964343384498E-3</v>
      </c>
      <c r="J912" s="8">
        <f t="shared" si="58"/>
        <v>-8.8162455697344301E-3</v>
      </c>
      <c r="K912" s="8">
        <f t="shared" si="55"/>
        <v>0.22427440633245377</v>
      </c>
    </row>
    <row r="913" spans="1:11" x14ac:dyDescent="0.25">
      <c r="A913" t="str">
        <f t="shared" si="56"/>
        <v>92020</v>
      </c>
      <c r="B913" s="1">
        <v>44083</v>
      </c>
      <c r="C913" s="10">
        <v>44083.645833333336</v>
      </c>
      <c r="D913">
        <v>7836.8</v>
      </c>
      <c r="E913">
        <v>7926.8</v>
      </c>
      <c r="F913">
        <v>7780.3</v>
      </c>
      <c r="G913">
        <v>7903.1</v>
      </c>
      <c r="H913">
        <v>0</v>
      </c>
      <c r="I913" s="8">
        <f t="shared" si="57"/>
        <v>1.9143002028398914E-3</v>
      </c>
      <c r="J913" s="8">
        <f t="shared" si="58"/>
        <v>1.9124702652010875E-3</v>
      </c>
      <c r="K913" s="8">
        <f t="shared" si="55"/>
        <v>0.22508738887467938</v>
      </c>
    </row>
    <row r="914" spans="1:11" x14ac:dyDescent="0.25">
      <c r="A914" t="str">
        <f t="shared" si="56"/>
        <v>92020</v>
      </c>
      <c r="B914" s="1">
        <v>44084</v>
      </c>
      <c r="C914" s="10">
        <v>44113.645833333336</v>
      </c>
      <c r="D914">
        <v>7962.55</v>
      </c>
      <c r="E914">
        <v>7980.1</v>
      </c>
      <c r="F914">
        <v>7873</v>
      </c>
      <c r="G914">
        <v>7945</v>
      </c>
      <c r="H914">
        <v>0</v>
      </c>
      <c r="I914" s="8">
        <f t="shared" si="57"/>
        <v>5.3017170477407394E-3</v>
      </c>
      <c r="J914" s="8">
        <f t="shared" si="58"/>
        <v>5.2877124231440363E-3</v>
      </c>
      <c r="K914" s="8">
        <f t="shared" si="55"/>
        <v>0.22164988083339732</v>
      </c>
    </row>
    <row r="915" spans="1:11" x14ac:dyDescent="0.25">
      <c r="A915" t="str">
        <f t="shared" si="56"/>
        <v>92020</v>
      </c>
      <c r="B915" s="1">
        <v>44085</v>
      </c>
      <c r="C915" s="10">
        <v>44144.645833333336</v>
      </c>
      <c r="D915">
        <v>7953.25</v>
      </c>
      <c r="E915">
        <v>7995.25</v>
      </c>
      <c r="F915">
        <v>7930.8</v>
      </c>
      <c r="G915">
        <v>7956.8</v>
      </c>
      <c r="H915">
        <v>0</v>
      </c>
      <c r="I915" s="8">
        <f t="shared" si="57"/>
        <v>1.4852108244178819E-3</v>
      </c>
      <c r="J915" s="8">
        <f t="shared" si="58"/>
        <v>1.4841089896577529E-3</v>
      </c>
      <c r="K915" s="8">
        <f t="shared" si="55"/>
        <v>0.21739928701479538</v>
      </c>
    </row>
    <row r="916" spans="1:11" x14ac:dyDescent="0.25">
      <c r="A916" t="str">
        <f t="shared" si="56"/>
        <v>92020</v>
      </c>
      <c r="B916" s="1">
        <v>44088</v>
      </c>
      <c r="C916" t="s">
        <v>579</v>
      </c>
      <c r="D916">
        <v>7998.45</v>
      </c>
      <c r="E916">
        <v>8094.4</v>
      </c>
      <c r="F916">
        <v>7955.1</v>
      </c>
      <c r="G916">
        <v>8035.35</v>
      </c>
      <c r="H916">
        <v>0</v>
      </c>
      <c r="I916" s="8">
        <f t="shared" si="57"/>
        <v>9.8720591192440477E-3</v>
      </c>
      <c r="J916" s="8">
        <f t="shared" si="58"/>
        <v>9.8236486899593457E-3</v>
      </c>
      <c r="K916" s="8">
        <f t="shared" si="55"/>
        <v>0.21114628080488362</v>
      </c>
    </row>
    <row r="917" spans="1:11" x14ac:dyDescent="0.25">
      <c r="A917" t="str">
        <f t="shared" si="56"/>
        <v>92020</v>
      </c>
      <c r="B917" s="1">
        <v>44089</v>
      </c>
      <c r="C917" t="s">
        <v>580</v>
      </c>
      <c r="D917">
        <v>8067.8</v>
      </c>
      <c r="E917">
        <v>8074.1</v>
      </c>
      <c r="F917">
        <v>7997.8</v>
      </c>
      <c r="G917">
        <v>8033.5</v>
      </c>
      <c r="H917">
        <v>0</v>
      </c>
      <c r="I917" s="8">
        <f t="shared" si="57"/>
        <v>-2.3023265943611371E-4</v>
      </c>
      <c r="J917" s="8">
        <f t="shared" si="58"/>
        <v>-2.3025916704353858E-4</v>
      </c>
      <c r="K917" s="8">
        <f t="shared" si="55"/>
        <v>0.19384464490050668</v>
      </c>
    </row>
    <row r="918" spans="1:11" x14ac:dyDescent="0.25">
      <c r="A918" t="str">
        <f t="shared" si="56"/>
        <v>92020</v>
      </c>
      <c r="B918" s="1">
        <v>44090</v>
      </c>
      <c r="C918" t="s">
        <v>581</v>
      </c>
      <c r="D918">
        <v>8055</v>
      </c>
      <c r="E918">
        <v>8220.4</v>
      </c>
      <c r="F918">
        <v>8041</v>
      </c>
      <c r="G918">
        <v>8156.2</v>
      </c>
      <c r="H918">
        <v>0</v>
      </c>
      <c r="I918" s="8">
        <f t="shared" si="57"/>
        <v>1.5273542042696153E-2</v>
      </c>
      <c r="J918" s="8">
        <f t="shared" si="58"/>
        <v>1.515807573472468E-2</v>
      </c>
      <c r="K918" s="8">
        <f t="shared" si="55"/>
        <v>0.20134920167324566</v>
      </c>
    </row>
    <row r="919" spans="1:11" x14ac:dyDescent="0.25">
      <c r="A919" t="str">
        <f t="shared" si="56"/>
        <v>92020</v>
      </c>
      <c r="B919" s="1">
        <v>44091</v>
      </c>
      <c r="C919" t="s">
        <v>582</v>
      </c>
      <c r="D919">
        <v>8106.1</v>
      </c>
      <c r="E919">
        <v>8145.6</v>
      </c>
      <c r="F919">
        <v>8041.85</v>
      </c>
      <c r="G919">
        <v>8128.65</v>
      </c>
      <c r="H919">
        <v>0</v>
      </c>
      <c r="I919" s="8">
        <f t="shared" si="57"/>
        <v>-3.3777984845884124E-3</v>
      </c>
      <c r="J919" s="8">
        <f t="shared" si="58"/>
        <v>-3.3835161248782007E-3</v>
      </c>
      <c r="K919" s="8">
        <f t="shared" si="55"/>
        <v>0.20553034347748711</v>
      </c>
    </row>
    <row r="920" spans="1:11" x14ac:dyDescent="0.25">
      <c r="A920" t="str">
        <f t="shared" si="56"/>
        <v>92020</v>
      </c>
      <c r="B920" s="1">
        <v>44092</v>
      </c>
      <c r="C920" t="s">
        <v>583</v>
      </c>
      <c r="D920">
        <v>8180.25</v>
      </c>
      <c r="E920">
        <v>8221.2999999999993</v>
      </c>
      <c r="F920">
        <v>8125.45</v>
      </c>
      <c r="G920">
        <v>8161.7</v>
      </c>
      <c r="H920">
        <v>0</v>
      </c>
      <c r="I920" s="8">
        <f t="shared" si="57"/>
        <v>4.0658657956733624E-3</v>
      </c>
      <c r="J920" s="8">
        <f t="shared" si="58"/>
        <v>4.057622499874472E-3</v>
      </c>
      <c r="K920" s="8">
        <f t="shared" si="55"/>
        <v>0.21132111875449877</v>
      </c>
    </row>
    <row r="921" spans="1:11" x14ac:dyDescent="0.25">
      <c r="A921" t="str">
        <f t="shared" si="56"/>
        <v>92020</v>
      </c>
      <c r="B921" s="1">
        <v>44095</v>
      </c>
      <c r="C921" t="s">
        <v>584</v>
      </c>
      <c r="D921">
        <v>8170.1</v>
      </c>
      <c r="E921">
        <v>8176.3</v>
      </c>
      <c r="F921">
        <v>7791.65</v>
      </c>
      <c r="G921">
        <v>7832.2</v>
      </c>
      <c r="H921">
        <v>0</v>
      </c>
      <c r="I921" s="8">
        <f t="shared" si="57"/>
        <v>-4.0371491233443968E-2</v>
      </c>
      <c r="J921" s="8">
        <f t="shared" si="58"/>
        <v>-4.1209039447317845E-2</v>
      </c>
      <c r="K921" s="8">
        <f t="shared" si="55"/>
        <v>0.16352346076996782</v>
      </c>
    </row>
    <row r="922" spans="1:11" x14ac:dyDescent="0.25">
      <c r="A922" t="str">
        <f t="shared" si="56"/>
        <v>92020</v>
      </c>
      <c r="B922" s="1">
        <v>44096</v>
      </c>
      <c r="C922" t="s">
        <v>585</v>
      </c>
      <c r="D922">
        <v>7837.9</v>
      </c>
      <c r="E922">
        <v>7846.2</v>
      </c>
      <c r="F922">
        <v>7600.3</v>
      </c>
      <c r="G922">
        <v>7695.25</v>
      </c>
      <c r="H922">
        <v>0</v>
      </c>
      <c r="I922" s="8">
        <f t="shared" si="57"/>
        <v>-1.748550854166131E-2</v>
      </c>
      <c r="J922" s="8">
        <f t="shared" si="58"/>
        <v>-1.7640185771577433E-2</v>
      </c>
      <c r="K922" s="8">
        <f t="shared" si="55"/>
        <v>0.15790305228074653</v>
      </c>
    </row>
    <row r="923" spans="1:11" x14ac:dyDescent="0.25">
      <c r="A923" t="str">
        <f t="shared" si="56"/>
        <v>92020</v>
      </c>
      <c r="B923" s="1">
        <v>44097</v>
      </c>
      <c r="C923" t="s">
        <v>586</v>
      </c>
      <c r="D923">
        <v>7748.25</v>
      </c>
      <c r="E923">
        <v>7793</v>
      </c>
      <c r="F923">
        <v>7609.55</v>
      </c>
      <c r="G923">
        <v>7690.9</v>
      </c>
      <c r="H923">
        <v>0</v>
      </c>
      <c r="I923" s="8">
        <f t="shared" si="57"/>
        <v>-5.6528377895459503E-4</v>
      </c>
      <c r="J923" s="8">
        <f t="shared" si="58"/>
        <v>-5.6544361206685174E-4</v>
      </c>
      <c r="K923" s="8">
        <f t="shared" si="55"/>
        <v>0.1446239479696092</v>
      </c>
    </row>
    <row r="924" spans="1:11" x14ac:dyDescent="0.25">
      <c r="A924" t="str">
        <f t="shared" si="56"/>
        <v>92020</v>
      </c>
      <c r="B924" s="1">
        <v>44098</v>
      </c>
      <c r="C924" t="s">
        <v>587</v>
      </c>
      <c r="D924">
        <v>7598.1</v>
      </c>
      <c r="E924">
        <v>7614.05</v>
      </c>
      <c r="F924">
        <v>7398.35</v>
      </c>
      <c r="G924">
        <v>7418.85</v>
      </c>
      <c r="H924">
        <v>0</v>
      </c>
      <c r="I924" s="8">
        <f t="shared" si="57"/>
        <v>-3.5372973254105378E-2</v>
      </c>
      <c r="J924" s="8">
        <f t="shared" si="58"/>
        <v>-3.6013753135285619E-2</v>
      </c>
      <c r="K924" s="8">
        <f t="shared" si="55"/>
        <v>0.10422558271068372</v>
      </c>
    </row>
    <row r="925" spans="1:11" x14ac:dyDescent="0.25">
      <c r="A925" t="str">
        <f t="shared" si="56"/>
        <v>92020</v>
      </c>
      <c r="B925" s="1">
        <v>44099</v>
      </c>
      <c r="C925" t="s">
        <v>588</v>
      </c>
      <c r="D925">
        <v>7505.5</v>
      </c>
      <c r="E925">
        <v>7686.4</v>
      </c>
      <c r="F925">
        <v>7477.5</v>
      </c>
      <c r="G925">
        <v>7669.5</v>
      </c>
      <c r="H925">
        <v>0</v>
      </c>
      <c r="I925" s="8">
        <f t="shared" si="57"/>
        <v>3.3785559756565942E-2</v>
      </c>
      <c r="J925" s="8">
        <f t="shared" si="58"/>
        <v>3.3227365561300695E-2</v>
      </c>
      <c r="K925" s="8">
        <f t="shared" si="55"/>
        <v>0.1103791750517582</v>
      </c>
    </row>
    <row r="926" spans="1:11" x14ac:dyDescent="0.25">
      <c r="A926" t="str">
        <f t="shared" si="56"/>
        <v>92020</v>
      </c>
      <c r="B926" s="1">
        <v>44102</v>
      </c>
      <c r="C926" t="s">
        <v>589</v>
      </c>
      <c r="D926">
        <v>7750.3</v>
      </c>
      <c r="E926">
        <v>7918.2</v>
      </c>
      <c r="F926">
        <v>7734.15</v>
      </c>
      <c r="G926">
        <v>7902.55</v>
      </c>
      <c r="H926">
        <v>0</v>
      </c>
      <c r="I926" s="8">
        <f t="shared" si="57"/>
        <v>3.038659625790463E-2</v>
      </c>
      <c r="J926" s="8">
        <f t="shared" si="58"/>
        <v>2.9934067993266551E-2</v>
      </c>
      <c r="K926" s="8">
        <f t="shared" si="55"/>
        <v>0.1336240595032312</v>
      </c>
    </row>
    <row r="927" spans="1:11" x14ac:dyDescent="0.25">
      <c r="A927" t="str">
        <f t="shared" si="56"/>
        <v>92020</v>
      </c>
      <c r="B927" s="1">
        <v>44103</v>
      </c>
      <c r="C927" t="s">
        <v>590</v>
      </c>
      <c r="D927">
        <v>7950.9</v>
      </c>
      <c r="E927">
        <v>8024</v>
      </c>
      <c r="F927">
        <v>7861.1</v>
      </c>
      <c r="G927">
        <v>7925.2</v>
      </c>
      <c r="H927">
        <v>0</v>
      </c>
      <c r="I927" s="8">
        <f t="shared" si="57"/>
        <v>2.8661634535687153E-3</v>
      </c>
      <c r="J927" s="8">
        <f t="shared" si="58"/>
        <v>2.8620638386735466E-3</v>
      </c>
      <c r="K927" s="8">
        <f t="shared" si="55"/>
        <v>0.10505804022728071</v>
      </c>
    </row>
    <row r="928" spans="1:11" x14ac:dyDescent="0.25">
      <c r="A928" t="str">
        <f t="shared" si="56"/>
        <v>92020</v>
      </c>
      <c r="B928" s="1">
        <v>44104</v>
      </c>
      <c r="C928" t="s">
        <v>591</v>
      </c>
      <c r="D928">
        <v>7935.1</v>
      </c>
      <c r="E928">
        <v>7974.9</v>
      </c>
      <c r="F928">
        <v>7887.85</v>
      </c>
      <c r="G928">
        <v>7908.1</v>
      </c>
      <c r="H928">
        <v>0</v>
      </c>
      <c r="I928" s="8">
        <f t="shared" si="57"/>
        <v>-2.1576742542773752E-3</v>
      </c>
      <c r="J928" s="8">
        <f t="shared" si="58"/>
        <v>-2.1600053871917665E-3</v>
      </c>
      <c r="K928" s="8">
        <f t="shared" si="55"/>
        <v>9.8415873214298122E-2</v>
      </c>
    </row>
    <row r="929" spans="1:11" x14ac:dyDescent="0.25">
      <c r="A929" t="str">
        <f t="shared" si="56"/>
        <v>102020</v>
      </c>
      <c r="B929" s="1">
        <v>44105</v>
      </c>
      <c r="C929" s="10">
        <v>43840.645833333336</v>
      </c>
      <c r="D929">
        <v>7985.35</v>
      </c>
      <c r="E929">
        <v>8089.05</v>
      </c>
      <c r="F929">
        <v>7953.9</v>
      </c>
      <c r="G929">
        <v>7966.1</v>
      </c>
      <c r="H929">
        <v>0</v>
      </c>
      <c r="I929" s="8">
        <f t="shared" si="57"/>
        <v>7.3342522224049134E-3</v>
      </c>
      <c r="J929" s="8">
        <f t="shared" si="58"/>
        <v>7.3074873816298706E-3</v>
      </c>
      <c r="K929" s="8">
        <f t="shared" si="55"/>
        <v>0.12844667001919441</v>
      </c>
    </row>
    <row r="930" spans="1:11" x14ac:dyDescent="0.25">
      <c r="A930" t="str">
        <f t="shared" si="56"/>
        <v>102020</v>
      </c>
      <c r="B930" s="1">
        <v>44109</v>
      </c>
      <c r="C930" s="10">
        <v>43961.645833333336</v>
      </c>
      <c r="D930">
        <v>8055.75</v>
      </c>
      <c r="E930">
        <v>8061.65</v>
      </c>
      <c r="F930">
        <v>7878.3</v>
      </c>
      <c r="G930">
        <v>7957.95</v>
      </c>
      <c r="H930">
        <v>0</v>
      </c>
      <c r="I930" s="8">
        <f t="shared" si="57"/>
        <v>-1.0230853240608129E-3</v>
      </c>
      <c r="J930" s="8">
        <f t="shared" si="58"/>
        <v>-1.0236090330807792E-3</v>
      </c>
      <c r="K930" s="8">
        <f t="shared" si="55"/>
        <v>0.12311589703059722</v>
      </c>
    </row>
    <row r="931" spans="1:11" x14ac:dyDescent="0.25">
      <c r="A931" t="str">
        <f t="shared" si="56"/>
        <v>102020</v>
      </c>
      <c r="B931" s="1">
        <v>44110</v>
      </c>
      <c r="C931" s="10">
        <v>43992.645833333336</v>
      </c>
      <c r="D931">
        <v>8026.1</v>
      </c>
      <c r="E931">
        <v>8098.55</v>
      </c>
      <c r="F931">
        <v>7991.35</v>
      </c>
      <c r="G931">
        <v>8058.1</v>
      </c>
      <c r="H931">
        <v>0</v>
      </c>
      <c r="I931" s="8">
        <f t="shared" si="57"/>
        <v>1.2584899377352299E-2</v>
      </c>
      <c r="J931" s="8">
        <f t="shared" si="58"/>
        <v>1.2506367720129856E-2</v>
      </c>
      <c r="K931" s="8">
        <f t="shared" si="55"/>
        <v>0.14443765888852589</v>
      </c>
    </row>
    <row r="932" spans="1:11" x14ac:dyDescent="0.25">
      <c r="A932" t="str">
        <f t="shared" si="56"/>
        <v>102020</v>
      </c>
      <c r="B932" s="1">
        <v>44111</v>
      </c>
      <c r="C932" s="10">
        <v>44022.645833333336</v>
      </c>
      <c r="D932">
        <v>8076.85</v>
      </c>
      <c r="E932">
        <v>8184.15</v>
      </c>
      <c r="F932">
        <v>8039.9</v>
      </c>
      <c r="G932">
        <v>8170.05</v>
      </c>
      <c r="H932">
        <v>0</v>
      </c>
      <c r="I932" s="8">
        <f t="shared" si="57"/>
        <v>1.3892853153969265E-2</v>
      </c>
      <c r="J932" s="8">
        <f t="shared" si="58"/>
        <v>1.3797232084771219E-2</v>
      </c>
      <c r="K932" s="8">
        <f t="shared" si="55"/>
        <v>0.15323701910522347</v>
      </c>
    </row>
    <row r="933" spans="1:11" x14ac:dyDescent="0.25">
      <c r="A933" t="str">
        <f t="shared" si="56"/>
        <v>102020</v>
      </c>
      <c r="B933" s="1">
        <v>44112</v>
      </c>
      <c r="C933" s="10">
        <v>44053.645833333336</v>
      </c>
      <c r="D933">
        <v>8209.7999999999993</v>
      </c>
      <c r="E933">
        <v>8236.5499999999993</v>
      </c>
      <c r="F933">
        <v>8125.65</v>
      </c>
      <c r="G933">
        <v>8183.7</v>
      </c>
      <c r="H933">
        <v>0</v>
      </c>
      <c r="I933" s="8">
        <f t="shared" si="57"/>
        <v>1.6707364092019006E-3</v>
      </c>
      <c r="J933" s="8">
        <f t="shared" si="58"/>
        <v>1.6693422817244054E-3</v>
      </c>
      <c r="K933" s="8">
        <f t="shared" si="55"/>
        <v>0.18329959514170047</v>
      </c>
    </row>
    <row r="934" spans="1:11" x14ac:dyDescent="0.25">
      <c r="A934" t="str">
        <f t="shared" si="56"/>
        <v>102020</v>
      </c>
      <c r="B934" s="1">
        <v>44113</v>
      </c>
      <c r="C934" s="10">
        <v>44084.645833333336</v>
      </c>
      <c r="D934">
        <v>8191.5</v>
      </c>
      <c r="E934">
        <v>8260.4</v>
      </c>
      <c r="F934">
        <v>8132.1</v>
      </c>
      <c r="G934">
        <v>8163.5</v>
      </c>
      <c r="H934">
        <v>0</v>
      </c>
      <c r="I934" s="8">
        <f t="shared" si="57"/>
        <v>-2.4683211750186063E-3</v>
      </c>
      <c r="J934" s="8">
        <f t="shared" si="58"/>
        <v>-2.4713725018674138E-3</v>
      </c>
      <c r="K934" s="8">
        <f t="shared" si="55"/>
        <v>0.17781577105921897</v>
      </c>
    </row>
    <row r="935" spans="1:11" x14ac:dyDescent="0.25">
      <c r="A935" t="str">
        <f t="shared" si="56"/>
        <v>102020</v>
      </c>
      <c r="B935" s="1">
        <v>44116</v>
      </c>
      <c r="C935" s="10">
        <v>44175.645833333336</v>
      </c>
      <c r="D935">
        <v>8208.9</v>
      </c>
      <c r="E935">
        <v>8211.85</v>
      </c>
      <c r="F935">
        <v>8068.25</v>
      </c>
      <c r="G935">
        <v>8102.5</v>
      </c>
      <c r="H935">
        <v>0</v>
      </c>
      <c r="I935" s="8">
        <f t="shared" si="57"/>
        <v>-7.4722851718013183E-3</v>
      </c>
      <c r="J935" s="8">
        <f t="shared" si="58"/>
        <v>-7.5003425505166628E-3</v>
      </c>
      <c r="K935" s="8">
        <f t="shared" si="55"/>
        <v>0.15487677988568826</v>
      </c>
    </row>
    <row r="936" spans="1:11" x14ac:dyDescent="0.25">
      <c r="A936" t="str">
        <f t="shared" si="56"/>
        <v>102020</v>
      </c>
      <c r="B936" s="1">
        <v>44117</v>
      </c>
      <c r="C936" t="s">
        <v>592</v>
      </c>
      <c r="D936">
        <v>8099.3</v>
      </c>
      <c r="E936">
        <v>8135.2</v>
      </c>
      <c r="F936">
        <v>8038.25</v>
      </c>
      <c r="G936">
        <v>8052.85</v>
      </c>
      <c r="H936">
        <v>0</v>
      </c>
      <c r="I936" s="8">
        <f t="shared" si="57"/>
        <v>-6.1277383523603568E-3</v>
      </c>
      <c r="J936" s="8">
        <f t="shared" si="58"/>
        <v>-6.1465899924178276E-3</v>
      </c>
      <c r="K936" s="8">
        <f t="shared" si="55"/>
        <v>0.12827679934989433</v>
      </c>
    </row>
    <row r="937" spans="1:11" x14ac:dyDescent="0.25">
      <c r="A937" t="str">
        <f t="shared" si="56"/>
        <v>102020</v>
      </c>
      <c r="B937" s="1">
        <v>44118</v>
      </c>
      <c r="C937" t="s">
        <v>593</v>
      </c>
      <c r="D937">
        <v>8043.35</v>
      </c>
      <c r="E937">
        <v>8065.9</v>
      </c>
      <c r="F937">
        <v>7968.4</v>
      </c>
      <c r="G937">
        <v>8031.05</v>
      </c>
      <c r="H937">
        <v>0</v>
      </c>
      <c r="I937" s="8">
        <f t="shared" si="57"/>
        <v>-2.7071161141707378E-3</v>
      </c>
      <c r="J937" s="8">
        <f t="shared" si="58"/>
        <v>-2.7107869794676469E-3</v>
      </c>
      <c r="K937" s="8">
        <f t="shared" si="55"/>
        <v>0.11917751903955631</v>
      </c>
    </row>
    <row r="938" spans="1:11" x14ac:dyDescent="0.25">
      <c r="A938" t="str">
        <f t="shared" si="56"/>
        <v>102020</v>
      </c>
      <c r="B938" s="1">
        <v>44119</v>
      </c>
      <c r="C938" t="s">
        <v>594</v>
      </c>
      <c r="D938">
        <v>8043.05</v>
      </c>
      <c r="E938">
        <v>8120.25</v>
      </c>
      <c r="F938">
        <v>7909</v>
      </c>
      <c r="G938">
        <v>7935.35</v>
      </c>
      <c r="H938">
        <v>0</v>
      </c>
      <c r="I938" s="8">
        <f t="shared" si="57"/>
        <v>-1.1916250054476052E-2</v>
      </c>
      <c r="J938" s="8">
        <f t="shared" si="58"/>
        <v>-1.1987817675461164E-2</v>
      </c>
      <c r="K938" s="8">
        <f t="shared" si="55"/>
        <v>8.7667477641092395E-2</v>
      </c>
    </row>
    <row r="939" spans="1:11" x14ac:dyDescent="0.25">
      <c r="A939" t="str">
        <f t="shared" si="56"/>
        <v>102020</v>
      </c>
      <c r="B939" s="1">
        <v>44120</v>
      </c>
      <c r="C939" t="s">
        <v>595</v>
      </c>
      <c r="D939">
        <v>7955.65</v>
      </c>
      <c r="E939">
        <v>8036.5</v>
      </c>
      <c r="F939">
        <v>7932.55</v>
      </c>
      <c r="G939">
        <v>7959.45</v>
      </c>
      <c r="H939">
        <v>0</v>
      </c>
      <c r="I939" s="8">
        <f t="shared" si="57"/>
        <v>3.0370431045889656E-3</v>
      </c>
      <c r="J939" s="8">
        <f t="shared" si="58"/>
        <v>3.032440605483563E-3</v>
      </c>
      <c r="K939" s="8">
        <f t="shared" si="55"/>
        <v>0.1048730210509512</v>
      </c>
    </row>
    <row r="940" spans="1:11" x14ac:dyDescent="0.25">
      <c r="A940" t="str">
        <f t="shared" si="56"/>
        <v>102020</v>
      </c>
      <c r="B940" s="1">
        <v>44123</v>
      </c>
      <c r="C940" t="s">
        <v>596</v>
      </c>
      <c r="D940">
        <v>8025.25</v>
      </c>
      <c r="E940">
        <v>8027</v>
      </c>
      <c r="F940">
        <v>7844.6</v>
      </c>
      <c r="G940">
        <v>7870.35</v>
      </c>
      <c r="H940">
        <v>0</v>
      </c>
      <c r="I940" s="8">
        <f t="shared" si="57"/>
        <v>-1.1194240808095945E-2</v>
      </c>
      <c r="J940" s="8">
        <f t="shared" si="58"/>
        <v>-1.1257367870203316E-2</v>
      </c>
      <c r="K940" s="8">
        <f t="shared" si="55"/>
        <v>7.797508577533363E-2</v>
      </c>
    </row>
    <row r="941" spans="1:11" x14ac:dyDescent="0.25">
      <c r="A941" t="str">
        <f t="shared" si="56"/>
        <v>102020</v>
      </c>
      <c r="B941" s="1">
        <v>44124</v>
      </c>
      <c r="C941" t="s">
        <v>597</v>
      </c>
      <c r="D941">
        <v>7858.3</v>
      </c>
      <c r="E941">
        <v>7946.5</v>
      </c>
      <c r="F941">
        <v>7824.75</v>
      </c>
      <c r="G941">
        <v>7896.7</v>
      </c>
      <c r="H941">
        <v>0</v>
      </c>
      <c r="I941" s="8">
        <f t="shared" si="57"/>
        <v>3.3480086654340546E-3</v>
      </c>
      <c r="J941" s="8">
        <f t="shared" si="58"/>
        <v>3.34241656255191E-3</v>
      </c>
      <c r="K941" s="8">
        <f t="shared" si="55"/>
        <v>9.3930305528042046E-2</v>
      </c>
    </row>
    <row r="942" spans="1:11" x14ac:dyDescent="0.25">
      <c r="A942" t="str">
        <f t="shared" si="56"/>
        <v>102020</v>
      </c>
      <c r="B942" s="1">
        <v>44125</v>
      </c>
      <c r="C942" t="s">
        <v>598</v>
      </c>
      <c r="D942">
        <v>7955.25</v>
      </c>
      <c r="E942">
        <v>7991.95</v>
      </c>
      <c r="F942">
        <v>7784.35</v>
      </c>
      <c r="G942">
        <v>7878.05</v>
      </c>
      <c r="H942">
        <v>0</v>
      </c>
      <c r="I942" s="8">
        <f t="shared" si="57"/>
        <v>-2.3617460458165151E-3</v>
      </c>
      <c r="J942" s="8">
        <f t="shared" si="58"/>
        <v>-2.3645393669524321E-3</v>
      </c>
      <c r="K942" s="8">
        <f t="shared" si="55"/>
        <v>9.6236667617530358E-2</v>
      </c>
    </row>
    <row r="943" spans="1:11" x14ac:dyDescent="0.25">
      <c r="A943" t="str">
        <f t="shared" si="56"/>
        <v>102020</v>
      </c>
      <c r="B943" s="1">
        <v>44126</v>
      </c>
      <c r="C943" t="s">
        <v>599</v>
      </c>
      <c r="D943">
        <v>7857</v>
      </c>
      <c r="E943">
        <v>7888.6</v>
      </c>
      <c r="F943">
        <v>7810.9</v>
      </c>
      <c r="G943">
        <v>7864.15</v>
      </c>
      <c r="H943">
        <v>0</v>
      </c>
      <c r="I943" s="8">
        <f t="shared" si="57"/>
        <v>-1.7643960117035284E-3</v>
      </c>
      <c r="J943" s="8">
        <f t="shared" si="58"/>
        <v>-1.7659543916826411E-3</v>
      </c>
      <c r="K943" s="8">
        <f t="shared" si="55"/>
        <v>6.0301473661502847E-2</v>
      </c>
    </row>
    <row r="944" spans="1:11" x14ac:dyDescent="0.25">
      <c r="A944" t="str">
        <f t="shared" si="56"/>
        <v>102020</v>
      </c>
      <c r="B944" s="1">
        <v>44127</v>
      </c>
      <c r="C944" t="s">
        <v>600</v>
      </c>
      <c r="D944">
        <v>7917.45</v>
      </c>
      <c r="E944">
        <v>8119.1</v>
      </c>
      <c r="F944">
        <v>7883.75</v>
      </c>
      <c r="G944">
        <v>8094.6</v>
      </c>
      <c r="H944">
        <v>0</v>
      </c>
      <c r="I944" s="8">
        <f t="shared" si="57"/>
        <v>2.9303866279254631E-2</v>
      </c>
      <c r="J944" s="8">
        <f t="shared" si="58"/>
        <v>2.8882715765273542E-2</v>
      </c>
      <c r="K944" s="8">
        <f t="shared" si="55"/>
        <v>0.10427338767436312</v>
      </c>
    </row>
    <row r="945" spans="1:11" x14ac:dyDescent="0.25">
      <c r="A945" t="str">
        <f t="shared" si="56"/>
        <v>102020</v>
      </c>
      <c r="B945" s="1">
        <v>44130</v>
      </c>
      <c r="C945" t="s">
        <v>601</v>
      </c>
      <c r="D945">
        <v>8111.9</v>
      </c>
      <c r="E945">
        <v>8135.35</v>
      </c>
      <c r="F945">
        <v>7801.3</v>
      </c>
      <c r="G945">
        <v>7833.65</v>
      </c>
      <c r="H945">
        <v>0</v>
      </c>
      <c r="I945" s="8">
        <f t="shared" si="57"/>
        <v>-3.2237541076767351E-2</v>
      </c>
      <c r="J945" s="8">
        <f t="shared" si="58"/>
        <v>-3.2768615493860793E-2</v>
      </c>
      <c r="K945" s="8">
        <f t="shared" si="55"/>
        <v>7.4891771921760109E-2</v>
      </c>
    </row>
    <row r="946" spans="1:11" x14ac:dyDescent="0.25">
      <c r="A946" t="str">
        <f t="shared" si="56"/>
        <v>102020</v>
      </c>
      <c r="B946" s="1">
        <v>44131</v>
      </c>
      <c r="C946" t="s">
        <v>602</v>
      </c>
      <c r="D946">
        <v>7868.1</v>
      </c>
      <c r="E946">
        <v>7963.85</v>
      </c>
      <c r="F946">
        <v>7765.75</v>
      </c>
      <c r="G946">
        <v>7930.65</v>
      </c>
      <c r="H946">
        <v>0</v>
      </c>
      <c r="I946" s="8">
        <f t="shared" si="57"/>
        <v>1.2382478155138488E-2</v>
      </c>
      <c r="J946" s="8">
        <f t="shared" si="58"/>
        <v>1.2306442303914308E-2</v>
      </c>
      <c r="K946" s="8">
        <f t="shared" si="55"/>
        <v>8.9412411140492365E-2</v>
      </c>
    </row>
    <row r="947" spans="1:11" x14ac:dyDescent="0.25">
      <c r="A947" t="str">
        <f t="shared" si="56"/>
        <v>102020</v>
      </c>
      <c r="B947" s="1">
        <v>44132</v>
      </c>
      <c r="C947" t="s">
        <v>603</v>
      </c>
      <c r="D947">
        <v>7979.15</v>
      </c>
      <c r="E947">
        <v>8069.25</v>
      </c>
      <c r="F947">
        <v>7884.4</v>
      </c>
      <c r="G947">
        <v>7922.75</v>
      </c>
      <c r="H947">
        <v>0</v>
      </c>
      <c r="I947" s="8">
        <f t="shared" si="57"/>
        <v>-9.9613524742603321E-4</v>
      </c>
      <c r="J947" s="8">
        <f t="shared" si="58"/>
        <v>-9.9663171987146712E-4</v>
      </c>
      <c r="K947" s="8">
        <f t="shared" si="55"/>
        <v>9.426470080453031E-2</v>
      </c>
    </row>
    <row r="948" spans="1:11" x14ac:dyDescent="0.25">
      <c r="A948" t="str">
        <f t="shared" si="56"/>
        <v>102020</v>
      </c>
      <c r="B948" s="1">
        <v>44133</v>
      </c>
      <c r="C948" t="s">
        <v>604</v>
      </c>
      <c r="D948">
        <v>7843.75</v>
      </c>
      <c r="E948">
        <v>7894.75</v>
      </c>
      <c r="F948">
        <v>7790.85</v>
      </c>
      <c r="G948">
        <v>7846.75</v>
      </c>
      <c r="H948">
        <v>0</v>
      </c>
      <c r="I948" s="8">
        <f t="shared" si="57"/>
        <v>-9.5926288220630207E-3</v>
      </c>
      <c r="J948" s="8">
        <f t="shared" si="58"/>
        <v>-9.6389344523439158E-3</v>
      </c>
      <c r="K948" s="8">
        <f t="shared" si="55"/>
        <v>6.7011606007655766E-2</v>
      </c>
    </row>
    <row r="949" spans="1:11" x14ac:dyDescent="0.25">
      <c r="A949" t="str">
        <f t="shared" si="56"/>
        <v>102020</v>
      </c>
      <c r="B949" s="1">
        <v>44134</v>
      </c>
      <c r="C949" t="s">
        <v>605</v>
      </c>
      <c r="D949">
        <v>7848.75</v>
      </c>
      <c r="E949">
        <v>7895.45</v>
      </c>
      <c r="F949">
        <v>7707.9</v>
      </c>
      <c r="G949">
        <v>7758.4</v>
      </c>
      <c r="H949">
        <v>0</v>
      </c>
      <c r="I949" s="8">
        <f t="shared" si="57"/>
        <v>-1.1259438621085249E-2</v>
      </c>
      <c r="J949" s="8">
        <f t="shared" si="58"/>
        <v>-1.1323305959576724E-2</v>
      </c>
      <c r="K949" s="8">
        <f t="shared" si="55"/>
        <v>3.5958926973868488E-2</v>
      </c>
    </row>
    <row r="950" spans="1:11" x14ac:dyDescent="0.25">
      <c r="A950" t="str">
        <f t="shared" si="56"/>
        <v>112020</v>
      </c>
      <c r="B950" s="1">
        <v>44137</v>
      </c>
      <c r="C950" s="10">
        <v>43872.645833333336</v>
      </c>
      <c r="D950">
        <v>7821.8</v>
      </c>
      <c r="E950">
        <v>7840.1</v>
      </c>
      <c r="F950">
        <v>7686.85</v>
      </c>
      <c r="G950">
        <v>7732.25</v>
      </c>
      <c r="H950">
        <v>0</v>
      </c>
      <c r="I950" s="8">
        <f t="shared" si="57"/>
        <v>-3.3705403175912085E-3</v>
      </c>
      <c r="J950" s="8">
        <f t="shared" si="58"/>
        <v>-3.3762333846818382E-3</v>
      </c>
      <c r="K950" s="8">
        <f t="shared" si="55"/>
        <v>3.1207281699063172E-2</v>
      </c>
    </row>
    <row r="951" spans="1:11" x14ac:dyDescent="0.25">
      <c r="A951" t="str">
        <f t="shared" si="56"/>
        <v>112020</v>
      </c>
      <c r="B951" s="1">
        <v>44138</v>
      </c>
      <c r="C951" s="10">
        <v>43901.645833333336</v>
      </c>
      <c r="D951">
        <v>7789.55</v>
      </c>
      <c r="E951">
        <v>7885.85</v>
      </c>
      <c r="F951">
        <v>7756.15</v>
      </c>
      <c r="G951">
        <v>7848.85</v>
      </c>
      <c r="H951">
        <v>0</v>
      </c>
      <c r="I951" s="8">
        <f t="shared" si="57"/>
        <v>1.5079698664683727E-2</v>
      </c>
      <c r="J951" s="8">
        <f t="shared" si="58"/>
        <v>1.4967130263055078E-2</v>
      </c>
      <c r="K951" s="8">
        <f t="shared" si="55"/>
        <v>3.8970408170019066E-2</v>
      </c>
    </row>
    <row r="952" spans="1:11" x14ac:dyDescent="0.25">
      <c r="A952" t="str">
        <f t="shared" si="56"/>
        <v>112020</v>
      </c>
      <c r="B952" s="1">
        <v>44139</v>
      </c>
      <c r="C952" s="10">
        <v>43932.645833333336</v>
      </c>
      <c r="D952">
        <v>7852.45</v>
      </c>
      <c r="E952">
        <v>7946.45</v>
      </c>
      <c r="F952">
        <v>7827.25</v>
      </c>
      <c r="G952">
        <v>7901.75</v>
      </c>
      <c r="H952">
        <v>0</v>
      </c>
      <c r="I952" s="8">
        <f t="shared" si="57"/>
        <v>6.7398408684073985E-3</v>
      </c>
      <c r="J952" s="8">
        <f t="shared" si="58"/>
        <v>6.7172296812855149E-3</v>
      </c>
      <c r="K952" s="8">
        <f t="shared" si="55"/>
        <v>3.6798184036844095E-2</v>
      </c>
    </row>
    <row r="953" spans="1:11" x14ac:dyDescent="0.25">
      <c r="A953" t="str">
        <f t="shared" si="56"/>
        <v>112020</v>
      </c>
      <c r="B953" s="1">
        <v>44140</v>
      </c>
      <c r="C953" s="10">
        <v>43962.645833333336</v>
      </c>
      <c r="D953">
        <v>7974.4</v>
      </c>
      <c r="E953">
        <v>8005.9</v>
      </c>
      <c r="F953">
        <v>7918.6</v>
      </c>
      <c r="G953">
        <v>7995.5</v>
      </c>
      <c r="H953">
        <v>0</v>
      </c>
      <c r="I953" s="8">
        <f t="shared" si="57"/>
        <v>1.1864460404340749E-2</v>
      </c>
      <c r="J953" s="8">
        <f t="shared" si="58"/>
        <v>1.1794629488750191E-2</v>
      </c>
      <c r="K953" s="8">
        <f t="shared" si="55"/>
        <v>4.7854947676056803E-2</v>
      </c>
    </row>
    <row r="954" spans="1:11" x14ac:dyDescent="0.25">
      <c r="A954" t="str">
        <f t="shared" si="56"/>
        <v>112020</v>
      </c>
      <c r="B954" s="1">
        <v>44141</v>
      </c>
      <c r="C954" s="10">
        <v>43993.645833333336</v>
      </c>
      <c r="D954">
        <v>8009.5</v>
      </c>
      <c r="E954">
        <v>8096.7</v>
      </c>
      <c r="F954">
        <v>7973.6</v>
      </c>
      <c r="G954">
        <v>8006.1</v>
      </c>
      <c r="H954">
        <v>0</v>
      </c>
      <c r="I954" s="8">
        <f t="shared" si="57"/>
        <v>1.3257457319741928E-3</v>
      </c>
      <c r="J954" s="8">
        <f t="shared" si="58"/>
        <v>1.3248677070408004E-3</v>
      </c>
      <c r="K954" s="8">
        <f t="shared" si="55"/>
        <v>2.8394165740746713E-2</v>
      </c>
    </row>
    <row r="955" spans="1:11" x14ac:dyDescent="0.25">
      <c r="A955" t="str">
        <f t="shared" si="56"/>
        <v>112020</v>
      </c>
      <c r="B955" s="1">
        <v>44144</v>
      </c>
      <c r="C955" s="10">
        <v>44085.645833333336</v>
      </c>
      <c r="D955">
        <v>8075.2</v>
      </c>
      <c r="E955">
        <v>8085.75</v>
      </c>
      <c r="F955">
        <v>7992.05</v>
      </c>
      <c r="G955">
        <v>8067.65</v>
      </c>
      <c r="H955">
        <v>0</v>
      </c>
      <c r="I955" s="8">
        <f t="shared" si="57"/>
        <v>7.6878879854109794E-3</v>
      </c>
      <c r="J955" s="8">
        <f t="shared" si="58"/>
        <v>7.6584867672746084E-3</v>
      </c>
      <c r="K955" s="8">
        <f t="shared" si="55"/>
        <v>2.3845934198419849E-2</v>
      </c>
    </row>
    <row r="956" spans="1:11" x14ac:dyDescent="0.25">
      <c r="A956" t="str">
        <f t="shared" si="56"/>
        <v>112020</v>
      </c>
      <c r="B956" s="1">
        <v>44145</v>
      </c>
      <c r="C956" s="10">
        <v>44115.645833333336</v>
      </c>
      <c r="D956">
        <v>8153.6</v>
      </c>
      <c r="E956">
        <v>8153.95</v>
      </c>
      <c r="F956">
        <v>8045.9</v>
      </c>
      <c r="G956">
        <v>8127.25</v>
      </c>
      <c r="H956">
        <v>0</v>
      </c>
      <c r="I956" s="8">
        <f t="shared" si="57"/>
        <v>7.3875292061504894E-3</v>
      </c>
      <c r="J956" s="8">
        <f t="shared" si="58"/>
        <v>7.3603750649309544E-3</v>
      </c>
      <c r="K956" s="8">
        <f t="shared" si="55"/>
        <v>5.8559585289769789E-2</v>
      </c>
    </row>
    <row r="957" spans="1:11" x14ac:dyDescent="0.25">
      <c r="A957" t="str">
        <f t="shared" si="56"/>
        <v>112020</v>
      </c>
      <c r="B957" s="1">
        <v>44146</v>
      </c>
      <c r="C957" s="10">
        <v>44146.645833333336</v>
      </c>
      <c r="D957">
        <v>8171.95</v>
      </c>
      <c r="E957">
        <v>8300.65</v>
      </c>
      <c r="F957">
        <v>8143</v>
      </c>
      <c r="G957">
        <v>8255.2000000000007</v>
      </c>
      <c r="H957">
        <v>0</v>
      </c>
      <c r="I957" s="8">
        <f t="shared" si="57"/>
        <v>1.5743332615583361E-2</v>
      </c>
      <c r="J957" s="8">
        <f t="shared" si="58"/>
        <v>1.5620691862761252E-2</v>
      </c>
      <c r="K957" s="8">
        <f t="shared" si="55"/>
        <v>4.9538811653349057E-2</v>
      </c>
    </row>
    <row r="958" spans="1:11" x14ac:dyDescent="0.25">
      <c r="A958" t="str">
        <f t="shared" si="56"/>
        <v>112020</v>
      </c>
      <c r="B958" s="1">
        <v>44147</v>
      </c>
      <c r="C958" s="10">
        <v>44176.645833333336</v>
      </c>
      <c r="D958">
        <v>8256.35</v>
      </c>
      <c r="E958">
        <v>8352.1</v>
      </c>
      <c r="F958">
        <v>8234.75</v>
      </c>
      <c r="G958">
        <v>8284.0499999999993</v>
      </c>
      <c r="H958">
        <v>0</v>
      </c>
      <c r="I958" s="8">
        <f t="shared" si="57"/>
        <v>3.4947669347802357E-3</v>
      </c>
      <c r="J958" s="8">
        <f t="shared" si="58"/>
        <v>3.4886744272856346E-3</v>
      </c>
      <c r="K958" s="8">
        <f t="shared" si="55"/>
        <v>4.308819733437419E-2</v>
      </c>
    </row>
    <row r="959" spans="1:11" x14ac:dyDescent="0.25">
      <c r="A959" t="str">
        <f t="shared" si="56"/>
        <v>112020</v>
      </c>
      <c r="B959" s="1">
        <v>44148</v>
      </c>
      <c r="C959" t="s">
        <v>606</v>
      </c>
      <c r="D959">
        <v>8282.75</v>
      </c>
      <c r="E959">
        <v>8347.6</v>
      </c>
      <c r="F959">
        <v>8251.7999999999993</v>
      </c>
      <c r="G959">
        <v>8308.9</v>
      </c>
      <c r="H959">
        <v>0</v>
      </c>
      <c r="I959" s="8">
        <f t="shared" si="57"/>
        <v>2.9997404651107562E-3</v>
      </c>
      <c r="J959" s="8">
        <f t="shared" si="58"/>
        <v>2.9952502211515971E-3</v>
      </c>
      <c r="K959" s="8">
        <f t="shared" si="55"/>
        <v>4.6283062703444511E-2</v>
      </c>
    </row>
    <row r="960" spans="1:11" x14ac:dyDescent="0.25">
      <c r="A960" t="str">
        <f t="shared" si="56"/>
        <v>112020</v>
      </c>
      <c r="B960" s="1">
        <v>44152</v>
      </c>
      <c r="C960" t="s">
        <v>607</v>
      </c>
      <c r="D960">
        <v>8389.2999999999993</v>
      </c>
      <c r="E960">
        <v>8437.4500000000007</v>
      </c>
      <c r="F960">
        <v>8339.35</v>
      </c>
      <c r="G960">
        <v>8425.5499999999993</v>
      </c>
      <c r="H960">
        <v>0</v>
      </c>
      <c r="I960" s="8">
        <f t="shared" si="57"/>
        <v>1.4039162825403961E-2</v>
      </c>
      <c r="J960" s="8">
        <f t="shared" si="58"/>
        <v>1.3941526538959709E-2</v>
      </c>
      <c r="K960" s="8">
        <f t="shared" ref="K960:K1023" si="59">+G960/G899-1</f>
        <v>6.4961575408261085E-2</v>
      </c>
    </row>
    <row r="961" spans="1:11" x14ac:dyDescent="0.25">
      <c r="A961" t="str">
        <f t="shared" si="56"/>
        <v>112020</v>
      </c>
      <c r="B961" s="1">
        <v>44153</v>
      </c>
      <c r="C961" t="s">
        <v>608</v>
      </c>
      <c r="D961">
        <v>8426.6</v>
      </c>
      <c r="E961">
        <v>8716.25</v>
      </c>
      <c r="F961">
        <v>8421.2999999999993</v>
      </c>
      <c r="G961">
        <v>8686.6</v>
      </c>
      <c r="H961">
        <v>0</v>
      </c>
      <c r="I961" s="8">
        <f t="shared" si="57"/>
        <v>3.0983140566491318E-2</v>
      </c>
      <c r="J961" s="8">
        <f t="shared" si="58"/>
        <v>3.0512852395291178E-2</v>
      </c>
      <c r="K961" s="8">
        <f t="shared" si="59"/>
        <v>9.4760986552736792E-2</v>
      </c>
    </row>
    <row r="962" spans="1:11" x14ac:dyDescent="0.25">
      <c r="A962" t="str">
        <f t="shared" si="56"/>
        <v>112020</v>
      </c>
      <c r="B962" s="1">
        <v>44154</v>
      </c>
      <c r="C962" t="s">
        <v>609</v>
      </c>
      <c r="D962">
        <v>8646.85</v>
      </c>
      <c r="E962">
        <v>8807.6</v>
      </c>
      <c r="F962">
        <v>8594.75</v>
      </c>
      <c r="G962">
        <v>8628.2999999999993</v>
      </c>
      <c r="H962">
        <v>0</v>
      </c>
      <c r="I962" s="8">
        <f t="shared" si="57"/>
        <v>-6.7114866576106769E-3</v>
      </c>
      <c r="J962" s="8">
        <f t="shared" si="58"/>
        <v>-6.7341099650227165E-3</v>
      </c>
      <c r="K962" s="8">
        <f t="shared" si="59"/>
        <v>8.553922802073366E-2</v>
      </c>
    </row>
    <row r="963" spans="1:11" x14ac:dyDescent="0.25">
      <c r="A963" t="str">
        <f t="shared" ref="A963:A1026" si="60">+MONTH(B963)&amp;YEAR(B963)</f>
        <v>112020</v>
      </c>
      <c r="B963" s="1">
        <v>44155</v>
      </c>
      <c r="C963" t="s">
        <v>610</v>
      </c>
      <c r="D963">
        <v>8661.7999999999993</v>
      </c>
      <c r="E963">
        <v>8712.15</v>
      </c>
      <c r="F963">
        <v>8572.1</v>
      </c>
      <c r="G963">
        <v>8684.75</v>
      </c>
      <c r="H963">
        <v>0</v>
      </c>
      <c r="I963" s="8">
        <f t="shared" si="57"/>
        <v>6.5424243477858468E-3</v>
      </c>
      <c r="J963" s="8">
        <f t="shared" si="58"/>
        <v>6.5211155797856102E-3</v>
      </c>
      <c r="K963" s="8">
        <f t="shared" si="59"/>
        <v>8.7823788766972166E-2</v>
      </c>
    </row>
    <row r="964" spans="1:11" x14ac:dyDescent="0.25">
      <c r="A964" t="str">
        <f t="shared" si="60"/>
        <v>112020</v>
      </c>
      <c r="B964" s="1">
        <v>44158</v>
      </c>
      <c r="C964" t="s">
        <v>611</v>
      </c>
      <c r="D964">
        <v>8744.35</v>
      </c>
      <c r="E964">
        <v>8767.7999999999993</v>
      </c>
      <c r="F964">
        <v>8651.1</v>
      </c>
      <c r="G964">
        <v>8738.6</v>
      </c>
      <c r="H964">
        <v>0</v>
      </c>
      <c r="I964" s="8">
        <f t="shared" ref="I964:I1027" si="61">+G964/G963-1</f>
        <v>6.200523906848332E-3</v>
      </c>
      <c r="J964" s="8">
        <f t="shared" ref="J964:J1027" si="62">+LN(1+I964)</f>
        <v>6.1813797535863217E-3</v>
      </c>
      <c r="K964" s="8">
        <f t="shared" si="59"/>
        <v>7.8772915252145026E-2</v>
      </c>
    </row>
    <row r="965" spans="1:11" x14ac:dyDescent="0.25">
      <c r="A965" t="str">
        <f t="shared" si="60"/>
        <v>112020</v>
      </c>
      <c r="B965" s="1">
        <v>44159</v>
      </c>
      <c r="C965" t="s">
        <v>612</v>
      </c>
      <c r="D965">
        <v>8776.65</v>
      </c>
      <c r="E965">
        <v>8942.15</v>
      </c>
      <c r="F965">
        <v>8767.65</v>
      </c>
      <c r="G965">
        <v>8887.9500000000007</v>
      </c>
      <c r="H965">
        <v>0</v>
      </c>
      <c r="I965" s="8">
        <f t="shared" si="61"/>
        <v>1.7090838349392401E-2</v>
      </c>
      <c r="J965" s="8">
        <f t="shared" si="62"/>
        <v>1.6946432988544157E-2</v>
      </c>
      <c r="K965" s="8">
        <f t="shared" si="59"/>
        <v>8.614811193938654E-2</v>
      </c>
    </row>
    <row r="966" spans="1:11" x14ac:dyDescent="0.25">
      <c r="A966" t="str">
        <f t="shared" si="60"/>
        <v>112020</v>
      </c>
      <c r="B966" s="1">
        <v>44160</v>
      </c>
      <c r="C966" t="s">
        <v>613</v>
      </c>
      <c r="D966">
        <v>8951.5499999999993</v>
      </c>
      <c r="E966">
        <v>8961.1</v>
      </c>
      <c r="F966">
        <v>8708.75</v>
      </c>
      <c r="G966">
        <v>8738.4500000000007</v>
      </c>
      <c r="H966">
        <v>0</v>
      </c>
      <c r="I966" s="8">
        <f t="shared" si="61"/>
        <v>-1.6820526668129276E-2</v>
      </c>
      <c r="J966" s="8">
        <f t="shared" si="62"/>
        <v>-1.6963598356841764E-2</v>
      </c>
      <c r="K966" s="8">
        <f t="shared" si="59"/>
        <v>7.7245018090817741E-2</v>
      </c>
    </row>
    <row r="967" spans="1:11" x14ac:dyDescent="0.25">
      <c r="A967" t="str">
        <f t="shared" si="60"/>
        <v>112020</v>
      </c>
      <c r="B967" s="1">
        <v>44161</v>
      </c>
      <c r="C967" t="s">
        <v>614</v>
      </c>
      <c r="D967">
        <v>8757.6</v>
      </c>
      <c r="E967">
        <v>8823.7000000000007</v>
      </c>
      <c r="F967">
        <v>8682</v>
      </c>
      <c r="G967">
        <v>8767.75</v>
      </c>
      <c r="H967">
        <v>0</v>
      </c>
      <c r="I967" s="8">
        <f t="shared" si="61"/>
        <v>3.3529973851196271E-3</v>
      </c>
      <c r="J967" s="8">
        <f t="shared" si="62"/>
        <v>3.3473886233328044E-3</v>
      </c>
      <c r="K967" s="8">
        <f t="shared" si="59"/>
        <v>0.1182855357222572</v>
      </c>
    </row>
    <row r="968" spans="1:11" x14ac:dyDescent="0.25">
      <c r="A968" t="str">
        <f t="shared" si="60"/>
        <v>112020</v>
      </c>
      <c r="B968" s="1">
        <v>44162</v>
      </c>
      <c r="C968" t="s">
        <v>615</v>
      </c>
      <c r="D968">
        <v>8829.0499999999993</v>
      </c>
      <c r="E968">
        <v>8972.5499999999993</v>
      </c>
      <c r="F968">
        <v>8808.35</v>
      </c>
      <c r="G968">
        <v>8891.6</v>
      </c>
      <c r="H968">
        <v>0</v>
      </c>
      <c r="I968" s="8">
        <f t="shared" si="61"/>
        <v>1.4125630863106364E-2</v>
      </c>
      <c r="J968" s="8">
        <f t="shared" si="62"/>
        <v>1.4026793809177469E-2</v>
      </c>
      <c r="K968" s="8">
        <f t="shared" si="59"/>
        <v>0.12752426784344317</v>
      </c>
    </row>
    <row r="969" spans="1:11" x14ac:dyDescent="0.25">
      <c r="A969" t="str">
        <f t="shared" si="60"/>
        <v>122020</v>
      </c>
      <c r="B969" s="1">
        <v>44166</v>
      </c>
      <c r="C969" s="10">
        <v>43842.645833333336</v>
      </c>
      <c r="D969">
        <v>8999.75</v>
      </c>
      <c r="E969">
        <v>8999.75</v>
      </c>
      <c r="F969">
        <v>8855.0499999999993</v>
      </c>
      <c r="G969">
        <v>8987.15</v>
      </c>
      <c r="H969">
        <v>0</v>
      </c>
      <c r="I969" s="8">
        <f t="shared" si="61"/>
        <v>1.0746097440280655E-2</v>
      </c>
      <c r="J969" s="8">
        <f t="shared" si="62"/>
        <v>1.0688768477893969E-2</v>
      </c>
      <c r="K969" s="8">
        <f t="shared" si="59"/>
        <v>0.12663988115758529</v>
      </c>
    </row>
    <row r="970" spans="1:11" x14ac:dyDescent="0.25">
      <c r="A970" t="str">
        <f t="shared" si="60"/>
        <v>122020</v>
      </c>
      <c r="B970" s="1">
        <v>44167</v>
      </c>
      <c r="C970" s="10">
        <v>43873.645833333336</v>
      </c>
      <c r="D970">
        <v>9010.5</v>
      </c>
      <c r="E970">
        <v>9103.9</v>
      </c>
      <c r="F970">
        <v>8985.9500000000007</v>
      </c>
      <c r="G970">
        <v>9093.7000000000007</v>
      </c>
      <c r="H970">
        <v>0</v>
      </c>
      <c r="I970" s="8">
        <f t="shared" si="61"/>
        <v>1.1855816360025306E-2</v>
      </c>
      <c r="J970" s="8">
        <f t="shared" si="62"/>
        <v>1.178608676235194E-2</v>
      </c>
      <c r="K970" s="8">
        <f t="shared" si="59"/>
        <v>0.12971532570143673</v>
      </c>
    </row>
    <row r="971" spans="1:11" x14ac:dyDescent="0.25">
      <c r="A971" t="str">
        <f t="shared" si="60"/>
        <v>122020</v>
      </c>
      <c r="B971" s="1">
        <v>44168</v>
      </c>
      <c r="C971" s="10">
        <v>43902.645833333336</v>
      </c>
      <c r="D971">
        <v>9150.7000000000007</v>
      </c>
      <c r="E971">
        <v>9256.9</v>
      </c>
      <c r="F971">
        <v>9123.25</v>
      </c>
      <c r="G971">
        <v>9245.2999999999993</v>
      </c>
      <c r="H971">
        <v>0</v>
      </c>
      <c r="I971" s="8">
        <f t="shared" si="61"/>
        <v>1.6670882039213852E-2</v>
      </c>
      <c r="J971" s="8">
        <f t="shared" si="62"/>
        <v>1.6533448210694017E-2</v>
      </c>
      <c r="K971" s="8">
        <f t="shared" si="59"/>
        <v>0.15616109447199089</v>
      </c>
    </row>
    <row r="972" spans="1:11" x14ac:dyDescent="0.25">
      <c r="A972" t="str">
        <f t="shared" si="60"/>
        <v>122020</v>
      </c>
      <c r="B972" s="1">
        <v>44169</v>
      </c>
      <c r="C972" s="10">
        <v>43933.645833333336</v>
      </c>
      <c r="D972">
        <v>9290.65</v>
      </c>
      <c r="E972">
        <v>9408.75</v>
      </c>
      <c r="F972">
        <v>9207.5</v>
      </c>
      <c r="G972">
        <v>9302.2000000000007</v>
      </c>
      <c r="H972">
        <v>0</v>
      </c>
      <c r="I972" s="8">
        <f t="shared" si="61"/>
        <v>6.1544784917744177E-3</v>
      </c>
      <c r="J972" s="8">
        <f t="shared" si="62"/>
        <v>6.1356170377364185E-3</v>
      </c>
      <c r="K972" s="8">
        <f t="shared" si="59"/>
        <v>0.16893382006446478</v>
      </c>
    </row>
    <row r="973" spans="1:11" x14ac:dyDescent="0.25">
      <c r="A973" t="str">
        <f t="shared" si="60"/>
        <v>122020</v>
      </c>
      <c r="B973" s="1">
        <v>44172</v>
      </c>
      <c r="C973" s="10">
        <v>44024.645833333336</v>
      </c>
      <c r="D973">
        <v>9313.0499999999993</v>
      </c>
      <c r="E973">
        <v>9339.9</v>
      </c>
      <c r="F973">
        <v>9260.6</v>
      </c>
      <c r="G973">
        <v>9311.1</v>
      </c>
      <c r="H973">
        <v>0</v>
      </c>
      <c r="I973" s="8">
        <f t="shared" si="61"/>
        <v>9.5676291629942511E-4</v>
      </c>
      <c r="J973" s="8">
        <f t="shared" si="62"/>
        <v>9.5630551038984721E-4</v>
      </c>
      <c r="K973" s="8">
        <f t="shared" si="59"/>
        <v>0.18041328600405682</v>
      </c>
    </row>
    <row r="974" spans="1:11" x14ac:dyDescent="0.25">
      <c r="A974" t="str">
        <f t="shared" si="60"/>
        <v>122020</v>
      </c>
      <c r="B974" s="1">
        <v>44173</v>
      </c>
      <c r="C974" s="10">
        <v>44055.645833333336</v>
      </c>
      <c r="D974">
        <v>9330.4500000000007</v>
      </c>
      <c r="E974">
        <v>9456.65</v>
      </c>
      <c r="F974">
        <v>9235.75</v>
      </c>
      <c r="G974">
        <v>9297.85</v>
      </c>
      <c r="H974">
        <v>0</v>
      </c>
      <c r="I974" s="8">
        <f t="shared" si="61"/>
        <v>-1.4230327243827112E-3</v>
      </c>
      <c r="J974" s="8">
        <f t="shared" si="62"/>
        <v>-1.4240461970339788E-3</v>
      </c>
      <c r="K974" s="8">
        <f t="shared" si="59"/>
        <v>0.17648138072401975</v>
      </c>
    </row>
    <row r="975" spans="1:11" x14ac:dyDescent="0.25">
      <c r="A975" t="str">
        <f t="shared" si="60"/>
        <v>122020</v>
      </c>
      <c r="B975" s="1">
        <v>44174</v>
      </c>
      <c r="C975" s="10">
        <v>44086.645833333336</v>
      </c>
      <c r="D975">
        <v>9331.7000000000007</v>
      </c>
      <c r="E975">
        <v>9345.0499999999993</v>
      </c>
      <c r="F975">
        <v>9283.15</v>
      </c>
      <c r="G975">
        <v>9293.2999999999993</v>
      </c>
      <c r="H975">
        <v>0</v>
      </c>
      <c r="I975" s="8">
        <f t="shared" si="61"/>
        <v>-4.8936044354352948E-4</v>
      </c>
      <c r="J975" s="8">
        <f t="shared" si="62"/>
        <v>-4.894802194427007E-4</v>
      </c>
      <c r="K975" s="8">
        <f t="shared" si="59"/>
        <v>0.16970421648835732</v>
      </c>
    </row>
    <row r="976" spans="1:11" x14ac:dyDescent="0.25">
      <c r="A976" t="str">
        <f t="shared" si="60"/>
        <v>122020</v>
      </c>
      <c r="B976" s="1">
        <v>44175</v>
      </c>
      <c r="C976" s="10">
        <v>44116.645833333336</v>
      </c>
      <c r="D976">
        <v>9286.5499999999993</v>
      </c>
      <c r="E976">
        <v>9332.7000000000007</v>
      </c>
      <c r="F976">
        <v>9173.25</v>
      </c>
      <c r="G976">
        <v>9200.85</v>
      </c>
      <c r="H976">
        <v>0</v>
      </c>
      <c r="I976" s="8">
        <f t="shared" si="61"/>
        <v>-9.9480270732676956E-3</v>
      </c>
      <c r="J976" s="8">
        <f t="shared" si="62"/>
        <v>-9.9978393256780641E-3</v>
      </c>
      <c r="K976" s="8">
        <f t="shared" si="59"/>
        <v>0.15635054293183193</v>
      </c>
    </row>
    <row r="977" spans="1:11" x14ac:dyDescent="0.25">
      <c r="A977" t="str">
        <f t="shared" si="60"/>
        <v>122020</v>
      </c>
      <c r="B977" s="1">
        <v>44176</v>
      </c>
      <c r="C977" s="10">
        <v>44147.645833333336</v>
      </c>
      <c r="D977">
        <v>9234.85</v>
      </c>
      <c r="E977">
        <v>9274.5499999999993</v>
      </c>
      <c r="F977">
        <v>9133.65</v>
      </c>
      <c r="G977">
        <v>9188.9500000000007</v>
      </c>
      <c r="H977">
        <v>0</v>
      </c>
      <c r="I977" s="8">
        <f t="shared" si="61"/>
        <v>-1.2933587657661949E-3</v>
      </c>
      <c r="J977" s="8">
        <f t="shared" si="62"/>
        <v>-1.2941958760818448E-3</v>
      </c>
      <c r="K977" s="8">
        <f t="shared" si="59"/>
        <v>0.14356561941919144</v>
      </c>
    </row>
    <row r="978" spans="1:11" x14ac:dyDescent="0.25">
      <c r="A978" t="str">
        <f t="shared" si="60"/>
        <v>122020</v>
      </c>
      <c r="B978" s="1">
        <v>44179</v>
      </c>
      <c r="C978" t="s">
        <v>616</v>
      </c>
      <c r="D978">
        <v>9248.65</v>
      </c>
      <c r="E978">
        <v>9251.2999999999993</v>
      </c>
      <c r="F978">
        <v>9074.9</v>
      </c>
      <c r="G978">
        <v>9093.1</v>
      </c>
      <c r="H978">
        <v>0</v>
      </c>
      <c r="I978" s="8">
        <f t="shared" si="61"/>
        <v>-1.0431006807088972E-2</v>
      </c>
      <c r="J978" s="8">
        <f t="shared" si="62"/>
        <v>-1.0485791061561108E-2</v>
      </c>
      <c r="K978" s="8">
        <f t="shared" si="59"/>
        <v>0.13189767847140099</v>
      </c>
    </row>
    <row r="979" spans="1:11" x14ac:dyDescent="0.25">
      <c r="A979" t="str">
        <f t="shared" si="60"/>
        <v>122020</v>
      </c>
      <c r="B979" s="1">
        <v>44180</v>
      </c>
      <c r="C979" t="s">
        <v>617</v>
      </c>
      <c r="D979">
        <v>9078.25</v>
      </c>
      <c r="E979">
        <v>9168.7000000000007</v>
      </c>
      <c r="F979">
        <v>9052.0499999999993</v>
      </c>
      <c r="G979">
        <v>9149.75</v>
      </c>
      <c r="H979">
        <v>0</v>
      </c>
      <c r="I979" s="8">
        <f t="shared" si="61"/>
        <v>6.2299985703444527E-3</v>
      </c>
      <c r="J979" s="8">
        <f t="shared" si="62"/>
        <v>6.2106723559087577E-3</v>
      </c>
      <c r="K979" s="8">
        <f t="shared" si="59"/>
        <v>0.12181530614747071</v>
      </c>
    </row>
    <row r="980" spans="1:11" x14ac:dyDescent="0.25">
      <c r="A980" t="str">
        <f t="shared" si="60"/>
        <v>122020</v>
      </c>
      <c r="B980" s="1">
        <v>44181</v>
      </c>
      <c r="C980" t="s">
        <v>618</v>
      </c>
      <c r="D980">
        <v>9239.4500000000007</v>
      </c>
      <c r="E980">
        <v>9290.9500000000007</v>
      </c>
      <c r="F980">
        <v>9207.4</v>
      </c>
      <c r="G980">
        <v>9239.1</v>
      </c>
      <c r="H980">
        <v>0</v>
      </c>
      <c r="I980" s="8">
        <f t="shared" si="61"/>
        <v>9.7652941337196264E-3</v>
      </c>
      <c r="J980" s="8">
        <f t="shared" si="62"/>
        <v>9.7179218024546054E-3</v>
      </c>
      <c r="K980" s="8">
        <f t="shared" si="59"/>
        <v>0.13660940008488498</v>
      </c>
    </row>
    <row r="981" spans="1:11" x14ac:dyDescent="0.25">
      <c r="A981" t="str">
        <f t="shared" si="60"/>
        <v>122020</v>
      </c>
      <c r="B981" s="1">
        <v>44182</v>
      </c>
      <c r="C981" t="s">
        <v>619</v>
      </c>
      <c r="D981">
        <v>9265.7000000000007</v>
      </c>
      <c r="E981">
        <v>9288</v>
      </c>
      <c r="F981">
        <v>9146.4</v>
      </c>
      <c r="G981">
        <v>9185.2000000000007</v>
      </c>
      <c r="H981">
        <v>0</v>
      </c>
      <c r="I981" s="8">
        <f t="shared" si="61"/>
        <v>-5.8339015704992336E-3</v>
      </c>
      <c r="J981" s="8">
        <f t="shared" si="62"/>
        <v>-5.8509852496709154E-3</v>
      </c>
      <c r="K981" s="8">
        <f t="shared" si="59"/>
        <v>0.12540279598613036</v>
      </c>
    </row>
    <row r="982" spans="1:11" x14ac:dyDescent="0.25">
      <c r="A982" t="str">
        <f t="shared" si="60"/>
        <v>122020</v>
      </c>
      <c r="B982" s="1">
        <v>44183</v>
      </c>
      <c r="C982" t="s">
        <v>620</v>
      </c>
      <c r="D982">
        <v>9180.25</v>
      </c>
      <c r="E982">
        <v>9200.85</v>
      </c>
      <c r="F982">
        <v>9091.7999999999993</v>
      </c>
      <c r="G982">
        <v>9168.65</v>
      </c>
      <c r="H982">
        <v>0</v>
      </c>
      <c r="I982" s="8">
        <f t="shared" si="61"/>
        <v>-1.8018116099813852E-3</v>
      </c>
      <c r="J982" s="8">
        <f t="shared" si="62"/>
        <v>-1.8034368250346281E-3</v>
      </c>
      <c r="K982" s="8">
        <f t="shared" si="59"/>
        <v>0.17063532596205411</v>
      </c>
    </row>
    <row r="983" spans="1:11" x14ac:dyDescent="0.25">
      <c r="A983" t="str">
        <f t="shared" si="60"/>
        <v>122020</v>
      </c>
      <c r="B983" s="1">
        <v>44186</v>
      </c>
      <c r="C983" t="s">
        <v>621</v>
      </c>
      <c r="D983">
        <v>9128.35</v>
      </c>
      <c r="E983">
        <v>9132.65</v>
      </c>
      <c r="F983">
        <v>8560.2000000000007</v>
      </c>
      <c r="G983">
        <v>8745</v>
      </c>
      <c r="H983">
        <v>0</v>
      </c>
      <c r="I983" s="8">
        <f t="shared" si="61"/>
        <v>-4.6206366258936704E-2</v>
      </c>
      <c r="J983" s="8">
        <f t="shared" si="62"/>
        <v>-4.7307947766978269E-2</v>
      </c>
      <c r="K983" s="8">
        <f t="shared" si="59"/>
        <v>0.13641532113966415</v>
      </c>
    </row>
    <row r="984" spans="1:11" x14ac:dyDescent="0.25">
      <c r="A984" t="str">
        <f t="shared" si="60"/>
        <v>122020</v>
      </c>
      <c r="B984" s="1">
        <v>44187</v>
      </c>
      <c r="C984" t="s">
        <v>622</v>
      </c>
      <c r="D984">
        <v>8754.4</v>
      </c>
      <c r="E984">
        <v>8854.4</v>
      </c>
      <c r="F984">
        <v>8540.9500000000007</v>
      </c>
      <c r="G984">
        <v>8818.6</v>
      </c>
      <c r="H984">
        <v>0</v>
      </c>
      <c r="I984" s="8">
        <f t="shared" si="61"/>
        <v>8.4162378502001811E-3</v>
      </c>
      <c r="J984" s="8">
        <f t="shared" si="62"/>
        <v>8.3810187904395633E-3</v>
      </c>
      <c r="K984" s="8">
        <f t="shared" si="59"/>
        <v>0.14662783289341963</v>
      </c>
    </row>
    <row r="985" spans="1:11" x14ac:dyDescent="0.25">
      <c r="A985" t="str">
        <f t="shared" si="60"/>
        <v>122020</v>
      </c>
      <c r="B985" s="1">
        <v>44188</v>
      </c>
      <c r="C985" t="s">
        <v>623</v>
      </c>
      <c r="D985">
        <v>8825.7000000000007</v>
      </c>
      <c r="E985">
        <v>8955.75</v>
      </c>
      <c r="F985">
        <v>8786.4500000000007</v>
      </c>
      <c r="G985">
        <v>8935.9500000000007</v>
      </c>
      <c r="H985">
        <v>0</v>
      </c>
      <c r="I985" s="8">
        <f t="shared" si="61"/>
        <v>1.3307100900369795E-2</v>
      </c>
      <c r="J985" s="8">
        <f t="shared" si="62"/>
        <v>1.3219339145567584E-2</v>
      </c>
      <c r="K985" s="8">
        <f t="shared" si="59"/>
        <v>0.20449261004063968</v>
      </c>
    </row>
    <row r="986" spans="1:11" x14ac:dyDescent="0.25">
      <c r="A986" t="str">
        <f t="shared" si="60"/>
        <v>122020</v>
      </c>
      <c r="B986" s="1">
        <v>44189</v>
      </c>
      <c r="C986" t="s">
        <v>624</v>
      </c>
      <c r="D986">
        <v>8966.4500000000007</v>
      </c>
      <c r="E986">
        <v>9052.7000000000007</v>
      </c>
      <c r="F986">
        <v>8937.4500000000007</v>
      </c>
      <c r="G986">
        <v>8978.0499999999993</v>
      </c>
      <c r="H986">
        <v>0</v>
      </c>
      <c r="I986" s="8">
        <f t="shared" si="61"/>
        <v>4.7113065762451889E-3</v>
      </c>
      <c r="J986" s="8">
        <f t="shared" si="62"/>
        <v>4.7002431067400307E-3</v>
      </c>
      <c r="K986" s="8">
        <f t="shared" si="59"/>
        <v>0.17061738053328113</v>
      </c>
    </row>
    <row r="987" spans="1:11" x14ac:dyDescent="0.25">
      <c r="A987" t="str">
        <f t="shared" si="60"/>
        <v>122020</v>
      </c>
      <c r="B987" s="1">
        <v>44193</v>
      </c>
      <c r="C987" t="s">
        <v>625</v>
      </c>
      <c r="D987">
        <v>9035.85</v>
      </c>
      <c r="E987">
        <v>9102.7000000000007</v>
      </c>
      <c r="F987">
        <v>9029.35</v>
      </c>
      <c r="G987">
        <v>9066.85</v>
      </c>
      <c r="H987">
        <v>0</v>
      </c>
      <c r="I987" s="8">
        <f t="shared" si="61"/>
        <v>9.8907892025552613E-3</v>
      </c>
      <c r="J987" s="8">
        <f t="shared" si="62"/>
        <v>9.8421955043314514E-3</v>
      </c>
      <c r="K987" s="8">
        <f t="shared" si="59"/>
        <v>0.14733219024239008</v>
      </c>
    </row>
    <row r="988" spans="1:11" x14ac:dyDescent="0.25">
      <c r="A988" t="str">
        <f t="shared" si="60"/>
        <v>122020</v>
      </c>
      <c r="B988" s="1">
        <v>44194</v>
      </c>
      <c r="C988" t="s">
        <v>626</v>
      </c>
      <c r="D988">
        <v>9109.9500000000007</v>
      </c>
      <c r="E988">
        <v>9128.85</v>
      </c>
      <c r="F988">
        <v>8997.2999999999993</v>
      </c>
      <c r="G988">
        <v>9043.9</v>
      </c>
      <c r="H988">
        <v>0</v>
      </c>
      <c r="I988" s="8">
        <f t="shared" si="61"/>
        <v>-2.5311988176710543E-3</v>
      </c>
      <c r="J988" s="8">
        <f t="shared" si="62"/>
        <v>-2.5344077174509587E-3</v>
      </c>
      <c r="K988" s="8">
        <f t="shared" si="59"/>
        <v>0.14115732095089073</v>
      </c>
    </row>
    <row r="989" spans="1:11" x14ac:dyDescent="0.25">
      <c r="A989" t="str">
        <f t="shared" si="60"/>
        <v>122020</v>
      </c>
      <c r="B989" s="1">
        <v>44195</v>
      </c>
      <c r="C989" t="s">
        <v>627</v>
      </c>
      <c r="D989">
        <v>9077.15</v>
      </c>
      <c r="E989">
        <v>9189.9500000000007</v>
      </c>
      <c r="F989">
        <v>9001.4</v>
      </c>
      <c r="G989">
        <v>9164.7999999999993</v>
      </c>
      <c r="H989">
        <v>0</v>
      </c>
      <c r="I989" s="8">
        <f t="shared" si="61"/>
        <v>1.336812658255826E-2</v>
      </c>
      <c r="J989" s="8">
        <f t="shared" si="62"/>
        <v>1.327956160388687E-2</v>
      </c>
      <c r="K989" s="8">
        <f t="shared" si="59"/>
        <v>0.15891301323958973</v>
      </c>
    </row>
    <row r="990" spans="1:11" x14ac:dyDescent="0.25">
      <c r="A990" t="str">
        <f t="shared" si="60"/>
        <v>122020</v>
      </c>
      <c r="B990" s="1">
        <v>44196</v>
      </c>
      <c r="C990" t="s">
        <v>628</v>
      </c>
      <c r="D990">
        <v>9174.4500000000007</v>
      </c>
      <c r="E990">
        <v>9216.65</v>
      </c>
      <c r="F990">
        <v>9155.6</v>
      </c>
      <c r="G990">
        <v>9193.5</v>
      </c>
      <c r="H990">
        <v>0</v>
      </c>
      <c r="I990" s="8">
        <f t="shared" si="61"/>
        <v>3.1315467877095493E-3</v>
      </c>
      <c r="J990" s="8">
        <f t="shared" si="62"/>
        <v>3.1266537076790864E-3</v>
      </c>
      <c r="K990" s="8">
        <f t="shared" si="59"/>
        <v>0.15407790512295838</v>
      </c>
    </row>
    <row r="991" spans="1:11" x14ac:dyDescent="0.25">
      <c r="A991" t="str">
        <f t="shared" si="60"/>
        <v>12021</v>
      </c>
      <c r="B991" s="1">
        <v>44197</v>
      </c>
      <c r="C991" s="10">
        <v>44197.645833333336</v>
      </c>
      <c r="D991">
        <v>9214.9</v>
      </c>
      <c r="E991">
        <v>9300.4</v>
      </c>
      <c r="F991">
        <v>9214.2000000000007</v>
      </c>
      <c r="G991">
        <v>9272.5</v>
      </c>
      <c r="H991">
        <v>0</v>
      </c>
      <c r="I991" s="8">
        <f t="shared" si="61"/>
        <v>8.5930276826018392E-3</v>
      </c>
      <c r="J991" s="8">
        <f t="shared" si="62"/>
        <v>8.5563177698497386E-3</v>
      </c>
      <c r="K991" s="8">
        <f t="shared" si="59"/>
        <v>0.16518701424361804</v>
      </c>
    </row>
    <row r="992" spans="1:11" x14ac:dyDescent="0.25">
      <c r="A992" t="str">
        <f t="shared" si="60"/>
        <v>12021</v>
      </c>
      <c r="B992" s="1">
        <v>44200</v>
      </c>
      <c r="C992" s="10">
        <v>44287.645833333336</v>
      </c>
      <c r="D992">
        <v>9346.15</v>
      </c>
      <c r="E992">
        <v>9434.35</v>
      </c>
      <c r="F992">
        <v>9267.5</v>
      </c>
      <c r="G992">
        <v>9417.9500000000007</v>
      </c>
      <c r="H992">
        <v>0</v>
      </c>
      <c r="I992" s="8">
        <f t="shared" si="61"/>
        <v>1.5686168778646703E-2</v>
      </c>
      <c r="J992" s="8">
        <f t="shared" si="62"/>
        <v>1.5564412442862592E-2</v>
      </c>
      <c r="K992" s="8">
        <f t="shared" si="59"/>
        <v>0.16875566200469105</v>
      </c>
    </row>
    <row r="993" spans="1:11" x14ac:dyDescent="0.25">
      <c r="A993" t="str">
        <f t="shared" si="60"/>
        <v>12021</v>
      </c>
      <c r="B993" s="1">
        <v>44201</v>
      </c>
      <c r="C993" s="10">
        <v>44317.645833333336</v>
      </c>
      <c r="D993">
        <v>9356.9</v>
      </c>
      <c r="E993">
        <v>9431</v>
      </c>
      <c r="F993">
        <v>9293.4500000000007</v>
      </c>
      <c r="G993">
        <v>9416.0499999999993</v>
      </c>
      <c r="H993">
        <v>0</v>
      </c>
      <c r="I993" s="8">
        <f t="shared" si="61"/>
        <v>-2.0174241740522625E-4</v>
      </c>
      <c r="J993" s="8">
        <f t="shared" si="62"/>
        <v>-2.0176277014410303E-4</v>
      </c>
      <c r="K993" s="8">
        <f t="shared" si="59"/>
        <v>0.1525082465835581</v>
      </c>
    </row>
    <row r="994" spans="1:11" x14ac:dyDescent="0.25">
      <c r="A994" t="str">
        <f t="shared" si="60"/>
        <v>12021</v>
      </c>
      <c r="B994" s="1">
        <v>44202</v>
      </c>
      <c r="C994" s="10">
        <v>44348.645833333336</v>
      </c>
      <c r="D994">
        <v>9424.5</v>
      </c>
      <c r="E994">
        <v>9484.0499999999993</v>
      </c>
      <c r="F994">
        <v>9279.0499999999993</v>
      </c>
      <c r="G994">
        <v>9379.5499999999993</v>
      </c>
      <c r="H994">
        <v>0</v>
      </c>
      <c r="I994" s="8">
        <f t="shared" si="61"/>
        <v>-3.8763600448170621E-3</v>
      </c>
      <c r="J994" s="8">
        <f t="shared" si="62"/>
        <v>-3.88389260064901E-3</v>
      </c>
      <c r="K994" s="8">
        <f t="shared" si="59"/>
        <v>0.14612583550227876</v>
      </c>
    </row>
    <row r="995" spans="1:11" x14ac:dyDescent="0.25">
      <c r="A995" t="str">
        <f t="shared" si="60"/>
        <v>12021</v>
      </c>
      <c r="B995" s="1">
        <v>44203</v>
      </c>
      <c r="C995" s="10">
        <v>44378.645833333336</v>
      </c>
      <c r="D995">
        <v>9453.65</v>
      </c>
      <c r="E995">
        <v>9530.6</v>
      </c>
      <c r="F995">
        <v>9406.0499999999993</v>
      </c>
      <c r="G995">
        <v>9429.65</v>
      </c>
      <c r="H995">
        <v>0</v>
      </c>
      <c r="I995" s="8">
        <f t="shared" si="61"/>
        <v>5.3414076368270003E-3</v>
      </c>
      <c r="J995" s="8">
        <f t="shared" si="62"/>
        <v>5.3271929143402482E-3</v>
      </c>
      <c r="K995" s="8">
        <f t="shared" si="59"/>
        <v>0.15509891590616776</v>
      </c>
    </row>
    <row r="996" spans="1:11" x14ac:dyDescent="0.25">
      <c r="A996" t="str">
        <f t="shared" si="60"/>
        <v>12021</v>
      </c>
      <c r="B996" s="1">
        <v>44204</v>
      </c>
      <c r="C996" s="10">
        <v>44409.645833333336</v>
      </c>
      <c r="D996">
        <v>9491.4500000000007</v>
      </c>
      <c r="E996">
        <v>9767.1</v>
      </c>
      <c r="F996">
        <v>9478.2999999999993</v>
      </c>
      <c r="G996">
        <v>9741.25</v>
      </c>
      <c r="H996">
        <v>0</v>
      </c>
      <c r="I996" s="8">
        <f t="shared" si="61"/>
        <v>3.3044704734534136E-2</v>
      </c>
      <c r="J996" s="8">
        <f t="shared" si="62"/>
        <v>3.2510465807615185E-2</v>
      </c>
      <c r="K996" s="8">
        <f t="shared" si="59"/>
        <v>0.20225239123727246</v>
      </c>
    </row>
    <row r="997" spans="1:11" x14ac:dyDescent="0.25">
      <c r="A997" t="str">
        <f t="shared" si="60"/>
        <v>12021</v>
      </c>
      <c r="B997" s="1">
        <v>44207</v>
      </c>
      <c r="C997" s="10">
        <v>44501.645833333336</v>
      </c>
      <c r="D997">
        <v>9789.7999999999993</v>
      </c>
      <c r="E997">
        <v>10028.75</v>
      </c>
      <c r="F997">
        <v>9693.7000000000007</v>
      </c>
      <c r="G997">
        <v>9995.6</v>
      </c>
      <c r="H997">
        <v>0</v>
      </c>
      <c r="I997" s="8">
        <f t="shared" si="61"/>
        <v>2.6110612087771212E-2</v>
      </c>
      <c r="J997" s="8">
        <f t="shared" si="62"/>
        <v>2.5775549990008136E-2</v>
      </c>
      <c r="K997" s="8">
        <f t="shared" si="59"/>
        <v>0.24124999223877253</v>
      </c>
    </row>
    <row r="998" spans="1:11" x14ac:dyDescent="0.25">
      <c r="A998" t="str">
        <f t="shared" si="60"/>
        <v>12021</v>
      </c>
      <c r="B998" s="1">
        <v>44208</v>
      </c>
      <c r="C998" s="10">
        <v>44531.645833333336</v>
      </c>
      <c r="D998">
        <v>9991.4500000000007</v>
      </c>
      <c r="E998">
        <v>10259.1</v>
      </c>
      <c r="F998">
        <v>9975.0499999999993</v>
      </c>
      <c r="G998">
        <v>10119.85</v>
      </c>
      <c r="H998">
        <v>0</v>
      </c>
      <c r="I998" s="8">
        <f t="shared" si="61"/>
        <v>1.2430469406538913E-2</v>
      </c>
      <c r="J998" s="8">
        <f t="shared" si="62"/>
        <v>1.2353845449441606E-2</v>
      </c>
      <c r="K998" s="8">
        <f t="shared" si="59"/>
        <v>0.26009052365506391</v>
      </c>
    </row>
    <row r="999" spans="1:11" x14ac:dyDescent="0.25">
      <c r="A999" t="str">
        <f t="shared" si="60"/>
        <v>12021</v>
      </c>
      <c r="B999" s="1">
        <v>44209</v>
      </c>
      <c r="C999" t="s">
        <v>629</v>
      </c>
      <c r="D999">
        <v>10166.15</v>
      </c>
      <c r="E999">
        <v>10269.9</v>
      </c>
      <c r="F999">
        <v>10120.25</v>
      </c>
      <c r="G999">
        <v>10208.549999999999</v>
      </c>
      <c r="H999">
        <v>0</v>
      </c>
      <c r="I999" s="8">
        <f t="shared" si="61"/>
        <v>8.7649520496844158E-3</v>
      </c>
      <c r="J999" s="8">
        <f t="shared" si="62"/>
        <v>8.7267628462576585E-3</v>
      </c>
      <c r="K999" s="8">
        <f t="shared" si="59"/>
        <v>0.28646499524280578</v>
      </c>
    </row>
    <row r="1000" spans="1:11" x14ac:dyDescent="0.25">
      <c r="A1000" t="str">
        <f t="shared" si="60"/>
        <v>12021</v>
      </c>
      <c r="B1000" s="1">
        <v>44210</v>
      </c>
      <c r="C1000" t="s">
        <v>630</v>
      </c>
      <c r="D1000">
        <v>10237.299999999999</v>
      </c>
      <c r="E1000">
        <v>10285.25</v>
      </c>
      <c r="F1000">
        <v>10148.950000000001</v>
      </c>
      <c r="G1000">
        <v>10238.299999999999</v>
      </c>
      <c r="H1000">
        <v>0</v>
      </c>
      <c r="I1000" s="8">
        <f t="shared" si="61"/>
        <v>2.9142238613710791E-3</v>
      </c>
      <c r="J1000" s="8">
        <f t="shared" si="62"/>
        <v>2.9099857429014547E-3</v>
      </c>
      <c r="K1000" s="8">
        <f t="shared" si="59"/>
        <v>0.28630747099359866</v>
      </c>
    </row>
    <row r="1001" spans="1:11" x14ac:dyDescent="0.25">
      <c r="A1001" t="str">
        <f t="shared" si="60"/>
        <v>12021</v>
      </c>
      <c r="B1001" s="1">
        <v>44211</v>
      </c>
      <c r="C1001" t="s">
        <v>631</v>
      </c>
      <c r="D1001">
        <v>10241.700000000001</v>
      </c>
      <c r="E1001">
        <v>10287.450000000001</v>
      </c>
      <c r="F1001">
        <v>10092.049999999999</v>
      </c>
      <c r="G1001">
        <v>10178.299999999999</v>
      </c>
      <c r="H1001">
        <v>0</v>
      </c>
      <c r="I1001" s="8">
        <f t="shared" si="61"/>
        <v>-5.8603479093208843E-3</v>
      </c>
      <c r="J1001" s="8">
        <f t="shared" si="62"/>
        <v>-5.8775871330244102E-3</v>
      </c>
      <c r="K1001" s="8">
        <f t="shared" si="59"/>
        <v>0.29324617075479464</v>
      </c>
    </row>
    <row r="1002" spans="1:11" x14ac:dyDescent="0.25">
      <c r="A1002" t="str">
        <f t="shared" si="60"/>
        <v>12021</v>
      </c>
      <c r="B1002" s="1">
        <v>44214</v>
      </c>
      <c r="C1002" t="s">
        <v>632</v>
      </c>
      <c r="D1002">
        <v>10162.9</v>
      </c>
      <c r="E1002">
        <v>10173.799999999999</v>
      </c>
      <c r="F1002">
        <v>9863.9</v>
      </c>
      <c r="G1002">
        <v>9961.1</v>
      </c>
      <c r="H1002">
        <v>0</v>
      </c>
      <c r="I1002" s="8">
        <f t="shared" si="61"/>
        <v>-2.1339516422192228E-2</v>
      </c>
      <c r="J1002" s="8">
        <f t="shared" si="62"/>
        <v>-2.1570495805885794E-2</v>
      </c>
      <c r="K1002" s="8">
        <f t="shared" si="59"/>
        <v>0.26142565881950697</v>
      </c>
    </row>
    <row r="1003" spans="1:11" x14ac:dyDescent="0.25">
      <c r="A1003" t="str">
        <f t="shared" si="60"/>
        <v>12021</v>
      </c>
      <c r="B1003" s="1">
        <v>44215</v>
      </c>
      <c r="C1003" t="s">
        <v>633</v>
      </c>
      <c r="D1003">
        <v>10033.35</v>
      </c>
      <c r="E1003">
        <v>10166.200000000001</v>
      </c>
      <c r="F1003">
        <v>10008.75</v>
      </c>
      <c r="G1003">
        <v>10136.799999999999</v>
      </c>
      <c r="H1003">
        <v>0</v>
      </c>
      <c r="I1003" s="8">
        <f t="shared" si="61"/>
        <v>1.7638614209273928E-2</v>
      </c>
      <c r="J1003" s="8">
        <f t="shared" si="62"/>
        <v>1.7484859237229141E-2</v>
      </c>
      <c r="K1003" s="8">
        <f t="shared" si="59"/>
        <v>0.28671435190180294</v>
      </c>
    </row>
    <row r="1004" spans="1:11" x14ac:dyDescent="0.25">
      <c r="A1004" t="str">
        <f t="shared" si="60"/>
        <v>12021</v>
      </c>
      <c r="B1004" s="1">
        <v>44216</v>
      </c>
      <c r="C1004" t="s">
        <v>634</v>
      </c>
      <c r="D1004">
        <v>10140.799999999999</v>
      </c>
      <c r="E1004">
        <v>10387.799999999999</v>
      </c>
      <c r="F1004">
        <v>10118.450000000001</v>
      </c>
      <c r="G1004">
        <v>10369.25</v>
      </c>
      <c r="H1004">
        <v>0</v>
      </c>
      <c r="I1004" s="8">
        <f t="shared" si="61"/>
        <v>2.2931299818483186E-2</v>
      </c>
      <c r="J1004" s="8">
        <f t="shared" si="62"/>
        <v>2.2672329111795255E-2</v>
      </c>
      <c r="K1004" s="8">
        <f t="shared" si="59"/>
        <v>0.31854682324218131</v>
      </c>
    </row>
    <row r="1005" spans="1:11" x14ac:dyDescent="0.25">
      <c r="A1005" t="str">
        <f t="shared" si="60"/>
        <v>12021</v>
      </c>
      <c r="B1005" s="1">
        <v>44217</v>
      </c>
      <c r="C1005" t="s">
        <v>635</v>
      </c>
      <c r="D1005">
        <v>10432.549999999999</v>
      </c>
      <c r="E1005">
        <v>10596.9</v>
      </c>
      <c r="F1005">
        <v>10282.25</v>
      </c>
      <c r="G1005">
        <v>10367.75</v>
      </c>
      <c r="H1005">
        <v>0</v>
      </c>
      <c r="I1005" s="8">
        <f t="shared" si="61"/>
        <v>-1.4465848542566384E-4</v>
      </c>
      <c r="J1005" s="8">
        <f t="shared" si="62"/>
        <v>-1.4466894947352105E-4</v>
      </c>
      <c r="K1005" s="8">
        <f t="shared" si="59"/>
        <v>0.28082301781434538</v>
      </c>
    </row>
    <row r="1006" spans="1:11" x14ac:dyDescent="0.25">
      <c r="A1006" t="str">
        <f t="shared" si="60"/>
        <v>12021</v>
      </c>
      <c r="B1006" s="1">
        <v>44218</v>
      </c>
      <c r="C1006" t="s">
        <v>636</v>
      </c>
      <c r="D1006">
        <v>10414.4</v>
      </c>
      <c r="E1006">
        <v>10780.8</v>
      </c>
      <c r="F1006">
        <v>10398.200000000001</v>
      </c>
      <c r="G1006">
        <v>10515.85</v>
      </c>
      <c r="H1006">
        <v>0</v>
      </c>
      <c r="I1006" s="8">
        <f t="shared" si="61"/>
        <v>1.4284680861324839E-2</v>
      </c>
      <c r="J1006" s="8">
        <f t="shared" si="62"/>
        <v>1.4183616122321028E-2</v>
      </c>
      <c r="K1006" s="8">
        <f t="shared" si="59"/>
        <v>0.3423946691516726</v>
      </c>
    </row>
    <row r="1007" spans="1:11" x14ac:dyDescent="0.25">
      <c r="A1007" t="str">
        <f t="shared" si="60"/>
        <v>12021</v>
      </c>
      <c r="B1007" s="1">
        <v>44221</v>
      </c>
      <c r="C1007" t="s">
        <v>637</v>
      </c>
      <c r="D1007">
        <v>10649.8</v>
      </c>
      <c r="E1007">
        <v>10692.15</v>
      </c>
      <c r="F1007">
        <v>10337.4</v>
      </c>
      <c r="G1007">
        <v>10433.5</v>
      </c>
      <c r="H1007">
        <v>0</v>
      </c>
      <c r="I1007" s="8">
        <f t="shared" si="61"/>
        <v>-7.8310360075505292E-3</v>
      </c>
      <c r="J1007" s="8">
        <f t="shared" si="62"/>
        <v>-7.8618595959017764E-3</v>
      </c>
      <c r="K1007" s="8">
        <f t="shared" si="59"/>
        <v>0.31559203848360484</v>
      </c>
    </row>
    <row r="1008" spans="1:11" x14ac:dyDescent="0.25">
      <c r="A1008" t="str">
        <f t="shared" si="60"/>
        <v>12021</v>
      </c>
      <c r="B1008" s="1">
        <v>44223</v>
      </c>
      <c r="C1008" t="s">
        <v>638</v>
      </c>
      <c r="D1008">
        <v>10410.25</v>
      </c>
      <c r="E1008">
        <v>10457.9</v>
      </c>
      <c r="F1008">
        <v>10161.299999999999</v>
      </c>
      <c r="G1008">
        <v>10210.25</v>
      </c>
      <c r="H1008">
        <v>0</v>
      </c>
      <c r="I1008" s="8">
        <f t="shared" si="61"/>
        <v>-2.1397421766425451E-2</v>
      </c>
      <c r="J1008" s="8">
        <f t="shared" si="62"/>
        <v>-2.1629665516263438E-2</v>
      </c>
      <c r="K1008" s="8">
        <f t="shared" si="59"/>
        <v>0.28872550566406874</v>
      </c>
    </row>
    <row r="1009" spans="1:11" x14ac:dyDescent="0.25">
      <c r="A1009" t="str">
        <f t="shared" si="60"/>
        <v>12021</v>
      </c>
      <c r="B1009" s="1">
        <v>44224</v>
      </c>
      <c r="C1009" t="s">
        <v>639</v>
      </c>
      <c r="D1009">
        <v>10065.950000000001</v>
      </c>
      <c r="E1009">
        <v>10312.15</v>
      </c>
      <c r="F1009">
        <v>10056.950000000001</v>
      </c>
      <c r="G1009">
        <v>10105.6</v>
      </c>
      <c r="H1009">
        <v>0</v>
      </c>
      <c r="I1009" s="8">
        <f t="shared" si="61"/>
        <v>-1.0249504174726365E-2</v>
      </c>
      <c r="J1009" s="8">
        <f t="shared" si="62"/>
        <v>-1.0302392035907722E-2</v>
      </c>
      <c r="K1009" s="8">
        <f t="shared" si="59"/>
        <v>0.28787077452448462</v>
      </c>
    </row>
    <row r="1010" spans="1:11" x14ac:dyDescent="0.25">
      <c r="A1010" t="str">
        <f t="shared" si="60"/>
        <v>12021</v>
      </c>
      <c r="B1010" s="1">
        <v>44225</v>
      </c>
      <c r="C1010" t="s">
        <v>640</v>
      </c>
      <c r="D1010">
        <v>10221.85</v>
      </c>
      <c r="E1010">
        <v>10308.9</v>
      </c>
      <c r="F1010">
        <v>9776.9</v>
      </c>
      <c r="G1010">
        <v>9813.15</v>
      </c>
      <c r="H1010">
        <v>0</v>
      </c>
      <c r="I1010" s="8">
        <f t="shared" si="61"/>
        <v>-2.893939993666883E-2</v>
      </c>
      <c r="J1010" s="8">
        <f t="shared" si="62"/>
        <v>-2.9366402686294812E-2</v>
      </c>
      <c r="K1010" s="8">
        <f t="shared" si="59"/>
        <v>0.26484197772736651</v>
      </c>
    </row>
    <row r="1011" spans="1:11" x14ac:dyDescent="0.25">
      <c r="A1011" t="str">
        <f t="shared" si="60"/>
        <v>22021</v>
      </c>
      <c r="B1011" s="1">
        <v>44228</v>
      </c>
      <c r="C1011" s="10">
        <v>44198.645833333336</v>
      </c>
      <c r="D1011">
        <v>9919.1</v>
      </c>
      <c r="E1011">
        <v>10262.1</v>
      </c>
      <c r="F1011">
        <v>9726.5499999999993</v>
      </c>
      <c r="G1011">
        <v>10227.950000000001</v>
      </c>
      <c r="H1011">
        <v>0</v>
      </c>
      <c r="I1011" s="8">
        <f t="shared" si="61"/>
        <v>4.2269811426504322E-2</v>
      </c>
      <c r="J1011" s="8">
        <f t="shared" si="62"/>
        <v>4.1400845922895578E-2</v>
      </c>
      <c r="K1011" s="8">
        <f t="shared" si="59"/>
        <v>0.32276504251673188</v>
      </c>
    </row>
    <row r="1012" spans="1:11" x14ac:dyDescent="0.25">
      <c r="A1012" t="str">
        <f t="shared" si="60"/>
        <v>22021</v>
      </c>
      <c r="B1012" s="1">
        <v>44229</v>
      </c>
      <c r="C1012" s="10">
        <v>44229.645833333336</v>
      </c>
      <c r="D1012">
        <v>10427.049999999999</v>
      </c>
      <c r="E1012">
        <v>10689.95</v>
      </c>
      <c r="F1012">
        <v>10383.549999999999</v>
      </c>
      <c r="G1012">
        <v>10638.6</v>
      </c>
      <c r="H1012">
        <v>0</v>
      </c>
      <c r="I1012" s="8">
        <f t="shared" si="61"/>
        <v>4.0149785636417912E-2</v>
      </c>
      <c r="J1012" s="8">
        <f t="shared" si="62"/>
        <v>3.9364727433128903E-2</v>
      </c>
      <c r="K1012" s="8">
        <f t="shared" si="59"/>
        <v>0.35543423558865306</v>
      </c>
    </row>
    <row r="1013" spans="1:11" x14ac:dyDescent="0.25">
      <c r="A1013" t="str">
        <f t="shared" si="60"/>
        <v>22021</v>
      </c>
      <c r="B1013" s="1">
        <v>44230</v>
      </c>
      <c r="C1013" s="10">
        <v>44257.645833333336</v>
      </c>
      <c r="D1013">
        <v>10754</v>
      </c>
      <c r="E1013">
        <v>10860.05</v>
      </c>
      <c r="F1013">
        <v>10626.45</v>
      </c>
      <c r="G1013">
        <v>10749.15</v>
      </c>
      <c r="H1013">
        <v>0</v>
      </c>
      <c r="I1013" s="8">
        <f t="shared" si="61"/>
        <v>1.0391404884101174E-2</v>
      </c>
      <c r="J1013" s="8">
        <f t="shared" si="62"/>
        <v>1.0337785371190183E-2</v>
      </c>
      <c r="K1013" s="8">
        <f t="shared" si="59"/>
        <v>0.36035055525674697</v>
      </c>
    </row>
    <row r="1014" spans="1:11" x14ac:dyDescent="0.25">
      <c r="A1014" t="str">
        <f t="shared" si="60"/>
        <v>22021</v>
      </c>
      <c r="B1014" s="1">
        <v>44231</v>
      </c>
      <c r="C1014" s="10">
        <v>44288.645833333336</v>
      </c>
      <c r="D1014">
        <v>10763.6</v>
      </c>
      <c r="E1014">
        <v>10988.35</v>
      </c>
      <c r="F1014">
        <v>10732.2</v>
      </c>
      <c r="G1014">
        <v>10867.1</v>
      </c>
      <c r="H1014">
        <v>0</v>
      </c>
      <c r="I1014" s="8">
        <f t="shared" si="61"/>
        <v>1.0972960652702923E-2</v>
      </c>
      <c r="J1014" s="8">
        <f t="shared" si="62"/>
        <v>1.091319453003641E-2</v>
      </c>
      <c r="K1014" s="8">
        <f t="shared" si="59"/>
        <v>0.3591520230129448</v>
      </c>
    </row>
    <row r="1015" spans="1:11" x14ac:dyDescent="0.25">
      <c r="A1015" t="str">
        <f t="shared" si="60"/>
        <v>22021</v>
      </c>
      <c r="B1015" s="1">
        <v>44232</v>
      </c>
      <c r="C1015" s="10">
        <v>44318.645833333336</v>
      </c>
      <c r="D1015">
        <v>10958.9</v>
      </c>
      <c r="E1015">
        <v>10987.05</v>
      </c>
      <c r="F1015">
        <v>10649</v>
      </c>
      <c r="G1015">
        <v>10723.95</v>
      </c>
      <c r="H1015">
        <v>0</v>
      </c>
      <c r="I1015" s="8">
        <f t="shared" si="61"/>
        <v>-1.3172787588224932E-2</v>
      </c>
      <c r="J1015" s="8">
        <f t="shared" si="62"/>
        <v>-1.3260318286631902E-2</v>
      </c>
      <c r="K1015" s="8">
        <f t="shared" si="59"/>
        <v>0.33947240229325137</v>
      </c>
    </row>
    <row r="1016" spans="1:11" x14ac:dyDescent="0.25">
      <c r="A1016" t="str">
        <f t="shared" si="60"/>
        <v>22021</v>
      </c>
      <c r="B1016" s="1">
        <v>44235</v>
      </c>
      <c r="C1016" s="10">
        <v>44410.645833333336</v>
      </c>
      <c r="D1016">
        <v>10830.1</v>
      </c>
      <c r="E1016">
        <v>11077.85</v>
      </c>
      <c r="F1016">
        <v>10818.4</v>
      </c>
      <c r="G1016">
        <v>11061.15</v>
      </c>
      <c r="H1016">
        <v>0</v>
      </c>
      <c r="I1016" s="8">
        <f t="shared" si="61"/>
        <v>3.1443637838669325E-2</v>
      </c>
      <c r="J1016" s="8">
        <f t="shared" si="62"/>
        <v>3.0959411065545249E-2</v>
      </c>
      <c r="K1016" s="8">
        <f t="shared" si="59"/>
        <v>0.3710498100438171</v>
      </c>
    </row>
    <row r="1017" spans="1:11" x14ac:dyDescent="0.25">
      <c r="A1017" t="str">
        <f t="shared" si="60"/>
        <v>22021</v>
      </c>
      <c r="B1017" s="1">
        <v>44236</v>
      </c>
      <c r="C1017" s="10">
        <v>44441.645833333336</v>
      </c>
      <c r="D1017">
        <v>11087.4</v>
      </c>
      <c r="E1017">
        <v>11093.15</v>
      </c>
      <c r="F1017">
        <v>10855.25</v>
      </c>
      <c r="G1017">
        <v>10907.6</v>
      </c>
      <c r="H1017">
        <v>0</v>
      </c>
      <c r="I1017" s="8">
        <f t="shared" si="61"/>
        <v>-1.3881920053520624E-2</v>
      </c>
      <c r="J1017" s="8">
        <f t="shared" si="62"/>
        <v>-1.3979175011731846E-2</v>
      </c>
      <c r="K1017" s="8">
        <f t="shared" si="59"/>
        <v>0.34210218708665296</v>
      </c>
    </row>
    <row r="1018" spans="1:11" x14ac:dyDescent="0.25">
      <c r="A1018" t="str">
        <f t="shared" si="60"/>
        <v>22021</v>
      </c>
      <c r="B1018" s="1">
        <v>44237</v>
      </c>
      <c r="C1018" s="10">
        <v>44471.645833333336</v>
      </c>
      <c r="D1018">
        <v>10922.9</v>
      </c>
      <c r="E1018">
        <v>11049.7</v>
      </c>
      <c r="F1018">
        <v>10822.5</v>
      </c>
      <c r="G1018">
        <v>11010.85</v>
      </c>
      <c r="H1018">
        <v>0</v>
      </c>
      <c r="I1018" s="8">
        <f t="shared" si="61"/>
        <v>9.4658770031903483E-3</v>
      </c>
      <c r="J1018" s="8">
        <f t="shared" si="62"/>
        <v>9.4213563204992145E-3</v>
      </c>
      <c r="K1018" s="8">
        <f t="shared" si="59"/>
        <v>0.33380778176179859</v>
      </c>
    </row>
    <row r="1019" spans="1:11" x14ac:dyDescent="0.25">
      <c r="A1019" t="str">
        <f t="shared" si="60"/>
        <v>22021</v>
      </c>
      <c r="B1019" s="1">
        <v>44238</v>
      </c>
      <c r="C1019" s="10">
        <v>44502.645833333336</v>
      </c>
      <c r="D1019">
        <v>10947.5</v>
      </c>
      <c r="E1019">
        <v>11057.1</v>
      </c>
      <c r="F1019">
        <v>10878.35</v>
      </c>
      <c r="G1019">
        <v>10965.25</v>
      </c>
      <c r="H1019">
        <v>0</v>
      </c>
      <c r="I1019" s="8">
        <f t="shared" si="61"/>
        <v>-4.1413696490280039E-3</v>
      </c>
      <c r="J1019" s="8">
        <f t="shared" si="62"/>
        <v>-4.1499688702271451E-3</v>
      </c>
      <c r="K1019" s="8">
        <f t="shared" si="59"/>
        <v>0.32365811408670897</v>
      </c>
    </row>
    <row r="1020" spans="1:11" x14ac:dyDescent="0.25">
      <c r="A1020" t="str">
        <f t="shared" si="60"/>
        <v>22021</v>
      </c>
      <c r="B1020" s="1">
        <v>44239</v>
      </c>
      <c r="C1020" s="10">
        <v>44532.645833333336</v>
      </c>
      <c r="D1020">
        <v>10951.6</v>
      </c>
      <c r="E1020">
        <v>10989.95</v>
      </c>
      <c r="F1020">
        <v>10835.55</v>
      </c>
      <c r="G1020">
        <v>10912.25</v>
      </c>
      <c r="H1020">
        <v>0</v>
      </c>
      <c r="I1020" s="8">
        <f t="shared" si="61"/>
        <v>-4.8334511297052352E-3</v>
      </c>
      <c r="J1020" s="8">
        <f t="shared" si="62"/>
        <v>-4.8451700316928872E-3</v>
      </c>
      <c r="K1020" s="8">
        <f t="shared" si="59"/>
        <v>0.31332065616387261</v>
      </c>
    </row>
    <row r="1021" spans="1:11" x14ac:dyDescent="0.25">
      <c r="A1021" t="str">
        <f t="shared" si="60"/>
        <v>22021</v>
      </c>
      <c r="B1021" s="1">
        <v>44242</v>
      </c>
      <c r="C1021" t="s">
        <v>641</v>
      </c>
      <c r="D1021">
        <v>10978.7</v>
      </c>
      <c r="E1021">
        <v>11002.8</v>
      </c>
      <c r="F1021">
        <v>10909.95</v>
      </c>
      <c r="G1021">
        <v>10956.05</v>
      </c>
      <c r="H1021">
        <v>0</v>
      </c>
      <c r="I1021" s="8">
        <f t="shared" si="61"/>
        <v>4.0138376595111325E-3</v>
      </c>
      <c r="J1021" s="8">
        <f t="shared" si="62"/>
        <v>4.0058037039528253E-3</v>
      </c>
      <c r="K1021" s="8">
        <f t="shared" si="59"/>
        <v>0.30033647655049234</v>
      </c>
    </row>
    <row r="1022" spans="1:11" x14ac:dyDescent="0.25">
      <c r="A1022" t="str">
        <f t="shared" si="60"/>
        <v>22021</v>
      </c>
      <c r="B1022" s="1">
        <v>44243</v>
      </c>
      <c r="C1022" t="s">
        <v>642</v>
      </c>
      <c r="D1022">
        <v>11005.5</v>
      </c>
      <c r="E1022">
        <v>11034.05</v>
      </c>
      <c r="F1022">
        <v>10881.4</v>
      </c>
      <c r="G1022">
        <v>10944.9</v>
      </c>
      <c r="H1022">
        <v>0</v>
      </c>
      <c r="I1022" s="8">
        <f t="shared" si="61"/>
        <v>-1.0177025479073398E-3</v>
      </c>
      <c r="J1022" s="8">
        <f t="shared" si="62"/>
        <v>-1.0182207587648557E-3</v>
      </c>
      <c r="K1022" s="8">
        <f t="shared" si="59"/>
        <v>0.25997513411461326</v>
      </c>
    </row>
    <row r="1023" spans="1:11" x14ac:dyDescent="0.25">
      <c r="A1023" t="str">
        <f t="shared" si="60"/>
        <v>22021</v>
      </c>
      <c r="B1023" s="1">
        <v>44244</v>
      </c>
      <c r="C1023" t="s">
        <v>643</v>
      </c>
      <c r="D1023">
        <v>10914.2</v>
      </c>
      <c r="E1023">
        <v>11008.4</v>
      </c>
      <c r="F1023">
        <v>10880.5</v>
      </c>
      <c r="G1023">
        <v>10975.45</v>
      </c>
      <c r="H1023">
        <v>0</v>
      </c>
      <c r="I1023" s="8">
        <f t="shared" si="61"/>
        <v>2.7912543741834828E-3</v>
      </c>
      <c r="J1023" s="8">
        <f t="shared" si="62"/>
        <v>2.7873660575328425E-3</v>
      </c>
      <c r="K1023" s="8">
        <f t="shared" si="59"/>
        <v>0.27202925257582633</v>
      </c>
    </row>
    <row r="1024" spans="1:11" x14ac:dyDescent="0.25">
      <c r="A1024" t="str">
        <f t="shared" si="60"/>
        <v>22021</v>
      </c>
      <c r="B1024" s="1">
        <v>44245</v>
      </c>
      <c r="C1024" t="s">
        <v>644</v>
      </c>
      <c r="D1024">
        <v>11027.8</v>
      </c>
      <c r="E1024">
        <v>11027.8</v>
      </c>
      <c r="F1024">
        <v>10787.7</v>
      </c>
      <c r="G1024">
        <v>10827</v>
      </c>
      <c r="H1024">
        <v>0</v>
      </c>
      <c r="I1024" s="8">
        <f t="shared" si="61"/>
        <v>-1.3525641317668091E-2</v>
      </c>
      <c r="J1024" s="8">
        <f t="shared" si="62"/>
        <v>-1.3617946069807771E-2</v>
      </c>
      <c r="K1024" s="8">
        <f t="shared" ref="K1024:K1087" si="63">+G1024/G963-1</f>
        <v>0.24666801001755956</v>
      </c>
    </row>
    <row r="1025" spans="1:11" x14ac:dyDescent="0.25">
      <c r="A1025" t="str">
        <f t="shared" si="60"/>
        <v>22021</v>
      </c>
      <c r="B1025" s="1">
        <v>44246</v>
      </c>
      <c r="C1025" t="s">
        <v>645</v>
      </c>
      <c r="D1025">
        <v>10785.05</v>
      </c>
      <c r="E1025">
        <v>10786.45</v>
      </c>
      <c r="F1025">
        <v>10450.549999999999</v>
      </c>
      <c r="G1025">
        <v>10540.35</v>
      </c>
      <c r="H1025">
        <v>0</v>
      </c>
      <c r="I1025" s="8">
        <f t="shared" si="61"/>
        <v>-2.6475477971737327E-2</v>
      </c>
      <c r="J1025" s="8">
        <f t="shared" si="62"/>
        <v>-2.6832264935760009E-2</v>
      </c>
      <c r="K1025" s="8">
        <f t="shared" si="63"/>
        <v>0.20618291259469479</v>
      </c>
    </row>
    <row r="1026" spans="1:11" x14ac:dyDescent="0.25">
      <c r="A1026" t="str">
        <f t="shared" si="60"/>
        <v>22021</v>
      </c>
      <c r="B1026" s="1">
        <v>44249</v>
      </c>
      <c r="C1026" t="s">
        <v>646</v>
      </c>
      <c r="D1026">
        <v>10559.8</v>
      </c>
      <c r="E1026">
        <v>10559.95</v>
      </c>
      <c r="F1026">
        <v>10241.25</v>
      </c>
      <c r="G1026">
        <v>10300</v>
      </c>
      <c r="H1026">
        <v>0</v>
      </c>
      <c r="I1026" s="8">
        <f t="shared" si="61"/>
        <v>-2.2802848102767004E-2</v>
      </c>
      <c r="J1026" s="8">
        <f t="shared" si="62"/>
        <v>-2.3066854157411134E-2</v>
      </c>
      <c r="K1026" s="8">
        <f t="shared" si="63"/>
        <v>0.15887240589787277</v>
      </c>
    </row>
    <row r="1027" spans="1:11" x14ac:dyDescent="0.25">
      <c r="A1027" t="str">
        <f t="shared" ref="A1027:A1090" si="64">+MONTH(B1027)&amp;YEAR(B1027)</f>
        <v>22021</v>
      </c>
      <c r="B1027" s="1">
        <v>44250</v>
      </c>
      <c r="C1027" t="s">
        <v>647</v>
      </c>
      <c r="D1027">
        <v>10343.549999999999</v>
      </c>
      <c r="E1027">
        <v>10423.25</v>
      </c>
      <c r="F1027">
        <v>10205.85</v>
      </c>
      <c r="G1027">
        <v>10379.549999999999</v>
      </c>
      <c r="H1027">
        <v>0</v>
      </c>
      <c r="I1027" s="8">
        <f t="shared" si="61"/>
        <v>7.7233009708737033E-3</v>
      </c>
      <c r="J1027" s="8">
        <f t="shared" si="62"/>
        <v>7.6936289612451669E-3</v>
      </c>
      <c r="K1027" s="8">
        <f t="shared" si="63"/>
        <v>0.18780218459795472</v>
      </c>
    </row>
    <row r="1028" spans="1:11" x14ac:dyDescent="0.25">
      <c r="A1028" t="str">
        <f t="shared" si="64"/>
        <v>22021</v>
      </c>
      <c r="B1028" s="1">
        <v>44251</v>
      </c>
      <c r="C1028" t="s">
        <v>648</v>
      </c>
      <c r="D1028">
        <v>10410.200000000001</v>
      </c>
      <c r="E1028">
        <v>10513.35</v>
      </c>
      <c r="F1028">
        <v>10325.549999999999</v>
      </c>
      <c r="G1028">
        <v>10405.5</v>
      </c>
      <c r="H1028">
        <v>0</v>
      </c>
      <c r="I1028" s="8">
        <f t="shared" ref="I1028:I1079" si="65">+G1028/G1027-1</f>
        <v>2.5001083862017381E-3</v>
      </c>
      <c r="J1028" s="8">
        <f t="shared" ref="J1028:J1091" si="66">+LN(1+I1028)</f>
        <v>2.4969883144933128E-3</v>
      </c>
      <c r="K1028" s="8">
        <f t="shared" si="63"/>
        <v>0.18679250662940894</v>
      </c>
    </row>
    <row r="1029" spans="1:11" x14ac:dyDescent="0.25">
      <c r="A1029" t="str">
        <f t="shared" si="64"/>
        <v>22021</v>
      </c>
      <c r="B1029" s="1">
        <v>44252</v>
      </c>
      <c r="C1029" t="s">
        <v>649</v>
      </c>
      <c r="D1029">
        <v>10488.6</v>
      </c>
      <c r="E1029">
        <v>10537.55</v>
      </c>
      <c r="F1029">
        <v>10411.15</v>
      </c>
      <c r="G1029">
        <v>10497.95</v>
      </c>
      <c r="H1029">
        <v>0</v>
      </c>
      <c r="I1029" s="8">
        <f t="shared" si="65"/>
        <v>8.8847244245833235E-3</v>
      </c>
      <c r="J1029" s="8">
        <f t="shared" si="66"/>
        <v>8.8454874954731668E-3</v>
      </c>
      <c r="K1029" s="8">
        <f t="shared" si="63"/>
        <v>0.18065927392145409</v>
      </c>
    </row>
    <row r="1030" spans="1:11" x14ac:dyDescent="0.25">
      <c r="A1030" t="str">
        <f t="shared" si="64"/>
        <v>22021</v>
      </c>
      <c r="B1030" s="1">
        <v>44253</v>
      </c>
      <c r="C1030" t="s">
        <v>650</v>
      </c>
      <c r="D1030">
        <v>10368.75</v>
      </c>
      <c r="E1030">
        <v>10450.950000000001</v>
      </c>
      <c r="F1030">
        <v>10110.5</v>
      </c>
      <c r="G1030">
        <v>10169.9</v>
      </c>
      <c r="H1030">
        <v>0</v>
      </c>
      <c r="I1030" s="8">
        <f t="shared" si="65"/>
        <v>-3.1248958129920679E-2</v>
      </c>
      <c r="J1030" s="8">
        <f t="shared" si="66"/>
        <v>-3.1747622836367069E-2</v>
      </c>
      <c r="K1030" s="8">
        <f t="shared" si="63"/>
        <v>0.13160456874537529</v>
      </c>
    </row>
    <row r="1031" spans="1:11" x14ac:dyDescent="0.25">
      <c r="A1031" t="str">
        <f t="shared" si="64"/>
        <v>32021</v>
      </c>
      <c r="B1031" s="1">
        <v>44256</v>
      </c>
      <c r="C1031" s="10">
        <v>44199.645833333336</v>
      </c>
      <c r="D1031">
        <v>10304.25</v>
      </c>
      <c r="E1031">
        <v>10472.700000000001</v>
      </c>
      <c r="F1031">
        <v>10292.75</v>
      </c>
      <c r="G1031">
        <v>10411.799999999999</v>
      </c>
      <c r="H1031">
        <v>0</v>
      </c>
      <c r="I1031" s="8">
        <f t="shared" si="65"/>
        <v>2.3785877933902855E-2</v>
      </c>
      <c r="J1031" s="8">
        <f t="shared" si="66"/>
        <v>2.3507401171941313E-2</v>
      </c>
      <c r="K1031" s="8">
        <f t="shared" si="63"/>
        <v>0.14494650142406273</v>
      </c>
    </row>
    <row r="1032" spans="1:11" x14ac:dyDescent="0.25">
      <c r="A1032" t="str">
        <f t="shared" si="64"/>
        <v>32021</v>
      </c>
      <c r="B1032" s="1">
        <v>44257</v>
      </c>
      <c r="C1032" s="10">
        <v>44230.645833333336</v>
      </c>
      <c r="D1032">
        <v>10491.8</v>
      </c>
      <c r="E1032">
        <v>10766.7</v>
      </c>
      <c r="F1032">
        <v>10419.75</v>
      </c>
      <c r="G1032">
        <v>10744.05</v>
      </c>
      <c r="H1032">
        <v>0</v>
      </c>
      <c r="I1032" s="8">
        <f t="shared" si="65"/>
        <v>3.1910908776580316E-2</v>
      </c>
      <c r="J1032" s="8">
        <f t="shared" si="66"/>
        <v>3.1412334627969843E-2</v>
      </c>
      <c r="K1032" s="8">
        <f t="shared" si="63"/>
        <v>0.16210939612559905</v>
      </c>
    </row>
    <row r="1033" spans="1:11" x14ac:dyDescent="0.25">
      <c r="A1033" t="str">
        <f t="shared" si="64"/>
        <v>32021</v>
      </c>
      <c r="B1033" s="1">
        <v>44258</v>
      </c>
      <c r="C1033" s="10">
        <v>44258.645833333336</v>
      </c>
      <c r="D1033">
        <v>10819.05</v>
      </c>
      <c r="E1033">
        <v>10820.4</v>
      </c>
      <c r="F1033">
        <v>10640.15</v>
      </c>
      <c r="G1033">
        <v>10673.1</v>
      </c>
      <c r="H1033">
        <v>0</v>
      </c>
      <c r="I1033" s="8">
        <f t="shared" si="65"/>
        <v>-6.6036550462813537E-3</v>
      </c>
      <c r="J1033" s="8">
        <f t="shared" si="66"/>
        <v>-6.6255556455140892E-3</v>
      </c>
      <c r="K1033" s="8">
        <f t="shared" si="63"/>
        <v>0.14737373954548372</v>
      </c>
    </row>
    <row r="1034" spans="1:11" x14ac:dyDescent="0.25">
      <c r="A1034" t="str">
        <f t="shared" si="64"/>
        <v>32021</v>
      </c>
      <c r="B1034" s="1">
        <v>44259</v>
      </c>
      <c r="C1034" s="10">
        <v>44289.645833333336</v>
      </c>
      <c r="D1034">
        <v>10559.4</v>
      </c>
      <c r="E1034">
        <v>10710.1</v>
      </c>
      <c r="F1034">
        <v>10514.3</v>
      </c>
      <c r="G1034">
        <v>10625.75</v>
      </c>
      <c r="H1034">
        <v>0</v>
      </c>
      <c r="I1034" s="8">
        <f t="shared" si="65"/>
        <v>-4.4363868042087695E-3</v>
      </c>
      <c r="J1034" s="8">
        <f t="shared" si="66"/>
        <v>-4.4462567702895093E-3</v>
      </c>
      <c r="K1034" s="8">
        <f t="shared" si="63"/>
        <v>0.14119169593281122</v>
      </c>
    </row>
    <row r="1035" spans="1:11" x14ac:dyDescent="0.25">
      <c r="A1035" t="str">
        <f t="shared" si="64"/>
        <v>32021</v>
      </c>
      <c r="B1035" s="1">
        <v>44260</v>
      </c>
      <c r="C1035" s="10">
        <v>44319.645833333336</v>
      </c>
      <c r="D1035">
        <v>10558.15</v>
      </c>
      <c r="E1035">
        <v>10663.75</v>
      </c>
      <c r="F1035">
        <v>10488.85</v>
      </c>
      <c r="G1035">
        <v>10524.4</v>
      </c>
      <c r="H1035">
        <v>0</v>
      </c>
      <c r="I1035" s="8">
        <f t="shared" si="65"/>
        <v>-9.5381502482178027E-3</v>
      </c>
      <c r="J1035" s="8">
        <f t="shared" si="66"/>
        <v>-9.5839297369560063E-3</v>
      </c>
      <c r="K1035" s="8">
        <f t="shared" si="63"/>
        <v>0.13191759385234203</v>
      </c>
    </row>
    <row r="1036" spans="1:11" x14ac:dyDescent="0.25">
      <c r="A1036" t="str">
        <f t="shared" si="64"/>
        <v>32021</v>
      </c>
      <c r="B1036" s="1">
        <v>44263</v>
      </c>
      <c r="C1036" s="10">
        <v>44411.645833333336</v>
      </c>
      <c r="D1036">
        <v>10597.8</v>
      </c>
      <c r="E1036">
        <v>10632.1</v>
      </c>
      <c r="F1036">
        <v>10488.4</v>
      </c>
      <c r="G1036">
        <v>10507.35</v>
      </c>
      <c r="H1036">
        <v>0</v>
      </c>
      <c r="I1036" s="8">
        <f t="shared" si="65"/>
        <v>-1.6200448481622498E-3</v>
      </c>
      <c r="J1036" s="8">
        <f t="shared" si="66"/>
        <v>-1.6213585398352755E-3</v>
      </c>
      <c r="K1036" s="8">
        <f t="shared" si="63"/>
        <v>0.13063712567118269</v>
      </c>
    </row>
    <row r="1037" spans="1:11" x14ac:dyDescent="0.25">
      <c r="A1037" t="str">
        <f t="shared" si="64"/>
        <v>32021</v>
      </c>
      <c r="B1037" s="1">
        <v>44264</v>
      </c>
      <c r="C1037" s="10">
        <v>44442.645833333336</v>
      </c>
      <c r="D1037">
        <v>10572.65</v>
      </c>
      <c r="E1037">
        <v>10621.45</v>
      </c>
      <c r="F1037">
        <v>10381.6</v>
      </c>
      <c r="G1037">
        <v>10464.25</v>
      </c>
      <c r="H1037">
        <v>0</v>
      </c>
      <c r="I1037" s="8">
        <f t="shared" si="65"/>
        <v>-4.1018905813550166E-3</v>
      </c>
      <c r="J1037" s="8">
        <f t="shared" si="66"/>
        <v>-4.1103264109951772E-3</v>
      </c>
      <c r="K1037" s="8">
        <f t="shared" si="63"/>
        <v>0.13731340039235507</v>
      </c>
    </row>
    <row r="1038" spans="1:11" x14ac:dyDescent="0.25">
      <c r="A1038" t="str">
        <f t="shared" si="64"/>
        <v>32021</v>
      </c>
      <c r="B1038" s="1">
        <v>44265</v>
      </c>
      <c r="C1038" s="10">
        <v>44472.645833333336</v>
      </c>
      <c r="D1038">
        <v>10525.75</v>
      </c>
      <c r="E1038">
        <v>10613.6</v>
      </c>
      <c r="F1038">
        <v>10511.15</v>
      </c>
      <c r="G1038">
        <v>10559.3</v>
      </c>
      <c r="H1038">
        <v>0</v>
      </c>
      <c r="I1038" s="8">
        <f t="shared" si="65"/>
        <v>9.0833074515612733E-3</v>
      </c>
      <c r="J1038" s="8">
        <f t="shared" si="66"/>
        <v>9.0423023354330948E-3</v>
      </c>
      <c r="K1038" s="8">
        <f t="shared" si="63"/>
        <v>0.14913020530093202</v>
      </c>
    </row>
    <row r="1039" spans="1:11" x14ac:dyDescent="0.25">
      <c r="A1039" t="str">
        <f t="shared" si="64"/>
        <v>32021</v>
      </c>
      <c r="B1039" s="1">
        <v>44267</v>
      </c>
      <c r="C1039" s="10">
        <v>44533.645833333336</v>
      </c>
      <c r="D1039">
        <v>10603.15</v>
      </c>
      <c r="E1039">
        <v>10624.35</v>
      </c>
      <c r="F1039">
        <v>10313.35</v>
      </c>
      <c r="G1039">
        <v>10383.9</v>
      </c>
      <c r="H1039">
        <v>0</v>
      </c>
      <c r="I1039" s="8">
        <f t="shared" si="65"/>
        <v>-1.661094958946141E-2</v>
      </c>
      <c r="J1039" s="8">
        <f t="shared" si="66"/>
        <v>-1.6750458487133652E-2</v>
      </c>
      <c r="K1039" s="8">
        <f t="shared" si="63"/>
        <v>0.14195378913681789</v>
      </c>
    </row>
    <row r="1040" spans="1:11" x14ac:dyDescent="0.25">
      <c r="A1040" t="str">
        <f t="shared" si="64"/>
        <v>32021</v>
      </c>
      <c r="B1040" s="1">
        <v>44270</v>
      </c>
      <c r="C1040" t="s">
        <v>651</v>
      </c>
      <c r="D1040">
        <v>10446.75</v>
      </c>
      <c r="E1040">
        <v>10450.200000000001</v>
      </c>
      <c r="F1040">
        <v>10178.25</v>
      </c>
      <c r="G1040">
        <v>10335.1</v>
      </c>
      <c r="H1040">
        <v>0</v>
      </c>
      <c r="I1040" s="8">
        <f t="shared" si="65"/>
        <v>-4.6995830083108592E-3</v>
      </c>
      <c r="J1040" s="8">
        <f t="shared" si="66"/>
        <v>-4.7106607694020258E-3</v>
      </c>
      <c r="K1040" s="8">
        <f t="shared" si="63"/>
        <v>0.12954998770458204</v>
      </c>
    </row>
    <row r="1041" spans="1:11" x14ac:dyDescent="0.25">
      <c r="A1041" t="str">
        <f t="shared" si="64"/>
        <v>32021</v>
      </c>
      <c r="B1041" s="1">
        <v>44271</v>
      </c>
      <c r="C1041" t="s">
        <v>652</v>
      </c>
      <c r="D1041">
        <v>10378.299999999999</v>
      </c>
      <c r="E1041">
        <v>10401.25</v>
      </c>
      <c r="F1041">
        <v>10301.700000000001</v>
      </c>
      <c r="G1041">
        <v>10350.799999999999</v>
      </c>
      <c r="H1041">
        <v>0</v>
      </c>
      <c r="I1041" s="8">
        <f t="shared" si="65"/>
        <v>1.5190951224466342E-3</v>
      </c>
      <c r="J1041" s="8">
        <f t="shared" si="66"/>
        <v>1.5179424646346994E-3</v>
      </c>
      <c r="K1041" s="8">
        <f t="shared" si="63"/>
        <v>0.12032557283718104</v>
      </c>
    </row>
    <row r="1042" spans="1:11" x14ac:dyDescent="0.25">
      <c r="A1042" t="str">
        <f t="shared" si="64"/>
        <v>32021</v>
      </c>
      <c r="B1042" s="1">
        <v>44272</v>
      </c>
      <c r="C1042" t="s">
        <v>653</v>
      </c>
      <c r="D1042">
        <v>10369.75</v>
      </c>
      <c r="E1042">
        <v>10378.799999999999</v>
      </c>
      <c r="F1042">
        <v>10133.9</v>
      </c>
      <c r="G1042">
        <v>10159.1</v>
      </c>
      <c r="H1042">
        <v>0</v>
      </c>
      <c r="I1042" s="8">
        <f t="shared" si="65"/>
        <v>-1.8520307609073638E-2</v>
      </c>
      <c r="J1042" s="8">
        <f t="shared" si="66"/>
        <v>-1.8693955860794625E-2</v>
      </c>
      <c r="K1042" s="8">
        <f t="shared" si="63"/>
        <v>0.10602926446892824</v>
      </c>
    </row>
    <row r="1043" spans="1:11" x14ac:dyDescent="0.25">
      <c r="A1043" t="str">
        <f t="shared" si="64"/>
        <v>32021</v>
      </c>
      <c r="B1043" s="1">
        <v>44273</v>
      </c>
      <c r="C1043" t="s">
        <v>654</v>
      </c>
      <c r="D1043">
        <v>10251.950000000001</v>
      </c>
      <c r="E1043">
        <v>10345.200000000001</v>
      </c>
      <c r="F1043">
        <v>10039.549999999999</v>
      </c>
      <c r="G1043">
        <v>10143.950000000001</v>
      </c>
      <c r="H1043">
        <v>0</v>
      </c>
      <c r="I1043" s="8">
        <f t="shared" si="65"/>
        <v>-1.4912738333119346E-3</v>
      </c>
      <c r="J1043" s="8">
        <f t="shared" si="66"/>
        <v>-1.4923868888529247E-3</v>
      </c>
      <c r="K1043" s="8">
        <f t="shared" si="63"/>
        <v>0.10637334831191092</v>
      </c>
    </row>
    <row r="1044" spans="1:11" x14ac:dyDescent="0.25">
      <c r="A1044" t="str">
        <f t="shared" si="64"/>
        <v>32021</v>
      </c>
      <c r="B1044" s="1">
        <v>44274</v>
      </c>
      <c r="C1044" t="s">
        <v>655</v>
      </c>
      <c r="D1044">
        <v>10067.15</v>
      </c>
      <c r="E1044">
        <v>10207.15</v>
      </c>
      <c r="F1044">
        <v>9841.65</v>
      </c>
      <c r="G1044">
        <v>10186.5</v>
      </c>
      <c r="H1044">
        <v>0</v>
      </c>
      <c r="I1044" s="8">
        <f t="shared" si="65"/>
        <v>4.1946184671650677E-3</v>
      </c>
      <c r="J1044" s="8">
        <f t="shared" si="66"/>
        <v>4.1858455791782198E-3</v>
      </c>
      <c r="K1044" s="8">
        <f t="shared" si="63"/>
        <v>0.16483704974271007</v>
      </c>
    </row>
    <row r="1045" spans="1:11" x14ac:dyDescent="0.25">
      <c r="A1045" t="str">
        <f t="shared" si="64"/>
        <v>32021</v>
      </c>
      <c r="B1045" s="1">
        <v>44277</v>
      </c>
      <c r="C1045" t="s">
        <v>656</v>
      </c>
      <c r="D1045">
        <v>10176.299999999999</v>
      </c>
      <c r="E1045">
        <v>10226.799999999999</v>
      </c>
      <c r="F1045">
        <v>10069.450000000001</v>
      </c>
      <c r="G1045">
        <v>10140.450000000001</v>
      </c>
      <c r="H1045">
        <v>0</v>
      </c>
      <c r="I1045" s="8">
        <f t="shared" si="65"/>
        <v>-4.5206891474008914E-3</v>
      </c>
      <c r="J1045" s="8">
        <f t="shared" si="66"/>
        <v>-4.5309383632619882E-3</v>
      </c>
      <c r="K1045" s="8">
        <f t="shared" si="63"/>
        <v>0.1498934071167759</v>
      </c>
    </row>
    <row r="1046" spans="1:11" x14ac:dyDescent="0.25">
      <c r="A1046" t="str">
        <f t="shared" si="64"/>
        <v>32021</v>
      </c>
      <c r="B1046" s="1">
        <v>44278</v>
      </c>
      <c r="C1046" t="s">
        <v>657</v>
      </c>
      <c r="D1046">
        <v>10183.65</v>
      </c>
      <c r="E1046">
        <v>10265</v>
      </c>
      <c r="F1046">
        <v>10167.200000000001</v>
      </c>
      <c r="G1046">
        <v>10187.65</v>
      </c>
      <c r="H1046">
        <v>0</v>
      </c>
      <c r="I1046" s="8">
        <f t="shared" si="65"/>
        <v>4.6546257809070291E-3</v>
      </c>
      <c r="J1046" s="8">
        <f t="shared" si="66"/>
        <v>4.6438265084087329E-3</v>
      </c>
      <c r="K1046" s="8">
        <f t="shared" si="63"/>
        <v>0.1400746423155903</v>
      </c>
    </row>
    <row r="1047" spans="1:11" x14ac:dyDescent="0.25">
      <c r="A1047" t="str">
        <f t="shared" si="64"/>
        <v>32021</v>
      </c>
      <c r="B1047" s="1">
        <v>44279</v>
      </c>
      <c r="C1047" t="s">
        <v>658</v>
      </c>
      <c r="D1047">
        <v>10116.700000000001</v>
      </c>
      <c r="E1047">
        <v>10164.35</v>
      </c>
      <c r="F1047">
        <v>9897.85</v>
      </c>
      <c r="G1047">
        <v>9925.25</v>
      </c>
      <c r="H1047">
        <v>0</v>
      </c>
      <c r="I1047" s="8">
        <f t="shared" si="65"/>
        <v>-2.5756675975323051E-2</v>
      </c>
      <c r="J1047" s="8">
        <f t="shared" si="66"/>
        <v>-2.6094187212070269E-2</v>
      </c>
      <c r="K1047" s="8">
        <f t="shared" si="63"/>
        <v>0.10550175149392138</v>
      </c>
    </row>
    <row r="1048" spans="1:11" x14ac:dyDescent="0.25">
      <c r="A1048" t="str">
        <f t="shared" si="64"/>
        <v>32021</v>
      </c>
      <c r="B1048" s="1">
        <v>44280</v>
      </c>
      <c r="C1048" t="s">
        <v>659</v>
      </c>
      <c r="D1048">
        <v>9916.6</v>
      </c>
      <c r="E1048">
        <v>9924.35</v>
      </c>
      <c r="F1048">
        <v>9605.0499999999993</v>
      </c>
      <c r="G1048">
        <v>9651.35</v>
      </c>
      <c r="H1048">
        <v>0</v>
      </c>
      <c r="I1048" s="8">
        <f t="shared" si="65"/>
        <v>-2.7596282209516043E-2</v>
      </c>
      <c r="J1048" s="8">
        <f t="shared" si="66"/>
        <v>-2.7984213233528656E-2</v>
      </c>
      <c r="K1048" s="8">
        <f t="shared" si="63"/>
        <v>6.4465608232186389E-2</v>
      </c>
    </row>
    <row r="1049" spans="1:11" x14ac:dyDescent="0.25">
      <c r="A1049" t="str">
        <f t="shared" si="64"/>
        <v>32021</v>
      </c>
      <c r="B1049" s="1">
        <v>44281</v>
      </c>
      <c r="C1049" t="s">
        <v>660</v>
      </c>
      <c r="D1049">
        <v>9766.4</v>
      </c>
      <c r="E1049">
        <v>9853.85</v>
      </c>
      <c r="F1049">
        <v>9749.4</v>
      </c>
      <c r="G1049">
        <v>9771.5</v>
      </c>
      <c r="H1049">
        <v>0</v>
      </c>
      <c r="I1049" s="8">
        <f t="shared" si="65"/>
        <v>1.2449035627140281E-2</v>
      </c>
      <c r="J1049" s="8">
        <f t="shared" si="66"/>
        <v>1.2372183548627987E-2</v>
      </c>
      <c r="K1049" s="8">
        <f t="shared" si="63"/>
        <v>8.045201738188168E-2</v>
      </c>
    </row>
    <row r="1050" spans="1:11" x14ac:dyDescent="0.25">
      <c r="A1050" t="str">
        <f t="shared" si="64"/>
        <v>32021</v>
      </c>
      <c r="B1050" s="1">
        <v>44285</v>
      </c>
      <c r="C1050" t="s">
        <v>661</v>
      </c>
      <c r="D1050">
        <v>9835.85</v>
      </c>
      <c r="E1050">
        <v>9885.9500000000007</v>
      </c>
      <c r="F1050">
        <v>9749.35</v>
      </c>
      <c r="G1050">
        <v>9865</v>
      </c>
      <c r="H1050">
        <v>0</v>
      </c>
      <c r="I1050" s="8">
        <f t="shared" si="65"/>
        <v>9.5686435040680529E-3</v>
      </c>
      <c r="J1050" s="8">
        <f t="shared" si="66"/>
        <v>9.5231539865843207E-3</v>
      </c>
      <c r="K1050" s="8">
        <f t="shared" si="63"/>
        <v>7.6401012569832449E-2</v>
      </c>
    </row>
    <row r="1051" spans="1:11" x14ac:dyDescent="0.25">
      <c r="A1051" t="str">
        <f t="shared" si="64"/>
        <v>32021</v>
      </c>
      <c r="B1051" s="1">
        <v>44286</v>
      </c>
      <c r="C1051" t="s">
        <v>662</v>
      </c>
      <c r="D1051">
        <v>9866</v>
      </c>
      <c r="E1051">
        <v>9946.9500000000007</v>
      </c>
      <c r="F1051">
        <v>9812.25</v>
      </c>
      <c r="G1051">
        <v>9862.4500000000007</v>
      </c>
      <c r="H1051">
        <v>0</v>
      </c>
      <c r="I1051" s="8">
        <f t="shared" si="65"/>
        <v>-2.5848960973129387E-4</v>
      </c>
      <c r="J1051" s="8">
        <f t="shared" si="66"/>
        <v>-2.5852302392873603E-4</v>
      </c>
      <c r="K1051" s="8">
        <f t="shared" si="63"/>
        <v>7.2763365421221637E-2</v>
      </c>
    </row>
    <row r="1052" spans="1:11" x14ac:dyDescent="0.25">
      <c r="A1052" t="str">
        <f t="shared" si="64"/>
        <v>42021</v>
      </c>
      <c r="B1052" s="1">
        <v>44287</v>
      </c>
      <c r="C1052" s="10">
        <v>44200.645833333336</v>
      </c>
      <c r="D1052">
        <v>9967.85</v>
      </c>
      <c r="E1052">
        <v>10044.6</v>
      </c>
      <c r="F1052">
        <v>9889.7000000000007</v>
      </c>
      <c r="G1052">
        <v>10022.6</v>
      </c>
      <c r="H1052">
        <v>0</v>
      </c>
      <c r="I1052" s="8">
        <f t="shared" si="65"/>
        <v>1.6238358622857385E-2</v>
      </c>
      <c r="J1052" s="8">
        <f t="shared" si="66"/>
        <v>1.6107926584611021E-2</v>
      </c>
      <c r="K1052" s="8">
        <f t="shared" si="63"/>
        <v>8.0895119978430907E-2</v>
      </c>
    </row>
    <row r="1053" spans="1:11" x14ac:dyDescent="0.25">
      <c r="A1053" t="str">
        <f t="shared" si="64"/>
        <v>42021</v>
      </c>
      <c r="B1053" s="1">
        <v>44291</v>
      </c>
      <c r="C1053" s="10">
        <v>44320.645833333336</v>
      </c>
      <c r="D1053">
        <v>9988.1</v>
      </c>
      <c r="E1053">
        <v>9991.2999999999993</v>
      </c>
      <c r="F1053">
        <v>9688.4</v>
      </c>
      <c r="G1053">
        <v>9768.0499999999993</v>
      </c>
      <c r="H1053">
        <v>0</v>
      </c>
      <c r="I1053" s="8">
        <f t="shared" si="65"/>
        <v>-2.5397601420789173E-2</v>
      </c>
      <c r="J1053" s="8">
        <f t="shared" si="66"/>
        <v>-2.5725687484839523E-2</v>
      </c>
      <c r="K1053" s="8">
        <f t="shared" si="63"/>
        <v>3.7173694912374655E-2</v>
      </c>
    </row>
    <row r="1054" spans="1:11" x14ac:dyDescent="0.25">
      <c r="A1054" t="str">
        <f t="shared" si="64"/>
        <v>42021</v>
      </c>
      <c r="B1054" s="1">
        <v>44292</v>
      </c>
      <c r="C1054" s="10">
        <v>44351.645833333336</v>
      </c>
      <c r="D1054">
        <v>9836.85</v>
      </c>
      <c r="E1054">
        <v>9881.2000000000007</v>
      </c>
      <c r="F1054">
        <v>9755.1</v>
      </c>
      <c r="G1054">
        <v>9781.35</v>
      </c>
      <c r="H1054">
        <v>0</v>
      </c>
      <c r="I1054" s="8">
        <f t="shared" si="65"/>
        <v>1.3615818919847644E-3</v>
      </c>
      <c r="J1054" s="8">
        <f t="shared" si="66"/>
        <v>1.360655779916773E-3</v>
      </c>
      <c r="K1054" s="8">
        <f t="shared" si="63"/>
        <v>3.8795460941690063E-2</v>
      </c>
    </row>
    <row r="1055" spans="1:11" x14ac:dyDescent="0.25">
      <c r="A1055" t="str">
        <f t="shared" si="64"/>
        <v>42021</v>
      </c>
      <c r="B1055" s="1">
        <v>44293</v>
      </c>
      <c r="C1055" s="10">
        <v>44381.645833333336</v>
      </c>
      <c r="D1055">
        <v>9790</v>
      </c>
      <c r="E1055">
        <v>9950.5499999999993</v>
      </c>
      <c r="F1055">
        <v>9761.15</v>
      </c>
      <c r="G1055">
        <v>9937</v>
      </c>
      <c r="H1055">
        <v>0</v>
      </c>
      <c r="I1055" s="8">
        <f t="shared" si="65"/>
        <v>1.5912936353366325E-2</v>
      </c>
      <c r="J1055" s="8">
        <f t="shared" si="66"/>
        <v>1.5787652918888159E-2</v>
      </c>
      <c r="K1055" s="8">
        <f t="shared" si="63"/>
        <v>5.9432488765452485E-2</v>
      </c>
    </row>
    <row r="1056" spans="1:11" x14ac:dyDescent="0.25">
      <c r="A1056" t="str">
        <f t="shared" si="64"/>
        <v>42021</v>
      </c>
      <c r="B1056" s="1">
        <v>44294</v>
      </c>
      <c r="C1056" s="10">
        <v>44412.645833333336</v>
      </c>
      <c r="D1056">
        <v>9992.2999999999993</v>
      </c>
      <c r="E1056">
        <v>10083.299999999999</v>
      </c>
      <c r="F1056">
        <v>9933.1</v>
      </c>
      <c r="G1056">
        <v>9959.35</v>
      </c>
      <c r="H1056">
        <v>0</v>
      </c>
      <c r="I1056" s="8">
        <f t="shared" si="65"/>
        <v>2.2491697695481427E-3</v>
      </c>
      <c r="J1056" s="8">
        <f t="shared" si="66"/>
        <v>2.2466441735092425E-3</v>
      </c>
      <c r="K1056" s="8">
        <f t="shared" si="63"/>
        <v>5.6173877079213064E-2</v>
      </c>
    </row>
    <row r="1057" spans="1:11" x14ac:dyDescent="0.25">
      <c r="A1057" t="str">
        <f t="shared" si="64"/>
        <v>42021</v>
      </c>
      <c r="B1057" s="1">
        <v>44295</v>
      </c>
      <c r="C1057" s="10">
        <v>44443.645833333336</v>
      </c>
      <c r="D1057">
        <v>9961.5499999999993</v>
      </c>
      <c r="E1057">
        <v>10032.85</v>
      </c>
      <c r="F1057">
        <v>9885.6</v>
      </c>
      <c r="G1057">
        <v>9922.9500000000007</v>
      </c>
      <c r="H1057">
        <v>0</v>
      </c>
      <c r="I1057" s="8">
        <f t="shared" si="65"/>
        <v>-3.6548569936792896E-3</v>
      </c>
      <c r="J1057" s="8">
        <f t="shared" si="66"/>
        <v>-3.6615523020762557E-3</v>
      </c>
      <c r="K1057" s="8">
        <f t="shared" si="63"/>
        <v>1.8652636981906889E-2</v>
      </c>
    </row>
    <row r="1058" spans="1:11" x14ac:dyDescent="0.25">
      <c r="A1058" t="str">
        <f t="shared" si="64"/>
        <v>42021</v>
      </c>
      <c r="B1058" s="1">
        <v>44298</v>
      </c>
      <c r="C1058" s="10">
        <v>44534.645833333336</v>
      </c>
      <c r="D1058">
        <v>9738.35</v>
      </c>
      <c r="E1058">
        <v>9738.35</v>
      </c>
      <c r="F1058">
        <v>9345.2000000000007</v>
      </c>
      <c r="G1058">
        <v>9415.65</v>
      </c>
      <c r="H1058">
        <v>0</v>
      </c>
      <c r="I1058" s="8">
        <f t="shared" si="65"/>
        <v>-5.1123909724426819E-2</v>
      </c>
      <c r="J1058" s="8">
        <f t="shared" si="66"/>
        <v>-5.2477057626686203E-2</v>
      </c>
      <c r="K1058" s="8">
        <f t="shared" si="63"/>
        <v>-5.8020529032774437E-2</v>
      </c>
    </row>
    <row r="1059" spans="1:11" x14ac:dyDescent="0.25">
      <c r="A1059" t="str">
        <f t="shared" si="64"/>
        <v>42021</v>
      </c>
      <c r="B1059" s="1">
        <v>44299</v>
      </c>
      <c r="C1059" t="s">
        <v>663</v>
      </c>
      <c r="D1059">
        <v>9438.2000000000007</v>
      </c>
      <c r="E1059">
        <v>9845.5</v>
      </c>
      <c r="F1059">
        <v>9406.4</v>
      </c>
      <c r="G1059">
        <v>9818.2999999999993</v>
      </c>
      <c r="H1059">
        <v>0</v>
      </c>
      <c r="I1059" s="8">
        <f t="shared" si="65"/>
        <v>4.2763909023806113E-2</v>
      </c>
      <c r="J1059" s="8">
        <f t="shared" si="66"/>
        <v>4.1874792796468434E-2</v>
      </c>
      <c r="K1059" s="8">
        <f t="shared" si="63"/>
        <v>-2.9797872498110278E-2</v>
      </c>
    </row>
    <row r="1060" spans="1:11" x14ac:dyDescent="0.25">
      <c r="A1060" t="str">
        <f t="shared" si="64"/>
        <v>42021</v>
      </c>
      <c r="B1060" s="1">
        <v>44301</v>
      </c>
      <c r="C1060" t="s">
        <v>664</v>
      </c>
      <c r="D1060">
        <v>9787.85</v>
      </c>
      <c r="E1060">
        <v>9817</v>
      </c>
      <c r="F1060">
        <v>9558.7000000000007</v>
      </c>
      <c r="G1060">
        <v>9691.4500000000007</v>
      </c>
      <c r="H1060">
        <v>0</v>
      </c>
      <c r="I1060" s="8">
        <f t="shared" si="65"/>
        <v>-1.291975189187522E-2</v>
      </c>
      <c r="J1060" s="8">
        <f t="shared" si="66"/>
        <v>-1.3003937779645936E-2</v>
      </c>
      <c r="K1060" s="8">
        <f t="shared" si="63"/>
        <v>-5.0653618780335918E-2</v>
      </c>
    </row>
    <row r="1061" spans="1:11" x14ac:dyDescent="0.25">
      <c r="A1061" t="str">
        <f t="shared" si="64"/>
        <v>42021</v>
      </c>
      <c r="B1061" s="1">
        <v>44302</v>
      </c>
      <c r="C1061" t="s">
        <v>665</v>
      </c>
      <c r="D1061">
        <v>9691.2999999999993</v>
      </c>
      <c r="E1061">
        <v>9926.4500000000007</v>
      </c>
      <c r="F1061">
        <v>9679.5</v>
      </c>
      <c r="G1061">
        <v>9808.9500000000007</v>
      </c>
      <c r="H1061">
        <v>0</v>
      </c>
      <c r="I1061" s="8">
        <f t="shared" si="65"/>
        <v>1.2124088758648011E-2</v>
      </c>
      <c r="J1061" s="8">
        <f t="shared" si="66"/>
        <v>1.2051180698823646E-2</v>
      </c>
      <c r="K1061" s="8">
        <f t="shared" si="63"/>
        <v>-4.1935672914448552E-2</v>
      </c>
    </row>
    <row r="1062" spans="1:11" x14ac:dyDescent="0.25">
      <c r="A1062" t="str">
        <f t="shared" si="64"/>
        <v>42021</v>
      </c>
      <c r="B1062" s="1">
        <v>44305</v>
      </c>
      <c r="C1062" t="s">
        <v>666</v>
      </c>
      <c r="D1062">
        <v>9476.65</v>
      </c>
      <c r="E1062">
        <v>9562.9500000000007</v>
      </c>
      <c r="F1062">
        <v>9395.25</v>
      </c>
      <c r="G1062">
        <v>9532.15</v>
      </c>
      <c r="H1062">
        <v>0</v>
      </c>
      <c r="I1062" s="8">
        <f t="shared" si="65"/>
        <v>-2.821912641006441E-2</v>
      </c>
      <c r="J1062" s="8">
        <f t="shared" si="66"/>
        <v>-2.862493863030191E-2</v>
      </c>
      <c r="K1062" s="8">
        <f t="shared" si="63"/>
        <v>-6.3483096391342309E-2</v>
      </c>
    </row>
    <row r="1063" spans="1:11" x14ac:dyDescent="0.25">
      <c r="A1063" t="str">
        <f t="shared" si="64"/>
        <v>42021</v>
      </c>
      <c r="B1063" s="1">
        <v>44306</v>
      </c>
      <c r="C1063" t="s">
        <v>667</v>
      </c>
      <c r="D1063">
        <v>9683.9500000000007</v>
      </c>
      <c r="E1063">
        <v>9738.1</v>
      </c>
      <c r="F1063">
        <v>9539.7000000000007</v>
      </c>
      <c r="G1063">
        <v>9630.7000000000007</v>
      </c>
      <c r="H1063">
        <v>0</v>
      </c>
      <c r="I1063" s="8">
        <f t="shared" si="65"/>
        <v>1.0338695887077032E-2</v>
      </c>
      <c r="J1063" s="8">
        <f t="shared" si="66"/>
        <v>1.0285617100904131E-2</v>
      </c>
      <c r="K1063" s="8">
        <f t="shared" si="63"/>
        <v>-3.3169027517041205E-2</v>
      </c>
    </row>
    <row r="1064" spans="1:11" x14ac:dyDescent="0.25">
      <c r="A1064" t="str">
        <f t="shared" si="64"/>
        <v>42021</v>
      </c>
      <c r="B1064" s="1">
        <v>44308</v>
      </c>
      <c r="C1064" t="s">
        <v>668</v>
      </c>
      <c r="D1064">
        <v>9529.2999999999993</v>
      </c>
      <c r="E1064">
        <v>9665.9500000000007</v>
      </c>
      <c r="F1064">
        <v>9503.7999999999993</v>
      </c>
      <c r="G1064">
        <v>9644.5499999999993</v>
      </c>
      <c r="H1064">
        <v>0</v>
      </c>
      <c r="I1064" s="8">
        <f t="shared" si="65"/>
        <v>1.4381093793802702E-3</v>
      </c>
      <c r="J1064" s="8">
        <f t="shared" si="66"/>
        <v>1.4370762904314023E-3</v>
      </c>
      <c r="K1064" s="8">
        <f t="shared" si="63"/>
        <v>-4.8560689764028053E-2</v>
      </c>
    </row>
    <row r="1065" spans="1:11" x14ac:dyDescent="0.25">
      <c r="A1065" t="str">
        <f t="shared" si="64"/>
        <v>42021</v>
      </c>
      <c r="B1065" s="1">
        <v>44309</v>
      </c>
      <c r="C1065" t="s">
        <v>669</v>
      </c>
      <c r="D1065">
        <v>9569.25</v>
      </c>
      <c r="E1065">
        <v>9695.9</v>
      </c>
      <c r="F1065">
        <v>9534.9</v>
      </c>
      <c r="G1065">
        <v>9596.9500000000007</v>
      </c>
      <c r="H1065">
        <v>0</v>
      </c>
      <c r="I1065" s="8">
        <f t="shared" si="65"/>
        <v>-4.9354298541661734E-3</v>
      </c>
      <c r="J1065" s="8">
        <f t="shared" si="66"/>
        <v>-4.947649310180503E-3</v>
      </c>
      <c r="K1065" s="8">
        <f t="shared" si="63"/>
        <v>-7.4479832196156837E-2</v>
      </c>
    </row>
    <row r="1066" spans="1:11" x14ac:dyDescent="0.25">
      <c r="A1066" t="str">
        <f t="shared" si="64"/>
        <v>42021</v>
      </c>
      <c r="B1066" s="1">
        <v>44312</v>
      </c>
      <c r="C1066" t="s">
        <v>670</v>
      </c>
      <c r="D1066">
        <v>9630.2000000000007</v>
      </c>
      <c r="E1066">
        <v>9713.1</v>
      </c>
      <c r="F1066">
        <v>9612.7000000000007</v>
      </c>
      <c r="G1066">
        <v>9641.4500000000007</v>
      </c>
      <c r="H1066">
        <v>0</v>
      </c>
      <c r="I1066" s="8">
        <f t="shared" si="65"/>
        <v>4.6368898452111562E-3</v>
      </c>
      <c r="J1066" s="8">
        <f t="shared" si="66"/>
        <v>4.6261725885485211E-3</v>
      </c>
      <c r="K1066" s="8">
        <f t="shared" si="63"/>
        <v>-7.0053772515733859E-2</v>
      </c>
    </row>
    <row r="1067" spans="1:11" x14ac:dyDescent="0.25">
      <c r="A1067" t="str">
        <f t="shared" si="64"/>
        <v>42021</v>
      </c>
      <c r="B1067" s="1">
        <v>44313</v>
      </c>
      <c r="C1067" t="s">
        <v>671</v>
      </c>
      <c r="D1067">
        <v>9662.2999999999993</v>
      </c>
      <c r="E1067">
        <v>9733.7999999999993</v>
      </c>
      <c r="F1067">
        <v>9653.9</v>
      </c>
      <c r="G1067">
        <v>9708.2000000000007</v>
      </c>
      <c r="H1067">
        <v>0</v>
      </c>
      <c r="I1067" s="8">
        <f t="shared" si="65"/>
        <v>6.923232501335308E-3</v>
      </c>
      <c r="J1067" s="8">
        <f t="shared" si="66"/>
        <v>6.8993769688434643E-3</v>
      </c>
      <c r="K1067" s="8">
        <f t="shared" si="63"/>
        <v>-7.6803111493602527E-2</v>
      </c>
    </row>
    <row r="1068" spans="1:11" x14ac:dyDescent="0.25">
      <c r="A1068" t="str">
        <f t="shared" si="64"/>
        <v>42021</v>
      </c>
      <c r="B1068" s="1">
        <v>44314</v>
      </c>
      <c r="C1068" t="s">
        <v>672</v>
      </c>
      <c r="D1068">
        <v>9781.5</v>
      </c>
      <c r="E1068">
        <v>9968.4</v>
      </c>
      <c r="F1068">
        <v>9758.15</v>
      </c>
      <c r="G1068">
        <v>9871.5</v>
      </c>
      <c r="H1068">
        <v>0</v>
      </c>
      <c r="I1068" s="8">
        <f t="shared" si="65"/>
        <v>1.6820831874085673E-2</v>
      </c>
      <c r="J1068" s="8">
        <f t="shared" si="66"/>
        <v>1.6680928364281703E-2</v>
      </c>
      <c r="K1068" s="8">
        <f t="shared" si="63"/>
        <v>-5.3864954233957874E-2</v>
      </c>
    </row>
    <row r="1069" spans="1:11" x14ac:dyDescent="0.25">
      <c r="A1069" t="str">
        <f t="shared" si="64"/>
        <v>42021</v>
      </c>
      <c r="B1069" s="1">
        <v>44315</v>
      </c>
      <c r="C1069" t="s">
        <v>673</v>
      </c>
      <c r="D1069">
        <v>9959.2000000000007</v>
      </c>
      <c r="E1069">
        <v>9985</v>
      </c>
      <c r="F1069">
        <v>9754</v>
      </c>
      <c r="G1069">
        <v>9773.7000000000007</v>
      </c>
      <c r="H1069">
        <v>0</v>
      </c>
      <c r="I1069" s="8">
        <f t="shared" si="65"/>
        <v>-9.9073089196169972E-3</v>
      </c>
      <c r="J1069" s="8">
        <f t="shared" si="66"/>
        <v>-9.9567128823463552E-3</v>
      </c>
      <c r="K1069" s="8">
        <f t="shared" si="63"/>
        <v>-4.2756053965377849E-2</v>
      </c>
    </row>
    <row r="1070" spans="1:11" x14ac:dyDescent="0.25">
      <c r="A1070" t="str">
        <f t="shared" si="64"/>
        <v>42021</v>
      </c>
      <c r="B1070" s="1">
        <v>44316</v>
      </c>
      <c r="C1070" t="s">
        <v>674</v>
      </c>
      <c r="D1070">
        <v>9701.2999999999993</v>
      </c>
      <c r="E1070">
        <v>9780.35</v>
      </c>
      <c r="F1070">
        <v>9619</v>
      </c>
      <c r="G1070">
        <v>9640.85</v>
      </c>
      <c r="H1070">
        <v>0</v>
      </c>
      <c r="I1070" s="8">
        <f t="shared" si="65"/>
        <v>-1.3592600550456857E-2</v>
      </c>
      <c r="J1070" s="8">
        <f t="shared" si="66"/>
        <v>-1.3685825690609658E-2</v>
      </c>
      <c r="K1070" s="8">
        <f t="shared" si="63"/>
        <v>-4.5989352438252085E-2</v>
      </c>
    </row>
    <row r="1071" spans="1:11" x14ac:dyDescent="0.25">
      <c r="A1071" t="str">
        <f t="shared" si="64"/>
        <v>52021</v>
      </c>
      <c r="B1071" s="1">
        <v>44319</v>
      </c>
      <c r="C1071" s="10">
        <v>44260.645833333336</v>
      </c>
      <c r="D1071">
        <v>9539.5499999999993</v>
      </c>
      <c r="E1071">
        <v>9715.9</v>
      </c>
      <c r="F1071">
        <v>9485.5</v>
      </c>
      <c r="G1071">
        <v>9662.9500000000007</v>
      </c>
      <c r="H1071">
        <v>0</v>
      </c>
      <c r="I1071" s="8">
        <f t="shared" si="65"/>
        <v>2.2923289958873827E-3</v>
      </c>
      <c r="J1071" s="8">
        <f t="shared" si="66"/>
        <v>2.2897056181064137E-3</v>
      </c>
      <c r="K1071" s="8">
        <f t="shared" si="63"/>
        <v>-1.5305992469288543E-2</v>
      </c>
    </row>
    <row r="1072" spans="1:11" x14ac:dyDescent="0.25">
      <c r="A1072" t="str">
        <f t="shared" si="64"/>
        <v>52021</v>
      </c>
      <c r="B1072" s="1">
        <v>44320</v>
      </c>
      <c r="C1072" s="10">
        <v>44291.645833333336</v>
      </c>
      <c r="D1072">
        <v>9728.4500000000007</v>
      </c>
      <c r="E1072">
        <v>9758.7000000000007</v>
      </c>
      <c r="F1072">
        <v>9541.2000000000007</v>
      </c>
      <c r="G1072">
        <v>9577.7000000000007</v>
      </c>
      <c r="H1072">
        <v>0</v>
      </c>
      <c r="I1072" s="8">
        <f t="shared" si="65"/>
        <v>-8.8223575616142025E-3</v>
      </c>
      <c r="J1072" s="8">
        <f t="shared" si="66"/>
        <v>-8.8615049764932917E-3</v>
      </c>
      <c r="K1072" s="8">
        <f t="shared" si="63"/>
        <v>-6.35757898699153E-2</v>
      </c>
    </row>
    <row r="1073" spans="1:11" x14ac:dyDescent="0.25">
      <c r="A1073" t="str">
        <f t="shared" si="64"/>
        <v>52021</v>
      </c>
      <c r="B1073" s="1">
        <v>44321</v>
      </c>
      <c r="C1073" s="10">
        <v>44321.645833333336</v>
      </c>
      <c r="D1073">
        <v>9631.0499999999993</v>
      </c>
      <c r="E1073">
        <v>9662.1</v>
      </c>
      <c r="F1073">
        <v>9547.75</v>
      </c>
      <c r="G1073">
        <v>9643.0499999999993</v>
      </c>
      <c r="H1073">
        <v>0</v>
      </c>
      <c r="I1073" s="8">
        <f t="shared" si="65"/>
        <v>6.8231412552073323E-3</v>
      </c>
      <c r="J1073" s="8">
        <f t="shared" si="66"/>
        <v>6.7999689723700204E-3</v>
      </c>
      <c r="K1073" s="8">
        <f t="shared" si="63"/>
        <v>-9.3579042355197206E-2</v>
      </c>
    </row>
    <row r="1074" spans="1:11" x14ac:dyDescent="0.25">
      <c r="A1074" t="str">
        <f t="shared" si="64"/>
        <v>52021</v>
      </c>
      <c r="B1074" s="1">
        <v>44322</v>
      </c>
      <c r="C1074" s="10">
        <v>44352.645833333336</v>
      </c>
      <c r="D1074">
        <v>9669.2000000000007</v>
      </c>
      <c r="E1074">
        <v>9826.5499999999993</v>
      </c>
      <c r="F1074">
        <v>9664.2999999999993</v>
      </c>
      <c r="G1074">
        <v>9815.1</v>
      </c>
      <c r="H1074">
        <v>0</v>
      </c>
      <c r="I1074" s="8">
        <f t="shared" si="65"/>
        <v>1.7841865384914612E-2</v>
      </c>
      <c r="J1074" s="8">
        <f t="shared" si="66"/>
        <v>1.7684567540358371E-2</v>
      </c>
      <c r="K1074" s="8">
        <f t="shared" si="63"/>
        <v>-8.6895242879669543E-2</v>
      </c>
    </row>
    <row r="1075" spans="1:11" x14ac:dyDescent="0.25">
      <c r="A1075" t="str">
        <f t="shared" si="64"/>
        <v>52021</v>
      </c>
      <c r="B1075" s="1">
        <v>44323</v>
      </c>
      <c r="C1075" s="10">
        <v>44382.645833333336</v>
      </c>
      <c r="D1075">
        <v>9858.35</v>
      </c>
      <c r="E1075">
        <v>9907.4500000000007</v>
      </c>
      <c r="F1075">
        <v>9767</v>
      </c>
      <c r="G1075">
        <v>9819.4500000000007</v>
      </c>
      <c r="H1075">
        <v>0</v>
      </c>
      <c r="I1075" s="8">
        <f t="shared" si="65"/>
        <v>4.4319466943787411E-4</v>
      </c>
      <c r="J1075" s="8">
        <f t="shared" si="66"/>
        <v>4.4309648768837924E-4</v>
      </c>
      <c r="K1075" s="8">
        <f t="shared" si="63"/>
        <v>-9.6405664804777635E-2</v>
      </c>
    </row>
    <row r="1076" spans="1:11" x14ac:dyDescent="0.25">
      <c r="A1076" t="str">
        <f t="shared" si="64"/>
        <v>52021</v>
      </c>
      <c r="B1076" s="1">
        <v>44326</v>
      </c>
      <c r="C1076" s="10">
        <v>44474.645833333336</v>
      </c>
      <c r="D1076">
        <v>9856.65</v>
      </c>
      <c r="E1076">
        <v>9984.7999999999993</v>
      </c>
      <c r="F1076">
        <v>9834.5</v>
      </c>
      <c r="G1076">
        <v>9973.0499999999993</v>
      </c>
      <c r="H1076">
        <v>0</v>
      </c>
      <c r="I1076" s="8">
        <f t="shared" si="65"/>
        <v>1.5642423964682184E-2</v>
      </c>
      <c r="J1076" s="8">
        <f t="shared" si="66"/>
        <v>1.5521342292491495E-2</v>
      </c>
      <c r="K1076" s="8">
        <f t="shared" si="63"/>
        <v>-7.0020841201236639E-2</v>
      </c>
    </row>
    <row r="1077" spans="1:11" x14ac:dyDescent="0.25">
      <c r="A1077" t="str">
        <f t="shared" si="64"/>
        <v>52021</v>
      </c>
      <c r="B1077" s="1">
        <v>44327</v>
      </c>
      <c r="C1077" s="10">
        <v>44505.645833333336</v>
      </c>
      <c r="D1077">
        <v>9874.9</v>
      </c>
      <c r="E1077">
        <v>10029.85</v>
      </c>
      <c r="F1077">
        <v>9852.2000000000007</v>
      </c>
      <c r="G1077">
        <v>9995.1</v>
      </c>
      <c r="H1077">
        <v>0</v>
      </c>
      <c r="I1077" s="8">
        <f t="shared" si="65"/>
        <v>2.2109585332472648E-3</v>
      </c>
      <c r="J1077" s="8">
        <f t="shared" si="66"/>
        <v>2.2085179611032509E-3</v>
      </c>
      <c r="K1077" s="8">
        <f t="shared" si="63"/>
        <v>-9.6377863061254843E-2</v>
      </c>
    </row>
    <row r="1078" spans="1:11" x14ac:dyDescent="0.25">
      <c r="A1078" t="str">
        <f t="shared" si="64"/>
        <v>52021</v>
      </c>
      <c r="B1078" s="1">
        <v>44328</v>
      </c>
      <c r="C1078" s="10">
        <v>44535.645833333336</v>
      </c>
      <c r="D1078">
        <v>9992</v>
      </c>
      <c r="E1078">
        <v>10066.799999999999</v>
      </c>
      <c r="F1078">
        <v>9913.5</v>
      </c>
      <c r="G1078">
        <v>10013.65</v>
      </c>
      <c r="H1078">
        <v>0</v>
      </c>
      <c r="I1078" s="8">
        <f t="shared" si="65"/>
        <v>1.8559093956038719E-3</v>
      </c>
      <c r="J1078" s="8">
        <f t="shared" si="66"/>
        <v>1.8541893236311967E-3</v>
      </c>
      <c r="K1078" s="8">
        <f t="shared" si="63"/>
        <v>-8.1956617404378651E-2</v>
      </c>
    </row>
    <row r="1079" spans="1:11" x14ac:dyDescent="0.25">
      <c r="A1079" t="str">
        <f t="shared" si="64"/>
        <v>52021</v>
      </c>
      <c r="B1079" s="1">
        <v>44330</v>
      </c>
      <c r="C1079" t="s">
        <v>675</v>
      </c>
      <c r="D1079">
        <v>10059.200000000001</v>
      </c>
      <c r="E1079">
        <v>10061.5</v>
      </c>
      <c r="F1079">
        <v>9777.5</v>
      </c>
      <c r="G1079">
        <v>9810.4500000000007</v>
      </c>
      <c r="H1079">
        <v>0</v>
      </c>
      <c r="I1079" s="8">
        <f t="shared" si="65"/>
        <v>-2.0292301009122493E-2</v>
      </c>
      <c r="J1079" s="8">
        <f t="shared" si="66"/>
        <v>-2.0501018143609124E-2</v>
      </c>
      <c r="K1079" s="8">
        <f t="shared" si="63"/>
        <v>-0.10901973962046518</v>
      </c>
    </row>
    <row r="1080" spans="1:11" x14ac:dyDescent="0.25">
      <c r="A1080" t="str">
        <f t="shared" si="64"/>
        <v>11900</v>
      </c>
      <c r="I1080" s="8">
        <f t="shared" ref="I1080:I1143" si="67">+G1080/G1079-1</f>
        <v>-1</v>
      </c>
      <c r="J1080" s="8" t="e">
        <f t="shared" si="66"/>
        <v>#NUM!</v>
      </c>
      <c r="K1080" s="8">
        <f t="shared" si="63"/>
        <v>-1</v>
      </c>
    </row>
    <row r="1081" spans="1:11" x14ac:dyDescent="0.25">
      <c r="A1081" t="str">
        <f t="shared" si="64"/>
        <v>11900</v>
      </c>
      <c r="I1081" s="8" t="e">
        <f t="shared" si="67"/>
        <v>#DIV/0!</v>
      </c>
      <c r="J1081" s="8" t="e">
        <f t="shared" si="66"/>
        <v>#DIV/0!</v>
      </c>
      <c r="K1081" s="8">
        <f t="shared" si="63"/>
        <v>-1</v>
      </c>
    </row>
    <row r="1082" spans="1:11" x14ac:dyDescent="0.25">
      <c r="A1082" t="str">
        <f t="shared" si="64"/>
        <v>11900</v>
      </c>
      <c r="I1082" s="8" t="e">
        <f t="shared" si="67"/>
        <v>#DIV/0!</v>
      </c>
      <c r="J1082" s="8" t="e">
        <f t="shared" si="66"/>
        <v>#DIV/0!</v>
      </c>
      <c r="K1082" s="8">
        <f t="shared" si="63"/>
        <v>-1</v>
      </c>
    </row>
    <row r="1083" spans="1:11" x14ac:dyDescent="0.25">
      <c r="A1083" t="str">
        <f t="shared" si="64"/>
        <v>11900</v>
      </c>
      <c r="I1083" s="8" t="e">
        <f t="shared" si="67"/>
        <v>#DIV/0!</v>
      </c>
      <c r="J1083" s="8" t="e">
        <f t="shared" si="66"/>
        <v>#DIV/0!</v>
      </c>
      <c r="K1083" s="8">
        <f t="shared" si="63"/>
        <v>-1</v>
      </c>
    </row>
    <row r="1084" spans="1:11" x14ac:dyDescent="0.25">
      <c r="A1084" t="str">
        <f t="shared" si="64"/>
        <v>11900</v>
      </c>
      <c r="I1084" s="8" t="e">
        <f t="shared" si="67"/>
        <v>#DIV/0!</v>
      </c>
      <c r="J1084" s="8" t="e">
        <f t="shared" si="66"/>
        <v>#DIV/0!</v>
      </c>
      <c r="K1084" s="8">
        <f t="shared" si="63"/>
        <v>-1</v>
      </c>
    </row>
    <row r="1085" spans="1:11" x14ac:dyDescent="0.25">
      <c r="A1085" t="str">
        <f t="shared" si="64"/>
        <v>11900</v>
      </c>
      <c r="I1085" s="8" t="e">
        <f t="shared" si="67"/>
        <v>#DIV/0!</v>
      </c>
      <c r="J1085" s="8" t="e">
        <f t="shared" si="66"/>
        <v>#DIV/0!</v>
      </c>
      <c r="K1085" s="8">
        <f t="shared" si="63"/>
        <v>-1</v>
      </c>
    </row>
    <row r="1086" spans="1:11" x14ac:dyDescent="0.25">
      <c r="A1086" t="str">
        <f t="shared" si="64"/>
        <v>11900</v>
      </c>
      <c r="I1086" s="8" t="e">
        <f t="shared" si="67"/>
        <v>#DIV/0!</v>
      </c>
      <c r="J1086" s="8" t="e">
        <f t="shared" si="66"/>
        <v>#DIV/0!</v>
      </c>
      <c r="K1086" s="8">
        <f t="shared" si="63"/>
        <v>-1</v>
      </c>
    </row>
    <row r="1087" spans="1:11" x14ac:dyDescent="0.25">
      <c r="A1087" t="str">
        <f t="shared" si="64"/>
        <v>11900</v>
      </c>
      <c r="I1087" s="8" t="e">
        <f t="shared" si="67"/>
        <v>#DIV/0!</v>
      </c>
      <c r="J1087" s="8" t="e">
        <f t="shared" si="66"/>
        <v>#DIV/0!</v>
      </c>
      <c r="K1087" s="8">
        <f t="shared" si="63"/>
        <v>-1</v>
      </c>
    </row>
    <row r="1088" spans="1:11" x14ac:dyDescent="0.25">
      <c r="A1088" t="str">
        <f t="shared" si="64"/>
        <v>11900</v>
      </c>
      <c r="I1088" s="8" t="e">
        <f t="shared" si="67"/>
        <v>#DIV/0!</v>
      </c>
      <c r="J1088" s="8" t="e">
        <f t="shared" si="66"/>
        <v>#DIV/0!</v>
      </c>
      <c r="K1088" s="8">
        <f t="shared" ref="K1088:K1151" si="68">+G1088/G1027-1</f>
        <v>-1</v>
      </c>
    </row>
    <row r="1089" spans="1:11" x14ac:dyDescent="0.25">
      <c r="A1089" t="str">
        <f t="shared" si="64"/>
        <v>11900</v>
      </c>
      <c r="I1089" s="8" t="e">
        <f t="shared" si="67"/>
        <v>#DIV/0!</v>
      </c>
      <c r="J1089" s="8" t="e">
        <f t="shared" si="66"/>
        <v>#DIV/0!</v>
      </c>
      <c r="K1089" s="8">
        <f t="shared" si="68"/>
        <v>-1</v>
      </c>
    </row>
    <row r="1090" spans="1:11" x14ac:dyDescent="0.25">
      <c r="A1090" t="str">
        <f t="shared" si="64"/>
        <v>11900</v>
      </c>
      <c r="I1090" s="8" t="e">
        <f t="shared" si="67"/>
        <v>#DIV/0!</v>
      </c>
      <c r="J1090" s="8" t="e">
        <f t="shared" si="66"/>
        <v>#DIV/0!</v>
      </c>
      <c r="K1090" s="8">
        <f t="shared" si="68"/>
        <v>-1</v>
      </c>
    </row>
    <row r="1091" spans="1:11" x14ac:dyDescent="0.25">
      <c r="A1091" t="str">
        <f t="shared" ref="A1091:A1154" si="69">+MONTH(B1091)&amp;YEAR(B1091)</f>
        <v>11900</v>
      </c>
      <c r="I1091" s="8" t="e">
        <f t="shared" si="67"/>
        <v>#DIV/0!</v>
      </c>
      <c r="J1091" s="8" t="e">
        <f t="shared" si="66"/>
        <v>#DIV/0!</v>
      </c>
      <c r="K1091" s="8">
        <f t="shared" si="68"/>
        <v>-1</v>
      </c>
    </row>
    <row r="1092" spans="1:11" x14ac:dyDescent="0.25">
      <c r="A1092" t="str">
        <f t="shared" si="69"/>
        <v>11900</v>
      </c>
      <c r="I1092" s="8" t="e">
        <f t="shared" si="67"/>
        <v>#DIV/0!</v>
      </c>
      <c r="J1092" s="8" t="e">
        <f t="shared" ref="J1092:J1155" si="70">+LN(1+I1092)</f>
        <v>#DIV/0!</v>
      </c>
      <c r="K1092" s="8">
        <f t="shared" si="68"/>
        <v>-1</v>
      </c>
    </row>
    <row r="1093" spans="1:11" x14ac:dyDescent="0.25">
      <c r="A1093" t="str">
        <f t="shared" si="69"/>
        <v>11900</v>
      </c>
      <c r="I1093" s="8" t="e">
        <f t="shared" si="67"/>
        <v>#DIV/0!</v>
      </c>
      <c r="J1093" s="8" t="e">
        <f t="shared" si="70"/>
        <v>#DIV/0!</v>
      </c>
      <c r="K1093" s="8">
        <f t="shared" si="68"/>
        <v>-1</v>
      </c>
    </row>
    <row r="1094" spans="1:11" x14ac:dyDescent="0.25">
      <c r="A1094" t="str">
        <f t="shared" si="69"/>
        <v>11900</v>
      </c>
      <c r="I1094" s="8" t="e">
        <f t="shared" si="67"/>
        <v>#DIV/0!</v>
      </c>
      <c r="J1094" s="8" t="e">
        <f t="shared" si="70"/>
        <v>#DIV/0!</v>
      </c>
      <c r="K1094" s="8">
        <f t="shared" si="68"/>
        <v>-1</v>
      </c>
    </row>
    <row r="1095" spans="1:11" x14ac:dyDescent="0.25">
      <c r="A1095" t="str">
        <f t="shared" si="69"/>
        <v>11900</v>
      </c>
      <c r="I1095" s="8" t="e">
        <f t="shared" si="67"/>
        <v>#DIV/0!</v>
      </c>
      <c r="J1095" s="8" t="e">
        <f t="shared" si="70"/>
        <v>#DIV/0!</v>
      </c>
      <c r="K1095" s="8">
        <f t="shared" si="68"/>
        <v>-1</v>
      </c>
    </row>
    <row r="1096" spans="1:11" x14ac:dyDescent="0.25">
      <c r="A1096" t="str">
        <f t="shared" si="69"/>
        <v>11900</v>
      </c>
      <c r="I1096" s="8" t="e">
        <f t="shared" si="67"/>
        <v>#DIV/0!</v>
      </c>
      <c r="J1096" s="8" t="e">
        <f t="shared" si="70"/>
        <v>#DIV/0!</v>
      </c>
      <c r="K1096" s="8">
        <f t="shared" si="68"/>
        <v>-1</v>
      </c>
    </row>
    <row r="1097" spans="1:11" x14ac:dyDescent="0.25">
      <c r="A1097" t="str">
        <f t="shared" si="69"/>
        <v>11900</v>
      </c>
      <c r="I1097" s="8" t="e">
        <f t="shared" si="67"/>
        <v>#DIV/0!</v>
      </c>
      <c r="J1097" s="8" t="e">
        <f t="shared" si="70"/>
        <v>#DIV/0!</v>
      </c>
      <c r="K1097" s="8">
        <f t="shared" si="68"/>
        <v>-1</v>
      </c>
    </row>
    <row r="1098" spans="1:11" x14ac:dyDescent="0.25">
      <c r="A1098" t="str">
        <f t="shared" si="69"/>
        <v>11900</v>
      </c>
      <c r="I1098" s="8" t="e">
        <f t="shared" si="67"/>
        <v>#DIV/0!</v>
      </c>
      <c r="J1098" s="8" t="e">
        <f t="shared" si="70"/>
        <v>#DIV/0!</v>
      </c>
      <c r="K1098" s="8">
        <f t="shared" si="68"/>
        <v>-1</v>
      </c>
    </row>
    <row r="1099" spans="1:11" x14ac:dyDescent="0.25">
      <c r="A1099" t="str">
        <f t="shared" si="69"/>
        <v>11900</v>
      </c>
      <c r="I1099" s="8" t="e">
        <f t="shared" si="67"/>
        <v>#DIV/0!</v>
      </c>
      <c r="J1099" s="8" t="e">
        <f t="shared" si="70"/>
        <v>#DIV/0!</v>
      </c>
      <c r="K1099" s="8">
        <f t="shared" si="68"/>
        <v>-1</v>
      </c>
    </row>
    <row r="1100" spans="1:11" x14ac:dyDescent="0.25">
      <c r="A1100" t="str">
        <f t="shared" si="69"/>
        <v>11900</v>
      </c>
      <c r="I1100" s="8" t="e">
        <f t="shared" si="67"/>
        <v>#DIV/0!</v>
      </c>
      <c r="J1100" s="8" t="e">
        <f t="shared" si="70"/>
        <v>#DIV/0!</v>
      </c>
      <c r="K1100" s="8">
        <f t="shared" si="68"/>
        <v>-1</v>
      </c>
    </row>
    <row r="1101" spans="1:11" x14ac:dyDescent="0.25">
      <c r="A1101" t="str">
        <f t="shared" si="69"/>
        <v>11900</v>
      </c>
      <c r="I1101" s="8" t="e">
        <f t="shared" si="67"/>
        <v>#DIV/0!</v>
      </c>
      <c r="J1101" s="8" t="e">
        <f t="shared" si="70"/>
        <v>#DIV/0!</v>
      </c>
      <c r="K1101" s="8">
        <f t="shared" si="68"/>
        <v>-1</v>
      </c>
    </row>
    <row r="1102" spans="1:11" x14ac:dyDescent="0.25">
      <c r="A1102" t="str">
        <f t="shared" si="69"/>
        <v>11900</v>
      </c>
      <c r="I1102" s="8" t="e">
        <f t="shared" si="67"/>
        <v>#DIV/0!</v>
      </c>
      <c r="J1102" s="8" t="e">
        <f t="shared" si="70"/>
        <v>#DIV/0!</v>
      </c>
      <c r="K1102" s="8">
        <f t="shared" si="68"/>
        <v>-1</v>
      </c>
    </row>
    <row r="1103" spans="1:11" x14ac:dyDescent="0.25">
      <c r="A1103" t="str">
        <f t="shared" si="69"/>
        <v>11900</v>
      </c>
      <c r="I1103" s="8" t="e">
        <f t="shared" si="67"/>
        <v>#DIV/0!</v>
      </c>
      <c r="J1103" s="8" t="e">
        <f t="shared" si="70"/>
        <v>#DIV/0!</v>
      </c>
      <c r="K1103" s="8">
        <f t="shared" si="68"/>
        <v>-1</v>
      </c>
    </row>
    <row r="1104" spans="1:11" x14ac:dyDescent="0.25">
      <c r="A1104" t="str">
        <f t="shared" si="69"/>
        <v>11900</v>
      </c>
      <c r="I1104" s="8" t="e">
        <f t="shared" si="67"/>
        <v>#DIV/0!</v>
      </c>
      <c r="J1104" s="8" t="e">
        <f t="shared" si="70"/>
        <v>#DIV/0!</v>
      </c>
      <c r="K1104" s="8">
        <f t="shared" si="68"/>
        <v>-1</v>
      </c>
    </row>
    <row r="1105" spans="1:11" x14ac:dyDescent="0.25">
      <c r="A1105" t="str">
        <f t="shared" si="69"/>
        <v>11900</v>
      </c>
      <c r="I1105" s="8" t="e">
        <f t="shared" si="67"/>
        <v>#DIV/0!</v>
      </c>
      <c r="J1105" s="8" t="e">
        <f t="shared" si="70"/>
        <v>#DIV/0!</v>
      </c>
      <c r="K1105" s="8">
        <f t="shared" si="68"/>
        <v>-1</v>
      </c>
    </row>
    <row r="1106" spans="1:11" x14ac:dyDescent="0.25">
      <c r="A1106" t="str">
        <f t="shared" si="69"/>
        <v>11900</v>
      </c>
      <c r="I1106" s="8" t="e">
        <f t="shared" si="67"/>
        <v>#DIV/0!</v>
      </c>
      <c r="J1106" s="8" t="e">
        <f t="shared" si="70"/>
        <v>#DIV/0!</v>
      </c>
      <c r="K1106" s="8">
        <f t="shared" si="68"/>
        <v>-1</v>
      </c>
    </row>
    <row r="1107" spans="1:11" x14ac:dyDescent="0.25">
      <c r="A1107" t="str">
        <f t="shared" si="69"/>
        <v>11900</v>
      </c>
      <c r="I1107" s="8" t="e">
        <f t="shared" si="67"/>
        <v>#DIV/0!</v>
      </c>
      <c r="J1107" s="8" t="e">
        <f t="shared" si="70"/>
        <v>#DIV/0!</v>
      </c>
      <c r="K1107" s="8">
        <f t="shared" si="68"/>
        <v>-1</v>
      </c>
    </row>
    <row r="1108" spans="1:11" x14ac:dyDescent="0.25">
      <c r="A1108" t="str">
        <f t="shared" si="69"/>
        <v>11900</v>
      </c>
      <c r="I1108" s="8" t="e">
        <f t="shared" si="67"/>
        <v>#DIV/0!</v>
      </c>
      <c r="J1108" s="8" t="e">
        <f t="shared" si="70"/>
        <v>#DIV/0!</v>
      </c>
      <c r="K1108" s="8">
        <f t="shared" si="68"/>
        <v>-1</v>
      </c>
    </row>
    <row r="1109" spans="1:11" x14ac:dyDescent="0.25">
      <c r="A1109" t="str">
        <f t="shared" si="69"/>
        <v>11900</v>
      </c>
      <c r="I1109" s="8" t="e">
        <f t="shared" si="67"/>
        <v>#DIV/0!</v>
      </c>
      <c r="J1109" s="8" t="e">
        <f t="shared" si="70"/>
        <v>#DIV/0!</v>
      </c>
      <c r="K1109" s="8">
        <f t="shared" si="68"/>
        <v>-1</v>
      </c>
    </row>
    <row r="1110" spans="1:11" x14ac:dyDescent="0.25">
      <c r="A1110" t="str">
        <f t="shared" si="69"/>
        <v>11900</v>
      </c>
      <c r="I1110" s="8" t="e">
        <f t="shared" si="67"/>
        <v>#DIV/0!</v>
      </c>
      <c r="J1110" s="8" t="e">
        <f t="shared" si="70"/>
        <v>#DIV/0!</v>
      </c>
      <c r="K1110" s="8">
        <f t="shared" si="68"/>
        <v>-1</v>
      </c>
    </row>
    <row r="1111" spans="1:11" x14ac:dyDescent="0.25">
      <c r="A1111" t="str">
        <f t="shared" si="69"/>
        <v>11900</v>
      </c>
      <c r="I1111" s="8" t="e">
        <f t="shared" si="67"/>
        <v>#DIV/0!</v>
      </c>
      <c r="J1111" s="8" t="e">
        <f t="shared" si="70"/>
        <v>#DIV/0!</v>
      </c>
      <c r="K1111" s="8">
        <f t="shared" si="68"/>
        <v>-1</v>
      </c>
    </row>
    <row r="1112" spans="1:11" x14ac:dyDescent="0.25">
      <c r="A1112" t="str">
        <f t="shared" si="69"/>
        <v>11900</v>
      </c>
      <c r="I1112" s="8" t="e">
        <f t="shared" si="67"/>
        <v>#DIV/0!</v>
      </c>
      <c r="J1112" s="8" t="e">
        <f t="shared" si="70"/>
        <v>#DIV/0!</v>
      </c>
      <c r="K1112" s="8">
        <f t="shared" si="68"/>
        <v>-1</v>
      </c>
    </row>
    <row r="1113" spans="1:11" x14ac:dyDescent="0.25">
      <c r="A1113" t="str">
        <f t="shared" si="69"/>
        <v>11900</v>
      </c>
      <c r="I1113" s="8" t="e">
        <f t="shared" si="67"/>
        <v>#DIV/0!</v>
      </c>
      <c r="J1113" s="8" t="e">
        <f t="shared" si="70"/>
        <v>#DIV/0!</v>
      </c>
      <c r="K1113" s="8">
        <f t="shared" si="68"/>
        <v>-1</v>
      </c>
    </row>
    <row r="1114" spans="1:11" x14ac:dyDescent="0.25">
      <c r="A1114" t="str">
        <f t="shared" si="69"/>
        <v>11900</v>
      </c>
      <c r="I1114" s="8" t="e">
        <f t="shared" si="67"/>
        <v>#DIV/0!</v>
      </c>
      <c r="J1114" s="8" t="e">
        <f t="shared" si="70"/>
        <v>#DIV/0!</v>
      </c>
      <c r="K1114" s="8">
        <f t="shared" si="68"/>
        <v>-1</v>
      </c>
    </row>
    <row r="1115" spans="1:11" x14ac:dyDescent="0.25">
      <c r="A1115" t="str">
        <f t="shared" si="69"/>
        <v>11900</v>
      </c>
      <c r="I1115" s="8" t="e">
        <f t="shared" si="67"/>
        <v>#DIV/0!</v>
      </c>
      <c r="J1115" s="8" t="e">
        <f t="shared" si="70"/>
        <v>#DIV/0!</v>
      </c>
      <c r="K1115" s="8">
        <f t="shared" si="68"/>
        <v>-1</v>
      </c>
    </row>
    <row r="1116" spans="1:11" x14ac:dyDescent="0.25">
      <c r="A1116" t="str">
        <f t="shared" si="69"/>
        <v>11900</v>
      </c>
      <c r="I1116" s="8" t="e">
        <f t="shared" si="67"/>
        <v>#DIV/0!</v>
      </c>
      <c r="J1116" s="8" t="e">
        <f t="shared" si="70"/>
        <v>#DIV/0!</v>
      </c>
      <c r="K1116" s="8">
        <f t="shared" si="68"/>
        <v>-1</v>
      </c>
    </row>
    <row r="1117" spans="1:11" x14ac:dyDescent="0.25">
      <c r="A1117" t="str">
        <f t="shared" si="69"/>
        <v>11900</v>
      </c>
      <c r="I1117" s="8" t="e">
        <f t="shared" si="67"/>
        <v>#DIV/0!</v>
      </c>
      <c r="J1117" s="8" t="e">
        <f t="shared" si="70"/>
        <v>#DIV/0!</v>
      </c>
      <c r="K1117" s="8">
        <f t="shared" si="68"/>
        <v>-1</v>
      </c>
    </row>
    <row r="1118" spans="1:11" x14ac:dyDescent="0.25">
      <c r="A1118" t="str">
        <f t="shared" si="69"/>
        <v>11900</v>
      </c>
      <c r="I1118" s="8" t="e">
        <f t="shared" si="67"/>
        <v>#DIV/0!</v>
      </c>
      <c r="J1118" s="8" t="e">
        <f t="shared" si="70"/>
        <v>#DIV/0!</v>
      </c>
      <c r="K1118" s="8">
        <f t="shared" si="68"/>
        <v>-1</v>
      </c>
    </row>
    <row r="1119" spans="1:11" x14ac:dyDescent="0.25">
      <c r="A1119" t="str">
        <f t="shared" si="69"/>
        <v>11900</v>
      </c>
      <c r="I1119" s="8" t="e">
        <f t="shared" si="67"/>
        <v>#DIV/0!</v>
      </c>
      <c r="J1119" s="8" t="e">
        <f t="shared" si="70"/>
        <v>#DIV/0!</v>
      </c>
      <c r="K1119" s="8">
        <f t="shared" si="68"/>
        <v>-1</v>
      </c>
    </row>
    <row r="1120" spans="1:11" x14ac:dyDescent="0.25">
      <c r="A1120" t="str">
        <f t="shared" si="69"/>
        <v>11900</v>
      </c>
      <c r="I1120" s="8" t="e">
        <f t="shared" si="67"/>
        <v>#DIV/0!</v>
      </c>
      <c r="J1120" s="8" t="e">
        <f t="shared" si="70"/>
        <v>#DIV/0!</v>
      </c>
      <c r="K1120" s="8">
        <f t="shared" si="68"/>
        <v>-1</v>
      </c>
    </row>
    <row r="1121" spans="1:11" x14ac:dyDescent="0.25">
      <c r="A1121" t="str">
        <f t="shared" si="69"/>
        <v>11900</v>
      </c>
      <c r="I1121" s="8" t="e">
        <f t="shared" si="67"/>
        <v>#DIV/0!</v>
      </c>
      <c r="J1121" s="8" t="e">
        <f t="shared" si="70"/>
        <v>#DIV/0!</v>
      </c>
      <c r="K1121" s="8">
        <f t="shared" si="68"/>
        <v>-1</v>
      </c>
    </row>
    <row r="1122" spans="1:11" x14ac:dyDescent="0.25">
      <c r="A1122" t="str">
        <f t="shared" si="69"/>
        <v>11900</v>
      </c>
      <c r="I1122" s="8" t="e">
        <f t="shared" si="67"/>
        <v>#DIV/0!</v>
      </c>
      <c r="J1122" s="8" t="e">
        <f t="shared" si="70"/>
        <v>#DIV/0!</v>
      </c>
      <c r="K1122" s="8">
        <f t="shared" si="68"/>
        <v>-1</v>
      </c>
    </row>
    <row r="1123" spans="1:11" x14ac:dyDescent="0.25">
      <c r="A1123" t="str">
        <f t="shared" si="69"/>
        <v>11900</v>
      </c>
      <c r="I1123" s="8" t="e">
        <f t="shared" si="67"/>
        <v>#DIV/0!</v>
      </c>
      <c r="J1123" s="8" t="e">
        <f t="shared" si="70"/>
        <v>#DIV/0!</v>
      </c>
      <c r="K1123" s="8">
        <f t="shared" si="68"/>
        <v>-1</v>
      </c>
    </row>
    <row r="1124" spans="1:11" x14ac:dyDescent="0.25">
      <c r="A1124" t="str">
        <f t="shared" si="69"/>
        <v>11900</v>
      </c>
      <c r="I1124" s="8" t="e">
        <f t="shared" si="67"/>
        <v>#DIV/0!</v>
      </c>
      <c r="J1124" s="8" t="e">
        <f t="shared" si="70"/>
        <v>#DIV/0!</v>
      </c>
      <c r="K1124" s="8">
        <f t="shared" si="68"/>
        <v>-1</v>
      </c>
    </row>
    <row r="1125" spans="1:11" x14ac:dyDescent="0.25">
      <c r="A1125" t="str">
        <f t="shared" si="69"/>
        <v>11900</v>
      </c>
      <c r="I1125" s="8" t="e">
        <f t="shared" si="67"/>
        <v>#DIV/0!</v>
      </c>
      <c r="J1125" s="8" t="e">
        <f t="shared" si="70"/>
        <v>#DIV/0!</v>
      </c>
      <c r="K1125" s="8">
        <f t="shared" si="68"/>
        <v>-1</v>
      </c>
    </row>
    <row r="1126" spans="1:11" x14ac:dyDescent="0.25">
      <c r="A1126" t="str">
        <f t="shared" si="69"/>
        <v>11900</v>
      </c>
      <c r="I1126" s="8" t="e">
        <f t="shared" si="67"/>
        <v>#DIV/0!</v>
      </c>
      <c r="J1126" s="8" t="e">
        <f t="shared" si="70"/>
        <v>#DIV/0!</v>
      </c>
      <c r="K1126" s="8">
        <f t="shared" si="68"/>
        <v>-1</v>
      </c>
    </row>
    <row r="1127" spans="1:11" x14ac:dyDescent="0.25">
      <c r="A1127" t="str">
        <f t="shared" si="69"/>
        <v>11900</v>
      </c>
      <c r="I1127" s="8" t="e">
        <f t="shared" si="67"/>
        <v>#DIV/0!</v>
      </c>
      <c r="J1127" s="8" t="e">
        <f t="shared" si="70"/>
        <v>#DIV/0!</v>
      </c>
      <c r="K1127" s="8">
        <f t="shared" si="68"/>
        <v>-1</v>
      </c>
    </row>
    <row r="1128" spans="1:11" x14ac:dyDescent="0.25">
      <c r="A1128" t="str">
        <f t="shared" si="69"/>
        <v>11900</v>
      </c>
      <c r="I1128" s="8" t="e">
        <f t="shared" si="67"/>
        <v>#DIV/0!</v>
      </c>
      <c r="J1128" s="8" t="e">
        <f t="shared" si="70"/>
        <v>#DIV/0!</v>
      </c>
      <c r="K1128" s="8">
        <f t="shared" si="68"/>
        <v>-1</v>
      </c>
    </row>
    <row r="1129" spans="1:11" x14ac:dyDescent="0.25">
      <c r="A1129" t="str">
        <f t="shared" si="69"/>
        <v>11900</v>
      </c>
      <c r="I1129" s="8" t="e">
        <f t="shared" si="67"/>
        <v>#DIV/0!</v>
      </c>
      <c r="J1129" s="8" t="e">
        <f t="shared" si="70"/>
        <v>#DIV/0!</v>
      </c>
      <c r="K1129" s="8">
        <f t="shared" si="68"/>
        <v>-1</v>
      </c>
    </row>
    <row r="1130" spans="1:11" x14ac:dyDescent="0.25">
      <c r="A1130" t="str">
        <f t="shared" si="69"/>
        <v>11900</v>
      </c>
      <c r="I1130" s="8" t="e">
        <f t="shared" si="67"/>
        <v>#DIV/0!</v>
      </c>
      <c r="J1130" s="8" t="e">
        <f t="shared" si="70"/>
        <v>#DIV/0!</v>
      </c>
      <c r="K1130" s="8">
        <f t="shared" si="68"/>
        <v>-1</v>
      </c>
    </row>
    <row r="1131" spans="1:11" x14ac:dyDescent="0.25">
      <c r="A1131" t="str">
        <f t="shared" si="69"/>
        <v>11900</v>
      </c>
      <c r="I1131" s="8" t="e">
        <f t="shared" si="67"/>
        <v>#DIV/0!</v>
      </c>
      <c r="J1131" s="8" t="e">
        <f t="shared" si="70"/>
        <v>#DIV/0!</v>
      </c>
      <c r="K1131" s="8">
        <f t="shared" si="68"/>
        <v>-1</v>
      </c>
    </row>
    <row r="1132" spans="1:11" x14ac:dyDescent="0.25">
      <c r="A1132" t="str">
        <f t="shared" si="69"/>
        <v>11900</v>
      </c>
      <c r="I1132" s="8" t="e">
        <f t="shared" si="67"/>
        <v>#DIV/0!</v>
      </c>
      <c r="J1132" s="8" t="e">
        <f t="shared" si="70"/>
        <v>#DIV/0!</v>
      </c>
      <c r="K1132" s="8">
        <f t="shared" si="68"/>
        <v>-1</v>
      </c>
    </row>
    <row r="1133" spans="1:11" x14ac:dyDescent="0.25">
      <c r="A1133" t="str">
        <f t="shared" si="69"/>
        <v>11900</v>
      </c>
      <c r="I1133" s="8" t="e">
        <f t="shared" si="67"/>
        <v>#DIV/0!</v>
      </c>
      <c r="J1133" s="8" t="e">
        <f t="shared" si="70"/>
        <v>#DIV/0!</v>
      </c>
      <c r="K1133" s="8">
        <f t="shared" si="68"/>
        <v>-1</v>
      </c>
    </row>
    <row r="1134" spans="1:11" x14ac:dyDescent="0.25">
      <c r="A1134" t="str">
        <f t="shared" si="69"/>
        <v>11900</v>
      </c>
      <c r="I1134" s="8" t="e">
        <f t="shared" si="67"/>
        <v>#DIV/0!</v>
      </c>
      <c r="J1134" s="8" t="e">
        <f t="shared" si="70"/>
        <v>#DIV/0!</v>
      </c>
      <c r="K1134" s="8">
        <f t="shared" si="68"/>
        <v>-1</v>
      </c>
    </row>
    <row r="1135" spans="1:11" x14ac:dyDescent="0.25">
      <c r="A1135" t="str">
        <f t="shared" si="69"/>
        <v>11900</v>
      </c>
      <c r="I1135" s="8" t="e">
        <f t="shared" si="67"/>
        <v>#DIV/0!</v>
      </c>
      <c r="J1135" s="8" t="e">
        <f t="shared" si="70"/>
        <v>#DIV/0!</v>
      </c>
      <c r="K1135" s="8">
        <f t="shared" si="68"/>
        <v>-1</v>
      </c>
    </row>
    <row r="1136" spans="1:11" x14ac:dyDescent="0.25">
      <c r="A1136" t="str">
        <f t="shared" si="69"/>
        <v>11900</v>
      </c>
      <c r="I1136" s="8" t="e">
        <f t="shared" si="67"/>
        <v>#DIV/0!</v>
      </c>
      <c r="J1136" s="8" t="e">
        <f t="shared" si="70"/>
        <v>#DIV/0!</v>
      </c>
      <c r="K1136" s="8">
        <f t="shared" si="68"/>
        <v>-1</v>
      </c>
    </row>
    <row r="1137" spans="1:11" x14ac:dyDescent="0.25">
      <c r="A1137" t="str">
        <f t="shared" si="69"/>
        <v>11900</v>
      </c>
      <c r="I1137" s="8" t="e">
        <f t="shared" si="67"/>
        <v>#DIV/0!</v>
      </c>
      <c r="J1137" s="8" t="e">
        <f t="shared" si="70"/>
        <v>#DIV/0!</v>
      </c>
      <c r="K1137" s="8">
        <f t="shared" si="68"/>
        <v>-1</v>
      </c>
    </row>
    <row r="1138" spans="1:11" x14ac:dyDescent="0.25">
      <c r="A1138" t="str">
        <f t="shared" si="69"/>
        <v>11900</v>
      </c>
      <c r="I1138" s="8" t="e">
        <f t="shared" si="67"/>
        <v>#DIV/0!</v>
      </c>
      <c r="J1138" s="8" t="e">
        <f t="shared" si="70"/>
        <v>#DIV/0!</v>
      </c>
      <c r="K1138" s="8">
        <f t="shared" si="68"/>
        <v>-1</v>
      </c>
    </row>
    <row r="1139" spans="1:11" x14ac:dyDescent="0.25">
      <c r="A1139" t="str">
        <f t="shared" si="69"/>
        <v>11900</v>
      </c>
      <c r="I1139" s="8" t="e">
        <f t="shared" si="67"/>
        <v>#DIV/0!</v>
      </c>
      <c r="J1139" s="8" t="e">
        <f t="shared" si="70"/>
        <v>#DIV/0!</v>
      </c>
      <c r="K1139" s="8">
        <f t="shared" si="68"/>
        <v>-1</v>
      </c>
    </row>
    <row r="1140" spans="1:11" x14ac:dyDescent="0.25">
      <c r="A1140" t="str">
        <f t="shared" si="69"/>
        <v>11900</v>
      </c>
      <c r="I1140" s="8" t="e">
        <f t="shared" si="67"/>
        <v>#DIV/0!</v>
      </c>
      <c r="J1140" s="8" t="e">
        <f t="shared" si="70"/>
        <v>#DIV/0!</v>
      </c>
      <c r="K1140" s="8">
        <f t="shared" si="68"/>
        <v>-1</v>
      </c>
    </row>
    <row r="1141" spans="1:11" x14ac:dyDescent="0.25">
      <c r="A1141" t="str">
        <f t="shared" si="69"/>
        <v>11900</v>
      </c>
      <c r="I1141" s="8" t="e">
        <f t="shared" si="67"/>
        <v>#DIV/0!</v>
      </c>
      <c r="J1141" s="8" t="e">
        <f t="shared" si="70"/>
        <v>#DIV/0!</v>
      </c>
      <c r="K1141" s="8" t="e">
        <f t="shared" si="68"/>
        <v>#DIV/0!</v>
      </c>
    </row>
    <row r="1142" spans="1:11" x14ac:dyDescent="0.25">
      <c r="A1142" t="str">
        <f t="shared" si="69"/>
        <v>11900</v>
      </c>
      <c r="I1142" s="8" t="e">
        <f t="shared" si="67"/>
        <v>#DIV/0!</v>
      </c>
      <c r="J1142" s="8" t="e">
        <f t="shared" si="70"/>
        <v>#DIV/0!</v>
      </c>
      <c r="K1142" s="8" t="e">
        <f t="shared" si="68"/>
        <v>#DIV/0!</v>
      </c>
    </row>
    <row r="1143" spans="1:11" x14ac:dyDescent="0.25">
      <c r="A1143" t="str">
        <f t="shared" si="69"/>
        <v>11900</v>
      </c>
      <c r="I1143" s="8" t="e">
        <f t="shared" si="67"/>
        <v>#DIV/0!</v>
      </c>
      <c r="J1143" s="8" t="e">
        <f t="shared" si="70"/>
        <v>#DIV/0!</v>
      </c>
      <c r="K1143" s="8" t="e">
        <f t="shared" si="68"/>
        <v>#DIV/0!</v>
      </c>
    </row>
    <row r="1144" spans="1:11" x14ac:dyDescent="0.25">
      <c r="A1144" t="str">
        <f t="shared" si="69"/>
        <v>11900</v>
      </c>
      <c r="I1144" s="8" t="e">
        <f t="shared" ref="I1144:I1207" si="71">+G1144/G1143-1</f>
        <v>#DIV/0!</v>
      </c>
      <c r="J1144" s="8" t="e">
        <f t="shared" si="70"/>
        <v>#DIV/0!</v>
      </c>
      <c r="K1144" s="8" t="e">
        <f t="shared" si="68"/>
        <v>#DIV/0!</v>
      </c>
    </row>
    <row r="1145" spans="1:11" x14ac:dyDescent="0.25">
      <c r="A1145" t="str">
        <f t="shared" si="69"/>
        <v>11900</v>
      </c>
      <c r="I1145" s="8" t="e">
        <f t="shared" si="71"/>
        <v>#DIV/0!</v>
      </c>
      <c r="J1145" s="8" t="e">
        <f t="shared" si="70"/>
        <v>#DIV/0!</v>
      </c>
      <c r="K1145" s="8" t="e">
        <f t="shared" si="68"/>
        <v>#DIV/0!</v>
      </c>
    </row>
    <row r="1146" spans="1:11" x14ac:dyDescent="0.25">
      <c r="A1146" t="str">
        <f t="shared" si="69"/>
        <v>11900</v>
      </c>
      <c r="I1146" s="8" t="e">
        <f t="shared" si="71"/>
        <v>#DIV/0!</v>
      </c>
      <c r="J1146" s="8" t="e">
        <f t="shared" si="70"/>
        <v>#DIV/0!</v>
      </c>
      <c r="K1146" s="8" t="e">
        <f t="shared" si="68"/>
        <v>#DIV/0!</v>
      </c>
    </row>
    <row r="1147" spans="1:11" x14ac:dyDescent="0.25">
      <c r="A1147" t="str">
        <f t="shared" si="69"/>
        <v>11900</v>
      </c>
      <c r="I1147" s="8" t="e">
        <f t="shared" si="71"/>
        <v>#DIV/0!</v>
      </c>
      <c r="J1147" s="8" t="e">
        <f t="shared" si="70"/>
        <v>#DIV/0!</v>
      </c>
      <c r="K1147" s="8" t="e">
        <f t="shared" si="68"/>
        <v>#DIV/0!</v>
      </c>
    </row>
    <row r="1148" spans="1:11" x14ac:dyDescent="0.25">
      <c r="A1148" t="str">
        <f t="shared" si="69"/>
        <v>11900</v>
      </c>
      <c r="I1148" s="8" t="e">
        <f t="shared" si="71"/>
        <v>#DIV/0!</v>
      </c>
      <c r="J1148" s="8" t="e">
        <f t="shared" si="70"/>
        <v>#DIV/0!</v>
      </c>
      <c r="K1148" s="8" t="e">
        <f t="shared" si="68"/>
        <v>#DIV/0!</v>
      </c>
    </row>
    <row r="1149" spans="1:11" x14ac:dyDescent="0.25">
      <c r="A1149" t="str">
        <f t="shared" si="69"/>
        <v>11900</v>
      </c>
      <c r="I1149" s="8" t="e">
        <f t="shared" si="71"/>
        <v>#DIV/0!</v>
      </c>
      <c r="J1149" s="8" t="e">
        <f t="shared" si="70"/>
        <v>#DIV/0!</v>
      </c>
      <c r="K1149" s="8" t="e">
        <f t="shared" si="68"/>
        <v>#DIV/0!</v>
      </c>
    </row>
    <row r="1150" spans="1:11" x14ac:dyDescent="0.25">
      <c r="A1150" t="str">
        <f t="shared" si="69"/>
        <v>11900</v>
      </c>
      <c r="I1150" s="8" t="e">
        <f t="shared" si="71"/>
        <v>#DIV/0!</v>
      </c>
      <c r="J1150" s="8" t="e">
        <f t="shared" si="70"/>
        <v>#DIV/0!</v>
      </c>
      <c r="K1150" s="8" t="e">
        <f t="shared" si="68"/>
        <v>#DIV/0!</v>
      </c>
    </row>
    <row r="1151" spans="1:11" x14ac:dyDescent="0.25">
      <c r="A1151" t="str">
        <f t="shared" si="69"/>
        <v>11900</v>
      </c>
      <c r="I1151" s="8" t="e">
        <f t="shared" si="71"/>
        <v>#DIV/0!</v>
      </c>
      <c r="J1151" s="8" t="e">
        <f t="shared" si="70"/>
        <v>#DIV/0!</v>
      </c>
      <c r="K1151" s="8" t="e">
        <f t="shared" si="68"/>
        <v>#DIV/0!</v>
      </c>
    </row>
    <row r="1152" spans="1:11" x14ac:dyDescent="0.25">
      <c r="A1152" t="str">
        <f t="shared" si="69"/>
        <v>11900</v>
      </c>
      <c r="I1152" s="8" t="e">
        <f t="shared" si="71"/>
        <v>#DIV/0!</v>
      </c>
      <c r="J1152" s="8" t="e">
        <f t="shared" si="70"/>
        <v>#DIV/0!</v>
      </c>
      <c r="K1152" s="8" t="e">
        <f t="shared" ref="K1152:K1215" si="72">+G1152/G1091-1</f>
        <v>#DIV/0!</v>
      </c>
    </row>
    <row r="1153" spans="1:11" x14ac:dyDescent="0.25">
      <c r="A1153" t="str">
        <f t="shared" si="69"/>
        <v>11900</v>
      </c>
      <c r="I1153" s="8" t="e">
        <f t="shared" si="71"/>
        <v>#DIV/0!</v>
      </c>
      <c r="J1153" s="8" t="e">
        <f t="shared" si="70"/>
        <v>#DIV/0!</v>
      </c>
      <c r="K1153" s="8" t="e">
        <f t="shared" si="72"/>
        <v>#DIV/0!</v>
      </c>
    </row>
    <row r="1154" spans="1:11" x14ac:dyDescent="0.25">
      <c r="A1154" t="str">
        <f t="shared" si="69"/>
        <v>11900</v>
      </c>
      <c r="I1154" s="8" t="e">
        <f t="shared" si="71"/>
        <v>#DIV/0!</v>
      </c>
      <c r="J1154" s="8" t="e">
        <f t="shared" si="70"/>
        <v>#DIV/0!</v>
      </c>
      <c r="K1154" s="8" t="e">
        <f t="shared" si="72"/>
        <v>#DIV/0!</v>
      </c>
    </row>
    <row r="1155" spans="1:11" x14ac:dyDescent="0.25">
      <c r="A1155" t="str">
        <f t="shared" ref="A1155:A1218" si="73">+MONTH(B1155)&amp;YEAR(B1155)</f>
        <v>11900</v>
      </c>
      <c r="I1155" s="8" t="e">
        <f t="shared" si="71"/>
        <v>#DIV/0!</v>
      </c>
      <c r="J1155" s="8" t="e">
        <f t="shared" si="70"/>
        <v>#DIV/0!</v>
      </c>
      <c r="K1155" s="8" t="e">
        <f t="shared" si="72"/>
        <v>#DIV/0!</v>
      </c>
    </row>
    <row r="1156" spans="1:11" x14ac:dyDescent="0.25">
      <c r="A1156" t="str">
        <f t="shared" si="73"/>
        <v>11900</v>
      </c>
      <c r="I1156" s="8" t="e">
        <f t="shared" si="71"/>
        <v>#DIV/0!</v>
      </c>
      <c r="J1156" s="8" t="e">
        <f t="shared" ref="J1156:J1219" si="74">+LN(1+I1156)</f>
        <v>#DIV/0!</v>
      </c>
      <c r="K1156" s="8" t="e">
        <f t="shared" si="72"/>
        <v>#DIV/0!</v>
      </c>
    </row>
    <row r="1157" spans="1:11" x14ac:dyDescent="0.25">
      <c r="A1157" t="str">
        <f t="shared" si="73"/>
        <v>11900</v>
      </c>
      <c r="I1157" s="8" t="e">
        <f t="shared" si="71"/>
        <v>#DIV/0!</v>
      </c>
      <c r="J1157" s="8" t="e">
        <f t="shared" si="74"/>
        <v>#DIV/0!</v>
      </c>
      <c r="K1157" s="8" t="e">
        <f t="shared" si="72"/>
        <v>#DIV/0!</v>
      </c>
    </row>
    <row r="1158" spans="1:11" x14ac:dyDescent="0.25">
      <c r="A1158" t="str">
        <f t="shared" si="73"/>
        <v>11900</v>
      </c>
      <c r="I1158" s="8" t="e">
        <f t="shared" si="71"/>
        <v>#DIV/0!</v>
      </c>
      <c r="J1158" s="8" t="e">
        <f t="shared" si="74"/>
        <v>#DIV/0!</v>
      </c>
      <c r="K1158" s="8" t="e">
        <f t="shared" si="72"/>
        <v>#DIV/0!</v>
      </c>
    </row>
    <row r="1159" spans="1:11" x14ac:dyDescent="0.25">
      <c r="A1159" t="str">
        <f t="shared" si="73"/>
        <v>11900</v>
      </c>
      <c r="I1159" s="8" t="e">
        <f t="shared" si="71"/>
        <v>#DIV/0!</v>
      </c>
      <c r="J1159" s="8" t="e">
        <f t="shared" si="74"/>
        <v>#DIV/0!</v>
      </c>
      <c r="K1159" s="8" t="e">
        <f t="shared" si="72"/>
        <v>#DIV/0!</v>
      </c>
    </row>
    <row r="1160" spans="1:11" x14ac:dyDescent="0.25">
      <c r="A1160" t="str">
        <f t="shared" si="73"/>
        <v>11900</v>
      </c>
      <c r="I1160" s="8" t="e">
        <f t="shared" si="71"/>
        <v>#DIV/0!</v>
      </c>
      <c r="J1160" s="8" t="e">
        <f t="shared" si="74"/>
        <v>#DIV/0!</v>
      </c>
      <c r="K1160" s="8" t="e">
        <f t="shared" si="72"/>
        <v>#DIV/0!</v>
      </c>
    </row>
    <row r="1161" spans="1:11" x14ac:dyDescent="0.25">
      <c r="A1161" t="str">
        <f t="shared" si="73"/>
        <v>11900</v>
      </c>
      <c r="I1161" s="8" t="e">
        <f t="shared" si="71"/>
        <v>#DIV/0!</v>
      </c>
      <c r="J1161" s="8" t="e">
        <f t="shared" si="74"/>
        <v>#DIV/0!</v>
      </c>
      <c r="K1161" s="8" t="e">
        <f t="shared" si="72"/>
        <v>#DIV/0!</v>
      </c>
    </row>
    <row r="1162" spans="1:11" x14ac:dyDescent="0.25">
      <c r="A1162" t="str">
        <f t="shared" si="73"/>
        <v>11900</v>
      </c>
      <c r="I1162" s="8" t="e">
        <f t="shared" si="71"/>
        <v>#DIV/0!</v>
      </c>
      <c r="J1162" s="8" t="e">
        <f t="shared" si="74"/>
        <v>#DIV/0!</v>
      </c>
      <c r="K1162" s="8" t="e">
        <f t="shared" si="72"/>
        <v>#DIV/0!</v>
      </c>
    </row>
    <row r="1163" spans="1:11" x14ac:dyDescent="0.25">
      <c r="A1163" t="str">
        <f t="shared" si="73"/>
        <v>11900</v>
      </c>
      <c r="I1163" s="8" t="e">
        <f t="shared" si="71"/>
        <v>#DIV/0!</v>
      </c>
      <c r="J1163" s="8" t="e">
        <f t="shared" si="74"/>
        <v>#DIV/0!</v>
      </c>
      <c r="K1163" s="8" t="e">
        <f t="shared" si="72"/>
        <v>#DIV/0!</v>
      </c>
    </row>
    <row r="1164" spans="1:11" x14ac:dyDescent="0.25">
      <c r="A1164" t="str">
        <f t="shared" si="73"/>
        <v>11900</v>
      </c>
      <c r="I1164" s="8" t="e">
        <f t="shared" si="71"/>
        <v>#DIV/0!</v>
      </c>
      <c r="J1164" s="8" t="e">
        <f t="shared" si="74"/>
        <v>#DIV/0!</v>
      </c>
      <c r="K1164" s="8" t="e">
        <f t="shared" si="72"/>
        <v>#DIV/0!</v>
      </c>
    </row>
    <row r="1165" spans="1:11" x14ac:dyDescent="0.25">
      <c r="A1165" t="str">
        <f t="shared" si="73"/>
        <v>11900</v>
      </c>
      <c r="I1165" s="8" t="e">
        <f t="shared" si="71"/>
        <v>#DIV/0!</v>
      </c>
      <c r="J1165" s="8" t="e">
        <f t="shared" si="74"/>
        <v>#DIV/0!</v>
      </c>
      <c r="K1165" s="8" t="e">
        <f t="shared" si="72"/>
        <v>#DIV/0!</v>
      </c>
    </row>
    <row r="1166" spans="1:11" x14ac:dyDescent="0.25">
      <c r="A1166" t="str">
        <f t="shared" si="73"/>
        <v>11900</v>
      </c>
      <c r="I1166" s="8" t="e">
        <f t="shared" si="71"/>
        <v>#DIV/0!</v>
      </c>
      <c r="J1166" s="8" t="e">
        <f t="shared" si="74"/>
        <v>#DIV/0!</v>
      </c>
      <c r="K1166" s="8" t="e">
        <f t="shared" si="72"/>
        <v>#DIV/0!</v>
      </c>
    </row>
    <row r="1167" spans="1:11" x14ac:dyDescent="0.25">
      <c r="A1167" t="str">
        <f t="shared" si="73"/>
        <v>11900</v>
      </c>
      <c r="I1167" s="8" t="e">
        <f t="shared" si="71"/>
        <v>#DIV/0!</v>
      </c>
      <c r="J1167" s="8" t="e">
        <f t="shared" si="74"/>
        <v>#DIV/0!</v>
      </c>
      <c r="K1167" s="8" t="e">
        <f t="shared" si="72"/>
        <v>#DIV/0!</v>
      </c>
    </row>
    <row r="1168" spans="1:11" x14ac:dyDescent="0.25">
      <c r="A1168" t="str">
        <f t="shared" si="73"/>
        <v>11900</v>
      </c>
      <c r="I1168" s="8" t="e">
        <f t="shared" si="71"/>
        <v>#DIV/0!</v>
      </c>
      <c r="J1168" s="8" t="e">
        <f t="shared" si="74"/>
        <v>#DIV/0!</v>
      </c>
      <c r="K1168" s="8" t="e">
        <f t="shared" si="72"/>
        <v>#DIV/0!</v>
      </c>
    </row>
    <row r="1169" spans="1:11" x14ac:dyDescent="0.25">
      <c r="A1169" t="str">
        <f t="shared" si="73"/>
        <v>11900</v>
      </c>
      <c r="I1169" s="8" t="e">
        <f t="shared" si="71"/>
        <v>#DIV/0!</v>
      </c>
      <c r="J1169" s="8" t="e">
        <f t="shared" si="74"/>
        <v>#DIV/0!</v>
      </c>
      <c r="K1169" s="8" t="e">
        <f t="shared" si="72"/>
        <v>#DIV/0!</v>
      </c>
    </row>
    <row r="1170" spans="1:11" x14ac:dyDescent="0.25">
      <c r="A1170" t="str">
        <f t="shared" si="73"/>
        <v>11900</v>
      </c>
      <c r="I1170" s="8" t="e">
        <f t="shared" si="71"/>
        <v>#DIV/0!</v>
      </c>
      <c r="J1170" s="8" t="e">
        <f t="shared" si="74"/>
        <v>#DIV/0!</v>
      </c>
      <c r="K1170" s="8" t="e">
        <f t="shared" si="72"/>
        <v>#DIV/0!</v>
      </c>
    </row>
    <row r="1171" spans="1:11" x14ac:dyDescent="0.25">
      <c r="A1171" t="str">
        <f t="shared" si="73"/>
        <v>11900</v>
      </c>
      <c r="I1171" s="8" t="e">
        <f t="shared" si="71"/>
        <v>#DIV/0!</v>
      </c>
      <c r="J1171" s="8" t="e">
        <f t="shared" si="74"/>
        <v>#DIV/0!</v>
      </c>
      <c r="K1171" s="8" t="e">
        <f t="shared" si="72"/>
        <v>#DIV/0!</v>
      </c>
    </row>
    <row r="1172" spans="1:11" x14ac:dyDescent="0.25">
      <c r="A1172" t="str">
        <f t="shared" si="73"/>
        <v>11900</v>
      </c>
      <c r="I1172" s="8" t="e">
        <f t="shared" si="71"/>
        <v>#DIV/0!</v>
      </c>
      <c r="J1172" s="8" t="e">
        <f t="shared" si="74"/>
        <v>#DIV/0!</v>
      </c>
      <c r="K1172" s="8" t="e">
        <f t="shared" si="72"/>
        <v>#DIV/0!</v>
      </c>
    </row>
    <row r="1173" spans="1:11" x14ac:dyDescent="0.25">
      <c r="A1173" t="str">
        <f t="shared" si="73"/>
        <v>11900</v>
      </c>
      <c r="I1173" s="8" t="e">
        <f t="shared" si="71"/>
        <v>#DIV/0!</v>
      </c>
      <c r="J1173" s="8" t="e">
        <f t="shared" si="74"/>
        <v>#DIV/0!</v>
      </c>
      <c r="K1173" s="8" t="e">
        <f t="shared" si="72"/>
        <v>#DIV/0!</v>
      </c>
    </row>
    <row r="1174" spans="1:11" x14ac:dyDescent="0.25">
      <c r="A1174" t="str">
        <f t="shared" si="73"/>
        <v>11900</v>
      </c>
      <c r="I1174" s="8" t="e">
        <f t="shared" si="71"/>
        <v>#DIV/0!</v>
      </c>
      <c r="J1174" s="8" t="e">
        <f t="shared" si="74"/>
        <v>#DIV/0!</v>
      </c>
      <c r="K1174" s="8" t="e">
        <f t="shared" si="72"/>
        <v>#DIV/0!</v>
      </c>
    </row>
    <row r="1175" spans="1:11" x14ac:dyDescent="0.25">
      <c r="A1175" t="str">
        <f t="shared" si="73"/>
        <v>11900</v>
      </c>
      <c r="I1175" s="8" t="e">
        <f t="shared" si="71"/>
        <v>#DIV/0!</v>
      </c>
      <c r="J1175" s="8" t="e">
        <f t="shared" si="74"/>
        <v>#DIV/0!</v>
      </c>
      <c r="K1175" s="8" t="e">
        <f t="shared" si="72"/>
        <v>#DIV/0!</v>
      </c>
    </row>
    <row r="1176" spans="1:11" x14ac:dyDescent="0.25">
      <c r="A1176" t="str">
        <f t="shared" si="73"/>
        <v>11900</v>
      </c>
      <c r="I1176" s="8" t="e">
        <f t="shared" si="71"/>
        <v>#DIV/0!</v>
      </c>
      <c r="J1176" s="8" t="e">
        <f t="shared" si="74"/>
        <v>#DIV/0!</v>
      </c>
      <c r="K1176" s="8" t="e">
        <f t="shared" si="72"/>
        <v>#DIV/0!</v>
      </c>
    </row>
    <row r="1177" spans="1:11" x14ac:dyDescent="0.25">
      <c r="A1177" t="str">
        <f t="shared" si="73"/>
        <v>11900</v>
      </c>
      <c r="I1177" s="8" t="e">
        <f t="shared" si="71"/>
        <v>#DIV/0!</v>
      </c>
      <c r="J1177" s="8" t="e">
        <f t="shared" si="74"/>
        <v>#DIV/0!</v>
      </c>
      <c r="K1177" s="8" t="e">
        <f t="shared" si="72"/>
        <v>#DIV/0!</v>
      </c>
    </row>
    <row r="1178" spans="1:11" x14ac:dyDescent="0.25">
      <c r="A1178" t="str">
        <f t="shared" si="73"/>
        <v>11900</v>
      </c>
      <c r="I1178" s="8" t="e">
        <f t="shared" si="71"/>
        <v>#DIV/0!</v>
      </c>
      <c r="J1178" s="8" t="e">
        <f t="shared" si="74"/>
        <v>#DIV/0!</v>
      </c>
      <c r="K1178" s="8" t="e">
        <f t="shared" si="72"/>
        <v>#DIV/0!</v>
      </c>
    </row>
    <row r="1179" spans="1:11" x14ac:dyDescent="0.25">
      <c r="A1179" t="str">
        <f t="shared" si="73"/>
        <v>11900</v>
      </c>
      <c r="I1179" s="8" t="e">
        <f t="shared" si="71"/>
        <v>#DIV/0!</v>
      </c>
      <c r="J1179" s="8" t="e">
        <f t="shared" si="74"/>
        <v>#DIV/0!</v>
      </c>
      <c r="K1179" s="8" t="e">
        <f t="shared" si="72"/>
        <v>#DIV/0!</v>
      </c>
    </row>
    <row r="1180" spans="1:11" x14ac:dyDescent="0.25">
      <c r="A1180" t="str">
        <f t="shared" si="73"/>
        <v>11900</v>
      </c>
      <c r="I1180" s="8" t="e">
        <f t="shared" si="71"/>
        <v>#DIV/0!</v>
      </c>
      <c r="J1180" s="8" t="e">
        <f t="shared" si="74"/>
        <v>#DIV/0!</v>
      </c>
      <c r="K1180" s="8" t="e">
        <f t="shared" si="72"/>
        <v>#DIV/0!</v>
      </c>
    </row>
    <row r="1181" spans="1:11" x14ac:dyDescent="0.25">
      <c r="A1181" t="str">
        <f t="shared" si="73"/>
        <v>11900</v>
      </c>
      <c r="I1181" s="8" t="e">
        <f t="shared" si="71"/>
        <v>#DIV/0!</v>
      </c>
      <c r="J1181" s="8" t="e">
        <f t="shared" si="74"/>
        <v>#DIV/0!</v>
      </c>
      <c r="K1181" s="8" t="e">
        <f t="shared" si="72"/>
        <v>#DIV/0!</v>
      </c>
    </row>
    <row r="1182" spans="1:11" x14ac:dyDescent="0.25">
      <c r="A1182" t="str">
        <f t="shared" si="73"/>
        <v>11900</v>
      </c>
      <c r="I1182" s="8" t="e">
        <f t="shared" si="71"/>
        <v>#DIV/0!</v>
      </c>
      <c r="J1182" s="8" t="e">
        <f t="shared" si="74"/>
        <v>#DIV/0!</v>
      </c>
      <c r="K1182" s="8" t="e">
        <f t="shared" si="72"/>
        <v>#DIV/0!</v>
      </c>
    </row>
    <row r="1183" spans="1:11" x14ac:dyDescent="0.25">
      <c r="A1183" t="str">
        <f t="shared" si="73"/>
        <v>11900</v>
      </c>
      <c r="I1183" s="8" t="e">
        <f t="shared" si="71"/>
        <v>#DIV/0!</v>
      </c>
      <c r="J1183" s="8" t="e">
        <f t="shared" si="74"/>
        <v>#DIV/0!</v>
      </c>
      <c r="K1183" s="8" t="e">
        <f t="shared" si="72"/>
        <v>#DIV/0!</v>
      </c>
    </row>
    <row r="1184" spans="1:11" x14ac:dyDescent="0.25">
      <c r="A1184" t="str">
        <f t="shared" si="73"/>
        <v>11900</v>
      </c>
      <c r="I1184" s="8" t="e">
        <f t="shared" si="71"/>
        <v>#DIV/0!</v>
      </c>
      <c r="J1184" s="8" t="e">
        <f t="shared" si="74"/>
        <v>#DIV/0!</v>
      </c>
      <c r="K1184" s="8" t="e">
        <f t="shared" si="72"/>
        <v>#DIV/0!</v>
      </c>
    </row>
    <row r="1185" spans="1:11" x14ac:dyDescent="0.25">
      <c r="A1185" t="str">
        <f t="shared" si="73"/>
        <v>11900</v>
      </c>
      <c r="I1185" s="8" t="e">
        <f t="shared" si="71"/>
        <v>#DIV/0!</v>
      </c>
      <c r="J1185" s="8" t="e">
        <f t="shared" si="74"/>
        <v>#DIV/0!</v>
      </c>
      <c r="K1185" s="8" t="e">
        <f t="shared" si="72"/>
        <v>#DIV/0!</v>
      </c>
    </row>
    <row r="1186" spans="1:11" x14ac:dyDescent="0.25">
      <c r="A1186" t="str">
        <f t="shared" si="73"/>
        <v>11900</v>
      </c>
      <c r="I1186" s="8" t="e">
        <f t="shared" si="71"/>
        <v>#DIV/0!</v>
      </c>
      <c r="J1186" s="8" t="e">
        <f t="shared" si="74"/>
        <v>#DIV/0!</v>
      </c>
      <c r="K1186" s="8" t="e">
        <f t="shared" si="72"/>
        <v>#DIV/0!</v>
      </c>
    </row>
    <row r="1187" spans="1:11" x14ac:dyDescent="0.25">
      <c r="A1187" t="str">
        <f t="shared" si="73"/>
        <v>11900</v>
      </c>
      <c r="I1187" s="8" t="e">
        <f t="shared" si="71"/>
        <v>#DIV/0!</v>
      </c>
      <c r="J1187" s="8" t="e">
        <f t="shared" si="74"/>
        <v>#DIV/0!</v>
      </c>
      <c r="K1187" s="8" t="e">
        <f t="shared" si="72"/>
        <v>#DIV/0!</v>
      </c>
    </row>
    <row r="1188" spans="1:11" x14ac:dyDescent="0.25">
      <c r="A1188" t="str">
        <f t="shared" si="73"/>
        <v>11900</v>
      </c>
      <c r="I1188" s="8" t="e">
        <f t="shared" si="71"/>
        <v>#DIV/0!</v>
      </c>
      <c r="J1188" s="8" t="e">
        <f t="shared" si="74"/>
        <v>#DIV/0!</v>
      </c>
      <c r="K1188" s="8" t="e">
        <f t="shared" si="72"/>
        <v>#DIV/0!</v>
      </c>
    </row>
    <row r="1189" spans="1:11" x14ac:dyDescent="0.25">
      <c r="A1189" t="str">
        <f t="shared" si="73"/>
        <v>11900</v>
      </c>
      <c r="I1189" s="8" t="e">
        <f t="shared" si="71"/>
        <v>#DIV/0!</v>
      </c>
      <c r="J1189" s="8" t="e">
        <f t="shared" si="74"/>
        <v>#DIV/0!</v>
      </c>
      <c r="K1189" s="8" t="e">
        <f t="shared" si="72"/>
        <v>#DIV/0!</v>
      </c>
    </row>
    <row r="1190" spans="1:11" x14ac:dyDescent="0.25">
      <c r="A1190" t="str">
        <f t="shared" si="73"/>
        <v>11900</v>
      </c>
      <c r="I1190" s="8" t="e">
        <f t="shared" si="71"/>
        <v>#DIV/0!</v>
      </c>
      <c r="J1190" s="8" t="e">
        <f t="shared" si="74"/>
        <v>#DIV/0!</v>
      </c>
      <c r="K1190" s="8" t="e">
        <f t="shared" si="72"/>
        <v>#DIV/0!</v>
      </c>
    </row>
    <row r="1191" spans="1:11" x14ac:dyDescent="0.25">
      <c r="A1191" t="str">
        <f t="shared" si="73"/>
        <v>11900</v>
      </c>
      <c r="I1191" s="8" t="e">
        <f t="shared" si="71"/>
        <v>#DIV/0!</v>
      </c>
      <c r="J1191" s="8" t="e">
        <f t="shared" si="74"/>
        <v>#DIV/0!</v>
      </c>
      <c r="K1191" s="8" t="e">
        <f t="shared" si="72"/>
        <v>#DIV/0!</v>
      </c>
    </row>
    <row r="1192" spans="1:11" x14ac:dyDescent="0.25">
      <c r="A1192" t="str">
        <f t="shared" si="73"/>
        <v>11900</v>
      </c>
      <c r="I1192" s="8" t="e">
        <f t="shared" si="71"/>
        <v>#DIV/0!</v>
      </c>
      <c r="J1192" s="8" t="e">
        <f t="shared" si="74"/>
        <v>#DIV/0!</v>
      </c>
      <c r="K1192" s="8" t="e">
        <f t="shared" si="72"/>
        <v>#DIV/0!</v>
      </c>
    </row>
    <row r="1193" spans="1:11" x14ac:dyDescent="0.25">
      <c r="A1193" t="str">
        <f t="shared" si="73"/>
        <v>11900</v>
      </c>
      <c r="I1193" s="8" t="e">
        <f t="shared" si="71"/>
        <v>#DIV/0!</v>
      </c>
      <c r="J1193" s="8" t="e">
        <f t="shared" si="74"/>
        <v>#DIV/0!</v>
      </c>
      <c r="K1193" s="8" t="e">
        <f t="shared" si="72"/>
        <v>#DIV/0!</v>
      </c>
    </row>
    <row r="1194" spans="1:11" x14ac:dyDescent="0.25">
      <c r="A1194" t="str">
        <f t="shared" si="73"/>
        <v>11900</v>
      </c>
      <c r="I1194" s="8" t="e">
        <f t="shared" si="71"/>
        <v>#DIV/0!</v>
      </c>
      <c r="J1194" s="8" t="e">
        <f t="shared" si="74"/>
        <v>#DIV/0!</v>
      </c>
      <c r="K1194" s="8" t="e">
        <f t="shared" si="72"/>
        <v>#DIV/0!</v>
      </c>
    </row>
    <row r="1195" spans="1:11" x14ac:dyDescent="0.25">
      <c r="A1195" t="str">
        <f t="shared" si="73"/>
        <v>11900</v>
      </c>
      <c r="I1195" s="8" t="e">
        <f t="shared" si="71"/>
        <v>#DIV/0!</v>
      </c>
      <c r="J1195" s="8" t="e">
        <f t="shared" si="74"/>
        <v>#DIV/0!</v>
      </c>
      <c r="K1195" s="8" t="e">
        <f t="shared" si="72"/>
        <v>#DIV/0!</v>
      </c>
    </row>
    <row r="1196" spans="1:11" x14ac:dyDescent="0.25">
      <c r="A1196" t="str">
        <f t="shared" si="73"/>
        <v>11900</v>
      </c>
      <c r="I1196" s="8" t="e">
        <f t="shared" si="71"/>
        <v>#DIV/0!</v>
      </c>
      <c r="J1196" s="8" t="e">
        <f t="shared" si="74"/>
        <v>#DIV/0!</v>
      </c>
      <c r="K1196" s="8" t="e">
        <f t="shared" si="72"/>
        <v>#DIV/0!</v>
      </c>
    </row>
    <row r="1197" spans="1:11" x14ac:dyDescent="0.25">
      <c r="A1197" t="str">
        <f t="shared" si="73"/>
        <v>11900</v>
      </c>
      <c r="I1197" s="8" t="e">
        <f t="shared" si="71"/>
        <v>#DIV/0!</v>
      </c>
      <c r="J1197" s="8" t="e">
        <f t="shared" si="74"/>
        <v>#DIV/0!</v>
      </c>
      <c r="K1197" s="8" t="e">
        <f t="shared" si="72"/>
        <v>#DIV/0!</v>
      </c>
    </row>
    <row r="1198" spans="1:11" x14ac:dyDescent="0.25">
      <c r="A1198" t="str">
        <f t="shared" si="73"/>
        <v>11900</v>
      </c>
      <c r="I1198" s="8" t="e">
        <f t="shared" si="71"/>
        <v>#DIV/0!</v>
      </c>
      <c r="J1198" s="8" t="e">
        <f t="shared" si="74"/>
        <v>#DIV/0!</v>
      </c>
      <c r="K1198" s="8" t="e">
        <f t="shared" si="72"/>
        <v>#DIV/0!</v>
      </c>
    </row>
    <row r="1199" spans="1:11" x14ac:dyDescent="0.25">
      <c r="A1199" t="str">
        <f t="shared" si="73"/>
        <v>11900</v>
      </c>
      <c r="I1199" s="8" t="e">
        <f t="shared" si="71"/>
        <v>#DIV/0!</v>
      </c>
      <c r="J1199" s="8" t="e">
        <f t="shared" si="74"/>
        <v>#DIV/0!</v>
      </c>
      <c r="K1199" s="8" t="e">
        <f t="shared" si="72"/>
        <v>#DIV/0!</v>
      </c>
    </row>
    <row r="1200" spans="1:11" x14ac:dyDescent="0.25">
      <c r="A1200" t="str">
        <f t="shared" si="73"/>
        <v>11900</v>
      </c>
      <c r="I1200" s="8" t="e">
        <f t="shared" si="71"/>
        <v>#DIV/0!</v>
      </c>
      <c r="J1200" s="8" t="e">
        <f t="shared" si="74"/>
        <v>#DIV/0!</v>
      </c>
      <c r="K1200" s="8" t="e">
        <f t="shared" si="72"/>
        <v>#DIV/0!</v>
      </c>
    </row>
    <row r="1201" spans="1:11" x14ac:dyDescent="0.25">
      <c r="A1201" t="str">
        <f t="shared" si="73"/>
        <v>11900</v>
      </c>
      <c r="I1201" s="8" t="e">
        <f t="shared" si="71"/>
        <v>#DIV/0!</v>
      </c>
      <c r="J1201" s="8" t="e">
        <f t="shared" si="74"/>
        <v>#DIV/0!</v>
      </c>
      <c r="K1201" s="8" t="e">
        <f t="shared" si="72"/>
        <v>#DIV/0!</v>
      </c>
    </row>
    <row r="1202" spans="1:11" x14ac:dyDescent="0.25">
      <c r="A1202" t="str">
        <f t="shared" si="73"/>
        <v>11900</v>
      </c>
      <c r="I1202" s="8" t="e">
        <f t="shared" si="71"/>
        <v>#DIV/0!</v>
      </c>
      <c r="J1202" s="8" t="e">
        <f t="shared" si="74"/>
        <v>#DIV/0!</v>
      </c>
      <c r="K1202" s="8" t="e">
        <f t="shared" si="72"/>
        <v>#DIV/0!</v>
      </c>
    </row>
    <row r="1203" spans="1:11" x14ac:dyDescent="0.25">
      <c r="A1203" t="str">
        <f t="shared" si="73"/>
        <v>11900</v>
      </c>
      <c r="I1203" s="8" t="e">
        <f t="shared" si="71"/>
        <v>#DIV/0!</v>
      </c>
      <c r="J1203" s="8" t="e">
        <f t="shared" si="74"/>
        <v>#DIV/0!</v>
      </c>
      <c r="K1203" s="8" t="e">
        <f t="shared" si="72"/>
        <v>#DIV/0!</v>
      </c>
    </row>
    <row r="1204" spans="1:11" x14ac:dyDescent="0.25">
      <c r="A1204" t="str">
        <f t="shared" si="73"/>
        <v>11900</v>
      </c>
      <c r="I1204" s="8" t="e">
        <f t="shared" si="71"/>
        <v>#DIV/0!</v>
      </c>
      <c r="J1204" s="8" t="e">
        <f t="shared" si="74"/>
        <v>#DIV/0!</v>
      </c>
      <c r="K1204" s="8" t="e">
        <f t="shared" si="72"/>
        <v>#DIV/0!</v>
      </c>
    </row>
    <row r="1205" spans="1:11" x14ac:dyDescent="0.25">
      <c r="A1205" t="str">
        <f t="shared" si="73"/>
        <v>11900</v>
      </c>
      <c r="I1205" s="8" t="e">
        <f t="shared" si="71"/>
        <v>#DIV/0!</v>
      </c>
      <c r="J1205" s="8" t="e">
        <f t="shared" si="74"/>
        <v>#DIV/0!</v>
      </c>
      <c r="K1205" s="8" t="e">
        <f t="shared" si="72"/>
        <v>#DIV/0!</v>
      </c>
    </row>
    <row r="1206" spans="1:11" x14ac:dyDescent="0.25">
      <c r="A1206" t="str">
        <f t="shared" si="73"/>
        <v>11900</v>
      </c>
      <c r="I1206" s="8" t="e">
        <f t="shared" si="71"/>
        <v>#DIV/0!</v>
      </c>
      <c r="J1206" s="8" t="e">
        <f t="shared" si="74"/>
        <v>#DIV/0!</v>
      </c>
      <c r="K1206" s="8" t="e">
        <f t="shared" si="72"/>
        <v>#DIV/0!</v>
      </c>
    </row>
    <row r="1207" spans="1:11" x14ac:dyDescent="0.25">
      <c r="A1207" t="str">
        <f t="shared" si="73"/>
        <v>11900</v>
      </c>
      <c r="I1207" s="8" t="e">
        <f t="shared" si="71"/>
        <v>#DIV/0!</v>
      </c>
      <c r="J1207" s="8" t="e">
        <f t="shared" si="74"/>
        <v>#DIV/0!</v>
      </c>
      <c r="K1207" s="8" t="e">
        <f t="shared" si="72"/>
        <v>#DIV/0!</v>
      </c>
    </row>
    <row r="1208" spans="1:11" x14ac:dyDescent="0.25">
      <c r="A1208" t="str">
        <f t="shared" si="73"/>
        <v>11900</v>
      </c>
      <c r="I1208" s="8" t="e">
        <f t="shared" ref="I1208:I1238" si="75">+G1208/G1207-1</f>
        <v>#DIV/0!</v>
      </c>
      <c r="J1208" s="8" t="e">
        <f t="shared" si="74"/>
        <v>#DIV/0!</v>
      </c>
      <c r="K1208" s="8" t="e">
        <f t="shared" si="72"/>
        <v>#DIV/0!</v>
      </c>
    </row>
    <row r="1209" spans="1:11" x14ac:dyDescent="0.25">
      <c r="A1209" t="str">
        <f t="shared" si="73"/>
        <v>11900</v>
      </c>
      <c r="I1209" s="8" t="e">
        <f t="shared" si="75"/>
        <v>#DIV/0!</v>
      </c>
      <c r="J1209" s="8" t="e">
        <f t="shared" si="74"/>
        <v>#DIV/0!</v>
      </c>
      <c r="K1209" s="8" t="e">
        <f t="shared" si="72"/>
        <v>#DIV/0!</v>
      </c>
    </row>
    <row r="1210" spans="1:11" x14ac:dyDescent="0.25">
      <c r="A1210" t="str">
        <f t="shared" si="73"/>
        <v>11900</v>
      </c>
      <c r="I1210" s="8" t="e">
        <f t="shared" si="75"/>
        <v>#DIV/0!</v>
      </c>
      <c r="J1210" s="8" t="e">
        <f t="shared" si="74"/>
        <v>#DIV/0!</v>
      </c>
      <c r="K1210" s="8" t="e">
        <f t="shared" si="72"/>
        <v>#DIV/0!</v>
      </c>
    </row>
    <row r="1211" spans="1:11" x14ac:dyDescent="0.25">
      <c r="A1211" t="str">
        <f t="shared" si="73"/>
        <v>11900</v>
      </c>
      <c r="I1211" s="8" t="e">
        <f t="shared" si="75"/>
        <v>#DIV/0!</v>
      </c>
      <c r="J1211" s="8" t="e">
        <f t="shared" si="74"/>
        <v>#DIV/0!</v>
      </c>
      <c r="K1211" s="8" t="e">
        <f t="shared" si="72"/>
        <v>#DIV/0!</v>
      </c>
    </row>
    <row r="1212" spans="1:11" x14ac:dyDescent="0.25">
      <c r="A1212" t="str">
        <f t="shared" si="73"/>
        <v>11900</v>
      </c>
      <c r="I1212" s="8" t="e">
        <f t="shared" si="75"/>
        <v>#DIV/0!</v>
      </c>
      <c r="J1212" s="8" t="e">
        <f t="shared" si="74"/>
        <v>#DIV/0!</v>
      </c>
      <c r="K1212" s="8" t="e">
        <f t="shared" si="72"/>
        <v>#DIV/0!</v>
      </c>
    </row>
    <row r="1213" spans="1:11" x14ac:dyDescent="0.25">
      <c r="A1213" t="str">
        <f t="shared" si="73"/>
        <v>11900</v>
      </c>
      <c r="I1213" s="8" t="e">
        <f t="shared" si="75"/>
        <v>#DIV/0!</v>
      </c>
      <c r="J1213" s="8" t="e">
        <f t="shared" si="74"/>
        <v>#DIV/0!</v>
      </c>
      <c r="K1213" s="8" t="e">
        <f t="shared" si="72"/>
        <v>#DIV/0!</v>
      </c>
    </row>
    <row r="1214" spans="1:11" x14ac:dyDescent="0.25">
      <c r="A1214" t="str">
        <f t="shared" si="73"/>
        <v>11900</v>
      </c>
      <c r="I1214" s="8" t="e">
        <f t="shared" si="75"/>
        <v>#DIV/0!</v>
      </c>
      <c r="J1214" s="8" t="e">
        <f t="shared" si="74"/>
        <v>#DIV/0!</v>
      </c>
      <c r="K1214" s="8" t="e">
        <f t="shared" si="72"/>
        <v>#DIV/0!</v>
      </c>
    </row>
    <row r="1215" spans="1:11" x14ac:dyDescent="0.25">
      <c r="A1215" t="str">
        <f t="shared" si="73"/>
        <v>11900</v>
      </c>
      <c r="I1215" s="8" t="e">
        <f t="shared" si="75"/>
        <v>#DIV/0!</v>
      </c>
      <c r="J1215" s="8" t="e">
        <f t="shared" si="74"/>
        <v>#DIV/0!</v>
      </c>
      <c r="K1215" s="8" t="e">
        <f t="shared" si="72"/>
        <v>#DIV/0!</v>
      </c>
    </row>
    <row r="1216" spans="1:11" x14ac:dyDescent="0.25">
      <c r="A1216" t="str">
        <f t="shared" si="73"/>
        <v>11900</v>
      </c>
      <c r="I1216" s="8" t="e">
        <f t="shared" si="75"/>
        <v>#DIV/0!</v>
      </c>
      <c r="J1216" s="8" t="e">
        <f t="shared" si="74"/>
        <v>#DIV/0!</v>
      </c>
      <c r="K1216" s="8" t="e">
        <f t="shared" ref="K1216:K1238" si="76">+G1216/G1155-1</f>
        <v>#DIV/0!</v>
      </c>
    </row>
    <row r="1217" spans="1:11" x14ac:dyDescent="0.25">
      <c r="A1217" t="str">
        <f t="shared" si="73"/>
        <v>11900</v>
      </c>
      <c r="I1217" s="8" t="e">
        <f t="shared" si="75"/>
        <v>#DIV/0!</v>
      </c>
      <c r="J1217" s="8" t="e">
        <f t="shared" si="74"/>
        <v>#DIV/0!</v>
      </c>
      <c r="K1217" s="8" t="e">
        <f t="shared" si="76"/>
        <v>#DIV/0!</v>
      </c>
    </row>
    <row r="1218" spans="1:11" x14ac:dyDescent="0.25">
      <c r="A1218" t="str">
        <f t="shared" si="73"/>
        <v>11900</v>
      </c>
      <c r="I1218" s="8" t="e">
        <f t="shared" si="75"/>
        <v>#DIV/0!</v>
      </c>
      <c r="J1218" s="8" t="e">
        <f t="shared" si="74"/>
        <v>#DIV/0!</v>
      </c>
      <c r="K1218" s="8" t="e">
        <f t="shared" si="76"/>
        <v>#DIV/0!</v>
      </c>
    </row>
    <row r="1219" spans="1:11" x14ac:dyDescent="0.25">
      <c r="A1219" t="str">
        <f t="shared" ref="A1219:A1238" si="77">+MONTH(B1219)&amp;YEAR(B1219)</f>
        <v>11900</v>
      </c>
      <c r="I1219" s="8" t="e">
        <f t="shared" si="75"/>
        <v>#DIV/0!</v>
      </c>
      <c r="J1219" s="8" t="e">
        <f t="shared" si="74"/>
        <v>#DIV/0!</v>
      </c>
      <c r="K1219" s="8" t="e">
        <f t="shared" si="76"/>
        <v>#DIV/0!</v>
      </c>
    </row>
    <row r="1220" spans="1:11" x14ac:dyDescent="0.25">
      <c r="A1220" t="str">
        <f t="shared" si="77"/>
        <v>11900</v>
      </c>
      <c r="I1220" s="8" t="e">
        <f t="shared" si="75"/>
        <v>#DIV/0!</v>
      </c>
      <c r="J1220" s="8" t="e">
        <f t="shared" ref="J1220:J1238" si="78">+LN(1+I1220)</f>
        <v>#DIV/0!</v>
      </c>
      <c r="K1220" s="8" t="e">
        <f t="shared" si="76"/>
        <v>#DIV/0!</v>
      </c>
    </row>
    <row r="1221" spans="1:11" x14ac:dyDescent="0.25">
      <c r="A1221" t="str">
        <f t="shared" si="77"/>
        <v>11900</v>
      </c>
      <c r="I1221" s="8" t="e">
        <f t="shared" si="75"/>
        <v>#DIV/0!</v>
      </c>
      <c r="J1221" s="8" t="e">
        <f t="shared" si="78"/>
        <v>#DIV/0!</v>
      </c>
      <c r="K1221" s="8" t="e">
        <f t="shared" si="76"/>
        <v>#DIV/0!</v>
      </c>
    </row>
    <row r="1222" spans="1:11" x14ac:dyDescent="0.25">
      <c r="A1222" t="str">
        <f t="shared" si="77"/>
        <v>11900</v>
      </c>
      <c r="I1222" s="8" t="e">
        <f t="shared" si="75"/>
        <v>#DIV/0!</v>
      </c>
      <c r="J1222" s="8" t="e">
        <f t="shared" si="78"/>
        <v>#DIV/0!</v>
      </c>
      <c r="K1222" s="8" t="e">
        <f t="shared" si="76"/>
        <v>#DIV/0!</v>
      </c>
    </row>
    <row r="1223" spans="1:11" x14ac:dyDescent="0.25">
      <c r="A1223" t="str">
        <f t="shared" si="77"/>
        <v>11900</v>
      </c>
      <c r="I1223" s="8" t="e">
        <f t="shared" si="75"/>
        <v>#DIV/0!</v>
      </c>
      <c r="J1223" s="8" t="e">
        <f t="shared" si="78"/>
        <v>#DIV/0!</v>
      </c>
      <c r="K1223" s="8" t="e">
        <f t="shared" si="76"/>
        <v>#DIV/0!</v>
      </c>
    </row>
    <row r="1224" spans="1:11" x14ac:dyDescent="0.25">
      <c r="A1224" t="str">
        <f t="shared" si="77"/>
        <v>11900</v>
      </c>
      <c r="I1224" s="8" t="e">
        <f t="shared" si="75"/>
        <v>#DIV/0!</v>
      </c>
      <c r="J1224" s="8" t="e">
        <f t="shared" si="78"/>
        <v>#DIV/0!</v>
      </c>
      <c r="K1224" s="8" t="e">
        <f t="shared" si="76"/>
        <v>#DIV/0!</v>
      </c>
    </row>
    <row r="1225" spans="1:11" x14ac:dyDescent="0.25">
      <c r="A1225" t="str">
        <f t="shared" si="77"/>
        <v>11900</v>
      </c>
      <c r="I1225" s="8" t="e">
        <f t="shared" si="75"/>
        <v>#DIV/0!</v>
      </c>
      <c r="J1225" s="8" t="e">
        <f t="shared" si="78"/>
        <v>#DIV/0!</v>
      </c>
      <c r="K1225" s="8" t="e">
        <f t="shared" si="76"/>
        <v>#DIV/0!</v>
      </c>
    </row>
    <row r="1226" spans="1:11" x14ac:dyDescent="0.25">
      <c r="A1226" t="str">
        <f t="shared" si="77"/>
        <v>11900</v>
      </c>
      <c r="I1226" s="8" t="e">
        <f t="shared" si="75"/>
        <v>#DIV/0!</v>
      </c>
      <c r="J1226" s="8" t="e">
        <f t="shared" si="78"/>
        <v>#DIV/0!</v>
      </c>
      <c r="K1226" s="8" t="e">
        <f t="shared" si="76"/>
        <v>#DIV/0!</v>
      </c>
    </row>
    <row r="1227" spans="1:11" x14ac:dyDescent="0.25">
      <c r="A1227" t="str">
        <f t="shared" si="77"/>
        <v>11900</v>
      </c>
      <c r="I1227" s="8" t="e">
        <f t="shared" si="75"/>
        <v>#DIV/0!</v>
      </c>
      <c r="J1227" s="8" t="e">
        <f t="shared" si="78"/>
        <v>#DIV/0!</v>
      </c>
      <c r="K1227" s="8" t="e">
        <f t="shared" si="76"/>
        <v>#DIV/0!</v>
      </c>
    </row>
    <row r="1228" spans="1:11" x14ac:dyDescent="0.25">
      <c r="A1228" t="str">
        <f t="shared" si="77"/>
        <v>11900</v>
      </c>
      <c r="I1228" s="8" t="e">
        <f t="shared" si="75"/>
        <v>#DIV/0!</v>
      </c>
      <c r="J1228" s="8" t="e">
        <f t="shared" si="78"/>
        <v>#DIV/0!</v>
      </c>
      <c r="K1228" s="8" t="e">
        <f t="shared" si="76"/>
        <v>#DIV/0!</v>
      </c>
    </row>
    <row r="1229" spans="1:11" x14ac:dyDescent="0.25">
      <c r="A1229" t="str">
        <f t="shared" si="77"/>
        <v>11900</v>
      </c>
      <c r="I1229" s="8" t="e">
        <f t="shared" si="75"/>
        <v>#DIV/0!</v>
      </c>
      <c r="J1229" s="8" t="e">
        <f t="shared" si="78"/>
        <v>#DIV/0!</v>
      </c>
      <c r="K1229" s="8" t="e">
        <f t="shared" si="76"/>
        <v>#DIV/0!</v>
      </c>
    </row>
    <row r="1230" spans="1:11" x14ac:dyDescent="0.25">
      <c r="A1230" t="str">
        <f t="shared" si="77"/>
        <v>11900</v>
      </c>
      <c r="I1230" s="8" t="e">
        <f t="shared" si="75"/>
        <v>#DIV/0!</v>
      </c>
      <c r="J1230" s="8" t="e">
        <f t="shared" si="78"/>
        <v>#DIV/0!</v>
      </c>
      <c r="K1230" s="8" t="e">
        <f t="shared" si="76"/>
        <v>#DIV/0!</v>
      </c>
    </row>
    <row r="1231" spans="1:11" x14ac:dyDescent="0.25">
      <c r="A1231" t="str">
        <f t="shared" si="77"/>
        <v>11900</v>
      </c>
      <c r="I1231" s="8" t="e">
        <f t="shared" si="75"/>
        <v>#DIV/0!</v>
      </c>
      <c r="J1231" s="8" t="e">
        <f t="shared" si="78"/>
        <v>#DIV/0!</v>
      </c>
      <c r="K1231" s="8" t="e">
        <f t="shared" si="76"/>
        <v>#DIV/0!</v>
      </c>
    </row>
    <row r="1232" spans="1:11" x14ac:dyDescent="0.25">
      <c r="A1232" t="str">
        <f t="shared" si="77"/>
        <v>11900</v>
      </c>
      <c r="I1232" s="8" t="e">
        <f t="shared" si="75"/>
        <v>#DIV/0!</v>
      </c>
      <c r="J1232" s="8" t="e">
        <f t="shared" si="78"/>
        <v>#DIV/0!</v>
      </c>
      <c r="K1232" s="8" t="e">
        <f t="shared" si="76"/>
        <v>#DIV/0!</v>
      </c>
    </row>
    <row r="1233" spans="1:11" x14ac:dyDescent="0.25">
      <c r="A1233" t="str">
        <f t="shared" si="77"/>
        <v>11900</v>
      </c>
      <c r="I1233" s="8" t="e">
        <f t="shared" si="75"/>
        <v>#DIV/0!</v>
      </c>
      <c r="J1233" s="8" t="e">
        <f t="shared" si="78"/>
        <v>#DIV/0!</v>
      </c>
      <c r="K1233" s="8" t="e">
        <f t="shared" si="76"/>
        <v>#DIV/0!</v>
      </c>
    </row>
    <row r="1234" spans="1:11" x14ac:dyDescent="0.25">
      <c r="A1234" t="str">
        <f t="shared" si="77"/>
        <v>11900</v>
      </c>
      <c r="I1234" s="8" t="e">
        <f t="shared" si="75"/>
        <v>#DIV/0!</v>
      </c>
      <c r="J1234" s="8" t="e">
        <f t="shared" si="78"/>
        <v>#DIV/0!</v>
      </c>
      <c r="K1234" s="8" t="e">
        <f t="shared" si="76"/>
        <v>#DIV/0!</v>
      </c>
    </row>
    <row r="1235" spans="1:11" x14ac:dyDescent="0.25">
      <c r="A1235" t="str">
        <f t="shared" si="77"/>
        <v>11900</v>
      </c>
      <c r="I1235" s="8" t="e">
        <f t="shared" si="75"/>
        <v>#DIV/0!</v>
      </c>
      <c r="J1235" s="8" t="e">
        <f t="shared" si="78"/>
        <v>#DIV/0!</v>
      </c>
      <c r="K1235" s="8" t="e">
        <f t="shared" si="76"/>
        <v>#DIV/0!</v>
      </c>
    </row>
    <row r="1236" spans="1:11" x14ac:dyDescent="0.25">
      <c r="A1236" t="str">
        <f t="shared" si="77"/>
        <v>11900</v>
      </c>
      <c r="I1236" s="8" t="e">
        <f t="shared" si="75"/>
        <v>#DIV/0!</v>
      </c>
      <c r="J1236" s="8" t="e">
        <f t="shared" si="78"/>
        <v>#DIV/0!</v>
      </c>
      <c r="K1236" s="8" t="e">
        <f t="shared" si="76"/>
        <v>#DIV/0!</v>
      </c>
    </row>
    <row r="1237" spans="1:11" x14ac:dyDescent="0.25">
      <c r="A1237" t="str">
        <f t="shared" si="77"/>
        <v>11900</v>
      </c>
      <c r="I1237" s="8" t="e">
        <f t="shared" si="75"/>
        <v>#DIV/0!</v>
      </c>
      <c r="J1237" s="8" t="e">
        <f t="shared" si="78"/>
        <v>#DIV/0!</v>
      </c>
      <c r="K1237" s="8" t="e">
        <f t="shared" si="76"/>
        <v>#DIV/0!</v>
      </c>
    </row>
    <row r="1238" spans="1:11" x14ac:dyDescent="0.25">
      <c r="A1238" t="str">
        <f t="shared" si="77"/>
        <v>11900</v>
      </c>
      <c r="I1238" s="8" t="e">
        <f t="shared" si="75"/>
        <v>#DIV/0!</v>
      </c>
      <c r="J1238" s="8" t="e">
        <f t="shared" si="78"/>
        <v>#DIV/0!</v>
      </c>
      <c r="K1238" s="8" t="e">
        <f t="shared" si="76"/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D3AEE-F8E0-49D5-893B-DC3F7297313D}">
  <dimension ref="A1:K340"/>
  <sheetViews>
    <sheetView topLeftCell="A319" workbookViewId="0">
      <selection activeCell="K340" sqref="K340"/>
    </sheetView>
  </sheetViews>
  <sheetFormatPr defaultRowHeight="15" x14ac:dyDescent="0.25"/>
  <cols>
    <col min="2" max="2" width="10.7109375" bestFit="1" customWidth="1"/>
    <col min="3" max="3" width="18.140625" bestFit="1" customWidth="1"/>
  </cols>
  <sheetData>
    <row r="1" spans="1:11" x14ac:dyDescent="0.25">
      <c r="A1" t="s">
        <v>27</v>
      </c>
      <c r="B1" t="s">
        <v>7</v>
      </c>
      <c r="C1" s="20" t="s">
        <v>7</v>
      </c>
      <c r="D1" s="20" t="s">
        <v>8</v>
      </c>
      <c r="E1" s="20" t="s">
        <v>9</v>
      </c>
      <c r="F1" s="20" t="s">
        <v>10</v>
      </c>
      <c r="G1" s="20" t="s">
        <v>11</v>
      </c>
      <c r="H1" s="20" t="s">
        <v>12</v>
      </c>
      <c r="I1" t="s">
        <v>26</v>
      </c>
      <c r="J1" t="s">
        <v>679</v>
      </c>
      <c r="K1" t="s">
        <v>688</v>
      </c>
    </row>
    <row r="2" spans="1:11" x14ac:dyDescent="0.25">
      <c r="A2" t="str">
        <f>+MONTH(B2)&amp;YEAR(B2)</f>
        <v>12020</v>
      </c>
      <c r="B2" s="1">
        <v>43832</v>
      </c>
      <c r="C2" s="21">
        <v>43832.645830000001</v>
      </c>
      <c r="D2" s="20">
        <v>1004.9</v>
      </c>
      <c r="E2" s="20">
        <v>1004.9</v>
      </c>
      <c r="F2" s="20">
        <v>1000.4</v>
      </c>
      <c r="G2" s="20">
        <v>1001.54</v>
      </c>
      <c r="H2" s="20">
        <v>33373</v>
      </c>
      <c r="I2" s="8"/>
      <c r="J2" s="8"/>
      <c r="K2" s="8"/>
    </row>
    <row r="3" spans="1:11" x14ac:dyDescent="0.25">
      <c r="A3" t="str">
        <f t="shared" ref="A3:A66" si="0">+MONTH(B3)&amp;YEAR(B3)</f>
        <v>12020</v>
      </c>
      <c r="B3" s="1">
        <v>43833</v>
      </c>
      <c r="C3" s="21">
        <v>43833.645830000001</v>
      </c>
      <c r="D3" s="20">
        <v>1002</v>
      </c>
      <c r="E3" s="20">
        <v>1002</v>
      </c>
      <c r="F3" s="20">
        <v>1001.35</v>
      </c>
      <c r="G3" s="20">
        <v>1001.69</v>
      </c>
      <c r="H3" s="20">
        <v>49471</v>
      </c>
      <c r="I3" s="8">
        <f>+G3/G2-1</f>
        <v>1.4976935519306345E-4</v>
      </c>
      <c r="J3" s="8">
        <f>LN(1+I3)</f>
        <v>1.4975814088287866E-4</v>
      </c>
      <c r="K3" s="8"/>
    </row>
    <row r="4" spans="1:11" x14ac:dyDescent="0.25">
      <c r="A4" t="str">
        <f t="shared" si="0"/>
        <v>12020</v>
      </c>
      <c r="B4" s="1">
        <v>43836</v>
      </c>
      <c r="C4" s="21">
        <v>43836.645830000001</v>
      </c>
      <c r="D4" s="20">
        <v>1000</v>
      </c>
      <c r="E4" s="20">
        <v>1002</v>
      </c>
      <c r="F4" s="20">
        <v>1000</v>
      </c>
      <c r="G4" s="20">
        <v>1000.61</v>
      </c>
      <c r="H4" s="20">
        <v>35691</v>
      </c>
      <c r="I4" s="8">
        <f t="shared" ref="I4:I67" si="1">+G4/G3-1</f>
        <v>-1.0781778793839125E-3</v>
      </c>
      <c r="J4" s="8">
        <f t="shared" ref="J4:J67" si="2">LN(1+I4)</f>
        <v>-1.0787595312740956E-3</v>
      </c>
      <c r="K4" s="8"/>
    </row>
    <row r="5" spans="1:11" x14ac:dyDescent="0.25">
      <c r="A5" t="str">
        <f t="shared" si="0"/>
        <v>12020</v>
      </c>
      <c r="B5" s="1">
        <v>43837</v>
      </c>
      <c r="C5" s="21">
        <v>43837.645830000001</v>
      </c>
      <c r="D5" s="20">
        <v>1001.05</v>
      </c>
      <c r="E5" s="20">
        <v>1002.8</v>
      </c>
      <c r="F5" s="20">
        <v>1001.05</v>
      </c>
      <c r="G5" s="20">
        <v>1001.99</v>
      </c>
      <c r="H5" s="20">
        <v>13057</v>
      </c>
      <c r="I5" s="8">
        <f t="shared" si="1"/>
        <v>1.379158713185058E-3</v>
      </c>
      <c r="J5" s="8">
        <f t="shared" si="2"/>
        <v>1.3782085473263317E-3</v>
      </c>
      <c r="K5" s="8"/>
    </row>
    <row r="6" spans="1:11" x14ac:dyDescent="0.25">
      <c r="A6" t="str">
        <f t="shared" si="0"/>
        <v>12020</v>
      </c>
      <c r="B6" s="1">
        <v>43838</v>
      </c>
      <c r="C6" s="21">
        <v>43838.645830000001</v>
      </c>
      <c r="D6" s="20">
        <v>1002</v>
      </c>
      <c r="E6" s="20">
        <v>1002.98</v>
      </c>
      <c r="F6" s="20">
        <v>1001.51</v>
      </c>
      <c r="G6" s="20">
        <v>1002.71</v>
      </c>
      <c r="H6" s="20">
        <v>20287</v>
      </c>
      <c r="I6" s="8">
        <f t="shared" si="1"/>
        <v>7.1857004560915705E-4</v>
      </c>
      <c r="J6" s="8">
        <f t="shared" si="2"/>
        <v>7.1831199776350237E-4</v>
      </c>
      <c r="K6" s="8"/>
    </row>
    <row r="7" spans="1:11" x14ac:dyDescent="0.25">
      <c r="A7" t="str">
        <f t="shared" si="0"/>
        <v>12020</v>
      </c>
      <c r="B7" s="1">
        <v>43839</v>
      </c>
      <c r="C7" s="21">
        <v>43839.645830000001</v>
      </c>
      <c r="D7" s="20">
        <v>1002.71</v>
      </c>
      <c r="E7" s="20">
        <v>1004.19</v>
      </c>
      <c r="F7" s="20">
        <v>1002.02</v>
      </c>
      <c r="G7" s="20">
        <v>1003.29</v>
      </c>
      <c r="H7" s="20">
        <v>50657</v>
      </c>
      <c r="I7" s="8">
        <f t="shared" si="1"/>
        <v>5.7843244806576877E-4</v>
      </c>
      <c r="J7" s="8">
        <f t="shared" si="2"/>
        <v>5.7826522050074018E-4</v>
      </c>
      <c r="K7" s="8"/>
    </row>
    <row r="8" spans="1:11" x14ac:dyDescent="0.25">
      <c r="A8" t="str">
        <f t="shared" si="0"/>
        <v>12020</v>
      </c>
      <c r="B8" s="1">
        <v>43840</v>
      </c>
      <c r="C8" s="21">
        <v>43840.645830000001</v>
      </c>
      <c r="D8" s="20">
        <v>1002.6</v>
      </c>
      <c r="E8" s="20">
        <v>1003.95</v>
      </c>
      <c r="F8" s="20">
        <v>1000.75</v>
      </c>
      <c r="G8" s="20">
        <v>1003.05</v>
      </c>
      <c r="H8" s="20">
        <v>31714</v>
      </c>
      <c r="I8" s="8">
        <f t="shared" si="1"/>
        <v>-2.3921298926532497E-4</v>
      </c>
      <c r="J8" s="8">
        <f t="shared" si="2"/>
        <v>-2.3924160525607704E-4</v>
      </c>
      <c r="K8" s="8"/>
    </row>
    <row r="9" spans="1:11" x14ac:dyDescent="0.25">
      <c r="A9" t="str">
        <f t="shared" si="0"/>
        <v>12020</v>
      </c>
      <c r="B9" s="1">
        <v>43843</v>
      </c>
      <c r="C9" s="21">
        <v>43843.645830000001</v>
      </c>
      <c r="D9" s="20">
        <v>1003</v>
      </c>
      <c r="E9" s="20">
        <v>1003.33</v>
      </c>
      <c r="F9" s="20">
        <v>1002.5</v>
      </c>
      <c r="G9" s="20">
        <v>1002.58</v>
      </c>
      <c r="H9" s="20">
        <v>9361</v>
      </c>
      <c r="I9" s="8">
        <f t="shared" si="1"/>
        <v>-4.685708588803017E-4</v>
      </c>
      <c r="J9" s="8">
        <f t="shared" si="2"/>
        <v>-4.68680672510182E-4</v>
      </c>
      <c r="K9" s="8"/>
    </row>
    <row r="10" spans="1:11" x14ac:dyDescent="0.25">
      <c r="A10" t="str">
        <f t="shared" si="0"/>
        <v>12020</v>
      </c>
      <c r="B10" s="1">
        <v>43844</v>
      </c>
      <c r="C10" s="21">
        <v>43844.645830000001</v>
      </c>
      <c r="D10" s="20">
        <v>1002.79</v>
      </c>
      <c r="E10" s="20">
        <v>1002.79</v>
      </c>
      <c r="F10" s="20">
        <v>1001</v>
      </c>
      <c r="G10" s="20">
        <v>1001.41</v>
      </c>
      <c r="H10" s="20">
        <v>10945</v>
      </c>
      <c r="I10" s="8">
        <f t="shared" si="1"/>
        <v>-1.1669891679467748E-3</v>
      </c>
      <c r="J10" s="8">
        <f t="shared" si="2"/>
        <v>-1.167670630029998E-3</v>
      </c>
      <c r="K10" s="8"/>
    </row>
    <row r="11" spans="1:11" x14ac:dyDescent="0.25">
      <c r="A11" t="str">
        <f t="shared" si="0"/>
        <v>12020</v>
      </c>
      <c r="B11" s="1">
        <v>43845</v>
      </c>
      <c r="C11" s="21">
        <v>43845.645830000001</v>
      </c>
      <c r="D11" s="20">
        <v>1000</v>
      </c>
      <c r="E11" s="20">
        <v>1001.41</v>
      </c>
      <c r="F11" s="20">
        <v>999.01</v>
      </c>
      <c r="G11" s="20">
        <v>1000.68</v>
      </c>
      <c r="H11" s="20">
        <v>26339</v>
      </c>
      <c r="I11" s="8">
        <f t="shared" si="1"/>
        <v>-7.2897214926959109E-4</v>
      </c>
      <c r="J11" s="8">
        <f t="shared" si="2"/>
        <v>-7.2923797866279684E-4</v>
      </c>
      <c r="K11" s="8"/>
    </row>
    <row r="12" spans="1:11" x14ac:dyDescent="0.25">
      <c r="A12" t="str">
        <f t="shared" si="0"/>
        <v>12020</v>
      </c>
      <c r="B12" s="1">
        <v>43846</v>
      </c>
      <c r="C12" s="21">
        <v>43846.645830000001</v>
      </c>
      <c r="D12" s="20">
        <v>1000.68</v>
      </c>
      <c r="E12" s="20">
        <v>1001.14</v>
      </c>
      <c r="F12" s="20">
        <v>999.11</v>
      </c>
      <c r="G12" s="20">
        <v>1001</v>
      </c>
      <c r="H12" s="20">
        <v>55240</v>
      </c>
      <c r="I12" s="8">
        <f t="shared" si="1"/>
        <v>3.1978254786757532E-4</v>
      </c>
      <c r="J12" s="8">
        <f t="shared" si="2"/>
        <v>3.1973142832641602E-4</v>
      </c>
      <c r="K12" s="8"/>
    </row>
    <row r="13" spans="1:11" x14ac:dyDescent="0.25">
      <c r="A13" t="str">
        <f t="shared" si="0"/>
        <v>12020</v>
      </c>
      <c r="B13" s="1">
        <v>43847</v>
      </c>
      <c r="C13" s="21">
        <v>43847.645830000001</v>
      </c>
      <c r="D13" s="20">
        <v>1000.25</v>
      </c>
      <c r="E13" s="20">
        <v>1002.99</v>
      </c>
      <c r="F13" s="20">
        <v>1000.25</v>
      </c>
      <c r="G13" s="20">
        <v>1001.56</v>
      </c>
      <c r="H13" s="20">
        <v>3306</v>
      </c>
      <c r="I13" s="8">
        <f t="shared" si="1"/>
        <v>5.5944055944046056E-4</v>
      </c>
      <c r="J13" s="8">
        <f t="shared" si="2"/>
        <v>5.5928413090961112E-4</v>
      </c>
      <c r="K13" s="8"/>
    </row>
    <row r="14" spans="1:11" x14ac:dyDescent="0.25">
      <c r="A14" t="str">
        <f t="shared" si="0"/>
        <v>12020</v>
      </c>
      <c r="B14" s="1">
        <v>43850</v>
      </c>
      <c r="C14" s="21">
        <v>43850.645830000001</v>
      </c>
      <c r="D14" s="20">
        <v>1001.6</v>
      </c>
      <c r="E14" s="20">
        <v>1003</v>
      </c>
      <c r="F14" s="20">
        <v>1001.6</v>
      </c>
      <c r="G14" s="20">
        <v>1002.91</v>
      </c>
      <c r="H14" s="20">
        <v>43371</v>
      </c>
      <c r="I14" s="8">
        <f t="shared" si="1"/>
        <v>1.3478972802427602E-3</v>
      </c>
      <c r="J14" s="8">
        <f t="shared" si="2"/>
        <v>1.3469896821781502E-3</v>
      </c>
      <c r="K14" s="8"/>
    </row>
    <row r="15" spans="1:11" x14ac:dyDescent="0.25">
      <c r="A15" t="str">
        <f t="shared" si="0"/>
        <v>12020</v>
      </c>
      <c r="B15" s="1">
        <v>43851</v>
      </c>
      <c r="C15" s="21">
        <v>43851.645830000001</v>
      </c>
      <c r="D15" s="20">
        <v>1003</v>
      </c>
      <c r="E15" s="20">
        <v>1003.68</v>
      </c>
      <c r="F15" s="20">
        <v>1002</v>
      </c>
      <c r="G15" s="20">
        <v>1003.03</v>
      </c>
      <c r="H15" s="20">
        <v>7600</v>
      </c>
      <c r="I15" s="8">
        <f t="shared" si="1"/>
        <v>1.1965181322359797E-4</v>
      </c>
      <c r="J15" s="8">
        <f t="shared" si="2"/>
        <v>1.1964465551634353E-4</v>
      </c>
      <c r="K15" s="8"/>
    </row>
    <row r="16" spans="1:11" x14ac:dyDescent="0.25">
      <c r="A16" t="str">
        <f t="shared" si="0"/>
        <v>12020</v>
      </c>
      <c r="B16" s="1">
        <v>43852</v>
      </c>
      <c r="C16" s="21">
        <v>43852.645830000001</v>
      </c>
      <c r="D16" s="20">
        <v>1002.1</v>
      </c>
      <c r="E16" s="20">
        <v>1003.95</v>
      </c>
      <c r="F16" s="20">
        <v>1002.1</v>
      </c>
      <c r="G16" s="20">
        <v>1003.24</v>
      </c>
      <c r="H16" s="20">
        <v>24121</v>
      </c>
      <c r="I16" s="8">
        <f t="shared" si="1"/>
        <v>2.0936562216489207E-4</v>
      </c>
      <c r="J16" s="8">
        <f t="shared" si="2"/>
        <v>2.0934370824164791E-4</v>
      </c>
      <c r="K16" s="8"/>
    </row>
    <row r="17" spans="1:11" x14ac:dyDescent="0.25">
      <c r="A17" t="str">
        <f t="shared" si="0"/>
        <v>12020</v>
      </c>
      <c r="B17" s="1">
        <v>43853</v>
      </c>
      <c r="C17" s="21">
        <v>43853.645830000001</v>
      </c>
      <c r="D17" s="20">
        <v>1002</v>
      </c>
      <c r="E17" s="20">
        <v>1005.49</v>
      </c>
      <c r="F17" s="20">
        <v>1002</v>
      </c>
      <c r="G17" s="20">
        <v>1005</v>
      </c>
      <c r="H17" s="20">
        <v>34660</v>
      </c>
      <c r="I17" s="8">
        <f t="shared" si="1"/>
        <v>1.7543160161077598E-3</v>
      </c>
      <c r="J17" s="8">
        <f t="shared" si="2"/>
        <v>1.7527790011097073E-3</v>
      </c>
      <c r="K17" s="8"/>
    </row>
    <row r="18" spans="1:11" x14ac:dyDescent="0.25">
      <c r="A18" t="str">
        <f t="shared" si="0"/>
        <v>12020</v>
      </c>
      <c r="B18" s="1">
        <v>43854</v>
      </c>
      <c r="C18" s="21">
        <v>43854.645830000001</v>
      </c>
      <c r="D18" s="20">
        <v>1004.5</v>
      </c>
      <c r="E18" s="20">
        <v>1006.95</v>
      </c>
      <c r="F18" s="20">
        <v>1004.5</v>
      </c>
      <c r="G18" s="20">
        <v>1005.65</v>
      </c>
      <c r="H18" s="20">
        <v>50217</v>
      </c>
      <c r="I18" s="8">
        <f t="shared" si="1"/>
        <v>6.4676616915426699E-4</v>
      </c>
      <c r="J18" s="8">
        <f t="shared" si="2"/>
        <v>6.4655710605392267E-4</v>
      </c>
      <c r="K18" s="8"/>
    </row>
    <row r="19" spans="1:11" x14ac:dyDescent="0.25">
      <c r="A19" t="str">
        <f t="shared" si="0"/>
        <v>12020</v>
      </c>
      <c r="B19" s="1">
        <v>43857</v>
      </c>
      <c r="C19" s="21">
        <v>43857.645830000001</v>
      </c>
      <c r="D19" s="20">
        <v>1005.75</v>
      </c>
      <c r="E19" s="20">
        <v>1006.9</v>
      </c>
      <c r="F19" s="20">
        <v>1005</v>
      </c>
      <c r="G19" s="20">
        <v>1006.29</v>
      </c>
      <c r="H19" s="20">
        <v>5975</v>
      </c>
      <c r="I19" s="8">
        <f t="shared" si="1"/>
        <v>6.364043156168453E-4</v>
      </c>
      <c r="J19" s="8">
        <f t="shared" si="2"/>
        <v>6.3620189626618993E-4</v>
      </c>
      <c r="K19" s="8"/>
    </row>
    <row r="20" spans="1:11" x14ac:dyDescent="0.25">
      <c r="A20" t="str">
        <f t="shared" si="0"/>
        <v>12020</v>
      </c>
      <c r="B20" s="1">
        <v>43858</v>
      </c>
      <c r="C20" s="21">
        <v>43858.645830000001</v>
      </c>
      <c r="D20" s="20">
        <v>1006.05</v>
      </c>
      <c r="E20" s="20">
        <v>1006.37</v>
      </c>
      <c r="F20" s="20">
        <v>1004</v>
      </c>
      <c r="G20" s="20">
        <v>1005.92</v>
      </c>
      <c r="H20" s="20">
        <v>24818</v>
      </c>
      <c r="I20" s="8">
        <f t="shared" si="1"/>
        <v>-3.6768724721503165E-4</v>
      </c>
      <c r="J20" s="8">
        <f t="shared" si="2"/>
        <v>-3.6775486074517704E-4</v>
      </c>
      <c r="K20" s="8"/>
    </row>
    <row r="21" spans="1:11" x14ac:dyDescent="0.25">
      <c r="A21" t="str">
        <f t="shared" si="0"/>
        <v>12020</v>
      </c>
      <c r="B21" s="1">
        <v>43859</v>
      </c>
      <c r="C21" s="21">
        <v>43859.645830000001</v>
      </c>
      <c r="D21" s="20">
        <v>1005.02</v>
      </c>
      <c r="E21" s="20">
        <v>1006.84</v>
      </c>
      <c r="F21" s="20">
        <v>1005.02</v>
      </c>
      <c r="G21" s="20">
        <v>1006</v>
      </c>
      <c r="H21" s="20">
        <v>18598</v>
      </c>
      <c r="I21" s="8">
        <f t="shared" si="1"/>
        <v>7.9529187211768715E-5</v>
      </c>
      <c r="J21" s="8">
        <f t="shared" si="2"/>
        <v>7.9526024933620595E-5</v>
      </c>
      <c r="K21" s="8"/>
    </row>
    <row r="22" spans="1:11" x14ac:dyDescent="0.25">
      <c r="A22" t="str">
        <f t="shared" si="0"/>
        <v>12020</v>
      </c>
      <c r="B22" s="1">
        <v>43860</v>
      </c>
      <c r="C22" s="21">
        <v>43860.645830000001</v>
      </c>
      <c r="D22" s="20">
        <v>1006</v>
      </c>
      <c r="E22" s="20">
        <v>1006</v>
      </c>
      <c r="F22" s="20">
        <v>1004.35</v>
      </c>
      <c r="G22" s="20">
        <v>1004.41</v>
      </c>
      <c r="H22" s="20">
        <v>25107</v>
      </c>
      <c r="I22" s="8">
        <f t="shared" si="1"/>
        <v>-1.5805168986083862E-3</v>
      </c>
      <c r="J22" s="8">
        <f t="shared" si="2"/>
        <v>-1.5817672330652724E-3</v>
      </c>
      <c r="K22" s="8"/>
    </row>
    <row r="23" spans="1:11" x14ac:dyDescent="0.25">
      <c r="A23" t="str">
        <f t="shared" si="0"/>
        <v>12020</v>
      </c>
      <c r="B23" s="1">
        <v>43861</v>
      </c>
      <c r="C23" s="21">
        <v>43861.645830000001</v>
      </c>
      <c r="D23" s="20">
        <v>1004.06</v>
      </c>
      <c r="E23" s="20">
        <v>1004.99</v>
      </c>
      <c r="F23" s="20">
        <v>1003.75</v>
      </c>
      <c r="G23" s="20">
        <v>1003.99</v>
      </c>
      <c r="H23" s="20">
        <v>27004</v>
      </c>
      <c r="I23" s="8">
        <f t="shared" si="1"/>
        <v>-4.1815593233829329E-4</v>
      </c>
      <c r="J23" s="8">
        <f t="shared" si="2"/>
        <v>-4.1824338390994686E-4</v>
      </c>
      <c r="K23" s="8"/>
    </row>
    <row r="24" spans="1:11" x14ac:dyDescent="0.25">
      <c r="A24" t="str">
        <f t="shared" si="0"/>
        <v>22020</v>
      </c>
      <c r="B24" s="1">
        <v>43862</v>
      </c>
      <c r="C24" s="21">
        <v>43862.708330000001</v>
      </c>
      <c r="D24" s="20">
        <v>1005</v>
      </c>
      <c r="E24" s="20">
        <v>1010</v>
      </c>
      <c r="F24" s="20">
        <v>1002</v>
      </c>
      <c r="G24" s="20">
        <v>1002.25</v>
      </c>
      <c r="H24" s="20">
        <v>5237</v>
      </c>
      <c r="I24" s="8">
        <f t="shared" si="1"/>
        <v>-1.7330849908864243E-3</v>
      </c>
      <c r="J24" s="8">
        <f t="shared" si="2"/>
        <v>-1.7345885200929626E-3</v>
      </c>
      <c r="K24" s="8"/>
    </row>
    <row r="25" spans="1:11" x14ac:dyDescent="0.25">
      <c r="A25" t="str">
        <f t="shared" si="0"/>
        <v>22020</v>
      </c>
      <c r="B25" s="1">
        <v>43864</v>
      </c>
      <c r="C25" s="21">
        <v>43864.645830000001</v>
      </c>
      <c r="D25" s="20">
        <v>1003.99</v>
      </c>
      <c r="E25" s="20">
        <v>1006</v>
      </c>
      <c r="F25" s="20">
        <v>1003.11</v>
      </c>
      <c r="G25" s="20">
        <v>1004.62</v>
      </c>
      <c r="H25" s="20">
        <v>2799</v>
      </c>
      <c r="I25" s="8">
        <f t="shared" si="1"/>
        <v>2.36467947118979E-3</v>
      </c>
      <c r="J25" s="8">
        <f t="shared" si="2"/>
        <v>2.3618880164201742E-3</v>
      </c>
      <c r="K25" s="8"/>
    </row>
    <row r="26" spans="1:11" x14ac:dyDescent="0.25">
      <c r="A26" t="str">
        <f t="shared" si="0"/>
        <v>22020</v>
      </c>
      <c r="B26" s="1">
        <v>43865</v>
      </c>
      <c r="C26" s="21">
        <v>43865.645830000001</v>
      </c>
      <c r="D26" s="20">
        <v>1004.5</v>
      </c>
      <c r="E26" s="20">
        <v>1008.75</v>
      </c>
      <c r="F26" s="20">
        <v>1004.5</v>
      </c>
      <c r="G26" s="20">
        <v>1008.04</v>
      </c>
      <c r="H26" s="20">
        <v>40885</v>
      </c>
      <c r="I26" s="8">
        <f t="shared" si="1"/>
        <v>3.4042722621487886E-3</v>
      </c>
      <c r="J26" s="8">
        <f t="shared" si="2"/>
        <v>3.3984908446286891E-3</v>
      </c>
      <c r="K26" s="8"/>
    </row>
    <row r="27" spans="1:11" x14ac:dyDescent="0.25">
      <c r="A27" t="str">
        <f t="shared" si="0"/>
        <v>22020</v>
      </c>
      <c r="B27" s="1">
        <v>43866</v>
      </c>
      <c r="C27" s="21">
        <v>43866.645830000001</v>
      </c>
      <c r="D27" s="20">
        <v>1006</v>
      </c>
      <c r="E27" s="20">
        <v>1009.87</v>
      </c>
      <c r="F27" s="20">
        <v>1006</v>
      </c>
      <c r="G27" s="20">
        <v>1008.24</v>
      </c>
      <c r="H27" s="20">
        <v>16563</v>
      </c>
      <c r="I27" s="8">
        <f t="shared" si="1"/>
        <v>1.984048252055004E-4</v>
      </c>
      <c r="J27" s="8">
        <f t="shared" si="2"/>
        <v>1.9838514557114789E-4</v>
      </c>
      <c r="K27" s="8"/>
    </row>
    <row r="28" spans="1:11" x14ac:dyDescent="0.25">
      <c r="A28" t="str">
        <f t="shared" si="0"/>
        <v>22020</v>
      </c>
      <c r="B28" s="1">
        <v>43867</v>
      </c>
      <c r="C28" s="21">
        <v>43867.645830000001</v>
      </c>
      <c r="D28" s="20">
        <v>1006</v>
      </c>
      <c r="E28" s="20">
        <v>1009.99</v>
      </c>
      <c r="F28" s="20">
        <v>1006</v>
      </c>
      <c r="G28" s="20">
        <v>1009.99</v>
      </c>
      <c r="H28" s="20">
        <v>15393</v>
      </c>
      <c r="I28" s="8">
        <f t="shared" si="1"/>
        <v>1.7356978497182762E-3</v>
      </c>
      <c r="J28" s="8">
        <f t="shared" si="2"/>
        <v>1.7341932669546415E-3</v>
      </c>
      <c r="K28" s="8"/>
    </row>
    <row r="29" spans="1:11" x14ac:dyDescent="0.25">
      <c r="A29" t="str">
        <f t="shared" si="0"/>
        <v>22020</v>
      </c>
      <c r="B29" s="1">
        <v>43868</v>
      </c>
      <c r="C29" s="21">
        <v>43868.645830000001</v>
      </c>
      <c r="D29" s="20">
        <v>1011</v>
      </c>
      <c r="E29" s="20">
        <v>1016.95</v>
      </c>
      <c r="F29" s="20">
        <v>1011</v>
      </c>
      <c r="G29" s="20">
        <v>1016.14</v>
      </c>
      <c r="H29" s="20">
        <v>24835</v>
      </c>
      <c r="I29" s="8">
        <f t="shared" si="1"/>
        <v>6.0891691996949326E-3</v>
      </c>
      <c r="J29" s="8">
        <f t="shared" si="2"/>
        <v>6.0707051249296934E-3</v>
      </c>
      <c r="K29" s="8"/>
    </row>
    <row r="30" spans="1:11" x14ac:dyDescent="0.25">
      <c r="A30" t="str">
        <f t="shared" si="0"/>
        <v>22020</v>
      </c>
      <c r="B30" s="1">
        <v>43871</v>
      </c>
      <c r="C30" s="21">
        <v>43871.645830000001</v>
      </c>
      <c r="D30" s="20">
        <v>1022</v>
      </c>
      <c r="E30" s="20">
        <v>1023.99</v>
      </c>
      <c r="F30" s="20">
        <v>1017.5</v>
      </c>
      <c r="G30" s="20">
        <v>1022.62</v>
      </c>
      <c r="H30" s="20">
        <v>59720</v>
      </c>
      <c r="I30" s="8">
        <f t="shared" si="1"/>
        <v>6.3770740252326874E-3</v>
      </c>
      <c r="J30" s="8">
        <f t="shared" si="2"/>
        <v>6.3568265229617081E-3</v>
      </c>
      <c r="K30" s="8"/>
    </row>
    <row r="31" spans="1:11" x14ac:dyDescent="0.25">
      <c r="A31" t="str">
        <f t="shared" si="0"/>
        <v>22020</v>
      </c>
      <c r="B31" s="1">
        <v>43872</v>
      </c>
      <c r="C31" s="21">
        <v>43872.645830000001</v>
      </c>
      <c r="D31" s="20">
        <v>1024.49</v>
      </c>
      <c r="E31" s="20">
        <v>1024.5</v>
      </c>
      <c r="F31" s="20">
        <v>1023.25</v>
      </c>
      <c r="G31" s="20">
        <v>1024.02</v>
      </c>
      <c r="H31" s="20">
        <v>12176</v>
      </c>
      <c r="I31" s="8">
        <f t="shared" si="1"/>
        <v>1.3690324851851621E-3</v>
      </c>
      <c r="J31" s="8">
        <f t="shared" si="2"/>
        <v>1.3680962146381938E-3</v>
      </c>
      <c r="K31" s="8"/>
    </row>
    <row r="32" spans="1:11" x14ac:dyDescent="0.25">
      <c r="A32" t="str">
        <f t="shared" si="0"/>
        <v>22020</v>
      </c>
      <c r="B32" s="1">
        <v>43873</v>
      </c>
      <c r="C32" s="21">
        <v>43873.645830000001</v>
      </c>
      <c r="D32" s="20">
        <v>1025</v>
      </c>
      <c r="E32" s="20">
        <v>1025</v>
      </c>
      <c r="F32" s="20">
        <v>1023.15</v>
      </c>
      <c r="G32" s="20">
        <v>1024.0899999999999</v>
      </c>
      <c r="H32" s="20">
        <v>5862</v>
      </c>
      <c r="I32" s="8">
        <f t="shared" si="1"/>
        <v>6.8358039881921684E-5</v>
      </c>
      <c r="J32" s="8">
        <f t="shared" si="2"/>
        <v>6.8355703577582946E-5</v>
      </c>
      <c r="K32" s="8"/>
    </row>
    <row r="33" spans="1:11" x14ac:dyDescent="0.25">
      <c r="A33" t="str">
        <f t="shared" si="0"/>
        <v>22020</v>
      </c>
      <c r="B33" s="1">
        <v>43874</v>
      </c>
      <c r="C33" s="21">
        <v>43874.645830000001</v>
      </c>
      <c r="D33" s="20">
        <v>1023.25</v>
      </c>
      <c r="E33" s="20">
        <v>1025.95</v>
      </c>
      <c r="F33" s="20">
        <v>1023.25</v>
      </c>
      <c r="G33" s="20">
        <v>1024.68</v>
      </c>
      <c r="H33" s="20">
        <v>7299</v>
      </c>
      <c r="I33" s="8">
        <f t="shared" si="1"/>
        <v>5.7612123934425163E-4</v>
      </c>
      <c r="J33" s="8">
        <f t="shared" si="2"/>
        <v>5.7595534521673536E-4</v>
      </c>
      <c r="K33" s="8"/>
    </row>
    <row r="34" spans="1:11" x14ac:dyDescent="0.25">
      <c r="A34" t="str">
        <f t="shared" si="0"/>
        <v>22020</v>
      </c>
      <c r="B34" s="1">
        <v>43875</v>
      </c>
      <c r="C34" s="21">
        <v>43875.645830000001</v>
      </c>
      <c r="D34" s="20">
        <v>1024.01</v>
      </c>
      <c r="E34" s="20">
        <v>1027.95</v>
      </c>
      <c r="F34" s="20">
        <v>1024.01</v>
      </c>
      <c r="G34" s="20">
        <v>1027.01</v>
      </c>
      <c r="H34" s="20">
        <v>14206</v>
      </c>
      <c r="I34" s="8">
        <f t="shared" si="1"/>
        <v>2.2738806261466404E-3</v>
      </c>
      <c r="J34" s="8">
        <f t="shared" si="2"/>
        <v>2.271299271982539E-3</v>
      </c>
      <c r="K34" s="8"/>
    </row>
    <row r="35" spans="1:11" x14ac:dyDescent="0.25">
      <c r="A35" t="str">
        <f t="shared" si="0"/>
        <v>22020</v>
      </c>
      <c r="B35" s="1">
        <v>43878</v>
      </c>
      <c r="C35" s="21">
        <v>43878.645830000001</v>
      </c>
      <c r="D35" s="20">
        <v>1027.01</v>
      </c>
      <c r="E35" s="20">
        <v>1032</v>
      </c>
      <c r="F35" s="20">
        <v>1027.01</v>
      </c>
      <c r="G35" s="20">
        <v>1030.96</v>
      </c>
      <c r="H35" s="20">
        <v>15676</v>
      </c>
      <c r="I35" s="8">
        <f t="shared" si="1"/>
        <v>3.8461163961402978E-3</v>
      </c>
      <c r="J35" s="8">
        <f t="shared" si="2"/>
        <v>3.838739000638078E-3</v>
      </c>
      <c r="K35" s="8"/>
    </row>
    <row r="36" spans="1:11" x14ac:dyDescent="0.25">
      <c r="A36" t="str">
        <f t="shared" si="0"/>
        <v>22020</v>
      </c>
      <c r="B36" s="1">
        <v>43879</v>
      </c>
      <c r="C36" s="21">
        <v>43879.645830000001</v>
      </c>
      <c r="D36" s="20">
        <v>1032</v>
      </c>
      <c r="E36" s="20">
        <v>1035.8399999999999</v>
      </c>
      <c r="F36" s="20">
        <v>1031.5</v>
      </c>
      <c r="G36" s="20">
        <v>1035.08</v>
      </c>
      <c r="H36" s="20">
        <v>30046</v>
      </c>
      <c r="I36" s="8">
        <f t="shared" si="1"/>
        <v>3.9962753162099407E-3</v>
      </c>
      <c r="J36" s="8">
        <f t="shared" si="2"/>
        <v>3.988311418243554E-3</v>
      </c>
      <c r="K36" s="8"/>
    </row>
    <row r="37" spans="1:11" x14ac:dyDescent="0.25">
      <c r="A37" t="str">
        <f t="shared" si="0"/>
        <v>22020</v>
      </c>
      <c r="B37" s="1">
        <v>43880</v>
      </c>
      <c r="C37" s="21">
        <v>43880.645830000001</v>
      </c>
      <c r="D37" s="20">
        <v>1034.97</v>
      </c>
      <c r="E37" s="20">
        <v>1035.95</v>
      </c>
      <c r="F37" s="20">
        <v>1033.05</v>
      </c>
      <c r="G37" s="20">
        <v>1034.05</v>
      </c>
      <c r="H37" s="20">
        <v>19662</v>
      </c>
      <c r="I37" s="8">
        <f t="shared" si="1"/>
        <v>-9.9509216678905776E-4</v>
      </c>
      <c r="J37" s="8">
        <f t="shared" si="2"/>
        <v>-9.9558759969413119E-4</v>
      </c>
      <c r="K37" s="8"/>
    </row>
    <row r="38" spans="1:11" x14ac:dyDescent="0.25">
      <c r="A38" t="str">
        <f t="shared" si="0"/>
        <v>22020</v>
      </c>
      <c r="B38" s="1">
        <v>43881</v>
      </c>
      <c r="C38" s="21">
        <v>43881.645830000001</v>
      </c>
      <c r="D38" s="20">
        <v>1034.0999999999999</v>
      </c>
      <c r="E38" s="20">
        <v>1035</v>
      </c>
      <c r="F38" s="20">
        <v>1033.1500000000001</v>
      </c>
      <c r="G38" s="20">
        <v>1034.18</v>
      </c>
      <c r="H38" s="20">
        <v>14597</v>
      </c>
      <c r="I38" s="8">
        <f t="shared" si="1"/>
        <v>1.2571925922344462E-4</v>
      </c>
      <c r="J38" s="8">
        <f t="shared" si="2"/>
        <v>1.257113572196572E-4</v>
      </c>
      <c r="K38" s="8"/>
    </row>
    <row r="39" spans="1:11" x14ac:dyDescent="0.25">
      <c r="A39" t="str">
        <f t="shared" si="0"/>
        <v>22020</v>
      </c>
      <c r="B39" s="1">
        <v>43885</v>
      </c>
      <c r="C39" s="21">
        <v>43885.645830000001</v>
      </c>
      <c r="D39" s="20">
        <v>1035</v>
      </c>
      <c r="E39" s="20">
        <v>1036.97</v>
      </c>
      <c r="F39" s="20">
        <v>1034.5</v>
      </c>
      <c r="G39" s="20">
        <v>1035.3</v>
      </c>
      <c r="H39" s="20">
        <v>37206</v>
      </c>
      <c r="I39" s="8">
        <f t="shared" si="1"/>
        <v>1.0829836198726905E-3</v>
      </c>
      <c r="J39" s="8">
        <f t="shared" si="2"/>
        <v>1.0823976161623528E-3</v>
      </c>
      <c r="K39" s="8"/>
    </row>
    <row r="40" spans="1:11" x14ac:dyDescent="0.25">
      <c r="A40" t="str">
        <f t="shared" si="0"/>
        <v>22020</v>
      </c>
      <c r="B40" s="1">
        <v>43886</v>
      </c>
      <c r="C40" s="21">
        <v>43886.645830000001</v>
      </c>
      <c r="D40" s="20">
        <v>1038</v>
      </c>
      <c r="E40" s="20">
        <v>1038</v>
      </c>
      <c r="F40" s="20">
        <v>1035.75</v>
      </c>
      <c r="G40" s="20">
        <v>1036</v>
      </c>
      <c r="H40" s="20">
        <v>7675</v>
      </c>
      <c r="I40" s="8">
        <f t="shared" si="1"/>
        <v>6.761325219744041E-4</v>
      </c>
      <c r="J40" s="8">
        <f t="shared" si="2"/>
        <v>6.7590404736104549E-4</v>
      </c>
      <c r="K40" s="8"/>
    </row>
    <row r="41" spans="1:11" x14ac:dyDescent="0.25">
      <c r="A41" t="str">
        <f t="shared" si="0"/>
        <v>22020</v>
      </c>
      <c r="B41" s="1">
        <v>43887</v>
      </c>
      <c r="C41" s="21">
        <v>43887.645830000001</v>
      </c>
      <c r="D41" s="20">
        <v>1036</v>
      </c>
      <c r="E41" s="20">
        <v>1038</v>
      </c>
      <c r="F41" s="20">
        <v>1036</v>
      </c>
      <c r="G41" s="20">
        <v>1036.99</v>
      </c>
      <c r="H41" s="20">
        <v>24861</v>
      </c>
      <c r="I41" s="8">
        <f t="shared" si="1"/>
        <v>9.555984555984498E-4</v>
      </c>
      <c r="J41" s="8">
        <f t="shared" si="2"/>
        <v>9.5514216206007572E-4</v>
      </c>
      <c r="K41" s="8"/>
    </row>
    <row r="42" spans="1:11" x14ac:dyDescent="0.25">
      <c r="A42" t="str">
        <f t="shared" si="0"/>
        <v>22020</v>
      </c>
      <c r="B42" s="1">
        <v>43888</v>
      </c>
      <c r="C42" s="21">
        <v>43888.645830000001</v>
      </c>
      <c r="D42" s="20">
        <v>1034.55</v>
      </c>
      <c r="E42" s="20">
        <v>1037</v>
      </c>
      <c r="F42" s="20">
        <v>1034.55</v>
      </c>
      <c r="G42" s="20">
        <v>1036.8</v>
      </c>
      <c r="H42" s="20">
        <v>2260</v>
      </c>
      <c r="I42" s="8">
        <f t="shared" si="1"/>
        <v>-1.8322259616776471E-4</v>
      </c>
      <c r="J42" s="8">
        <f t="shared" si="2"/>
        <v>-1.8323938347821232E-4</v>
      </c>
      <c r="K42" s="8"/>
    </row>
    <row r="43" spans="1:11" x14ac:dyDescent="0.25">
      <c r="A43" t="str">
        <f t="shared" si="0"/>
        <v>22020</v>
      </c>
      <c r="B43" s="1">
        <v>43889</v>
      </c>
      <c r="C43" s="21">
        <v>43889.645830000001</v>
      </c>
      <c r="D43" s="20">
        <v>1033</v>
      </c>
      <c r="E43" s="20">
        <v>1037.95</v>
      </c>
      <c r="F43" s="20">
        <v>1033</v>
      </c>
      <c r="G43" s="20">
        <v>1036.82</v>
      </c>
      <c r="H43" s="20">
        <v>10656</v>
      </c>
      <c r="I43" s="8">
        <f t="shared" si="1"/>
        <v>1.9290123456805475E-5</v>
      </c>
      <c r="J43" s="8">
        <f t="shared" si="2"/>
        <v>1.9289937404766624E-5</v>
      </c>
      <c r="K43" s="8"/>
    </row>
    <row r="44" spans="1:11" x14ac:dyDescent="0.25">
      <c r="A44" t="str">
        <f t="shared" si="0"/>
        <v>32020</v>
      </c>
      <c r="B44" s="1">
        <v>43892</v>
      </c>
      <c r="C44" s="21">
        <v>43892.645830000001</v>
      </c>
      <c r="D44" s="20">
        <v>1035.05</v>
      </c>
      <c r="E44" s="20">
        <v>1036.99</v>
      </c>
      <c r="F44" s="20">
        <v>1035.05</v>
      </c>
      <c r="G44" s="20">
        <v>1035.48</v>
      </c>
      <c r="H44" s="20">
        <v>8467</v>
      </c>
      <c r="I44" s="8">
        <f t="shared" si="1"/>
        <v>-1.292413340791998E-3</v>
      </c>
      <c r="J44" s="8">
        <f t="shared" si="2"/>
        <v>-1.2932492271985094E-3</v>
      </c>
      <c r="K44" s="8"/>
    </row>
    <row r="45" spans="1:11" x14ac:dyDescent="0.25">
      <c r="A45" t="str">
        <f t="shared" si="0"/>
        <v>32020</v>
      </c>
      <c r="B45" s="1">
        <v>43893</v>
      </c>
      <c r="C45" s="21">
        <v>43893.645830000001</v>
      </c>
      <c r="D45" s="20">
        <v>1035.5</v>
      </c>
      <c r="E45" s="20">
        <v>1036.98</v>
      </c>
      <c r="F45" s="20">
        <v>1034.76</v>
      </c>
      <c r="G45" s="20">
        <v>1035.4100000000001</v>
      </c>
      <c r="H45" s="20">
        <v>12320</v>
      </c>
      <c r="I45" s="8">
        <f t="shared" si="1"/>
        <v>-6.7601498821789896E-5</v>
      </c>
      <c r="J45" s="8">
        <f t="shared" si="2"/>
        <v>-6.7603783906095374E-5</v>
      </c>
      <c r="K45" s="8"/>
    </row>
    <row r="46" spans="1:11" x14ac:dyDescent="0.25">
      <c r="A46" t="str">
        <f t="shared" si="0"/>
        <v>32020</v>
      </c>
      <c r="B46" s="1">
        <v>43894</v>
      </c>
      <c r="C46" s="21">
        <v>43894.645830000001</v>
      </c>
      <c r="D46" s="20">
        <v>1035.5999999999999</v>
      </c>
      <c r="E46" s="20">
        <v>1042.8900000000001</v>
      </c>
      <c r="F46" s="20">
        <v>1035.5999999999999</v>
      </c>
      <c r="G46" s="20">
        <v>1041.43</v>
      </c>
      <c r="H46" s="20">
        <v>8255</v>
      </c>
      <c r="I46" s="8">
        <f t="shared" si="1"/>
        <v>5.8141219420326795E-3</v>
      </c>
      <c r="J46" s="8">
        <f t="shared" si="2"/>
        <v>5.7972851642518848E-3</v>
      </c>
      <c r="K46" s="8"/>
    </row>
    <row r="47" spans="1:11" x14ac:dyDescent="0.25">
      <c r="A47" t="str">
        <f t="shared" si="0"/>
        <v>32020</v>
      </c>
      <c r="B47" s="1">
        <v>43895</v>
      </c>
      <c r="C47" s="21">
        <v>43895.645830000001</v>
      </c>
      <c r="D47" s="20">
        <v>1041.43</v>
      </c>
      <c r="E47" s="20">
        <v>1043</v>
      </c>
      <c r="F47" s="20">
        <v>1040</v>
      </c>
      <c r="G47" s="20">
        <v>1042.28</v>
      </c>
      <c r="H47" s="20">
        <v>5228</v>
      </c>
      <c r="I47" s="8">
        <f t="shared" si="1"/>
        <v>8.1618543733119608E-4</v>
      </c>
      <c r="J47" s="8">
        <f t="shared" si="2"/>
        <v>8.1585253912260555E-4</v>
      </c>
      <c r="K47" s="8"/>
    </row>
    <row r="48" spans="1:11" x14ac:dyDescent="0.25">
      <c r="A48" t="str">
        <f t="shared" si="0"/>
        <v>32020</v>
      </c>
      <c r="B48" s="1">
        <v>43896</v>
      </c>
      <c r="C48" s="21">
        <v>43896.645830000001</v>
      </c>
      <c r="D48" s="20">
        <v>1043.5</v>
      </c>
      <c r="E48" s="20">
        <v>1047.4000000000001</v>
      </c>
      <c r="F48" s="20">
        <v>1041.2</v>
      </c>
      <c r="G48" s="20">
        <v>1045.26</v>
      </c>
      <c r="H48" s="20">
        <v>15740</v>
      </c>
      <c r="I48" s="8">
        <f t="shared" si="1"/>
        <v>2.8591165521740791E-3</v>
      </c>
      <c r="J48" s="8">
        <f t="shared" si="2"/>
        <v>2.8550370524382503E-3</v>
      </c>
      <c r="K48" s="8"/>
    </row>
    <row r="49" spans="1:11" x14ac:dyDescent="0.25">
      <c r="A49" t="str">
        <f t="shared" si="0"/>
        <v>32020</v>
      </c>
      <c r="B49" s="1">
        <v>43899</v>
      </c>
      <c r="C49" s="21">
        <v>43899.645830000001</v>
      </c>
      <c r="D49" s="20">
        <v>1050.5</v>
      </c>
      <c r="E49" s="20">
        <v>1050.5</v>
      </c>
      <c r="F49" s="20">
        <v>1045.55</v>
      </c>
      <c r="G49" s="20">
        <v>1046.75</v>
      </c>
      <c r="H49" s="20">
        <v>21105</v>
      </c>
      <c r="I49" s="8">
        <f t="shared" si="1"/>
        <v>1.4254826550332833E-3</v>
      </c>
      <c r="J49" s="8">
        <f t="shared" si="2"/>
        <v>1.4244676191296002E-3</v>
      </c>
      <c r="K49" s="8"/>
    </row>
    <row r="50" spans="1:11" x14ac:dyDescent="0.25">
      <c r="A50" t="str">
        <f t="shared" si="0"/>
        <v>32020</v>
      </c>
      <c r="B50" s="1">
        <v>43901</v>
      </c>
      <c r="C50" s="21">
        <v>43901.645830000001</v>
      </c>
      <c r="D50" s="20">
        <v>1045</v>
      </c>
      <c r="E50" s="20">
        <v>1050</v>
      </c>
      <c r="F50" s="20">
        <v>1044.05</v>
      </c>
      <c r="G50" s="20">
        <v>1048</v>
      </c>
      <c r="H50" s="20">
        <v>56432</v>
      </c>
      <c r="I50" s="8">
        <f t="shared" si="1"/>
        <v>1.1941724385000629E-3</v>
      </c>
      <c r="J50" s="8">
        <f t="shared" si="2"/>
        <v>1.1934599817347066E-3</v>
      </c>
      <c r="K50" s="8"/>
    </row>
    <row r="51" spans="1:11" x14ac:dyDescent="0.25">
      <c r="A51" t="str">
        <f t="shared" si="0"/>
        <v>32020</v>
      </c>
      <c r="B51" s="1">
        <v>43902</v>
      </c>
      <c r="C51" s="21">
        <v>43902.645830000001</v>
      </c>
      <c r="D51" s="20">
        <v>1044</v>
      </c>
      <c r="E51" s="20">
        <v>1047.49</v>
      </c>
      <c r="F51" s="20">
        <v>1040</v>
      </c>
      <c r="G51" s="20">
        <v>1044.8699999999999</v>
      </c>
      <c r="H51" s="20">
        <v>53695</v>
      </c>
      <c r="I51" s="8">
        <f t="shared" si="1"/>
        <v>-2.9866412213741533E-3</v>
      </c>
      <c r="J51" s="8">
        <f t="shared" si="2"/>
        <v>-2.9911101345116886E-3</v>
      </c>
      <c r="K51" s="8"/>
    </row>
    <row r="52" spans="1:11" x14ac:dyDescent="0.25">
      <c r="A52" t="str">
        <f t="shared" si="0"/>
        <v>32020</v>
      </c>
      <c r="B52" s="1">
        <v>43903</v>
      </c>
      <c r="C52" s="21">
        <v>43903.645830000001</v>
      </c>
      <c r="D52" s="20">
        <v>1040</v>
      </c>
      <c r="E52" s="20">
        <v>1040</v>
      </c>
      <c r="F52" s="20">
        <v>1001</v>
      </c>
      <c r="G52" s="20">
        <v>1028.08</v>
      </c>
      <c r="H52" s="20">
        <v>149481</v>
      </c>
      <c r="I52" s="8">
        <f t="shared" si="1"/>
        <v>-1.6068984658378471E-2</v>
      </c>
      <c r="J52" s="8">
        <f t="shared" si="2"/>
        <v>-1.6199490747590077E-2</v>
      </c>
      <c r="K52" s="8"/>
    </row>
    <row r="53" spans="1:11" x14ac:dyDescent="0.25">
      <c r="A53" t="str">
        <f t="shared" si="0"/>
        <v>32020</v>
      </c>
      <c r="B53" s="1">
        <v>43906</v>
      </c>
      <c r="C53" s="21">
        <v>43906.645830000001</v>
      </c>
      <c r="D53" s="20">
        <v>1022.5</v>
      </c>
      <c r="E53" s="20">
        <v>1033.5</v>
      </c>
      <c r="F53" s="20">
        <v>1022.5</v>
      </c>
      <c r="G53" s="20">
        <v>1033.4000000000001</v>
      </c>
      <c r="H53" s="20">
        <v>107014</v>
      </c>
      <c r="I53" s="8">
        <f t="shared" si="1"/>
        <v>5.1746945762978225E-3</v>
      </c>
      <c r="J53" s="8">
        <f t="shared" si="2"/>
        <v>5.1613518541987645E-3</v>
      </c>
      <c r="K53" s="8"/>
    </row>
    <row r="54" spans="1:11" x14ac:dyDescent="0.25">
      <c r="A54" t="str">
        <f t="shared" si="0"/>
        <v>32020</v>
      </c>
      <c r="B54" s="1">
        <v>43907</v>
      </c>
      <c r="C54" s="21">
        <v>43907.645830000001</v>
      </c>
      <c r="D54" s="20">
        <v>1018</v>
      </c>
      <c r="E54" s="20">
        <v>1029</v>
      </c>
      <c r="F54" s="20">
        <v>1018</v>
      </c>
      <c r="G54" s="20">
        <v>1028.99</v>
      </c>
      <c r="H54" s="20">
        <v>52191</v>
      </c>
      <c r="I54" s="8">
        <f t="shared" si="1"/>
        <v>-4.2674666150571694E-3</v>
      </c>
      <c r="J54" s="8">
        <f t="shared" si="2"/>
        <v>-4.2765982392399338E-3</v>
      </c>
      <c r="K54" s="8"/>
    </row>
    <row r="55" spans="1:11" x14ac:dyDescent="0.25">
      <c r="A55" t="str">
        <f t="shared" si="0"/>
        <v>32020</v>
      </c>
      <c r="B55" s="1">
        <v>43908</v>
      </c>
      <c r="C55" s="21">
        <v>43908.645830000001</v>
      </c>
      <c r="D55" s="20">
        <v>1022.95</v>
      </c>
      <c r="E55" s="20">
        <v>1023.98</v>
      </c>
      <c r="F55" s="20">
        <v>1012</v>
      </c>
      <c r="G55" s="20">
        <v>1015.81</v>
      </c>
      <c r="H55" s="20">
        <v>114178</v>
      </c>
      <c r="I55" s="8">
        <f t="shared" si="1"/>
        <v>-1.2808676469159175E-2</v>
      </c>
      <c r="J55" s="8">
        <f t="shared" si="2"/>
        <v>-1.289141483758581E-2</v>
      </c>
      <c r="K55" s="8"/>
    </row>
    <row r="56" spans="1:11" x14ac:dyDescent="0.25">
      <c r="A56" t="str">
        <f t="shared" si="0"/>
        <v>32020</v>
      </c>
      <c r="B56" s="1">
        <v>43909</v>
      </c>
      <c r="C56" s="21">
        <v>43909.645830000001</v>
      </c>
      <c r="D56" s="20">
        <v>1001</v>
      </c>
      <c r="E56" s="20">
        <v>1006</v>
      </c>
      <c r="F56" s="20">
        <v>996.4</v>
      </c>
      <c r="G56" s="20">
        <v>1000.86</v>
      </c>
      <c r="H56" s="20">
        <v>39397</v>
      </c>
      <c r="I56" s="8">
        <f t="shared" si="1"/>
        <v>-1.4717319183705557E-2</v>
      </c>
      <c r="J56" s="8">
        <f t="shared" si="2"/>
        <v>-1.4826693382239547E-2</v>
      </c>
      <c r="K56" s="8"/>
    </row>
    <row r="57" spans="1:11" x14ac:dyDescent="0.25">
      <c r="A57" t="str">
        <f t="shared" si="0"/>
        <v>32020</v>
      </c>
      <c r="B57" s="1">
        <v>43910</v>
      </c>
      <c r="C57" s="21">
        <v>43910.645830000001</v>
      </c>
      <c r="D57" s="20">
        <v>1000.86</v>
      </c>
      <c r="E57" s="20">
        <v>1001.98</v>
      </c>
      <c r="F57" s="20">
        <v>996.4</v>
      </c>
      <c r="G57" s="20">
        <v>1000.92</v>
      </c>
      <c r="H57" s="20">
        <v>53749</v>
      </c>
      <c r="I57" s="8">
        <f t="shared" si="1"/>
        <v>5.9948444337765139E-5</v>
      </c>
      <c r="J57" s="8">
        <f t="shared" si="2"/>
        <v>5.9946647501587211E-5</v>
      </c>
      <c r="K57" s="8"/>
    </row>
    <row r="58" spans="1:11" x14ac:dyDescent="0.25">
      <c r="A58" t="str">
        <f t="shared" si="0"/>
        <v>32020</v>
      </c>
      <c r="B58" s="1">
        <v>43913</v>
      </c>
      <c r="C58" s="21">
        <v>43913.645830000001</v>
      </c>
      <c r="D58" s="20">
        <v>1000</v>
      </c>
      <c r="E58" s="20">
        <v>1003.5</v>
      </c>
      <c r="F58" s="20">
        <v>991.1</v>
      </c>
      <c r="G58" s="20">
        <v>999.25</v>
      </c>
      <c r="H58" s="20">
        <v>36262</v>
      </c>
      <c r="I58" s="8">
        <f t="shared" si="1"/>
        <v>-1.6684650121887579E-3</v>
      </c>
      <c r="J58" s="8">
        <f t="shared" si="2"/>
        <v>-1.6698584500878207E-3</v>
      </c>
      <c r="K58" s="8"/>
    </row>
    <row r="59" spans="1:11" x14ac:dyDescent="0.25">
      <c r="A59" t="str">
        <f t="shared" si="0"/>
        <v>32020</v>
      </c>
      <c r="B59" s="1">
        <v>43914</v>
      </c>
      <c r="C59" s="21">
        <v>43914.645830000001</v>
      </c>
      <c r="D59" s="20">
        <v>1033</v>
      </c>
      <c r="E59" s="20">
        <v>1033</v>
      </c>
      <c r="F59" s="20">
        <v>996.5</v>
      </c>
      <c r="G59" s="20">
        <v>998.76</v>
      </c>
      <c r="H59" s="20">
        <v>30279</v>
      </c>
      <c r="I59" s="8">
        <f t="shared" si="1"/>
        <v>-4.9036777583189028E-4</v>
      </c>
      <c r="J59" s="8">
        <f t="shared" si="2"/>
        <v>-4.90488045428841E-4</v>
      </c>
      <c r="K59" s="8"/>
    </row>
    <row r="60" spans="1:11" x14ac:dyDescent="0.25">
      <c r="A60" t="str">
        <f t="shared" si="0"/>
        <v>32020</v>
      </c>
      <c r="B60" s="1">
        <v>43915</v>
      </c>
      <c r="C60" s="21">
        <v>43915.645830000001</v>
      </c>
      <c r="D60" s="20">
        <v>998</v>
      </c>
      <c r="E60" s="20">
        <v>1008.5</v>
      </c>
      <c r="F60" s="20">
        <v>995.06</v>
      </c>
      <c r="G60" s="20">
        <v>1005.84</v>
      </c>
      <c r="H60" s="20">
        <v>23968</v>
      </c>
      <c r="I60" s="8">
        <f t="shared" si="1"/>
        <v>7.0887900997236297E-3</v>
      </c>
      <c r="J60" s="8">
        <f t="shared" si="2"/>
        <v>7.0637827389216541E-3</v>
      </c>
      <c r="K60" s="8"/>
    </row>
    <row r="61" spans="1:11" x14ac:dyDescent="0.25">
      <c r="A61" t="str">
        <f t="shared" si="0"/>
        <v>32020</v>
      </c>
      <c r="B61" s="1">
        <v>43916</v>
      </c>
      <c r="C61" s="21">
        <v>43916.645830000001</v>
      </c>
      <c r="D61" s="20">
        <v>1001.2</v>
      </c>
      <c r="E61" s="20">
        <v>1009</v>
      </c>
      <c r="F61" s="20">
        <v>1001.2</v>
      </c>
      <c r="G61" s="20">
        <v>1005.02</v>
      </c>
      <c r="H61" s="20">
        <v>17744</v>
      </c>
      <c r="I61" s="8">
        <f t="shared" si="1"/>
        <v>-8.1523900421542894E-4</v>
      </c>
      <c r="J61" s="8">
        <f t="shared" si="2"/>
        <v>-8.1557149224951704E-4</v>
      </c>
      <c r="K61" s="8"/>
    </row>
    <row r="62" spans="1:11" x14ac:dyDescent="0.25">
      <c r="A62" t="str">
        <f t="shared" si="0"/>
        <v>32020</v>
      </c>
      <c r="B62" s="1">
        <v>43917</v>
      </c>
      <c r="C62" s="21">
        <v>43917.645830000001</v>
      </c>
      <c r="D62" s="20">
        <v>1011</v>
      </c>
      <c r="E62" s="20">
        <v>1028</v>
      </c>
      <c r="F62" s="20">
        <v>1011</v>
      </c>
      <c r="G62" s="20">
        <v>1023.99</v>
      </c>
      <c r="H62" s="20">
        <v>14615</v>
      </c>
      <c r="I62" s="8">
        <f t="shared" si="1"/>
        <v>1.8875246263756029E-2</v>
      </c>
      <c r="J62" s="8">
        <f t="shared" si="2"/>
        <v>1.8699319134092861E-2</v>
      </c>
      <c r="K62" s="8"/>
    </row>
    <row r="63" spans="1:11" x14ac:dyDescent="0.25">
      <c r="A63" t="str">
        <f t="shared" si="0"/>
        <v>32020</v>
      </c>
      <c r="B63" s="1">
        <v>43920</v>
      </c>
      <c r="C63" s="21">
        <v>43920.645830000001</v>
      </c>
      <c r="D63" s="20">
        <v>1031</v>
      </c>
      <c r="E63" s="20">
        <v>1043.25</v>
      </c>
      <c r="F63" s="20">
        <v>1031</v>
      </c>
      <c r="G63" s="20">
        <v>1040.6300000000001</v>
      </c>
      <c r="H63" s="20">
        <v>9112</v>
      </c>
      <c r="I63" s="8">
        <f t="shared" si="1"/>
        <v>1.6250158692955985E-2</v>
      </c>
      <c r="J63" s="8">
        <f t="shared" si="2"/>
        <v>1.6119538035301348E-2</v>
      </c>
      <c r="K63" s="8"/>
    </row>
    <row r="64" spans="1:11" x14ac:dyDescent="0.25">
      <c r="A64" t="str">
        <f t="shared" si="0"/>
        <v>32020</v>
      </c>
      <c r="B64" s="1">
        <v>43921</v>
      </c>
      <c r="C64" s="21">
        <v>43921.645830000001</v>
      </c>
      <c r="D64" s="20">
        <v>1041</v>
      </c>
      <c r="E64" s="20">
        <v>1045</v>
      </c>
      <c r="F64" s="20">
        <v>1038</v>
      </c>
      <c r="G64" s="20">
        <v>1041.3800000000001</v>
      </c>
      <c r="H64" s="20">
        <v>49271</v>
      </c>
      <c r="I64" s="8">
        <f t="shared" si="1"/>
        <v>7.2071725781497342E-4</v>
      </c>
      <c r="J64" s="8">
        <f t="shared" si="2"/>
        <v>7.2045766585290035E-4</v>
      </c>
      <c r="K64" s="8">
        <f>+H64/H2-1</f>
        <v>0.47637311599196952</v>
      </c>
    </row>
    <row r="65" spans="1:11" x14ac:dyDescent="0.25">
      <c r="A65" t="str">
        <f t="shared" si="0"/>
        <v>42020</v>
      </c>
      <c r="B65" s="1">
        <v>43922</v>
      </c>
      <c r="C65" s="21">
        <v>43922.645830000001</v>
      </c>
      <c r="D65" s="20">
        <v>1040</v>
      </c>
      <c r="E65" s="20">
        <v>1041</v>
      </c>
      <c r="F65" s="20">
        <v>1039.75</v>
      </c>
      <c r="G65" s="20">
        <v>1040.97</v>
      </c>
      <c r="H65" s="20">
        <v>6043</v>
      </c>
      <c r="I65" s="8">
        <f t="shared" si="1"/>
        <v>-3.937083485375803E-4</v>
      </c>
      <c r="J65" s="8">
        <f t="shared" si="2"/>
        <v>-3.9378587201786304E-4</v>
      </c>
      <c r="K65" s="8">
        <f t="shared" ref="K65:K128" si="3">+H65/H3-1</f>
        <v>-0.87784762790321602</v>
      </c>
    </row>
    <row r="66" spans="1:11" x14ac:dyDescent="0.25">
      <c r="A66" t="str">
        <f t="shared" si="0"/>
        <v>42020</v>
      </c>
      <c r="B66" s="1">
        <v>43924</v>
      </c>
      <c r="C66" s="21">
        <v>43924.645830000001</v>
      </c>
      <c r="D66" s="20">
        <v>1040</v>
      </c>
      <c r="E66" s="20">
        <v>1042</v>
      </c>
      <c r="F66" s="20">
        <v>1037</v>
      </c>
      <c r="G66" s="20">
        <v>1040.8</v>
      </c>
      <c r="H66" s="20">
        <v>2537</v>
      </c>
      <c r="I66" s="8">
        <f t="shared" si="1"/>
        <v>-1.6330922120721958E-4</v>
      </c>
      <c r="J66" s="8">
        <f t="shared" si="2"/>
        <v>-1.6332255761007672E-4</v>
      </c>
      <c r="K66" s="8">
        <f t="shared" si="3"/>
        <v>-0.92891765431061057</v>
      </c>
    </row>
    <row r="67" spans="1:11" x14ac:dyDescent="0.25">
      <c r="A67" t="str">
        <f t="shared" ref="A67:A130" si="4">+MONTH(B67)&amp;YEAR(B67)</f>
        <v>42020</v>
      </c>
      <c r="B67" s="1">
        <v>43928</v>
      </c>
      <c r="C67" s="21">
        <v>43928.645830000001</v>
      </c>
      <c r="D67" s="20">
        <v>1075</v>
      </c>
      <c r="E67" s="20">
        <v>1075</v>
      </c>
      <c r="F67" s="20">
        <v>1038</v>
      </c>
      <c r="G67" s="20">
        <v>1040.17</v>
      </c>
      <c r="H67" s="20">
        <v>251400</v>
      </c>
      <c r="I67" s="8">
        <f t="shared" si="1"/>
        <v>-6.0530361260557886E-4</v>
      </c>
      <c r="J67" s="8">
        <f t="shared" si="2"/>
        <v>-6.0548688279709988E-4</v>
      </c>
      <c r="K67" s="8">
        <f t="shared" si="3"/>
        <v>18.254039978555564</v>
      </c>
    </row>
    <row r="68" spans="1:11" x14ac:dyDescent="0.25">
      <c r="A68" t="str">
        <f t="shared" si="4"/>
        <v>42020</v>
      </c>
      <c r="B68" s="1">
        <v>43929</v>
      </c>
      <c r="C68" s="21">
        <v>43929.645830000001</v>
      </c>
      <c r="D68" s="20">
        <v>1040</v>
      </c>
      <c r="E68" s="20">
        <v>1040</v>
      </c>
      <c r="F68" s="20">
        <v>1033</v>
      </c>
      <c r="G68" s="20">
        <v>1034.1300000000001</v>
      </c>
      <c r="H68" s="20">
        <v>11974</v>
      </c>
      <c r="I68" s="8">
        <f t="shared" ref="I68:I131" si="5">+G68/G67-1</f>
        <v>-5.8067431285270255E-3</v>
      </c>
      <c r="J68" s="8">
        <f t="shared" ref="J68:J131" si="6">LN(1+I68)</f>
        <v>-5.8236678114005217E-3</v>
      </c>
      <c r="K68" s="8">
        <f t="shared" si="3"/>
        <v>-0.4097698033223246</v>
      </c>
    </row>
    <row r="69" spans="1:11" x14ac:dyDescent="0.25">
      <c r="A69" t="str">
        <f t="shared" si="4"/>
        <v>42020</v>
      </c>
      <c r="B69" s="1">
        <v>43930</v>
      </c>
      <c r="C69" s="21">
        <v>43930.645830000001</v>
      </c>
      <c r="D69" s="20">
        <v>1034</v>
      </c>
      <c r="E69" s="20">
        <v>1035</v>
      </c>
      <c r="F69" s="20">
        <v>1029</v>
      </c>
      <c r="G69" s="20">
        <v>1030</v>
      </c>
      <c r="H69" s="20">
        <v>44540</v>
      </c>
      <c r="I69" s="8">
        <f t="shared" si="5"/>
        <v>-3.9936951833909884E-3</v>
      </c>
      <c r="J69" s="8">
        <f t="shared" si="6"/>
        <v>-4.0016912804164096E-3</v>
      </c>
      <c r="K69" s="8">
        <f t="shared" si="3"/>
        <v>-0.12075330161675579</v>
      </c>
    </row>
    <row r="70" spans="1:11" x14ac:dyDescent="0.25">
      <c r="A70" t="str">
        <f t="shared" si="4"/>
        <v>42020</v>
      </c>
      <c r="B70" s="1">
        <v>43934</v>
      </c>
      <c r="C70" s="21">
        <v>43934.645830000001</v>
      </c>
      <c r="D70" s="20">
        <v>1035</v>
      </c>
      <c r="E70" s="20">
        <v>1035</v>
      </c>
      <c r="F70" s="20">
        <v>1027</v>
      </c>
      <c r="G70" s="20">
        <v>1027.93</v>
      </c>
      <c r="H70" s="20">
        <v>23413</v>
      </c>
      <c r="I70" s="8">
        <f t="shared" si="5"/>
        <v>-2.0097087378639911E-3</v>
      </c>
      <c r="J70" s="8">
        <f t="shared" si="6"/>
        <v>-2.0117309122447621E-3</v>
      </c>
      <c r="K70" s="8">
        <f t="shared" si="3"/>
        <v>-0.26174560131172353</v>
      </c>
    </row>
    <row r="71" spans="1:11" x14ac:dyDescent="0.25">
      <c r="A71" t="str">
        <f t="shared" si="4"/>
        <v>42020</v>
      </c>
      <c r="B71" s="1">
        <v>43936</v>
      </c>
      <c r="C71" s="21">
        <v>43936.645830000001</v>
      </c>
      <c r="D71" s="20">
        <v>1028</v>
      </c>
      <c r="E71" s="20">
        <v>1030</v>
      </c>
      <c r="F71" s="20">
        <v>1025.55</v>
      </c>
      <c r="G71" s="20">
        <v>1028.82</v>
      </c>
      <c r="H71" s="20">
        <v>266326</v>
      </c>
      <c r="I71" s="8">
        <f t="shared" si="5"/>
        <v>8.6581771132254737E-4</v>
      </c>
      <c r="J71" s="8">
        <f t="shared" si="6"/>
        <v>8.6544310737815349E-4</v>
      </c>
      <c r="K71" s="8">
        <f t="shared" si="3"/>
        <v>27.450592885375492</v>
      </c>
    </row>
    <row r="72" spans="1:11" x14ac:dyDescent="0.25">
      <c r="A72" t="str">
        <f t="shared" si="4"/>
        <v>42020</v>
      </c>
      <c r="B72" s="1">
        <v>43937</v>
      </c>
      <c r="C72" s="21">
        <v>43937.645830000001</v>
      </c>
      <c r="D72" s="20">
        <v>1029</v>
      </c>
      <c r="E72" s="20">
        <v>1032.48</v>
      </c>
      <c r="F72" s="20">
        <v>1029</v>
      </c>
      <c r="G72" s="20">
        <v>1030.2</v>
      </c>
      <c r="H72" s="20">
        <v>15641</v>
      </c>
      <c r="I72" s="8">
        <f t="shared" si="5"/>
        <v>1.3413425088937281E-3</v>
      </c>
      <c r="J72" s="8">
        <f t="shared" si="6"/>
        <v>1.3404437126699246E-3</v>
      </c>
      <c r="K72" s="8">
        <f t="shared" si="3"/>
        <v>0.42905436272270436</v>
      </c>
    </row>
    <row r="73" spans="1:11" x14ac:dyDescent="0.25">
      <c r="A73" t="str">
        <f t="shared" si="4"/>
        <v>42020</v>
      </c>
      <c r="B73" s="1">
        <v>43938</v>
      </c>
      <c r="C73" s="21">
        <v>43938.645830000001</v>
      </c>
      <c r="D73" s="20">
        <v>1031.05</v>
      </c>
      <c r="E73" s="20">
        <v>1036.95</v>
      </c>
      <c r="F73" s="20">
        <v>1030</v>
      </c>
      <c r="G73" s="20">
        <v>1031.47</v>
      </c>
      <c r="H73" s="20">
        <v>24760</v>
      </c>
      <c r="I73" s="8">
        <f t="shared" si="5"/>
        <v>1.232770335857003E-3</v>
      </c>
      <c r="J73" s="8">
        <f t="shared" si="6"/>
        <v>1.2320110984193862E-3</v>
      </c>
      <c r="K73" s="8">
        <f t="shared" si="3"/>
        <v>-5.9949124871862991E-2</v>
      </c>
    </row>
    <row r="74" spans="1:11" x14ac:dyDescent="0.25">
      <c r="A74" t="str">
        <f t="shared" si="4"/>
        <v>42020</v>
      </c>
      <c r="B74" s="1">
        <v>43941</v>
      </c>
      <c r="C74" s="21">
        <v>43941.645830000001</v>
      </c>
      <c r="D74" s="20">
        <v>1030</v>
      </c>
      <c r="E74" s="20">
        <v>1050</v>
      </c>
      <c r="F74" s="20">
        <v>1030</v>
      </c>
      <c r="G74" s="20">
        <v>1040.43</v>
      </c>
      <c r="H74" s="20">
        <v>12570</v>
      </c>
      <c r="I74" s="8">
        <f t="shared" si="5"/>
        <v>8.6866317003888582E-3</v>
      </c>
      <c r="J74" s="8">
        <f t="shared" si="6"/>
        <v>8.649119992306914E-3</v>
      </c>
      <c r="K74" s="8">
        <f t="shared" si="3"/>
        <v>-0.77244750181028243</v>
      </c>
    </row>
    <row r="75" spans="1:11" x14ac:dyDescent="0.25">
      <c r="A75" t="str">
        <f t="shared" si="4"/>
        <v>42020</v>
      </c>
      <c r="B75" s="1">
        <v>43942</v>
      </c>
      <c r="C75" s="21">
        <v>43942.645830000001</v>
      </c>
      <c r="D75" s="20">
        <v>1040.05</v>
      </c>
      <c r="E75" s="20">
        <v>1043</v>
      </c>
      <c r="F75" s="20">
        <v>1037</v>
      </c>
      <c r="G75" s="20">
        <v>1037.3900000000001</v>
      </c>
      <c r="H75" s="20">
        <v>22702</v>
      </c>
      <c r="I75" s="8">
        <f t="shared" si="5"/>
        <v>-2.9218688426899675E-3</v>
      </c>
      <c r="J75" s="8">
        <f t="shared" si="6"/>
        <v>-2.9261458346950871E-3</v>
      </c>
      <c r="K75" s="8">
        <f t="shared" si="3"/>
        <v>5.8669086509376891</v>
      </c>
    </row>
    <row r="76" spans="1:11" x14ac:dyDescent="0.25">
      <c r="A76" t="str">
        <f t="shared" si="4"/>
        <v>42020</v>
      </c>
      <c r="B76" s="1">
        <v>43943</v>
      </c>
      <c r="C76" s="21">
        <v>43943.645830000001</v>
      </c>
      <c r="D76" s="20">
        <v>1040.1500000000001</v>
      </c>
      <c r="E76" s="20">
        <v>1044</v>
      </c>
      <c r="F76" s="20">
        <v>1039.95</v>
      </c>
      <c r="G76" s="20">
        <v>1041.99</v>
      </c>
      <c r="H76" s="20">
        <v>35114</v>
      </c>
      <c r="I76" s="8">
        <f t="shared" si="5"/>
        <v>4.4342050723449322E-3</v>
      </c>
      <c r="J76" s="8">
        <f t="shared" si="6"/>
        <v>4.4244029507625911E-3</v>
      </c>
      <c r="K76" s="8">
        <f t="shared" si="3"/>
        <v>-0.19038066911069607</v>
      </c>
    </row>
    <row r="77" spans="1:11" x14ac:dyDescent="0.25">
      <c r="A77" t="str">
        <f t="shared" si="4"/>
        <v>42020</v>
      </c>
      <c r="B77" s="1">
        <v>43944</v>
      </c>
      <c r="C77" s="21">
        <v>43944.645830000001</v>
      </c>
      <c r="D77" s="20">
        <v>1041.5</v>
      </c>
      <c r="E77" s="20">
        <v>1049</v>
      </c>
      <c r="F77" s="20">
        <v>1041.4000000000001</v>
      </c>
      <c r="G77" s="20">
        <v>1046.71</v>
      </c>
      <c r="H77" s="20">
        <v>40257</v>
      </c>
      <c r="I77" s="8">
        <f t="shared" si="5"/>
        <v>4.529793951957295E-3</v>
      </c>
      <c r="J77" s="8">
        <f t="shared" si="6"/>
        <v>4.5195653127869228E-3</v>
      </c>
      <c r="K77" s="8">
        <f t="shared" si="3"/>
        <v>4.2969736842105259</v>
      </c>
    </row>
    <row r="78" spans="1:11" x14ac:dyDescent="0.25">
      <c r="A78" t="str">
        <f t="shared" si="4"/>
        <v>42020</v>
      </c>
      <c r="B78" s="1">
        <v>43945</v>
      </c>
      <c r="C78" s="21">
        <v>43945.645830000001</v>
      </c>
      <c r="D78" s="20">
        <v>1045.05</v>
      </c>
      <c r="E78" s="20">
        <v>1051.8</v>
      </c>
      <c r="F78" s="20">
        <v>1045.05</v>
      </c>
      <c r="G78" s="20">
        <v>1050.74</v>
      </c>
      <c r="H78" s="20">
        <v>45186</v>
      </c>
      <c r="I78" s="8">
        <f t="shared" si="5"/>
        <v>3.8501590698474253E-3</v>
      </c>
      <c r="J78" s="8">
        <f t="shared" si="6"/>
        <v>3.8427661772150678E-3</v>
      </c>
      <c r="K78" s="8">
        <f t="shared" si="3"/>
        <v>0.87330541851498689</v>
      </c>
    </row>
    <row r="79" spans="1:11" x14ac:dyDescent="0.25">
      <c r="A79" t="str">
        <f t="shared" si="4"/>
        <v>42020</v>
      </c>
      <c r="B79" s="1">
        <v>43948</v>
      </c>
      <c r="C79" s="21">
        <v>43948.645830000001</v>
      </c>
      <c r="D79" s="20">
        <v>1052</v>
      </c>
      <c r="E79" s="20">
        <v>1052</v>
      </c>
      <c r="F79" s="20">
        <v>1045.05</v>
      </c>
      <c r="G79" s="20">
        <v>1050.33</v>
      </c>
      <c r="H79" s="20">
        <v>12353</v>
      </c>
      <c r="I79" s="8">
        <f t="shared" si="5"/>
        <v>-3.9020119154131727E-4</v>
      </c>
      <c r="J79" s="8">
        <f t="shared" si="6"/>
        <v>-3.9027733983567177E-4</v>
      </c>
      <c r="K79" s="8">
        <f t="shared" si="3"/>
        <v>-0.64359492210040392</v>
      </c>
    </row>
    <row r="80" spans="1:11" x14ac:dyDescent="0.25">
      <c r="A80" t="str">
        <f t="shared" si="4"/>
        <v>42020</v>
      </c>
      <c r="B80" s="1">
        <v>43949</v>
      </c>
      <c r="C80" s="21">
        <v>43949.645830000001</v>
      </c>
      <c r="D80" s="20">
        <v>1050</v>
      </c>
      <c r="E80" s="20">
        <v>1052.8900000000001</v>
      </c>
      <c r="F80" s="20">
        <v>1047.25</v>
      </c>
      <c r="G80" s="20">
        <v>1048.04</v>
      </c>
      <c r="H80" s="20">
        <v>89372</v>
      </c>
      <c r="I80" s="8">
        <f t="shared" si="5"/>
        <v>-2.1802671541324425E-3</v>
      </c>
      <c r="J80" s="8">
        <f t="shared" si="6"/>
        <v>-2.1826473969035485E-3</v>
      </c>
      <c r="K80" s="8">
        <f t="shared" si="3"/>
        <v>0.77971603241930021</v>
      </c>
    </row>
    <row r="81" spans="1:11" x14ac:dyDescent="0.25">
      <c r="A81" t="str">
        <f t="shared" si="4"/>
        <v>42020</v>
      </c>
      <c r="B81" s="1">
        <v>43950</v>
      </c>
      <c r="C81" s="21">
        <v>43950.645830000001</v>
      </c>
      <c r="D81" s="20">
        <v>1048.04</v>
      </c>
      <c r="E81" s="20">
        <v>1052</v>
      </c>
      <c r="F81" s="20">
        <v>1046.05</v>
      </c>
      <c r="G81" s="20">
        <v>1049.07</v>
      </c>
      <c r="H81" s="20">
        <v>65076</v>
      </c>
      <c r="I81" s="8">
        <f t="shared" si="5"/>
        <v>9.827869165299763E-4</v>
      </c>
      <c r="J81" s="8">
        <f t="shared" si="6"/>
        <v>9.8230429765012203E-4</v>
      </c>
      <c r="K81" s="8">
        <f t="shared" si="3"/>
        <v>9.8913807531380762</v>
      </c>
    </row>
    <row r="82" spans="1:11" x14ac:dyDescent="0.25">
      <c r="A82" t="str">
        <f t="shared" si="4"/>
        <v>42020</v>
      </c>
      <c r="B82" s="1">
        <v>43951</v>
      </c>
      <c r="C82" s="21">
        <v>43951.645830000001</v>
      </c>
      <c r="D82" s="20">
        <v>1049.5</v>
      </c>
      <c r="E82" s="20">
        <v>1053</v>
      </c>
      <c r="F82" s="20">
        <v>1048.5999999999999</v>
      </c>
      <c r="G82" s="20">
        <v>1051.6199999999999</v>
      </c>
      <c r="H82" s="20">
        <v>33209</v>
      </c>
      <c r="I82" s="8">
        <f t="shared" si="5"/>
        <v>2.4307243558578939E-3</v>
      </c>
      <c r="J82" s="8">
        <f t="shared" si="6"/>
        <v>2.4277749239479149E-3</v>
      </c>
      <c r="K82" s="8">
        <f t="shared" si="3"/>
        <v>0.33810137803207341</v>
      </c>
    </row>
    <row r="83" spans="1:11" x14ac:dyDescent="0.25">
      <c r="A83" t="str">
        <f t="shared" si="4"/>
        <v>52020</v>
      </c>
      <c r="B83" s="1">
        <v>43955</v>
      </c>
      <c r="C83" s="21">
        <v>43955.645830000001</v>
      </c>
      <c r="D83" s="20">
        <v>1051.6199999999999</v>
      </c>
      <c r="E83" s="20">
        <v>1051.98</v>
      </c>
      <c r="F83" s="20">
        <v>1047.06</v>
      </c>
      <c r="G83" s="20">
        <v>1049.71</v>
      </c>
      <c r="H83" s="20">
        <v>27699</v>
      </c>
      <c r="I83" s="8">
        <f t="shared" si="5"/>
        <v>-1.8162454118406668E-3</v>
      </c>
      <c r="J83" s="8">
        <f t="shared" si="6"/>
        <v>-1.8178967853746829E-3</v>
      </c>
      <c r="K83" s="8">
        <f t="shared" si="3"/>
        <v>0.48935369394558559</v>
      </c>
    </row>
    <row r="84" spans="1:11" x14ac:dyDescent="0.25">
      <c r="A84" t="str">
        <f t="shared" si="4"/>
        <v>52020</v>
      </c>
      <c r="B84" s="1">
        <v>43956</v>
      </c>
      <c r="C84" s="21">
        <v>43956.645830000001</v>
      </c>
      <c r="D84" s="20">
        <v>1050</v>
      </c>
      <c r="E84" s="20">
        <v>1054.98</v>
      </c>
      <c r="F84" s="20">
        <v>1049.4000000000001</v>
      </c>
      <c r="G84" s="20">
        <v>1052.21</v>
      </c>
      <c r="H84" s="20">
        <v>25511</v>
      </c>
      <c r="I84" s="8">
        <f t="shared" si="5"/>
        <v>2.3816101589961836E-3</v>
      </c>
      <c r="J84" s="8">
        <f t="shared" si="6"/>
        <v>2.3787786203777646E-3</v>
      </c>
      <c r="K84" s="8">
        <f t="shared" si="3"/>
        <v>1.6091129963755169E-2</v>
      </c>
    </row>
    <row r="85" spans="1:11" x14ac:dyDescent="0.25">
      <c r="A85" t="str">
        <f t="shared" si="4"/>
        <v>52020</v>
      </c>
      <c r="B85" s="1">
        <v>43957</v>
      </c>
      <c r="C85" s="21">
        <v>43957.645830000001</v>
      </c>
      <c r="D85" s="20">
        <v>1053</v>
      </c>
      <c r="E85" s="20">
        <v>1059.8900000000001</v>
      </c>
      <c r="F85" s="20">
        <v>1053</v>
      </c>
      <c r="G85" s="20">
        <v>1059.8399999999999</v>
      </c>
      <c r="H85" s="20">
        <v>41909</v>
      </c>
      <c r="I85" s="8">
        <f t="shared" si="5"/>
        <v>7.2514041873770196E-3</v>
      </c>
      <c r="J85" s="8">
        <f t="shared" si="6"/>
        <v>7.2252391686427478E-3</v>
      </c>
      <c r="K85" s="8">
        <f t="shared" si="3"/>
        <v>0.55195526588653543</v>
      </c>
    </row>
    <row r="86" spans="1:11" x14ac:dyDescent="0.25">
      <c r="A86" t="str">
        <f t="shared" si="4"/>
        <v>52020</v>
      </c>
      <c r="B86" s="1">
        <v>43958</v>
      </c>
      <c r="C86" s="21">
        <v>43958.645830000001</v>
      </c>
      <c r="D86" s="20">
        <v>1059.98</v>
      </c>
      <c r="E86" s="20">
        <v>1067.4000000000001</v>
      </c>
      <c r="F86" s="20">
        <v>1059</v>
      </c>
      <c r="G86" s="20">
        <v>1067.1300000000001</v>
      </c>
      <c r="H86" s="20">
        <v>39621</v>
      </c>
      <c r="I86" s="8">
        <f t="shared" si="5"/>
        <v>6.8783967391305989E-3</v>
      </c>
      <c r="J86" s="8">
        <f t="shared" si="6"/>
        <v>6.8548484894132159E-3</v>
      </c>
      <c r="K86" s="8">
        <f t="shared" si="3"/>
        <v>6.5655909872064155</v>
      </c>
    </row>
    <row r="87" spans="1:11" x14ac:dyDescent="0.25">
      <c r="A87" t="str">
        <f t="shared" si="4"/>
        <v>52020</v>
      </c>
      <c r="B87" s="1">
        <v>43959</v>
      </c>
      <c r="C87" s="21">
        <v>43959.645830000001</v>
      </c>
      <c r="D87" s="20">
        <v>1067</v>
      </c>
      <c r="E87" s="20">
        <v>1068</v>
      </c>
      <c r="F87" s="20">
        <v>1064.25</v>
      </c>
      <c r="G87" s="20">
        <v>1065.3499999999999</v>
      </c>
      <c r="H87" s="20">
        <v>12782</v>
      </c>
      <c r="I87" s="8">
        <f t="shared" si="5"/>
        <v>-1.6680254514447324E-3</v>
      </c>
      <c r="J87" s="8">
        <f t="shared" si="6"/>
        <v>-1.6694181548233195E-3</v>
      </c>
      <c r="K87" s="8">
        <f t="shared" si="3"/>
        <v>3.5666309396212936</v>
      </c>
    </row>
    <row r="88" spans="1:11" x14ac:dyDescent="0.25">
      <c r="A88" t="str">
        <f t="shared" si="4"/>
        <v>52020</v>
      </c>
      <c r="B88" s="1">
        <v>43962</v>
      </c>
      <c r="C88" s="21">
        <v>43962.645830000001</v>
      </c>
      <c r="D88" s="20">
        <v>1066</v>
      </c>
      <c r="E88" s="20">
        <v>1066</v>
      </c>
      <c r="F88" s="20">
        <v>1048.1099999999999</v>
      </c>
      <c r="G88" s="20">
        <v>1049.69</v>
      </c>
      <c r="H88" s="20">
        <v>93038</v>
      </c>
      <c r="I88" s="8">
        <f t="shared" si="5"/>
        <v>-1.4699394565166224E-2</v>
      </c>
      <c r="J88" s="8">
        <f t="shared" si="6"/>
        <v>-1.4808501186390847E-2</v>
      </c>
      <c r="K88" s="8">
        <f t="shared" si="3"/>
        <v>1.2756022991317111</v>
      </c>
    </row>
    <row r="89" spans="1:11" x14ac:dyDescent="0.25">
      <c r="A89" t="str">
        <f t="shared" si="4"/>
        <v>52020</v>
      </c>
      <c r="B89" s="1">
        <v>43963</v>
      </c>
      <c r="C89" s="21">
        <v>43963.645830000001</v>
      </c>
      <c r="D89" s="20">
        <v>1048</v>
      </c>
      <c r="E89" s="20">
        <v>1052.75</v>
      </c>
      <c r="F89" s="20">
        <v>1048</v>
      </c>
      <c r="G89" s="20">
        <v>1051.73</v>
      </c>
      <c r="H89" s="20">
        <v>51692</v>
      </c>
      <c r="I89" s="8">
        <f t="shared" si="5"/>
        <v>1.9434309176995512E-3</v>
      </c>
      <c r="J89" s="8">
        <f t="shared" si="6"/>
        <v>1.9415448990029816E-3</v>
      </c>
      <c r="K89" s="8">
        <f t="shared" si="3"/>
        <v>2.1209321982732598</v>
      </c>
    </row>
    <row r="90" spans="1:11" x14ac:dyDescent="0.25">
      <c r="A90" t="str">
        <f t="shared" si="4"/>
        <v>52020</v>
      </c>
      <c r="B90" s="1">
        <v>43964</v>
      </c>
      <c r="C90" s="21">
        <v>43964.645830000001</v>
      </c>
      <c r="D90" s="20">
        <v>1052</v>
      </c>
      <c r="E90" s="20">
        <v>1060</v>
      </c>
      <c r="F90" s="20">
        <v>1051</v>
      </c>
      <c r="G90" s="20">
        <v>1056.3900000000001</v>
      </c>
      <c r="H90" s="20">
        <v>30052</v>
      </c>
      <c r="I90" s="8">
        <f t="shared" si="5"/>
        <v>4.4307949758968235E-3</v>
      </c>
      <c r="J90" s="8">
        <f t="shared" si="6"/>
        <v>4.4210079028643694E-3</v>
      </c>
      <c r="K90" s="8">
        <f t="shared" si="3"/>
        <v>0.95231598778665627</v>
      </c>
    </row>
    <row r="91" spans="1:11" x14ac:dyDescent="0.25">
      <c r="A91" t="str">
        <f t="shared" si="4"/>
        <v>52020</v>
      </c>
      <c r="B91" s="1">
        <v>43965</v>
      </c>
      <c r="C91" s="21">
        <v>43965.645830000001</v>
      </c>
      <c r="D91" s="20">
        <v>1053</v>
      </c>
      <c r="E91" s="20">
        <v>1060.25</v>
      </c>
      <c r="F91" s="20">
        <v>1053</v>
      </c>
      <c r="G91" s="20">
        <v>1057.75</v>
      </c>
      <c r="H91" s="20">
        <v>22038</v>
      </c>
      <c r="I91" s="8">
        <f t="shared" si="5"/>
        <v>1.2874033264229645E-3</v>
      </c>
      <c r="J91" s="8">
        <f t="shared" si="6"/>
        <v>1.2865753333250467E-3</v>
      </c>
      <c r="K91" s="8">
        <f t="shared" si="3"/>
        <v>-0.11262331387155222</v>
      </c>
    </row>
    <row r="92" spans="1:11" x14ac:dyDescent="0.25">
      <c r="A92" t="str">
        <f t="shared" si="4"/>
        <v>52020</v>
      </c>
      <c r="B92" s="1">
        <v>43966</v>
      </c>
      <c r="C92" s="21">
        <v>43966.645830000001</v>
      </c>
      <c r="D92" s="20">
        <v>1057.75</v>
      </c>
      <c r="E92" s="20">
        <v>1063</v>
      </c>
      <c r="F92" s="20">
        <v>1056</v>
      </c>
      <c r="G92" s="20">
        <v>1060.98</v>
      </c>
      <c r="H92" s="20">
        <v>33621</v>
      </c>
      <c r="I92" s="8">
        <f t="shared" si="5"/>
        <v>3.0536516190025065E-3</v>
      </c>
      <c r="J92" s="8">
        <f t="shared" si="6"/>
        <v>3.0489986947639771E-3</v>
      </c>
      <c r="K92" s="8">
        <f t="shared" si="3"/>
        <v>-0.43702277294038849</v>
      </c>
    </row>
    <row r="93" spans="1:11" x14ac:dyDescent="0.25">
      <c r="A93" t="str">
        <f t="shared" si="4"/>
        <v>52020</v>
      </c>
      <c r="B93" s="1">
        <v>43969</v>
      </c>
      <c r="C93" s="21">
        <v>43969.645830000001</v>
      </c>
      <c r="D93" s="20">
        <v>1064.95</v>
      </c>
      <c r="E93" s="20">
        <v>1065.95</v>
      </c>
      <c r="F93" s="20">
        <v>1061.05</v>
      </c>
      <c r="G93" s="20">
        <v>1061.53</v>
      </c>
      <c r="H93" s="20">
        <v>25561</v>
      </c>
      <c r="I93" s="8">
        <f t="shared" si="5"/>
        <v>5.183886595412357E-4</v>
      </c>
      <c r="J93" s="8">
        <f t="shared" si="6"/>
        <v>5.1825434255699482E-4</v>
      </c>
      <c r="K93" s="8">
        <f t="shared" si="3"/>
        <v>1.0992936925098555</v>
      </c>
    </row>
    <row r="94" spans="1:11" x14ac:dyDescent="0.25">
      <c r="A94" t="str">
        <f t="shared" si="4"/>
        <v>52020</v>
      </c>
      <c r="B94" s="1">
        <v>43970</v>
      </c>
      <c r="C94" s="21">
        <v>43970.645830000001</v>
      </c>
      <c r="D94" s="20">
        <v>1064.8499999999999</v>
      </c>
      <c r="E94" s="20">
        <v>1066.99</v>
      </c>
      <c r="F94" s="20">
        <v>1062.1099999999999</v>
      </c>
      <c r="G94" s="20">
        <v>1065</v>
      </c>
      <c r="H94" s="20">
        <v>30775</v>
      </c>
      <c r="I94" s="8">
        <f t="shared" si="5"/>
        <v>3.2688666358935414E-3</v>
      </c>
      <c r="J94" s="8">
        <f t="shared" si="6"/>
        <v>3.2635355060276891E-3</v>
      </c>
      <c r="K94" s="8">
        <f t="shared" si="3"/>
        <v>4.249914704878881</v>
      </c>
    </row>
    <row r="95" spans="1:11" x14ac:dyDescent="0.25">
      <c r="A95" t="str">
        <f t="shared" si="4"/>
        <v>52020</v>
      </c>
      <c r="B95" s="1">
        <v>43971</v>
      </c>
      <c r="C95" s="21">
        <v>43971.645830000001</v>
      </c>
      <c r="D95" s="20">
        <v>1062.51</v>
      </c>
      <c r="E95" s="20">
        <v>1066</v>
      </c>
      <c r="F95" s="20">
        <v>1062.25</v>
      </c>
      <c r="G95" s="20">
        <v>1065.51</v>
      </c>
      <c r="H95" s="20">
        <v>36757</v>
      </c>
      <c r="I95" s="8">
        <f t="shared" si="5"/>
        <v>4.7887323943651694E-4</v>
      </c>
      <c r="J95" s="8">
        <f t="shared" si="6"/>
        <v>4.7875861623865421E-4</v>
      </c>
      <c r="K95" s="8">
        <f t="shared" si="3"/>
        <v>4.0358953281271406</v>
      </c>
    </row>
    <row r="96" spans="1:11" x14ac:dyDescent="0.25">
      <c r="A96" t="str">
        <f t="shared" si="4"/>
        <v>52020</v>
      </c>
      <c r="B96" s="1">
        <v>43972</v>
      </c>
      <c r="C96" s="21">
        <v>43972.645830000001</v>
      </c>
      <c r="D96" s="20">
        <v>1065.51</v>
      </c>
      <c r="E96" s="20">
        <v>1066.8</v>
      </c>
      <c r="F96" s="20">
        <v>1063.81</v>
      </c>
      <c r="G96" s="20">
        <v>1066.6199999999999</v>
      </c>
      <c r="H96" s="20">
        <v>27320</v>
      </c>
      <c r="I96" s="8">
        <f t="shared" si="5"/>
        <v>1.0417546527015098E-3</v>
      </c>
      <c r="J96" s="8">
        <f t="shared" si="6"/>
        <v>1.0412124028848018E-3</v>
      </c>
      <c r="K96" s="8">
        <f t="shared" si="3"/>
        <v>0.92313107137829076</v>
      </c>
    </row>
    <row r="97" spans="1:11" x14ac:dyDescent="0.25">
      <c r="A97" t="str">
        <f t="shared" si="4"/>
        <v>52020</v>
      </c>
      <c r="B97" s="1">
        <v>43973</v>
      </c>
      <c r="C97" s="21">
        <v>43973.645830000001</v>
      </c>
      <c r="D97" s="20">
        <v>1069</v>
      </c>
      <c r="E97" s="20">
        <v>1072</v>
      </c>
      <c r="F97" s="20">
        <v>1049.9000000000001</v>
      </c>
      <c r="G97" s="20">
        <v>1066</v>
      </c>
      <c r="H97" s="20">
        <v>73720</v>
      </c>
      <c r="I97" s="8">
        <f t="shared" si="5"/>
        <v>-5.8127543079999899E-4</v>
      </c>
      <c r="J97" s="8">
        <f t="shared" si="6"/>
        <v>-5.8144443685911147E-4</v>
      </c>
      <c r="K97" s="8">
        <f t="shared" si="3"/>
        <v>3.702730288338862</v>
      </c>
    </row>
    <row r="98" spans="1:11" x14ac:dyDescent="0.25">
      <c r="A98" t="str">
        <f t="shared" si="4"/>
        <v>52020</v>
      </c>
      <c r="B98" s="1">
        <v>43977</v>
      </c>
      <c r="C98" s="21">
        <v>43977.645830000001</v>
      </c>
      <c r="D98" s="20">
        <v>1074</v>
      </c>
      <c r="E98" s="20">
        <v>1074</v>
      </c>
      <c r="F98" s="20">
        <v>1057</v>
      </c>
      <c r="G98" s="20">
        <v>1067.4000000000001</v>
      </c>
      <c r="H98" s="20">
        <v>52180</v>
      </c>
      <c r="I98" s="8">
        <f t="shared" si="5"/>
        <v>1.3133208255160511E-3</v>
      </c>
      <c r="J98" s="8">
        <f t="shared" si="6"/>
        <v>1.3124591740547148E-3</v>
      </c>
      <c r="K98" s="8">
        <f t="shared" si="3"/>
        <v>0.73667043866072013</v>
      </c>
    </row>
    <row r="99" spans="1:11" x14ac:dyDescent="0.25">
      <c r="A99" t="str">
        <f t="shared" si="4"/>
        <v>52020</v>
      </c>
      <c r="B99" s="1">
        <v>43978</v>
      </c>
      <c r="C99" s="21">
        <v>43978.645830000001</v>
      </c>
      <c r="D99" s="20">
        <v>1068.99</v>
      </c>
      <c r="E99" s="20">
        <v>1069</v>
      </c>
      <c r="F99" s="20">
        <v>1066.55</v>
      </c>
      <c r="G99" s="20">
        <v>1067.27</v>
      </c>
      <c r="H99" s="20">
        <v>42343</v>
      </c>
      <c r="I99" s="8">
        <f t="shared" si="5"/>
        <v>-1.2179126850297983E-4</v>
      </c>
      <c r="J99" s="8">
        <f t="shared" si="6"/>
        <v>-1.2179868566175784E-4</v>
      </c>
      <c r="K99" s="8">
        <f t="shared" si="3"/>
        <v>1.1535449089614485</v>
      </c>
    </row>
    <row r="100" spans="1:11" x14ac:dyDescent="0.25">
      <c r="A100" t="str">
        <f t="shared" si="4"/>
        <v>52020</v>
      </c>
      <c r="B100" s="1">
        <v>43979</v>
      </c>
      <c r="C100" s="21">
        <v>43979.645830000001</v>
      </c>
      <c r="D100" s="20">
        <v>1072</v>
      </c>
      <c r="E100" s="20">
        <v>1169</v>
      </c>
      <c r="F100" s="20">
        <v>1067.3</v>
      </c>
      <c r="G100" s="20">
        <v>1068.78</v>
      </c>
      <c r="H100" s="20">
        <v>84223</v>
      </c>
      <c r="I100" s="8">
        <f t="shared" si="5"/>
        <v>1.414824739756515E-3</v>
      </c>
      <c r="J100" s="8">
        <f t="shared" si="6"/>
        <v>1.4138248182657288E-3</v>
      </c>
      <c r="K100" s="8">
        <f t="shared" si="3"/>
        <v>4.7698842227855041</v>
      </c>
    </row>
    <row r="101" spans="1:11" x14ac:dyDescent="0.25">
      <c r="A101" t="str">
        <f t="shared" si="4"/>
        <v>52020</v>
      </c>
      <c r="B101" s="1">
        <v>43980</v>
      </c>
      <c r="C101" s="21">
        <v>43980.645830000001</v>
      </c>
      <c r="D101" s="20">
        <v>1077</v>
      </c>
      <c r="E101" s="20">
        <v>1077</v>
      </c>
      <c r="F101" s="20">
        <v>1067.3499999999999</v>
      </c>
      <c r="G101" s="20">
        <v>1069.47</v>
      </c>
      <c r="H101" s="20">
        <v>95542</v>
      </c>
      <c r="I101" s="8">
        <f t="shared" si="5"/>
        <v>6.4559591309731879E-4</v>
      </c>
      <c r="J101" s="8">
        <f t="shared" si="6"/>
        <v>6.453876057059268E-4</v>
      </c>
      <c r="K101" s="8">
        <f t="shared" si="3"/>
        <v>1.5679191528248131</v>
      </c>
    </row>
    <row r="102" spans="1:11" x14ac:dyDescent="0.25">
      <c r="A102" t="str">
        <f t="shared" si="4"/>
        <v>62020</v>
      </c>
      <c r="B102" s="1">
        <v>43983</v>
      </c>
      <c r="C102" s="21">
        <v>43983.645830000001</v>
      </c>
      <c r="D102" s="20">
        <v>1067.3599999999999</v>
      </c>
      <c r="E102" s="20">
        <v>1071</v>
      </c>
      <c r="F102" s="20">
        <v>1066</v>
      </c>
      <c r="G102" s="20">
        <v>1069.3499999999999</v>
      </c>
      <c r="H102" s="20">
        <v>56570</v>
      </c>
      <c r="I102" s="8">
        <f t="shared" si="5"/>
        <v>-1.1220511094289787E-4</v>
      </c>
      <c r="J102" s="8">
        <f t="shared" si="6"/>
        <v>-1.1221140640728531E-4</v>
      </c>
      <c r="K102" s="8">
        <f t="shared" si="3"/>
        <v>6.3706840390879478</v>
      </c>
    </row>
    <row r="103" spans="1:11" x14ac:dyDescent="0.25">
      <c r="A103" t="str">
        <f t="shared" si="4"/>
        <v>62020</v>
      </c>
      <c r="B103" s="1">
        <v>43984</v>
      </c>
      <c r="C103" s="21">
        <v>43984.645830000001</v>
      </c>
      <c r="D103" s="20">
        <v>1069.3499999999999</v>
      </c>
      <c r="E103" s="20">
        <v>1069.99</v>
      </c>
      <c r="F103" s="20">
        <v>1066</v>
      </c>
      <c r="G103" s="20">
        <v>1067.3</v>
      </c>
      <c r="H103" s="20">
        <v>15352</v>
      </c>
      <c r="I103" s="8">
        <f t="shared" si="5"/>
        <v>-1.9170524150183832E-3</v>
      </c>
      <c r="J103" s="8">
        <f t="shared" si="6"/>
        <v>-1.9188923118278009E-3</v>
      </c>
      <c r="K103" s="8">
        <f t="shared" si="3"/>
        <v>-0.38248662563855029</v>
      </c>
    </row>
    <row r="104" spans="1:11" x14ac:dyDescent="0.25">
      <c r="A104" t="str">
        <f t="shared" si="4"/>
        <v>62020</v>
      </c>
      <c r="B104" s="1">
        <v>43985</v>
      </c>
      <c r="C104" s="21">
        <v>43985.645830000001</v>
      </c>
      <c r="D104" s="20">
        <v>1057</v>
      </c>
      <c r="E104" s="20">
        <v>1075.95</v>
      </c>
      <c r="F104" s="20">
        <v>1057</v>
      </c>
      <c r="G104" s="20">
        <v>1064.4100000000001</v>
      </c>
      <c r="H104" s="20">
        <v>21872</v>
      </c>
      <c r="I104" s="8">
        <f t="shared" si="5"/>
        <v>-2.7077672631873329E-3</v>
      </c>
      <c r="J104" s="8">
        <f t="shared" si="6"/>
        <v>-2.7114398962182719E-3</v>
      </c>
      <c r="K104" s="8">
        <f t="shared" si="3"/>
        <v>8.6778761061946899</v>
      </c>
    </row>
    <row r="105" spans="1:11" x14ac:dyDescent="0.25">
      <c r="A105" t="str">
        <f t="shared" si="4"/>
        <v>62020</v>
      </c>
      <c r="B105" s="1">
        <v>43986</v>
      </c>
      <c r="C105" s="21">
        <v>43986.645830000001</v>
      </c>
      <c r="D105" s="20">
        <v>1069</v>
      </c>
      <c r="E105" s="20">
        <v>1069.49</v>
      </c>
      <c r="F105" s="20">
        <v>1064.2</v>
      </c>
      <c r="G105" s="20">
        <v>1068.94</v>
      </c>
      <c r="H105" s="20">
        <v>21741</v>
      </c>
      <c r="I105" s="8">
        <f t="shared" si="5"/>
        <v>4.2558788436786177E-3</v>
      </c>
      <c r="J105" s="8">
        <f t="shared" si="6"/>
        <v>4.2468482044503595E-3</v>
      </c>
      <c r="K105" s="8">
        <f t="shared" si="3"/>
        <v>1.0402590090090089</v>
      </c>
    </row>
    <row r="106" spans="1:11" x14ac:dyDescent="0.25">
      <c r="A106" t="str">
        <f t="shared" si="4"/>
        <v>62020</v>
      </c>
      <c r="B106" s="1">
        <v>43987</v>
      </c>
      <c r="C106" s="21">
        <v>43987.645830000001</v>
      </c>
      <c r="D106" s="20">
        <v>1069</v>
      </c>
      <c r="E106" s="20">
        <v>1069.99</v>
      </c>
      <c r="F106" s="20">
        <v>1066.5</v>
      </c>
      <c r="G106" s="20">
        <v>1067.8800000000001</v>
      </c>
      <c r="H106" s="20">
        <v>11780</v>
      </c>
      <c r="I106" s="8">
        <f t="shared" si="5"/>
        <v>-9.9163657455048071E-4</v>
      </c>
      <c r="J106" s="8">
        <f t="shared" si="6"/>
        <v>-9.9212857138006641E-4</v>
      </c>
      <c r="K106" s="8">
        <f t="shared" si="3"/>
        <v>0.39128380772410543</v>
      </c>
    </row>
    <row r="107" spans="1:11" x14ac:dyDescent="0.25">
      <c r="A107" t="str">
        <f t="shared" si="4"/>
        <v>62020</v>
      </c>
      <c r="B107" s="1">
        <v>43990</v>
      </c>
      <c r="C107" s="21">
        <v>43990.645830000001</v>
      </c>
      <c r="D107" s="20">
        <v>1079.45</v>
      </c>
      <c r="E107" s="20">
        <v>1079.45</v>
      </c>
      <c r="F107" s="20">
        <v>1068</v>
      </c>
      <c r="G107" s="20">
        <v>1068.3</v>
      </c>
      <c r="H107" s="20">
        <v>22350</v>
      </c>
      <c r="I107" s="8">
        <f t="shared" si="5"/>
        <v>3.9330261827164037E-4</v>
      </c>
      <c r="J107" s="8">
        <f t="shared" si="6"/>
        <v>3.9322529507048468E-4</v>
      </c>
      <c r="K107" s="8">
        <f t="shared" si="3"/>
        <v>0.81412337662337664</v>
      </c>
    </row>
    <row r="108" spans="1:11" x14ac:dyDescent="0.25">
      <c r="A108" t="str">
        <f t="shared" si="4"/>
        <v>62020</v>
      </c>
      <c r="B108" s="1">
        <v>43991</v>
      </c>
      <c r="C108" s="21">
        <v>43991.645830000001</v>
      </c>
      <c r="D108" s="20">
        <v>1084.45</v>
      </c>
      <c r="E108" s="20">
        <v>1084.45</v>
      </c>
      <c r="F108" s="20">
        <v>1068.19</v>
      </c>
      <c r="G108" s="20">
        <v>1069.06</v>
      </c>
      <c r="H108" s="20">
        <v>20426</v>
      </c>
      <c r="I108" s="8">
        <f t="shared" si="5"/>
        <v>7.1141065243840451E-4</v>
      </c>
      <c r="J108" s="8">
        <f t="shared" si="6"/>
        <v>7.1115771983239423E-4</v>
      </c>
      <c r="K108" s="8">
        <f t="shared" si="3"/>
        <v>1.4743791641429436</v>
      </c>
    </row>
    <row r="109" spans="1:11" x14ac:dyDescent="0.25">
      <c r="A109" t="str">
        <f t="shared" si="4"/>
        <v>62020</v>
      </c>
      <c r="B109" s="1">
        <v>43992</v>
      </c>
      <c r="C109" s="21">
        <v>43992.645830000001</v>
      </c>
      <c r="D109" s="20">
        <v>1070</v>
      </c>
      <c r="E109" s="20">
        <v>1072.68</v>
      </c>
      <c r="F109" s="20">
        <v>1068.21</v>
      </c>
      <c r="G109" s="20">
        <v>1072.3900000000001</v>
      </c>
      <c r="H109" s="20">
        <v>21675</v>
      </c>
      <c r="I109" s="8">
        <f t="shared" si="5"/>
        <v>3.1148859745946389E-3</v>
      </c>
      <c r="J109" s="8">
        <f t="shared" si="6"/>
        <v>3.1100447678766574E-3</v>
      </c>
      <c r="K109" s="8">
        <f t="shared" si="3"/>
        <v>3.1459449120122418</v>
      </c>
    </row>
    <row r="110" spans="1:11" x14ac:dyDescent="0.25">
      <c r="A110" t="str">
        <f t="shared" si="4"/>
        <v>62020</v>
      </c>
      <c r="B110" s="1">
        <v>43993</v>
      </c>
      <c r="C110" s="21">
        <v>43993.645830000001</v>
      </c>
      <c r="D110" s="20">
        <v>1073</v>
      </c>
      <c r="E110" s="20">
        <v>1075</v>
      </c>
      <c r="F110" s="20">
        <v>1068.5999999999999</v>
      </c>
      <c r="G110" s="20">
        <v>1071.1400000000001</v>
      </c>
      <c r="H110" s="20">
        <v>15184</v>
      </c>
      <c r="I110" s="8">
        <f t="shared" si="5"/>
        <v>-1.1656207163438514E-3</v>
      </c>
      <c r="J110" s="8">
        <f t="shared" si="6"/>
        <v>-1.1663005805315734E-3</v>
      </c>
      <c r="K110" s="8">
        <f t="shared" si="3"/>
        <v>-3.5324015247776397E-2</v>
      </c>
    </row>
    <row r="111" spans="1:11" x14ac:dyDescent="0.25">
      <c r="A111" t="str">
        <f t="shared" si="4"/>
        <v>62020</v>
      </c>
      <c r="B111" s="1">
        <v>43994</v>
      </c>
      <c r="C111" s="21">
        <v>43994.645830000001</v>
      </c>
      <c r="D111" s="20">
        <v>1071.1400000000001</v>
      </c>
      <c r="E111" s="20">
        <v>1075</v>
      </c>
      <c r="F111" s="20">
        <v>1070</v>
      </c>
      <c r="G111" s="20">
        <v>1071.1600000000001</v>
      </c>
      <c r="H111" s="20">
        <v>21388</v>
      </c>
      <c r="I111" s="8">
        <f t="shared" si="5"/>
        <v>1.8671695576566449E-5</v>
      </c>
      <c r="J111" s="8">
        <f t="shared" si="6"/>
        <v>1.867152126262842E-5</v>
      </c>
      <c r="K111" s="8">
        <f t="shared" si="3"/>
        <v>1.340914475242827E-2</v>
      </c>
    </row>
    <row r="112" spans="1:11" x14ac:dyDescent="0.25">
      <c r="A112" t="str">
        <f t="shared" si="4"/>
        <v>62020</v>
      </c>
      <c r="B112" s="1">
        <v>43997</v>
      </c>
      <c r="C112" s="21">
        <v>43997.645830000001</v>
      </c>
      <c r="D112" s="20">
        <v>1082.2</v>
      </c>
      <c r="E112" s="20">
        <v>1082.2</v>
      </c>
      <c r="F112" s="20">
        <v>1071</v>
      </c>
      <c r="G112" s="20">
        <v>1073</v>
      </c>
      <c r="H112" s="20">
        <v>98662</v>
      </c>
      <c r="I112" s="8">
        <f t="shared" si="5"/>
        <v>1.7177639194889682E-3</v>
      </c>
      <c r="J112" s="8">
        <f t="shared" si="6"/>
        <v>1.7162902504164385E-3</v>
      </c>
      <c r="K112" s="8">
        <f t="shared" si="3"/>
        <v>0.74833427842358935</v>
      </c>
    </row>
    <row r="113" spans="1:11" x14ac:dyDescent="0.25">
      <c r="A113" t="str">
        <f t="shared" si="4"/>
        <v>62020</v>
      </c>
      <c r="B113" s="1">
        <v>43998</v>
      </c>
      <c r="C113" s="21">
        <v>43998.645830000001</v>
      </c>
      <c r="D113" s="20">
        <v>1071.5</v>
      </c>
      <c r="E113" s="20">
        <v>1076</v>
      </c>
      <c r="F113" s="20">
        <v>1071.5</v>
      </c>
      <c r="G113" s="20">
        <v>1073.07</v>
      </c>
      <c r="H113" s="20">
        <v>19336</v>
      </c>
      <c r="I113" s="8">
        <f t="shared" si="5"/>
        <v>6.5237651444505218E-5</v>
      </c>
      <c r="J113" s="8">
        <f t="shared" si="6"/>
        <v>6.5235523561467111E-5</v>
      </c>
      <c r="K113" s="8">
        <f t="shared" si="3"/>
        <v>-0.63989198249371448</v>
      </c>
    </row>
    <row r="114" spans="1:11" x14ac:dyDescent="0.25">
      <c r="A114" t="str">
        <f t="shared" si="4"/>
        <v>62020</v>
      </c>
      <c r="B114" s="1">
        <v>43999</v>
      </c>
      <c r="C114" s="21">
        <v>43999.645830000001</v>
      </c>
      <c r="D114" s="20">
        <v>1073.2</v>
      </c>
      <c r="E114" s="20">
        <v>1074.98</v>
      </c>
      <c r="F114" s="20">
        <v>1073.2</v>
      </c>
      <c r="G114" s="20">
        <v>1074.52</v>
      </c>
      <c r="H114" s="20">
        <v>9956</v>
      </c>
      <c r="I114" s="8">
        <f t="shared" si="5"/>
        <v>1.3512631981138501E-3</v>
      </c>
      <c r="J114" s="8">
        <f t="shared" si="6"/>
        <v>1.3503510635953062E-3</v>
      </c>
      <c r="K114" s="8">
        <f t="shared" si="3"/>
        <v>-0.93339621757949165</v>
      </c>
    </row>
    <row r="115" spans="1:11" x14ac:dyDescent="0.25">
      <c r="A115" t="str">
        <f t="shared" si="4"/>
        <v>62020</v>
      </c>
      <c r="B115" s="1">
        <v>44000</v>
      </c>
      <c r="C115" s="21">
        <v>44000.645830000001</v>
      </c>
      <c r="D115" s="20">
        <v>1075</v>
      </c>
      <c r="E115" s="20">
        <v>1076</v>
      </c>
      <c r="F115" s="20">
        <v>1073.5</v>
      </c>
      <c r="G115" s="20">
        <v>1075.05</v>
      </c>
      <c r="H115" s="20">
        <v>12671</v>
      </c>
      <c r="I115" s="8">
        <f t="shared" si="5"/>
        <v>4.9324349476975726E-4</v>
      </c>
      <c r="J115" s="8">
        <f t="shared" si="6"/>
        <v>4.9312189018266208E-4</v>
      </c>
      <c r="K115" s="8">
        <f t="shared" si="3"/>
        <v>-0.88159493150428914</v>
      </c>
    </row>
    <row r="116" spans="1:11" x14ac:dyDescent="0.25">
      <c r="A116" t="str">
        <f t="shared" si="4"/>
        <v>62020</v>
      </c>
      <c r="B116" s="1">
        <v>44001</v>
      </c>
      <c r="C116" s="21">
        <v>44001.645830000001</v>
      </c>
      <c r="D116" s="20">
        <v>1073.5</v>
      </c>
      <c r="E116" s="20">
        <v>1076.95</v>
      </c>
      <c r="F116" s="20">
        <v>1073.5</v>
      </c>
      <c r="G116" s="20">
        <v>1074.99</v>
      </c>
      <c r="H116" s="20">
        <v>25000</v>
      </c>
      <c r="I116" s="8">
        <f t="shared" si="5"/>
        <v>-5.5811357611235124E-5</v>
      </c>
      <c r="J116" s="8">
        <f t="shared" si="6"/>
        <v>-5.581291512300583E-5</v>
      </c>
      <c r="K116" s="8">
        <f t="shared" si="3"/>
        <v>-0.52099020903987281</v>
      </c>
    </row>
    <row r="117" spans="1:11" x14ac:dyDescent="0.25">
      <c r="A117" t="str">
        <f t="shared" si="4"/>
        <v>62020</v>
      </c>
      <c r="B117" s="1">
        <v>44004</v>
      </c>
      <c r="C117" s="21">
        <v>44004.645830000001</v>
      </c>
      <c r="D117" s="20">
        <v>1075.95</v>
      </c>
      <c r="E117" s="20">
        <v>1078</v>
      </c>
      <c r="F117" s="20">
        <v>1075.95</v>
      </c>
      <c r="G117" s="20">
        <v>1077.95</v>
      </c>
      <c r="H117" s="20">
        <v>35284</v>
      </c>
      <c r="I117" s="8">
        <f t="shared" si="5"/>
        <v>2.7535139861767366E-3</v>
      </c>
      <c r="J117" s="8">
        <f t="shared" si="6"/>
        <v>2.7497300111013726E-3</v>
      </c>
      <c r="K117" s="8">
        <f t="shared" si="3"/>
        <v>-0.6909737427525442</v>
      </c>
    </row>
    <row r="118" spans="1:11" x14ac:dyDescent="0.25">
      <c r="A118" t="str">
        <f t="shared" si="4"/>
        <v>62020</v>
      </c>
      <c r="B118" s="1">
        <v>44005</v>
      </c>
      <c r="C118" s="21">
        <v>44005.645830000001</v>
      </c>
      <c r="D118" s="20">
        <v>1077.95</v>
      </c>
      <c r="E118" s="20">
        <v>1082.98</v>
      </c>
      <c r="F118" s="20">
        <v>1077</v>
      </c>
      <c r="G118" s="20">
        <v>1082.02</v>
      </c>
      <c r="H118" s="20">
        <v>5889</v>
      </c>
      <c r="I118" s="8">
        <f t="shared" si="5"/>
        <v>3.7756853286330383E-3</v>
      </c>
      <c r="J118" s="8">
        <f t="shared" si="6"/>
        <v>3.7685753199332311E-3</v>
      </c>
      <c r="K118" s="8">
        <f t="shared" si="3"/>
        <v>-0.85052161332081122</v>
      </c>
    </row>
    <row r="119" spans="1:11" x14ac:dyDescent="0.25">
      <c r="A119" t="str">
        <f t="shared" si="4"/>
        <v>62020</v>
      </c>
      <c r="B119" s="1">
        <v>44006</v>
      </c>
      <c r="C119" s="21">
        <v>44006.645830000001</v>
      </c>
      <c r="D119" s="20">
        <v>1082</v>
      </c>
      <c r="E119" s="20">
        <v>1083.99</v>
      </c>
      <c r="F119" s="20">
        <v>1080</v>
      </c>
      <c r="G119" s="20">
        <v>1081.5899999999999</v>
      </c>
      <c r="H119" s="20">
        <v>18604</v>
      </c>
      <c r="I119" s="8">
        <f t="shared" si="5"/>
        <v>-3.9740485388450875E-4</v>
      </c>
      <c r="J119" s="8">
        <f t="shared" si="6"/>
        <v>-3.9748384012048979E-4</v>
      </c>
      <c r="K119" s="8">
        <f t="shared" si="3"/>
        <v>-0.65387263018846864</v>
      </c>
    </row>
    <row r="120" spans="1:11" x14ac:dyDescent="0.25">
      <c r="A120" t="str">
        <f t="shared" si="4"/>
        <v>62020</v>
      </c>
      <c r="B120" s="1">
        <v>44007</v>
      </c>
      <c r="C120" s="21">
        <v>44007.645830000001</v>
      </c>
      <c r="D120" s="20">
        <v>1078.7</v>
      </c>
      <c r="E120" s="20">
        <v>1085.95</v>
      </c>
      <c r="F120" s="20">
        <v>1078.5899999999999</v>
      </c>
      <c r="G120" s="20">
        <v>1085.8599999999999</v>
      </c>
      <c r="H120" s="20">
        <v>8708</v>
      </c>
      <c r="I120" s="8">
        <f t="shared" si="5"/>
        <v>3.947891530062142E-3</v>
      </c>
      <c r="J120" s="8">
        <f t="shared" si="6"/>
        <v>3.9401190561689087E-3</v>
      </c>
      <c r="K120" s="8">
        <f t="shared" si="3"/>
        <v>-0.75985880536098394</v>
      </c>
    </row>
    <row r="121" spans="1:11" x14ac:dyDescent="0.25">
      <c r="A121" t="str">
        <f t="shared" si="4"/>
        <v>62020</v>
      </c>
      <c r="B121" s="1">
        <v>44008</v>
      </c>
      <c r="C121" s="21">
        <v>44008.645830000001</v>
      </c>
      <c r="D121" s="20">
        <v>1086</v>
      </c>
      <c r="E121" s="20">
        <v>1087.98</v>
      </c>
      <c r="F121" s="20">
        <v>1083.17</v>
      </c>
      <c r="G121" s="20">
        <v>1085.98</v>
      </c>
      <c r="H121" s="20">
        <v>32162</v>
      </c>
      <c r="I121" s="8">
        <f t="shared" si="5"/>
        <v>1.1051148398522059E-4</v>
      </c>
      <c r="J121" s="8">
        <f t="shared" si="6"/>
        <v>1.1050537804102145E-4</v>
      </c>
      <c r="K121" s="8">
        <f t="shared" si="3"/>
        <v>6.2188315334059885E-2</v>
      </c>
    </row>
    <row r="122" spans="1:11" x14ac:dyDescent="0.25">
      <c r="A122" t="str">
        <f t="shared" si="4"/>
        <v>62020</v>
      </c>
      <c r="B122" s="1">
        <v>44011</v>
      </c>
      <c r="C122" s="21">
        <v>44011.645830000001</v>
      </c>
      <c r="D122" s="20">
        <v>1085.8800000000001</v>
      </c>
      <c r="E122" s="20">
        <v>1090</v>
      </c>
      <c r="F122" s="20">
        <v>1085.8800000000001</v>
      </c>
      <c r="G122" s="20">
        <v>1089.6400000000001</v>
      </c>
      <c r="H122" s="20">
        <v>14623</v>
      </c>
      <c r="I122" s="8">
        <f t="shared" si="5"/>
        <v>3.3702278126670482E-3</v>
      </c>
      <c r="J122" s="8">
        <f t="shared" si="6"/>
        <v>3.3645613229173685E-3</v>
      </c>
      <c r="K122" s="8">
        <f t="shared" si="3"/>
        <v>-0.38989485981308414</v>
      </c>
    </row>
    <row r="123" spans="1:11" x14ac:dyDescent="0.25">
      <c r="A123" t="str">
        <f t="shared" si="4"/>
        <v>62020</v>
      </c>
      <c r="B123" s="1">
        <v>44012</v>
      </c>
      <c r="C123" s="21">
        <v>44012.645830000001</v>
      </c>
      <c r="D123" s="20">
        <v>1090.94</v>
      </c>
      <c r="E123" s="20">
        <v>1093.99</v>
      </c>
      <c r="F123" s="20">
        <v>1089.03</v>
      </c>
      <c r="G123" s="20">
        <v>1090.22</v>
      </c>
      <c r="H123" s="20">
        <v>15759</v>
      </c>
      <c r="I123" s="8">
        <f t="shared" si="5"/>
        <v>5.3228589258824677E-4</v>
      </c>
      <c r="J123" s="8">
        <f t="shared" si="6"/>
        <v>5.3214427870300958E-4</v>
      </c>
      <c r="K123" s="8">
        <f t="shared" si="3"/>
        <v>-0.11186880072137062</v>
      </c>
    </row>
    <row r="124" spans="1:11" x14ac:dyDescent="0.25">
      <c r="A124" t="str">
        <f t="shared" si="4"/>
        <v>72020</v>
      </c>
      <c r="B124" s="1">
        <v>44013</v>
      </c>
      <c r="C124" s="21">
        <v>44013.645830000001</v>
      </c>
      <c r="D124" s="20">
        <v>1088.01</v>
      </c>
      <c r="E124" s="20">
        <v>1092.94</v>
      </c>
      <c r="F124" s="20">
        <v>1085</v>
      </c>
      <c r="G124" s="20">
        <v>1091.01</v>
      </c>
      <c r="H124" s="20">
        <v>54916</v>
      </c>
      <c r="I124" s="8">
        <f t="shared" si="5"/>
        <v>7.2462438773812643E-4</v>
      </c>
      <c r="J124" s="8">
        <f t="shared" si="6"/>
        <v>7.2436197424629927E-4</v>
      </c>
      <c r="K124" s="8">
        <f t="shared" si="3"/>
        <v>2.7575094081423197</v>
      </c>
    </row>
    <row r="125" spans="1:11" x14ac:dyDescent="0.25">
      <c r="A125" t="str">
        <f t="shared" si="4"/>
        <v>72020</v>
      </c>
      <c r="B125" s="1">
        <v>44014</v>
      </c>
      <c r="C125" s="21">
        <v>44014.645830000001</v>
      </c>
      <c r="D125" s="20">
        <v>1150</v>
      </c>
      <c r="E125" s="20">
        <v>1150</v>
      </c>
      <c r="F125" s="20">
        <v>1091.01</v>
      </c>
      <c r="G125" s="20">
        <v>1092.01</v>
      </c>
      <c r="H125" s="20">
        <v>80964</v>
      </c>
      <c r="I125" s="8">
        <f t="shared" si="5"/>
        <v>9.165818828424932E-4</v>
      </c>
      <c r="J125" s="8">
        <f t="shared" si="6"/>
        <v>9.1616207817250134E-4</v>
      </c>
      <c r="K125" s="8">
        <f t="shared" si="3"/>
        <v>7.8854258121158907</v>
      </c>
    </row>
    <row r="126" spans="1:11" x14ac:dyDescent="0.25">
      <c r="A126" t="str">
        <f t="shared" si="4"/>
        <v>72020</v>
      </c>
      <c r="B126" s="1">
        <v>44015</v>
      </c>
      <c r="C126" s="21">
        <v>44015.645830000001</v>
      </c>
      <c r="D126" s="20">
        <v>1093.3499999999999</v>
      </c>
      <c r="E126" s="20">
        <v>1094.49</v>
      </c>
      <c r="F126" s="20">
        <v>1092.5</v>
      </c>
      <c r="G126" s="20">
        <v>1094.4000000000001</v>
      </c>
      <c r="H126" s="20">
        <v>54025</v>
      </c>
      <c r="I126" s="8">
        <f t="shared" si="5"/>
        <v>2.1886246462945458E-3</v>
      </c>
      <c r="J126" s="8">
        <f t="shared" si="6"/>
        <v>2.1862330962079835E-3</v>
      </c>
      <c r="K126" s="8">
        <f t="shared" si="3"/>
        <v>9.6486777211747254E-2</v>
      </c>
    </row>
    <row r="127" spans="1:11" x14ac:dyDescent="0.25">
      <c r="A127" t="str">
        <f t="shared" si="4"/>
        <v>72020</v>
      </c>
      <c r="B127" s="1">
        <v>44018</v>
      </c>
      <c r="C127" s="21">
        <v>44018.645830000001</v>
      </c>
      <c r="D127" s="20">
        <v>1100</v>
      </c>
      <c r="E127" s="20">
        <v>1100.05</v>
      </c>
      <c r="F127" s="20">
        <v>1090</v>
      </c>
      <c r="G127" s="20">
        <v>1090.26</v>
      </c>
      <c r="H127" s="20">
        <v>42571</v>
      </c>
      <c r="I127" s="8">
        <f t="shared" si="5"/>
        <v>-3.782894736842235E-3</v>
      </c>
      <c r="J127" s="8">
        <f t="shared" si="6"/>
        <v>-3.7900679792656341E-3</v>
      </c>
      <c r="K127" s="8">
        <f t="shared" si="3"/>
        <v>6.0446797948039057</v>
      </c>
    </row>
    <row r="128" spans="1:11" x14ac:dyDescent="0.25">
      <c r="A128" t="str">
        <f t="shared" si="4"/>
        <v>72020</v>
      </c>
      <c r="B128" s="1">
        <v>44019</v>
      </c>
      <c r="C128" s="21">
        <v>44019.645830000001</v>
      </c>
      <c r="D128" s="20">
        <v>1092.06</v>
      </c>
      <c r="E128" s="20">
        <v>1095</v>
      </c>
      <c r="F128" s="20">
        <v>1091.51</v>
      </c>
      <c r="G128" s="20">
        <v>1093.5</v>
      </c>
      <c r="H128" s="20">
        <v>17686</v>
      </c>
      <c r="I128" s="8">
        <f t="shared" si="5"/>
        <v>2.9717682020802272E-3</v>
      </c>
      <c r="J128" s="8">
        <f t="shared" si="6"/>
        <v>2.9673612278020081E-3</v>
      </c>
      <c r="K128" s="8">
        <f t="shared" si="3"/>
        <v>5.9712258573117856</v>
      </c>
    </row>
    <row r="129" spans="1:11" x14ac:dyDescent="0.25">
      <c r="A129" t="str">
        <f t="shared" si="4"/>
        <v>72020</v>
      </c>
      <c r="B129" s="1">
        <v>44020</v>
      </c>
      <c r="C129" s="21">
        <v>44020.645830000001</v>
      </c>
      <c r="D129" s="20">
        <v>1093.06</v>
      </c>
      <c r="E129" s="20">
        <v>1097</v>
      </c>
      <c r="F129" s="20">
        <v>1093</v>
      </c>
      <c r="G129" s="20">
        <v>1096.26</v>
      </c>
      <c r="H129" s="20">
        <v>26165</v>
      </c>
      <c r="I129" s="8">
        <f t="shared" si="5"/>
        <v>2.5240054869684059E-3</v>
      </c>
      <c r="J129" s="8">
        <f t="shared" si="6"/>
        <v>2.5208255348064756E-3</v>
      </c>
      <c r="K129" s="8">
        <f t="shared" ref="K129:K192" si="7">+H129/H67-1</f>
        <v>-0.89592283214001589</v>
      </c>
    </row>
    <row r="130" spans="1:11" x14ac:dyDescent="0.25">
      <c r="A130" t="str">
        <f t="shared" si="4"/>
        <v>72020</v>
      </c>
      <c r="B130" s="1">
        <v>44021</v>
      </c>
      <c r="C130" s="21">
        <v>44021.645830000001</v>
      </c>
      <c r="D130" s="20">
        <v>1097.1500000000001</v>
      </c>
      <c r="E130" s="20">
        <v>1099.8399999999999</v>
      </c>
      <c r="F130" s="20">
        <v>1097.0999999999999</v>
      </c>
      <c r="G130" s="20">
        <v>1099.6500000000001</v>
      </c>
      <c r="H130" s="20">
        <v>14853</v>
      </c>
      <c r="I130" s="8">
        <f t="shared" si="5"/>
        <v>3.0923321109956881E-3</v>
      </c>
      <c r="J130" s="8">
        <f t="shared" si="6"/>
        <v>3.0875606860763507E-3</v>
      </c>
      <c r="K130" s="8">
        <f t="shared" si="7"/>
        <v>0.24043761483213633</v>
      </c>
    </row>
    <row r="131" spans="1:11" x14ac:dyDescent="0.25">
      <c r="A131" t="str">
        <f t="shared" ref="A131:A194" si="8">+MONTH(B131)&amp;YEAR(B131)</f>
        <v>72020</v>
      </c>
      <c r="B131" s="1">
        <v>44022</v>
      </c>
      <c r="C131" s="21">
        <v>44022.645830000001</v>
      </c>
      <c r="D131" s="20">
        <v>1099.6500000000001</v>
      </c>
      <c r="E131" s="20">
        <v>1101</v>
      </c>
      <c r="F131" s="20">
        <v>1081</v>
      </c>
      <c r="G131" s="20">
        <v>1100.98</v>
      </c>
      <c r="H131" s="20">
        <v>29096</v>
      </c>
      <c r="I131" s="8">
        <f t="shared" si="5"/>
        <v>1.2094757422815849E-3</v>
      </c>
      <c r="J131" s="8">
        <f t="shared" si="6"/>
        <v>1.2087449157146494E-3</v>
      </c>
      <c r="K131" s="8">
        <f t="shared" si="7"/>
        <v>-0.34674449932644813</v>
      </c>
    </row>
    <row r="132" spans="1:11" x14ac:dyDescent="0.25">
      <c r="A132" t="str">
        <f t="shared" si="8"/>
        <v>72020</v>
      </c>
      <c r="B132" s="1">
        <v>44025</v>
      </c>
      <c r="C132" s="21">
        <v>44025.645830000001</v>
      </c>
      <c r="D132" s="20">
        <v>1111</v>
      </c>
      <c r="E132" s="20">
        <v>1115.94</v>
      </c>
      <c r="F132" s="20">
        <v>1103</v>
      </c>
      <c r="G132" s="20">
        <v>1104.22</v>
      </c>
      <c r="H132" s="20">
        <v>16309</v>
      </c>
      <c r="I132" s="8">
        <f t="shared" ref="I132:I195" si="9">+G132/G131-1</f>
        <v>2.9428327490055306E-3</v>
      </c>
      <c r="J132" s="8">
        <f t="shared" ref="J132:J195" si="10">LN(1+I132)</f>
        <v>2.9385110932419584E-3</v>
      </c>
      <c r="K132" s="8">
        <f t="shared" si="7"/>
        <v>-0.30342117626959386</v>
      </c>
    </row>
    <row r="133" spans="1:11" x14ac:dyDescent="0.25">
      <c r="A133" t="str">
        <f t="shared" si="8"/>
        <v>72020</v>
      </c>
      <c r="B133" s="1">
        <v>44026</v>
      </c>
      <c r="C133" s="21">
        <v>44026.645830000001</v>
      </c>
      <c r="D133" s="20">
        <v>1104</v>
      </c>
      <c r="E133" s="20">
        <v>1107.8900000000001</v>
      </c>
      <c r="F133" s="20">
        <v>1104</v>
      </c>
      <c r="G133" s="20">
        <v>1107.1400000000001</v>
      </c>
      <c r="H133" s="20">
        <v>24291</v>
      </c>
      <c r="I133" s="8">
        <f t="shared" si="9"/>
        <v>2.6444005723498254E-3</v>
      </c>
      <c r="J133" s="8">
        <f t="shared" si="10"/>
        <v>2.6409102969264867E-3</v>
      </c>
      <c r="K133" s="8">
        <f t="shared" si="7"/>
        <v>-0.90879223207647775</v>
      </c>
    </row>
    <row r="134" spans="1:11" x14ac:dyDescent="0.25">
      <c r="A134" t="str">
        <f t="shared" si="8"/>
        <v>72020</v>
      </c>
      <c r="B134" s="1">
        <v>44027</v>
      </c>
      <c r="C134" s="21">
        <v>44027.645830000001</v>
      </c>
      <c r="D134" s="20">
        <v>1110.01</v>
      </c>
      <c r="E134" s="20">
        <v>1110.01</v>
      </c>
      <c r="F134" s="20">
        <v>1104.31</v>
      </c>
      <c r="G134" s="20">
        <v>1105.8699999999999</v>
      </c>
      <c r="H134" s="20">
        <v>19879</v>
      </c>
      <c r="I134" s="8">
        <f t="shared" si="9"/>
        <v>-1.1470997344511513E-3</v>
      </c>
      <c r="J134" s="8">
        <f t="shared" si="10"/>
        <v>-1.1477581569171924E-3</v>
      </c>
      <c r="K134" s="8">
        <f t="shared" si="7"/>
        <v>0.27095454254843032</v>
      </c>
    </row>
    <row r="135" spans="1:11" x14ac:dyDescent="0.25">
      <c r="A135" t="str">
        <f t="shared" si="8"/>
        <v>72020</v>
      </c>
      <c r="B135" s="1">
        <v>44028</v>
      </c>
      <c r="C135" s="21">
        <v>44028.645830000001</v>
      </c>
      <c r="D135" s="20">
        <v>1105.51</v>
      </c>
      <c r="E135" s="20">
        <v>1110</v>
      </c>
      <c r="F135" s="20">
        <v>1105.5</v>
      </c>
      <c r="G135" s="20">
        <v>1109.8699999999999</v>
      </c>
      <c r="H135" s="20">
        <v>19929</v>
      </c>
      <c r="I135" s="8">
        <f t="shared" si="9"/>
        <v>3.6170616799442445E-3</v>
      </c>
      <c r="J135" s="8">
        <f t="shared" si="10"/>
        <v>3.6105358438463216E-3</v>
      </c>
      <c r="K135" s="8">
        <f t="shared" si="7"/>
        <v>-0.19511308562197094</v>
      </c>
    </row>
    <row r="136" spans="1:11" x14ac:dyDescent="0.25">
      <c r="A136" t="str">
        <f t="shared" si="8"/>
        <v>72020</v>
      </c>
      <c r="B136" s="1">
        <v>44029</v>
      </c>
      <c r="C136" s="21">
        <v>44029.645830000001</v>
      </c>
      <c r="D136" s="20">
        <v>1108.55</v>
      </c>
      <c r="E136" s="20">
        <v>1112.98</v>
      </c>
      <c r="F136" s="20">
        <v>1107.01</v>
      </c>
      <c r="G136" s="20">
        <v>1111.3900000000001</v>
      </c>
      <c r="H136" s="20">
        <v>70783</v>
      </c>
      <c r="I136" s="8">
        <f t="shared" si="9"/>
        <v>1.369529764747357E-3</v>
      </c>
      <c r="J136" s="8">
        <f t="shared" si="10"/>
        <v>1.3685928142159601E-3</v>
      </c>
      <c r="K136" s="8">
        <f t="shared" si="7"/>
        <v>4.6311058074781224</v>
      </c>
    </row>
    <row r="137" spans="1:11" x14ac:dyDescent="0.25">
      <c r="A137" t="str">
        <f t="shared" si="8"/>
        <v>72020</v>
      </c>
      <c r="B137" s="1">
        <v>44032</v>
      </c>
      <c r="C137" s="21">
        <v>44032.645830000001</v>
      </c>
      <c r="D137" s="20">
        <v>1119</v>
      </c>
      <c r="E137" s="20">
        <v>1119</v>
      </c>
      <c r="F137" s="20">
        <v>1110.5</v>
      </c>
      <c r="G137" s="20">
        <v>1112.25</v>
      </c>
      <c r="H137" s="20">
        <v>31301</v>
      </c>
      <c r="I137" s="8">
        <f t="shared" si="9"/>
        <v>7.7380577475039125E-4</v>
      </c>
      <c r="J137" s="8">
        <f t="shared" si="10"/>
        <v>7.7350654141757666E-4</v>
      </c>
      <c r="K137" s="8">
        <f t="shared" si="7"/>
        <v>0.37877720024667427</v>
      </c>
    </row>
    <row r="138" spans="1:11" x14ac:dyDescent="0.25">
      <c r="A138" t="str">
        <f t="shared" si="8"/>
        <v>72020</v>
      </c>
      <c r="B138" s="1">
        <v>44033</v>
      </c>
      <c r="C138" s="21">
        <v>44033.645830000001</v>
      </c>
      <c r="D138" s="20">
        <v>1112.25</v>
      </c>
      <c r="E138" s="20">
        <v>1113.99</v>
      </c>
      <c r="F138" s="20">
        <v>1110.5</v>
      </c>
      <c r="G138" s="20">
        <v>1112.1300000000001</v>
      </c>
      <c r="H138" s="20">
        <v>15151</v>
      </c>
      <c r="I138" s="8">
        <f t="shared" si="9"/>
        <v>-1.0788941335126978E-4</v>
      </c>
      <c r="J138" s="8">
        <f t="shared" si="10"/>
        <v>-1.0789523383267574E-4</v>
      </c>
      <c r="K138" s="8">
        <f t="shared" si="7"/>
        <v>-0.56851967876060838</v>
      </c>
    </row>
    <row r="139" spans="1:11" x14ac:dyDescent="0.25">
      <c r="A139" t="str">
        <f t="shared" si="8"/>
        <v>72020</v>
      </c>
      <c r="B139" s="1">
        <v>44034</v>
      </c>
      <c r="C139" s="21">
        <v>44034.645830000001</v>
      </c>
      <c r="D139" s="20">
        <v>1110.5</v>
      </c>
      <c r="E139" s="20">
        <v>1111.8499999999999</v>
      </c>
      <c r="F139" s="20">
        <v>1110.2</v>
      </c>
      <c r="G139" s="20">
        <v>1110.94</v>
      </c>
      <c r="H139" s="20">
        <v>6609</v>
      </c>
      <c r="I139" s="8">
        <f t="shared" si="9"/>
        <v>-1.0700187927671356E-3</v>
      </c>
      <c r="J139" s="8">
        <f t="shared" si="10"/>
        <v>-1.0705916715727586E-3</v>
      </c>
      <c r="K139" s="8">
        <f t="shared" si="7"/>
        <v>-0.83582979357627241</v>
      </c>
    </row>
    <row r="140" spans="1:11" x14ac:dyDescent="0.25">
      <c r="A140" t="str">
        <f t="shared" si="8"/>
        <v>72020</v>
      </c>
      <c r="B140" s="1">
        <v>44035</v>
      </c>
      <c r="C140" s="21">
        <v>44035.645830000001</v>
      </c>
      <c r="D140" s="20">
        <v>1111</v>
      </c>
      <c r="E140" s="20">
        <v>1114.94</v>
      </c>
      <c r="F140" s="20">
        <v>1010.95</v>
      </c>
      <c r="G140" s="20">
        <v>1106.55</v>
      </c>
      <c r="H140" s="20">
        <v>27720</v>
      </c>
      <c r="I140" s="8">
        <f t="shared" si="9"/>
        <v>-3.9516085477164786E-3</v>
      </c>
      <c r="J140" s="8">
        <f t="shared" si="10"/>
        <v>-3.9594367823249672E-3</v>
      </c>
      <c r="K140" s="8">
        <f t="shared" si="7"/>
        <v>-0.38653565263577216</v>
      </c>
    </row>
    <row r="141" spans="1:11" x14ac:dyDescent="0.25">
      <c r="A141" t="str">
        <f t="shared" si="8"/>
        <v>72020</v>
      </c>
      <c r="B141" s="1">
        <v>44036</v>
      </c>
      <c r="C141" s="21">
        <v>44036.645830000001</v>
      </c>
      <c r="D141" s="20">
        <v>1104</v>
      </c>
      <c r="E141" s="20">
        <v>1108.99</v>
      </c>
      <c r="F141" s="20">
        <v>1104</v>
      </c>
      <c r="G141" s="20">
        <v>1106.17</v>
      </c>
      <c r="H141" s="20">
        <v>23726</v>
      </c>
      <c r="I141" s="8">
        <f t="shared" si="9"/>
        <v>-3.4340969680524136E-4</v>
      </c>
      <c r="J141" s="8">
        <f t="shared" si="10"/>
        <v>-3.434686754181095E-4</v>
      </c>
      <c r="K141" s="8">
        <f t="shared" si="7"/>
        <v>0.92066704444264547</v>
      </c>
    </row>
    <row r="142" spans="1:11" x14ac:dyDescent="0.25">
      <c r="A142" t="str">
        <f t="shared" si="8"/>
        <v>72020</v>
      </c>
      <c r="B142" s="1">
        <v>44039</v>
      </c>
      <c r="C142" s="21">
        <v>44039.645830000001</v>
      </c>
      <c r="D142" s="20">
        <v>1105</v>
      </c>
      <c r="E142" s="20">
        <v>1108.8599999999999</v>
      </c>
      <c r="F142" s="20">
        <v>1105</v>
      </c>
      <c r="G142" s="20">
        <v>1107.18</v>
      </c>
      <c r="H142" s="20">
        <v>13765</v>
      </c>
      <c r="I142" s="8">
        <f t="shared" si="9"/>
        <v>9.1306037950755758E-4</v>
      </c>
      <c r="J142" s="8">
        <f t="shared" si="10"/>
        <v>9.12643793438782E-4</v>
      </c>
      <c r="K142" s="8">
        <f t="shared" si="7"/>
        <v>-0.84598084411224994</v>
      </c>
    </row>
    <row r="143" spans="1:11" x14ac:dyDescent="0.25">
      <c r="A143" t="str">
        <f t="shared" si="8"/>
        <v>72020</v>
      </c>
      <c r="B143" s="1">
        <v>44040</v>
      </c>
      <c r="C143" s="21">
        <v>44040.645830000001</v>
      </c>
      <c r="D143" s="20">
        <v>1107.55</v>
      </c>
      <c r="E143" s="20">
        <v>1109.99</v>
      </c>
      <c r="F143" s="20">
        <v>1106</v>
      </c>
      <c r="G143" s="20">
        <v>1106.1500000000001</v>
      </c>
      <c r="H143" s="20">
        <v>12365</v>
      </c>
      <c r="I143" s="8">
        <f t="shared" si="9"/>
        <v>-9.302913708700844E-4</v>
      </c>
      <c r="J143" s="8">
        <f t="shared" si="10"/>
        <v>-9.3072436044591461E-4</v>
      </c>
      <c r="K143" s="8">
        <f t="shared" si="7"/>
        <v>-0.80999139467699299</v>
      </c>
    </row>
    <row r="144" spans="1:11" x14ac:dyDescent="0.25">
      <c r="A144" t="str">
        <f t="shared" si="8"/>
        <v>72020</v>
      </c>
      <c r="B144" s="1">
        <v>44041</v>
      </c>
      <c r="C144" s="21">
        <v>44041.645830000001</v>
      </c>
      <c r="D144" s="20">
        <v>1109.99</v>
      </c>
      <c r="E144" s="20">
        <v>1121</v>
      </c>
      <c r="F144" s="20">
        <v>1103.2</v>
      </c>
      <c r="G144" s="20">
        <v>1107.99</v>
      </c>
      <c r="H144" s="20">
        <v>4355</v>
      </c>
      <c r="I144" s="8">
        <f t="shared" si="9"/>
        <v>1.6634272024589336E-3</v>
      </c>
      <c r="J144" s="8">
        <f t="shared" si="10"/>
        <v>1.6620452397473223E-3</v>
      </c>
      <c r="K144" s="8">
        <f t="shared" si="7"/>
        <v>-0.86886085097413357</v>
      </c>
    </row>
    <row r="145" spans="1:11" x14ac:dyDescent="0.25">
      <c r="A145" t="str">
        <f t="shared" si="8"/>
        <v>72020</v>
      </c>
      <c r="B145" s="1">
        <v>44042</v>
      </c>
      <c r="C145" s="21">
        <v>44042.645830000001</v>
      </c>
      <c r="D145" s="20">
        <v>1107.01</v>
      </c>
      <c r="E145" s="20">
        <v>1110.95</v>
      </c>
      <c r="F145" s="20">
        <v>1105.0999999999999</v>
      </c>
      <c r="G145" s="20">
        <v>1107.55</v>
      </c>
      <c r="H145" s="20">
        <v>102857</v>
      </c>
      <c r="I145" s="8">
        <f t="shared" si="9"/>
        <v>-3.9711549743237651E-4</v>
      </c>
      <c r="J145" s="8">
        <f t="shared" si="10"/>
        <v>-3.9719436867287941E-4</v>
      </c>
      <c r="K145" s="8">
        <f t="shared" si="7"/>
        <v>2.7133831546265208</v>
      </c>
    </row>
    <row r="146" spans="1:11" x14ac:dyDescent="0.25">
      <c r="A146" t="str">
        <f t="shared" si="8"/>
        <v>72020</v>
      </c>
      <c r="B146" s="1">
        <v>44043</v>
      </c>
      <c r="C146" s="21">
        <v>44043.645830000001</v>
      </c>
      <c r="D146" s="20">
        <v>1110</v>
      </c>
      <c r="E146" s="20">
        <v>1110</v>
      </c>
      <c r="F146" s="20">
        <v>1107.1099999999999</v>
      </c>
      <c r="G146" s="20">
        <v>1109.97</v>
      </c>
      <c r="H146" s="20">
        <v>303901</v>
      </c>
      <c r="I146" s="8">
        <f t="shared" si="9"/>
        <v>2.1850029344048227E-3</v>
      </c>
      <c r="J146" s="8">
        <f t="shared" si="10"/>
        <v>2.1826192870459675E-3</v>
      </c>
      <c r="K146" s="8">
        <f t="shared" si="7"/>
        <v>10.912547528517111</v>
      </c>
    </row>
    <row r="147" spans="1:11" x14ac:dyDescent="0.25">
      <c r="A147" t="str">
        <f t="shared" si="8"/>
        <v>82020</v>
      </c>
      <c r="B147" s="1">
        <v>44046</v>
      </c>
      <c r="C147" s="21">
        <v>44046.645830000001</v>
      </c>
      <c r="D147" s="20">
        <v>1190</v>
      </c>
      <c r="E147" s="20">
        <v>1190</v>
      </c>
      <c r="F147" s="20">
        <v>1108.0999999999999</v>
      </c>
      <c r="G147" s="20">
        <v>1109.54</v>
      </c>
      <c r="H147" s="20">
        <v>10155</v>
      </c>
      <c r="I147" s="8">
        <f t="shared" si="9"/>
        <v>-3.8739785759978052E-4</v>
      </c>
      <c r="J147" s="8">
        <f t="shared" si="10"/>
        <v>-3.8747291553529849E-4</v>
      </c>
      <c r="K147" s="8">
        <f t="shared" si="7"/>
        <v>-0.75768927915244932</v>
      </c>
    </row>
    <row r="148" spans="1:11" x14ac:dyDescent="0.25">
      <c r="A148" t="str">
        <f t="shared" si="8"/>
        <v>82020</v>
      </c>
      <c r="B148" s="1">
        <v>44047</v>
      </c>
      <c r="C148" s="21">
        <v>44047.645830000001</v>
      </c>
      <c r="D148" s="20">
        <v>1110.95</v>
      </c>
      <c r="E148" s="20">
        <v>1110.98</v>
      </c>
      <c r="F148" s="20">
        <v>1107.5</v>
      </c>
      <c r="G148" s="20">
        <v>1108.21</v>
      </c>
      <c r="H148" s="20">
        <v>36318</v>
      </c>
      <c r="I148" s="8">
        <f t="shared" si="9"/>
        <v>-1.1986949546658465E-3</v>
      </c>
      <c r="J148" s="8">
        <f t="shared" si="10"/>
        <v>-1.199413964102439E-3</v>
      </c>
      <c r="K148" s="8">
        <f t="shared" si="7"/>
        <v>-8.3364882259407858E-2</v>
      </c>
    </row>
    <row r="149" spans="1:11" x14ac:dyDescent="0.25">
      <c r="A149" t="str">
        <f t="shared" si="8"/>
        <v>82020</v>
      </c>
      <c r="B149" s="1">
        <v>44048</v>
      </c>
      <c r="C149" s="21">
        <v>44048.645830000001</v>
      </c>
      <c r="D149" s="20">
        <v>1107.95</v>
      </c>
      <c r="E149" s="20">
        <v>1112.8900000000001</v>
      </c>
      <c r="F149" s="20">
        <v>1107.95</v>
      </c>
      <c r="G149" s="20">
        <v>1111.79</v>
      </c>
      <c r="H149" s="20">
        <v>20114</v>
      </c>
      <c r="I149" s="8">
        <f t="shared" si="9"/>
        <v>3.2304346649099092E-3</v>
      </c>
      <c r="J149" s="8">
        <f t="shared" si="10"/>
        <v>3.2252280209830475E-3</v>
      </c>
      <c r="K149" s="8">
        <f t="shared" si="7"/>
        <v>0.57361915193240498</v>
      </c>
    </row>
    <row r="150" spans="1:11" x14ac:dyDescent="0.25">
      <c r="A150" t="str">
        <f t="shared" si="8"/>
        <v>82020</v>
      </c>
      <c r="B150" s="1">
        <v>44049</v>
      </c>
      <c r="C150" s="21">
        <v>44049.645830000001</v>
      </c>
      <c r="D150" s="20">
        <v>1112</v>
      </c>
      <c r="E150" s="20">
        <v>1113.97</v>
      </c>
      <c r="F150" s="20">
        <v>1110.1500000000001</v>
      </c>
      <c r="G150" s="20">
        <v>1112.19</v>
      </c>
      <c r="H150" s="20">
        <v>12793</v>
      </c>
      <c r="I150" s="8">
        <f t="shared" si="9"/>
        <v>3.5978017431359532E-4</v>
      </c>
      <c r="J150" s="8">
        <f t="shared" si="10"/>
        <v>3.5971546894602116E-4</v>
      </c>
      <c r="K150" s="8">
        <f t="shared" si="7"/>
        <v>-0.86249704421849138</v>
      </c>
    </row>
    <row r="151" spans="1:11" x14ac:dyDescent="0.25">
      <c r="A151" t="str">
        <f t="shared" si="8"/>
        <v>82020</v>
      </c>
      <c r="B151" s="1">
        <v>44050</v>
      </c>
      <c r="C151" s="21">
        <v>44050.645830000001</v>
      </c>
      <c r="D151" s="20">
        <v>1109.2</v>
      </c>
      <c r="E151" s="20">
        <v>1111.94</v>
      </c>
      <c r="F151" s="20">
        <v>1108</v>
      </c>
      <c r="G151" s="20">
        <v>1108.56</v>
      </c>
      <c r="H151" s="20">
        <v>83225</v>
      </c>
      <c r="I151" s="8">
        <f t="shared" si="9"/>
        <v>-3.2638308202735944E-3</v>
      </c>
      <c r="J151" s="8">
        <f t="shared" si="10"/>
        <v>-3.2691687339479339E-3</v>
      </c>
      <c r="K151" s="8">
        <f t="shared" si="7"/>
        <v>0.61001702391085666</v>
      </c>
    </row>
    <row r="152" spans="1:11" x14ac:dyDescent="0.25">
      <c r="A152" t="str">
        <f t="shared" si="8"/>
        <v>82020</v>
      </c>
      <c r="B152" s="1">
        <v>44053</v>
      </c>
      <c r="C152" s="21">
        <v>44053.645830000001</v>
      </c>
      <c r="D152" s="20">
        <v>1110</v>
      </c>
      <c r="E152" s="20">
        <v>1110.05</v>
      </c>
      <c r="F152" s="20">
        <v>1103.3</v>
      </c>
      <c r="G152" s="20">
        <v>1105.31</v>
      </c>
      <c r="H152" s="20">
        <v>22172</v>
      </c>
      <c r="I152" s="8">
        <f t="shared" si="9"/>
        <v>-2.9317312549613783E-3</v>
      </c>
      <c r="J152" s="8">
        <f t="shared" si="10"/>
        <v>-2.9360371970062736E-3</v>
      </c>
      <c r="K152" s="8">
        <f t="shared" si="7"/>
        <v>-0.26221216557966187</v>
      </c>
    </row>
    <row r="153" spans="1:11" x14ac:dyDescent="0.25">
      <c r="A153" t="str">
        <f t="shared" si="8"/>
        <v>82020</v>
      </c>
      <c r="B153" s="1">
        <v>44054</v>
      </c>
      <c r="C153" s="21">
        <v>44054.645830000001</v>
      </c>
      <c r="D153" s="20">
        <v>1105.05</v>
      </c>
      <c r="E153" s="20">
        <v>1106</v>
      </c>
      <c r="F153" s="20">
        <v>1102.1600000000001</v>
      </c>
      <c r="G153" s="20">
        <v>1104.04</v>
      </c>
      <c r="H153" s="20">
        <v>26362</v>
      </c>
      <c r="I153" s="8">
        <f t="shared" si="9"/>
        <v>-1.1489989233789411E-3</v>
      </c>
      <c r="J153" s="8">
        <f t="shared" si="10"/>
        <v>-1.1496595287135976E-3</v>
      </c>
      <c r="K153" s="8">
        <f t="shared" si="7"/>
        <v>0.19620655231872219</v>
      </c>
    </row>
    <row r="154" spans="1:11" x14ac:dyDescent="0.25">
      <c r="A154" t="str">
        <f t="shared" si="8"/>
        <v>82020</v>
      </c>
      <c r="B154" s="1">
        <v>44055</v>
      </c>
      <c r="C154" s="21">
        <v>44055.645830000001</v>
      </c>
      <c r="D154" s="20">
        <v>1102</v>
      </c>
      <c r="E154" s="20">
        <v>1104</v>
      </c>
      <c r="F154" s="20">
        <v>1100.1099999999999</v>
      </c>
      <c r="G154" s="20">
        <v>1101.71</v>
      </c>
      <c r="H154" s="20">
        <v>14656</v>
      </c>
      <c r="I154" s="8">
        <f t="shared" si="9"/>
        <v>-2.110430781493311E-3</v>
      </c>
      <c r="J154" s="8">
        <f t="shared" si="10"/>
        <v>-2.1126608787313899E-3</v>
      </c>
      <c r="K154" s="8">
        <f t="shared" si="7"/>
        <v>-0.56408197257666337</v>
      </c>
    </row>
    <row r="155" spans="1:11" x14ac:dyDescent="0.25">
      <c r="A155" t="str">
        <f t="shared" si="8"/>
        <v>82020</v>
      </c>
      <c r="B155" s="1">
        <v>44056</v>
      </c>
      <c r="C155" s="21">
        <v>44056.645830000001</v>
      </c>
      <c r="D155" s="20">
        <v>1101.25</v>
      </c>
      <c r="E155" s="20">
        <v>1105.5</v>
      </c>
      <c r="F155" s="20">
        <v>1099</v>
      </c>
      <c r="G155" s="20">
        <v>1104.44</v>
      </c>
      <c r="H155" s="20">
        <v>18502</v>
      </c>
      <c r="I155" s="8">
        <f t="shared" si="9"/>
        <v>2.4779660709262075E-3</v>
      </c>
      <c r="J155" s="8">
        <f t="shared" si="10"/>
        <v>2.4749009754261001E-3</v>
      </c>
      <c r="K155" s="8">
        <f t="shared" si="7"/>
        <v>-0.27616290442470948</v>
      </c>
    </row>
    <row r="156" spans="1:11" x14ac:dyDescent="0.25">
      <c r="A156" t="str">
        <f t="shared" si="8"/>
        <v>82020</v>
      </c>
      <c r="B156" s="1">
        <v>44057</v>
      </c>
      <c r="C156" s="21">
        <v>44057.645830000001</v>
      </c>
      <c r="D156" s="20">
        <v>1102</v>
      </c>
      <c r="E156" s="20">
        <v>1103.99</v>
      </c>
      <c r="F156" s="20">
        <v>1099.01</v>
      </c>
      <c r="G156" s="20">
        <v>1102.3399999999999</v>
      </c>
      <c r="H156" s="20">
        <v>12054</v>
      </c>
      <c r="I156" s="8">
        <f t="shared" si="9"/>
        <v>-1.9014161022782305E-3</v>
      </c>
      <c r="J156" s="8">
        <f t="shared" si="10"/>
        <v>-1.9032260885972331E-3</v>
      </c>
      <c r="K156" s="8">
        <f t="shared" si="7"/>
        <v>-0.60831844029244508</v>
      </c>
    </row>
    <row r="157" spans="1:11" x14ac:dyDescent="0.25">
      <c r="A157" t="str">
        <f t="shared" si="8"/>
        <v>82020</v>
      </c>
      <c r="B157" s="1">
        <v>44060</v>
      </c>
      <c r="C157" s="21">
        <v>44060.645830000001</v>
      </c>
      <c r="D157" s="20">
        <v>1106</v>
      </c>
      <c r="E157" s="20">
        <v>1106</v>
      </c>
      <c r="F157" s="20">
        <v>1100</v>
      </c>
      <c r="G157" s="20">
        <v>1102.01</v>
      </c>
      <c r="H157" s="20">
        <v>8387</v>
      </c>
      <c r="I157" s="8">
        <f t="shared" si="9"/>
        <v>-2.9936317288670189E-4</v>
      </c>
      <c r="J157" s="8">
        <f t="shared" si="10"/>
        <v>-2.9940799098615779E-4</v>
      </c>
      <c r="K157" s="8">
        <f t="shared" si="7"/>
        <v>-0.77182577468237346</v>
      </c>
    </row>
    <row r="158" spans="1:11" x14ac:dyDescent="0.25">
      <c r="A158" t="str">
        <f t="shared" si="8"/>
        <v>82020</v>
      </c>
      <c r="B158" s="1">
        <v>44061</v>
      </c>
      <c r="C158" s="21">
        <v>44061.645830000001</v>
      </c>
      <c r="D158" s="20">
        <v>1102.01</v>
      </c>
      <c r="E158" s="20">
        <v>1103.5</v>
      </c>
      <c r="F158" s="20">
        <v>1101.5</v>
      </c>
      <c r="G158" s="20">
        <v>1102.28</v>
      </c>
      <c r="H158" s="20">
        <v>12291</v>
      </c>
      <c r="I158" s="8">
        <f t="shared" si="9"/>
        <v>2.4500685111750187E-4</v>
      </c>
      <c r="J158" s="8">
        <f t="shared" si="10"/>
        <v>2.4497684184050686E-4</v>
      </c>
      <c r="K158" s="8">
        <f t="shared" si="7"/>
        <v>-0.5501098096632504</v>
      </c>
    </row>
    <row r="159" spans="1:11" x14ac:dyDescent="0.25">
      <c r="A159" t="str">
        <f t="shared" si="8"/>
        <v>82020</v>
      </c>
      <c r="B159" s="1">
        <v>44062</v>
      </c>
      <c r="C159" s="21">
        <v>44062.645830000001</v>
      </c>
      <c r="D159" s="20">
        <v>1101</v>
      </c>
      <c r="E159" s="20">
        <v>1101.5999999999999</v>
      </c>
      <c r="F159" s="20">
        <v>1098.4000000000001</v>
      </c>
      <c r="G159" s="20">
        <v>1099.8499999999999</v>
      </c>
      <c r="H159" s="20">
        <v>8379</v>
      </c>
      <c r="I159" s="8">
        <f t="shared" si="9"/>
        <v>-2.2045215371775395E-3</v>
      </c>
      <c r="J159" s="8">
        <f t="shared" si="10"/>
        <v>-2.2069550719591878E-3</v>
      </c>
      <c r="K159" s="8">
        <f t="shared" si="7"/>
        <v>-0.88634020618556697</v>
      </c>
    </row>
    <row r="160" spans="1:11" x14ac:dyDescent="0.25">
      <c r="A160" t="str">
        <f t="shared" si="8"/>
        <v>82020</v>
      </c>
      <c r="B160" s="1">
        <v>44063</v>
      </c>
      <c r="C160" s="21">
        <v>44063.645830000001</v>
      </c>
      <c r="D160" s="20">
        <v>1097</v>
      </c>
      <c r="E160" s="20">
        <v>1098.8</v>
      </c>
      <c r="F160" s="20">
        <v>1096</v>
      </c>
      <c r="G160" s="20">
        <v>1097.06</v>
      </c>
      <c r="H160" s="20">
        <v>22265</v>
      </c>
      <c r="I160" s="8">
        <f t="shared" si="9"/>
        <v>-2.536709551302363E-3</v>
      </c>
      <c r="J160" s="8">
        <f t="shared" si="10"/>
        <v>-2.5399324505027158E-3</v>
      </c>
      <c r="K160" s="8">
        <f t="shared" si="7"/>
        <v>-0.57330394787274819</v>
      </c>
    </row>
    <row r="161" spans="1:11" x14ac:dyDescent="0.25">
      <c r="A161" t="str">
        <f t="shared" si="8"/>
        <v>82020</v>
      </c>
      <c r="B161" s="1">
        <v>44064</v>
      </c>
      <c r="C161" s="21">
        <v>44064.645830000001</v>
      </c>
      <c r="D161" s="20">
        <v>1097</v>
      </c>
      <c r="E161" s="20">
        <v>1097.99</v>
      </c>
      <c r="F161" s="20">
        <v>1092.5</v>
      </c>
      <c r="G161" s="20">
        <v>1093.1300000000001</v>
      </c>
      <c r="H161" s="20">
        <v>35725</v>
      </c>
      <c r="I161" s="8">
        <f t="shared" si="9"/>
        <v>-3.5823017884161201E-3</v>
      </c>
      <c r="J161" s="8">
        <f t="shared" si="10"/>
        <v>-3.5887335965137943E-3</v>
      </c>
      <c r="K161" s="8">
        <f t="shared" si="7"/>
        <v>-0.15629501924757339</v>
      </c>
    </row>
    <row r="162" spans="1:11" x14ac:dyDescent="0.25">
      <c r="A162" t="str">
        <f t="shared" si="8"/>
        <v>82020</v>
      </c>
      <c r="B162" s="1">
        <v>44067</v>
      </c>
      <c r="C162" s="21">
        <v>44067.645830000001</v>
      </c>
      <c r="D162" s="20">
        <v>1095</v>
      </c>
      <c r="E162" s="20">
        <v>1095</v>
      </c>
      <c r="F162" s="20">
        <v>1082.1500000000001</v>
      </c>
      <c r="G162" s="20">
        <v>1083.97</v>
      </c>
      <c r="H162" s="20">
        <v>34633</v>
      </c>
      <c r="I162" s="8">
        <f t="shared" si="9"/>
        <v>-8.3796071830433139E-3</v>
      </c>
      <c r="J162" s="8">
        <f t="shared" si="10"/>
        <v>-8.4149134648444212E-3</v>
      </c>
      <c r="K162" s="8">
        <f t="shared" si="7"/>
        <v>-0.58879403488358295</v>
      </c>
    </row>
    <row r="163" spans="1:11" x14ac:dyDescent="0.25">
      <c r="A163" t="str">
        <f t="shared" si="8"/>
        <v>82020</v>
      </c>
      <c r="B163" s="1">
        <v>44068</v>
      </c>
      <c r="C163" s="21">
        <v>44068.645830000001</v>
      </c>
      <c r="D163" s="20">
        <v>1081.01</v>
      </c>
      <c r="E163" s="20">
        <v>1086.8</v>
      </c>
      <c r="F163" s="20">
        <v>1080</v>
      </c>
      <c r="G163" s="20">
        <v>1084.21</v>
      </c>
      <c r="H163" s="20">
        <v>31819</v>
      </c>
      <c r="I163" s="8">
        <f t="shared" si="9"/>
        <v>2.2140834155925937E-4</v>
      </c>
      <c r="J163" s="8">
        <f t="shared" si="10"/>
        <v>2.2138383434973702E-4</v>
      </c>
      <c r="K163" s="8">
        <f t="shared" si="7"/>
        <v>-0.66696322036381905</v>
      </c>
    </row>
    <row r="164" spans="1:11" x14ac:dyDescent="0.25">
      <c r="A164" t="str">
        <f t="shared" si="8"/>
        <v>82020</v>
      </c>
      <c r="B164" s="1">
        <v>44069</v>
      </c>
      <c r="C164" s="21">
        <v>44069.645830000001</v>
      </c>
      <c r="D164" s="20">
        <v>1084</v>
      </c>
      <c r="E164" s="20">
        <v>1086.5</v>
      </c>
      <c r="F164" s="20">
        <v>1082</v>
      </c>
      <c r="G164" s="20">
        <v>1082.3</v>
      </c>
      <c r="H164" s="20">
        <v>29306</v>
      </c>
      <c r="I164" s="8">
        <f t="shared" si="9"/>
        <v>-1.7616513406075729E-3</v>
      </c>
      <c r="J164" s="8">
        <f t="shared" si="10"/>
        <v>-1.7632048731203605E-3</v>
      </c>
      <c r="K164" s="8">
        <f t="shared" si="7"/>
        <v>-0.48195156443344533</v>
      </c>
    </row>
    <row r="165" spans="1:11" x14ac:dyDescent="0.25">
      <c r="A165" t="str">
        <f t="shared" si="8"/>
        <v>82020</v>
      </c>
      <c r="B165" s="1">
        <v>44070</v>
      </c>
      <c r="C165" s="21">
        <v>44070.645830000001</v>
      </c>
      <c r="D165" s="20">
        <v>1084.9100000000001</v>
      </c>
      <c r="E165" s="20">
        <v>1084.94</v>
      </c>
      <c r="F165" s="20">
        <v>1080</v>
      </c>
      <c r="G165" s="20">
        <v>1082.05</v>
      </c>
      <c r="H165" s="20">
        <v>35488</v>
      </c>
      <c r="I165" s="8">
        <f t="shared" si="9"/>
        <v>-2.3098955927192133E-4</v>
      </c>
      <c r="J165" s="8">
        <f t="shared" si="10"/>
        <v>-2.310162414691194E-4</v>
      </c>
      <c r="K165" s="8">
        <f t="shared" si="7"/>
        <v>1.3116206357477851</v>
      </c>
    </row>
    <row r="166" spans="1:11" x14ac:dyDescent="0.25">
      <c r="A166" t="str">
        <f t="shared" si="8"/>
        <v>82020</v>
      </c>
      <c r="B166" s="1">
        <v>44071</v>
      </c>
      <c r="C166" s="21">
        <v>44071.645830000001</v>
      </c>
      <c r="D166" s="20">
        <v>1095</v>
      </c>
      <c r="E166" s="20">
        <v>1095</v>
      </c>
      <c r="F166" s="20">
        <v>1077.5</v>
      </c>
      <c r="G166" s="20">
        <v>1078.42</v>
      </c>
      <c r="H166" s="20">
        <v>59091</v>
      </c>
      <c r="I166" s="8">
        <f t="shared" si="9"/>
        <v>-3.3547433113071401E-3</v>
      </c>
      <c r="J166" s="8">
        <f t="shared" si="10"/>
        <v>-3.3603830794984575E-3</v>
      </c>
      <c r="K166" s="8">
        <f t="shared" si="7"/>
        <v>1.7016733723482078</v>
      </c>
    </row>
    <row r="167" spans="1:11" x14ac:dyDescent="0.25">
      <c r="A167" t="str">
        <f t="shared" si="8"/>
        <v>82020</v>
      </c>
      <c r="B167" s="1">
        <v>44074</v>
      </c>
      <c r="C167" s="21">
        <v>44074.645830000001</v>
      </c>
      <c r="D167" s="20">
        <v>1078</v>
      </c>
      <c r="E167" s="20">
        <v>1084</v>
      </c>
      <c r="F167" s="20">
        <v>1076.1099999999999</v>
      </c>
      <c r="G167" s="20">
        <v>1076.94</v>
      </c>
      <c r="H167" s="20">
        <v>57192</v>
      </c>
      <c r="I167" s="8">
        <f t="shared" si="9"/>
        <v>-1.3723781087146003E-3</v>
      </c>
      <c r="J167" s="8">
        <f t="shared" si="10"/>
        <v>-1.3733206820279252E-3</v>
      </c>
      <c r="K167" s="8">
        <f t="shared" si="7"/>
        <v>1.6306057679039601</v>
      </c>
    </row>
    <row r="168" spans="1:11" x14ac:dyDescent="0.25">
      <c r="A168" t="str">
        <f t="shared" si="8"/>
        <v>92020</v>
      </c>
      <c r="B168" s="1">
        <v>44075</v>
      </c>
      <c r="C168" s="21">
        <v>44075.645830000001</v>
      </c>
      <c r="D168" s="20">
        <v>1076.95</v>
      </c>
      <c r="E168" s="20">
        <v>1096.04</v>
      </c>
      <c r="F168" s="20">
        <v>1076.95</v>
      </c>
      <c r="G168" s="20">
        <v>1095</v>
      </c>
      <c r="H168" s="20">
        <v>87662</v>
      </c>
      <c r="I168" s="8">
        <f t="shared" si="9"/>
        <v>1.6769736475569674E-2</v>
      </c>
      <c r="J168" s="8">
        <f t="shared" si="10"/>
        <v>1.6630676952496079E-2</v>
      </c>
      <c r="K168" s="8">
        <f t="shared" si="7"/>
        <v>6.441595925297114</v>
      </c>
    </row>
    <row r="169" spans="1:11" x14ac:dyDescent="0.25">
      <c r="A169" t="str">
        <f t="shared" si="8"/>
        <v>92020</v>
      </c>
      <c r="B169" s="1">
        <v>44076</v>
      </c>
      <c r="C169" s="21">
        <v>44076.645830000001</v>
      </c>
      <c r="D169" s="20">
        <v>1098</v>
      </c>
      <c r="E169" s="20">
        <v>1099.75</v>
      </c>
      <c r="F169" s="20">
        <v>1095</v>
      </c>
      <c r="G169" s="20">
        <v>1095.27</v>
      </c>
      <c r="H169" s="20">
        <v>62927</v>
      </c>
      <c r="I169" s="8">
        <f t="shared" si="9"/>
        <v>2.4657534246563806E-4</v>
      </c>
      <c r="J169" s="8">
        <f t="shared" si="10"/>
        <v>2.46544947762169E-4</v>
      </c>
      <c r="K169" s="8">
        <f t="shared" si="7"/>
        <v>1.8155257270693514</v>
      </c>
    </row>
    <row r="170" spans="1:11" x14ac:dyDescent="0.25">
      <c r="A170" t="str">
        <f t="shared" si="8"/>
        <v>92020</v>
      </c>
      <c r="B170" s="1">
        <v>44077</v>
      </c>
      <c r="C170" s="21">
        <v>44077.645830000001</v>
      </c>
      <c r="D170" s="20">
        <v>1099.99</v>
      </c>
      <c r="E170" s="20">
        <v>1103.8</v>
      </c>
      <c r="F170" s="20">
        <v>1096.02</v>
      </c>
      <c r="G170" s="20">
        <v>1102.48</v>
      </c>
      <c r="H170" s="20">
        <v>11193</v>
      </c>
      <c r="I170" s="8">
        <f t="shared" si="9"/>
        <v>6.5828517169281842E-3</v>
      </c>
      <c r="J170" s="8">
        <f t="shared" si="10"/>
        <v>6.5612793685258719E-3</v>
      </c>
      <c r="K170" s="8">
        <f t="shared" si="7"/>
        <v>-0.45202193283070591</v>
      </c>
    </row>
    <row r="171" spans="1:11" x14ac:dyDescent="0.25">
      <c r="A171" t="str">
        <f t="shared" si="8"/>
        <v>92020</v>
      </c>
      <c r="B171" s="1">
        <v>44078</v>
      </c>
      <c r="C171" s="21">
        <v>44078.645830000001</v>
      </c>
      <c r="D171" s="20">
        <v>1101</v>
      </c>
      <c r="E171" s="20">
        <v>1106</v>
      </c>
      <c r="F171" s="20">
        <v>1101</v>
      </c>
      <c r="G171" s="20">
        <v>1105.05</v>
      </c>
      <c r="H171" s="20">
        <v>12981</v>
      </c>
      <c r="I171" s="8">
        <f t="shared" si="9"/>
        <v>2.3311080473114032E-3</v>
      </c>
      <c r="J171" s="8">
        <f t="shared" si="10"/>
        <v>2.3283952300427648E-3</v>
      </c>
      <c r="K171" s="8">
        <f t="shared" si="7"/>
        <v>-0.40110726643598615</v>
      </c>
    </row>
    <row r="172" spans="1:11" x14ac:dyDescent="0.25">
      <c r="A172" t="str">
        <f t="shared" si="8"/>
        <v>92020</v>
      </c>
      <c r="B172" s="1">
        <v>44081</v>
      </c>
      <c r="C172" s="21">
        <v>44081.645830000001</v>
      </c>
      <c r="D172" s="20">
        <v>1105</v>
      </c>
      <c r="E172" s="20">
        <v>1111</v>
      </c>
      <c r="F172" s="20">
        <v>1105</v>
      </c>
      <c r="G172" s="20">
        <v>1108.49</v>
      </c>
      <c r="H172" s="20">
        <v>40900</v>
      </c>
      <c r="I172" s="8">
        <f t="shared" si="9"/>
        <v>3.1129813130628126E-3</v>
      </c>
      <c r="J172" s="8">
        <f t="shared" si="10"/>
        <v>3.1081460189230779E-3</v>
      </c>
      <c r="K172" s="8">
        <f t="shared" si="7"/>
        <v>1.6936248682824027</v>
      </c>
    </row>
    <row r="173" spans="1:11" x14ac:dyDescent="0.25">
      <c r="A173" t="str">
        <f t="shared" si="8"/>
        <v>92020</v>
      </c>
      <c r="B173" s="1">
        <v>44082</v>
      </c>
      <c r="C173" s="21">
        <v>44082.645830000001</v>
      </c>
      <c r="D173" s="20">
        <v>1108.8900000000001</v>
      </c>
      <c r="E173" s="20">
        <v>1109.98</v>
      </c>
      <c r="F173" s="20">
        <v>1101.05</v>
      </c>
      <c r="G173" s="20">
        <v>1102.8699999999999</v>
      </c>
      <c r="H173" s="20">
        <v>8654</v>
      </c>
      <c r="I173" s="8">
        <f t="shared" si="9"/>
        <v>-5.0699600357243524E-3</v>
      </c>
      <c r="J173" s="8">
        <f t="shared" si="10"/>
        <v>-5.0828558892130754E-3</v>
      </c>
      <c r="K173" s="8">
        <f t="shared" si="7"/>
        <v>-0.59538058724518428</v>
      </c>
    </row>
    <row r="174" spans="1:11" x14ac:dyDescent="0.25">
      <c r="A174" t="str">
        <f t="shared" si="8"/>
        <v>92020</v>
      </c>
      <c r="B174" s="1">
        <v>44083</v>
      </c>
      <c r="C174" s="21">
        <v>44083.645830000001</v>
      </c>
      <c r="D174" s="20">
        <v>1101.99</v>
      </c>
      <c r="E174" s="20">
        <v>1104</v>
      </c>
      <c r="F174" s="20">
        <v>1097.25</v>
      </c>
      <c r="G174" s="20">
        <v>1098.52</v>
      </c>
      <c r="H174" s="20">
        <v>19126</v>
      </c>
      <c r="I174" s="8">
        <f t="shared" si="9"/>
        <v>-3.944254535892644E-3</v>
      </c>
      <c r="J174" s="8">
        <f t="shared" si="10"/>
        <v>-3.9520536222907221E-3</v>
      </c>
      <c r="K174" s="8">
        <f t="shared" si="7"/>
        <v>-0.8061462366463279</v>
      </c>
    </row>
    <row r="175" spans="1:11" x14ac:dyDescent="0.25">
      <c r="A175" t="str">
        <f t="shared" si="8"/>
        <v>92020</v>
      </c>
      <c r="B175" s="1">
        <v>44084</v>
      </c>
      <c r="C175" s="21">
        <v>44084.645830000001</v>
      </c>
      <c r="D175" s="20">
        <v>1100</v>
      </c>
      <c r="E175" s="20">
        <v>1101</v>
      </c>
      <c r="F175" s="20">
        <v>1098.7</v>
      </c>
      <c r="G175" s="20">
        <v>1100.19</v>
      </c>
      <c r="H175" s="20">
        <v>13555</v>
      </c>
      <c r="I175" s="8">
        <f t="shared" si="9"/>
        <v>1.5202272147980533E-3</v>
      </c>
      <c r="J175" s="8">
        <f t="shared" si="10"/>
        <v>1.5190728391997861E-3</v>
      </c>
      <c r="K175" s="8">
        <f t="shared" si="7"/>
        <v>-0.29897600330988827</v>
      </c>
    </row>
    <row r="176" spans="1:11" x14ac:dyDescent="0.25">
      <c r="A176" t="str">
        <f t="shared" si="8"/>
        <v>92020</v>
      </c>
      <c r="B176" s="1">
        <v>44085</v>
      </c>
      <c r="C176" s="21">
        <v>44085.645830000001</v>
      </c>
      <c r="D176" s="20">
        <v>1102.92</v>
      </c>
      <c r="E176" s="20">
        <v>1103.3399999999999</v>
      </c>
      <c r="F176" s="20">
        <v>1099.2</v>
      </c>
      <c r="G176" s="20">
        <v>1100.1500000000001</v>
      </c>
      <c r="H176" s="20">
        <v>6645</v>
      </c>
      <c r="I176" s="8">
        <f t="shared" si="9"/>
        <v>-3.6357356456573342E-5</v>
      </c>
      <c r="J176" s="8">
        <f t="shared" si="10"/>
        <v>-3.6358017401277779E-5</v>
      </c>
      <c r="K176" s="8">
        <f t="shared" si="7"/>
        <v>-0.33256327842507027</v>
      </c>
    </row>
    <row r="177" spans="1:11" x14ac:dyDescent="0.25">
      <c r="A177" t="str">
        <f t="shared" si="8"/>
        <v>92020</v>
      </c>
      <c r="B177" s="1">
        <v>44088</v>
      </c>
      <c r="C177" s="21">
        <v>44088.645830000001</v>
      </c>
      <c r="D177" s="20">
        <v>1100</v>
      </c>
      <c r="E177" s="20">
        <v>1102.25</v>
      </c>
      <c r="F177" s="20">
        <v>1098.6199999999999</v>
      </c>
      <c r="G177" s="20">
        <v>1099.98</v>
      </c>
      <c r="H177" s="20">
        <v>7399</v>
      </c>
      <c r="I177" s="8">
        <f t="shared" si="9"/>
        <v>-1.545243830387566E-4</v>
      </c>
      <c r="J177" s="8">
        <f t="shared" si="10"/>
        <v>-1.5453632316127591E-4</v>
      </c>
      <c r="K177" s="8">
        <f t="shared" si="7"/>
        <v>-0.41606818719911609</v>
      </c>
    </row>
    <row r="178" spans="1:11" x14ac:dyDescent="0.25">
      <c r="A178" t="str">
        <f t="shared" si="8"/>
        <v>92020</v>
      </c>
      <c r="B178" s="1">
        <v>44089</v>
      </c>
      <c r="C178" s="21">
        <v>44089.645830000001</v>
      </c>
      <c r="D178" s="20">
        <v>1102</v>
      </c>
      <c r="E178" s="20">
        <v>1103.26</v>
      </c>
      <c r="F178" s="20">
        <v>1099.8</v>
      </c>
      <c r="G178" s="20">
        <v>1100.33</v>
      </c>
      <c r="H178" s="20">
        <v>12918</v>
      </c>
      <c r="I178" s="8">
        <f t="shared" si="9"/>
        <v>3.1818760341084662E-4</v>
      </c>
      <c r="J178" s="8">
        <f t="shared" si="10"/>
        <v>3.1813699247092896E-4</v>
      </c>
      <c r="K178" s="8">
        <f t="shared" si="7"/>
        <v>-0.48328000000000004</v>
      </c>
    </row>
    <row r="179" spans="1:11" x14ac:dyDescent="0.25">
      <c r="A179" t="str">
        <f t="shared" si="8"/>
        <v>92020</v>
      </c>
      <c r="B179" s="1">
        <v>44090</v>
      </c>
      <c r="C179" s="21">
        <v>44090.645830000001</v>
      </c>
      <c r="D179" s="20">
        <v>1098.17</v>
      </c>
      <c r="E179" s="20">
        <v>1102.3800000000001</v>
      </c>
      <c r="F179" s="20">
        <v>1098.1199999999999</v>
      </c>
      <c r="G179" s="20">
        <v>1099.99</v>
      </c>
      <c r="H179" s="20">
        <v>16119</v>
      </c>
      <c r="I179" s="8">
        <f t="shared" si="9"/>
        <v>-3.089982096279309E-4</v>
      </c>
      <c r="J179" s="8">
        <f t="shared" si="10"/>
        <v>-3.0904595941135926E-4</v>
      </c>
      <c r="K179" s="8">
        <f t="shared" si="7"/>
        <v>-0.54316404035823607</v>
      </c>
    </row>
    <row r="180" spans="1:11" x14ac:dyDescent="0.25">
      <c r="A180" t="str">
        <f t="shared" si="8"/>
        <v>92020</v>
      </c>
      <c r="B180" s="1">
        <v>44091</v>
      </c>
      <c r="C180" s="21">
        <v>44091.645830000001</v>
      </c>
      <c r="D180" s="20">
        <v>1100</v>
      </c>
      <c r="E180" s="20">
        <v>1101.5</v>
      </c>
      <c r="F180" s="20">
        <v>1099.0999999999999</v>
      </c>
      <c r="G180" s="20">
        <v>1099.82</v>
      </c>
      <c r="H180" s="20">
        <v>6339</v>
      </c>
      <c r="I180" s="8">
        <f t="shared" si="9"/>
        <v>-1.5454685951699076E-4</v>
      </c>
      <c r="J180" s="8">
        <f t="shared" si="10"/>
        <v>-1.5455880311346343E-4</v>
      </c>
      <c r="K180" s="8">
        <f t="shared" si="7"/>
        <v>7.6413652572592916E-2</v>
      </c>
    </row>
    <row r="181" spans="1:11" x14ac:dyDescent="0.25">
      <c r="A181" t="str">
        <f t="shared" si="8"/>
        <v>92020</v>
      </c>
      <c r="B181" s="1">
        <v>44092</v>
      </c>
      <c r="C181" s="21">
        <v>44092.645830000001</v>
      </c>
      <c r="D181" s="20">
        <v>1100.5</v>
      </c>
      <c r="E181" s="20">
        <v>1101</v>
      </c>
      <c r="F181" s="20">
        <v>1099.6600000000001</v>
      </c>
      <c r="G181" s="20">
        <v>1100.6199999999999</v>
      </c>
      <c r="H181" s="20">
        <v>12111</v>
      </c>
      <c r="I181" s="8">
        <f t="shared" si="9"/>
        <v>7.2739175501435049E-4</v>
      </c>
      <c r="J181" s="8">
        <f t="shared" si="10"/>
        <v>7.2712733384913317E-4</v>
      </c>
      <c r="K181" s="8">
        <f t="shared" si="7"/>
        <v>-0.3490109653837884</v>
      </c>
    </row>
    <row r="182" spans="1:11" x14ac:dyDescent="0.25">
      <c r="A182" t="str">
        <f t="shared" si="8"/>
        <v>92020</v>
      </c>
      <c r="B182" s="1">
        <v>44095</v>
      </c>
      <c r="C182" s="21">
        <v>44095.645830000001</v>
      </c>
      <c r="D182" s="20">
        <v>1103</v>
      </c>
      <c r="E182" s="20">
        <v>1103.0999999999999</v>
      </c>
      <c r="F182" s="20">
        <v>1100</v>
      </c>
      <c r="G182" s="20">
        <v>1100.31</v>
      </c>
      <c r="H182" s="20">
        <v>10305</v>
      </c>
      <c r="I182" s="8">
        <f t="shared" si="9"/>
        <v>-2.8165942832214519E-4</v>
      </c>
      <c r="J182" s="8">
        <f t="shared" si="10"/>
        <v>-2.816991017887054E-4</v>
      </c>
      <c r="K182" s="8">
        <f t="shared" si="7"/>
        <v>0.1833945796968306</v>
      </c>
    </row>
    <row r="183" spans="1:11" x14ac:dyDescent="0.25">
      <c r="A183" t="str">
        <f t="shared" si="8"/>
        <v>92020</v>
      </c>
      <c r="B183" s="1">
        <v>44096</v>
      </c>
      <c r="C183" s="21">
        <v>44096.645830000001</v>
      </c>
      <c r="D183" s="20">
        <v>1100.01</v>
      </c>
      <c r="E183" s="20">
        <v>1102.9100000000001</v>
      </c>
      <c r="F183" s="20">
        <v>1099</v>
      </c>
      <c r="G183" s="20">
        <v>1100.1300000000001</v>
      </c>
      <c r="H183" s="20">
        <v>2957</v>
      </c>
      <c r="I183" s="8">
        <f t="shared" si="9"/>
        <v>-1.6359026092627182E-4</v>
      </c>
      <c r="J183" s="8">
        <f t="shared" si="10"/>
        <v>-1.636036432725077E-4</v>
      </c>
      <c r="K183" s="8">
        <f t="shared" si="7"/>
        <v>-0.90805920029848886</v>
      </c>
    </row>
    <row r="184" spans="1:11" x14ac:dyDescent="0.25">
      <c r="A184" t="str">
        <f t="shared" si="8"/>
        <v>92020</v>
      </c>
      <c r="B184" s="1">
        <v>44097</v>
      </c>
      <c r="C184" s="21">
        <v>44097.645830000001</v>
      </c>
      <c r="D184" s="20">
        <v>1099.1600000000001</v>
      </c>
      <c r="E184" s="20">
        <v>1102.99</v>
      </c>
      <c r="F184" s="20">
        <v>1099.0999999999999</v>
      </c>
      <c r="G184" s="20">
        <v>1101.23</v>
      </c>
      <c r="H184" s="20">
        <v>6125</v>
      </c>
      <c r="I184" s="8">
        <f t="shared" si="9"/>
        <v>9.9988183214705373E-4</v>
      </c>
      <c r="J184" s="8">
        <f t="shared" si="10"/>
        <v>9.9938228327342213E-4</v>
      </c>
      <c r="K184" s="8">
        <f t="shared" si="7"/>
        <v>-0.58113930110100531</v>
      </c>
    </row>
    <row r="185" spans="1:11" x14ac:dyDescent="0.25">
      <c r="A185" t="str">
        <f t="shared" si="8"/>
        <v>92020</v>
      </c>
      <c r="B185" s="1">
        <v>44098</v>
      </c>
      <c r="C185" s="21">
        <v>44098.645830000001</v>
      </c>
      <c r="D185" s="20">
        <v>1098.55</v>
      </c>
      <c r="E185" s="20">
        <v>1102.92</v>
      </c>
      <c r="F185" s="20">
        <v>1098.55</v>
      </c>
      <c r="G185" s="20">
        <v>1100.5899999999999</v>
      </c>
      <c r="H185" s="20">
        <v>3416</v>
      </c>
      <c r="I185" s="8">
        <f t="shared" si="9"/>
        <v>-5.8116832995835921E-4</v>
      </c>
      <c r="J185" s="8">
        <f t="shared" si="10"/>
        <v>-5.8133727373191736E-4</v>
      </c>
      <c r="K185" s="8">
        <f t="shared" si="7"/>
        <v>-0.78323497683863186</v>
      </c>
    </row>
    <row r="186" spans="1:11" x14ac:dyDescent="0.25">
      <c r="A186" t="str">
        <f t="shared" si="8"/>
        <v>92020</v>
      </c>
      <c r="B186" s="1">
        <v>44099</v>
      </c>
      <c r="C186" s="21">
        <v>44099.645830000001</v>
      </c>
      <c r="D186" s="20">
        <v>1097.56</v>
      </c>
      <c r="E186" s="20">
        <v>1100.99</v>
      </c>
      <c r="F186" s="20">
        <v>1097.51</v>
      </c>
      <c r="G186" s="20">
        <v>1099.99</v>
      </c>
      <c r="H186" s="20">
        <v>5555</v>
      </c>
      <c r="I186" s="8">
        <f t="shared" si="9"/>
        <v>-5.4516214030653209E-4</v>
      </c>
      <c r="J186" s="8">
        <f t="shared" si="10"/>
        <v>-5.4531079521595149E-4</v>
      </c>
      <c r="K186" s="8">
        <f t="shared" si="7"/>
        <v>-0.89884550950542641</v>
      </c>
    </row>
    <row r="187" spans="1:11" x14ac:dyDescent="0.25">
      <c r="A187" t="str">
        <f t="shared" si="8"/>
        <v>92020</v>
      </c>
      <c r="B187" s="1">
        <v>44102</v>
      </c>
      <c r="C187" s="21">
        <v>44102.645830000001</v>
      </c>
      <c r="D187" s="20">
        <v>1101.9000000000001</v>
      </c>
      <c r="E187" s="20">
        <v>1101.95</v>
      </c>
      <c r="F187" s="20">
        <v>1097</v>
      </c>
      <c r="G187" s="20">
        <v>1101.4100000000001</v>
      </c>
      <c r="H187" s="20">
        <v>16283</v>
      </c>
      <c r="I187" s="8">
        <f t="shared" si="9"/>
        <v>1.2909208265530214E-3</v>
      </c>
      <c r="J187" s="8">
        <f t="shared" si="10"/>
        <v>1.290088304665679E-3</v>
      </c>
      <c r="K187" s="8">
        <f t="shared" si="7"/>
        <v>-0.79888592460846797</v>
      </c>
    </row>
    <row r="188" spans="1:11" x14ac:dyDescent="0.25">
      <c r="A188" t="str">
        <f t="shared" si="8"/>
        <v>92020</v>
      </c>
      <c r="B188" s="1">
        <v>44103</v>
      </c>
      <c r="C188" s="21">
        <v>44103.645830000001</v>
      </c>
      <c r="D188" s="20">
        <v>1097.05</v>
      </c>
      <c r="E188" s="20">
        <v>1099.92</v>
      </c>
      <c r="F188" s="20">
        <v>1096.95</v>
      </c>
      <c r="G188" s="20">
        <v>1097.99</v>
      </c>
      <c r="H188" s="20">
        <v>27012</v>
      </c>
      <c r="I188" s="8">
        <f t="shared" si="9"/>
        <v>-3.1051107217113794E-3</v>
      </c>
      <c r="J188" s="8">
        <f t="shared" si="10"/>
        <v>-3.109941580835344E-3</v>
      </c>
      <c r="K188" s="8">
        <f t="shared" si="7"/>
        <v>-0.50000925497454884</v>
      </c>
    </row>
    <row r="189" spans="1:11" x14ac:dyDescent="0.25">
      <c r="A189" t="str">
        <f t="shared" si="8"/>
        <v>92020</v>
      </c>
      <c r="B189" s="1">
        <v>44104</v>
      </c>
      <c r="C189" s="21">
        <v>44104.645830000001</v>
      </c>
      <c r="D189" s="20">
        <v>1098.0999999999999</v>
      </c>
      <c r="E189" s="20">
        <v>1101.5</v>
      </c>
      <c r="F189" s="20">
        <v>1097</v>
      </c>
      <c r="G189" s="20">
        <v>1101.1400000000001</v>
      </c>
      <c r="H189" s="20">
        <v>10445</v>
      </c>
      <c r="I189" s="8">
        <f t="shared" si="9"/>
        <v>2.8688785872368339E-3</v>
      </c>
      <c r="J189" s="8">
        <f t="shared" si="10"/>
        <v>2.8647712089006306E-3</v>
      </c>
      <c r="K189" s="8">
        <f t="shared" si="7"/>
        <v>-0.75464518099175493</v>
      </c>
    </row>
    <row r="190" spans="1:11" x14ac:dyDescent="0.25">
      <c r="A190" t="str">
        <f t="shared" si="8"/>
        <v>102020</v>
      </c>
      <c r="B190" s="1">
        <v>44105</v>
      </c>
      <c r="C190" s="21">
        <v>44105.645830000001</v>
      </c>
      <c r="D190" s="20">
        <v>1100</v>
      </c>
      <c r="E190" s="20">
        <v>1101.8900000000001</v>
      </c>
      <c r="F190" s="20">
        <v>1097.05</v>
      </c>
      <c r="G190" s="20">
        <v>1101.54</v>
      </c>
      <c r="H190" s="20">
        <v>8879</v>
      </c>
      <c r="I190" s="8">
        <f t="shared" si="9"/>
        <v>3.6325989429131234E-4</v>
      </c>
      <c r="J190" s="8">
        <f t="shared" si="10"/>
        <v>3.6319393138987965E-4</v>
      </c>
      <c r="K190" s="8">
        <f t="shared" si="7"/>
        <v>-0.49796449168834112</v>
      </c>
    </row>
    <row r="191" spans="1:11" x14ac:dyDescent="0.25">
      <c r="A191" t="str">
        <f t="shared" si="8"/>
        <v>102020</v>
      </c>
      <c r="B191" s="1">
        <v>44109</v>
      </c>
      <c r="C191" s="21">
        <v>44109.645830000001</v>
      </c>
      <c r="D191" s="20">
        <v>1102</v>
      </c>
      <c r="E191" s="20">
        <v>1102</v>
      </c>
      <c r="F191" s="20">
        <v>1100</v>
      </c>
      <c r="G191" s="20">
        <v>1101.96</v>
      </c>
      <c r="H191" s="20">
        <v>6591</v>
      </c>
      <c r="I191" s="8">
        <f t="shared" si="9"/>
        <v>3.8128438368101314E-4</v>
      </c>
      <c r="J191" s="8">
        <f t="shared" si="10"/>
        <v>3.812117132618708E-4</v>
      </c>
      <c r="K191" s="8">
        <f t="shared" si="7"/>
        <v>-0.74809860500668834</v>
      </c>
    </row>
    <row r="192" spans="1:11" x14ac:dyDescent="0.25">
      <c r="A192" t="str">
        <f t="shared" si="8"/>
        <v>102020</v>
      </c>
      <c r="B192" s="1">
        <v>44110</v>
      </c>
      <c r="C192" s="21">
        <v>44110.645830000001</v>
      </c>
      <c r="D192" s="20">
        <v>1103</v>
      </c>
      <c r="E192" s="20">
        <v>1103</v>
      </c>
      <c r="F192" s="20">
        <v>1101.8</v>
      </c>
      <c r="G192" s="20">
        <v>1102.1099999999999</v>
      </c>
      <c r="H192" s="20">
        <v>21801</v>
      </c>
      <c r="I192" s="8">
        <f t="shared" si="9"/>
        <v>1.3612109332439282E-4</v>
      </c>
      <c r="J192" s="8">
        <f t="shared" si="10"/>
        <v>1.3611182968901016E-4</v>
      </c>
      <c r="K192" s="8">
        <f t="shared" si="7"/>
        <v>0.46778428600282762</v>
      </c>
    </row>
    <row r="193" spans="1:11" x14ac:dyDescent="0.25">
      <c r="A193" t="str">
        <f t="shared" si="8"/>
        <v>102020</v>
      </c>
      <c r="B193" s="1">
        <v>44111</v>
      </c>
      <c r="C193" s="21">
        <v>44111.645830000001</v>
      </c>
      <c r="D193" s="20">
        <v>1099.02</v>
      </c>
      <c r="E193" s="20">
        <v>1102.99</v>
      </c>
      <c r="F193" s="20">
        <v>1099.02</v>
      </c>
      <c r="G193" s="20">
        <v>1100.5899999999999</v>
      </c>
      <c r="H193" s="20">
        <v>9275</v>
      </c>
      <c r="I193" s="8">
        <f t="shared" si="9"/>
        <v>-1.3791726778633606E-3</v>
      </c>
      <c r="J193" s="8">
        <f t="shared" si="10"/>
        <v>-1.3801246118559467E-3</v>
      </c>
      <c r="K193" s="8">
        <f t="shared" ref="K193:K256" si="11">+H193/H131-1</f>
        <v>-0.68122766015947211</v>
      </c>
    </row>
    <row r="194" spans="1:11" x14ac:dyDescent="0.25">
      <c r="A194" t="str">
        <f t="shared" si="8"/>
        <v>102020</v>
      </c>
      <c r="B194" s="1">
        <v>44112</v>
      </c>
      <c r="C194" s="21">
        <v>44112.645830000001</v>
      </c>
      <c r="D194" s="20">
        <v>1102</v>
      </c>
      <c r="E194" s="20">
        <v>1102.97</v>
      </c>
      <c r="F194" s="20">
        <v>1098.1600000000001</v>
      </c>
      <c r="G194" s="20">
        <v>1101.1099999999999</v>
      </c>
      <c r="H194" s="20">
        <v>6323</v>
      </c>
      <c r="I194" s="8">
        <f t="shared" si="9"/>
        <v>4.7247385493243144E-4</v>
      </c>
      <c r="J194" s="8">
        <f t="shared" si="10"/>
        <v>4.7236227430520338E-4</v>
      </c>
      <c r="K194" s="8">
        <f t="shared" si="11"/>
        <v>-0.61229995707891349</v>
      </c>
    </row>
    <row r="195" spans="1:11" x14ac:dyDescent="0.25">
      <c r="A195" t="str">
        <f t="shared" ref="A195:A258" si="12">+MONTH(B195)&amp;YEAR(B195)</f>
        <v>102020</v>
      </c>
      <c r="B195" s="1">
        <v>44113</v>
      </c>
      <c r="C195" s="21">
        <v>44113.645830000001</v>
      </c>
      <c r="D195" s="20">
        <v>1100.05</v>
      </c>
      <c r="E195" s="20">
        <v>1108.5</v>
      </c>
      <c r="F195" s="20">
        <v>1100</v>
      </c>
      <c r="G195" s="20">
        <v>1106.3800000000001</v>
      </c>
      <c r="H195" s="20">
        <v>21940</v>
      </c>
      <c r="I195" s="8">
        <f t="shared" si="9"/>
        <v>4.7860795015939317E-3</v>
      </c>
      <c r="J195" s="8">
        <f t="shared" si="10"/>
        <v>4.7746626366197836E-3</v>
      </c>
      <c r="K195" s="8">
        <f t="shared" si="11"/>
        <v>-9.6784817422090441E-2</v>
      </c>
    </row>
    <row r="196" spans="1:11" x14ac:dyDescent="0.25">
      <c r="A196" t="str">
        <f t="shared" si="12"/>
        <v>102020</v>
      </c>
      <c r="B196" s="1">
        <v>44116</v>
      </c>
      <c r="C196" s="21">
        <v>44116.645830000001</v>
      </c>
      <c r="D196" s="20">
        <v>1108.05</v>
      </c>
      <c r="E196" s="20">
        <v>1112</v>
      </c>
      <c r="F196" s="20">
        <v>1108</v>
      </c>
      <c r="G196" s="20">
        <v>1110.54</v>
      </c>
      <c r="H196" s="20">
        <v>15454</v>
      </c>
      <c r="I196" s="8">
        <f t="shared" ref="I196:I259" si="13">+G196/G195-1</f>
        <v>3.7600101231041183E-3</v>
      </c>
      <c r="J196" s="8">
        <f t="shared" ref="J196:J259" si="14">LN(1+I196)</f>
        <v>3.7529589544910104E-3</v>
      </c>
      <c r="K196" s="8">
        <f t="shared" si="11"/>
        <v>-0.22259671009608129</v>
      </c>
    </row>
    <row r="197" spans="1:11" x14ac:dyDescent="0.25">
      <c r="A197" t="str">
        <f t="shared" si="12"/>
        <v>102020</v>
      </c>
      <c r="B197" s="1">
        <v>44117</v>
      </c>
      <c r="C197" s="21">
        <v>44117.645830000001</v>
      </c>
      <c r="D197" s="20">
        <v>1110.05</v>
      </c>
      <c r="E197" s="20">
        <v>1113.99</v>
      </c>
      <c r="F197" s="20">
        <v>1110</v>
      </c>
      <c r="G197" s="20">
        <v>1112.6600000000001</v>
      </c>
      <c r="H197" s="20">
        <v>2478</v>
      </c>
      <c r="I197" s="8">
        <f t="shared" si="13"/>
        <v>1.9089812163453068E-3</v>
      </c>
      <c r="J197" s="8">
        <f t="shared" si="14"/>
        <v>1.9071614272971483E-3</v>
      </c>
      <c r="K197" s="8">
        <f t="shared" si="11"/>
        <v>-0.87565858798735507</v>
      </c>
    </row>
    <row r="198" spans="1:11" x14ac:dyDescent="0.25">
      <c r="A198" t="str">
        <f t="shared" si="12"/>
        <v>102020</v>
      </c>
      <c r="B198" s="1">
        <v>44118</v>
      </c>
      <c r="C198" s="21">
        <v>44118.645830000001</v>
      </c>
      <c r="D198" s="20">
        <v>1114.94</v>
      </c>
      <c r="E198" s="20">
        <v>1115</v>
      </c>
      <c r="F198" s="20">
        <v>1111.02</v>
      </c>
      <c r="G198" s="20">
        <v>1114.8699999999999</v>
      </c>
      <c r="H198" s="20">
        <v>16808</v>
      </c>
      <c r="I198" s="8">
        <f t="shared" si="13"/>
        <v>1.9862311937157706E-3</v>
      </c>
      <c r="J198" s="8">
        <f t="shared" si="14"/>
        <v>1.9842612446232481E-3</v>
      </c>
      <c r="K198" s="8">
        <f t="shared" si="11"/>
        <v>-0.76254185326985291</v>
      </c>
    </row>
    <row r="199" spans="1:11" x14ac:dyDescent="0.25">
      <c r="A199" t="str">
        <f t="shared" si="12"/>
        <v>102020</v>
      </c>
      <c r="B199" s="1">
        <v>44119</v>
      </c>
      <c r="C199" s="21">
        <v>44119.645830000001</v>
      </c>
      <c r="D199" s="20">
        <v>1114.95</v>
      </c>
      <c r="E199" s="20">
        <v>1115</v>
      </c>
      <c r="F199" s="20">
        <v>1111.17</v>
      </c>
      <c r="G199" s="20">
        <v>1113.1099999999999</v>
      </c>
      <c r="H199" s="20">
        <v>4456</v>
      </c>
      <c r="I199" s="8">
        <f t="shared" si="13"/>
        <v>-1.5786593952658023E-3</v>
      </c>
      <c r="J199" s="8">
        <f t="shared" si="14"/>
        <v>-1.5799067909904384E-3</v>
      </c>
      <c r="K199" s="8">
        <f t="shared" si="11"/>
        <v>-0.85764033097984094</v>
      </c>
    </row>
    <row r="200" spans="1:11" x14ac:dyDescent="0.25">
      <c r="A200" t="str">
        <f t="shared" si="12"/>
        <v>102020</v>
      </c>
      <c r="B200" s="1">
        <v>44120</v>
      </c>
      <c r="C200" s="21">
        <v>44120.645830000001</v>
      </c>
      <c r="D200" s="20">
        <v>1114.99</v>
      </c>
      <c r="E200" s="20">
        <v>1116.7</v>
      </c>
      <c r="F200" s="20">
        <v>1114.2</v>
      </c>
      <c r="G200" s="20">
        <v>1116.54</v>
      </c>
      <c r="H200" s="20">
        <v>17136</v>
      </c>
      <c r="I200" s="8">
        <f t="shared" si="13"/>
        <v>3.0814564598289351E-3</v>
      </c>
      <c r="J200" s="8">
        <f t="shared" si="14"/>
        <v>3.0767185035806784E-3</v>
      </c>
      <c r="K200" s="8">
        <f t="shared" si="11"/>
        <v>0.13101445449145266</v>
      </c>
    </row>
    <row r="201" spans="1:11" x14ac:dyDescent="0.25">
      <c r="A201" t="str">
        <f t="shared" si="12"/>
        <v>102020</v>
      </c>
      <c r="B201" s="1">
        <v>44123</v>
      </c>
      <c r="C201" s="21">
        <v>44123.645830000001</v>
      </c>
      <c r="D201" s="20">
        <v>1115.95</v>
      </c>
      <c r="E201" s="20">
        <v>1119.9000000000001</v>
      </c>
      <c r="F201" s="20">
        <v>1115.55</v>
      </c>
      <c r="G201" s="20">
        <v>1119.83</v>
      </c>
      <c r="H201" s="20">
        <v>40035</v>
      </c>
      <c r="I201" s="8">
        <f t="shared" si="13"/>
        <v>2.9466028982392256E-3</v>
      </c>
      <c r="J201" s="8">
        <f t="shared" si="14"/>
        <v>2.9422701730463575E-3</v>
      </c>
      <c r="K201" s="8">
        <f t="shared" si="11"/>
        <v>5.0576486609169313</v>
      </c>
    </row>
    <row r="202" spans="1:11" x14ac:dyDescent="0.25">
      <c r="A202" t="str">
        <f t="shared" si="12"/>
        <v>102020</v>
      </c>
      <c r="B202" s="1">
        <v>44124</v>
      </c>
      <c r="C202" s="21">
        <v>44124.645830000001</v>
      </c>
      <c r="D202" s="20">
        <v>1119.99</v>
      </c>
      <c r="E202" s="20">
        <v>1119.99</v>
      </c>
      <c r="F202" s="20">
        <v>1117.3</v>
      </c>
      <c r="G202" s="20">
        <v>1119.98</v>
      </c>
      <c r="H202" s="20">
        <v>18181</v>
      </c>
      <c r="I202" s="8">
        <f t="shared" si="13"/>
        <v>1.3394890295859163E-4</v>
      </c>
      <c r="J202" s="8">
        <f t="shared" si="14"/>
        <v>1.3393993260532678E-4</v>
      </c>
      <c r="K202" s="8">
        <f t="shared" si="11"/>
        <v>-0.34411976911976916</v>
      </c>
    </row>
    <row r="203" spans="1:11" x14ac:dyDescent="0.25">
      <c r="A203" t="str">
        <f t="shared" si="12"/>
        <v>102020</v>
      </c>
      <c r="B203" s="1">
        <v>44125</v>
      </c>
      <c r="C203" s="21">
        <v>44125.645830000001</v>
      </c>
      <c r="D203" s="20">
        <v>1119.7</v>
      </c>
      <c r="E203" s="20">
        <v>1120</v>
      </c>
      <c r="F203" s="20">
        <v>1117.0999999999999</v>
      </c>
      <c r="G203" s="20">
        <v>1119.52</v>
      </c>
      <c r="H203" s="20">
        <v>21754</v>
      </c>
      <c r="I203" s="8">
        <f t="shared" si="13"/>
        <v>-4.1072162002897539E-4</v>
      </c>
      <c r="J203" s="8">
        <f t="shared" si="14"/>
        <v>-4.1080598925585625E-4</v>
      </c>
      <c r="K203" s="8">
        <f t="shared" si="11"/>
        <v>-8.3115569417516633E-2</v>
      </c>
    </row>
    <row r="204" spans="1:11" x14ac:dyDescent="0.25">
      <c r="A204" t="str">
        <f t="shared" si="12"/>
        <v>102020</v>
      </c>
      <c r="B204" s="1">
        <v>44126</v>
      </c>
      <c r="C204" s="21">
        <v>44126.645830000001</v>
      </c>
      <c r="D204" s="20">
        <v>1119.95</v>
      </c>
      <c r="E204" s="20">
        <v>1120</v>
      </c>
      <c r="F204" s="20">
        <v>1117.76</v>
      </c>
      <c r="G204" s="20">
        <v>1119.96</v>
      </c>
      <c r="H204" s="20">
        <v>20404</v>
      </c>
      <c r="I204" s="8">
        <f t="shared" si="13"/>
        <v>3.9302558239251439E-4</v>
      </c>
      <c r="J204" s="8">
        <f t="shared" si="14"/>
        <v>3.9294836806911404E-4</v>
      </c>
      <c r="K204" s="8">
        <f t="shared" si="11"/>
        <v>0.4823102070468579</v>
      </c>
    </row>
    <row r="205" spans="1:11" x14ac:dyDescent="0.25">
      <c r="A205" t="str">
        <f t="shared" si="12"/>
        <v>102020</v>
      </c>
      <c r="B205" s="1">
        <v>44127</v>
      </c>
      <c r="C205" s="21">
        <v>44127.645830000001</v>
      </c>
      <c r="D205" s="20">
        <v>1117.05</v>
      </c>
      <c r="E205" s="20">
        <v>1119.99</v>
      </c>
      <c r="F205" s="20">
        <v>1117.05</v>
      </c>
      <c r="G205" s="20">
        <v>1119.82</v>
      </c>
      <c r="H205" s="20">
        <v>15103</v>
      </c>
      <c r="I205" s="8">
        <f t="shared" si="13"/>
        <v>-1.2500446444529967E-4</v>
      </c>
      <c r="J205" s="8">
        <f t="shared" si="14"/>
        <v>-1.2501227815453776E-4</v>
      </c>
      <c r="K205" s="8">
        <f t="shared" si="11"/>
        <v>0.22143145976546696</v>
      </c>
    </row>
    <row r="206" spans="1:11" x14ac:dyDescent="0.25">
      <c r="A206" t="str">
        <f t="shared" si="12"/>
        <v>102020</v>
      </c>
      <c r="B206" s="1">
        <v>44130</v>
      </c>
      <c r="C206" s="21">
        <v>44130.645830000001</v>
      </c>
      <c r="D206" s="20">
        <v>1120.05</v>
      </c>
      <c r="E206" s="20">
        <v>1123.95</v>
      </c>
      <c r="F206" s="20">
        <v>1117.1600000000001</v>
      </c>
      <c r="G206" s="20">
        <v>1122.26</v>
      </c>
      <c r="H206" s="20">
        <v>206329</v>
      </c>
      <c r="I206" s="8">
        <f t="shared" si="13"/>
        <v>2.1789216124019628E-3</v>
      </c>
      <c r="J206" s="8">
        <f t="shared" si="14"/>
        <v>2.1765512053683817E-3</v>
      </c>
      <c r="K206" s="8">
        <f t="shared" si="11"/>
        <v>46.377497129735936</v>
      </c>
    </row>
    <row r="207" spans="1:11" x14ac:dyDescent="0.25">
      <c r="A207" t="str">
        <f t="shared" si="12"/>
        <v>102020</v>
      </c>
      <c r="B207" s="1">
        <v>44131</v>
      </c>
      <c r="C207" s="21">
        <v>44131.645830000001</v>
      </c>
      <c r="D207" s="20">
        <v>1123</v>
      </c>
      <c r="E207" s="20">
        <v>1126</v>
      </c>
      <c r="F207" s="20">
        <v>1123</v>
      </c>
      <c r="G207" s="20">
        <v>1124.96</v>
      </c>
      <c r="H207" s="20">
        <v>12258</v>
      </c>
      <c r="I207" s="8">
        <f t="shared" si="13"/>
        <v>2.4058596047262792E-3</v>
      </c>
      <c r="J207" s="8">
        <f t="shared" si="14"/>
        <v>2.4029701579816347E-3</v>
      </c>
      <c r="K207" s="8">
        <f t="shared" si="11"/>
        <v>-0.88082483447893678</v>
      </c>
    </row>
    <row r="208" spans="1:11" x14ac:dyDescent="0.25">
      <c r="A208" t="str">
        <f t="shared" si="12"/>
        <v>102020</v>
      </c>
      <c r="B208" s="1">
        <v>44132</v>
      </c>
      <c r="C208" s="21">
        <v>44132.645830000001</v>
      </c>
      <c r="D208" s="20">
        <v>1123</v>
      </c>
      <c r="E208" s="20">
        <v>1125.99</v>
      </c>
      <c r="F208" s="20">
        <v>1122.5</v>
      </c>
      <c r="G208" s="20">
        <v>1124.8900000000001</v>
      </c>
      <c r="H208" s="20">
        <v>9779</v>
      </c>
      <c r="I208" s="8">
        <f t="shared" si="13"/>
        <v>-6.2224434646540594E-5</v>
      </c>
      <c r="J208" s="8">
        <f t="shared" si="14"/>
        <v>-6.22263706669864E-5</v>
      </c>
      <c r="K208" s="8">
        <f t="shared" si="11"/>
        <v>-0.96782175774347567</v>
      </c>
    </row>
    <row r="209" spans="1:11" x14ac:dyDescent="0.25">
      <c r="A209" t="str">
        <f t="shared" si="12"/>
        <v>102020</v>
      </c>
      <c r="B209" s="1">
        <v>44133</v>
      </c>
      <c r="C209" s="21">
        <v>44133.645830000001</v>
      </c>
      <c r="D209" s="20">
        <v>1124</v>
      </c>
      <c r="E209" s="20">
        <v>1125.99</v>
      </c>
      <c r="F209" s="20">
        <v>1122.05</v>
      </c>
      <c r="G209" s="20">
        <v>1123.71</v>
      </c>
      <c r="H209" s="20">
        <v>7496</v>
      </c>
      <c r="I209" s="8">
        <f t="shared" si="13"/>
        <v>-1.048991456942483E-3</v>
      </c>
      <c r="J209" s="8">
        <f t="shared" si="14"/>
        <v>-1.0495420335479662E-3</v>
      </c>
      <c r="K209" s="8">
        <f t="shared" si="11"/>
        <v>-0.26184145741014275</v>
      </c>
    </row>
    <row r="210" spans="1:11" x14ac:dyDescent="0.25">
      <c r="A210" t="str">
        <f t="shared" si="12"/>
        <v>102020</v>
      </c>
      <c r="B210" s="1">
        <v>44134</v>
      </c>
      <c r="C210" s="21">
        <v>44134.645830000001</v>
      </c>
      <c r="D210" s="20">
        <v>1149</v>
      </c>
      <c r="E210" s="20">
        <v>1149</v>
      </c>
      <c r="F210" s="20">
        <v>1122.45</v>
      </c>
      <c r="G210" s="20">
        <v>1125.19</v>
      </c>
      <c r="H210" s="20">
        <v>14534</v>
      </c>
      <c r="I210" s="8">
        <f t="shared" si="13"/>
        <v>1.3170657909959971E-3</v>
      </c>
      <c r="J210" s="8">
        <f t="shared" si="14"/>
        <v>1.3161992206504099E-3</v>
      </c>
      <c r="K210" s="8">
        <f t="shared" si="11"/>
        <v>-0.59981276502010017</v>
      </c>
    </row>
    <row r="211" spans="1:11" x14ac:dyDescent="0.25">
      <c r="A211" t="str">
        <f t="shared" si="12"/>
        <v>112020</v>
      </c>
      <c r="B211" s="1">
        <v>44137</v>
      </c>
      <c r="C211" s="21">
        <v>44137.645830000001</v>
      </c>
      <c r="D211" s="20">
        <v>1127</v>
      </c>
      <c r="E211" s="20">
        <v>1127</v>
      </c>
      <c r="F211" s="20">
        <v>1123.8</v>
      </c>
      <c r="G211" s="20">
        <v>1126</v>
      </c>
      <c r="H211" s="20">
        <v>16647</v>
      </c>
      <c r="I211" s="8">
        <f t="shared" si="13"/>
        <v>7.198784205333375E-4</v>
      </c>
      <c r="J211" s="8">
        <f t="shared" si="14"/>
        <v>7.196194323490459E-4</v>
      </c>
      <c r="K211" s="8">
        <f t="shared" si="11"/>
        <v>-0.17236750522024458</v>
      </c>
    </row>
    <row r="212" spans="1:11" x14ac:dyDescent="0.25">
      <c r="A212" t="str">
        <f t="shared" si="12"/>
        <v>112020</v>
      </c>
      <c r="B212" s="1">
        <v>44138</v>
      </c>
      <c r="C212" s="21">
        <v>44138.645830000001</v>
      </c>
      <c r="D212" s="20">
        <v>1127</v>
      </c>
      <c r="E212" s="20">
        <v>1127</v>
      </c>
      <c r="F212" s="20">
        <v>1125.5</v>
      </c>
      <c r="G212" s="20">
        <v>1126.47</v>
      </c>
      <c r="H212" s="20">
        <v>13318</v>
      </c>
      <c r="I212" s="8">
        <f t="shared" si="13"/>
        <v>4.1740674955592638E-4</v>
      </c>
      <c r="J212" s="8">
        <f t="shared" si="14"/>
        <v>4.1731965959242189E-4</v>
      </c>
      <c r="K212" s="8">
        <f t="shared" si="11"/>
        <v>4.1038067693269786E-2</v>
      </c>
    </row>
    <row r="213" spans="1:11" x14ac:dyDescent="0.25">
      <c r="A213" t="str">
        <f t="shared" si="12"/>
        <v>112020</v>
      </c>
      <c r="B213" s="1">
        <v>44139</v>
      </c>
      <c r="C213" s="21">
        <v>44139.645830000001</v>
      </c>
      <c r="D213" s="20">
        <v>1123.01</v>
      </c>
      <c r="E213" s="20">
        <v>1125.57</v>
      </c>
      <c r="F213" s="20">
        <v>1123</v>
      </c>
      <c r="G213" s="20">
        <v>1124.75</v>
      </c>
      <c r="H213" s="20">
        <v>5680</v>
      </c>
      <c r="I213" s="8">
        <f t="shared" si="13"/>
        <v>-1.5268937477251887E-3</v>
      </c>
      <c r="J213" s="8">
        <f t="shared" si="14"/>
        <v>-1.5280606379464603E-3</v>
      </c>
      <c r="K213" s="8">
        <f t="shared" si="11"/>
        <v>-0.93175127665965751</v>
      </c>
    </row>
    <row r="214" spans="1:11" x14ac:dyDescent="0.25">
      <c r="A214" t="str">
        <f t="shared" si="12"/>
        <v>112020</v>
      </c>
      <c r="B214" s="1">
        <v>44140</v>
      </c>
      <c r="C214" s="21">
        <v>44140.645830000001</v>
      </c>
      <c r="D214" s="20">
        <v>1127</v>
      </c>
      <c r="E214" s="20">
        <v>1127</v>
      </c>
      <c r="F214" s="20">
        <v>1119.6500000000001</v>
      </c>
      <c r="G214" s="20">
        <v>1120.56</v>
      </c>
      <c r="H214" s="20">
        <v>59294</v>
      </c>
      <c r="I214" s="8">
        <f t="shared" si="13"/>
        <v>-3.7252722827295637E-3</v>
      </c>
      <c r="J214" s="8">
        <f t="shared" si="14"/>
        <v>-3.7322283904904648E-3</v>
      </c>
      <c r="K214" s="8">
        <f t="shared" si="11"/>
        <v>1.6742738589211617</v>
      </c>
    </row>
    <row r="215" spans="1:11" x14ac:dyDescent="0.25">
      <c r="A215" t="str">
        <f t="shared" si="12"/>
        <v>112020</v>
      </c>
      <c r="B215" s="1">
        <v>44141</v>
      </c>
      <c r="C215" s="21">
        <v>44141.645830000001</v>
      </c>
      <c r="D215" s="20">
        <v>1123.01</v>
      </c>
      <c r="E215" s="20">
        <v>1126.95</v>
      </c>
      <c r="F215" s="20">
        <v>1120.0999999999999</v>
      </c>
      <c r="G215" s="20">
        <v>1123.8</v>
      </c>
      <c r="H215" s="20">
        <v>60031</v>
      </c>
      <c r="I215" s="8">
        <f t="shared" si="13"/>
        <v>2.891411437138558E-3</v>
      </c>
      <c r="J215" s="8">
        <f t="shared" si="14"/>
        <v>2.8872393473065401E-3</v>
      </c>
      <c r="K215" s="8">
        <f t="shared" si="11"/>
        <v>1.2771792731962672</v>
      </c>
    </row>
    <row r="216" spans="1:11" x14ac:dyDescent="0.25">
      <c r="A216" t="str">
        <f t="shared" si="12"/>
        <v>112020</v>
      </c>
      <c r="B216" s="1">
        <v>44144</v>
      </c>
      <c r="C216" s="21">
        <v>44144.645830000001</v>
      </c>
      <c r="D216" s="20">
        <v>1123.01</v>
      </c>
      <c r="E216" s="20">
        <v>1128</v>
      </c>
      <c r="F216" s="20">
        <v>1120</v>
      </c>
      <c r="G216" s="20">
        <v>1120.1500000000001</v>
      </c>
      <c r="H216" s="20">
        <v>102985</v>
      </c>
      <c r="I216" s="8">
        <f t="shared" si="13"/>
        <v>-3.2479088805835721E-3</v>
      </c>
      <c r="J216" s="8">
        <f t="shared" si="14"/>
        <v>-3.25319478515932E-3</v>
      </c>
      <c r="K216" s="8">
        <f t="shared" si="11"/>
        <v>6.0268149563318776</v>
      </c>
    </row>
    <row r="217" spans="1:11" x14ac:dyDescent="0.25">
      <c r="A217" t="str">
        <f t="shared" si="12"/>
        <v>112020</v>
      </c>
      <c r="B217" s="1">
        <v>44145</v>
      </c>
      <c r="C217" s="21">
        <v>44145.645830000001</v>
      </c>
      <c r="D217" s="20">
        <v>1122.01</v>
      </c>
      <c r="E217" s="20">
        <v>1124.94</v>
      </c>
      <c r="F217" s="20">
        <v>1120</v>
      </c>
      <c r="G217" s="20">
        <v>1123.33</v>
      </c>
      <c r="H217" s="20">
        <v>3270</v>
      </c>
      <c r="I217" s="8">
        <f t="shared" si="13"/>
        <v>2.8389055037270072E-3</v>
      </c>
      <c r="J217" s="8">
        <f t="shared" si="14"/>
        <v>2.8348834219061336E-3</v>
      </c>
      <c r="K217" s="8">
        <f t="shared" si="11"/>
        <v>-0.82326235001621439</v>
      </c>
    </row>
    <row r="218" spans="1:11" x14ac:dyDescent="0.25">
      <c r="A218" t="str">
        <f t="shared" si="12"/>
        <v>112020</v>
      </c>
      <c r="B218" s="1">
        <v>44146</v>
      </c>
      <c r="C218" s="21">
        <v>44146.645830000001</v>
      </c>
      <c r="D218" s="20">
        <v>1120.55</v>
      </c>
      <c r="E218" s="20">
        <v>1123.77</v>
      </c>
      <c r="F218" s="20">
        <v>1120.5</v>
      </c>
      <c r="G218" s="20">
        <v>1123.3599999999999</v>
      </c>
      <c r="H218" s="20">
        <v>7918</v>
      </c>
      <c r="I218" s="8">
        <f t="shared" si="13"/>
        <v>2.6706310701118952E-5</v>
      </c>
      <c r="J218" s="8">
        <f t="shared" si="14"/>
        <v>2.6705954093952412E-5</v>
      </c>
      <c r="K218" s="8">
        <f t="shared" si="11"/>
        <v>-0.34312261489961837</v>
      </c>
    </row>
    <row r="219" spans="1:11" x14ac:dyDescent="0.25">
      <c r="A219" t="str">
        <f t="shared" si="12"/>
        <v>112020</v>
      </c>
      <c r="B219" s="1">
        <v>44147</v>
      </c>
      <c r="C219" s="21">
        <v>44147.645830000001</v>
      </c>
      <c r="D219" s="20">
        <v>1122.51</v>
      </c>
      <c r="E219" s="20">
        <v>1122.97</v>
      </c>
      <c r="F219" s="20">
        <v>1120.76</v>
      </c>
      <c r="G219" s="20">
        <v>1121.81</v>
      </c>
      <c r="H219" s="20">
        <v>5768</v>
      </c>
      <c r="I219" s="8">
        <f t="shared" si="13"/>
        <v>-1.3797892038170945E-3</v>
      </c>
      <c r="J219" s="8">
        <f t="shared" si="14"/>
        <v>-1.3807419894703329E-3</v>
      </c>
      <c r="K219" s="8">
        <f t="shared" si="11"/>
        <v>-0.31226898771908906</v>
      </c>
    </row>
    <row r="220" spans="1:11" x14ac:dyDescent="0.25">
      <c r="A220" t="str">
        <f t="shared" si="12"/>
        <v>112020</v>
      </c>
      <c r="B220" s="1">
        <v>44148</v>
      </c>
      <c r="C220" s="21">
        <v>44148.645830000001</v>
      </c>
      <c r="D220" s="20">
        <v>1121.1500000000001</v>
      </c>
      <c r="E220" s="20">
        <v>1122.9000000000001</v>
      </c>
      <c r="F220" s="20">
        <v>1120.01</v>
      </c>
      <c r="G220" s="20">
        <v>1122.04</v>
      </c>
      <c r="H220" s="20">
        <v>13658</v>
      </c>
      <c r="I220" s="8">
        <f t="shared" si="13"/>
        <v>2.0502580650916258E-4</v>
      </c>
      <c r="J220" s="8">
        <f t="shared" si="14"/>
        <v>2.0500479159084653E-4</v>
      </c>
      <c r="K220" s="8">
        <f t="shared" si="11"/>
        <v>0.11121959157106831</v>
      </c>
    </row>
    <row r="221" spans="1:11" x14ac:dyDescent="0.25">
      <c r="A221" t="str">
        <f t="shared" si="12"/>
        <v>112020</v>
      </c>
      <c r="B221" s="1">
        <v>44152</v>
      </c>
      <c r="C221" s="21">
        <v>44152.645830000001</v>
      </c>
      <c r="D221" s="20">
        <v>1126</v>
      </c>
      <c r="E221" s="20">
        <v>1126</v>
      </c>
      <c r="F221" s="20">
        <v>1122</v>
      </c>
      <c r="G221" s="20">
        <v>1124.99</v>
      </c>
      <c r="H221" s="20">
        <v>6798</v>
      </c>
      <c r="I221" s="8">
        <f t="shared" si="13"/>
        <v>2.6291397811131212E-3</v>
      </c>
      <c r="J221" s="8">
        <f t="shared" si="14"/>
        <v>2.6256896390662041E-3</v>
      </c>
      <c r="K221" s="8">
        <f t="shared" si="11"/>
        <v>-0.18868600071607589</v>
      </c>
    </row>
    <row r="222" spans="1:11" x14ac:dyDescent="0.25">
      <c r="A222" t="str">
        <f t="shared" si="12"/>
        <v>112020</v>
      </c>
      <c r="B222" s="1">
        <v>44153</v>
      </c>
      <c r="C222" s="21">
        <v>44153.645830000001</v>
      </c>
      <c r="D222" s="20">
        <v>1125.8499999999999</v>
      </c>
      <c r="E222" s="20">
        <v>1127.3</v>
      </c>
      <c r="F222" s="20">
        <v>1124.6500000000001</v>
      </c>
      <c r="G222" s="20">
        <v>1126.23</v>
      </c>
      <c r="H222" s="20">
        <v>2684</v>
      </c>
      <c r="I222" s="8">
        <f t="shared" si="13"/>
        <v>1.1022320198401658E-3</v>
      </c>
      <c r="J222" s="8">
        <f t="shared" si="14"/>
        <v>1.1016250081316002E-3</v>
      </c>
      <c r="K222" s="8">
        <f t="shared" si="11"/>
        <v>-0.8794520547945206</v>
      </c>
    </row>
    <row r="223" spans="1:11" x14ac:dyDescent="0.25">
      <c r="A223" t="str">
        <f t="shared" si="12"/>
        <v>112020</v>
      </c>
      <c r="B223" s="1">
        <v>44154</v>
      </c>
      <c r="C223" s="21">
        <v>44154.645830000001</v>
      </c>
      <c r="D223" s="20">
        <v>1128</v>
      </c>
      <c r="E223" s="20">
        <v>1128</v>
      </c>
      <c r="F223" s="20">
        <v>1122.5</v>
      </c>
      <c r="G223" s="20">
        <v>1124.99</v>
      </c>
      <c r="H223" s="20">
        <v>8194</v>
      </c>
      <c r="I223" s="8">
        <f t="shared" si="13"/>
        <v>-1.1010184420588986E-3</v>
      </c>
      <c r="J223" s="8">
        <f t="shared" si="14"/>
        <v>-1.1016250081316047E-3</v>
      </c>
      <c r="K223" s="8">
        <f t="shared" si="11"/>
        <v>-0.77063680895731279</v>
      </c>
    </row>
    <row r="224" spans="1:11" x14ac:dyDescent="0.25">
      <c r="A224" t="str">
        <f t="shared" si="12"/>
        <v>112020</v>
      </c>
      <c r="B224" s="1">
        <v>44155</v>
      </c>
      <c r="C224" s="21">
        <v>44155.645830000001</v>
      </c>
      <c r="D224" s="20">
        <v>1126.2</v>
      </c>
      <c r="E224" s="20">
        <v>1126.99</v>
      </c>
      <c r="F224" s="20">
        <v>1123.1500000000001</v>
      </c>
      <c r="G224" s="20">
        <v>1126.6500000000001</v>
      </c>
      <c r="H224" s="20">
        <v>10923</v>
      </c>
      <c r="I224" s="8">
        <f t="shared" si="13"/>
        <v>1.4755686717216054E-3</v>
      </c>
      <c r="J224" s="8">
        <f t="shared" si="14"/>
        <v>1.4744810900053427E-3</v>
      </c>
      <c r="K224" s="8">
        <f t="shared" si="11"/>
        <v>-0.6846071665752318</v>
      </c>
    </row>
    <row r="225" spans="1:11" x14ac:dyDescent="0.25">
      <c r="A225" t="str">
        <f t="shared" si="12"/>
        <v>112020</v>
      </c>
      <c r="B225" s="1">
        <v>44158</v>
      </c>
      <c r="C225" s="21">
        <v>44158.645830000001</v>
      </c>
      <c r="D225" s="20">
        <v>1123.06</v>
      </c>
      <c r="E225" s="20">
        <v>1127.8900000000001</v>
      </c>
      <c r="F225" s="20">
        <v>1123.06</v>
      </c>
      <c r="G225" s="20">
        <v>1126.03</v>
      </c>
      <c r="H225" s="20">
        <v>4332</v>
      </c>
      <c r="I225" s="8">
        <f t="shared" si="13"/>
        <v>-5.5030399857991519E-4</v>
      </c>
      <c r="J225" s="8">
        <f t="shared" si="14"/>
        <v>-5.5045547139862276E-4</v>
      </c>
      <c r="K225" s="8">
        <f t="shared" si="11"/>
        <v>-0.86385492944467146</v>
      </c>
    </row>
    <row r="226" spans="1:11" x14ac:dyDescent="0.25">
      <c r="A226" t="str">
        <f t="shared" si="12"/>
        <v>112020</v>
      </c>
      <c r="B226" s="1">
        <v>44159</v>
      </c>
      <c r="C226" s="21">
        <v>44159.645830000001</v>
      </c>
      <c r="D226" s="20">
        <v>1125</v>
      </c>
      <c r="E226" s="20">
        <v>1127.99</v>
      </c>
      <c r="F226" s="20">
        <v>1125</v>
      </c>
      <c r="G226" s="20">
        <v>1127.52</v>
      </c>
      <c r="H226" s="20">
        <v>3632</v>
      </c>
      <c r="I226" s="8">
        <f t="shared" si="13"/>
        <v>1.3232329511647656E-3</v>
      </c>
      <c r="J226" s="8">
        <f t="shared" si="14"/>
        <v>1.3223582499805014E-3</v>
      </c>
      <c r="K226" s="8">
        <f t="shared" si="11"/>
        <v>-0.87606633453900229</v>
      </c>
    </row>
    <row r="227" spans="1:11" x14ac:dyDescent="0.25">
      <c r="A227" t="str">
        <f t="shared" si="12"/>
        <v>112020</v>
      </c>
      <c r="B227" s="1">
        <v>44160</v>
      </c>
      <c r="C227" s="21">
        <v>44160.645830000001</v>
      </c>
      <c r="D227" s="20">
        <v>1127.3</v>
      </c>
      <c r="E227" s="20">
        <v>1128</v>
      </c>
      <c r="F227" s="20">
        <v>1125</v>
      </c>
      <c r="G227" s="20">
        <v>1127.01</v>
      </c>
      <c r="H227" s="20">
        <v>2067</v>
      </c>
      <c r="I227" s="8">
        <f t="shared" si="13"/>
        <v>-4.5232013622820144E-4</v>
      </c>
      <c r="J227" s="8">
        <f t="shared" si="14"/>
        <v>-4.5242246383874271E-4</v>
      </c>
      <c r="K227" s="8">
        <f t="shared" si="11"/>
        <v>-0.94175495942290355</v>
      </c>
    </row>
    <row r="228" spans="1:11" x14ac:dyDescent="0.25">
      <c r="A228" t="str">
        <f t="shared" si="12"/>
        <v>112020</v>
      </c>
      <c r="B228" s="1">
        <v>44161</v>
      </c>
      <c r="C228" s="21">
        <v>44161.645830000001</v>
      </c>
      <c r="D228" s="20">
        <v>1127</v>
      </c>
      <c r="E228" s="20">
        <v>1130</v>
      </c>
      <c r="F228" s="20">
        <v>1126.46</v>
      </c>
      <c r="G228" s="20">
        <v>1129.71</v>
      </c>
      <c r="H228" s="20">
        <v>95199</v>
      </c>
      <c r="I228" s="8">
        <f t="shared" si="13"/>
        <v>2.3957196475630216E-3</v>
      </c>
      <c r="J228" s="8">
        <f t="shared" si="14"/>
        <v>2.392854486417643E-3</v>
      </c>
      <c r="K228" s="8">
        <f t="shared" si="11"/>
        <v>0.61105752144996694</v>
      </c>
    </row>
    <row r="229" spans="1:11" x14ac:dyDescent="0.25">
      <c r="A229" t="str">
        <f t="shared" si="12"/>
        <v>112020</v>
      </c>
      <c r="B229" s="1">
        <v>44162</v>
      </c>
      <c r="C229" s="21">
        <v>44162.645830000001</v>
      </c>
      <c r="D229" s="20">
        <v>1130</v>
      </c>
      <c r="E229" s="20">
        <v>1133.4000000000001</v>
      </c>
      <c r="F229" s="20">
        <v>1127.51</v>
      </c>
      <c r="G229" s="20">
        <v>1131.8599999999999</v>
      </c>
      <c r="H229" s="20">
        <v>2417</v>
      </c>
      <c r="I229" s="8">
        <f t="shared" si="13"/>
        <v>1.9031432845595386E-3</v>
      </c>
      <c r="J229" s="8">
        <f t="shared" si="14"/>
        <v>1.901334601803477E-3</v>
      </c>
      <c r="K229" s="8">
        <f t="shared" si="11"/>
        <v>-0.95773884459364944</v>
      </c>
    </row>
    <row r="230" spans="1:11" x14ac:dyDescent="0.25">
      <c r="A230" t="str">
        <f t="shared" si="12"/>
        <v>122020</v>
      </c>
      <c r="B230" s="1">
        <v>44166</v>
      </c>
      <c r="C230" s="21">
        <v>44166.645830000001</v>
      </c>
      <c r="D230" s="20">
        <v>1131</v>
      </c>
      <c r="E230" s="20">
        <v>1133.3800000000001</v>
      </c>
      <c r="F230" s="20">
        <v>1129.5</v>
      </c>
      <c r="G230" s="20">
        <v>1131.69</v>
      </c>
      <c r="H230" s="20">
        <v>26251</v>
      </c>
      <c r="I230" s="8">
        <f t="shared" si="13"/>
        <v>-1.5019525382986565E-4</v>
      </c>
      <c r="J230" s="8">
        <f t="shared" si="14"/>
        <v>-1.5020653426652832E-4</v>
      </c>
      <c r="K230" s="8">
        <f t="shared" si="11"/>
        <v>-0.70054299468412773</v>
      </c>
    </row>
    <row r="231" spans="1:11" x14ac:dyDescent="0.25">
      <c r="A231" t="str">
        <f t="shared" si="12"/>
        <v>122020</v>
      </c>
      <c r="B231" s="1">
        <v>44167</v>
      </c>
      <c r="C231" s="21">
        <v>44167.645830000001</v>
      </c>
      <c r="D231" s="20">
        <v>1200</v>
      </c>
      <c r="E231" s="20">
        <v>1200</v>
      </c>
      <c r="F231" s="20">
        <v>1125</v>
      </c>
      <c r="G231" s="20">
        <v>1129.46</v>
      </c>
      <c r="H231" s="20">
        <v>31403</v>
      </c>
      <c r="I231" s="8">
        <f t="shared" si="13"/>
        <v>-1.9705042900440839E-3</v>
      </c>
      <c r="J231" s="8">
        <f t="shared" si="14"/>
        <v>-1.9724482878130467E-3</v>
      </c>
      <c r="K231" s="8">
        <f t="shared" si="11"/>
        <v>-0.50096143149999206</v>
      </c>
    </row>
    <row r="232" spans="1:11" x14ac:dyDescent="0.25">
      <c r="A232" t="str">
        <f t="shared" si="12"/>
        <v>122020</v>
      </c>
      <c r="B232" s="1">
        <v>44168</v>
      </c>
      <c r="C232" s="21">
        <v>44168.645830000001</v>
      </c>
      <c r="D232" s="20">
        <v>1130.95</v>
      </c>
      <c r="E232" s="20">
        <v>1130.95</v>
      </c>
      <c r="F232" s="20">
        <v>1127.75</v>
      </c>
      <c r="G232" s="20">
        <v>1130.29</v>
      </c>
      <c r="H232" s="20">
        <v>10615</v>
      </c>
      <c r="I232" s="8">
        <f t="shared" si="13"/>
        <v>7.3486444849746313E-4</v>
      </c>
      <c r="J232" s="8">
        <f t="shared" si="14"/>
        <v>7.3459456782767646E-4</v>
      </c>
      <c r="K232" s="8">
        <f t="shared" si="11"/>
        <v>-5.163941749307599E-2</v>
      </c>
    </row>
    <row r="233" spans="1:11" x14ac:dyDescent="0.25">
      <c r="A233" t="str">
        <f t="shared" si="12"/>
        <v>122020</v>
      </c>
      <c r="B233" s="1">
        <v>44169</v>
      </c>
      <c r="C233" s="21">
        <v>44169.645830000001</v>
      </c>
      <c r="D233" s="20">
        <v>1126</v>
      </c>
      <c r="E233" s="20">
        <v>1132.93</v>
      </c>
      <c r="F233" s="20">
        <v>1126</v>
      </c>
      <c r="G233" s="20">
        <v>1131.55</v>
      </c>
      <c r="H233" s="20">
        <v>15855</v>
      </c>
      <c r="I233" s="8">
        <f t="shared" si="13"/>
        <v>1.1147581594104228E-3</v>
      </c>
      <c r="J233" s="8">
        <f t="shared" si="14"/>
        <v>1.1141372779124084E-3</v>
      </c>
      <c r="K233" s="8">
        <f t="shared" si="11"/>
        <v>0.2214005084354056</v>
      </c>
    </row>
    <row r="234" spans="1:11" x14ac:dyDescent="0.25">
      <c r="A234" t="str">
        <f t="shared" si="12"/>
        <v>122020</v>
      </c>
      <c r="B234" s="1">
        <v>44172</v>
      </c>
      <c r="C234" s="21">
        <v>44172.645830000001</v>
      </c>
      <c r="D234" s="20">
        <v>1130</v>
      </c>
      <c r="E234" s="20">
        <v>1132.99</v>
      </c>
      <c r="F234" s="20">
        <v>1130</v>
      </c>
      <c r="G234" s="20">
        <v>1132.55</v>
      </c>
      <c r="H234" s="20">
        <v>17820</v>
      </c>
      <c r="I234" s="8">
        <f t="shared" si="13"/>
        <v>8.8374353762543656E-4</v>
      </c>
      <c r="J234" s="8">
        <f t="shared" si="14"/>
        <v>8.8335326622158441E-4</v>
      </c>
      <c r="K234" s="8">
        <f t="shared" si="11"/>
        <v>-0.5643031784841076</v>
      </c>
    </row>
    <row r="235" spans="1:11" x14ac:dyDescent="0.25">
      <c r="A235" t="str">
        <f t="shared" si="12"/>
        <v>122020</v>
      </c>
      <c r="B235" s="1">
        <v>44173</v>
      </c>
      <c r="C235" s="21">
        <v>44173.645830000001</v>
      </c>
      <c r="D235" s="20">
        <v>1130</v>
      </c>
      <c r="E235" s="20">
        <v>1133.48</v>
      </c>
      <c r="F235" s="20">
        <v>1129.5999999999999</v>
      </c>
      <c r="G235" s="20">
        <v>1133.33</v>
      </c>
      <c r="H235" s="20">
        <v>10266</v>
      </c>
      <c r="I235" s="8">
        <f t="shared" si="13"/>
        <v>6.8871131517367346E-4</v>
      </c>
      <c r="J235" s="8">
        <f t="shared" si="14"/>
        <v>6.8847426237023698E-4</v>
      </c>
      <c r="K235" s="8">
        <f t="shared" si="11"/>
        <v>0.18627224404899478</v>
      </c>
    </row>
    <row r="236" spans="1:11" x14ac:dyDescent="0.25">
      <c r="A236" t="str">
        <f t="shared" si="12"/>
        <v>122020</v>
      </c>
      <c r="B236" s="1">
        <v>44174</v>
      </c>
      <c r="C236" s="21">
        <v>44174.645830000001</v>
      </c>
      <c r="D236" s="20">
        <v>1132.45</v>
      </c>
      <c r="E236" s="20">
        <v>1133.45</v>
      </c>
      <c r="F236" s="20">
        <v>1130.8499999999999</v>
      </c>
      <c r="G236" s="20">
        <v>1132.46</v>
      </c>
      <c r="H236" s="20">
        <v>10253</v>
      </c>
      <c r="I236" s="8">
        <f t="shared" si="13"/>
        <v>-7.6764931661554847E-4</v>
      </c>
      <c r="J236" s="8">
        <f t="shared" si="14"/>
        <v>-7.679441102272633E-4</v>
      </c>
      <c r="K236" s="8">
        <f t="shared" si="11"/>
        <v>-0.46392345498274601</v>
      </c>
    </row>
    <row r="237" spans="1:11" x14ac:dyDescent="0.25">
      <c r="A237" t="str">
        <f t="shared" si="12"/>
        <v>122020</v>
      </c>
      <c r="B237" s="1">
        <v>44175</v>
      </c>
      <c r="C237" s="21">
        <v>44175.645830000001</v>
      </c>
      <c r="D237" s="20">
        <v>1132.46</v>
      </c>
      <c r="E237" s="20">
        <v>1133.99</v>
      </c>
      <c r="F237" s="20">
        <v>1131.51</v>
      </c>
      <c r="G237" s="20">
        <v>1133.83</v>
      </c>
      <c r="H237" s="20">
        <v>6356</v>
      </c>
      <c r="I237" s="8">
        <f t="shared" si="13"/>
        <v>1.2097557529624492E-3</v>
      </c>
      <c r="J237" s="8">
        <f t="shared" si="14"/>
        <v>1.2090245880993929E-3</v>
      </c>
      <c r="K237" s="8">
        <f t="shared" si="11"/>
        <v>-0.53109553670232379</v>
      </c>
    </row>
    <row r="238" spans="1:11" x14ac:dyDescent="0.25">
      <c r="A238" t="str">
        <f t="shared" si="12"/>
        <v>122020</v>
      </c>
      <c r="B238" s="1">
        <v>44176</v>
      </c>
      <c r="C238" s="21">
        <v>44176.645830000001</v>
      </c>
      <c r="D238" s="20">
        <v>1134.99</v>
      </c>
      <c r="E238" s="20">
        <v>1134.99</v>
      </c>
      <c r="F238" s="20">
        <v>1130.1099999999999</v>
      </c>
      <c r="G238" s="20">
        <v>1133.51</v>
      </c>
      <c r="H238" s="20">
        <v>12780</v>
      </c>
      <c r="I238" s="8">
        <f t="shared" si="13"/>
        <v>-2.8222925835441615E-4</v>
      </c>
      <c r="J238" s="8">
        <f t="shared" si="14"/>
        <v>-2.8226909252664068E-4</v>
      </c>
      <c r="K238" s="8">
        <f t="shared" si="11"/>
        <v>0.92325056433408581</v>
      </c>
    </row>
    <row r="239" spans="1:11" x14ac:dyDescent="0.25">
      <c r="A239" t="str">
        <f t="shared" si="12"/>
        <v>122020</v>
      </c>
      <c r="B239" s="1">
        <v>44179</v>
      </c>
      <c r="C239" s="21">
        <v>44179.645830000001</v>
      </c>
      <c r="D239" s="20">
        <v>1134.05</v>
      </c>
      <c r="E239" s="20">
        <v>1134.05</v>
      </c>
      <c r="F239" s="20">
        <v>1130.05</v>
      </c>
      <c r="G239" s="20">
        <v>1132.8499999999999</v>
      </c>
      <c r="H239" s="20">
        <v>7353</v>
      </c>
      <c r="I239" s="8">
        <f t="shared" si="13"/>
        <v>-5.8226217677836978E-4</v>
      </c>
      <c r="J239" s="8">
        <f t="shared" si="14"/>
        <v>-5.8243175722967329E-4</v>
      </c>
      <c r="K239" s="8">
        <f t="shared" si="11"/>
        <v>-6.2170563589674099E-3</v>
      </c>
    </row>
    <row r="240" spans="1:11" x14ac:dyDescent="0.25">
      <c r="A240" t="str">
        <f t="shared" si="12"/>
        <v>122020</v>
      </c>
      <c r="B240" s="1">
        <v>44180</v>
      </c>
      <c r="C240" s="21">
        <v>44180.645830000001</v>
      </c>
      <c r="D240" s="20">
        <v>1131.5</v>
      </c>
      <c r="E240" s="20">
        <v>1132.98</v>
      </c>
      <c r="F240" s="20">
        <v>1131</v>
      </c>
      <c r="G240" s="20">
        <v>1131.24</v>
      </c>
      <c r="H240" s="20">
        <v>12254</v>
      </c>
      <c r="I240" s="8">
        <f t="shared" si="13"/>
        <v>-1.4211943328771293E-3</v>
      </c>
      <c r="J240" s="8">
        <f t="shared" si="14"/>
        <v>-1.4222051874036947E-3</v>
      </c>
      <c r="K240" s="8">
        <f t="shared" si="11"/>
        <v>-5.1401145688186989E-2</v>
      </c>
    </row>
    <row r="241" spans="1:11" x14ac:dyDescent="0.25">
      <c r="A241" t="str">
        <f t="shared" si="12"/>
        <v>122020</v>
      </c>
      <c r="B241" s="1">
        <v>44181</v>
      </c>
      <c r="C241" s="21">
        <v>44181.645830000001</v>
      </c>
      <c r="D241" s="20">
        <v>1131</v>
      </c>
      <c r="E241" s="20">
        <v>1133.98</v>
      </c>
      <c r="F241" s="20">
        <v>1131</v>
      </c>
      <c r="G241" s="20">
        <v>1132.19</v>
      </c>
      <c r="H241" s="20">
        <v>13076</v>
      </c>
      <c r="I241" s="8">
        <f t="shared" si="13"/>
        <v>8.3978642905124801E-4</v>
      </c>
      <c r="J241" s="8">
        <f t="shared" si="14"/>
        <v>8.3943400572112346E-4</v>
      </c>
      <c r="K241" s="8">
        <f t="shared" si="11"/>
        <v>-0.18878342328928599</v>
      </c>
    </row>
    <row r="242" spans="1:11" x14ac:dyDescent="0.25">
      <c r="A242" t="str">
        <f t="shared" si="12"/>
        <v>122020</v>
      </c>
      <c r="B242" s="1">
        <v>44182</v>
      </c>
      <c r="C242" s="21">
        <v>44182.645830000001</v>
      </c>
      <c r="D242" s="20">
        <v>1133</v>
      </c>
      <c r="E242" s="20">
        <v>1134.46</v>
      </c>
      <c r="F242" s="20">
        <v>1131.51</v>
      </c>
      <c r="G242" s="20">
        <v>1133.73</v>
      </c>
      <c r="H242" s="20">
        <v>4251</v>
      </c>
      <c r="I242" s="8">
        <f t="shared" si="13"/>
        <v>1.3601957268656317E-3</v>
      </c>
      <c r="J242" s="8">
        <f t="shared" si="14"/>
        <v>1.3592714986505245E-3</v>
      </c>
      <c r="K242" s="8">
        <f t="shared" si="11"/>
        <v>-0.32938949361097969</v>
      </c>
    </row>
    <row r="243" spans="1:11" x14ac:dyDescent="0.25">
      <c r="A243" t="str">
        <f t="shared" si="12"/>
        <v>122020</v>
      </c>
      <c r="B243" s="1">
        <v>44183</v>
      </c>
      <c r="C243" s="21">
        <v>44183.645830000001</v>
      </c>
      <c r="D243" s="20">
        <v>1131.06</v>
      </c>
      <c r="E243" s="20">
        <v>1134.98</v>
      </c>
      <c r="F243" s="20">
        <v>1131.05</v>
      </c>
      <c r="G243" s="20">
        <v>1134.08</v>
      </c>
      <c r="H243" s="20">
        <v>6648</v>
      </c>
      <c r="I243" s="8">
        <f t="shared" si="13"/>
        <v>3.0871547899402607E-4</v>
      </c>
      <c r="J243" s="8">
        <f t="shared" si="14"/>
        <v>3.0866783617567226E-4</v>
      </c>
      <c r="K243" s="8">
        <f t="shared" si="11"/>
        <v>-0.45107753282140206</v>
      </c>
    </row>
    <row r="244" spans="1:11" x14ac:dyDescent="0.25">
      <c r="A244" t="str">
        <f t="shared" si="12"/>
        <v>122020</v>
      </c>
      <c r="B244" s="1">
        <v>44186</v>
      </c>
      <c r="C244" s="21">
        <v>44186.645830000001</v>
      </c>
      <c r="D244" s="20">
        <v>1133</v>
      </c>
      <c r="E244" s="20">
        <v>1134.99</v>
      </c>
      <c r="F244" s="20">
        <v>1132.05</v>
      </c>
      <c r="G244" s="20">
        <v>1132.47</v>
      </c>
      <c r="H244" s="20">
        <v>6908</v>
      </c>
      <c r="I244" s="8">
        <f t="shared" si="13"/>
        <v>-1.4196529345371633E-3</v>
      </c>
      <c r="J244" s="8">
        <f t="shared" si="14"/>
        <v>-1.4206615965107435E-3</v>
      </c>
      <c r="K244" s="8">
        <f t="shared" si="11"/>
        <v>-0.32964580300824842</v>
      </c>
    </row>
    <row r="245" spans="1:11" x14ac:dyDescent="0.25">
      <c r="A245" t="str">
        <f t="shared" si="12"/>
        <v>122020</v>
      </c>
      <c r="B245" s="1">
        <v>44187</v>
      </c>
      <c r="C245" s="21">
        <v>44187.645830000001</v>
      </c>
      <c r="D245" s="20">
        <v>1132.05</v>
      </c>
      <c r="E245" s="20">
        <v>1133</v>
      </c>
      <c r="F245" s="20">
        <v>1129</v>
      </c>
      <c r="G245" s="20">
        <v>1129.3</v>
      </c>
      <c r="H245" s="20">
        <v>14121</v>
      </c>
      <c r="I245" s="8">
        <f t="shared" si="13"/>
        <v>-2.7991911485514276E-3</v>
      </c>
      <c r="J245" s="8">
        <f t="shared" si="14"/>
        <v>-2.8031162104713648E-3</v>
      </c>
      <c r="K245" s="8">
        <f t="shared" si="11"/>
        <v>3.7754480892796751</v>
      </c>
    </row>
    <row r="246" spans="1:11" x14ac:dyDescent="0.25">
      <c r="A246" t="str">
        <f t="shared" si="12"/>
        <v>122020</v>
      </c>
      <c r="B246" s="1">
        <v>44188</v>
      </c>
      <c r="C246" s="21">
        <v>44188.645830000001</v>
      </c>
      <c r="D246" s="20">
        <v>1133.93</v>
      </c>
      <c r="E246" s="20">
        <v>1133.93</v>
      </c>
      <c r="F246" s="20">
        <v>1131.06</v>
      </c>
      <c r="G246" s="20">
        <v>1133.48</v>
      </c>
      <c r="H246" s="20">
        <v>3119</v>
      </c>
      <c r="I246" s="8">
        <f t="shared" si="13"/>
        <v>3.7014079518287168E-3</v>
      </c>
      <c r="J246" s="8">
        <f t="shared" si="14"/>
        <v>3.6945745982444578E-3</v>
      </c>
      <c r="K246" s="8">
        <f t="shared" si="11"/>
        <v>-0.49077551020408161</v>
      </c>
    </row>
    <row r="247" spans="1:11" x14ac:dyDescent="0.25">
      <c r="A247" t="str">
        <f t="shared" si="12"/>
        <v>122020</v>
      </c>
      <c r="B247" s="1">
        <v>44189</v>
      </c>
      <c r="C247" s="21">
        <v>44189.645830000001</v>
      </c>
      <c r="D247" s="20">
        <v>1132.05</v>
      </c>
      <c r="E247" s="20">
        <v>1133.93</v>
      </c>
      <c r="F247" s="20">
        <v>1131</v>
      </c>
      <c r="G247" s="20">
        <v>1133.05</v>
      </c>
      <c r="H247" s="20">
        <v>6944</v>
      </c>
      <c r="I247" s="8">
        <f t="shared" si="13"/>
        <v>-3.7936267071325691E-4</v>
      </c>
      <c r="J247" s="8">
        <f t="shared" si="14"/>
        <v>-3.7943464693519237E-4</v>
      </c>
      <c r="K247" s="8">
        <f t="shared" si="11"/>
        <v>1.0327868852459017</v>
      </c>
    </row>
    <row r="248" spans="1:11" x14ac:dyDescent="0.25">
      <c r="A248" t="str">
        <f t="shared" si="12"/>
        <v>122020</v>
      </c>
      <c r="B248" s="1">
        <v>44193</v>
      </c>
      <c r="C248" s="21">
        <v>44193.645830000001</v>
      </c>
      <c r="D248" s="20">
        <v>1133</v>
      </c>
      <c r="E248" s="20">
        <v>1135.98</v>
      </c>
      <c r="F248" s="20">
        <v>1131.02</v>
      </c>
      <c r="G248" s="20">
        <v>1135.9100000000001</v>
      </c>
      <c r="H248" s="20">
        <v>5431</v>
      </c>
      <c r="I248" s="8">
        <f t="shared" si="13"/>
        <v>2.524160451877755E-3</v>
      </c>
      <c r="J248" s="8">
        <f t="shared" si="14"/>
        <v>2.5209801095563309E-3</v>
      </c>
      <c r="K248" s="8">
        <f t="shared" si="11"/>
        <v>-2.2322232223222271E-2</v>
      </c>
    </row>
    <row r="249" spans="1:11" x14ac:dyDescent="0.25">
      <c r="A249" t="str">
        <f t="shared" si="12"/>
        <v>122020</v>
      </c>
      <c r="B249" s="1">
        <v>44194</v>
      </c>
      <c r="C249" s="21">
        <v>44194.645830000001</v>
      </c>
      <c r="D249" s="20">
        <v>1134.1099999999999</v>
      </c>
      <c r="E249" s="20">
        <v>1135.2</v>
      </c>
      <c r="F249" s="20">
        <v>1134</v>
      </c>
      <c r="G249" s="20">
        <v>1135.19</v>
      </c>
      <c r="H249" s="20">
        <v>3351</v>
      </c>
      <c r="I249" s="8">
        <f t="shared" si="13"/>
        <v>-6.3385303413121541E-4</v>
      </c>
      <c r="J249" s="8">
        <f t="shared" si="14"/>
        <v>-6.3405400389367054E-4</v>
      </c>
      <c r="K249" s="8">
        <f t="shared" si="11"/>
        <v>-0.79420254252901801</v>
      </c>
    </row>
    <row r="250" spans="1:11" x14ac:dyDescent="0.25">
      <c r="A250" t="str">
        <f t="shared" si="12"/>
        <v>122020</v>
      </c>
      <c r="B250" s="1">
        <v>44195</v>
      </c>
      <c r="C250" s="21">
        <v>44195.645830000001</v>
      </c>
      <c r="D250" s="20">
        <v>1135.95</v>
      </c>
      <c r="E250" s="20">
        <v>1136.99</v>
      </c>
      <c r="F250" s="20">
        <v>1132.55</v>
      </c>
      <c r="G250" s="20">
        <v>1135.0899999999999</v>
      </c>
      <c r="H250" s="20">
        <v>1329</v>
      </c>
      <c r="I250" s="8">
        <f t="shared" si="13"/>
        <v>-8.8090980364663451E-5</v>
      </c>
      <c r="J250" s="8">
        <f t="shared" si="14"/>
        <v>-8.8094860602951926E-5</v>
      </c>
      <c r="K250" s="8">
        <f t="shared" si="11"/>
        <v>-0.95079964460239896</v>
      </c>
    </row>
    <row r="251" spans="1:11" x14ac:dyDescent="0.25">
      <c r="A251" t="str">
        <f t="shared" si="12"/>
        <v>122020</v>
      </c>
      <c r="B251" s="1">
        <v>44196</v>
      </c>
      <c r="C251" s="21">
        <v>44196.645830000001</v>
      </c>
      <c r="D251" s="20">
        <v>1135</v>
      </c>
      <c r="E251" s="20">
        <v>1138.99</v>
      </c>
      <c r="F251" s="20">
        <v>1135</v>
      </c>
      <c r="G251" s="20">
        <v>1138.95</v>
      </c>
      <c r="H251" s="20">
        <v>6643</v>
      </c>
      <c r="I251" s="8">
        <f t="shared" si="13"/>
        <v>3.4006114052631542E-3</v>
      </c>
      <c r="J251" s="8">
        <f t="shared" si="14"/>
        <v>3.3948424013590587E-3</v>
      </c>
      <c r="K251" s="8">
        <f t="shared" si="11"/>
        <v>-0.36400191479176636</v>
      </c>
    </row>
    <row r="252" spans="1:11" x14ac:dyDescent="0.25">
      <c r="A252" t="str">
        <f t="shared" si="12"/>
        <v>12021</v>
      </c>
      <c r="B252" s="1">
        <v>44197</v>
      </c>
      <c r="C252" s="21">
        <v>44197.645830000001</v>
      </c>
      <c r="D252" s="20">
        <v>1138.94</v>
      </c>
      <c r="E252" s="20">
        <v>1138.94</v>
      </c>
      <c r="F252" s="20">
        <v>1136.9000000000001</v>
      </c>
      <c r="G252" s="20">
        <v>1136.9100000000001</v>
      </c>
      <c r="H252" s="20">
        <v>10610</v>
      </c>
      <c r="I252" s="8">
        <f t="shared" si="13"/>
        <v>-1.7911234031344758E-3</v>
      </c>
      <c r="J252" s="8">
        <f t="shared" si="14"/>
        <v>-1.7927293826152317E-3</v>
      </c>
      <c r="K252" s="8">
        <f t="shared" si="11"/>
        <v>0.19495438675526522</v>
      </c>
    </row>
    <row r="253" spans="1:11" x14ac:dyDescent="0.25">
      <c r="A253" t="str">
        <f t="shared" si="12"/>
        <v>12021</v>
      </c>
      <c r="B253" s="1">
        <v>44200</v>
      </c>
      <c r="C253" s="21">
        <v>44200.645830000001</v>
      </c>
      <c r="D253" s="20">
        <v>1134.5</v>
      </c>
      <c r="E253" s="20">
        <v>1138.79</v>
      </c>
      <c r="F253" s="20">
        <v>1134.5</v>
      </c>
      <c r="G253" s="20">
        <v>1138</v>
      </c>
      <c r="H253" s="20">
        <v>9695</v>
      </c>
      <c r="I253" s="8">
        <f t="shared" si="13"/>
        <v>9.587390382703731E-4</v>
      </c>
      <c r="J253" s="8">
        <f t="shared" si="14"/>
        <v>9.5827974153898335E-4</v>
      </c>
      <c r="K253" s="8">
        <f t="shared" si="11"/>
        <v>0.47094522834167796</v>
      </c>
    </row>
    <row r="254" spans="1:11" x14ac:dyDescent="0.25">
      <c r="A254" t="str">
        <f t="shared" si="12"/>
        <v>12021</v>
      </c>
      <c r="B254" s="1">
        <v>44201</v>
      </c>
      <c r="C254" s="21">
        <v>44201.645830000001</v>
      </c>
      <c r="D254" s="20">
        <v>1138.98</v>
      </c>
      <c r="E254" s="20">
        <v>1138.98</v>
      </c>
      <c r="F254" s="20">
        <v>1134.99</v>
      </c>
      <c r="G254" s="20">
        <v>1135.9100000000001</v>
      </c>
      <c r="H254" s="20">
        <v>11348</v>
      </c>
      <c r="I254" s="8">
        <f t="shared" si="13"/>
        <v>-1.8365553602811557E-3</v>
      </c>
      <c r="J254" s="8">
        <f t="shared" si="14"/>
        <v>-1.8382438957861833E-3</v>
      </c>
      <c r="K254" s="8">
        <f t="shared" si="11"/>
        <v>-0.47947341865052062</v>
      </c>
    </row>
    <row r="255" spans="1:11" x14ac:dyDescent="0.25">
      <c r="A255" t="str">
        <f t="shared" si="12"/>
        <v>12021</v>
      </c>
      <c r="B255" s="1">
        <v>44202</v>
      </c>
      <c r="C255" s="21">
        <v>44202.645830000001</v>
      </c>
      <c r="D255" s="20">
        <v>1137.5999999999999</v>
      </c>
      <c r="E255" s="20">
        <v>1138.48</v>
      </c>
      <c r="F255" s="20">
        <v>1137.01</v>
      </c>
      <c r="G255" s="20">
        <v>1138.07</v>
      </c>
      <c r="H255" s="20">
        <v>2638</v>
      </c>
      <c r="I255" s="8">
        <f t="shared" si="13"/>
        <v>1.9015591023936462E-3</v>
      </c>
      <c r="J255" s="8">
        <f t="shared" si="14"/>
        <v>1.8997534275862437E-3</v>
      </c>
      <c r="K255" s="8">
        <f t="shared" si="11"/>
        <v>-0.71557951482479787</v>
      </c>
    </row>
    <row r="256" spans="1:11" x14ac:dyDescent="0.25">
      <c r="A256" t="str">
        <f t="shared" si="12"/>
        <v>12021</v>
      </c>
      <c r="B256" s="1">
        <v>44203</v>
      </c>
      <c r="C256" s="21">
        <v>44203.645830000001</v>
      </c>
      <c r="D256" s="20">
        <v>1139</v>
      </c>
      <c r="E256" s="20">
        <v>1139</v>
      </c>
      <c r="F256" s="20">
        <v>1135.07</v>
      </c>
      <c r="G256" s="20">
        <v>1137.52</v>
      </c>
      <c r="H256" s="20">
        <v>6168</v>
      </c>
      <c r="I256" s="8">
        <f t="shared" si="13"/>
        <v>-4.8327431528816245E-4</v>
      </c>
      <c r="J256" s="8">
        <f t="shared" si="14"/>
        <v>-4.833911299572733E-4</v>
      </c>
      <c r="K256" s="8">
        <f t="shared" si="11"/>
        <v>-2.4513680215087819E-2</v>
      </c>
    </row>
    <row r="257" spans="1:11" x14ac:dyDescent="0.25">
      <c r="A257" t="str">
        <f t="shared" si="12"/>
        <v>12021</v>
      </c>
      <c r="B257" s="1">
        <v>44204</v>
      </c>
      <c r="C257" s="21">
        <v>44204.645830000001</v>
      </c>
      <c r="D257" s="20">
        <v>1137.0999999999999</v>
      </c>
      <c r="E257" s="20">
        <v>1138.93</v>
      </c>
      <c r="F257" s="20">
        <v>1136.02</v>
      </c>
      <c r="G257" s="20">
        <v>1137</v>
      </c>
      <c r="H257" s="20">
        <v>28246</v>
      </c>
      <c r="I257" s="8">
        <f t="shared" si="13"/>
        <v>-4.5713481960751867E-4</v>
      </c>
      <c r="J257" s="8">
        <f t="shared" si="14"/>
        <v>-4.572393375829184E-4</v>
      </c>
      <c r="K257" s="8">
        <f t="shared" ref="K257:K320" si="15">+H257/H195-1</f>
        <v>0.28742023701002739</v>
      </c>
    </row>
    <row r="258" spans="1:11" x14ac:dyDescent="0.25">
      <c r="A258" t="str">
        <f t="shared" si="12"/>
        <v>12021</v>
      </c>
      <c r="B258" s="1">
        <v>44207</v>
      </c>
      <c r="C258" s="21">
        <v>44207.645830000001</v>
      </c>
      <c r="D258" s="20">
        <v>1136.8900000000001</v>
      </c>
      <c r="E258" s="20">
        <v>1138.99</v>
      </c>
      <c r="F258" s="20">
        <v>1135</v>
      </c>
      <c r="G258" s="20">
        <v>1138.77</v>
      </c>
      <c r="H258" s="20">
        <v>11244</v>
      </c>
      <c r="I258" s="8">
        <f t="shared" si="13"/>
        <v>1.5567282321899967E-3</v>
      </c>
      <c r="J258" s="8">
        <f t="shared" si="14"/>
        <v>1.555517786855667E-3</v>
      </c>
      <c r="K258" s="8">
        <f t="shared" si="15"/>
        <v>-0.27242137957810275</v>
      </c>
    </row>
    <row r="259" spans="1:11" x14ac:dyDescent="0.25">
      <c r="A259" t="str">
        <f t="shared" ref="A259:A322" si="16">+MONTH(B259)&amp;YEAR(B259)</f>
        <v>12021</v>
      </c>
      <c r="B259" s="1">
        <v>44208</v>
      </c>
      <c r="C259" s="21">
        <v>44208.645830000001</v>
      </c>
      <c r="D259" s="20">
        <v>1135</v>
      </c>
      <c r="E259" s="20">
        <v>1138.49</v>
      </c>
      <c r="F259" s="20">
        <v>1134.1199999999999</v>
      </c>
      <c r="G259" s="20">
        <v>1138.04</v>
      </c>
      <c r="H259" s="20">
        <v>5038</v>
      </c>
      <c r="I259" s="8">
        <f t="shared" si="13"/>
        <v>-6.4104252834196185E-4</v>
      </c>
      <c r="J259" s="8">
        <f t="shared" si="14"/>
        <v>-6.4124808395482093E-4</v>
      </c>
      <c r="K259" s="8">
        <f t="shared" si="15"/>
        <v>1.0330912025827281</v>
      </c>
    </row>
    <row r="260" spans="1:11" x14ac:dyDescent="0.25">
      <c r="A260" t="str">
        <f t="shared" si="16"/>
        <v>12021</v>
      </c>
      <c r="B260" s="1">
        <v>44209</v>
      </c>
      <c r="C260" s="21">
        <v>44209.645830000001</v>
      </c>
      <c r="D260" s="20">
        <v>1137.5</v>
      </c>
      <c r="E260" s="20">
        <v>1140.99</v>
      </c>
      <c r="F260" s="20">
        <v>1137.5</v>
      </c>
      <c r="G260" s="20">
        <v>1139.1500000000001</v>
      </c>
      <c r="H260" s="20">
        <v>44107</v>
      </c>
      <c r="I260" s="8">
        <f t="shared" ref="I260:I323" si="17">+G260/G259-1</f>
        <v>9.7536114723562051E-4</v>
      </c>
      <c r="J260" s="8">
        <f t="shared" ref="J260:J323" si="18">LN(1+I260)</f>
        <v>9.7488579162233939E-4</v>
      </c>
      <c r="K260" s="8">
        <f t="shared" si="15"/>
        <v>1.6241670633031888</v>
      </c>
    </row>
    <row r="261" spans="1:11" x14ac:dyDescent="0.25">
      <c r="A261" t="str">
        <f t="shared" si="16"/>
        <v>12021</v>
      </c>
      <c r="B261" s="1">
        <v>44210</v>
      </c>
      <c r="C261" s="21">
        <v>44210.645830000001</v>
      </c>
      <c r="D261" s="20">
        <v>1128</v>
      </c>
      <c r="E261" s="20">
        <v>1139.98</v>
      </c>
      <c r="F261" s="20">
        <v>1128</v>
      </c>
      <c r="G261" s="20">
        <v>1135.74</v>
      </c>
      <c r="H261" s="20">
        <v>30065</v>
      </c>
      <c r="I261" s="8">
        <f t="shared" si="17"/>
        <v>-2.9934600359917685E-3</v>
      </c>
      <c r="J261" s="8">
        <f t="shared" si="18"/>
        <v>-2.9979493988760426E-3</v>
      </c>
      <c r="K261" s="8">
        <f t="shared" si="15"/>
        <v>5.7470825852782763</v>
      </c>
    </row>
    <row r="262" spans="1:11" x14ac:dyDescent="0.25">
      <c r="A262" t="str">
        <f t="shared" si="16"/>
        <v>12021</v>
      </c>
      <c r="B262" s="1">
        <v>44211</v>
      </c>
      <c r="C262" s="21">
        <v>44211.645830000001</v>
      </c>
      <c r="D262" s="20">
        <v>1135.5</v>
      </c>
      <c r="E262" s="20">
        <v>1137.98</v>
      </c>
      <c r="F262" s="20">
        <v>1135.5</v>
      </c>
      <c r="G262" s="20">
        <v>1137.56</v>
      </c>
      <c r="H262" s="20">
        <v>22413</v>
      </c>
      <c r="I262" s="8">
        <f t="shared" si="17"/>
        <v>1.6024794407170084E-3</v>
      </c>
      <c r="J262" s="8">
        <f t="shared" si="18"/>
        <v>1.6011968405821222E-3</v>
      </c>
      <c r="K262" s="8">
        <f t="shared" si="15"/>
        <v>0.3079481792717087</v>
      </c>
    </row>
    <row r="263" spans="1:11" x14ac:dyDescent="0.25">
      <c r="A263" t="str">
        <f t="shared" si="16"/>
        <v>12021</v>
      </c>
      <c r="B263" s="1">
        <v>44214</v>
      </c>
      <c r="C263" s="21">
        <v>44214.645830000001</v>
      </c>
      <c r="D263" s="20">
        <v>1133.95</v>
      </c>
      <c r="E263" s="20">
        <v>1137.98</v>
      </c>
      <c r="F263" s="20">
        <v>1133.01</v>
      </c>
      <c r="G263" s="20">
        <v>1136.83</v>
      </c>
      <c r="H263" s="20">
        <v>23246</v>
      </c>
      <c r="I263" s="8">
        <f t="shared" si="17"/>
        <v>-6.4172439255949509E-4</v>
      </c>
      <c r="J263" s="8">
        <f t="shared" si="18"/>
        <v>-6.4193038578946599E-4</v>
      </c>
      <c r="K263" s="8">
        <f t="shared" si="15"/>
        <v>-0.41935806169601597</v>
      </c>
    </row>
    <row r="264" spans="1:11" x14ac:dyDescent="0.25">
      <c r="A264" t="str">
        <f t="shared" si="16"/>
        <v>12021</v>
      </c>
      <c r="B264" s="1">
        <v>44215</v>
      </c>
      <c r="C264" s="21">
        <v>44215.645830000001</v>
      </c>
      <c r="D264" s="20">
        <v>1136</v>
      </c>
      <c r="E264" s="20">
        <v>1137.79</v>
      </c>
      <c r="F264" s="20">
        <v>1135</v>
      </c>
      <c r="G264" s="20">
        <v>1135.93</v>
      </c>
      <c r="H264" s="20">
        <v>15076</v>
      </c>
      <c r="I264" s="8">
        <f t="shared" si="17"/>
        <v>-7.9167509654021195E-4</v>
      </c>
      <c r="J264" s="8">
        <f t="shared" si="18"/>
        <v>-7.9198863676169825E-4</v>
      </c>
      <c r="K264" s="8">
        <f t="shared" si="15"/>
        <v>-0.17078268522083495</v>
      </c>
    </row>
    <row r="265" spans="1:11" x14ac:dyDescent="0.25">
      <c r="A265" t="str">
        <f t="shared" si="16"/>
        <v>12021</v>
      </c>
      <c r="B265" s="1">
        <v>44216</v>
      </c>
      <c r="C265" s="21">
        <v>44216.645830000001</v>
      </c>
      <c r="D265" s="20">
        <v>1135.93</v>
      </c>
      <c r="E265" s="20">
        <v>1136.4100000000001</v>
      </c>
      <c r="F265" s="20">
        <v>1134.5999999999999</v>
      </c>
      <c r="G265" s="20">
        <v>1135.48</v>
      </c>
      <c r="H265" s="20">
        <v>19750</v>
      </c>
      <c r="I265" s="8">
        <f t="shared" si="17"/>
        <v>-3.9615117128699584E-4</v>
      </c>
      <c r="J265" s="8">
        <f t="shared" si="18"/>
        <v>-3.9622965989183817E-4</v>
      </c>
      <c r="K265" s="8">
        <f t="shared" si="15"/>
        <v>-9.2120989243357543E-2</v>
      </c>
    </row>
    <row r="266" spans="1:11" x14ac:dyDescent="0.25">
      <c r="A266" t="str">
        <f t="shared" si="16"/>
        <v>12021</v>
      </c>
      <c r="B266" s="1">
        <v>44217</v>
      </c>
      <c r="C266" s="21">
        <v>44217.645830000001</v>
      </c>
      <c r="D266" s="20">
        <v>1137.98</v>
      </c>
      <c r="E266" s="20">
        <v>1137.98</v>
      </c>
      <c r="F266" s="20">
        <v>1134.0999999999999</v>
      </c>
      <c r="G266" s="20">
        <v>1135.94</v>
      </c>
      <c r="H266" s="20">
        <v>15468</v>
      </c>
      <c r="I266" s="8">
        <f t="shared" si="17"/>
        <v>4.0511501743756284E-4</v>
      </c>
      <c r="J266" s="8">
        <f t="shared" si="18"/>
        <v>4.050329805044007E-4</v>
      </c>
      <c r="K266" s="8">
        <f t="shared" si="15"/>
        <v>-0.24191335032346595</v>
      </c>
    </row>
    <row r="267" spans="1:11" x14ac:dyDescent="0.25">
      <c r="A267" t="str">
        <f t="shared" si="16"/>
        <v>12021</v>
      </c>
      <c r="B267" s="1">
        <v>44218</v>
      </c>
      <c r="C267" s="21">
        <v>44218.645830000001</v>
      </c>
      <c r="D267" s="20">
        <v>1137.98</v>
      </c>
      <c r="E267" s="20">
        <v>1137.98</v>
      </c>
      <c r="F267" s="20">
        <v>1132.08</v>
      </c>
      <c r="G267" s="20">
        <v>1135.75</v>
      </c>
      <c r="H267" s="20">
        <v>8815</v>
      </c>
      <c r="I267" s="8">
        <f t="shared" si="17"/>
        <v>-1.672623554060948E-4</v>
      </c>
      <c r="J267" s="8">
        <f t="shared" si="18"/>
        <v>-1.672763453138745E-4</v>
      </c>
      <c r="K267" s="8">
        <f t="shared" si="15"/>
        <v>-0.41634112427994441</v>
      </c>
    </row>
    <row r="268" spans="1:11" x14ac:dyDescent="0.25">
      <c r="A268" t="str">
        <f t="shared" si="16"/>
        <v>12021</v>
      </c>
      <c r="B268" s="1">
        <v>44221</v>
      </c>
      <c r="C268" s="21">
        <v>44221.645830000001</v>
      </c>
      <c r="D268" s="20">
        <v>1135.75</v>
      </c>
      <c r="E268" s="20">
        <v>1136.9000000000001</v>
      </c>
      <c r="F268" s="20">
        <v>1133.56</v>
      </c>
      <c r="G268" s="20">
        <v>1136.1600000000001</v>
      </c>
      <c r="H268" s="20">
        <v>3032</v>
      </c>
      <c r="I268" s="8">
        <f t="shared" si="17"/>
        <v>3.6099493726626797E-4</v>
      </c>
      <c r="J268" s="8">
        <f t="shared" si="18"/>
        <v>3.6092979427095815E-4</v>
      </c>
      <c r="K268" s="8">
        <f t="shared" si="15"/>
        <v>-0.98530502256105545</v>
      </c>
    </row>
    <row r="269" spans="1:11" x14ac:dyDescent="0.25">
      <c r="A269" t="str">
        <f t="shared" si="16"/>
        <v>12021</v>
      </c>
      <c r="B269" s="1">
        <v>44223</v>
      </c>
      <c r="C269" s="21">
        <v>44223.645830000001</v>
      </c>
      <c r="D269" s="20">
        <v>1136.21</v>
      </c>
      <c r="E269" s="20">
        <v>1136.95</v>
      </c>
      <c r="F269" s="20">
        <v>1133.01</v>
      </c>
      <c r="G269" s="20">
        <v>1135.08</v>
      </c>
      <c r="H269" s="20">
        <v>10963</v>
      </c>
      <c r="I269" s="8">
        <f t="shared" si="17"/>
        <v>-9.505703422054701E-4</v>
      </c>
      <c r="J269" s="8">
        <f t="shared" si="18"/>
        <v>-9.5102242070419136E-4</v>
      </c>
      <c r="K269" s="8">
        <f t="shared" si="15"/>
        <v>-0.10564529286996249</v>
      </c>
    </row>
    <row r="270" spans="1:11" x14ac:dyDescent="0.25">
      <c r="A270" t="str">
        <f t="shared" si="16"/>
        <v>12021</v>
      </c>
      <c r="B270" s="1">
        <v>44224</v>
      </c>
      <c r="C270" s="21">
        <v>44224.645830000001</v>
      </c>
      <c r="D270" s="20">
        <v>1134.01</v>
      </c>
      <c r="E270" s="20">
        <v>1135.99</v>
      </c>
      <c r="F270" s="20">
        <v>1133.01</v>
      </c>
      <c r="G270" s="20">
        <v>1134.45</v>
      </c>
      <c r="H270" s="20">
        <v>19380</v>
      </c>
      <c r="I270" s="8">
        <f t="shared" si="17"/>
        <v>-5.5502695845210948E-4</v>
      </c>
      <c r="J270" s="8">
        <f t="shared" si="18"/>
        <v>-5.5518104293107804E-4</v>
      </c>
      <c r="K270" s="8">
        <f t="shared" si="15"/>
        <v>0.98179772982922597</v>
      </c>
    </row>
    <row r="271" spans="1:11" x14ac:dyDescent="0.25">
      <c r="A271" t="str">
        <f t="shared" si="16"/>
        <v>12021</v>
      </c>
      <c r="B271" s="1">
        <v>44225</v>
      </c>
      <c r="C271" s="21">
        <v>44225.645830000001</v>
      </c>
      <c r="D271" s="20">
        <v>1134</v>
      </c>
      <c r="E271" s="20">
        <v>1136.93</v>
      </c>
      <c r="F271" s="20">
        <v>1134</v>
      </c>
      <c r="G271" s="20">
        <v>1135.01</v>
      </c>
      <c r="H271" s="20">
        <v>10718</v>
      </c>
      <c r="I271" s="8">
        <f t="shared" si="17"/>
        <v>4.9363127506718563E-4</v>
      </c>
      <c r="J271" s="8">
        <f t="shared" si="18"/>
        <v>4.9350947922916497E-4</v>
      </c>
      <c r="K271" s="8">
        <f t="shared" si="15"/>
        <v>0.42982924226254005</v>
      </c>
    </row>
    <row r="272" spans="1:11" x14ac:dyDescent="0.25">
      <c r="A272" t="str">
        <f t="shared" si="16"/>
        <v>22021</v>
      </c>
      <c r="B272" s="1">
        <v>44228</v>
      </c>
      <c r="C272" s="21">
        <v>44228.645830000001</v>
      </c>
      <c r="D272" s="20">
        <v>1135.5</v>
      </c>
      <c r="E272" s="20">
        <v>1135.99</v>
      </c>
      <c r="F272" s="20">
        <v>1132.05</v>
      </c>
      <c r="G272" s="20">
        <v>1133.6099999999999</v>
      </c>
      <c r="H272" s="20">
        <v>13733</v>
      </c>
      <c r="I272" s="8">
        <f t="shared" si="17"/>
        <v>-1.2334693086405446E-3</v>
      </c>
      <c r="J272" s="8">
        <f t="shared" si="18"/>
        <v>-1.2342306580400307E-3</v>
      </c>
      <c r="K272" s="8">
        <f t="shared" si="15"/>
        <v>-5.5112150818769745E-2</v>
      </c>
    </row>
    <row r="273" spans="1:11" x14ac:dyDescent="0.25">
      <c r="A273" t="str">
        <f t="shared" si="16"/>
        <v>22021</v>
      </c>
      <c r="B273" s="1">
        <v>44229</v>
      </c>
      <c r="C273" s="21">
        <v>44229.645830000001</v>
      </c>
      <c r="D273" s="20">
        <v>1131.93</v>
      </c>
      <c r="E273" s="20">
        <v>1131.93</v>
      </c>
      <c r="F273" s="20">
        <v>1124.07</v>
      </c>
      <c r="G273" s="20">
        <v>1125.78</v>
      </c>
      <c r="H273" s="20">
        <v>14349</v>
      </c>
      <c r="I273" s="8">
        <f t="shared" si="17"/>
        <v>-6.9071373752876974E-3</v>
      </c>
      <c r="J273" s="8">
        <f t="shared" si="18"/>
        <v>-6.9311020639991434E-3</v>
      </c>
      <c r="K273" s="8">
        <f t="shared" si="15"/>
        <v>-0.1380428906109209</v>
      </c>
    </row>
    <row r="274" spans="1:11" x14ac:dyDescent="0.25">
      <c r="A274" t="str">
        <f t="shared" si="16"/>
        <v>22021</v>
      </c>
      <c r="B274" s="1">
        <v>44230</v>
      </c>
      <c r="C274" s="21">
        <v>44230.645830000001</v>
      </c>
      <c r="D274" s="20">
        <v>1123.95</v>
      </c>
      <c r="E274" s="20">
        <v>1123.95</v>
      </c>
      <c r="F274" s="20">
        <v>1115.04</v>
      </c>
      <c r="G274" s="20">
        <v>1118.97</v>
      </c>
      <c r="H274" s="20">
        <v>15170</v>
      </c>
      <c r="I274" s="8">
        <f t="shared" si="17"/>
        <v>-6.04913926344397E-3</v>
      </c>
      <c r="J274" s="8">
        <f t="shared" si="18"/>
        <v>-6.0675094262726097E-3</v>
      </c>
      <c r="K274" s="8">
        <f t="shared" si="15"/>
        <v>0.13905991890674274</v>
      </c>
    </row>
    <row r="275" spans="1:11" x14ac:dyDescent="0.25">
      <c r="A275" t="str">
        <f t="shared" si="16"/>
        <v>22021</v>
      </c>
      <c r="B275" s="1">
        <v>44231</v>
      </c>
      <c r="C275" s="21">
        <v>44231.645830000001</v>
      </c>
      <c r="D275" s="20">
        <v>1118.01</v>
      </c>
      <c r="E275" s="20">
        <v>1120</v>
      </c>
      <c r="F275" s="20">
        <v>1118.01</v>
      </c>
      <c r="G275" s="20">
        <v>1119.54</v>
      </c>
      <c r="H275" s="20">
        <v>8277</v>
      </c>
      <c r="I275" s="8">
        <f t="shared" si="17"/>
        <v>5.093970347729293E-4</v>
      </c>
      <c r="J275" s="8">
        <f t="shared" si="18"/>
        <v>5.0926733614693937E-4</v>
      </c>
      <c r="K275" s="8">
        <f t="shared" si="15"/>
        <v>0.4572183098591549</v>
      </c>
    </row>
    <row r="276" spans="1:11" x14ac:dyDescent="0.25">
      <c r="A276" t="str">
        <f t="shared" si="16"/>
        <v>22021</v>
      </c>
      <c r="B276" s="1">
        <v>44232</v>
      </c>
      <c r="C276" s="21">
        <v>44232.645830000001</v>
      </c>
      <c r="D276" s="20">
        <v>1122.99</v>
      </c>
      <c r="E276" s="20">
        <v>1122.99</v>
      </c>
      <c r="F276" s="20">
        <v>1119.07</v>
      </c>
      <c r="G276" s="20">
        <v>1119.94</v>
      </c>
      <c r="H276" s="20">
        <v>21223</v>
      </c>
      <c r="I276" s="8">
        <f t="shared" si="17"/>
        <v>3.572896010861637E-4</v>
      </c>
      <c r="J276" s="8">
        <f t="shared" si="18"/>
        <v>3.5722578835593904E-4</v>
      </c>
      <c r="K276" s="8">
        <f t="shared" si="15"/>
        <v>-0.64207171045974298</v>
      </c>
    </row>
    <row r="277" spans="1:11" x14ac:dyDescent="0.25">
      <c r="A277" t="str">
        <f t="shared" si="16"/>
        <v>22021</v>
      </c>
      <c r="B277" s="1">
        <v>44235</v>
      </c>
      <c r="C277" s="21">
        <v>44235.645830000001</v>
      </c>
      <c r="D277" s="20">
        <v>1121.93</v>
      </c>
      <c r="E277" s="20">
        <v>1121.93</v>
      </c>
      <c r="F277" s="20">
        <v>1117.04</v>
      </c>
      <c r="G277" s="20">
        <v>1117.69</v>
      </c>
      <c r="H277" s="20">
        <v>22203</v>
      </c>
      <c r="I277" s="8">
        <f t="shared" si="17"/>
        <v>-2.0090361983677862E-3</v>
      </c>
      <c r="J277" s="8">
        <f t="shared" si="18"/>
        <v>-2.011057018645312E-3</v>
      </c>
      <c r="K277" s="8">
        <f t="shared" si="15"/>
        <v>-0.6301410937682197</v>
      </c>
    </row>
    <row r="278" spans="1:11" x14ac:dyDescent="0.25">
      <c r="A278" t="str">
        <f t="shared" si="16"/>
        <v>22021</v>
      </c>
      <c r="B278" s="1">
        <v>44236</v>
      </c>
      <c r="C278" s="21">
        <v>44236.645830000001</v>
      </c>
      <c r="D278" s="20">
        <v>1117.69</v>
      </c>
      <c r="E278" s="20">
        <v>1119.5</v>
      </c>
      <c r="F278" s="20">
        <v>1117.07</v>
      </c>
      <c r="G278" s="20">
        <v>1117.3599999999999</v>
      </c>
      <c r="H278" s="20">
        <v>13206</v>
      </c>
      <c r="I278" s="8">
        <f t="shared" si="17"/>
        <v>-2.9525181400935629E-4</v>
      </c>
      <c r="J278" s="8">
        <f t="shared" si="18"/>
        <v>-2.9529540940748561E-4</v>
      </c>
      <c r="K278" s="8">
        <f t="shared" si="15"/>
        <v>-0.87176773316502398</v>
      </c>
    </row>
    <row r="279" spans="1:11" x14ac:dyDescent="0.25">
      <c r="A279" t="str">
        <f t="shared" si="16"/>
        <v>22021</v>
      </c>
      <c r="B279" s="1">
        <v>44237</v>
      </c>
      <c r="C279" s="21">
        <v>44237.645830000001</v>
      </c>
      <c r="D279" s="20">
        <v>1119.5</v>
      </c>
      <c r="E279" s="20">
        <v>1119.5</v>
      </c>
      <c r="F279" s="20">
        <v>1115.26</v>
      </c>
      <c r="G279" s="20">
        <v>1115.97</v>
      </c>
      <c r="H279" s="20">
        <v>9097</v>
      </c>
      <c r="I279" s="8">
        <f t="shared" si="17"/>
        <v>-1.2440037230614376E-3</v>
      </c>
      <c r="J279" s="8">
        <f t="shared" si="18"/>
        <v>-1.2447781380096098E-3</v>
      </c>
      <c r="K279" s="8">
        <f t="shared" si="15"/>
        <v>1.7819571865443424</v>
      </c>
    </row>
    <row r="280" spans="1:11" x14ac:dyDescent="0.25">
      <c r="A280" t="str">
        <f t="shared" si="16"/>
        <v>22021</v>
      </c>
      <c r="B280" s="1">
        <v>44238</v>
      </c>
      <c r="C280" s="21">
        <v>44238.645830000001</v>
      </c>
      <c r="D280" s="20">
        <v>1116.0999999999999</v>
      </c>
      <c r="E280" s="20">
        <v>1118</v>
      </c>
      <c r="F280" s="20">
        <v>1115.05</v>
      </c>
      <c r="G280" s="20">
        <v>1116.6199999999999</v>
      </c>
      <c r="H280" s="20">
        <v>14543</v>
      </c>
      <c r="I280" s="8">
        <f t="shared" si="17"/>
        <v>5.8245293332248593E-4</v>
      </c>
      <c r="J280" s="8">
        <f t="shared" si="18"/>
        <v>5.8228337344995332E-4</v>
      </c>
      <c r="K280" s="8">
        <f t="shared" si="15"/>
        <v>0.83670118716847686</v>
      </c>
    </row>
    <row r="281" spans="1:11" x14ac:dyDescent="0.25">
      <c r="A281" t="str">
        <f t="shared" si="16"/>
        <v>22021</v>
      </c>
      <c r="B281" s="1">
        <v>44239</v>
      </c>
      <c r="C281" s="21">
        <v>44239.645830000001</v>
      </c>
      <c r="D281" s="20">
        <v>1117.5899999999999</v>
      </c>
      <c r="E281" s="20">
        <v>1122.48</v>
      </c>
      <c r="F281" s="20">
        <v>1117</v>
      </c>
      <c r="G281" s="20">
        <v>1117.04</v>
      </c>
      <c r="H281" s="20">
        <v>96471</v>
      </c>
      <c r="I281" s="8">
        <f t="shared" si="17"/>
        <v>3.7613512206480237E-4</v>
      </c>
      <c r="J281" s="8">
        <f t="shared" si="18"/>
        <v>3.7606440098300977E-4</v>
      </c>
      <c r="K281" s="8">
        <f t="shared" si="15"/>
        <v>15.7252080443828</v>
      </c>
    </row>
    <row r="282" spans="1:11" x14ac:dyDescent="0.25">
      <c r="A282" t="str">
        <f t="shared" si="16"/>
        <v>22021</v>
      </c>
      <c r="B282" s="1">
        <v>44242</v>
      </c>
      <c r="C282" s="21">
        <v>44242.645830000001</v>
      </c>
      <c r="D282" s="20">
        <v>895</v>
      </c>
      <c r="E282" s="20">
        <v>1122.9000000000001</v>
      </c>
      <c r="F282" s="20">
        <v>895</v>
      </c>
      <c r="G282" s="20">
        <v>1121.26</v>
      </c>
      <c r="H282" s="20">
        <v>8198</v>
      </c>
      <c r="I282" s="8">
        <f t="shared" si="17"/>
        <v>3.77784143808646E-3</v>
      </c>
      <c r="J282" s="8">
        <f t="shared" si="18"/>
        <v>3.7707233169103228E-3</v>
      </c>
      <c r="K282" s="8">
        <f t="shared" si="15"/>
        <v>-0.39976570508127107</v>
      </c>
    </row>
    <row r="283" spans="1:11" x14ac:dyDescent="0.25">
      <c r="A283" t="str">
        <f t="shared" si="16"/>
        <v>22021</v>
      </c>
      <c r="B283" s="1">
        <v>44243</v>
      </c>
      <c r="C283" s="21">
        <v>44243.645830000001</v>
      </c>
      <c r="D283" s="20">
        <v>1121.26</v>
      </c>
      <c r="E283" s="20">
        <v>1122.5</v>
      </c>
      <c r="F283" s="20">
        <v>1117</v>
      </c>
      <c r="G283" s="20">
        <v>1117.52</v>
      </c>
      <c r="H283" s="20">
        <v>42693</v>
      </c>
      <c r="I283" s="8">
        <f t="shared" si="17"/>
        <v>-3.3355332393913972E-3</v>
      </c>
      <c r="J283" s="8">
        <f t="shared" si="18"/>
        <v>-3.341108531554051E-3</v>
      </c>
      <c r="K283" s="8">
        <f t="shared" si="15"/>
        <v>5.2802294792586055</v>
      </c>
    </row>
    <row r="284" spans="1:11" x14ac:dyDescent="0.25">
      <c r="A284" t="str">
        <f t="shared" si="16"/>
        <v>22021</v>
      </c>
      <c r="B284" s="1">
        <v>44244</v>
      </c>
      <c r="C284" s="21">
        <v>44244.645830000001</v>
      </c>
      <c r="D284" s="20">
        <v>1120</v>
      </c>
      <c r="E284" s="20">
        <v>1122.96</v>
      </c>
      <c r="F284" s="20">
        <v>1118.07</v>
      </c>
      <c r="G284" s="20">
        <v>1119.93</v>
      </c>
      <c r="H284" s="20">
        <v>5098</v>
      </c>
      <c r="I284" s="8">
        <f t="shared" si="17"/>
        <v>2.156560956403597E-3</v>
      </c>
      <c r="J284" s="8">
        <f t="shared" si="18"/>
        <v>2.1542389166385174E-3</v>
      </c>
      <c r="K284" s="8">
        <f t="shared" si="15"/>
        <v>0.89940387481371098</v>
      </c>
    </row>
    <row r="285" spans="1:11" x14ac:dyDescent="0.25">
      <c r="A285" t="str">
        <f t="shared" si="16"/>
        <v>22021</v>
      </c>
      <c r="B285" s="1">
        <v>44245</v>
      </c>
      <c r="C285" s="21">
        <v>44245.645830000001</v>
      </c>
      <c r="D285" s="20">
        <v>1121.8900000000001</v>
      </c>
      <c r="E285" s="20">
        <v>1121.8900000000001</v>
      </c>
      <c r="F285" s="20">
        <v>1117.07</v>
      </c>
      <c r="G285" s="20">
        <v>1117.74</v>
      </c>
      <c r="H285" s="20">
        <v>10880</v>
      </c>
      <c r="I285" s="8">
        <f t="shared" si="17"/>
        <v>-1.9554793603172582E-3</v>
      </c>
      <c r="J285" s="8">
        <f t="shared" si="18"/>
        <v>-1.9573938062617197E-3</v>
      </c>
      <c r="K285" s="8">
        <f t="shared" si="15"/>
        <v>0.32780082987551862</v>
      </c>
    </row>
    <row r="286" spans="1:11" x14ac:dyDescent="0.25">
      <c r="A286" t="str">
        <f t="shared" si="16"/>
        <v>22021</v>
      </c>
      <c r="B286" s="1">
        <v>44246</v>
      </c>
      <c r="C286" s="21">
        <v>44246.645830000001</v>
      </c>
      <c r="D286" s="20">
        <v>1118</v>
      </c>
      <c r="E286" s="20">
        <v>1119.95</v>
      </c>
      <c r="F286" s="20">
        <v>1117.5</v>
      </c>
      <c r="G286" s="20">
        <v>1118.0999999999999</v>
      </c>
      <c r="H286" s="20">
        <v>9600</v>
      </c>
      <c r="I286" s="8">
        <f t="shared" si="17"/>
        <v>3.2207847978948934E-4</v>
      </c>
      <c r="J286" s="8">
        <f t="shared" si="18"/>
        <v>3.2202662365011646E-4</v>
      </c>
      <c r="K286" s="8">
        <f t="shared" si="15"/>
        <v>-0.12112057127162867</v>
      </c>
    </row>
    <row r="287" spans="1:11" x14ac:dyDescent="0.25">
      <c r="A287" t="str">
        <f t="shared" si="16"/>
        <v>22021</v>
      </c>
      <c r="B287" s="1">
        <v>44249</v>
      </c>
      <c r="C287" s="21">
        <v>44249.645830000001</v>
      </c>
      <c r="D287" s="20">
        <v>1118.0899999999999</v>
      </c>
      <c r="E287" s="20">
        <v>1119.98</v>
      </c>
      <c r="F287" s="20">
        <v>1117.2</v>
      </c>
      <c r="G287" s="20">
        <v>1118.8</v>
      </c>
      <c r="H287" s="20">
        <v>14620</v>
      </c>
      <c r="I287" s="8">
        <f t="shared" si="17"/>
        <v>6.260620695823782E-4</v>
      </c>
      <c r="J287" s="8">
        <f t="shared" si="18"/>
        <v>6.2586617448229026E-4</v>
      </c>
      <c r="K287" s="8">
        <f t="shared" si="15"/>
        <v>2.3748845798707294</v>
      </c>
    </row>
    <row r="288" spans="1:11" x14ac:dyDescent="0.25">
      <c r="A288" t="str">
        <f t="shared" si="16"/>
        <v>22021</v>
      </c>
      <c r="B288" s="1">
        <v>44250</v>
      </c>
      <c r="C288" s="21">
        <v>44250.645830000001</v>
      </c>
      <c r="D288" s="20">
        <v>1114.98</v>
      </c>
      <c r="E288" s="20">
        <v>1114.98</v>
      </c>
      <c r="F288" s="20">
        <v>1112</v>
      </c>
      <c r="G288" s="20">
        <v>1113.0999999999999</v>
      </c>
      <c r="H288" s="20">
        <v>18833</v>
      </c>
      <c r="I288" s="8">
        <f t="shared" si="17"/>
        <v>-5.0947443689668415E-3</v>
      </c>
      <c r="J288" s="8">
        <f t="shared" si="18"/>
        <v>-5.1077668286246269E-3</v>
      </c>
      <c r="K288" s="8">
        <f t="shared" si="15"/>
        <v>4.1852973568281939</v>
      </c>
    </row>
    <row r="289" spans="1:11" x14ac:dyDescent="0.25">
      <c r="A289" t="str">
        <f t="shared" si="16"/>
        <v>22021</v>
      </c>
      <c r="B289" s="1">
        <v>44251</v>
      </c>
      <c r="C289" s="21">
        <v>44251.645830000001</v>
      </c>
      <c r="D289" s="20">
        <v>1114.5</v>
      </c>
      <c r="E289" s="20">
        <v>1115</v>
      </c>
      <c r="F289" s="20">
        <v>1111</v>
      </c>
      <c r="G289" s="20">
        <v>1114.0999999999999</v>
      </c>
      <c r="H289" s="20">
        <v>101176</v>
      </c>
      <c r="I289" s="8">
        <f t="shared" si="17"/>
        <v>8.9839187853746338E-4</v>
      </c>
      <c r="J289" s="8">
        <f t="shared" si="18"/>
        <v>8.9798856609076114E-4</v>
      </c>
      <c r="K289" s="8">
        <f t="shared" si="15"/>
        <v>47.948234155781329</v>
      </c>
    </row>
    <row r="290" spans="1:11" x14ac:dyDescent="0.25">
      <c r="A290" t="str">
        <f t="shared" si="16"/>
        <v>22021</v>
      </c>
      <c r="B290" s="1">
        <v>44252</v>
      </c>
      <c r="C290" s="21">
        <v>44252.645830000001</v>
      </c>
      <c r="D290" s="20">
        <v>1111.55</v>
      </c>
      <c r="E290" s="20">
        <v>1116</v>
      </c>
      <c r="F290" s="20">
        <v>1111.55</v>
      </c>
      <c r="G290" s="20">
        <v>1114.1400000000001</v>
      </c>
      <c r="H290" s="20">
        <v>35635</v>
      </c>
      <c r="I290" s="8">
        <f t="shared" si="17"/>
        <v>3.5903419800975556E-5</v>
      </c>
      <c r="J290" s="8">
        <f t="shared" si="18"/>
        <v>3.5902775288625606E-5</v>
      </c>
      <c r="K290" s="8">
        <f t="shared" si="15"/>
        <v>-0.62567884116429795</v>
      </c>
    </row>
    <row r="291" spans="1:11" x14ac:dyDescent="0.25">
      <c r="A291" t="str">
        <f t="shared" si="16"/>
        <v>22021</v>
      </c>
      <c r="B291" s="1">
        <v>44253</v>
      </c>
      <c r="C291" s="21">
        <v>44253.645830000001</v>
      </c>
      <c r="D291" s="20">
        <v>1114.19</v>
      </c>
      <c r="E291" s="20">
        <v>1115</v>
      </c>
      <c r="F291" s="20">
        <v>1112</v>
      </c>
      <c r="G291" s="20">
        <v>1113.97</v>
      </c>
      <c r="H291" s="20">
        <v>22661</v>
      </c>
      <c r="I291" s="8">
        <f t="shared" si="17"/>
        <v>-1.5258405586382473E-4</v>
      </c>
      <c r="J291" s="8">
        <f t="shared" si="18"/>
        <v>-1.525956979951608E-4</v>
      </c>
      <c r="K291" s="8">
        <f t="shared" si="15"/>
        <v>8.3756723210591648</v>
      </c>
    </row>
    <row r="292" spans="1:11" x14ac:dyDescent="0.25">
      <c r="A292" t="str">
        <f t="shared" si="16"/>
        <v>32021</v>
      </c>
      <c r="B292" s="1">
        <v>44256</v>
      </c>
      <c r="C292" s="21">
        <v>44256.645830000001</v>
      </c>
      <c r="D292" s="20">
        <v>1117.95</v>
      </c>
      <c r="E292" s="20">
        <v>1118</v>
      </c>
      <c r="F292" s="20">
        <v>1110</v>
      </c>
      <c r="G292" s="20">
        <v>1111.72</v>
      </c>
      <c r="H292" s="20">
        <v>15772</v>
      </c>
      <c r="I292" s="8">
        <f t="shared" si="17"/>
        <v>-2.0198030467606376E-3</v>
      </c>
      <c r="J292" s="8">
        <f t="shared" si="18"/>
        <v>-2.0218455997677806E-3</v>
      </c>
      <c r="K292" s="8">
        <f t="shared" si="15"/>
        <v>-0.39918479296026821</v>
      </c>
    </row>
    <row r="293" spans="1:11" x14ac:dyDescent="0.25">
      <c r="A293" t="str">
        <f t="shared" si="16"/>
        <v>32021</v>
      </c>
      <c r="B293" s="1">
        <v>44257</v>
      </c>
      <c r="C293" s="21">
        <v>44257.645830000001</v>
      </c>
      <c r="D293" s="20">
        <v>1111.55</v>
      </c>
      <c r="E293" s="20">
        <v>1114.9100000000001</v>
      </c>
      <c r="F293" s="20">
        <v>1111.5</v>
      </c>
      <c r="G293" s="20">
        <v>1112.0899999999999</v>
      </c>
      <c r="H293" s="20">
        <v>8443</v>
      </c>
      <c r="I293" s="8">
        <f t="shared" si="17"/>
        <v>3.3281761594627923E-4</v>
      </c>
      <c r="J293" s="8">
        <f t="shared" si="18"/>
        <v>3.3276224444893631E-4</v>
      </c>
      <c r="K293" s="8">
        <f t="shared" si="15"/>
        <v>-0.7311403369104863</v>
      </c>
    </row>
    <row r="294" spans="1:11" x14ac:dyDescent="0.25">
      <c r="A294" t="str">
        <f t="shared" si="16"/>
        <v>32021</v>
      </c>
      <c r="B294" s="1">
        <v>44258</v>
      </c>
      <c r="C294" s="21">
        <v>44258.645830000001</v>
      </c>
      <c r="D294" s="20">
        <v>1114.9100000000001</v>
      </c>
      <c r="E294" s="20">
        <v>1114.98</v>
      </c>
      <c r="F294" s="20">
        <v>1109.01</v>
      </c>
      <c r="G294" s="20">
        <v>1109.83</v>
      </c>
      <c r="H294" s="20">
        <v>25276</v>
      </c>
      <c r="I294" s="8">
        <f t="shared" si="17"/>
        <v>-2.0322096233218456E-3</v>
      </c>
      <c r="J294" s="8">
        <f t="shared" si="18"/>
        <v>-2.0342773631605378E-3</v>
      </c>
      <c r="K294" s="8">
        <f t="shared" si="15"/>
        <v>1.3811587376354217</v>
      </c>
    </row>
    <row r="295" spans="1:11" x14ac:dyDescent="0.25">
      <c r="A295" t="str">
        <f t="shared" si="16"/>
        <v>32021</v>
      </c>
      <c r="B295" s="1">
        <v>44259</v>
      </c>
      <c r="C295" s="21">
        <v>44259.645830000001</v>
      </c>
      <c r="D295" s="20">
        <v>1109.0899999999999</v>
      </c>
      <c r="E295" s="20">
        <v>1113.99</v>
      </c>
      <c r="F295" s="20">
        <v>1108.0999999999999</v>
      </c>
      <c r="G295" s="20">
        <v>1109.04</v>
      </c>
      <c r="H295" s="20">
        <v>25414</v>
      </c>
      <c r="I295" s="8">
        <f t="shared" si="17"/>
        <v>-7.1182072930087159E-4</v>
      </c>
      <c r="J295" s="8">
        <f t="shared" si="18"/>
        <v>-7.120741939642748E-4</v>
      </c>
      <c r="K295" s="8">
        <f t="shared" si="15"/>
        <v>0.60290129296751815</v>
      </c>
    </row>
    <row r="296" spans="1:11" x14ac:dyDescent="0.25">
      <c r="A296" t="str">
        <f t="shared" si="16"/>
        <v>32021</v>
      </c>
      <c r="B296" s="1">
        <v>44260</v>
      </c>
      <c r="C296" s="21">
        <v>44260.645830000001</v>
      </c>
      <c r="D296" s="20">
        <v>1108</v>
      </c>
      <c r="E296" s="20">
        <v>1112.94</v>
      </c>
      <c r="F296" s="20">
        <v>1108</v>
      </c>
      <c r="G296" s="20">
        <v>1108.3699999999999</v>
      </c>
      <c r="H296" s="20">
        <v>23152</v>
      </c>
      <c r="I296" s="8">
        <f t="shared" si="17"/>
        <v>-6.0412609103377424E-4</v>
      </c>
      <c r="J296" s="8">
        <f t="shared" si="18"/>
        <v>-6.0430864872965562E-4</v>
      </c>
      <c r="K296" s="8">
        <f t="shared" si="15"/>
        <v>0.29921436588103245</v>
      </c>
    </row>
    <row r="297" spans="1:11" x14ac:dyDescent="0.25">
      <c r="A297" t="str">
        <f t="shared" si="16"/>
        <v>32021</v>
      </c>
      <c r="B297" s="1">
        <v>44263</v>
      </c>
      <c r="C297" s="21">
        <v>44263.645830000001</v>
      </c>
      <c r="D297" s="20">
        <v>1110</v>
      </c>
      <c r="E297" s="20">
        <v>1112.94</v>
      </c>
      <c r="F297" s="20">
        <v>1107.7</v>
      </c>
      <c r="G297" s="20">
        <v>1108.32</v>
      </c>
      <c r="H297" s="20">
        <v>30589</v>
      </c>
      <c r="I297" s="8">
        <f t="shared" si="17"/>
        <v>-4.5111289551313938E-5</v>
      </c>
      <c r="J297" s="8">
        <f t="shared" si="18"/>
        <v>-4.5112307096138386E-5</v>
      </c>
      <c r="K297" s="8">
        <f t="shared" si="15"/>
        <v>1.979641535164621</v>
      </c>
    </row>
    <row r="298" spans="1:11" x14ac:dyDescent="0.25">
      <c r="A298" t="str">
        <f t="shared" si="16"/>
        <v>32021</v>
      </c>
      <c r="B298" s="1">
        <v>44264</v>
      </c>
      <c r="C298" s="21">
        <v>44264.645830000001</v>
      </c>
      <c r="D298" s="20">
        <v>1108.32</v>
      </c>
      <c r="E298" s="20">
        <v>1110.9000000000001</v>
      </c>
      <c r="F298" s="20">
        <v>1107.07</v>
      </c>
      <c r="G298" s="20">
        <v>1108.17</v>
      </c>
      <c r="H298" s="20">
        <v>19339</v>
      </c>
      <c r="I298" s="8">
        <f t="shared" si="17"/>
        <v>-1.3533997401460329E-4</v>
      </c>
      <c r="J298" s="8">
        <f t="shared" si="18"/>
        <v>-1.3534913329530697E-4</v>
      </c>
      <c r="K298" s="8">
        <f t="shared" si="15"/>
        <v>0.88617965473519944</v>
      </c>
    </row>
    <row r="299" spans="1:11" x14ac:dyDescent="0.25">
      <c r="A299" t="str">
        <f t="shared" si="16"/>
        <v>32021</v>
      </c>
      <c r="B299" s="1">
        <v>44265</v>
      </c>
      <c r="C299" s="21">
        <v>44265.645830000001</v>
      </c>
      <c r="D299" s="20">
        <v>1107</v>
      </c>
      <c r="E299" s="20">
        <v>1111</v>
      </c>
      <c r="F299" s="20">
        <v>1064.1600000000001</v>
      </c>
      <c r="G299" s="20">
        <v>1109.74</v>
      </c>
      <c r="H299" s="20">
        <v>7935</v>
      </c>
      <c r="I299" s="8">
        <f t="shared" si="17"/>
        <v>1.416750137614109E-3</v>
      </c>
      <c r="J299" s="8">
        <f t="shared" si="18"/>
        <v>1.4157474940231375E-3</v>
      </c>
      <c r="K299" s="8">
        <f t="shared" si="15"/>
        <v>0.24842668344870988</v>
      </c>
    </row>
    <row r="300" spans="1:11" x14ac:dyDescent="0.25">
      <c r="A300" t="str">
        <f t="shared" si="16"/>
        <v>32021</v>
      </c>
      <c r="B300" s="1">
        <v>44267</v>
      </c>
      <c r="C300" s="21">
        <v>44267.645830000001</v>
      </c>
      <c r="D300" s="20">
        <v>1111.93</v>
      </c>
      <c r="E300" s="20">
        <v>1111.99</v>
      </c>
      <c r="F300" s="20">
        <v>1107</v>
      </c>
      <c r="G300" s="20">
        <v>1109.04</v>
      </c>
      <c r="H300" s="20">
        <v>34740</v>
      </c>
      <c r="I300" s="8">
        <f t="shared" si="17"/>
        <v>-6.3077838052161272E-4</v>
      </c>
      <c r="J300" s="8">
        <f t="shared" si="18"/>
        <v>-6.3097740490219794E-4</v>
      </c>
      <c r="K300" s="8">
        <f t="shared" si="15"/>
        <v>1.7183098591549295</v>
      </c>
    </row>
    <row r="301" spans="1:11" x14ac:dyDescent="0.25">
      <c r="A301" t="str">
        <f t="shared" si="16"/>
        <v>32021</v>
      </c>
      <c r="B301" s="1">
        <v>44270</v>
      </c>
      <c r="C301" s="21">
        <v>44270.645830000001</v>
      </c>
      <c r="D301" s="20">
        <v>1110</v>
      </c>
      <c r="E301" s="20">
        <v>1111.6300000000001</v>
      </c>
      <c r="F301" s="20">
        <v>1107.25</v>
      </c>
      <c r="G301" s="20">
        <v>1110.21</v>
      </c>
      <c r="H301" s="20">
        <v>13551</v>
      </c>
      <c r="I301" s="8">
        <f t="shared" si="17"/>
        <v>1.0549664574768247E-3</v>
      </c>
      <c r="J301" s="8">
        <f t="shared" si="18"/>
        <v>1.0544103714306776E-3</v>
      </c>
      <c r="K301" s="8">
        <f t="shared" si="15"/>
        <v>0.84292125662994688</v>
      </c>
    </row>
    <row r="302" spans="1:11" x14ac:dyDescent="0.25">
      <c r="A302" t="str">
        <f t="shared" si="16"/>
        <v>32021</v>
      </c>
      <c r="B302" s="1">
        <v>44271</v>
      </c>
      <c r="C302" s="21">
        <v>44271.645830000001</v>
      </c>
      <c r="D302" s="20">
        <v>1111.98</v>
      </c>
      <c r="E302" s="20">
        <v>1111.98</v>
      </c>
      <c r="F302" s="20">
        <v>1107.01</v>
      </c>
      <c r="G302" s="20">
        <v>1109.48</v>
      </c>
      <c r="H302" s="20">
        <v>6446</v>
      </c>
      <c r="I302" s="8">
        <f t="shared" si="17"/>
        <v>-6.5753325947348618E-4</v>
      </c>
      <c r="J302" s="8">
        <f t="shared" si="18"/>
        <v>-6.5774952927539815E-4</v>
      </c>
      <c r="K302" s="8">
        <f t="shared" si="15"/>
        <v>-0.47396768402154399</v>
      </c>
    </row>
    <row r="303" spans="1:11" x14ac:dyDescent="0.25">
      <c r="A303" t="str">
        <f t="shared" si="16"/>
        <v>32021</v>
      </c>
      <c r="B303" s="1">
        <v>44272</v>
      </c>
      <c r="C303" s="21">
        <v>44272.645830000001</v>
      </c>
      <c r="D303" s="20">
        <v>1110.1300000000001</v>
      </c>
      <c r="E303" s="20">
        <v>1111.99</v>
      </c>
      <c r="F303" s="20">
        <v>1109.01</v>
      </c>
      <c r="G303" s="20">
        <v>1109.74</v>
      </c>
      <c r="H303" s="20">
        <v>10338</v>
      </c>
      <c r="I303" s="8">
        <f t="shared" si="17"/>
        <v>2.3434401701694085E-4</v>
      </c>
      <c r="J303" s="8">
        <f t="shared" si="18"/>
        <v>2.343165627468639E-4</v>
      </c>
      <c r="K303" s="8">
        <f t="shared" si="15"/>
        <v>-0.20939125114713975</v>
      </c>
    </row>
    <row r="304" spans="1:11" x14ac:dyDescent="0.25">
      <c r="A304" t="str">
        <f t="shared" si="16"/>
        <v>32021</v>
      </c>
      <c r="B304" s="1">
        <v>44273</v>
      </c>
      <c r="C304" s="21">
        <v>44273.645830000001</v>
      </c>
      <c r="D304" s="20">
        <v>1112.94</v>
      </c>
      <c r="E304" s="20">
        <v>1112.94</v>
      </c>
      <c r="F304" s="20">
        <v>1108</v>
      </c>
      <c r="G304" s="20">
        <v>1109.9100000000001</v>
      </c>
      <c r="H304" s="20">
        <v>5370</v>
      </c>
      <c r="I304" s="8">
        <f t="shared" si="17"/>
        <v>1.5318903526950756E-4</v>
      </c>
      <c r="J304" s="8">
        <f t="shared" si="18"/>
        <v>1.5317730302739609E-4</v>
      </c>
      <c r="K304" s="8">
        <f t="shared" si="15"/>
        <v>0.26323218066337328</v>
      </c>
    </row>
    <row r="305" spans="1:11" x14ac:dyDescent="0.25">
      <c r="A305" t="str">
        <f t="shared" si="16"/>
        <v>32021</v>
      </c>
      <c r="B305" s="1">
        <v>44274</v>
      </c>
      <c r="C305" s="21">
        <v>44274.645830000001</v>
      </c>
      <c r="D305" s="20">
        <v>1108.0999999999999</v>
      </c>
      <c r="E305" s="20">
        <v>1112.99</v>
      </c>
      <c r="F305" s="20">
        <v>1108.08</v>
      </c>
      <c r="G305" s="20">
        <v>1109.45</v>
      </c>
      <c r="H305" s="20">
        <v>4556</v>
      </c>
      <c r="I305" s="8">
        <f t="shared" si="17"/>
        <v>-4.1444801830781142E-4</v>
      </c>
      <c r="J305" s="8">
        <f t="shared" si="18"/>
        <v>-4.1453392562464916E-4</v>
      </c>
      <c r="K305" s="8">
        <f t="shared" si="15"/>
        <v>-0.31468110709987962</v>
      </c>
    </row>
    <row r="306" spans="1:11" x14ac:dyDescent="0.25">
      <c r="A306" t="str">
        <f t="shared" si="16"/>
        <v>32021</v>
      </c>
      <c r="B306" s="1">
        <v>44277</v>
      </c>
      <c r="C306" s="21">
        <v>44277.645830000001</v>
      </c>
      <c r="D306" s="20">
        <v>1112.99</v>
      </c>
      <c r="E306" s="20">
        <v>1118.99</v>
      </c>
      <c r="F306" s="20">
        <v>1112.99</v>
      </c>
      <c r="G306" s="20">
        <v>1117.24</v>
      </c>
      <c r="H306" s="20">
        <v>14817</v>
      </c>
      <c r="I306" s="8">
        <f t="shared" si="17"/>
        <v>7.021497138221644E-3</v>
      </c>
      <c r="J306" s="8">
        <f t="shared" si="18"/>
        <v>6.9969612128578489E-3</v>
      </c>
      <c r="K306" s="8">
        <f t="shared" si="15"/>
        <v>1.144904458598726</v>
      </c>
    </row>
    <row r="307" spans="1:11" x14ac:dyDescent="0.25">
      <c r="A307" t="str">
        <f t="shared" si="16"/>
        <v>32021</v>
      </c>
      <c r="B307" s="1">
        <v>44278</v>
      </c>
      <c r="C307" s="21">
        <v>44278.645830000001</v>
      </c>
      <c r="D307" s="20">
        <v>1117.29</v>
      </c>
      <c r="E307" s="20">
        <v>1122.99</v>
      </c>
      <c r="F307" s="20">
        <v>1117.29</v>
      </c>
      <c r="G307" s="20">
        <v>1119.92</v>
      </c>
      <c r="H307" s="20">
        <v>9245</v>
      </c>
      <c r="I307" s="8">
        <f t="shared" si="17"/>
        <v>2.3987683935413617E-3</v>
      </c>
      <c r="J307" s="8">
        <f t="shared" si="18"/>
        <v>2.3958959412864874E-3</v>
      </c>
      <c r="K307" s="8">
        <f t="shared" si="15"/>
        <v>-0.34530132426881954</v>
      </c>
    </row>
    <row r="308" spans="1:11" x14ac:dyDescent="0.25">
      <c r="A308" t="str">
        <f t="shared" si="16"/>
        <v>32021</v>
      </c>
      <c r="B308" s="1">
        <v>44279</v>
      </c>
      <c r="C308" s="21">
        <v>44279.645830000001</v>
      </c>
      <c r="D308" s="20">
        <v>1124</v>
      </c>
      <c r="E308" s="20">
        <v>1125.99</v>
      </c>
      <c r="F308" s="20">
        <v>1120.46</v>
      </c>
      <c r="G308" s="20">
        <v>1125.97</v>
      </c>
      <c r="H308" s="20">
        <v>23941</v>
      </c>
      <c r="I308" s="8">
        <f t="shared" si="17"/>
        <v>5.4021715836845008E-3</v>
      </c>
      <c r="J308" s="8">
        <f t="shared" si="18"/>
        <v>5.3876321941210671E-3</v>
      </c>
      <c r="K308" s="8">
        <f t="shared" si="15"/>
        <v>6.6758576466816288</v>
      </c>
    </row>
    <row r="309" spans="1:11" x14ac:dyDescent="0.25">
      <c r="A309" t="str">
        <f t="shared" si="16"/>
        <v>32021</v>
      </c>
      <c r="B309" s="1">
        <v>44280</v>
      </c>
      <c r="C309" s="21">
        <v>44280.645830000001</v>
      </c>
      <c r="D309" s="20">
        <v>1124.0899999999999</v>
      </c>
      <c r="E309" s="20">
        <v>1128.99</v>
      </c>
      <c r="F309" s="20">
        <v>1124.0899999999999</v>
      </c>
      <c r="G309" s="20">
        <v>1128.9100000000001</v>
      </c>
      <c r="H309" s="20">
        <v>25944</v>
      </c>
      <c r="I309" s="8">
        <f t="shared" si="17"/>
        <v>2.6110820004086044E-3</v>
      </c>
      <c r="J309" s="8">
        <f t="shared" si="18"/>
        <v>2.6076790481067212E-3</v>
      </c>
      <c r="K309" s="8">
        <f t="shared" si="15"/>
        <v>2.7361751152073732</v>
      </c>
    </row>
    <row r="310" spans="1:11" x14ac:dyDescent="0.25">
      <c r="A310" t="str">
        <f t="shared" si="16"/>
        <v>32021</v>
      </c>
      <c r="B310" s="1">
        <v>44281</v>
      </c>
      <c r="C310" s="21">
        <v>44281.645830000001</v>
      </c>
      <c r="D310" s="20">
        <v>1129.95</v>
      </c>
      <c r="E310" s="20">
        <v>1132.98</v>
      </c>
      <c r="F310" s="20">
        <v>1127.18</v>
      </c>
      <c r="G310" s="20">
        <v>1131.73</v>
      </c>
      <c r="H310" s="20">
        <v>24919</v>
      </c>
      <c r="I310" s="8">
        <f t="shared" si="17"/>
        <v>2.4979847817805378E-3</v>
      </c>
      <c r="J310" s="8">
        <f t="shared" si="18"/>
        <v>2.4948700038291407E-3</v>
      </c>
      <c r="K310" s="8">
        <f t="shared" si="15"/>
        <v>3.5882894494568216</v>
      </c>
    </row>
    <row r="311" spans="1:11" x14ac:dyDescent="0.25">
      <c r="A311" t="str">
        <f t="shared" si="16"/>
        <v>32021</v>
      </c>
      <c r="B311" s="1">
        <v>44285</v>
      </c>
      <c r="C311" s="21">
        <v>44285.645830000001</v>
      </c>
      <c r="D311" s="20">
        <v>1129.73</v>
      </c>
      <c r="E311" s="20">
        <v>1134.99</v>
      </c>
      <c r="F311" s="20">
        <v>1128.01</v>
      </c>
      <c r="G311" s="20">
        <v>1132.52</v>
      </c>
      <c r="H311" s="20">
        <v>17807</v>
      </c>
      <c r="I311" s="8">
        <f t="shared" si="17"/>
        <v>6.9804635381220947E-4</v>
      </c>
      <c r="J311" s="8">
        <f t="shared" si="18"/>
        <v>6.978028327755656E-4</v>
      </c>
      <c r="K311" s="8">
        <f t="shared" si="15"/>
        <v>4.3139361384661292</v>
      </c>
    </row>
    <row r="312" spans="1:11" x14ac:dyDescent="0.25">
      <c r="A312" t="str">
        <f t="shared" si="16"/>
        <v>32021</v>
      </c>
      <c r="B312" s="1">
        <v>44286</v>
      </c>
      <c r="C312" s="21">
        <v>44286.645830000001</v>
      </c>
      <c r="D312" s="20">
        <v>1133.94</v>
      </c>
      <c r="E312" s="20">
        <v>1134</v>
      </c>
      <c r="F312" s="20">
        <v>1130</v>
      </c>
      <c r="G312" s="20">
        <v>1131.19</v>
      </c>
      <c r="H312" s="20">
        <v>7282</v>
      </c>
      <c r="I312" s="8">
        <f t="shared" si="17"/>
        <v>-1.1743721965173926E-3</v>
      </c>
      <c r="J312" s="8">
        <f t="shared" si="18"/>
        <v>-1.1750623118998236E-3</v>
      </c>
      <c r="K312" s="8">
        <f t="shared" si="15"/>
        <v>4.4793077501881111</v>
      </c>
    </row>
    <row r="313" spans="1:11" x14ac:dyDescent="0.25">
      <c r="A313" t="str">
        <f t="shared" si="16"/>
        <v>42021</v>
      </c>
      <c r="B313" s="1">
        <v>44287</v>
      </c>
      <c r="C313" s="21">
        <v>44287.645830000001</v>
      </c>
      <c r="D313" s="20">
        <v>1135</v>
      </c>
      <c r="E313" s="20">
        <v>1137</v>
      </c>
      <c r="F313" s="20">
        <v>1134</v>
      </c>
      <c r="G313" s="20">
        <v>1136.75</v>
      </c>
      <c r="H313" s="20">
        <v>27765</v>
      </c>
      <c r="I313" s="8">
        <f t="shared" si="17"/>
        <v>4.9151778215861253E-3</v>
      </c>
      <c r="J313" s="8">
        <f t="shared" si="18"/>
        <v>4.9031377716174289E-3</v>
      </c>
      <c r="K313" s="8">
        <f t="shared" si="15"/>
        <v>3.179587535751919</v>
      </c>
    </row>
    <row r="314" spans="1:11" x14ac:dyDescent="0.25">
      <c r="A314" t="str">
        <f t="shared" si="16"/>
        <v>42021</v>
      </c>
      <c r="B314" s="1">
        <v>44291</v>
      </c>
      <c r="C314" s="21">
        <v>44291.645830000001</v>
      </c>
      <c r="D314" s="20">
        <v>1137.99</v>
      </c>
      <c r="E314" s="20">
        <v>1137.99</v>
      </c>
      <c r="F314" s="20">
        <v>1133.02</v>
      </c>
      <c r="G314" s="20">
        <v>1136.94</v>
      </c>
      <c r="H314" s="20">
        <v>7886</v>
      </c>
      <c r="I314" s="8">
        <f t="shared" si="17"/>
        <v>1.671431713217153E-4</v>
      </c>
      <c r="J314" s="8">
        <f t="shared" si="18"/>
        <v>1.6712920445814447E-4</v>
      </c>
      <c r="K314" s="8">
        <f t="shared" si="15"/>
        <v>-0.25673892554194155</v>
      </c>
    </row>
    <row r="315" spans="1:11" x14ac:dyDescent="0.25">
      <c r="A315" t="str">
        <f t="shared" si="16"/>
        <v>42021</v>
      </c>
      <c r="B315" s="1">
        <v>44292</v>
      </c>
      <c r="C315" s="21">
        <v>44292.645830000001</v>
      </c>
      <c r="D315" s="20">
        <v>1137</v>
      </c>
      <c r="E315" s="20">
        <v>1141</v>
      </c>
      <c r="F315" s="20">
        <v>1135.08</v>
      </c>
      <c r="G315" s="20">
        <v>1138.9100000000001</v>
      </c>
      <c r="H315" s="20">
        <v>12626</v>
      </c>
      <c r="I315" s="8">
        <f t="shared" si="17"/>
        <v>1.7327211638258344E-3</v>
      </c>
      <c r="J315" s="8">
        <f t="shared" si="18"/>
        <v>1.7312217343223382E-3</v>
      </c>
      <c r="K315" s="8">
        <f t="shared" si="15"/>
        <v>0.30232078390923167</v>
      </c>
    </row>
    <row r="316" spans="1:11" x14ac:dyDescent="0.25">
      <c r="A316" t="str">
        <f t="shared" si="16"/>
        <v>42021</v>
      </c>
      <c r="B316" s="1">
        <v>44293</v>
      </c>
      <c r="C316" s="21">
        <v>44293.645830000001</v>
      </c>
      <c r="D316" s="20">
        <v>1142.99</v>
      </c>
      <c r="E316" s="20">
        <v>1147.8900000000001</v>
      </c>
      <c r="F316" s="20">
        <v>1138.0899999999999</v>
      </c>
      <c r="G316" s="20">
        <v>1147.1600000000001</v>
      </c>
      <c r="H316" s="20">
        <v>27798</v>
      </c>
      <c r="I316" s="8">
        <f t="shared" si="17"/>
        <v>7.2437681642973928E-3</v>
      </c>
      <c r="J316" s="8">
        <f t="shared" si="18"/>
        <v>7.2176580900832499E-3</v>
      </c>
      <c r="K316" s="8">
        <f t="shared" si="15"/>
        <v>1.4495946422277055</v>
      </c>
    </row>
    <row r="317" spans="1:11" x14ac:dyDescent="0.25">
      <c r="A317" t="str">
        <f t="shared" si="16"/>
        <v>42021</v>
      </c>
      <c r="B317" s="1">
        <v>44294</v>
      </c>
      <c r="C317" s="21">
        <v>44294.645830000001</v>
      </c>
      <c r="D317" s="20">
        <v>1145.49</v>
      </c>
      <c r="E317" s="20">
        <v>1147.99</v>
      </c>
      <c r="F317" s="20">
        <v>1143.92</v>
      </c>
      <c r="G317" s="20">
        <v>1146.55</v>
      </c>
      <c r="H317" s="20">
        <v>10520</v>
      </c>
      <c r="I317" s="8">
        <f t="shared" si="17"/>
        <v>-5.3174796889721154E-4</v>
      </c>
      <c r="J317" s="8">
        <f t="shared" si="18"/>
        <v>-5.3188939698671316E-4</v>
      </c>
      <c r="K317" s="8">
        <f t="shared" si="15"/>
        <v>2.9878695981804397</v>
      </c>
    </row>
    <row r="318" spans="1:11" x14ac:dyDescent="0.25">
      <c r="A318" t="str">
        <f t="shared" si="16"/>
        <v>42021</v>
      </c>
      <c r="B318" s="1">
        <v>44295</v>
      </c>
      <c r="C318" s="21">
        <v>44295.645830000001</v>
      </c>
      <c r="D318" s="20">
        <v>1143.1500000000001</v>
      </c>
      <c r="E318" s="20">
        <v>1146.55</v>
      </c>
      <c r="F318" s="20">
        <v>1143.1500000000001</v>
      </c>
      <c r="G318" s="20">
        <v>1145.27</v>
      </c>
      <c r="H318" s="20">
        <v>12658</v>
      </c>
      <c r="I318" s="8">
        <f t="shared" si="17"/>
        <v>-1.1163926562295368E-3</v>
      </c>
      <c r="J318" s="8">
        <f t="shared" si="18"/>
        <v>-1.1170162866985019E-3</v>
      </c>
      <c r="K318" s="8">
        <f t="shared" si="15"/>
        <v>1.0522049286640724</v>
      </c>
    </row>
    <row r="319" spans="1:11" x14ac:dyDescent="0.25">
      <c r="A319" t="str">
        <f t="shared" si="16"/>
        <v>42021</v>
      </c>
      <c r="B319" s="1">
        <v>44298</v>
      </c>
      <c r="C319" s="21">
        <v>44298.645830000001</v>
      </c>
      <c r="D319" s="20">
        <v>1147.93</v>
      </c>
      <c r="E319" s="20">
        <v>1147.99</v>
      </c>
      <c r="F319" s="20">
        <v>1142</v>
      </c>
      <c r="G319" s="20">
        <v>1143.67</v>
      </c>
      <c r="H319" s="20">
        <v>15384</v>
      </c>
      <c r="I319" s="8">
        <f t="shared" si="17"/>
        <v>-1.397050477179973E-3</v>
      </c>
      <c r="J319" s="8">
        <f t="shared" si="18"/>
        <v>-1.3980272620490379E-3</v>
      </c>
      <c r="K319" s="8">
        <f t="shared" si="15"/>
        <v>-0.45535651065637617</v>
      </c>
    </row>
    <row r="320" spans="1:11" x14ac:dyDescent="0.25">
      <c r="A320" t="str">
        <f t="shared" si="16"/>
        <v>42021</v>
      </c>
      <c r="B320" s="1">
        <v>44299</v>
      </c>
      <c r="C320" s="21">
        <v>44299.645830000001</v>
      </c>
      <c r="D320" s="20">
        <v>1143.6400000000001</v>
      </c>
      <c r="E320" s="20">
        <v>1146</v>
      </c>
      <c r="F320" s="20">
        <v>1143.6400000000001</v>
      </c>
      <c r="G320" s="20">
        <v>1145.19</v>
      </c>
      <c r="H320" s="20">
        <v>11382</v>
      </c>
      <c r="I320" s="8">
        <f t="shared" si="17"/>
        <v>1.3290547098376848E-3</v>
      </c>
      <c r="J320" s="8">
        <f t="shared" si="18"/>
        <v>1.32817229838901E-3</v>
      </c>
      <c r="K320" s="8">
        <f t="shared" si="15"/>
        <v>1.227321237993606E-2</v>
      </c>
    </row>
    <row r="321" spans="1:11" x14ac:dyDescent="0.25">
      <c r="A321" t="str">
        <f t="shared" si="16"/>
        <v>42021</v>
      </c>
      <c r="B321" s="1">
        <v>44301</v>
      </c>
      <c r="C321" s="21">
        <v>44301.645830000001</v>
      </c>
      <c r="D321" s="20">
        <v>1147</v>
      </c>
      <c r="E321" s="20">
        <v>1147.5</v>
      </c>
      <c r="F321" s="20">
        <v>1145.05</v>
      </c>
      <c r="G321" s="20">
        <v>1146.47</v>
      </c>
      <c r="H321" s="20">
        <v>12726</v>
      </c>
      <c r="I321" s="8">
        <f t="shared" si="17"/>
        <v>1.1177184571993237E-3</v>
      </c>
      <c r="J321" s="8">
        <f t="shared" si="18"/>
        <v>1.1170942749878982E-3</v>
      </c>
      <c r="K321" s="8">
        <f t="shared" ref="K321:K340" si="19">+H321/H259-1</f>
        <v>1.5260023818975785</v>
      </c>
    </row>
    <row r="322" spans="1:11" x14ac:dyDescent="0.25">
      <c r="A322" t="str">
        <f t="shared" si="16"/>
        <v>42021</v>
      </c>
      <c r="B322" s="1">
        <v>44302</v>
      </c>
      <c r="C322" s="21">
        <v>44302.645830000001</v>
      </c>
      <c r="D322" s="20">
        <v>1146.42</v>
      </c>
      <c r="E322" s="20">
        <v>1147.99</v>
      </c>
      <c r="F322" s="20">
        <v>1145.2</v>
      </c>
      <c r="G322" s="20">
        <v>1147.1600000000001</v>
      </c>
      <c r="H322" s="20">
        <v>10578</v>
      </c>
      <c r="I322" s="8">
        <f t="shared" si="17"/>
        <v>6.0184740987567764E-4</v>
      </c>
      <c r="J322" s="8">
        <f t="shared" si="18"/>
        <v>6.0166637235762287E-4</v>
      </c>
      <c r="K322" s="8">
        <f t="shared" si="19"/>
        <v>-0.76017412202144785</v>
      </c>
    </row>
    <row r="323" spans="1:11" x14ac:dyDescent="0.25">
      <c r="A323" t="str">
        <f t="shared" ref="A323:A340" si="20">+MONTH(B323)&amp;YEAR(B323)</f>
        <v>42021</v>
      </c>
      <c r="B323" s="1">
        <v>44305</v>
      </c>
      <c r="C323" s="21">
        <v>44305.645830000001</v>
      </c>
      <c r="D323" s="20">
        <v>1147.94</v>
      </c>
      <c r="E323" s="20">
        <v>1147.99</v>
      </c>
      <c r="F323" s="20">
        <v>1143.1300000000001</v>
      </c>
      <c r="G323" s="20">
        <v>1146.49</v>
      </c>
      <c r="H323" s="20">
        <v>14041</v>
      </c>
      <c r="I323" s="8">
        <f t="shared" si="17"/>
        <v>-5.8405104780512307E-4</v>
      </c>
      <c r="J323" s="8">
        <f t="shared" si="18"/>
        <v>-5.8422167205709411E-4</v>
      </c>
      <c r="K323" s="8">
        <f t="shared" si="19"/>
        <v>-0.532978546482621</v>
      </c>
    </row>
    <row r="324" spans="1:11" x14ac:dyDescent="0.25">
      <c r="A324" t="str">
        <f t="shared" si="20"/>
        <v>42021</v>
      </c>
      <c r="B324" s="1">
        <v>44306</v>
      </c>
      <c r="C324" s="21">
        <v>44306.645830000001</v>
      </c>
      <c r="D324" s="20">
        <v>1147.49</v>
      </c>
      <c r="E324" s="20">
        <v>1147.49</v>
      </c>
      <c r="F324" s="20">
        <v>1144.95</v>
      </c>
      <c r="G324" s="20">
        <v>1146.6600000000001</v>
      </c>
      <c r="H324" s="20">
        <v>26888</v>
      </c>
      <c r="I324" s="8">
        <f t="shared" ref="I324:I340" si="21">+G324/G323-1</f>
        <v>1.4827865921218653E-4</v>
      </c>
      <c r="J324" s="8">
        <f t="shared" ref="J324:J340" si="22">LN(1+I324)</f>
        <v>1.4826766701838938E-4</v>
      </c>
      <c r="K324" s="8">
        <f t="shared" si="19"/>
        <v>0.19966091107839201</v>
      </c>
    </row>
    <row r="325" spans="1:11" x14ac:dyDescent="0.25">
      <c r="A325" t="str">
        <f t="shared" si="20"/>
        <v>42021</v>
      </c>
      <c r="B325" s="1">
        <v>44308</v>
      </c>
      <c r="C325" s="21">
        <v>44308.645830000001</v>
      </c>
      <c r="D325" s="20">
        <v>1143.25</v>
      </c>
      <c r="E325" s="20">
        <v>1147.99</v>
      </c>
      <c r="F325" s="20">
        <v>1142.55</v>
      </c>
      <c r="G325" s="20">
        <v>1145.02</v>
      </c>
      <c r="H325" s="20">
        <v>11809</v>
      </c>
      <c r="I325" s="8">
        <f t="shared" si="21"/>
        <v>-1.4302408734935268E-3</v>
      </c>
      <c r="J325" s="8">
        <f t="shared" si="22"/>
        <v>-1.4312646442472513E-3</v>
      </c>
      <c r="K325" s="8">
        <f t="shared" si="19"/>
        <v>-0.49199862341908285</v>
      </c>
    </row>
    <row r="326" spans="1:11" x14ac:dyDescent="0.25">
      <c r="A326" t="str">
        <f t="shared" si="20"/>
        <v>42021</v>
      </c>
      <c r="B326" s="1">
        <v>44309</v>
      </c>
      <c r="C326" s="21">
        <v>44309.645830000001</v>
      </c>
      <c r="D326" s="20">
        <v>1147.4000000000001</v>
      </c>
      <c r="E326" s="20">
        <v>1147.49</v>
      </c>
      <c r="F326" s="20">
        <v>1146</v>
      </c>
      <c r="G326" s="20">
        <v>1146.4000000000001</v>
      </c>
      <c r="H326" s="20">
        <v>7777</v>
      </c>
      <c r="I326" s="8">
        <f t="shared" si="21"/>
        <v>1.2052191228102416E-3</v>
      </c>
      <c r="J326" s="8">
        <f t="shared" si="22"/>
        <v>1.2044934292645495E-3</v>
      </c>
      <c r="K326" s="8">
        <f t="shared" si="19"/>
        <v>-0.48414698859113825</v>
      </c>
    </row>
    <row r="327" spans="1:11" x14ac:dyDescent="0.25">
      <c r="A327" t="str">
        <f t="shared" si="20"/>
        <v>42021</v>
      </c>
      <c r="B327" s="1">
        <v>44312</v>
      </c>
      <c r="C327" s="21">
        <v>44312.645830000001</v>
      </c>
      <c r="D327" s="20">
        <v>1145</v>
      </c>
      <c r="E327" s="20">
        <v>1148.49</v>
      </c>
      <c r="F327" s="20">
        <v>1145</v>
      </c>
      <c r="G327" s="20">
        <v>1147.8399999999999</v>
      </c>
      <c r="H327" s="20">
        <v>2781</v>
      </c>
      <c r="I327" s="8">
        <f t="shared" si="21"/>
        <v>1.2561060711790972E-3</v>
      </c>
      <c r="J327" s="8">
        <f t="shared" si="22"/>
        <v>1.2553178299554142E-3</v>
      </c>
      <c r="K327" s="8">
        <f t="shared" si="19"/>
        <v>-0.85918987341772146</v>
      </c>
    </row>
    <row r="328" spans="1:11" x14ac:dyDescent="0.25">
      <c r="A328" t="str">
        <f t="shared" si="20"/>
        <v>42021</v>
      </c>
      <c r="B328" s="1">
        <v>44313</v>
      </c>
      <c r="C328" s="21">
        <v>44313.645830000001</v>
      </c>
      <c r="D328" s="20">
        <v>1148.99</v>
      </c>
      <c r="E328" s="20">
        <v>1148.99</v>
      </c>
      <c r="F328" s="20">
        <v>1146.01</v>
      </c>
      <c r="G328" s="20">
        <v>1147.01</v>
      </c>
      <c r="H328" s="20">
        <v>3772</v>
      </c>
      <c r="I328" s="8">
        <f t="shared" si="21"/>
        <v>-7.2309729579034254E-4</v>
      </c>
      <c r="J328" s="8">
        <f t="shared" si="22"/>
        <v>-7.2335885673687514E-4</v>
      </c>
      <c r="K328" s="8">
        <f t="shared" si="19"/>
        <v>-0.75614171192138613</v>
      </c>
    </row>
    <row r="329" spans="1:11" x14ac:dyDescent="0.25">
      <c r="A329" t="str">
        <f t="shared" si="20"/>
        <v>42021</v>
      </c>
      <c r="B329" s="1">
        <v>44314</v>
      </c>
      <c r="C329" s="21">
        <v>44314.645830000001</v>
      </c>
      <c r="D329" s="20">
        <v>1143.08</v>
      </c>
      <c r="E329" s="20">
        <v>1147.94</v>
      </c>
      <c r="F329" s="20">
        <v>1143.08</v>
      </c>
      <c r="G329" s="20">
        <v>1145.8800000000001</v>
      </c>
      <c r="H329" s="20">
        <v>10466</v>
      </c>
      <c r="I329" s="8">
        <f t="shared" si="21"/>
        <v>-9.8517013801091569E-4</v>
      </c>
      <c r="J329" s="8">
        <f t="shared" si="22"/>
        <v>-9.8565573706932137E-4</v>
      </c>
      <c r="K329" s="8">
        <f t="shared" si="19"/>
        <v>0.18729438457175274</v>
      </c>
    </row>
    <row r="330" spans="1:11" x14ac:dyDescent="0.25">
      <c r="A330" t="str">
        <f t="shared" si="20"/>
        <v>42021</v>
      </c>
      <c r="B330" s="1">
        <v>44315</v>
      </c>
      <c r="C330" s="21">
        <v>44315.645830000001</v>
      </c>
      <c r="D330" s="20">
        <v>1144.26</v>
      </c>
      <c r="E330" s="20">
        <v>1147.94</v>
      </c>
      <c r="F330" s="20">
        <v>1144.25</v>
      </c>
      <c r="G330" s="20">
        <v>1146.8499999999999</v>
      </c>
      <c r="H330" s="20">
        <v>1908</v>
      </c>
      <c r="I330" s="8">
        <f t="shared" si="21"/>
        <v>8.4651097846188961E-4</v>
      </c>
      <c r="J330" s="8">
        <f t="shared" si="22"/>
        <v>8.4615289011312456E-4</v>
      </c>
      <c r="K330" s="8">
        <f t="shared" si="19"/>
        <v>-0.37071240105540892</v>
      </c>
    </row>
    <row r="331" spans="1:11" x14ac:dyDescent="0.25">
      <c r="A331" t="str">
        <f t="shared" si="20"/>
        <v>42021</v>
      </c>
      <c r="B331" s="1">
        <v>44316</v>
      </c>
      <c r="C331" s="21">
        <v>44316.645830000001</v>
      </c>
      <c r="D331" s="20">
        <v>1145.1500000000001</v>
      </c>
      <c r="E331" s="20">
        <v>1147.95</v>
      </c>
      <c r="F331" s="20">
        <v>1142.31</v>
      </c>
      <c r="G331" s="20">
        <v>1146.96</v>
      </c>
      <c r="H331" s="20">
        <v>28001</v>
      </c>
      <c r="I331" s="8">
        <f t="shared" si="21"/>
        <v>9.5914897327631365E-5</v>
      </c>
      <c r="J331" s="8">
        <f t="shared" si="22"/>
        <v>9.5910297787973908E-5</v>
      </c>
      <c r="K331" s="8">
        <f t="shared" si="19"/>
        <v>1.5541366414302655</v>
      </c>
    </row>
    <row r="332" spans="1:11" x14ac:dyDescent="0.25">
      <c r="A332" t="str">
        <f t="shared" si="20"/>
        <v>52021</v>
      </c>
      <c r="B332" s="1">
        <v>44319</v>
      </c>
      <c r="C332" s="21">
        <v>44319.645830000001</v>
      </c>
      <c r="D332" s="20">
        <v>1148</v>
      </c>
      <c r="E332" s="20">
        <v>1150.99</v>
      </c>
      <c r="F332" s="20">
        <v>1144.08</v>
      </c>
      <c r="G332" s="20">
        <v>1150.5899999999999</v>
      </c>
      <c r="H332" s="20">
        <v>9469</v>
      </c>
      <c r="I332" s="8">
        <f t="shared" si="21"/>
        <v>3.1648880518935218E-3</v>
      </c>
      <c r="J332" s="8">
        <f t="shared" si="22"/>
        <v>3.1598903357347077E-3</v>
      </c>
      <c r="K332" s="8">
        <f t="shared" si="19"/>
        <v>-0.51140350877192975</v>
      </c>
    </row>
    <row r="333" spans="1:11" x14ac:dyDescent="0.25">
      <c r="A333" t="str">
        <f t="shared" si="20"/>
        <v>52021</v>
      </c>
      <c r="B333" s="1">
        <v>44320</v>
      </c>
      <c r="C333" s="21">
        <v>44320.645830000001</v>
      </c>
      <c r="D333" s="20">
        <v>1150.99</v>
      </c>
      <c r="E333" s="20">
        <v>1150.99</v>
      </c>
      <c r="F333" s="20">
        <v>1148.01</v>
      </c>
      <c r="G333" s="20">
        <v>1149.98</v>
      </c>
      <c r="H333" s="20">
        <v>132699</v>
      </c>
      <c r="I333" s="8">
        <f t="shared" si="21"/>
        <v>-5.3016278604878231E-4</v>
      </c>
      <c r="J333" s="8">
        <f t="shared" si="22"/>
        <v>-5.3030337202980397E-4</v>
      </c>
      <c r="K333" s="8">
        <f t="shared" si="19"/>
        <v>11.380947938048143</v>
      </c>
    </row>
    <row r="334" spans="1:11" x14ac:dyDescent="0.25">
      <c r="A334" t="str">
        <f t="shared" si="20"/>
        <v>52021</v>
      </c>
      <c r="B334" s="1">
        <v>44321</v>
      </c>
      <c r="C334" s="21">
        <v>44321.645830000001</v>
      </c>
      <c r="D334" s="20">
        <v>1149.8499999999999</v>
      </c>
      <c r="E334" s="20">
        <v>1150</v>
      </c>
      <c r="F334" s="20">
        <v>1147.5</v>
      </c>
      <c r="G334" s="20">
        <v>1149.8800000000001</v>
      </c>
      <c r="H334" s="20">
        <v>17482</v>
      </c>
      <c r="I334" s="8">
        <f t="shared" si="21"/>
        <v>-8.6958034052675437E-5</v>
      </c>
      <c r="J334" s="8">
        <f t="shared" si="22"/>
        <v>-8.6961815121716404E-5</v>
      </c>
      <c r="K334" s="8">
        <f t="shared" si="19"/>
        <v>0.27299206291414846</v>
      </c>
    </row>
    <row r="335" spans="1:11" x14ac:dyDescent="0.25">
      <c r="A335" t="str">
        <f t="shared" si="20"/>
        <v>52021</v>
      </c>
      <c r="B335" s="1">
        <v>44322</v>
      </c>
      <c r="C335" s="21">
        <v>44322.645830000001</v>
      </c>
      <c r="D335" s="20">
        <v>1149.1099999999999</v>
      </c>
      <c r="E335" s="20">
        <v>1153.45</v>
      </c>
      <c r="F335" s="20">
        <v>1149.1099999999999</v>
      </c>
      <c r="G335" s="20">
        <v>1152.5999999999999</v>
      </c>
      <c r="H335" s="20">
        <v>89221</v>
      </c>
      <c r="I335" s="8">
        <f t="shared" si="21"/>
        <v>2.3654642223533973E-3</v>
      </c>
      <c r="J335" s="8">
        <f t="shared" si="22"/>
        <v>2.3626709159700974E-3</v>
      </c>
      <c r="K335" s="8">
        <f t="shared" si="19"/>
        <v>5.2179245940483661</v>
      </c>
    </row>
    <row r="336" spans="1:11" x14ac:dyDescent="0.25">
      <c r="A336" t="str">
        <f t="shared" si="20"/>
        <v>52021</v>
      </c>
      <c r="B336" s="1">
        <v>44323</v>
      </c>
      <c r="C336" s="21">
        <v>44323.645830000001</v>
      </c>
      <c r="D336" s="20">
        <v>1152.95</v>
      </c>
      <c r="E336" s="20">
        <v>1156.7</v>
      </c>
      <c r="F336" s="20">
        <v>1152.46</v>
      </c>
      <c r="G336" s="20">
        <v>1155.4000000000001</v>
      </c>
      <c r="H336" s="20">
        <v>12409</v>
      </c>
      <c r="I336" s="8">
        <f t="shared" si="21"/>
        <v>2.4292903001910116E-3</v>
      </c>
      <c r="J336" s="8">
        <f t="shared" si="22"/>
        <v>2.4263443445993326E-3</v>
      </c>
      <c r="K336" s="8">
        <f t="shared" si="19"/>
        <v>-0.18200395517468693</v>
      </c>
    </row>
    <row r="337" spans="1:11" x14ac:dyDescent="0.25">
      <c r="A337" t="str">
        <f t="shared" si="20"/>
        <v>52021</v>
      </c>
      <c r="B337" s="1">
        <v>44326</v>
      </c>
      <c r="C337" s="21">
        <v>44326.645830000001</v>
      </c>
      <c r="D337" s="20">
        <v>1152.99</v>
      </c>
      <c r="E337" s="20">
        <v>1152.99</v>
      </c>
      <c r="F337" s="20">
        <v>1150.45</v>
      </c>
      <c r="G337" s="20">
        <v>1151.8</v>
      </c>
      <c r="H337" s="20">
        <v>24701</v>
      </c>
      <c r="I337" s="8">
        <f t="shared" si="21"/>
        <v>-3.1158040505453455E-3</v>
      </c>
      <c r="J337" s="8">
        <f t="shared" si="22"/>
        <v>-3.1206682745932406E-3</v>
      </c>
      <c r="K337" s="8">
        <f t="shared" si="19"/>
        <v>1.9842938262655552</v>
      </c>
    </row>
    <row r="338" spans="1:11" x14ac:dyDescent="0.25">
      <c r="A338" t="str">
        <f t="shared" si="20"/>
        <v>52021</v>
      </c>
      <c r="B338" s="1">
        <v>44327</v>
      </c>
      <c r="C338" s="21">
        <v>44327.645830000001</v>
      </c>
      <c r="D338" s="20">
        <v>1152.49</v>
      </c>
      <c r="E338" s="20">
        <v>1152.49</v>
      </c>
      <c r="F338" s="20">
        <v>1147.58</v>
      </c>
      <c r="G338" s="20">
        <v>1152.26</v>
      </c>
      <c r="H338" s="20">
        <v>8003</v>
      </c>
      <c r="I338" s="8">
        <f t="shared" si="21"/>
        <v>3.9937489147434668E-4</v>
      </c>
      <c r="J338" s="8">
        <f t="shared" si="22"/>
        <v>3.9929516254949077E-4</v>
      </c>
      <c r="K338" s="8">
        <f t="shared" si="19"/>
        <v>-0.6229091080431608</v>
      </c>
    </row>
    <row r="339" spans="1:11" x14ac:dyDescent="0.25">
      <c r="A339" t="str">
        <f t="shared" si="20"/>
        <v>52021</v>
      </c>
      <c r="B339" s="1">
        <v>44328</v>
      </c>
      <c r="C339" s="21">
        <v>44328.645830000001</v>
      </c>
      <c r="D339" s="20">
        <v>1153.44</v>
      </c>
      <c r="E339" s="20">
        <v>1153.48</v>
      </c>
      <c r="F339" s="20">
        <v>1151</v>
      </c>
      <c r="G339" s="20">
        <v>1152.99</v>
      </c>
      <c r="H339" s="20">
        <v>11014</v>
      </c>
      <c r="I339" s="8">
        <f t="shared" si="21"/>
        <v>6.3353756964579233E-4</v>
      </c>
      <c r="J339" s="8">
        <f t="shared" si="22"/>
        <v>6.3333696944042211E-4</v>
      </c>
      <c r="K339" s="8">
        <f t="shared" si="19"/>
        <v>-0.50394090888618659</v>
      </c>
    </row>
    <row r="340" spans="1:11" x14ac:dyDescent="0.25">
      <c r="A340" t="str">
        <f t="shared" si="20"/>
        <v>52021</v>
      </c>
      <c r="B340" s="1">
        <v>44330</v>
      </c>
      <c r="C340" s="21">
        <v>44330.645830000001</v>
      </c>
      <c r="D340" s="20">
        <v>1153.49</v>
      </c>
      <c r="E340" s="20">
        <v>1155</v>
      </c>
      <c r="F340" s="20">
        <v>1150.95</v>
      </c>
      <c r="G340" s="20">
        <v>1153.99</v>
      </c>
      <c r="H340" s="20">
        <v>54853</v>
      </c>
      <c r="I340" s="8">
        <f t="shared" si="21"/>
        <v>8.6731021084318627E-4</v>
      </c>
      <c r="J340" s="8">
        <f t="shared" si="22"/>
        <v>8.6693431467229308E-4</v>
      </c>
      <c r="K340" s="8">
        <f t="shared" si="19"/>
        <v>3.153642283810389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Sectors Indices - Watchlist</vt:lpstr>
      <vt:lpstr>Performance</vt:lpstr>
      <vt:lpstr>Sector_Rotation</vt:lpstr>
      <vt:lpstr>NIFTY_50</vt:lpstr>
      <vt:lpstr>NIFTY_BANK</vt:lpstr>
      <vt:lpstr>NIFTY_IT</vt:lpstr>
      <vt:lpstr>NIFTY_PHARMA</vt:lpstr>
      <vt:lpstr>NIFTY_FMCG</vt:lpstr>
      <vt:lpstr>NIFTY_METAL</vt:lpstr>
      <vt:lpstr>NIFTY_ENERGY</vt:lpstr>
      <vt:lpstr>NIFTY_AUTO</vt:lpstr>
      <vt:lpstr>EBBETF0430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Nitish</dc:creator>
  <cp:lastModifiedBy>Nitish</cp:lastModifiedBy>
  <dcterms:created xsi:type="dcterms:W3CDTF">2015-06-05T18:17:20Z</dcterms:created>
  <dcterms:modified xsi:type="dcterms:W3CDTF">2021-05-20T04:50:27Z</dcterms:modified>
</cp:coreProperties>
</file>